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ba\Box\共用\D-Order\Invoice\"/>
    </mc:Choice>
  </mc:AlternateContent>
  <xr:revisionPtr revIDLastSave="0" documentId="13_ncr:1_{127A868C-B907-4090-A962-57D0DB5CFF51}" xr6:coauthVersionLast="47" xr6:coauthVersionMax="47" xr10:uidLastSave="{00000000-0000-0000-0000-000000000000}"/>
  <bookViews>
    <workbookView xWindow="-120" yWindow="-120" windowWidth="29040" windowHeight="17520" tabRatio="774" xr2:uid="{00000000-000D-0000-FFFF-FFFF00000000}"/>
  </bookViews>
  <sheets>
    <sheet name="LA BackOrder" sheetId="1" r:id="rId1"/>
    <sheet name="取引先マスタ" sheetId="7" r:id="rId2"/>
    <sheet name="仕入先マスタ" sheetId="14" r:id="rId3"/>
    <sheet name="Invoice(SF米国)" sheetId="12" r:id="rId4"/>
    <sheet name="Invoice(SF大阪)" sheetId="13" r:id="rId5"/>
    <sheet name="発注書" sheetId="6" r:id="rId6"/>
    <sheet name="Packing List-2" sheetId="18" r:id="rId7"/>
    <sheet name="Packing list " sheetId="16" r:id="rId8"/>
    <sheet name="carton mark " sheetId="17" r:id="rId9"/>
    <sheet name="顧客連絡用シート" sheetId="15" r:id="rId10"/>
    <sheet name="Sheet4" sheetId="4" r:id="rId11"/>
    <sheet name="Sheet5" sheetId="21" r:id="rId12"/>
    <sheet name="Sheet2" sheetId="2" r:id="rId13"/>
    <sheet name="Sheet1" sheetId="19" r:id="rId14"/>
    <sheet name="Sheet3" sheetId="20" r:id="rId15"/>
    <sheet name="Invoice(Sample)" sheetId="9" state="hidden" r:id="rId16"/>
  </sheets>
  <externalReferences>
    <externalReference r:id="rId17"/>
  </externalReferences>
  <definedNames>
    <definedName name="_xlnm._FilterDatabase" localSheetId="0" hidden="1">'LA BackOrder'!$B$1:$W$4548</definedName>
    <definedName name="_xlnm._FilterDatabase" localSheetId="12" hidden="1">Sheet2!$A$298:$G$298</definedName>
    <definedName name="_xlnm._FilterDatabase" localSheetId="1" hidden="1">取引先マスタ!$A$1:$J$184</definedName>
    <definedName name="_List_Currency">[1]Master!$K$2:$K$5</definedName>
    <definedName name="_List_TradeCondition">[1]Master!$D$2:$D$5</definedName>
    <definedName name="_xlnm.Print_Area" localSheetId="8">'carton mark '!$A$1:$H$51</definedName>
    <definedName name="_xlnm.Print_Area" localSheetId="15">'Invoice(Sample)'!$C$4:$AH$63</definedName>
    <definedName name="_xlnm.Print_Area" localSheetId="4">'Invoice(SF大阪)'!$B$14:$K$80</definedName>
    <definedName name="_xlnm.Print_Area" localSheetId="3">'Invoice(SF米国)'!$B$14:$K$80</definedName>
    <definedName name="_xlnm.Print_Area" localSheetId="0">'LA BackOrder'!$C$1:$O$5466</definedName>
    <definedName name="_xlnm.Print_Area" localSheetId="7">'Packing list '!$A$1:$L$76</definedName>
    <definedName name="_xlnm.Print_Area" localSheetId="5">発注書!$B$28:$M$70</definedName>
    <definedName name="_xlnm.Print_Titles" localSheetId="4">'Invoice(SF大阪)'!$14:$35</definedName>
    <definedName name="_xlnm.Print_Titles" localSheetId="3">'Invoice(SF米国)'!$14:$35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239" i="15" l="1"/>
  <c r="D12239" i="15" s="1"/>
  <c r="G12239" i="15" s="1"/>
  <c r="D12238" i="15"/>
  <c r="G12238" i="15" s="1"/>
  <c r="F12233" i="15" l="1"/>
  <c r="F12231" i="15"/>
  <c r="D12231" i="15" s="1"/>
  <c r="G12231" i="15" s="1"/>
  <c r="F12229" i="15"/>
  <c r="D12229" i="15" s="1"/>
  <c r="G12229" i="15" s="1"/>
  <c r="D12233" i="15"/>
  <c r="G12233" i="15" s="1"/>
  <c r="D12232" i="15"/>
  <c r="G12232" i="15" s="1"/>
  <c r="D12230" i="15"/>
  <c r="G12230" i="15" s="1"/>
  <c r="D12228" i="15"/>
  <c r="G12228" i="15" s="1"/>
  <c r="W4419" i="1"/>
  <c r="W4418" i="1"/>
  <c r="R4418" i="1"/>
  <c r="P4418" i="1"/>
  <c r="L4418" i="1"/>
  <c r="W4417" i="1"/>
  <c r="P4417" i="1"/>
  <c r="J4417" i="1"/>
  <c r="T4417" i="1" s="1"/>
  <c r="W4416" i="1"/>
  <c r="L4417" i="1" l="1"/>
  <c r="R4417" i="1"/>
  <c r="F12222" i="15" l="1"/>
  <c r="K4415" i="1"/>
  <c r="W4415" i="1"/>
  <c r="S4414" i="1"/>
  <c r="W4414" i="1" s="1"/>
  <c r="R4414" i="1"/>
  <c r="W4413" i="1"/>
  <c r="J4413" i="1"/>
  <c r="T4413" i="1" s="1"/>
  <c r="W4412" i="1"/>
  <c r="Q4415" i="1" l="1"/>
  <c r="L4413" i="1"/>
  <c r="R4413" i="1"/>
  <c r="T4414" i="1"/>
  <c r="F12213" i="15" l="1"/>
  <c r="D12213" i="15"/>
  <c r="G12213" i="15" s="1"/>
  <c r="D12212" i="15"/>
  <c r="G12212" i="15" s="1"/>
  <c r="F12211" i="15"/>
  <c r="D12211" i="15" s="1"/>
  <c r="G12211" i="15" s="1"/>
  <c r="D12210" i="15"/>
  <c r="G12210" i="15" s="1"/>
  <c r="D12205" i="15" l="1"/>
  <c r="F12205" i="15" s="1"/>
  <c r="E12199" i="15" l="1"/>
  <c r="W4411" i="1"/>
  <c r="W4410" i="1"/>
  <c r="T4410" i="1"/>
  <c r="R4410" i="1"/>
  <c r="P4410" i="1"/>
  <c r="L4410" i="1"/>
  <c r="W4409" i="1"/>
  <c r="P4409" i="1"/>
  <c r="J4409" i="1"/>
  <c r="T4409" i="1" s="1"/>
  <c r="W4408" i="1"/>
  <c r="D12194" i="15"/>
  <c r="E12184" i="15"/>
  <c r="E12189" i="15"/>
  <c r="E12188" i="15"/>
  <c r="E12187" i="15"/>
  <c r="E12186" i="15"/>
  <c r="E12185" i="15"/>
  <c r="S4406" i="1"/>
  <c r="T4406" i="1" s="1"/>
  <c r="S4405" i="1"/>
  <c r="W4405" i="1" s="1"/>
  <c r="S4404" i="1"/>
  <c r="W4404" i="1" s="1"/>
  <c r="S4403" i="1"/>
  <c r="T4403" i="1" s="1"/>
  <c r="S4402" i="1"/>
  <c r="W4402" i="1" s="1"/>
  <c r="S4401" i="1"/>
  <c r="W4401" i="1" s="1"/>
  <c r="W4407" i="1"/>
  <c r="R4405" i="1"/>
  <c r="P4405" i="1"/>
  <c r="L4405" i="1"/>
  <c r="R4402" i="1"/>
  <c r="P4402" i="1"/>
  <c r="L4402" i="1"/>
  <c r="W4406" i="1"/>
  <c r="R4406" i="1"/>
  <c r="P4406" i="1"/>
  <c r="L4406" i="1"/>
  <c r="W4403" i="1"/>
  <c r="R4403" i="1"/>
  <c r="P4403" i="1"/>
  <c r="L4403" i="1"/>
  <c r="R4404" i="1"/>
  <c r="P4404" i="1"/>
  <c r="L4404" i="1"/>
  <c r="R4401" i="1"/>
  <c r="P4401" i="1"/>
  <c r="L4401" i="1"/>
  <c r="W4400" i="1"/>
  <c r="P4400" i="1"/>
  <c r="T4401" i="1" l="1"/>
  <c r="L4409" i="1"/>
  <c r="R4409" i="1"/>
  <c r="T4405" i="1"/>
  <c r="T4404" i="1"/>
  <c r="T4402" i="1"/>
  <c r="W4281" i="1" l="1"/>
  <c r="T4281" i="1"/>
  <c r="R4281" i="1"/>
  <c r="P4281" i="1"/>
  <c r="L4281" i="1"/>
  <c r="E12178" i="15" l="1"/>
  <c r="C12178" i="15" s="1"/>
  <c r="F12178" i="15" s="1"/>
  <c r="E12176" i="15"/>
  <c r="C12176" i="15" s="1"/>
  <c r="F12176" i="15" s="1"/>
  <c r="C12179" i="15"/>
  <c r="F12179" i="15" s="1"/>
  <c r="C12177" i="15"/>
  <c r="F12177" i="15" s="1"/>
  <c r="D12171" i="15" l="1"/>
  <c r="G12171" i="15" s="1"/>
  <c r="D12170" i="15"/>
  <c r="G12170" i="15" s="1"/>
  <c r="D12169" i="15"/>
  <c r="G12169" i="15" s="1"/>
  <c r="D12168" i="15"/>
  <c r="G12168" i="15" s="1"/>
  <c r="D12167" i="15"/>
  <c r="G12167" i="15" s="1"/>
  <c r="D12166" i="15"/>
  <c r="G12166" i="15" s="1"/>
  <c r="D12165" i="15"/>
  <c r="G12165" i="15" s="1"/>
  <c r="D12164" i="15"/>
  <c r="G12164" i="15" s="1"/>
  <c r="F12158" i="15" l="1"/>
  <c r="F12157" i="15"/>
  <c r="W4398" i="1"/>
  <c r="T4398" i="1"/>
  <c r="P4398" i="1"/>
  <c r="L4398" i="1"/>
  <c r="W4396" i="1" l="1"/>
  <c r="W4399" i="1"/>
  <c r="S4397" i="1"/>
  <c r="W4397" i="1" s="1"/>
  <c r="P4397" i="1"/>
  <c r="J4397" i="1"/>
  <c r="L4397" i="1" s="1"/>
  <c r="P4396" i="1"/>
  <c r="J4396" i="1"/>
  <c r="R4396" i="1" s="1"/>
  <c r="W4395" i="1"/>
  <c r="R4397" i="1" l="1"/>
  <c r="T4397" i="1"/>
  <c r="L4396" i="1"/>
  <c r="T4396" i="1"/>
  <c r="F12153" i="15" l="1"/>
  <c r="D12153" i="15" s="1"/>
  <c r="G12153" i="15" s="1"/>
  <c r="F12151" i="15"/>
  <c r="D12151" i="15" s="1"/>
  <c r="G12151" i="15" s="1"/>
  <c r="D12152" i="15"/>
  <c r="G12152" i="15" s="1"/>
  <c r="D12150" i="15"/>
  <c r="G12150" i="15" s="1"/>
  <c r="F12145" i="15" l="1"/>
  <c r="F12140" i="15" l="1"/>
  <c r="W4394" i="1"/>
  <c r="W4393" i="1"/>
  <c r="T4393" i="1"/>
  <c r="W4392" i="1"/>
  <c r="P4392" i="1"/>
  <c r="J4392" i="1"/>
  <c r="L4392" i="1" s="1"/>
  <c r="W4391" i="1"/>
  <c r="R4392" i="1" l="1"/>
  <c r="T4392" i="1"/>
  <c r="T4389" i="1" l="1"/>
  <c r="W4390" i="1"/>
  <c r="W4389" i="1"/>
  <c r="P4389" i="1"/>
  <c r="L4389" i="1"/>
  <c r="W4388" i="1"/>
  <c r="P4388" i="1"/>
  <c r="J4388" i="1"/>
  <c r="R4388" i="1" s="1"/>
  <c r="W4387" i="1"/>
  <c r="W4386" i="1"/>
  <c r="W4385" i="1"/>
  <c r="T4385" i="1"/>
  <c r="R4385" i="1"/>
  <c r="P4385" i="1"/>
  <c r="L4385" i="1"/>
  <c r="W4384" i="1"/>
  <c r="P4384" i="1"/>
  <c r="J4384" i="1"/>
  <c r="R4384" i="1" s="1"/>
  <c r="T4383" i="1"/>
  <c r="S4383" i="1"/>
  <c r="L4388" i="1" l="1"/>
  <c r="T4388" i="1"/>
  <c r="T4384" i="1"/>
  <c r="L4384" i="1"/>
  <c r="W4341" i="1" l="1"/>
  <c r="W4358" i="1"/>
  <c r="W4359" i="1"/>
  <c r="T4359" i="1"/>
  <c r="R4359" i="1"/>
  <c r="P4359" i="1"/>
  <c r="L4359" i="1"/>
  <c r="S4380" i="1"/>
  <c r="W4380" i="1" s="1"/>
  <c r="W4382" i="1"/>
  <c r="W4381" i="1"/>
  <c r="T4381" i="1"/>
  <c r="R4381" i="1"/>
  <c r="P4381" i="1"/>
  <c r="L4381" i="1"/>
  <c r="R4380" i="1"/>
  <c r="P4380" i="1"/>
  <c r="L4380" i="1"/>
  <c r="W4379" i="1"/>
  <c r="F12136" i="15"/>
  <c r="D12136" i="15" s="1"/>
  <c r="G12136" i="15" s="1"/>
  <c r="D12135" i="15"/>
  <c r="G12135" i="15" s="1"/>
  <c r="W4378" i="1"/>
  <c r="W4377" i="1"/>
  <c r="T4377" i="1"/>
  <c r="R4377" i="1"/>
  <c r="P4377" i="1"/>
  <c r="L4377" i="1"/>
  <c r="W4376" i="1"/>
  <c r="T4376" i="1"/>
  <c r="R4376" i="1"/>
  <c r="P4376" i="1"/>
  <c r="L4376" i="1"/>
  <c r="W4375" i="1"/>
  <c r="D12121" i="15"/>
  <c r="G12121" i="15" s="1"/>
  <c r="T4380" i="1" l="1"/>
  <c r="D12126" i="15"/>
  <c r="F12126" i="15" s="1"/>
  <c r="W4372" i="1" l="1"/>
  <c r="P4372" i="1"/>
  <c r="J4372" i="1"/>
  <c r="T4372" i="1" s="1"/>
  <c r="W4371" i="1"/>
  <c r="P4371" i="1"/>
  <c r="J4371" i="1"/>
  <c r="L4371" i="1" s="1"/>
  <c r="W4370" i="1"/>
  <c r="P4370" i="1"/>
  <c r="J4370" i="1"/>
  <c r="T4370" i="1" s="1"/>
  <c r="W4369" i="1"/>
  <c r="P4369" i="1"/>
  <c r="J4369" i="1"/>
  <c r="T4369" i="1" s="1"/>
  <c r="W4368" i="1"/>
  <c r="P4368" i="1"/>
  <c r="J4368" i="1"/>
  <c r="L4368" i="1" s="1"/>
  <c r="W4374" i="1"/>
  <c r="W4373" i="1"/>
  <c r="T4373" i="1"/>
  <c r="W4367" i="1"/>
  <c r="P4367" i="1"/>
  <c r="J4367" i="1"/>
  <c r="L4367" i="1" s="1"/>
  <c r="W4366" i="1"/>
  <c r="T4367" i="1" l="1"/>
  <c r="R4371" i="1"/>
  <c r="T4371" i="1"/>
  <c r="T4368" i="1"/>
  <c r="R4368" i="1"/>
  <c r="L4372" i="1"/>
  <c r="R4372" i="1"/>
  <c r="L4370" i="1"/>
  <c r="R4370" i="1"/>
  <c r="L4369" i="1"/>
  <c r="R4369" i="1"/>
  <c r="R4367" i="1"/>
  <c r="T4350" i="1" l="1"/>
  <c r="U53" i="9"/>
  <c r="L53" i="9"/>
  <c r="H53" i="9"/>
  <c r="AA52" i="9" s="1"/>
  <c r="AF52" i="9" s="1" a="1"/>
  <c r="AF52" i="9" s="1"/>
  <c r="AC52" i="9"/>
  <c r="Y52" i="9"/>
  <c r="W52" i="9"/>
  <c r="H52" i="9"/>
  <c r="D52" i="9"/>
  <c r="C52" i="9"/>
  <c r="U51" i="9"/>
  <c r="L51" i="9"/>
  <c r="H51" i="9"/>
  <c r="AA50" i="9" s="1"/>
  <c r="AF50" i="9" s="1" a="1"/>
  <c r="AF50" i="9" s="1"/>
  <c r="AC50" i="9"/>
  <c r="Y50" i="9"/>
  <c r="W50" i="9"/>
  <c r="H50" i="9"/>
  <c r="D50" i="9"/>
  <c r="C50" i="9"/>
  <c r="U49" i="9"/>
  <c r="L49" i="9"/>
  <c r="H49" i="9"/>
  <c r="AA48" i="9" s="1"/>
  <c r="AF48" i="9" s="1" a="1"/>
  <c r="AF48" i="9" s="1"/>
  <c r="AC48" i="9"/>
  <c r="Y48" i="9"/>
  <c r="W48" i="9"/>
  <c r="H48" i="9"/>
  <c r="D48" i="9"/>
  <c r="C48" i="9"/>
  <c r="U47" i="9"/>
  <c r="L47" i="9"/>
  <c r="H47" i="9"/>
  <c r="AA46" i="9" s="1"/>
  <c r="AF46" i="9" s="1" a="1"/>
  <c r="AF46" i="9" s="1"/>
  <c r="AC46" i="9"/>
  <c r="Y46" i="9"/>
  <c r="W46" i="9"/>
  <c r="H46" i="9"/>
  <c r="D46" i="9"/>
  <c r="C46" i="9"/>
  <c r="U45" i="9"/>
  <c r="L45" i="9"/>
  <c r="H45" i="9"/>
  <c r="AA44" i="9" s="1"/>
  <c r="AF44" i="9" s="1" a="1"/>
  <c r="AF44" i="9" s="1"/>
  <c r="AC44" i="9"/>
  <c r="Y44" i="9"/>
  <c r="W44" i="9"/>
  <c r="H44" i="9"/>
  <c r="D44" i="9"/>
  <c r="C44" i="9"/>
  <c r="U43" i="9"/>
  <c r="L43" i="9"/>
  <c r="H43" i="9"/>
  <c r="AA42" i="9" s="1"/>
  <c r="AF42" i="9" s="1" a="1"/>
  <c r="AF42" i="9" s="1"/>
  <c r="AC42" i="9"/>
  <c r="Y42" i="9"/>
  <c r="W42" i="9"/>
  <c r="H42" i="9"/>
  <c r="D42" i="9"/>
  <c r="C42" i="9"/>
  <c r="U41" i="9"/>
  <c r="L41" i="9"/>
  <c r="H41" i="9"/>
  <c r="AA40" i="9" s="1"/>
  <c r="AF40" i="9" s="1" a="1"/>
  <c r="AF40" i="9" s="1"/>
  <c r="AC40" i="9"/>
  <c r="Y40" i="9"/>
  <c r="W40" i="9"/>
  <c r="H40" i="9"/>
  <c r="D40" i="9"/>
  <c r="C40" i="9"/>
  <c r="U39" i="9"/>
  <c r="L39" i="9"/>
  <c r="H39" i="9"/>
  <c r="AA38" i="9" s="1"/>
  <c r="AF38" i="9" s="1" a="1"/>
  <c r="AF38" i="9" s="1"/>
  <c r="AC38" i="9"/>
  <c r="Y38" i="9"/>
  <c r="W38" i="9"/>
  <c r="H38" i="9"/>
  <c r="D38" i="9"/>
  <c r="C38" i="9"/>
  <c r="U37" i="9"/>
  <c r="L37" i="9"/>
  <c r="H37" i="9"/>
  <c r="AA36" i="9" s="1"/>
  <c r="AF36" i="9" s="1" a="1"/>
  <c r="AF36" i="9" s="1"/>
  <c r="AC36" i="9"/>
  <c r="Y36" i="9"/>
  <c r="W36" i="9"/>
  <c r="H36" i="9"/>
  <c r="D36" i="9"/>
  <c r="C36" i="9"/>
  <c r="U35" i="9"/>
  <c r="L35" i="9"/>
  <c r="H35" i="9"/>
  <c r="AA34" i="9" s="1"/>
  <c r="AF34" i="9" s="1" a="1"/>
  <c r="AF34" i="9" s="1"/>
  <c r="AC34" i="9"/>
  <c r="Y34" i="9"/>
  <c r="W34" i="9"/>
  <c r="H34" i="9"/>
  <c r="D34" i="9"/>
  <c r="C34" i="9"/>
  <c r="U33" i="9"/>
  <c r="L33" i="9"/>
  <c r="H33" i="9"/>
  <c r="AA32" i="9" s="1"/>
  <c r="AF32" i="9" s="1" a="1"/>
  <c r="AF32" i="9" s="1"/>
  <c r="AC32" i="9"/>
  <c r="Y32" i="9"/>
  <c r="W32" i="9"/>
  <c r="H32" i="9"/>
  <c r="D32" i="9"/>
  <c r="C32" i="9"/>
  <c r="U31" i="9"/>
  <c r="L31" i="9"/>
  <c r="H31" i="9"/>
  <c r="AA30" i="9" s="1"/>
  <c r="AF30" i="9" s="1" a="1"/>
  <c r="AF30" i="9" s="1"/>
  <c r="AC30" i="9"/>
  <c r="Y30" i="9"/>
  <c r="W30" i="9"/>
  <c r="H30" i="9"/>
  <c r="D30" i="9"/>
  <c r="C30" i="9"/>
  <c r="U29" i="9"/>
  <c r="L29" i="9"/>
  <c r="H29" i="9"/>
  <c r="AA28" i="9" s="1"/>
  <c r="AF28" i="9" s="1" a="1"/>
  <c r="AF28" i="9" s="1"/>
  <c r="AC28" i="9"/>
  <c r="Y28" i="9"/>
  <c r="W28" i="9"/>
  <c r="H28" i="9"/>
  <c r="D28" i="9"/>
  <c r="C28" i="9"/>
  <c r="U27" i="9"/>
  <c r="L27" i="9"/>
  <c r="H27" i="9"/>
  <c r="AA26" i="9" s="1"/>
  <c r="AF26" i="9" s="1" a="1"/>
  <c r="AF26" i="9" s="1"/>
  <c r="AC26" i="9"/>
  <c r="Y26" i="9"/>
  <c r="W26" i="9"/>
  <c r="H26" i="9"/>
  <c r="D26" i="9"/>
  <c r="D109" i="2"/>
  <c r="D99" i="2"/>
  <c r="D98" i="2"/>
  <c r="E89" i="2"/>
  <c r="E88" i="2"/>
  <c r="G96" i="4"/>
  <c r="F96" i="4"/>
  <c r="E96" i="4"/>
  <c r="C96" i="4"/>
  <c r="B96" i="4"/>
  <c r="G95" i="4"/>
  <c r="F95" i="4"/>
  <c r="E95" i="4"/>
  <c r="D95" i="4"/>
  <c r="C95" i="4"/>
  <c r="B95" i="4"/>
  <c r="G94" i="4"/>
  <c r="F94" i="4"/>
  <c r="E94" i="4"/>
  <c r="D94" i="4"/>
  <c r="C94" i="4"/>
  <c r="B94" i="4"/>
  <c r="U90" i="4"/>
  <c r="R90" i="4"/>
  <c r="Q90" i="4"/>
  <c r="O90" i="4"/>
  <c r="K90" i="4"/>
  <c r="U89" i="4"/>
  <c r="R89" i="4"/>
  <c r="Q89" i="4"/>
  <c r="O89" i="4"/>
  <c r="K89" i="4"/>
  <c r="U88" i="4"/>
  <c r="R88" i="4"/>
  <c r="Q88" i="4"/>
  <c r="O88" i="4"/>
  <c r="K88" i="4"/>
  <c r="D12125" i="15"/>
  <c r="F12125" i="15" s="1"/>
  <c r="E12116" i="15"/>
  <c r="E12111" i="15"/>
  <c r="D12107" i="15"/>
  <c r="F12107" i="15" s="1"/>
  <c r="E12097" i="15"/>
  <c r="E12096" i="15"/>
  <c r="C12091" i="15"/>
  <c r="F12091" i="15" s="1"/>
  <c r="E12090" i="15"/>
  <c r="C12090" i="15" s="1"/>
  <c r="F12090" i="15" s="1"/>
  <c r="F12085" i="15"/>
  <c r="D12085" i="15" s="1"/>
  <c r="G12085" i="15" s="1"/>
  <c r="D12084" i="15"/>
  <c r="G12084" i="15" s="1"/>
  <c r="F12083" i="15"/>
  <c r="D12083" i="15" s="1"/>
  <c r="G12083" i="15" s="1"/>
  <c r="D12082" i="15"/>
  <c r="G12082" i="15" s="1"/>
  <c r="C12076" i="15"/>
  <c r="F12076" i="15" s="1"/>
  <c r="C12075" i="15"/>
  <c r="F12075" i="15" s="1"/>
  <c r="F12070" i="15"/>
  <c r="D12070" i="15" s="1"/>
  <c r="G12070" i="15" s="1"/>
  <c r="D12069" i="15"/>
  <c r="G12069" i="15" s="1"/>
  <c r="F12068" i="15"/>
  <c r="D12068" i="15" s="1"/>
  <c r="G12068" i="15" s="1"/>
  <c r="D12067" i="15"/>
  <c r="G12067" i="15" s="1"/>
  <c r="G12060" i="15"/>
  <c r="E12054" i="15"/>
  <c r="F12046" i="15"/>
  <c r="F12045" i="15"/>
  <c r="F12044" i="15"/>
  <c r="F12042" i="15"/>
  <c r="F12041" i="15"/>
  <c r="F12040" i="15"/>
  <c r="F12027" i="15"/>
  <c r="F12026" i="15"/>
  <c r="F12025" i="15"/>
  <c r="F12018" i="15"/>
  <c r="F12015" i="15"/>
  <c r="F12014" i="15"/>
  <c r="F12013" i="15"/>
  <c r="D12007" i="15"/>
  <c r="G12007" i="15" s="1"/>
  <c r="F11989" i="15"/>
  <c r="F11985" i="15"/>
  <c r="D11985" i="15"/>
  <c r="G11985" i="15" s="1"/>
  <c r="D11984" i="15"/>
  <c r="G11984" i="15" s="1"/>
  <c r="F11979" i="15"/>
  <c r="F11978" i="15"/>
  <c r="F11977" i="15"/>
  <c r="F11973" i="15"/>
  <c r="F11969" i="15"/>
  <c r="G11962" i="15"/>
  <c r="G11961" i="15"/>
  <c r="G11959" i="15"/>
  <c r="G11958" i="15"/>
  <c r="G11957" i="15"/>
  <c r="G11956" i="15"/>
  <c r="F11951" i="15"/>
  <c r="D11951" i="15" s="1"/>
  <c r="G11951" i="15" s="1"/>
  <c r="D11950" i="15"/>
  <c r="G11950" i="15" s="1"/>
  <c r="C11946" i="15"/>
  <c r="B11946" i="15" s="1"/>
  <c r="D11946" i="15" s="1"/>
  <c r="C11944" i="15"/>
  <c r="B11944" i="15" s="1"/>
  <c r="D11944" i="15" s="1"/>
  <c r="C11943" i="15"/>
  <c r="B11943" i="15" s="1"/>
  <c r="D11943" i="15" s="1"/>
  <c r="C11942" i="15"/>
  <c r="B11942" i="15" s="1"/>
  <c r="D11942" i="15" s="1"/>
  <c r="C11941" i="15"/>
  <c r="B11941" i="15" s="1"/>
  <c r="D11941" i="15" s="1"/>
  <c r="C11940" i="15"/>
  <c r="B11940" i="15" s="1"/>
  <c r="D11940" i="15" s="1"/>
  <c r="C11939" i="15"/>
  <c r="B11939" i="15" s="1"/>
  <c r="D11939" i="15" s="1"/>
  <c r="C11938" i="15"/>
  <c r="B11938" i="15" s="1"/>
  <c r="D11938" i="15" s="1"/>
  <c r="C11937" i="15"/>
  <c r="B11937" i="15" s="1"/>
  <c r="D11937" i="15" s="1"/>
  <c r="C11936" i="15"/>
  <c r="B11936" i="15" s="1"/>
  <c r="D11936" i="15" s="1"/>
  <c r="C11935" i="15"/>
  <c r="B11935" i="15" s="1"/>
  <c r="D11935" i="15" s="1"/>
  <c r="C11932" i="15"/>
  <c r="B11932" i="15" s="1"/>
  <c r="D11932" i="15" s="1"/>
  <c r="C11931" i="15"/>
  <c r="B11931" i="15" s="1"/>
  <c r="D11931" i="15" s="1"/>
  <c r="D11916" i="15"/>
  <c r="F11916" i="15" s="1"/>
  <c r="F11915" i="15"/>
  <c r="F11910" i="15"/>
  <c r="E11905" i="15"/>
  <c r="E11904" i="15"/>
  <c r="F11900" i="15"/>
  <c r="D11900" i="15" s="1"/>
  <c r="G11900" i="15" s="1"/>
  <c r="D11899" i="15"/>
  <c r="G11899" i="15" s="1"/>
  <c r="E11875" i="15"/>
  <c r="E11874" i="15"/>
  <c r="E11873" i="15"/>
  <c r="E11872" i="15"/>
  <c r="E11871" i="15"/>
  <c r="E11870" i="15"/>
  <c r="W11852" i="15"/>
  <c r="W11851" i="15"/>
  <c r="T11851" i="15"/>
  <c r="R11851" i="15"/>
  <c r="P11851" i="15"/>
  <c r="L11851" i="15"/>
  <c r="W11850" i="15"/>
  <c r="T11850" i="15"/>
  <c r="R11850" i="15"/>
  <c r="P11850" i="15"/>
  <c r="L11850" i="15"/>
  <c r="W11849" i="15"/>
  <c r="T11849" i="15"/>
  <c r="R11849" i="15"/>
  <c r="P11849" i="15"/>
  <c r="L11849" i="15"/>
  <c r="W11848" i="15"/>
  <c r="T11848" i="15"/>
  <c r="R11848" i="15"/>
  <c r="P11848" i="15"/>
  <c r="L11848" i="15"/>
  <c r="W11847" i="15"/>
  <c r="T11847" i="15"/>
  <c r="R11847" i="15"/>
  <c r="P11847" i="15"/>
  <c r="L11847" i="15"/>
  <c r="W11846" i="15"/>
  <c r="T11846" i="15"/>
  <c r="R11846" i="15"/>
  <c r="P11846" i="15"/>
  <c r="L11846" i="15"/>
  <c r="W11845" i="15"/>
  <c r="T11845" i="15"/>
  <c r="R11845" i="15"/>
  <c r="P11845" i="15"/>
  <c r="L11845" i="15"/>
  <c r="W11844" i="15"/>
  <c r="T11844" i="15"/>
  <c r="R11844" i="15"/>
  <c r="P11844" i="15"/>
  <c r="L11844" i="15"/>
  <c r="W11843" i="15"/>
  <c r="T11843" i="15"/>
  <c r="R11843" i="15"/>
  <c r="P11843" i="15"/>
  <c r="L11843" i="15"/>
  <c r="W11842" i="15"/>
  <c r="T11842" i="15"/>
  <c r="P11842" i="15"/>
  <c r="E11838" i="15"/>
  <c r="D11838" i="15"/>
  <c r="F11838" i="15" s="1"/>
  <c r="D11837" i="15"/>
  <c r="F11837" i="15" s="1"/>
  <c r="E11836" i="15"/>
  <c r="D11836" i="15" s="1"/>
  <c r="F11836" i="15" s="1"/>
  <c r="D11835" i="15"/>
  <c r="F11835" i="15" s="1"/>
  <c r="E11834" i="15"/>
  <c r="D11834" i="15" s="1"/>
  <c r="F11834" i="15" s="1"/>
  <c r="D11833" i="15"/>
  <c r="F11833" i="15" s="1"/>
  <c r="E11832" i="15"/>
  <c r="D11832" i="15" s="1"/>
  <c r="F11832" i="15" s="1"/>
  <c r="D11831" i="15"/>
  <c r="F11831" i="15" s="1"/>
  <c r="E11830" i="15"/>
  <c r="D11830" i="15" s="1"/>
  <c r="F11830" i="15" s="1"/>
  <c r="D11829" i="15"/>
  <c r="F11829" i="15" s="1"/>
  <c r="E11828" i="15"/>
  <c r="D11828" i="15" s="1"/>
  <c r="F11828" i="15" s="1"/>
  <c r="D11827" i="15"/>
  <c r="F11827" i="15" s="1"/>
  <c r="E11826" i="15"/>
  <c r="D11826" i="15" s="1"/>
  <c r="F11826" i="15" s="1"/>
  <c r="D11825" i="15"/>
  <c r="F11825" i="15" s="1"/>
  <c r="E11824" i="15"/>
  <c r="D11824" i="15" s="1"/>
  <c r="F11824" i="15" s="1"/>
  <c r="D11823" i="15"/>
  <c r="F11823" i="15" s="1"/>
  <c r="E11818" i="15"/>
  <c r="E11813" i="15"/>
  <c r="E11812" i="15"/>
  <c r="E11811" i="15"/>
  <c r="E11810" i="15"/>
  <c r="E11809" i="15"/>
  <c r="E11808" i="15"/>
  <c r="E11807" i="15"/>
  <c r="E11806" i="15"/>
  <c r="E11805" i="15"/>
  <c r="E11799" i="15"/>
  <c r="E11798" i="15"/>
  <c r="E11797" i="15"/>
  <c r="E11796" i="15"/>
  <c r="E11795" i="15"/>
  <c r="E11794" i="15"/>
  <c r="E11793" i="15"/>
  <c r="E11792" i="15"/>
  <c r="E11788" i="15"/>
  <c r="C11788" i="15" s="1"/>
  <c r="F11788" i="15" s="1"/>
  <c r="E11787" i="15"/>
  <c r="C11787" i="15" s="1"/>
  <c r="F11787" i="15" s="1"/>
  <c r="E11782" i="15"/>
  <c r="E11781" i="15"/>
  <c r="E11780" i="15"/>
  <c r="E11779" i="15"/>
  <c r="E11778" i="15"/>
  <c r="E11777" i="15"/>
  <c r="E11776" i="15"/>
  <c r="E11759" i="15"/>
  <c r="E11758" i="15"/>
  <c r="F11754" i="15"/>
  <c r="F11750" i="15"/>
  <c r="D11750" i="15" s="1"/>
  <c r="G11750" i="15" s="1"/>
  <c r="D11749" i="15"/>
  <c r="G11749" i="15" s="1"/>
  <c r="D11744" i="15"/>
  <c r="E11744" i="15" s="1"/>
  <c r="D11743" i="15"/>
  <c r="E11743" i="15" s="1"/>
  <c r="E11742" i="15"/>
  <c r="D11741" i="15"/>
  <c r="C11741" i="15" s="1"/>
  <c r="E11741" i="15" s="1"/>
  <c r="E11735" i="15"/>
  <c r="F11735" i="15" s="1"/>
  <c r="C11730" i="15"/>
  <c r="D11730" i="15" s="1"/>
  <c r="F11725" i="15"/>
  <c r="H11725" i="15" s="1"/>
  <c r="F11724" i="15"/>
  <c r="H11724" i="15" s="1"/>
  <c r="F11723" i="15"/>
  <c r="H11723" i="15" s="1"/>
  <c r="F11722" i="15"/>
  <c r="H11722" i="15" s="1"/>
  <c r="F11721" i="15"/>
  <c r="H11721" i="15" s="1"/>
  <c r="F11720" i="15"/>
  <c r="H11720" i="15" s="1"/>
  <c r="F11719" i="15"/>
  <c r="H11719" i="15" s="1"/>
  <c r="F11718" i="15"/>
  <c r="H11718" i="15" s="1"/>
  <c r="F11717" i="15"/>
  <c r="H11717" i="15" s="1"/>
  <c r="F11716" i="15"/>
  <c r="H11716" i="15" s="1"/>
  <c r="F11715" i="15"/>
  <c r="H11715" i="15" s="1"/>
  <c r="F11714" i="15"/>
  <c r="H11714" i="15" s="1"/>
  <c r="F11713" i="15"/>
  <c r="H11713" i="15" s="1"/>
  <c r="F11712" i="15"/>
  <c r="H11712" i="15" s="1"/>
  <c r="F11711" i="15"/>
  <c r="H11711" i="15" s="1"/>
  <c r="F11710" i="15"/>
  <c r="H11710" i="15" s="1"/>
  <c r="F11709" i="15"/>
  <c r="H11709" i="15" s="1"/>
  <c r="F11708" i="15"/>
  <c r="H11708" i="15" s="1"/>
  <c r="F11707" i="15"/>
  <c r="H11707" i="15" s="1"/>
  <c r="F11706" i="15"/>
  <c r="H11706" i="15" s="1"/>
  <c r="F11705" i="15"/>
  <c r="H11705" i="15" s="1"/>
  <c r="F11704" i="15"/>
  <c r="H11704" i="15" s="1"/>
  <c r="F11703" i="15"/>
  <c r="H11703" i="15" s="1"/>
  <c r="F11702" i="15"/>
  <c r="H11702" i="15" s="1"/>
  <c r="F11694" i="15"/>
  <c r="D11694" i="15" s="1"/>
  <c r="G11694" i="15" s="1"/>
  <c r="D11693" i="15"/>
  <c r="G11693" i="15" s="1"/>
  <c r="F11692" i="15"/>
  <c r="D11692" i="15" s="1"/>
  <c r="G11692" i="15" s="1"/>
  <c r="D11691" i="15"/>
  <c r="G11691" i="15" s="1"/>
  <c r="F11690" i="15"/>
  <c r="D11690" i="15" s="1"/>
  <c r="G11690" i="15" s="1"/>
  <c r="D11689" i="15"/>
  <c r="G11689" i="15" s="1"/>
  <c r="E11684" i="15"/>
  <c r="G11684" i="15" s="1"/>
  <c r="F11679" i="15"/>
  <c r="E11673" i="15"/>
  <c r="E11672" i="15"/>
  <c r="E11671" i="15"/>
  <c r="F11665" i="15"/>
  <c r="D11665" i="15" s="1"/>
  <c r="G11665" i="15" s="1"/>
  <c r="D11664" i="15"/>
  <c r="G11664" i="15" s="1"/>
  <c r="F11663" i="15"/>
  <c r="D11663" i="15" s="1"/>
  <c r="G11663" i="15" s="1"/>
  <c r="D11662" i="15"/>
  <c r="G11662" i="15" s="1"/>
  <c r="F11661" i="15"/>
  <c r="D11661" i="15" s="1"/>
  <c r="G11661" i="15" s="1"/>
  <c r="D11660" i="15"/>
  <c r="G11660" i="15" s="1"/>
  <c r="F11659" i="15"/>
  <c r="D11659" i="15" s="1"/>
  <c r="G11659" i="15" s="1"/>
  <c r="D11658" i="15"/>
  <c r="G11658" i="15" s="1"/>
  <c r="F11657" i="15"/>
  <c r="D11657" i="15" s="1"/>
  <c r="G11657" i="15" s="1"/>
  <c r="D11656" i="15"/>
  <c r="G11656" i="15" s="1"/>
  <c r="F11655" i="15"/>
  <c r="D11655" i="15" s="1"/>
  <c r="G11655" i="15" s="1"/>
  <c r="D11654" i="15"/>
  <c r="G11654" i="15" s="1"/>
  <c r="F11653" i="15"/>
  <c r="D11653" i="15" s="1"/>
  <c r="G11653" i="15" s="1"/>
  <c r="D11652" i="15"/>
  <c r="G11652" i="15" s="1"/>
  <c r="F11651" i="15"/>
  <c r="D11651" i="15" s="1"/>
  <c r="G11651" i="15" s="1"/>
  <c r="D11650" i="15"/>
  <c r="G11650" i="15" s="1"/>
  <c r="F11649" i="15"/>
  <c r="D11649" i="15" s="1"/>
  <c r="G11649" i="15" s="1"/>
  <c r="D11648" i="15"/>
  <c r="G11648" i="15" s="1"/>
  <c r="F11647" i="15"/>
  <c r="D11647" i="15" s="1"/>
  <c r="G11647" i="15" s="1"/>
  <c r="D11646" i="15"/>
  <c r="G11646" i="15" s="1"/>
  <c r="F11645" i="15"/>
  <c r="D11645" i="15" s="1"/>
  <c r="G11645" i="15" s="1"/>
  <c r="D11644" i="15"/>
  <c r="G11644" i="15" s="1"/>
  <c r="F11643" i="15"/>
  <c r="D11643" i="15" s="1"/>
  <c r="G11643" i="15" s="1"/>
  <c r="D11642" i="15"/>
  <c r="G11642" i="15" s="1"/>
  <c r="F11641" i="15"/>
  <c r="D11641" i="15" s="1"/>
  <c r="G11641" i="15" s="1"/>
  <c r="D11640" i="15"/>
  <c r="G11640" i="15" s="1"/>
  <c r="F11639" i="15"/>
  <c r="D11639" i="15" s="1"/>
  <c r="G11639" i="15" s="1"/>
  <c r="D11638" i="15"/>
  <c r="G11638" i="15" s="1"/>
  <c r="F11637" i="15"/>
  <c r="D11637" i="15" s="1"/>
  <c r="G11637" i="15" s="1"/>
  <c r="D11636" i="15"/>
  <c r="G11636" i="15" s="1"/>
  <c r="F11635" i="15"/>
  <c r="D11635" i="15" s="1"/>
  <c r="G11635" i="15" s="1"/>
  <c r="D11634" i="15"/>
  <c r="G11634" i="15" s="1"/>
  <c r="F11633" i="15"/>
  <c r="D11633" i="15" s="1"/>
  <c r="G11633" i="15" s="1"/>
  <c r="D11632" i="15"/>
  <c r="G11632" i="15" s="1"/>
  <c r="F11631" i="15"/>
  <c r="D11631" i="15" s="1"/>
  <c r="G11631" i="15" s="1"/>
  <c r="D11630" i="15"/>
  <c r="G11630" i="15" s="1"/>
  <c r="F11629" i="15"/>
  <c r="D11629" i="15" s="1"/>
  <c r="G11629" i="15" s="1"/>
  <c r="D11628" i="15"/>
  <c r="G11628" i="15" s="1"/>
  <c r="F11627" i="15"/>
  <c r="D11627" i="15" s="1"/>
  <c r="G11627" i="15" s="1"/>
  <c r="D11626" i="15"/>
  <c r="G11626" i="15" s="1"/>
  <c r="F11625" i="15"/>
  <c r="D11625" i="15" s="1"/>
  <c r="G11625" i="15" s="1"/>
  <c r="D11624" i="15"/>
  <c r="G11624" i="15" s="1"/>
  <c r="F11623" i="15"/>
  <c r="D11623" i="15" s="1"/>
  <c r="G11623" i="15" s="1"/>
  <c r="D11622" i="15"/>
  <c r="G11622" i="15" s="1"/>
  <c r="F11621" i="15"/>
  <c r="D11621" i="15" s="1"/>
  <c r="G11621" i="15" s="1"/>
  <c r="D11620" i="15"/>
  <c r="G11620" i="15" s="1"/>
  <c r="F11619" i="15"/>
  <c r="D11619" i="15" s="1"/>
  <c r="G11619" i="15" s="1"/>
  <c r="D11618" i="15"/>
  <c r="G11618" i="15" s="1"/>
  <c r="F11617" i="15"/>
  <c r="D11617" i="15" s="1"/>
  <c r="G11617" i="15" s="1"/>
  <c r="D11616" i="15"/>
  <c r="G11616" i="15" s="1"/>
  <c r="F11615" i="15"/>
  <c r="D11615" i="15" s="1"/>
  <c r="G11615" i="15" s="1"/>
  <c r="D11614" i="15"/>
  <c r="G11614" i="15" s="1"/>
  <c r="F11613" i="15"/>
  <c r="D11613" i="15" s="1"/>
  <c r="G11613" i="15" s="1"/>
  <c r="D11612" i="15"/>
  <c r="G11612" i="15" s="1"/>
  <c r="F11611" i="15"/>
  <c r="D11611" i="15" s="1"/>
  <c r="G11611" i="15" s="1"/>
  <c r="D11610" i="15"/>
  <c r="G11610" i="15" s="1"/>
  <c r="F11609" i="15"/>
  <c r="D11609" i="15" s="1"/>
  <c r="G11609" i="15" s="1"/>
  <c r="D11608" i="15"/>
  <c r="G11608" i="15" s="1"/>
  <c r="L11595" i="15"/>
  <c r="K11595" i="15"/>
  <c r="I11595" i="15"/>
  <c r="E11595" i="15"/>
  <c r="L11594" i="15"/>
  <c r="K11594" i="15"/>
  <c r="I11594" i="15"/>
  <c r="E11594" i="15"/>
  <c r="I11593" i="15"/>
  <c r="F11588" i="15"/>
  <c r="F11587" i="15"/>
  <c r="F11582" i="15"/>
  <c r="F11581" i="15"/>
  <c r="F11563" i="15"/>
  <c r="E11557" i="15"/>
  <c r="E11556" i="15"/>
  <c r="F11551" i="15"/>
  <c r="F11550" i="15"/>
  <c r="F11549" i="15"/>
  <c r="F11548" i="15"/>
  <c r="F11547" i="15"/>
  <c r="F11546" i="15"/>
  <c r="F11545" i="15"/>
  <c r="F11544" i="15"/>
  <c r="E11539" i="15"/>
  <c r="E11538" i="15"/>
  <c r="E11537" i="15"/>
  <c r="E11536" i="15"/>
  <c r="E11535" i="15"/>
  <c r="E11534" i="15"/>
  <c r="E11533" i="15"/>
  <c r="F11513" i="15"/>
  <c r="F11511" i="15"/>
  <c r="F11510" i="15"/>
  <c r="F11509" i="15"/>
  <c r="F11508" i="15"/>
  <c r="F11507" i="15"/>
  <c r="C11501" i="15"/>
  <c r="F11501" i="15" s="1"/>
  <c r="E11500" i="15"/>
  <c r="C11500" i="15" s="1"/>
  <c r="F11500" i="15" s="1"/>
  <c r="C11498" i="15"/>
  <c r="F11498" i="15" s="1"/>
  <c r="E11497" i="15"/>
  <c r="C11497" i="15" s="1"/>
  <c r="F11497" i="15" s="1"/>
  <c r="F11492" i="15"/>
  <c r="F11491" i="15"/>
  <c r="D11482" i="15"/>
  <c r="C11482" i="15" s="1"/>
  <c r="E11482" i="15" s="1"/>
  <c r="D11481" i="15"/>
  <c r="C11481" i="15" s="1"/>
  <c r="E11481" i="15" s="1"/>
  <c r="D11480" i="15"/>
  <c r="C11480" i="15" s="1"/>
  <c r="E11480" i="15" s="1"/>
  <c r="D11479" i="15"/>
  <c r="C11479" i="15" s="1"/>
  <c r="E11479" i="15" s="1"/>
  <c r="D11478" i="15"/>
  <c r="E11478" i="15" s="1"/>
  <c r="D11473" i="15"/>
  <c r="C11473" i="15" s="1"/>
  <c r="E11473" i="15" s="1"/>
  <c r="D11472" i="15"/>
  <c r="C11472" i="15"/>
  <c r="E11472" i="15" s="1"/>
  <c r="D11471" i="15"/>
  <c r="C11471" i="15" s="1"/>
  <c r="E11471" i="15" s="1"/>
  <c r="D11470" i="15"/>
  <c r="C11470" i="15" s="1"/>
  <c r="E11470" i="15" s="1"/>
  <c r="D11469" i="15"/>
  <c r="C11469" i="15" s="1"/>
  <c r="E11469" i="15" s="1"/>
  <c r="F11464" i="15"/>
  <c r="E11455" i="15"/>
  <c r="G11455" i="15" s="1"/>
  <c r="E11454" i="15"/>
  <c r="G11454" i="15" s="1"/>
  <c r="E11453" i="15"/>
  <c r="G11453" i="15" s="1"/>
  <c r="E11452" i="15"/>
  <c r="G11452" i="15" s="1"/>
  <c r="E11451" i="15"/>
  <c r="G11451" i="15" s="1"/>
  <c r="E11450" i="15"/>
  <c r="G11450" i="15" s="1"/>
  <c r="E11449" i="15"/>
  <c r="G11449" i="15" s="1"/>
  <c r="E11448" i="15"/>
  <c r="G11448" i="15" s="1"/>
  <c r="E11447" i="15"/>
  <c r="G11447" i="15" s="1"/>
  <c r="E11446" i="15"/>
  <c r="G11446" i="15" s="1"/>
  <c r="E11445" i="15"/>
  <c r="G11445" i="15" s="1"/>
  <c r="E11444" i="15"/>
  <c r="G11444" i="15" s="1"/>
  <c r="E11443" i="15"/>
  <c r="G11443" i="15" s="1"/>
  <c r="E11442" i="15"/>
  <c r="G11442" i="15" s="1"/>
  <c r="E11441" i="15"/>
  <c r="G11441" i="15" s="1"/>
  <c r="E11440" i="15"/>
  <c r="G11440" i="15" s="1"/>
  <c r="E11439" i="15"/>
  <c r="G11439" i="15" s="1"/>
  <c r="E11438" i="15"/>
  <c r="G11438" i="15" s="1"/>
  <c r="E11437" i="15"/>
  <c r="G11437" i="15" s="1"/>
  <c r="E11436" i="15"/>
  <c r="G11436" i="15" s="1"/>
  <c r="E11435" i="15"/>
  <c r="G11435" i="15" s="1"/>
  <c r="E11434" i="15"/>
  <c r="G11434" i="15" s="1"/>
  <c r="E11433" i="15"/>
  <c r="G11433" i="15" s="1"/>
  <c r="E11432" i="15"/>
  <c r="G11432" i="15" s="1"/>
  <c r="E11431" i="15"/>
  <c r="G11431" i="15" s="1"/>
  <c r="E11430" i="15"/>
  <c r="G11430" i="15" s="1"/>
  <c r="E11429" i="15"/>
  <c r="G11429" i="15" s="1"/>
  <c r="E11428" i="15"/>
  <c r="G11428" i="15" s="1"/>
  <c r="G11427" i="15"/>
  <c r="G11426" i="15"/>
  <c r="E11425" i="15"/>
  <c r="G11425" i="15" s="1"/>
  <c r="E11424" i="15"/>
  <c r="G11424" i="15" s="1"/>
  <c r="E11423" i="15"/>
  <c r="G11423" i="15" s="1"/>
  <c r="E11422" i="15"/>
  <c r="G11422" i="15" s="1"/>
  <c r="E11421" i="15"/>
  <c r="G11421" i="15" s="1"/>
  <c r="E11420" i="15"/>
  <c r="G11420" i="15" s="1"/>
  <c r="E11419" i="15"/>
  <c r="G11419" i="15" s="1"/>
  <c r="E11418" i="15"/>
  <c r="G11418" i="15" s="1"/>
  <c r="E11417" i="15"/>
  <c r="G11417" i="15" s="1"/>
  <c r="E11416" i="15"/>
  <c r="G11416" i="15" s="1"/>
  <c r="E11415" i="15"/>
  <c r="G11415" i="15" s="1"/>
  <c r="E11414" i="15"/>
  <c r="G11414" i="15" s="1"/>
  <c r="E11413" i="15"/>
  <c r="G11413" i="15" s="1"/>
  <c r="E11412" i="15"/>
  <c r="G11412" i="15" s="1"/>
  <c r="E11411" i="15"/>
  <c r="G11411" i="15" s="1"/>
  <c r="E11410" i="15"/>
  <c r="G11410" i="15" s="1"/>
  <c r="E11409" i="15"/>
  <c r="G11409" i="15" s="1"/>
  <c r="E11408" i="15"/>
  <c r="G11408" i="15" s="1"/>
  <c r="E11407" i="15"/>
  <c r="G11407" i="15" s="1"/>
  <c r="E11406" i="15"/>
  <c r="G11406" i="15" s="1"/>
  <c r="E11405" i="15"/>
  <c r="G11405" i="15" s="1"/>
  <c r="E11404" i="15"/>
  <c r="G11404" i="15" s="1"/>
  <c r="E11403" i="15"/>
  <c r="G11403" i="15" s="1"/>
  <c r="E11402" i="15"/>
  <c r="G11402" i="15" s="1"/>
  <c r="E11397" i="15"/>
  <c r="D11397" i="15" s="1"/>
  <c r="F11397" i="15" s="1"/>
  <c r="D11396" i="15"/>
  <c r="F11396" i="15" s="1"/>
  <c r="E11395" i="15"/>
  <c r="D11395" i="15" s="1"/>
  <c r="F11395" i="15" s="1"/>
  <c r="D11394" i="15"/>
  <c r="F11394" i="15" s="1"/>
  <c r="D11389" i="15"/>
  <c r="G11389" i="15" s="1"/>
  <c r="D11388" i="15"/>
  <c r="G11388" i="15" s="1"/>
  <c r="D11387" i="15"/>
  <c r="G11387" i="15" s="1"/>
  <c r="D11386" i="15"/>
  <c r="G11386" i="15" s="1"/>
  <c r="D11385" i="15"/>
  <c r="G11385" i="15" s="1"/>
  <c r="D11384" i="15"/>
  <c r="G11384" i="15" s="1"/>
  <c r="D11379" i="15"/>
  <c r="F11379" i="15" s="1"/>
  <c r="D11378" i="15"/>
  <c r="F11378" i="15" s="1"/>
  <c r="E11373" i="15"/>
  <c r="E11372" i="15"/>
  <c r="E11371" i="15"/>
  <c r="E11370" i="15"/>
  <c r="E11369" i="15"/>
  <c r="E11368" i="15"/>
  <c r="F11363" i="15"/>
  <c r="D11363" i="15" s="1"/>
  <c r="G11363" i="15" s="1"/>
  <c r="D11362" i="15"/>
  <c r="G11362" i="15" s="1"/>
  <c r="F11361" i="15"/>
  <c r="D11361" i="15" s="1"/>
  <c r="G11361" i="15" s="1"/>
  <c r="D11360" i="15"/>
  <c r="G11360" i="15" s="1"/>
  <c r="F11359" i="15"/>
  <c r="D11359" i="15" s="1"/>
  <c r="G11359" i="15" s="1"/>
  <c r="D11358" i="15"/>
  <c r="G11358" i="15" s="1"/>
  <c r="E11347" i="15"/>
  <c r="D11347" i="15" s="1"/>
  <c r="F11347" i="15" s="1"/>
  <c r="D11346" i="15"/>
  <c r="F11346" i="15" s="1"/>
  <c r="E11345" i="15"/>
  <c r="D11345" i="15" s="1"/>
  <c r="F11345" i="15" s="1"/>
  <c r="D11344" i="15"/>
  <c r="F11344" i="15" s="1"/>
  <c r="F11339" i="15"/>
  <c r="D11339" i="15" s="1"/>
  <c r="G11339" i="15" s="1"/>
  <c r="D11338" i="15"/>
  <c r="G11338" i="15" s="1"/>
  <c r="F11337" i="15"/>
  <c r="D11337" i="15" s="1"/>
  <c r="G11337" i="15" s="1"/>
  <c r="D11336" i="15"/>
  <c r="G11336" i="15" s="1"/>
  <c r="F11335" i="15"/>
  <c r="D11335" i="15" s="1"/>
  <c r="G11335" i="15" s="1"/>
  <c r="D11334" i="15"/>
  <c r="G11334" i="15" s="1"/>
  <c r="F11333" i="15"/>
  <c r="D11333" i="15" s="1"/>
  <c r="G11333" i="15" s="1"/>
  <c r="D11332" i="15"/>
  <c r="G11332" i="15" s="1"/>
  <c r="F11327" i="15"/>
  <c r="D11327" i="15" s="1"/>
  <c r="G11327" i="15" s="1"/>
  <c r="D11326" i="15"/>
  <c r="G11326" i="15" s="1"/>
  <c r="F11311" i="15"/>
  <c r="F11310" i="15"/>
  <c r="F11298" i="15"/>
  <c r="D11298" i="15" s="1"/>
  <c r="G11298" i="15" s="1"/>
  <c r="D11297" i="15"/>
  <c r="G11297" i="15" s="1"/>
  <c r="F11280" i="15"/>
  <c r="D11280" i="15" s="1"/>
  <c r="G11280" i="15" s="1"/>
  <c r="D11279" i="15"/>
  <c r="G11279" i="15" s="1"/>
  <c r="F11278" i="15"/>
  <c r="D11278" i="15" s="1"/>
  <c r="G11278" i="15" s="1"/>
  <c r="D11277" i="15"/>
  <c r="G11277" i="15" s="1"/>
  <c r="F11272" i="15"/>
  <c r="D11272" i="15" s="1"/>
  <c r="G11272" i="15" s="1"/>
  <c r="D11271" i="15"/>
  <c r="G11271" i="15" s="1"/>
  <c r="F11260" i="15"/>
  <c r="D11260" i="15" s="1"/>
  <c r="G11260" i="15" s="1"/>
  <c r="D11259" i="15"/>
  <c r="G11259" i="15" s="1"/>
  <c r="C11253" i="15"/>
  <c r="C11252" i="15"/>
  <c r="C11251" i="15"/>
  <c r="C11250" i="15"/>
  <c r="C11249" i="15"/>
  <c r="C11248" i="15"/>
  <c r="C11247" i="15"/>
  <c r="C11246" i="15"/>
  <c r="C11245" i="15"/>
  <c r="C11244" i="15"/>
  <c r="C11243" i="15"/>
  <c r="F11227" i="15"/>
  <c r="D11227" i="15" s="1"/>
  <c r="G11227" i="15" s="1"/>
  <c r="D11226" i="15"/>
  <c r="G11226" i="15" s="1"/>
  <c r="F11225" i="15"/>
  <c r="D11225" i="15" s="1"/>
  <c r="G11225" i="15" s="1"/>
  <c r="D11224" i="15"/>
  <c r="G11224" i="15" s="1"/>
  <c r="F11219" i="15"/>
  <c r="D11219" i="15" s="1"/>
  <c r="G11219" i="15" s="1"/>
  <c r="D11218" i="15"/>
  <c r="G11218" i="15" s="1"/>
  <c r="F11217" i="15"/>
  <c r="D11217" i="15" s="1"/>
  <c r="G11217" i="15" s="1"/>
  <c r="D11216" i="15"/>
  <c r="G11216" i="15" s="1"/>
  <c r="F11215" i="15"/>
  <c r="D11215" i="15" s="1"/>
  <c r="G11215" i="15" s="1"/>
  <c r="D11214" i="15"/>
  <c r="G11214" i="15" s="1"/>
  <c r="F11208" i="15"/>
  <c r="E11191" i="15"/>
  <c r="E11190" i="15"/>
  <c r="E11189" i="15"/>
  <c r="E11182" i="15"/>
  <c r="D11182" i="15" s="1"/>
  <c r="F11182" i="15" s="1"/>
  <c r="D11181" i="15"/>
  <c r="F11181" i="15" s="1"/>
  <c r="F11176" i="15"/>
  <c r="D11176" i="15" s="1"/>
  <c r="G11176" i="15" s="1"/>
  <c r="D11175" i="15"/>
  <c r="G11175" i="15" s="1"/>
  <c r="F11174" i="15"/>
  <c r="D11174" i="15" s="1"/>
  <c r="G11174" i="15" s="1"/>
  <c r="D11173" i="15"/>
  <c r="G11173" i="15" s="1"/>
  <c r="F11172" i="15"/>
  <c r="D11172" i="15" s="1"/>
  <c r="G11172" i="15" s="1"/>
  <c r="D11171" i="15"/>
  <c r="G11171" i="15" s="1"/>
  <c r="E11166" i="15"/>
  <c r="E11165" i="15"/>
  <c r="F11156" i="15"/>
  <c r="F11140" i="15"/>
  <c r="D11140" i="15" s="1"/>
  <c r="G11140" i="15" s="1"/>
  <c r="D11139" i="15"/>
  <c r="G11139" i="15" s="1"/>
  <c r="E11134" i="15"/>
  <c r="E11133" i="15"/>
  <c r="E11132" i="15"/>
  <c r="E11130" i="15"/>
  <c r="E11129" i="15"/>
  <c r="E11128" i="15"/>
  <c r="E11126" i="15"/>
  <c r="E11125" i="15"/>
  <c r="E11124" i="15"/>
  <c r="E11119" i="15"/>
  <c r="E11118" i="15"/>
  <c r="E11117" i="15"/>
  <c r="E11116" i="15"/>
  <c r="F11110" i="15"/>
  <c r="D11110" i="15" s="1"/>
  <c r="G11110" i="15" s="1"/>
  <c r="D11109" i="15"/>
  <c r="G11109" i="15" s="1"/>
  <c r="F11108" i="15"/>
  <c r="D11108" i="15" s="1"/>
  <c r="G11108" i="15" s="1"/>
  <c r="D11107" i="15"/>
  <c r="G11107" i="15" s="1"/>
  <c r="F11106" i="15"/>
  <c r="D11106" i="15" s="1"/>
  <c r="G11106" i="15" s="1"/>
  <c r="D11105" i="15"/>
  <c r="G11105" i="15" s="1"/>
  <c r="E11100" i="15"/>
  <c r="E11099" i="15"/>
  <c r="E11098" i="15"/>
  <c r="E11097" i="15"/>
  <c r="E11096" i="15"/>
  <c r="E11090" i="15"/>
  <c r="E11089" i="15"/>
  <c r="E11088" i="15"/>
  <c r="E11087" i="15"/>
  <c r="E11086" i="15"/>
  <c r="E11084" i="15"/>
  <c r="E11083" i="15"/>
  <c r="E11082" i="15"/>
  <c r="E11081" i="15"/>
  <c r="E11079" i="15"/>
  <c r="E11078" i="15"/>
  <c r="E11077" i="15"/>
  <c r="E11076" i="15"/>
  <c r="E11074" i="15"/>
  <c r="E11073" i="15"/>
  <c r="E11072" i="15"/>
  <c r="E11071" i="15"/>
  <c r="E11070" i="15"/>
  <c r="E11069" i="15"/>
  <c r="F11063" i="15"/>
  <c r="D11063" i="15" s="1"/>
  <c r="G11063" i="15" s="1"/>
  <c r="D11062" i="15"/>
  <c r="G11062" i="15" s="1"/>
  <c r="F11061" i="15"/>
  <c r="D11061" i="15" s="1"/>
  <c r="G11061" i="15" s="1"/>
  <c r="D11060" i="15"/>
  <c r="G11060" i="15" s="1"/>
  <c r="E11055" i="15"/>
  <c r="D11054" i="15"/>
  <c r="E11054" i="15" s="1"/>
  <c r="D11053" i="15"/>
  <c r="E11053" i="15" s="1"/>
  <c r="E11052" i="15"/>
  <c r="D11050" i="15"/>
  <c r="E11050" i="15" s="1"/>
  <c r="D11049" i="15"/>
  <c r="E11049" i="15" s="1"/>
  <c r="E11048" i="15"/>
  <c r="E11046" i="15"/>
  <c r="E11045" i="15"/>
  <c r="E11044" i="15"/>
  <c r="E11042" i="15"/>
  <c r="E11041" i="15"/>
  <c r="E11040" i="15"/>
  <c r="E11039" i="15"/>
  <c r="E11038" i="15"/>
  <c r="E11037" i="15"/>
  <c r="F11032" i="15"/>
  <c r="F11028" i="15"/>
  <c r="D11028" i="15" s="1"/>
  <c r="G11028" i="15" s="1"/>
  <c r="D11027" i="15"/>
  <c r="G11027" i="15" s="1"/>
  <c r="F11026" i="15"/>
  <c r="D11026" i="15" s="1"/>
  <c r="G11026" i="15" s="1"/>
  <c r="D11025" i="15"/>
  <c r="G11025" i="15" s="1"/>
  <c r="E11020" i="15"/>
  <c r="E11019" i="15"/>
  <c r="E11018" i="15"/>
  <c r="E11017" i="15"/>
  <c r="E11016" i="15"/>
  <c r="E11015" i="15"/>
  <c r="E11014" i="15"/>
  <c r="D10986" i="15"/>
  <c r="G10986" i="15" s="1"/>
  <c r="D10985" i="15"/>
  <c r="G10985" i="15" s="1"/>
  <c r="D10975" i="15"/>
  <c r="D10974" i="15"/>
  <c r="F10970" i="15"/>
  <c r="G10970" i="15" s="1"/>
  <c r="G10966" i="15"/>
  <c r="G10965" i="15"/>
  <c r="G10961" i="15"/>
  <c r="G10960" i="15"/>
  <c r="G10959" i="15"/>
  <c r="G10958" i="15"/>
  <c r="G10957" i="15"/>
  <c r="G10956" i="15"/>
  <c r="G10955" i="15"/>
  <c r="G10954" i="15"/>
  <c r="F10950" i="15"/>
  <c r="E10950" i="15" s="1"/>
  <c r="G10950" i="15" s="1"/>
  <c r="G10949" i="15"/>
  <c r="G10948" i="15"/>
  <c r="G10947" i="15"/>
  <c r="F10946" i="15"/>
  <c r="E10946" i="15" s="1"/>
  <c r="G10946" i="15" s="1"/>
  <c r="G10945" i="15"/>
  <c r="G10944" i="15"/>
  <c r="G10943" i="15"/>
  <c r="F10942" i="15"/>
  <c r="E10942" i="15" s="1"/>
  <c r="G10942" i="15" s="1"/>
  <c r="G10941" i="15"/>
  <c r="G10940" i="15"/>
  <c r="F10939" i="15"/>
  <c r="E10939" i="15" s="1"/>
  <c r="G10939" i="15" s="1"/>
  <c r="D10927" i="15"/>
  <c r="E10927" i="15" s="1"/>
  <c r="E10926" i="15"/>
  <c r="D10924" i="15"/>
  <c r="E10924" i="15" s="1"/>
  <c r="E10923" i="15"/>
  <c r="D10921" i="15"/>
  <c r="E10921" i="15" s="1"/>
  <c r="D10919" i="15"/>
  <c r="E10919" i="15" s="1"/>
  <c r="E10918" i="15"/>
  <c r="E10896" i="15"/>
  <c r="E10895" i="15"/>
  <c r="E10892" i="15"/>
  <c r="E10891" i="15"/>
  <c r="E10885" i="15"/>
  <c r="I10880" i="15"/>
  <c r="I10879" i="15"/>
  <c r="I10878" i="15"/>
  <c r="I10877" i="15"/>
  <c r="I10876" i="15"/>
  <c r="I10875" i="15"/>
  <c r="I10874" i="15"/>
  <c r="I10873" i="15"/>
  <c r="I10872" i="15"/>
  <c r="I10871" i="15"/>
  <c r="I10870" i="15"/>
  <c r="F10862" i="15"/>
  <c r="F10861" i="15"/>
  <c r="F10860" i="15"/>
  <c r="G10856" i="15"/>
  <c r="D10856" i="15" s="1"/>
  <c r="H10856" i="15" s="1"/>
  <c r="D10855" i="15"/>
  <c r="H10855" i="15" s="1"/>
  <c r="E10837" i="15"/>
  <c r="D10837" i="15"/>
  <c r="H10837" i="15" s="1"/>
  <c r="E10833" i="15"/>
  <c r="F10833" i="15" s="1"/>
  <c r="C10833" i="15"/>
  <c r="E10829" i="15"/>
  <c r="D10829" i="15" s="1"/>
  <c r="F10829" i="15" s="1"/>
  <c r="D10828" i="15"/>
  <c r="F10828" i="15" s="1"/>
  <c r="D10827" i="15"/>
  <c r="F10827" i="15" s="1"/>
  <c r="F10823" i="15"/>
  <c r="F10822" i="15"/>
  <c r="F10817" i="15"/>
  <c r="D10807" i="15"/>
  <c r="G10807" i="15" s="1"/>
  <c r="D10806" i="15"/>
  <c r="G10806" i="15" s="1"/>
  <c r="D10805" i="15"/>
  <c r="G10805" i="15" s="1"/>
  <c r="D10804" i="15"/>
  <c r="G10804" i="15" s="1"/>
  <c r="D10803" i="15"/>
  <c r="G10803" i="15" s="1"/>
  <c r="D10802" i="15"/>
  <c r="G10802" i="15" s="1"/>
  <c r="D10801" i="15"/>
  <c r="G10801" i="15" s="1"/>
  <c r="D10800" i="15"/>
  <c r="G10800" i="15" s="1"/>
  <c r="D10799" i="15"/>
  <c r="G10799" i="15" s="1"/>
  <c r="D10798" i="15"/>
  <c r="G10798" i="15" s="1"/>
  <c r="E10792" i="15"/>
  <c r="E10791" i="15"/>
  <c r="E10788" i="15"/>
  <c r="D10788" i="15" s="1"/>
  <c r="F10788" i="15" s="1"/>
  <c r="F10787" i="15"/>
  <c r="D10786" i="15"/>
  <c r="F10786" i="15" s="1"/>
  <c r="E10777" i="15"/>
  <c r="D10777" i="15" s="1"/>
  <c r="F10777" i="15" s="1"/>
  <c r="D10776" i="15"/>
  <c r="F10776" i="15" s="1"/>
  <c r="D10775" i="15"/>
  <c r="F10775" i="15" s="1"/>
  <c r="E10772" i="15"/>
  <c r="D10772" i="15" s="1"/>
  <c r="F10772" i="15" s="1"/>
  <c r="D10771" i="15"/>
  <c r="F10771" i="15" s="1"/>
  <c r="D10770" i="15"/>
  <c r="F10770" i="15" s="1"/>
  <c r="F10765" i="15"/>
  <c r="G10761" i="15"/>
  <c r="G10760" i="15"/>
  <c r="G10759" i="15"/>
  <c r="G10758" i="15"/>
  <c r="I10754" i="15"/>
  <c r="E10754" i="15"/>
  <c r="F10748" i="15"/>
  <c r="D10748" i="15" s="1"/>
  <c r="G10748" i="15" s="1"/>
  <c r="D10747" i="15"/>
  <c r="G10747" i="15" s="1"/>
  <c r="E10742" i="15"/>
  <c r="E10741" i="15"/>
  <c r="E10736" i="15"/>
  <c r="E10735" i="15"/>
  <c r="E10734" i="15"/>
  <c r="E10731" i="15"/>
  <c r="E10730" i="15"/>
  <c r="E10727" i="15"/>
  <c r="E10726" i="15"/>
  <c r="E10723" i="15"/>
  <c r="E10722" i="15"/>
  <c r="D10716" i="15"/>
  <c r="E10716" i="15" s="1"/>
  <c r="E10715" i="15"/>
  <c r="D10713" i="15"/>
  <c r="E10713" i="15" s="1"/>
  <c r="E10712" i="15"/>
  <c r="D10710" i="15"/>
  <c r="E10710" i="15" s="1"/>
  <c r="E10709" i="15"/>
  <c r="D10707" i="15"/>
  <c r="E10707" i="15" s="1"/>
  <c r="E10706" i="15"/>
  <c r="F10699" i="15"/>
  <c r="H10699" i="15" s="1"/>
  <c r="F10698" i="15"/>
  <c r="H10698" i="15" s="1"/>
  <c r="F10697" i="15"/>
  <c r="H10697" i="15" s="1"/>
  <c r="F10696" i="15"/>
  <c r="H10696" i="15" s="1"/>
  <c r="F10695" i="15"/>
  <c r="H10695" i="15" s="1"/>
  <c r="F10694" i="15"/>
  <c r="H10694" i="15" s="1"/>
  <c r="F10692" i="15"/>
  <c r="H10692" i="15" s="1"/>
  <c r="E10671" i="15"/>
  <c r="D10671" i="15" s="1"/>
  <c r="F10671" i="15" s="1"/>
  <c r="E10670" i="15"/>
  <c r="D10670" i="15" s="1"/>
  <c r="F10670" i="15" s="1"/>
  <c r="D10665" i="15"/>
  <c r="F10665" i="15" s="1"/>
  <c r="D10664" i="15"/>
  <c r="F10664" i="15" s="1"/>
  <c r="D10663" i="15"/>
  <c r="F10663" i="15" s="1"/>
  <c r="H10659" i="15"/>
  <c r="H10658" i="15"/>
  <c r="H10657" i="15"/>
  <c r="H10656" i="15"/>
  <c r="E10651" i="15"/>
  <c r="F10651" i="15" s="1"/>
  <c r="E10647" i="15"/>
  <c r="E10646" i="15"/>
  <c r="F10640" i="15"/>
  <c r="F10639" i="15"/>
  <c r="E10635" i="15"/>
  <c r="D10635" i="15" s="1"/>
  <c r="F10635" i="15" s="1"/>
  <c r="D10634" i="15"/>
  <c r="F10634" i="15" s="1"/>
  <c r="D10633" i="15"/>
  <c r="F10633" i="15" s="1"/>
  <c r="F10627" i="15"/>
  <c r="B10616" i="15"/>
  <c r="F10602" i="15"/>
  <c r="F10598" i="15"/>
  <c r="F10597" i="15"/>
  <c r="F10585" i="15"/>
  <c r="E10579" i="15"/>
  <c r="D10579" i="15" s="1"/>
  <c r="F10579" i="15" s="1"/>
  <c r="D10578" i="15"/>
  <c r="F10578" i="15" s="1"/>
  <c r="F10568" i="15"/>
  <c r="F10566" i="15"/>
  <c r="F10565" i="15"/>
  <c r="F10552" i="15"/>
  <c r="G10548" i="15"/>
  <c r="G10547" i="15"/>
  <c r="F10543" i="15"/>
  <c r="C10543" i="15" s="1"/>
  <c r="G10543" i="15" s="1"/>
  <c r="G10542" i="15"/>
  <c r="F10540" i="15"/>
  <c r="C10540" i="15" s="1"/>
  <c r="G10540" i="15" s="1"/>
  <c r="G10539" i="15"/>
  <c r="F10537" i="15"/>
  <c r="C10537" i="15" s="1"/>
  <c r="G10537" i="15" s="1"/>
  <c r="G10536" i="15"/>
  <c r="F10531" i="15"/>
  <c r="F10530" i="15"/>
  <c r="F10529" i="15"/>
  <c r="F10528" i="15"/>
  <c r="F10527" i="15"/>
  <c r="F10526" i="15"/>
  <c r="G10521" i="15"/>
  <c r="F10521" i="15" s="1"/>
  <c r="H10521" i="15" s="1"/>
  <c r="G10520" i="15"/>
  <c r="F10520" i="15" s="1"/>
  <c r="H10520" i="15" s="1"/>
  <c r="G10519" i="15"/>
  <c r="F10519" i="15" s="1"/>
  <c r="H10519" i="15" s="1"/>
  <c r="G10518" i="15"/>
  <c r="F10518" i="15" s="1"/>
  <c r="H10518" i="15" s="1"/>
  <c r="H10513" i="15"/>
  <c r="F10509" i="15"/>
  <c r="F10508" i="15"/>
  <c r="F10507" i="15"/>
  <c r="F10502" i="15"/>
  <c r="G10502" i="15" s="1"/>
  <c r="F10492" i="15"/>
  <c r="C10492" i="15" s="1"/>
  <c r="G10492" i="15" s="1"/>
  <c r="C10491" i="15"/>
  <c r="G10491" i="15" s="1"/>
  <c r="E10487" i="15"/>
  <c r="F10481" i="15"/>
  <c r="F10480" i="15"/>
  <c r="F10479" i="15"/>
  <c r="F10473" i="15"/>
  <c r="F10472" i="15"/>
  <c r="F10468" i="15"/>
  <c r="E10462" i="15"/>
  <c r="C10462" i="15" s="1"/>
  <c r="F10462" i="15" s="1"/>
  <c r="C10461" i="15"/>
  <c r="F10461" i="15" s="1"/>
  <c r="E10460" i="15"/>
  <c r="C10460" i="15" s="1"/>
  <c r="F10460" i="15" s="1"/>
  <c r="C10459" i="15"/>
  <c r="F10459" i="15" s="1"/>
  <c r="E10458" i="15"/>
  <c r="C10458" i="15" s="1"/>
  <c r="F10458" i="15" s="1"/>
  <c r="C10457" i="15"/>
  <c r="F10457" i="15" s="1"/>
  <c r="G10451" i="15"/>
  <c r="G10450" i="15"/>
  <c r="F10446" i="15"/>
  <c r="E10445" i="15"/>
  <c r="F10445" i="15" s="1"/>
  <c r="E10440" i="15"/>
  <c r="E10439" i="15"/>
  <c r="E10436" i="15"/>
  <c r="E10432" i="15"/>
  <c r="E10428" i="15"/>
  <c r="E10425" i="15"/>
  <c r="E10422" i="15"/>
  <c r="E10417" i="15"/>
  <c r="E10410" i="15"/>
  <c r="E10407" i="15"/>
  <c r="E10403" i="15"/>
  <c r="E10399" i="15"/>
  <c r="E10397" i="15"/>
  <c r="E10394" i="15"/>
  <c r="E10390" i="15"/>
  <c r="E10389" i="15"/>
  <c r="E10386" i="15"/>
  <c r="E10382" i="15"/>
  <c r="E10378" i="15"/>
  <c r="E10375" i="15"/>
  <c r="E10372" i="15"/>
  <c r="I10368" i="15"/>
  <c r="I10367" i="15"/>
  <c r="F10362" i="15"/>
  <c r="C10362" i="15" s="1"/>
  <c r="G10362" i="15" s="1"/>
  <c r="C10361" i="15"/>
  <c r="G10361" i="15" s="1"/>
  <c r="F10360" i="15"/>
  <c r="C10360" i="15" s="1"/>
  <c r="G10360" i="15" s="1"/>
  <c r="C10359" i="15"/>
  <c r="G10359" i="15" s="1"/>
  <c r="I10351" i="15"/>
  <c r="I10350" i="15"/>
  <c r="I10349" i="15"/>
  <c r="G10345" i="15"/>
  <c r="G10344" i="15"/>
  <c r="G10343" i="15"/>
  <c r="G10342" i="15"/>
  <c r="G10341" i="15"/>
  <c r="G10340" i="15"/>
  <c r="G10339" i="15"/>
  <c r="G10338" i="15"/>
  <c r="E10335" i="15"/>
  <c r="E10334" i="15"/>
  <c r="E10328" i="15"/>
  <c r="E10325" i="15"/>
  <c r="F10320" i="15"/>
  <c r="C10320" i="15" s="1"/>
  <c r="G10320" i="15" s="1"/>
  <c r="C10319" i="15"/>
  <c r="G10319" i="15" s="1"/>
  <c r="F10318" i="15"/>
  <c r="C10318" i="15" s="1"/>
  <c r="G10318" i="15" s="1"/>
  <c r="C10317" i="15"/>
  <c r="G10317" i="15" s="1"/>
  <c r="I10277" i="15"/>
  <c r="J10277" i="15" s="1"/>
  <c r="I10276" i="15"/>
  <c r="J10276" i="15" s="1"/>
  <c r="F10266" i="15"/>
  <c r="F10265" i="15"/>
  <c r="C10260" i="15"/>
  <c r="F10260" i="15" s="1"/>
  <c r="E10259" i="15"/>
  <c r="C10259" i="15" s="1"/>
  <c r="F10259" i="15" s="1"/>
  <c r="G10254" i="15"/>
  <c r="F10229" i="15"/>
  <c r="F10224" i="15"/>
  <c r="C10224" i="15" s="1"/>
  <c r="G10224" i="15" s="1"/>
  <c r="C10223" i="15"/>
  <c r="G10223" i="15" s="1"/>
  <c r="F10222" i="15"/>
  <c r="C10222" i="15" s="1"/>
  <c r="G10222" i="15" s="1"/>
  <c r="C10221" i="15"/>
  <c r="G10221" i="15" s="1"/>
  <c r="F10220" i="15"/>
  <c r="C10220" i="15" s="1"/>
  <c r="G10220" i="15" s="1"/>
  <c r="C10219" i="15"/>
  <c r="G10219" i="15" s="1"/>
  <c r="F10208" i="15"/>
  <c r="G10202" i="15"/>
  <c r="H10172" i="15"/>
  <c r="F10171" i="15"/>
  <c r="H10171" i="15" s="1"/>
  <c r="F10170" i="15"/>
  <c r="H10170" i="15" s="1"/>
  <c r="H10168" i="15"/>
  <c r="H10167" i="15"/>
  <c r="H10165" i="15"/>
  <c r="H10164" i="15"/>
  <c r="H10163" i="15"/>
  <c r="E10157" i="15"/>
  <c r="E10156" i="15"/>
  <c r="E10155" i="15"/>
  <c r="E10153" i="15"/>
  <c r="E10152" i="15"/>
  <c r="E10151" i="15"/>
  <c r="E10150" i="15"/>
  <c r="M10145" i="15"/>
  <c r="K10145" i="15"/>
  <c r="I10145" i="15"/>
  <c r="E10145" i="15"/>
  <c r="M10144" i="15"/>
  <c r="K10144" i="15"/>
  <c r="I10144" i="15"/>
  <c r="E10144" i="15"/>
  <c r="L10142" i="15"/>
  <c r="M10142" i="15" s="1"/>
  <c r="K10142" i="15"/>
  <c r="I10142" i="15"/>
  <c r="E10142" i="15"/>
  <c r="M10141" i="15"/>
  <c r="K10141" i="15"/>
  <c r="I10141" i="15"/>
  <c r="E10141" i="15"/>
  <c r="L10140" i="15"/>
  <c r="M10140" i="15" s="1"/>
  <c r="K10140" i="15"/>
  <c r="I10140" i="15"/>
  <c r="E10140" i="15"/>
  <c r="M10139" i="15"/>
  <c r="K10139" i="15"/>
  <c r="I10139" i="15"/>
  <c r="E10139" i="15"/>
  <c r="F10135" i="15"/>
  <c r="F10134" i="15"/>
  <c r="F10133" i="15"/>
  <c r="F10132" i="15"/>
  <c r="F10127" i="15"/>
  <c r="D10123" i="15"/>
  <c r="G10123" i="15" s="1"/>
  <c r="C10117" i="15"/>
  <c r="E10117" i="15" s="1"/>
  <c r="C10116" i="15"/>
  <c r="E10116" i="15" s="1"/>
  <c r="C10115" i="15"/>
  <c r="E10115" i="15" s="1"/>
  <c r="C10114" i="15"/>
  <c r="E10114" i="15" s="1"/>
  <c r="C10113" i="15"/>
  <c r="E10113" i="15" s="1"/>
  <c r="G10109" i="15"/>
  <c r="E10109" i="15" s="1"/>
  <c r="H10109" i="15" s="1"/>
  <c r="G10108" i="15"/>
  <c r="E10108" i="15"/>
  <c r="H10108" i="15" s="1"/>
  <c r="G10107" i="15"/>
  <c r="H10107" i="15" s="1"/>
  <c r="G10106" i="15"/>
  <c r="E10106" i="15" s="1"/>
  <c r="H10106" i="15" s="1"/>
  <c r="G10105" i="15"/>
  <c r="E10105" i="15" s="1"/>
  <c r="H10105" i="15" s="1"/>
  <c r="G10104" i="15"/>
  <c r="E10104" i="15" s="1"/>
  <c r="H10104" i="15" s="1"/>
  <c r="G10103" i="15"/>
  <c r="E10103" i="15" s="1"/>
  <c r="H10103" i="15" s="1"/>
  <c r="G10102" i="15"/>
  <c r="E10102" i="15" s="1"/>
  <c r="H10102" i="15" s="1"/>
  <c r="G10101" i="15"/>
  <c r="E10101" i="15" s="1"/>
  <c r="H10101" i="15" s="1"/>
  <c r="G10100" i="15"/>
  <c r="E10100" i="15" s="1"/>
  <c r="H10100" i="15" s="1"/>
  <c r="F10095" i="15"/>
  <c r="F10086" i="15"/>
  <c r="D10086" i="15" s="1"/>
  <c r="G10086" i="15" s="1"/>
  <c r="F10085" i="15"/>
  <c r="D10085" i="15" s="1"/>
  <c r="G10085" i="15" s="1"/>
  <c r="C10080" i="15"/>
  <c r="F10080" i="15" s="1"/>
  <c r="E10079" i="15"/>
  <c r="C10079" i="15" s="1"/>
  <c r="F10079" i="15" s="1"/>
  <c r="C10075" i="15"/>
  <c r="F10075" i="15" s="1"/>
  <c r="E10074" i="15"/>
  <c r="C10074" i="15" s="1"/>
  <c r="F10074" i="15" s="1"/>
  <c r="F10069" i="15"/>
  <c r="F10066" i="15"/>
  <c r="F10065" i="15"/>
  <c r="F10062" i="15"/>
  <c r="D10057" i="15"/>
  <c r="G10057" i="15" s="1"/>
  <c r="D10053" i="15"/>
  <c r="G10053" i="15" s="1"/>
  <c r="G10048" i="15"/>
  <c r="G10047" i="15"/>
  <c r="H10041" i="15"/>
  <c r="F10040" i="15"/>
  <c r="H10040" i="15" s="1"/>
  <c r="I10035" i="15"/>
  <c r="I10034" i="15"/>
  <c r="I10033" i="15"/>
  <c r="I10032" i="15"/>
  <c r="I10031" i="15"/>
  <c r="I10030" i="15"/>
  <c r="I10029" i="15"/>
  <c r="I10028" i="15"/>
  <c r="I10027" i="15"/>
  <c r="I10026" i="15"/>
  <c r="I10025" i="15"/>
  <c r="I10024" i="15"/>
  <c r="I10023" i="15"/>
  <c r="I10022" i="15"/>
  <c r="I10021" i="15"/>
  <c r="I10020" i="15"/>
  <c r="I10019" i="15"/>
  <c r="I10018" i="15"/>
  <c r="I10017" i="15"/>
  <c r="I10016" i="15"/>
  <c r="I10015" i="15"/>
  <c r="I10014" i="15"/>
  <c r="I10013" i="15"/>
  <c r="I10012" i="15"/>
  <c r="I10011" i="15"/>
  <c r="I10010" i="15"/>
  <c r="I10009" i="15"/>
  <c r="I10008" i="15"/>
  <c r="I10007" i="15"/>
  <c r="I10006" i="15"/>
  <c r="I10005" i="15"/>
  <c r="F9997" i="15"/>
  <c r="D9997" i="15" s="1"/>
  <c r="G9997" i="15" s="1"/>
  <c r="F9996" i="15"/>
  <c r="D9996" i="15" s="1"/>
  <c r="G9996" i="15" s="1"/>
  <c r="F9990" i="15"/>
  <c r="D9990" i="15" s="1"/>
  <c r="G9990" i="15" s="1"/>
  <c r="F9989" i="15"/>
  <c r="D9989" i="15" s="1"/>
  <c r="G9989" i="15" s="1"/>
  <c r="F9983" i="15"/>
  <c r="D9983" i="15" s="1"/>
  <c r="G9983" i="15" s="1"/>
  <c r="F9982" i="15"/>
  <c r="D9982" i="15" s="1"/>
  <c r="G9982" i="15" s="1"/>
  <c r="F9976" i="15"/>
  <c r="C9976" i="15" s="1"/>
  <c r="G9976" i="15" s="1"/>
  <c r="C9975" i="15"/>
  <c r="G9975" i="15" s="1"/>
  <c r="F9974" i="15"/>
  <c r="C9974" i="15" s="1"/>
  <c r="G9974" i="15" s="1"/>
  <c r="C9973" i="15"/>
  <c r="G9973" i="15" s="1"/>
  <c r="F9972" i="15"/>
  <c r="C9972" i="15" s="1"/>
  <c r="G9972" i="15" s="1"/>
  <c r="C9971" i="15"/>
  <c r="G9971" i="15" s="1"/>
  <c r="F9970" i="15"/>
  <c r="C9970" i="15" s="1"/>
  <c r="G9970" i="15" s="1"/>
  <c r="C9969" i="15"/>
  <c r="G9969" i="15" s="1"/>
  <c r="H9964" i="15"/>
  <c r="E9964" i="15"/>
  <c r="H9963" i="15"/>
  <c r="E9963" i="15"/>
  <c r="G9958" i="15"/>
  <c r="E9958" i="15" s="1"/>
  <c r="H9958" i="15" s="1"/>
  <c r="G9957" i="15"/>
  <c r="E9957" i="15" s="1"/>
  <c r="H9957" i="15" s="1"/>
  <c r="G9956" i="15"/>
  <c r="E9956" i="15" s="1"/>
  <c r="H9956" i="15" s="1"/>
  <c r="G9955" i="15"/>
  <c r="E9955" i="15" s="1"/>
  <c r="H9955" i="15" s="1"/>
  <c r="G9954" i="15"/>
  <c r="E9954" i="15" s="1"/>
  <c r="H9954" i="15" s="1"/>
  <c r="G9953" i="15"/>
  <c r="E9953" i="15" s="1"/>
  <c r="H9953" i="15" s="1"/>
  <c r="G9952" i="15"/>
  <c r="E9952" i="15" s="1"/>
  <c r="H9952" i="15" s="1"/>
  <c r="G9951" i="15"/>
  <c r="E9951" i="15" s="1"/>
  <c r="H9951" i="15" s="1"/>
  <c r="G9950" i="15"/>
  <c r="E9950" i="15" s="1"/>
  <c r="H9950" i="15" s="1"/>
  <c r="E9944" i="15"/>
  <c r="E9941" i="15"/>
  <c r="E9940" i="15"/>
  <c r="E9938" i="15"/>
  <c r="E9937" i="15"/>
  <c r="E9932" i="15"/>
  <c r="D9926" i="15"/>
  <c r="G9926" i="15" s="1"/>
  <c r="G9916" i="15"/>
  <c r="F9911" i="15"/>
  <c r="F9910" i="15"/>
  <c r="F9909" i="15"/>
  <c r="F9908" i="15"/>
  <c r="F9907" i="15"/>
  <c r="F9906" i="15"/>
  <c r="F9905" i="15"/>
  <c r="F9904" i="15"/>
  <c r="F9903" i="15"/>
  <c r="D9898" i="15"/>
  <c r="F9898" i="15" s="1"/>
  <c r="D9897" i="15"/>
  <c r="F9897" i="15" s="1"/>
  <c r="D9896" i="15"/>
  <c r="F9896" i="15" s="1"/>
  <c r="H9888" i="15"/>
  <c r="H9887" i="15"/>
  <c r="H9886" i="15"/>
  <c r="F9885" i="15"/>
  <c r="H9885" i="15" s="1"/>
  <c r="F9884" i="15"/>
  <c r="H9884" i="15" s="1"/>
  <c r="F9883" i="15"/>
  <c r="H9883" i="15" s="1"/>
  <c r="F9882" i="15"/>
  <c r="H9882" i="15" s="1"/>
  <c r="F9880" i="15"/>
  <c r="H9880" i="15" s="1"/>
  <c r="F9879" i="15"/>
  <c r="H9879" i="15" s="1"/>
  <c r="F9878" i="15"/>
  <c r="H9878" i="15" s="1"/>
  <c r="F9877" i="15"/>
  <c r="H9877" i="15" s="1"/>
  <c r="F9876" i="15"/>
  <c r="H9876" i="15" s="1"/>
  <c r="F9875" i="15"/>
  <c r="H9875" i="15" s="1"/>
  <c r="F9874" i="15"/>
  <c r="H9874" i="15" s="1"/>
  <c r="F9873" i="15"/>
  <c r="H9873" i="15" s="1"/>
  <c r="F9872" i="15"/>
  <c r="H9872" i="15" s="1"/>
  <c r="F9871" i="15"/>
  <c r="H9871" i="15" s="1"/>
  <c r="F9870" i="15"/>
  <c r="H9870" i="15" s="1"/>
  <c r="F9869" i="15"/>
  <c r="H9869" i="15" s="1"/>
  <c r="F9868" i="15"/>
  <c r="H9868" i="15" s="1"/>
  <c r="I9864" i="15"/>
  <c r="I9863" i="15"/>
  <c r="I9862" i="15"/>
  <c r="I9861" i="15"/>
  <c r="I9860" i="15"/>
  <c r="I9859" i="15"/>
  <c r="I9858" i="15"/>
  <c r="I9857" i="15"/>
  <c r="I9856" i="15"/>
  <c r="I9855" i="15"/>
  <c r="I9854" i="15"/>
  <c r="I9853" i="15"/>
  <c r="I9852" i="15"/>
  <c r="I9851" i="15"/>
  <c r="I9850" i="15"/>
  <c r="I9849" i="15"/>
  <c r="I9848" i="15"/>
  <c r="I9847" i="15"/>
  <c r="I9846" i="15"/>
  <c r="I9845" i="15"/>
  <c r="I9844" i="15"/>
  <c r="I9843" i="15"/>
  <c r="I9842" i="15"/>
  <c r="I9841" i="15"/>
  <c r="I9840" i="15"/>
  <c r="I9839" i="15"/>
  <c r="I9838" i="15"/>
  <c r="I9837" i="15"/>
  <c r="I9836" i="15"/>
  <c r="I9835" i="15"/>
  <c r="I9834" i="15"/>
  <c r="I9833" i="15"/>
  <c r="I9832" i="15"/>
  <c r="I9831" i="15"/>
  <c r="I9830" i="15"/>
  <c r="I9829" i="15"/>
  <c r="I9828" i="15"/>
  <c r="I9827" i="15"/>
  <c r="I9826" i="15"/>
  <c r="I9825" i="15"/>
  <c r="I9824" i="15"/>
  <c r="I9823" i="15"/>
  <c r="I9822" i="15"/>
  <c r="I9821" i="15"/>
  <c r="I9820" i="15"/>
  <c r="I9819" i="15"/>
  <c r="I9818" i="15"/>
  <c r="I9817" i="15"/>
  <c r="I9816" i="15"/>
  <c r="I9815" i="15"/>
  <c r="D9809" i="15"/>
  <c r="C9809" i="15" s="1"/>
  <c r="E9809" i="15" s="1"/>
  <c r="E9806" i="15"/>
  <c r="C9806" i="15" s="1"/>
  <c r="F9806" i="15" s="1"/>
  <c r="C9805" i="15"/>
  <c r="F9805" i="15" s="1"/>
  <c r="F9789" i="15"/>
  <c r="D9789" i="15" s="1"/>
  <c r="G9789" i="15" s="1"/>
  <c r="D9788" i="15"/>
  <c r="G9788" i="15" s="1"/>
  <c r="F9787" i="15"/>
  <c r="D9787" i="15" s="1"/>
  <c r="G9787" i="15" s="1"/>
  <c r="F9786" i="15"/>
  <c r="D9786" i="15" s="1"/>
  <c r="G9786" i="15" s="1"/>
  <c r="F9780" i="15"/>
  <c r="F9775" i="15"/>
  <c r="F9770" i="15"/>
  <c r="F9769" i="15"/>
  <c r="F9768" i="15"/>
  <c r="F9767" i="15"/>
  <c r="F9766" i="15"/>
  <c r="F9765" i="15"/>
  <c r="I9759" i="15"/>
  <c r="G9748" i="15"/>
  <c r="G9747" i="15"/>
  <c r="G9746" i="15"/>
  <c r="G9745" i="15"/>
  <c r="G9744" i="15"/>
  <c r="G9743" i="15"/>
  <c r="G9742" i="15"/>
  <c r="G9741" i="15"/>
  <c r="G9740" i="15"/>
  <c r="G9739" i="15"/>
  <c r="G9738" i="15"/>
  <c r="F9734" i="15"/>
  <c r="F9733" i="15"/>
  <c r="F9720" i="15"/>
  <c r="F9719" i="15"/>
  <c r="F9714" i="15"/>
  <c r="F9713" i="15"/>
  <c r="F9712" i="15"/>
  <c r="F9711" i="15"/>
  <c r="F9710" i="15"/>
  <c r="F9709" i="15"/>
  <c r="F9704" i="15"/>
  <c r="F9703" i="15"/>
  <c r="F9702" i="15"/>
  <c r="F9701" i="15"/>
  <c r="F9700" i="15"/>
  <c r="F9699" i="15"/>
  <c r="G9681" i="15"/>
  <c r="H9681" i="15" s="1"/>
  <c r="G9680" i="15"/>
  <c r="E9680" i="15" s="1"/>
  <c r="H9680" i="15" s="1"/>
  <c r="G9679" i="15"/>
  <c r="E9679" i="15" s="1"/>
  <c r="H9679" i="15" s="1"/>
  <c r="G9678" i="15"/>
  <c r="E9678" i="15" s="1"/>
  <c r="H9678" i="15" s="1"/>
  <c r="G9677" i="15"/>
  <c r="H9677" i="15" s="1"/>
  <c r="G9676" i="15"/>
  <c r="E9676" i="15" s="1"/>
  <c r="H9676" i="15" s="1"/>
  <c r="G9675" i="15"/>
  <c r="E9675" i="15" s="1"/>
  <c r="H9675" i="15" s="1"/>
  <c r="G9674" i="15"/>
  <c r="E9674" i="15" s="1"/>
  <c r="H9674" i="15" s="1"/>
  <c r="D9669" i="15"/>
  <c r="F9669" i="15" s="1"/>
  <c r="E9668" i="15"/>
  <c r="D9668" i="15" s="1"/>
  <c r="F9668" i="15" s="1"/>
  <c r="E9665" i="15"/>
  <c r="C9665" i="15" s="1"/>
  <c r="F9665" i="15" s="1"/>
  <c r="C9664" i="15"/>
  <c r="F9664" i="15" s="1"/>
  <c r="E9663" i="15"/>
  <c r="C9663" i="15" s="1"/>
  <c r="F9663" i="15" s="1"/>
  <c r="C9662" i="15"/>
  <c r="F9662" i="15" s="1"/>
  <c r="D9650" i="15"/>
  <c r="F9650" i="15" s="1"/>
  <c r="D9649" i="15"/>
  <c r="F9649" i="15" s="1"/>
  <c r="D9648" i="15"/>
  <c r="F9648" i="15" s="1"/>
  <c r="D9647" i="15"/>
  <c r="F9647" i="15" s="1"/>
  <c r="F9645" i="15"/>
  <c r="F9633" i="15"/>
  <c r="F9623" i="15"/>
  <c r="F9622" i="15"/>
  <c r="E9514" i="15"/>
  <c r="C9514" i="15" s="1"/>
  <c r="F9514" i="15" s="1"/>
  <c r="C9513" i="15"/>
  <c r="F9513" i="15" s="1"/>
  <c r="C9460" i="15"/>
  <c r="E9460" i="15" s="1"/>
  <c r="E9448" i="15"/>
  <c r="G9448" i="15" s="1"/>
  <c r="E9447" i="15"/>
  <c r="G9447" i="15" s="1"/>
  <c r="E9446" i="15"/>
  <c r="G9446" i="15" s="1"/>
  <c r="G9441" i="15"/>
  <c r="G9440" i="15"/>
  <c r="I9435" i="15"/>
  <c r="G9434" i="15"/>
  <c r="I9434" i="15" s="1"/>
  <c r="G9433" i="15"/>
  <c r="I9433" i="15" s="1"/>
  <c r="G9432" i="15"/>
  <c r="I9432" i="15" s="1"/>
  <c r="G9431" i="15"/>
  <c r="I9431" i="15" s="1"/>
  <c r="F9428" i="15"/>
  <c r="F9427" i="15"/>
  <c r="F9423" i="15"/>
  <c r="C9419" i="15"/>
  <c r="F9419" i="15" s="1"/>
  <c r="C9418" i="15"/>
  <c r="F9418" i="15" s="1"/>
  <c r="C9413" i="15"/>
  <c r="F9413" i="15" s="1"/>
  <c r="C9412" i="15"/>
  <c r="F9412" i="15" s="1"/>
  <c r="C9411" i="15"/>
  <c r="F9411" i="15" s="1"/>
  <c r="C9410" i="15"/>
  <c r="F9410" i="15" s="1"/>
  <c r="I9399" i="15"/>
  <c r="I9398" i="15"/>
  <c r="I9397" i="15"/>
  <c r="I9396" i="15"/>
  <c r="I9395" i="15"/>
  <c r="I9394" i="15"/>
  <c r="I9393" i="15"/>
  <c r="I9392" i="15"/>
  <c r="I9391" i="15"/>
  <c r="I9390" i="15"/>
  <c r="I9389" i="15"/>
  <c r="I9388" i="15"/>
  <c r="I9387" i="15"/>
  <c r="I9386" i="15"/>
  <c r="I9385" i="15"/>
  <c r="I9384" i="15"/>
  <c r="I9383" i="15"/>
  <c r="I9382" i="15"/>
  <c r="I9381" i="15"/>
  <c r="I9380" i="15"/>
  <c r="I9379" i="15"/>
  <c r="I9378" i="15"/>
  <c r="I9377" i="15"/>
  <c r="I9376" i="15"/>
  <c r="I9375" i="15"/>
  <c r="I9374" i="15"/>
  <c r="I9373" i="15"/>
  <c r="I9372" i="15"/>
  <c r="I9371" i="15"/>
  <c r="I9370" i="15"/>
  <c r="I9369" i="15"/>
  <c r="I9368" i="15"/>
  <c r="I9367" i="15"/>
  <c r="I9366" i="15"/>
  <c r="I9365" i="15"/>
  <c r="D9360" i="15"/>
  <c r="E9354" i="15"/>
  <c r="E9353" i="15"/>
  <c r="E9352" i="15"/>
  <c r="E9351" i="15"/>
  <c r="E9350" i="15"/>
  <c r="E9349" i="15"/>
  <c r="E9348" i="15"/>
  <c r="E9347" i="15"/>
  <c r="E9346" i="15"/>
  <c r="E9345" i="15"/>
  <c r="E9344" i="15"/>
  <c r="E9343" i="15"/>
  <c r="E9342" i="15"/>
  <c r="E9341" i="15"/>
  <c r="E9337" i="15"/>
  <c r="E9336" i="15"/>
  <c r="E9335" i="15"/>
  <c r="E9334" i="15"/>
  <c r="E9333" i="15"/>
  <c r="E9332" i="15"/>
  <c r="E9331" i="15"/>
  <c r="E9330" i="15"/>
  <c r="E9329" i="15"/>
  <c r="E9328" i="15"/>
  <c r="E9327" i="15"/>
  <c r="E9326" i="15"/>
  <c r="E9325" i="15"/>
  <c r="E9324" i="15"/>
  <c r="E9323" i="15"/>
  <c r="W9296" i="15"/>
  <c r="T9296" i="15"/>
  <c r="R9296" i="15"/>
  <c r="P9296" i="15"/>
  <c r="L9296" i="15"/>
  <c r="W9295" i="15"/>
  <c r="T9295" i="15"/>
  <c r="R9295" i="15"/>
  <c r="P9295" i="15"/>
  <c r="L9295" i="15"/>
  <c r="W9294" i="15"/>
  <c r="T9294" i="15"/>
  <c r="R9294" i="15"/>
  <c r="P9294" i="15"/>
  <c r="L9294" i="15"/>
  <c r="W9293" i="15"/>
  <c r="T9293" i="15"/>
  <c r="R9293" i="15"/>
  <c r="P9293" i="15"/>
  <c r="L9293" i="15"/>
  <c r="W9292" i="15"/>
  <c r="T9292" i="15"/>
  <c r="R9292" i="15"/>
  <c r="P9292" i="15"/>
  <c r="L9292" i="15"/>
  <c r="W9291" i="15"/>
  <c r="T9291" i="15"/>
  <c r="R9291" i="15"/>
  <c r="P9291" i="15"/>
  <c r="L9291" i="15"/>
  <c r="C9275" i="15"/>
  <c r="E9275" i="15" s="1"/>
  <c r="C9274" i="15"/>
  <c r="E9274" i="15" s="1"/>
  <c r="C9273" i="15"/>
  <c r="E9273" i="15" s="1"/>
  <c r="C9272" i="15"/>
  <c r="E9272" i="15" s="1"/>
  <c r="C9271" i="15"/>
  <c r="E9271" i="15" s="1"/>
  <c r="C9270" i="15"/>
  <c r="E9270" i="15" s="1"/>
  <c r="C9269" i="15"/>
  <c r="E9269" i="15" s="1"/>
  <c r="C9268" i="15"/>
  <c r="E9268" i="15" s="1"/>
  <c r="C9267" i="15"/>
  <c r="E9267" i="15" s="1"/>
  <c r="C9249" i="15"/>
  <c r="E9249" i="15" s="1"/>
  <c r="C9218" i="15"/>
  <c r="E9218" i="15" s="1"/>
  <c r="C9217" i="15"/>
  <c r="E9217" i="15" s="1"/>
  <c r="C9216" i="15"/>
  <c r="E9216" i="15" s="1"/>
  <c r="H9212" i="15"/>
  <c r="F9211" i="15"/>
  <c r="H9211" i="15" s="1"/>
  <c r="C9207" i="15"/>
  <c r="F9207" i="15" s="1"/>
  <c r="C9160" i="15"/>
  <c r="E9160" i="15" s="1"/>
  <c r="C9159" i="15"/>
  <c r="E9159" i="15" s="1"/>
  <c r="C9158" i="15"/>
  <c r="E9158" i="15" s="1"/>
  <c r="C9157" i="15"/>
  <c r="E9157" i="15" s="1"/>
  <c r="C9156" i="15"/>
  <c r="E9156" i="15" s="1"/>
  <c r="C9155" i="15"/>
  <c r="E9155" i="15" s="1"/>
  <c r="C9154" i="15"/>
  <c r="E9154" i="15" s="1"/>
  <c r="C9153" i="15"/>
  <c r="E9153" i="15" s="1"/>
  <c r="C9152" i="15"/>
  <c r="E9152" i="15" s="1"/>
  <c r="C9151" i="15"/>
  <c r="E9151" i="15" s="1"/>
  <c r="C9150" i="15"/>
  <c r="E9150" i="15" s="1"/>
  <c r="F9143" i="15"/>
  <c r="F9142" i="15"/>
  <c r="F9141" i="15"/>
  <c r="F9140" i="15"/>
  <c r="C9129" i="15"/>
  <c r="F9129" i="15" s="1"/>
  <c r="C9128" i="15"/>
  <c r="F9128" i="15" s="1"/>
  <c r="E9127" i="15"/>
  <c r="C9127" i="15" s="1"/>
  <c r="F9127" i="15" s="1"/>
  <c r="F9123" i="15"/>
  <c r="F9122" i="15"/>
  <c r="C9107" i="15"/>
  <c r="F9107" i="15" s="1"/>
  <c r="C9106" i="15"/>
  <c r="F9106" i="15" s="1"/>
  <c r="C9105" i="15"/>
  <c r="F9105" i="15" s="1"/>
  <c r="C9104" i="15"/>
  <c r="F9104" i="15" s="1"/>
  <c r="C9103" i="15"/>
  <c r="F9103" i="15" s="1"/>
  <c r="C9102" i="15"/>
  <c r="F9102" i="15" s="1"/>
  <c r="H9098" i="15"/>
  <c r="F9097" i="15"/>
  <c r="H9097" i="15" s="1"/>
  <c r="G9094" i="15"/>
  <c r="E9093" i="15"/>
  <c r="E9092" i="15"/>
  <c r="E9091" i="15"/>
  <c r="E9090" i="15"/>
  <c r="E9084" i="15"/>
  <c r="E9083" i="15"/>
  <c r="E9082" i="15"/>
  <c r="E9081" i="15"/>
  <c r="E9080" i="15"/>
  <c r="E9079" i="15"/>
  <c r="E9077" i="15"/>
  <c r="E9076" i="15"/>
  <c r="E9075" i="15"/>
  <c r="E9074" i="15"/>
  <c r="I9062" i="15"/>
  <c r="E9062" i="15" s="1"/>
  <c r="K9062" i="15" s="1"/>
  <c r="D9062" i="15"/>
  <c r="J9062" i="15" s="1"/>
  <c r="I9061" i="15"/>
  <c r="E9061" i="15" s="1"/>
  <c r="K9061" i="15" s="1"/>
  <c r="D9061" i="15"/>
  <c r="J9061" i="15" s="1"/>
  <c r="E9056" i="15"/>
  <c r="E9055" i="15"/>
  <c r="E9054" i="15"/>
  <c r="E9053" i="15"/>
  <c r="D9047" i="15"/>
  <c r="F9047" i="15" s="1"/>
  <c r="D9046" i="15"/>
  <c r="F9046" i="15" s="1"/>
  <c r="D9045" i="15"/>
  <c r="F9045" i="15" s="1"/>
  <c r="D9044" i="15"/>
  <c r="F9044" i="15" s="1"/>
  <c r="F9031" i="15"/>
  <c r="C9027" i="15"/>
  <c r="E9027" i="15" s="1"/>
  <c r="H9021" i="15"/>
  <c r="H9020" i="15"/>
  <c r="F9019" i="15"/>
  <c r="H9019" i="15" s="1"/>
  <c r="F9018" i="15"/>
  <c r="H9018" i="15" s="1"/>
  <c r="H9014" i="15"/>
  <c r="C9010" i="15"/>
  <c r="F9010" i="15" s="1"/>
  <c r="C9009" i="15"/>
  <c r="F9009" i="15" s="1"/>
  <c r="E9008" i="15"/>
  <c r="C9008" i="15" s="1"/>
  <c r="F9008" i="15" s="1"/>
  <c r="C9007" i="15"/>
  <c r="F9007" i="15" s="1"/>
  <c r="C9006" i="15"/>
  <c r="F9006" i="15" s="1"/>
  <c r="E8999" i="15"/>
  <c r="G8999" i="15" s="1"/>
  <c r="G9001" i="15" s="1"/>
  <c r="E8994" i="15"/>
  <c r="F8990" i="15"/>
  <c r="F8989" i="15"/>
  <c r="F8988" i="15"/>
  <c r="F8987" i="15"/>
  <c r="F8986" i="15"/>
  <c r="G8981" i="15"/>
  <c r="G8980" i="15"/>
  <c r="E8979" i="15"/>
  <c r="G8979" i="15" s="1"/>
  <c r="E8978" i="15"/>
  <c r="G8978" i="15" s="1"/>
  <c r="F8973" i="15"/>
  <c r="F8972" i="15"/>
  <c r="F8971" i="15"/>
  <c r="F8970" i="15"/>
  <c r="F8969" i="15"/>
  <c r="F8968" i="15"/>
  <c r="F8967" i="15"/>
  <c r="F8965" i="15"/>
  <c r="F8964" i="15"/>
  <c r="C8950" i="15"/>
  <c r="F8950" i="15" s="1"/>
  <c r="C8949" i="15"/>
  <c r="F8949" i="15" s="1"/>
  <c r="C8948" i="15"/>
  <c r="F8948" i="15" s="1"/>
  <c r="C8947" i="15"/>
  <c r="F8947" i="15" s="1"/>
  <c r="E8937" i="15"/>
  <c r="D8937" i="15" s="1"/>
  <c r="F8937" i="15" s="1"/>
  <c r="E8936" i="15"/>
  <c r="D8936" i="15" s="1"/>
  <c r="F8936" i="15" s="1"/>
  <c r="E8935" i="15"/>
  <c r="D8935" i="15" s="1"/>
  <c r="F8935" i="15" s="1"/>
  <c r="F8930" i="15"/>
  <c r="E8930" i="15" s="1"/>
  <c r="H8930" i="15" s="1"/>
  <c r="F8929" i="15"/>
  <c r="E8929" i="15" s="1"/>
  <c r="H8929" i="15" s="1"/>
  <c r="F8928" i="15"/>
  <c r="E8928" i="15" s="1"/>
  <c r="H8928" i="15" s="1"/>
  <c r="E8916" i="15"/>
  <c r="C8916" i="15" s="1"/>
  <c r="F8916" i="15" s="1"/>
  <c r="C8915" i="15"/>
  <c r="F8915" i="15" s="1"/>
  <c r="E8914" i="15"/>
  <c r="C8914" i="15" s="1"/>
  <c r="F8914" i="15" s="1"/>
  <c r="C8913" i="15"/>
  <c r="F8913" i="15" s="1"/>
  <c r="C8912" i="15"/>
  <c r="F8912" i="15" s="1"/>
  <c r="G8908" i="15"/>
  <c r="G8907" i="15"/>
  <c r="C8901" i="15"/>
  <c r="B8901" i="15" s="1"/>
  <c r="D8901" i="15" s="1"/>
  <c r="C8900" i="15"/>
  <c r="B8900" i="15" s="1"/>
  <c r="D8900" i="15" s="1"/>
  <c r="C8899" i="15"/>
  <c r="B8899" i="15" s="1"/>
  <c r="D8899" i="15" s="1"/>
  <c r="C8898" i="15"/>
  <c r="B8898" i="15" s="1"/>
  <c r="D8898" i="15" s="1"/>
  <c r="C8897" i="15"/>
  <c r="B8897" i="15" s="1"/>
  <c r="D8897" i="15" s="1"/>
  <c r="B8896" i="15"/>
  <c r="D8896" i="15" s="1"/>
  <c r="B8895" i="15"/>
  <c r="D8895" i="15" s="1"/>
  <c r="C8894" i="15"/>
  <c r="B8894" i="15" s="1"/>
  <c r="D8894" i="15" s="1"/>
  <c r="C8893" i="15"/>
  <c r="B8893" i="15" s="1"/>
  <c r="D8893" i="15" s="1"/>
  <c r="C8892" i="15"/>
  <c r="B8892" i="15" s="1"/>
  <c r="D8892" i="15" s="1"/>
  <c r="F8886" i="15"/>
  <c r="F8885" i="15"/>
  <c r="F8884" i="15"/>
  <c r="F8883" i="15"/>
  <c r="F8882" i="15"/>
  <c r="F8881" i="15"/>
  <c r="F8880" i="15"/>
  <c r="E8874" i="15"/>
  <c r="F8867" i="15"/>
  <c r="F8863" i="15"/>
  <c r="F8862" i="15"/>
  <c r="F8857" i="15"/>
  <c r="F8856" i="15"/>
  <c r="F8851" i="15"/>
  <c r="F8850" i="15"/>
  <c r="F8849" i="15"/>
  <c r="F8848" i="15"/>
  <c r="F8847" i="15"/>
  <c r="F8846" i="15"/>
  <c r="O8840" i="15"/>
  <c r="M8840" i="15"/>
  <c r="K8840" i="15"/>
  <c r="G8840" i="15"/>
  <c r="O8839" i="15"/>
  <c r="M8839" i="15"/>
  <c r="K8839" i="15"/>
  <c r="G8839" i="15"/>
  <c r="O8838" i="15"/>
  <c r="M8838" i="15"/>
  <c r="K8838" i="15"/>
  <c r="G8838" i="15"/>
  <c r="O8837" i="15"/>
  <c r="M8837" i="15"/>
  <c r="K8837" i="15"/>
  <c r="G8837" i="15"/>
  <c r="O8836" i="15"/>
  <c r="M8836" i="15"/>
  <c r="K8836" i="15"/>
  <c r="G8836" i="15"/>
  <c r="E8830" i="15"/>
  <c r="E8829" i="15"/>
  <c r="F8825" i="15"/>
  <c r="F8824" i="15"/>
  <c r="F8823" i="15"/>
  <c r="E8819" i="15"/>
  <c r="E8818" i="15"/>
  <c r="E8817" i="15"/>
  <c r="E8816" i="15"/>
  <c r="J8813" i="15"/>
  <c r="I8813" i="15"/>
  <c r="K8813" i="15" s="1"/>
  <c r="E8808" i="15"/>
  <c r="E8807" i="15"/>
  <c r="F8803" i="15"/>
  <c r="F8802" i="15"/>
  <c r="F8801" i="15"/>
  <c r="G8789" i="15"/>
  <c r="G8788" i="15"/>
  <c r="E8787" i="15"/>
  <c r="G8787" i="15" s="1"/>
  <c r="F8783" i="15"/>
  <c r="H8778" i="15"/>
  <c r="F8776" i="15"/>
  <c r="H8776" i="15" s="1"/>
  <c r="E8772" i="15"/>
  <c r="F8768" i="15"/>
  <c r="F8763" i="15"/>
  <c r="E8730" i="15"/>
  <c r="F8726" i="15"/>
  <c r="F8725" i="15"/>
  <c r="H8719" i="15"/>
  <c r="H8718" i="15"/>
  <c r="F8717" i="15"/>
  <c r="H8717" i="15" s="1"/>
  <c r="H8716" i="15"/>
  <c r="E8711" i="15"/>
  <c r="K8711" i="15" s="1"/>
  <c r="D8711" i="15"/>
  <c r="J8711" i="15" s="1"/>
  <c r="F8707" i="15"/>
  <c r="F8706" i="15"/>
  <c r="F8701" i="15"/>
  <c r="F8700" i="15"/>
  <c r="F8680" i="15"/>
  <c r="F8679" i="15"/>
  <c r="F8678" i="15"/>
  <c r="F8677" i="15"/>
  <c r="F8671" i="15"/>
  <c r="J8658" i="15"/>
  <c r="I8658" i="15"/>
  <c r="K8658" i="15" s="1"/>
  <c r="F8654" i="15"/>
  <c r="F8653" i="15"/>
  <c r="F8652" i="15"/>
  <c r="G8649" i="15"/>
  <c r="L8638" i="15"/>
  <c r="F8638" i="15"/>
  <c r="N8638" i="15" s="1"/>
  <c r="L8637" i="15"/>
  <c r="F8637" i="15"/>
  <c r="H8637" i="15" s="1"/>
  <c r="L8636" i="15"/>
  <c r="F8636" i="15"/>
  <c r="H8636" i="15" s="1"/>
  <c r="H8623" i="15"/>
  <c r="H8622" i="15"/>
  <c r="H8621" i="15"/>
  <c r="H8620" i="15"/>
  <c r="I8617" i="15"/>
  <c r="I8616" i="15"/>
  <c r="I8615" i="15"/>
  <c r="I8614" i="15"/>
  <c r="I8613" i="15"/>
  <c r="I8612" i="15"/>
  <c r="I8611" i="15"/>
  <c r="I8610" i="15"/>
  <c r="I8609" i="15"/>
  <c r="I8608" i="15"/>
  <c r="I8607" i="15"/>
  <c r="I8606" i="15"/>
  <c r="I8605" i="15"/>
  <c r="I8604" i="15"/>
  <c r="I8603" i="15"/>
  <c r="I8602" i="15"/>
  <c r="I8601" i="15"/>
  <c r="I8600" i="15"/>
  <c r="I8599" i="15"/>
  <c r="I8598" i="15"/>
  <c r="I8597" i="15"/>
  <c r="I8596" i="15"/>
  <c r="I8595" i="15"/>
  <c r="I8594" i="15"/>
  <c r="I8593" i="15"/>
  <c r="I8592" i="15"/>
  <c r="I8591" i="15"/>
  <c r="I8590" i="15"/>
  <c r="I8589" i="15"/>
  <c r="I8588" i="15"/>
  <c r="I8587" i="15"/>
  <c r="I8586" i="15"/>
  <c r="I8585" i="15"/>
  <c r="I8584" i="15"/>
  <c r="I8583" i="15"/>
  <c r="I8582" i="15"/>
  <c r="I8581" i="15"/>
  <c r="I8580" i="15"/>
  <c r="I8579" i="15"/>
  <c r="I8576" i="15"/>
  <c r="I8568" i="15"/>
  <c r="F8551" i="15"/>
  <c r="F8550" i="15"/>
  <c r="F8545" i="15"/>
  <c r="F8544" i="15"/>
  <c r="F8509" i="15"/>
  <c r="F8498" i="15"/>
  <c r="F8497" i="15"/>
  <c r="F8496" i="15"/>
  <c r="F8495" i="15"/>
  <c r="F8494" i="15"/>
  <c r="F8493" i="15"/>
  <c r="F8492" i="15"/>
  <c r="F8486" i="15"/>
  <c r="F8480" i="15"/>
  <c r="E8469" i="15"/>
  <c r="K8465" i="15"/>
  <c r="E8465" i="15"/>
  <c r="K8464" i="15"/>
  <c r="I8464" i="15"/>
  <c r="E8464" i="15"/>
  <c r="O8462" i="15"/>
  <c r="M8462" i="15"/>
  <c r="I8462" i="15"/>
  <c r="O8461" i="15"/>
  <c r="M8461" i="15"/>
  <c r="I8461" i="15"/>
  <c r="O8460" i="15"/>
  <c r="M8460" i="15"/>
  <c r="I8460" i="15"/>
  <c r="E8455" i="15"/>
  <c r="D8455" i="15" s="1"/>
  <c r="F8455" i="15" s="1"/>
  <c r="D8454" i="15"/>
  <c r="F8454" i="15" s="1"/>
  <c r="G8450" i="15"/>
  <c r="F8444" i="15"/>
  <c r="C8439" i="15"/>
  <c r="B8439" i="15" s="1"/>
  <c r="D8439" i="15" s="1"/>
  <c r="C8438" i="15"/>
  <c r="B8438" i="15" s="1"/>
  <c r="D8438" i="15" s="1"/>
  <c r="C8437" i="15"/>
  <c r="B8437" i="15"/>
  <c r="D8437" i="15" s="1"/>
  <c r="C8436" i="15"/>
  <c r="B8436" i="15" s="1"/>
  <c r="D8436" i="15" s="1"/>
  <c r="C8435" i="15"/>
  <c r="B8435" i="15" s="1"/>
  <c r="D8435" i="15" s="1"/>
  <c r="B8434" i="15"/>
  <c r="D8434" i="15" s="1"/>
  <c r="B8433" i="15"/>
  <c r="D8433" i="15" s="1"/>
  <c r="B8432" i="15"/>
  <c r="D8432" i="15" s="1"/>
  <c r="C8431" i="15"/>
  <c r="B8431" i="15" s="1"/>
  <c r="D8431" i="15" s="1"/>
  <c r="C8430" i="15"/>
  <c r="B8430" i="15" s="1"/>
  <c r="D8430" i="15" s="1"/>
  <c r="C8426" i="15"/>
  <c r="B8426" i="15" s="1"/>
  <c r="D8426" i="15" s="1"/>
  <c r="C8425" i="15"/>
  <c r="B8425" i="15" s="1"/>
  <c r="D8425" i="15" s="1"/>
  <c r="C8424" i="15"/>
  <c r="B8424" i="15" s="1"/>
  <c r="D8424" i="15" s="1"/>
  <c r="B8423" i="15"/>
  <c r="D8423" i="15" s="1"/>
  <c r="B8422" i="15"/>
  <c r="D8422" i="15" s="1"/>
  <c r="B8421" i="15"/>
  <c r="D8421" i="15" s="1"/>
  <c r="C8420" i="15"/>
  <c r="B8420" i="15" s="1"/>
  <c r="D8420" i="15" s="1"/>
  <c r="C8419" i="15"/>
  <c r="B8419" i="15" s="1"/>
  <c r="D8419" i="15" s="1"/>
  <c r="F8414" i="15"/>
  <c r="H8406" i="15"/>
  <c r="F8400" i="15"/>
  <c r="F8399" i="15"/>
  <c r="H8394" i="15"/>
  <c r="F8393" i="15"/>
  <c r="H8393" i="15" s="1"/>
  <c r="F8392" i="15"/>
  <c r="H8392" i="15" s="1"/>
  <c r="F8387" i="15"/>
  <c r="F8386" i="15"/>
  <c r="H8382" i="15"/>
  <c r="F8381" i="15"/>
  <c r="H8381" i="15" s="1"/>
  <c r="F8380" i="15"/>
  <c r="H8380" i="15" s="1"/>
  <c r="F8376" i="15"/>
  <c r="F8375" i="15"/>
  <c r="F8374" i="15"/>
  <c r="F8373" i="15"/>
  <c r="F8372" i="15"/>
  <c r="F8371" i="15"/>
  <c r="F8370" i="15"/>
  <c r="F8369" i="15"/>
  <c r="F8340" i="15"/>
  <c r="H8335" i="15"/>
  <c r="H8334" i="15"/>
  <c r="H8333" i="15"/>
  <c r="H8332" i="15"/>
  <c r="H8331" i="15"/>
  <c r="H8330" i="15"/>
  <c r="H8329" i="15"/>
  <c r="H8328" i="15"/>
  <c r="H8327" i="15"/>
  <c r="G8322" i="15"/>
  <c r="G8321" i="15"/>
  <c r="G8320" i="15"/>
  <c r="G8319" i="15"/>
  <c r="G8306" i="15"/>
  <c r="H8292" i="15"/>
  <c r="F8291" i="15"/>
  <c r="H8291" i="15" s="1"/>
  <c r="F8290" i="15"/>
  <c r="H8290" i="15" s="1"/>
  <c r="F8289" i="15"/>
  <c r="H8289" i="15" s="1"/>
  <c r="F8288" i="15"/>
  <c r="H8288" i="15" s="1"/>
  <c r="F8287" i="15"/>
  <c r="H8287" i="15" s="1"/>
  <c r="E8278" i="15"/>
  <c r="D8278" i="15" s="1"/>
  <c r="F8278" i="15" s="1"/>
  <c r="D8277" i="15"/>
  <c r="F8277" i="15" s="1"/>
  <c r="F8270" i="15"/>
  <c r="B8264" i="15"/>
  <c r="D8264" i="15" s="1"/>
  <c r="E8259" i="15"/>
  <c r="E8257" i="15"/>
  <c r="F8251" i="15"/>
  <c r="F8246" i="15"/>
  <c r="E8242" i="15"/>
  <c r="G8242" i="15" s="1"/>
  <c r="F8237" i="15"/>
  <c r="F8236" i="15"/>
  <c r="F8231" i="15"/>
  <c r="H8231" i="15" s="1"/>
  <c r="G8223" i="15"/>
  <c r="F8219" i="15"/>
  <c r="F8218" i="15"/>
  <c r="F8215" i="15"/>
  <c r="H8215" i="15" s="1"/>
  <c r="F8214" i="15"/>
  <c r="H8214" i="15" s="1"/>
  <c r="F8212" i="15"/>
  <c r="H8212" i="15" s="1"/>
  <c r="F8211" i="15"/>
  <c r="H8211" i="15" s="1"/>
  <c r="E8207" i="15"/>
  <c r="K8207" i="15" s="1"/>
  <c r="D8207" i="15"/>
  <c r="J8207" i="15" s="1"/>
  <c r="E8206" i="15"/>
  <c r="K8206" i="15" s="1"/>
  <c r="D8206" i="15"/>
  <c r="J8206" i="15" s="1"/>
  <c r="E8205" i="15"/>
  <c r="K8205" i="15" s="1"/>
  <c r="D8205" i="15"/>
  <c r="J8205" i="15" s="1"/>
  <c r="E8204" i="15"/>
  <c r="K8204" i="15" s="1"/>
  <c r="D8204" i="15"/>
  <c r="J8204" i="15" s="1"/>
  <c r="E8203" i="15"/>
  <c r="K8203" i="15" s="1"/>
  <c r="D8203" i="15"/>
  <c r="J8203" i="15" s="1"/>
  <c r="E8202" i="15"/>
  <c r="K8202" i="15" s="1"/>
  <c r="D8202" i="15"/>
  <c r="J8202" i="15" s="1"/>
  <c r="E8201" i="15"/>
  <c r="K8201" i="15" s="1"/>
  <c r="D8201" i="15"/>
  <c r="J8201" i="15" s="1"/>
  <c r="E8200" i="15"/>
  <c r="K8200" i="15" s="1"/>
  <c r="D8200" i="15"/>
  <c r="J8200" i="15" s="1"/>
  <c r="E8199" i="15"/>
  <c r="K8199" i="15" s="1"/>
  <c r="D8199" i="15"/>
  <c r="J8199" i="15" s="1"/>
  <c r="E8198" i="15"/>
  <c r="K8198" i="15" s="1"/>
  <c r="D8198" i="15"/>
  <c r="J8198" i="15" s="1"/>
  <c r="I8195" i="15"/>
  <c r="J8195" i="15" s="1"/>
  <c r="H8195" i="15"/>
  <c r="G8189" i="15"/>
  <c r="H8185" i="15"/>
  <c r="F8172" i="15"/>
  <c r="E8168" i="15"/>
  <c r="E8167" i="15"/>
  <c r="E8166" i="15"/>
  <c r="E8165" i="15"/>
  <c r="D8159" i="15"/>
  <c r="H8159" i="15" s="1"/>
  <c r="D8158" i="15"/>
  <c r="H8158" i="15" s="1"/>
  <c r="F8153" i="15"/>
  <c r="B8153" i="15" s="1"/>
  <c r="G8153" i="15" s="1"/>
  <c r="D8149" i="15"/>
  <c r="E8149" i="15" s="1"/>
  <c r="D8148" i="15"/>
  <c r="E8148" i="15" s="1"/>
  <c r="D8147" i="15"/>
  <c r="E8147" i="15" s="1"/>
  <c r="F8142" i="15"/>
  <c r="F8141" i="15"/>
  <c r="F8137" i="15"/>
  <c r="F8136" i="15"/>
  <c r="F8131" i="15"/>
  <c r="G8120" i="15"/>
  <c r="E8119" i="15"/>
  <c r="G8119" i="15" s="1"/>
  <c r="E8114" i="15"/>
  <c r="F8109" i="15"/>
  <c r="F8108" i="15"/>
  <c r="F8107" i="15"/>
  <c r="F8106" i="15"/>
  <c r="F8105" i="15"/>
  <c r="F8104" i="15"/>
  <c r="F8103" i="15"/>
  <c r="F8101" i="15"/>
  <c r="F8100" i="15"/>
  <c r="F8099" i="15"/>
  <c r="F8096" i="15"/>
  <c r="F8095" i="15"/>
  <c r="F8094" i="15"/>
  <c r="F8093" i="15"/>
  <c r="F8092" i="15"/>
  <c r="F8091" i="15"/>
  <c r="F8090" i="15"/>
  <c r="F8088" i="15"/>
  <c r="F8087" i="15"/>
  <c r="F8086" i="15"/>
  <c r="E8080" i="15"/>
  <c r="E8079" i="15"/>
  <c r="H8074" i="15"/>
  <c r="F8073" i="15"/>
  <c r="H8073" i="15" s="1"/>
  <c r="E8066" i="15"/>
  <c r="F8066" i="15" s="1"/>
  <c r="C8066" i="15"/>
  <c r="E8065" i="15"/>
  <c r="F8065" i="15" s="1"/>
  <c r="C8065" i="15"/>
  <c r="E8064" i="15"/>
  <c r="I8064" i="15" s="1"/>
  <c r="E8063" i="15"/>
  <c r="I8063" i="15" s="1"/>
  <c r="E8062" i="15"/>
  <c r="F8062" i="15" s="1"/>
  <c r="C8062" i="15"/>
  <c r="E8061" i="15"/>
  <c r="I8061" i="15" s="1"/>
  <c r="C8061" i="15"/>
  <c r="E8060" i="15"/>
  <c r="F8060" i="15" s="1"/>
  <c r="C8060" i="15"/>
  <c r="E8059" i="15"/>
  <c r="F8059" i="15" s="1"/>
  <c r="C8059" i="15"/>
  <c r="E8058" i="15"/>
  <c r="I8058" i="15" s="1"/>
  <c r="C8058" i="15"/>
  <c r="E8057" i="15"/>
  <c r="I8057" i="15" s="1"/>
  <c r="C8057" i="15"/>
  <c r="E8056" i="15"/>
  <c r="F8056" i="15" s="1"/>
  <c r="C8056" i="15"/>
  <c r="F8051" i="15"/>
  <c r="F8050" i="15"/>
  <c r="F8049" i="15"/>
  <c r="F8048" i="15"/>
  <c r="F8047" i="15"/>
  <c r="F8046" i="15"/>
  <c r="F8045" i="15"/>
  <c r="F8044" i="15"/>
  <c r="F8043" i="15"/>
  <c r="F8042" i="15"/>
  <c r="F8041" i="15"/>
  <c r="F8032" i="15"/>
  <c r="F8031" i="15"/>
  <c r="G8028" i="15"/>
  <c r="H8028" i="15" s="1"/>
  <c r="G8027" i="15"/>
  <c r="H8027" i="15" s="1"/>
  <c r="G8026" i="15"/>
  <c r="H8026" i="15" s="1"/>
  <c r="E8022" i="15"/>
  <c r="F8022" i="15" s="1"/>
  <c r="D8006" i="15"/>
  <c r="G8006" i="15" s="1"/>
  <c r="D8005" i="15"/>
  <c r="E8005" i="15" s="1"/>
  <c r="D8004" i="15"/>
  <c r="G8004" i="15" s="1"/>
  <c r="F7998" i="15"/>
  <c r="I7986" i="15"/>
  <c r="D7975" i="15"/>
  <c r="E7975" i="15" s="1"/>
  <c r="D7966" i="15"/>
  <c r="E7966" i="15" s="1"/>
  <c r="D7964" i="15"/>
  <c r="E7964" i="15" s="1"/>
  <c r="D7963" i="15"/>
  <c r="E7963" i="15" s="1"/>
  <c r="E7939" i="15"/>
  <c r="E7938" i="15"/>
  <c r="E7937" i="15"/>
  <c r="E7932" i="15"/>
  <c r="F7928" i="15"/>
  <c r="E7924" i="15"/>
  <c r="F7920" i="15"/>
  <c r="F7913" i="15"/>
  <c r="E7906" i="15"/>
  <c r="K7906" i="15" s="1"/>
  <c r="D7906" i="15"/>
  <c r="J7906" i="15" s="1"/>
  <c r="E7903" i="15"/>
  <c r="K7903" i="15" s="1"/>
  <c r="D7903" i="15"/>
  <c r="J7903" i="15" s="1"/>
  <c r="E7902" i="15"/>
  <c r="K7902" i="15" s="1"/>
  <c r="D7902" i="15"/>
  <c r="J7902" i="15" s="1"/>
  <c r="E7901" i="15"/>
  <c r="K7901" i="15" s="1"/>
  <c r="D7901" i="15"/>
  <c r="J7901" i="15" s="1"/>
  <c r="E7900" i="15"/>
  <c r="K7900" i="15" s="1"/>
  <c r="D7900" i="15"/>
  <c r="J7900" i="15" s="1"/>
  <c r="E7899" i="15"/>
  <c r="K7899" i="15" s="1"/>
  <c r="D7899" i="15"/>
  <c r="J7899" i="15" s="1"/>
  <c r="E7898" i="15"/>
  <c r="K7898" i="15" s="1"/>
  <c r="D7898" i="15"/>
  <c r="J7898" i="15" s="1"/>
  <c r="E7897" i="15"/>
  <c r="K7897" i="15" s="1"/>
  <c r="D7897" i="15"/>
  <c r="J7897" i="15" s="1"/>
  <c r="E7896" i="15"/>
  <c r="K7896" i="15" s="1"/>
  <c r="D7896" i="15"/>
  <c r="J7896" i="15" s="1"/>
  <c r="E7895" i="15"/>
  <c r="K7895" i="15" s="1"/>
  <c r="D7895" i="15"/>
  <c r="J7895" i="15" s="1"/>
  <c r="E7894" i="15"/>
  <c r="K7894" i="15" s="1"/>
  <c r="D7894" i="15"/>
  <c r="J7894" i="15" s="1"/>
  <c r="E7893" i="15"/>
  <c r="K7893" i="15" s="1"/>
  <c r="D7893" i="15"/>
  <c r="J7893" i="15" s="1"/>
  <c r="E7892" i="15"/>
  <c r="K7892" i="15" s="1"/>
  <c r="D7892" i="15"/>
  <c r="J7892" i="15" s="1"/>
  <c r="E7891" i="15"/>
  <c r="K7891" i="15" s="1"/>
  <c r="D7891" i="15"/>
  <c r="J7891" i="15" s="1"/>
  <c r="I7886" i="15"/>
  <c r="H7881" i="15"/>
  <c r="F7880" i="15"/>
  <c r="H7880" i="15" s="1"/>
  <c r="F7879" i="15"/>
  <c r="H7879" i="15" s="1"/>
  <c r="F7878" i="15"/>
  <c r="H7878" i="15" s="1"/>
  <c r="C7875" i="15"/>
  <c r="D7875" i="15" s="1"/>
  <c r="C7874" i="15"/>
  <c r="D7874" i="15" s="1"/>
  <c r="C7873" i="15"/>
  <c r="D7873" i="15" s="1"/>
  <c r="C7872" i="15"/>
  <c r="D7872" i="15" s="1"/>
  <c r="C7871" i="15"/>
  <c r="D7871" i="15" s="1"/>
  <c r="C7864" i="15"/>
  <c r="B7864" i="15" s="1"/>
  <c r="D7864" i="15" s="1"/>
  <c r="C7863" i="15"/>
  <c r="B7863" i="15" s="1"/>
  <c r="D7863" i="15" s="1"/>
  <c r="C7862" i="15"/>
  <c r="B7862" i="15" s="1"/>
  <c r="D7862" i="15" s="1"/>
  <c r="C7861" i="15"/>
  <c r="B7861" i="15" s="1"/>
  <c r="D7861" i="15" s="1"/>
  <c r="C7860" i="15"/>
  <c r="D7860" i="15" s="1"/>
  <c r="C7859" i="15"/>
  <c r="D7859" i="15" s="1"/>
  <c r="B7858" i="15"/>
  <c r="D7858" i="15" s="1"/>
  <c r="F7836" i="15"/>
  <c r="F7830" i="15"/>
  <c r="D7830" i="15" s="1"/>
  <c r="D7829" i="15"/>
  <c r="F7828" i="15"/>
  <c r="D7828" i="15" s="1"/>
  <c r="D7827" i="15"/>
  <c r="F7826" i="15"/>
  <c r="D7826" i="15" s="1"/>
  <c r="D7825" i="15"/>
  <c r="F7824" i="15"/>
  <c r="D7824" i="15" s="1"/>
  <c r="D7823" i="15"/>
  <c r="F7822" i="15"/>
  <c r="D7822" i="15" s="1"/>
  <c r="D7821" i="15"/>
  <c r="F7820" i="15"/>
  <c r="D7820" i="15" s="1"/>
  <c r="D7819" i="15"/>
  <c r="D7812" i="15"/>
  <c r="D7811" i="15"/>
  <c r="F7806" i="15"/>
  <c r="E7801" i="15"/>
  <c r="D7788" i="15"/>
  <c r="D7787" i="15"/>
  <c r="D7786" i="15"/>
  <c r="B7780" i="15"/>
  <c r="F7764" i="15"/>
  <c r="D7760" i="15"/>
  <c r="D7759" i="15"/>
  <c r="D7758" i="15"/>
  <c r="F7730" i="15"/>
  <c r="E7710" i="15"/>
  <c r="E7706" i="15"/>
  <c r="D7706" i="15"/>
  <c r="C7706" i="15"/>
  <c r="E7705" i="15"/>
  <c r="D7705" i="15"/>
  <c r="C7705" i="15"/>
  <c r="E7704" i="15"/>
  <c r="D7704" i="15"/>
  <c r="C7704" i="15"/>
  <c r="E7700" i="15"/>
  <c r="D7700" i="15"/>
  <c r="E7681" i="15"/>
  <c r="E7686" i="15" s="1"/>
  <c r="D7681" i="15"/>
  <c r="D7686" i="15" s="1"/>
  <c r="C7681" i="15"/>
  <c r="C7686" i="15" s="1"/>
  <c r="E7670" i="15"/>
  <c r="E7675" i="15" s="1"/>
  <c r="D7670" i="15"/>
  <c r="D7675" i="15" s="1"/>
  <c r="C7670" i="15"/>
  <c r="C7675" i="15" s="1"/>
  <c r="E7661" i="15"/>
  <c r="E7665" i="15" s="1"/>
  <c r="D7661" i="15"/>
  <c r="D7665" i="15" s="1"/>
  <c r="C7661" i="15"/>
  <c r="C7665" i="15" s="1"/>
  <c r="D7655" i="15"/>
  <c r="E7651" i="15"/>
  <c r="D7651" i="15"/>
  <c r="D7646" i="15"/>
  <c r="G7646" i="15" s="1"/>
  <c r="D7645" i="15"/>
  <c r="E7645" i="15" s="1"/>
  <c r="F7640" i="15"/>
  <c r="F7639" i="15"/>
  <c r="F7638" i="15"/>
  <c r="C7620" i="15"/>
  <c r="D7611" i="15"/>
  <c r="B7611" i="15" s="1"/>
  <c r="B7610" i="15"/>
  <c r="F7601" i="15"/>
  <c r="D7601" i="15" s="1"/>
  <c r="D7600" i="15"/>
  <c r="F7599" i="15"/>
  <c r="D7599" i="15" s="1"/>
  <c r="D7598" i="15"/>
  <c r="D7597" i="15"/>
  <c r="D7588" i="15"/>
  <c r="D7587" i="15"/>
  <c r="D7586" i="15"/>
  <c r="D7585" i="15"/>
  <c r="B7579" i="15"/>
  <c r="B7574" i="15"/>
  <c r="I7555" i="15"/>
  <c r="I7554" i="15"/>
  <c r="I7553" i="15"/>
  <c r="I7552" i="15"/>
  <c r="I7551" i="15"/>
  <c r="I7550" i="15"/>
  <c r="I7549" i="15"/>
  <c r="I7548" i="15"/>
  <c r="I7547" i="15"/>
  <c r="I7546" i="15"/>
  <c r="I7545" i="15"/>
  <c r="I7544" i="15"/>
  <c r="I7543" i="15"/>
  <c r="I7542" i="15"/>
  <c r="I7541" i="15"/>
  <c r="I7540" i="15"/>
  <c r="I7539" i="15"/>
  <c r="I7538" i="15"/>
  <c r="I7537" i="15"/>
  <c r="I7536" i="15"/>
  <c r="I7535" i="15"/>
  <c r="I7534" i="15"/>
  <c r="I7533" i="15"/>
  <c r="I7532" i="15"/>
  <c r="I7531" i="15"/>
  <c r="I7530" i="15"/>
  <c r="I7529" i="15"/>
  <c r="I7528" i="15"/>
  <c r="I7527" i="15"/>
  <c r="I7526" i="15"/>
  <c r="I7525" i="15"/>
  <c r="I7524" i="15"/>
  <c r="I7523" i="15"/>
  <c r="I7522" i="15"/>
  <c r="I7521" i="15"/>
  <c r="I7520" i="15"/>
  <c r="I7519" i="15"/>
  <c r="I7518" i="15"/>
  <c r="I7517" i="15"/>
  <c r="I7516" i="15"/>
  <c r="I7515" i="15"/>
  <c r="I7514" i="15"/>
  <c r="I7513" i="15"/>
  <c r="E7507" i="15"/>
  <c r="E7506" i="15"/>
  <c r="E7505" i="15"/>
  <c r="D7501" i="15"/>
  <c r="F7497" i="15"/>
  <c r="F7496" i="15"/>
  <c r="F7495" i="15"/>
  <c r="F7494" i="15"/>
  <c r="F7493" i="15"/>
  <c r="F7492" i="15"/>
  <c r="F7491" i="15"/>
  <c r="C7488" i="15"/>
  <c r="B7488" i="15" s="1"/>
  <c r="C7487" i="15"/>
  <c r="B7487" i="15" s="1"/>
  <c r="C7486" i="15"/>
  <c r="B7486" i="15" s="1"/>
  <c r="G7483" i="15"/>
  <c r="G7481" i="15"/>
  <c r="G7479" i="15"/>
  <c r="G7477" i="15"/>
  <c r="G7475" i="15"/>
  <c r="G7473" i="15"/>
  <c r="F7457" i="15"/>
  <c r="F7456" i="15"/>
  <c r="D7452" i="15"/>
  <c r="E7451" i="15"/>
  <c r="D7451" i="15" s="1"/>
  <c r="D7450" i="15"/>
  <c r="D7447" i="15"/>
  <c r="G7443" i="15"/>
  <c r="E7442" i="15"/>
  <c r="G7442" i="15" s="1"/>
  <c r="E7441" i="15"/>
  <c r="G7441" i="15" s="1"/>
  <c r="F7438" i="15"/>
  <c r="F7437" i="15"/>
  <c r="F7436" i="15"/>
  <c r="F7435" i="15"/>
  <c r="F7434" i="15"/>
  <c r="F7433" i="15"/>
  <c r="F7422" i="15"/>
  <c r="F7421" i="15"/>
  <c r="F7420" i="15"/>
  <c r="F7419" i="15"/>
  <c r="F7418" i="15"/>
  <c r="K7410" i="15"/>
  <c r="H7410" i="15" s="1"/>
  <c r="I7410" i="15"/>
  <c r="K7407" i="15"/>
  <c r="H7407" i="15" s="1"/>
  <c r="I7407" i="15"/>
  <c r="K7404" i="15"/>
  <c r="L7404" i="15" s="1"/>
  <c r="I7404" i="15"/>
  <c r="K7401" i="15"/>
  <c r="L7401" i="15" s="1"/>
  <c r="I7401" i="15"/>
  <c r="K7398" i="15"/>
  <c r="H7398" i="15" s="1"/>
  <c r="I7398" i="15"/>
  <c r="K7395" i="15"/>
  <c r="L7395" i="15" s="1"/>
  <c r="I7395" i="15"/>
  <c r="K7392" i="15"/>
  <c r="L7392" i="15" s="1"/>
  <c r="I7392" i="15"/>
  <c r="K7389" i="15"/>
  <c r="H7389" i="15" s="1"/>
  <c r="I7389" i="15"/>
  <c r="K7386" i="15"/>
  <c r="L7386" i="15" s="1"/>
  <c r="I7386" i="15"/>
  <c r="K7383" i="15"/>
  <c r="H7383" i="15" s="1"/>
  <c r="I7383" i="15"/>
  <c r="H7377" i="15"/>
  <c r="E7377" i="15" s="1"/>
  <c r="F7377" i="15"/>
  <c r="H7374" i="15"/>
  <c r="I7374" i="15" s="1"/>
  <c r="F7374" i="15"/>
  <c r="H7371" i="15"/>
  <c r="I7371" i="15" s="1"/>
  <c r="F7371" i="15"/>
  <c r="H7368" i="15"/>
  <c r="E7368" i="15" s="1"/>
  <c r="F7368" i="15"/>
  <c r="H7365" i="15"/>
  <c r="I7365" i="15" s="1"/>
  <c r="F7365" i="15"/>
  <c r="H7362" i="15"/>
  <c r="I7362" i="15" s="1"/>
  <c r="F7362" i="15"/>
  <c r="H7359" i="15"/>
  <c r="E7359" i="15" s="1"/>
  <c r="F7359" i="15"/>
  <c r="H7356" i="15"/>
  <c r="I7356" i="15" s="1"/>
  <c r="F7356" i="15"/>
  <c r="H7353" i="15"/>
  <c r="I7353" i="15" s="1"/>
  <c r="F7353" i="15"/>
  <c r="H7350" i="15"/>
  <c r="E7350" i="15" s="1"/>
  <c r="F7350" i="15"/>
  <c r="H7337" i="15"/>
  <c r="F7336" i="15"/>
  <c r="H7336" i="15" s="1"/>
  <c r="F7335" i="15"/>
  <c r="H7335" i="15" s="1"/>
  <c r="F7334" i="15"/>
  <c r="H7334" i="15" s="1"/>
  <c r="F7333" i="15"/>
  <c r="H7333" i="15" s="1"/>
  <c r="F7332" i="15"/>
  <c r="H7332" i="15" s="1"/>
  <c r="F7328" i="15"/>
  <c r="F7327" i="15"/>
  <c r="F7326" i="15"/>
  <c r="B7322" i="15"/>
  <c r="E7315" i="15"/>
  <c r="E7314" i="15"/>
  <c r="E7313" i="15"/>
  <c r="E7312" i="15"/>
  <c r="E7311" i="15"/>
  <c r="G7303" i="15"/>
  <c r="G7302" i="15"/>
  <c r="G7301" i="15"/>
  <c r="G7300" i="15"/>
  <c r="G7299" i="15"/>
  <c r="G7298" i="15"/>
  <c r="G7297" i="15"/>
  <c r="G7296" i="15"/>
  <c r="G7295" i="15"/>
  <c r="F7282" i="15"/>
  <c r="C7278" i="15"/>
  <c r="C7277" i="15"/>
  <c r="C7276" i="15"/>
  <c r="C7275" i="15"/>
  <c r="C7274" i="15"/>
  <c r="C7273" i="15"/>
  <c r="G7265" i="15"/>
  <c r="J7265" i="15" s="1"/>
  <c r="G7264" i="15"/>
  <c r="J7264" i="15" s="1"/>
  <c r="G7263" i="15"/>
  <c r="J7263" i="15" s="1"/>
  <c r="G7262" i="15"/>
  <c r="J7262" i="15" s="1"/>
  <c r="G7261" i="15"/>
  <c r="J7261" i="15" s="1"/>
  <c r="G7260" i="15"/>
  <c r="J7260" i="15" s="1"/>
  <c r="G7259" i="15"/>
  <c r="J7259" i="15" s="1"/>
  <c r="G7258" i="15"/>
  <c r="J7258" i="15" s="1"/>
  <c r="G7257" i="15"/>
  <c r="J7257" i="15" s="1"/>
  <c r="F7253" i="15"/>
  <c r="F7252" i="15"/>
  <c r="F7248" i="15"/>
  <c r="F7247" i="15"/>
  <c r="F7246" i="15"/>
  <c r="F7245" i="15"/>
  <c r="F7244" i="15"/>
  <c r="C7238" i="15"/>
  <c r="C7237" i="15"/>
  <c r="F7232" i="15"/>
  <c r="F7231" i="15"/>
  <c r="D7211" i="15"/>
  <c r="F7198" i="15"/>
  <c r="F7197" i="15"/>
  <c r="F7196" i="15"/>
  <c r="F7195" i="15"/>
  <c r="F7194" i="15"/>
  <c r="F7189" i="15"/>
  <c r="F7177" i="15"/>
  <c r="F7176" i="15"/>
  <c r="F7172" i="15"/>
  <c r="G7168" i="15"/>
  <c r="G7163" i="15"/>
  <c r="I7163" i="15" s="1"/>
  <c r="G7162" i="15"/>
  <c r="I7162" i="15" s="1"/>
  <c r="G7161" i="15"/>
  <c r="I7161" i="15" s="1"/>
  <c r="I7157" i="15"/>
  <c r="I7156" i="15"/>
  <c r="G7155" i="15"/>
  <c r="I7155" i="15" s="1"/>
  <c r="G7154" i="15"/>
  <c r="I7154" i="15" s="1"/>
  <c r="G7153" i="15"/>
  <c r="I7153" i="15" s="1"/>
  <c r="F7149" i="15"/>
  <c r="F7144" i="15"/>
  <c r="H7144" i="15" s="1"/>
  <c r="F7143" i="15"/>
  <c r="H7143" i="15" s="1"/>
  <c r="F7142" i="15"/>
  <c r="D7137" i="15"/>
  <c r="C7137" i="15"/>
  <c r="F7132" i="15"/>
  <c r="E7127" i="15"/>
  <c r="F7124" i="15"/>
  <c r="F7121" i="15"/>
  <c r="F7118" i="15"/>
  <c r="F7117" i="15"/>
  <c r="G7112" i="15"/>
  <c r="G7111" i="15"/>
  <c r="G7106" i="15"/>
  <c r="E7097" i="15"/>
  <c r="G7093" i="15"/>
  <c r="G7092" i="15"/>
  <c r="G7091" i="15"/>
  <c r="G7090" i="15"/>
  <c r="F7082" i="15"/>
  <c r="F7081" i="15"/>
  <c r="F7080" i="15"/>
  <c r="G7076" i="15"/>
  <c r="G7075" i="15"/>
  <c r="F7071" i="15"/>
  <c r="G7067" i="15"/>
  <c r="F7045" i="15"/>
  <c r="F7044" i="15"/>
  <c r="F7043" i="15"/>
  <c r="F7042" i="15"/>
  <c r="F7037" i="15"/>
  <c r="F7034" i="15"/>
  <c r="F7033" i="15"/>
  <c r="G7030" i="15"/>
  <c r="G7029" i="15"/>
  <c r="G7028" i="15"/>
  <c r="G7027" i="15"/>
  <c r="G7026" i="15"/>
  <c r="G7025" i="15"/>
  <c r="G7006" i="15"/>
  <c r="E7005" i="15"/>
  <c r="G7005" i="15" s="1"/>
  <c r="E7004" i="15"/>
  <c r="G7004" i="15" s="1"/>
  <c r="E7003" i="15"/>
  <c r="G7003" i="15" s="1"/>
  <c r="E7002" i="15"/>
  <c r="G7002" i="15" s="1"/>
  <c r="I6993" i="15"/>
  <c r="G6992" i="15"/>
  <c r="I6992" i="15" s="1"/>
  <c r="F6988" i="15"/>
  <c r="F6985" i="15"/>
  <c r="F6983" i="15"/>
  <c r="F6981" i="15"/>
  <c r="F6960" i="15"/>
  <c r="I6960" i="15" s="1"/>
  <c r="F6959" i="15"/>
  <c r="I6959" i="15" s="1"/>
  <c r="F6958" i="15"/>
  <c r="I6958" i="15" s="1"/>
  <c r="F6957" i="15"/>
  <c r="I6957" i="15" s="1"/>
  <c r="F6955" i="15"/>
  <c r="I6955" i="15" s="1"/>
  <c r="F6954" i="15"/>
  <c r="I6954" i="15" s="1"/>
  <c r="F6953" i="15"/>
  <c r="I6953" i="15" s="1"/>
  <c r="F6952" i="15"/>
  <c r="I6952" i="15" s="1"/>
  <c r="F6951" i="15"/>
  <c r="I6951" i="15" s="1"/>
  <c r="F6950" i="15"/>
  <c r="I6950" i="15" s="1"/>
  <c r="F6948" i="15"/>
  <c r="I6948" i="15" s="1"/>
  <c r="F6947" i="15"/>
  <c r="I6947" i="15" s="1"/>
  <c r="F6946" i="15"/>
  <c r="I6946" i="15" s="1"/>
  <c r="F6945" i="15"/>
  <c r="I6945" i="15" s="1"/>
  <c r="F6944" i="15"/>
  <c r="I6944" i="15" s="1"/>
  <c r="F6943" i="15"/>
  <c r="I6943" i="15" s="1"/>
  <c r="F6941" i="15"/>
  <c r="I6941" i="15" s="1"/>
  <c r="F6940" i="15"/>
  <c r="I6940" i="15" s="1"/>
  <c r="F6939" i="15"/>
  <c r="I6939" i="15" s="1"/>
  <c r="F6938" i="15"/>
  <c r="I6938" i="15" s="1"/>
  <c r="F6937" i="15"/>
  <c r="I6937" i="15" s="1"/>
  <c r="F6936" i="15"/>
  <c r="I6936" i="15" s="1"/>
  <c r="E6901" i="15"/>
  <c r="D6900" i="15"/>
  <c r="E6900" i="15" s="1"/>
  <c r="D6899" i="15"/>
  <c r="E6899" i="15" s="1"/>
  <c r="D6898" i="15"/>
  <c r="E6898" i="15" s="1"/>
  <c r="D6897" i="15"/>
  <c r="E6897" i="15" s="1"/>
  <c r="E6896" i="15"/>
  <c r="M6892" i="15"/>
  <c r="G6892" i="15"/>
  <c r="M6891" i="15"/>
  <c r="G6891" i="15"/>
  <c r="M6890" i="15"/>
  <c r="G6890" i="15"/>
  <c r="M6889" i="15"/>
  <c r="G6889" i="15"/>
  <c r="M6887" i="15"/>
  <c r="G6887" i="15"/>
  <c r="M6886" i="15"/>
  <c r="G6886" i="15"/>
  <c r="M6885" i="15"/>
  <c r="G6885" i="15"/>
  <c r="M6884" i="15"/>
  <c r="G6884" i="15"/>
  <c r="M6883" i="15"/>
  <c r="G6883" i="15"/>
  <c r="M6882" i="15"/>
  <c r="G6882" i="15"/>
  <c r="M6880" i="15"/>
  <c r="G6880" i="15"/>
  <c r="M6879" i="15"/>
  <c r="G6879" i="15"/>
  <c r="M6878" i="15"/>
  <c r="G6878" i="15"/>
  <c r="M6877" i="15"/>
  <c r="G6877" i="15"/>
  <c r="M6876" i="15"/>
  <c r="G6876" i="15"/>
  <c r="M6875" i="15"/>
  <c r="G6875" i="15"/>
  <c r="M6873" i="15"/>
  <c r="G6873" i="15"/>
  <c r="M6872" i="15"/>
  <c r="G6872" i="15"/>
  <c r="M6871" i="15"/>
  <c r="G6871" i="15"/>
  <c r="M6870" i="15"/>
  <c r="G6870" i="15"/>
  <c r="M6869" i="15"/>
  <c r="G6869" i="15"/>
  <c r="M6868" i="15"/>
  <c r="G6868" i="15"/>
  <c r="O6863" i="15"/>
  <c r="G6863" i="15"/>
  <c r="K6863" i="15" s="1"/>
  <c r="O6862" i="15"/>
  <c r="G6862" i="15"/>
  <c r="K6862" i="15" s="1"/>
  <c r="O6861" i="15"/>
  <c r="G6861" i="15"/>
  <c r="K6861" i="15" s="1"/>
  <c r="O6860" i="15"/>
  <c r="G6860" i="15"/>
  <c r="K6860" i="15" s="1"/>
  <c r="O6859" i="15"/>
  <c r="G6859" i="15"/>
  <c r="K6859" i="15" s="1"/>
  <c r="O6858" i="15"/>
  <c r="G6858" i="15"/>
  <c r="K6858" i="15" s="1"/>
  <c r="B6844" i="15"/>
  <c r="B6842" i="15"/>
  <c r="B6840" i="15"/>
  <c r="B6838" i="15"/>
  <c r="B6836" i="15"/>
  <c r="F6832" i="15"/>
  <c r="F6831" i="15"/>
  <c r="F6830" i="15"/>
  <c r="G6774" i="15"/>
  <c r="G6773" i="15"/>
  <c r="E6769" i="15"/>
  <c r="E6768" i="15"/>
  <c r="E6767" i="15"/>
  <c r="E6766" i="15"/>
  <c r="E6764" i="15"/>
  <c r="E6762" i="15"/>
  <c r="E6761" i="15"/>
  <c r="E6760" i="15"/>
  <c r="E6758" i="15"/>
  <c r="F6753" i="15"/>
  <c r="E6749" i="15"/>
  <c r="E6748" i="15"/>
  <c r="E6747" i="15"/>
  <c r="E6745" i="15"/>
  <c r="E6744" i="15"/>
  <c r="E6743" i="15"/>
  <c r="E6742" i="15"/>
  <c r="E6741" i="15"/>
  <c r="E6740" i="15"/>
  <c r="E6739" i="15"/>
  <c r="E6738" i="15"/>
  <c r="E6737" i="15"/>
  <c r="E6736" i="15"/>
  <c r="F6709" i="15"/>
  <c r="F6708" i="15"/>
  <c r="F6703" i="15"/>
  <c r="F6702" i="15"/>
  <c r="F6701" i="15"/>
  <c r="F6698" i="15"/>
  <c r="F6695" i="15"/>
  <c r="F6694" i="15"/>
  <c r="F6693" i="15"/>
  <c r="F6690" i="15"/>
  <c r="C6675" i="15"/>
  <c r="C6674" i="15"/>
  <c r="C6673" i="15"/>
  <c r="C6672" i="15"/>
  <c r="E6666" i="15"/>
  <c r="B6661" i="15"/>
  <c r="B6660" i="15"/>
  <c r="B6659" i="15"/>
  <c r="B6658" i="15"/>
  <c r="B6657" i="15"/>
  <c r="E6646" i="15"/>
  <c r="E6645" i="15"/>
  <c r="E6644" i="15"/>
  <c r="E6643" i="15"/>
  <c r="E6642" i="15"/>
  <c r="G6626" i="15"/>
  <c r="E6625" i="15"/>
  <c r="G6625" i="15" s="1"/>
  <c r="E6624" i="15"/>
  <c r="G6624" i="15" s="1"/>
  <c r="E6623" i="15"/>
  <c r="G6623" i="15" s="1"/>
  <c r="E6620" i="15"/>
  <c r="G6620" i="15" s="1"/>
  <c r="E6615" i="15"/>
  <c r="E6611" i="15"/>
  <c r="G6608" i="15"/>
  <c r="E6607" i="15"/>
  <c r="G6607" i="15" s="1"/>
  <c r="E6606" i="15"/>
  <c r="G6606" i="15" s="1"/>
  <c r="E6605" i="15"/>
  <c r="G6605" i="15" s="1"/>
  <c r="G6583" i="15"/>
  <c r="F6583" i="15"/>
  <c r="E6583" i="15"/>
  <c r="F6567" i="15"/>
  <c r="F6566" i="15"/>
  <c r="F6558" i="15"/>
  <c r="I6554" i="15"/>
  <c r="G6553" i="15"/>
  <c r="I6553" i="15" s="1"/>
  <c r="G6552" i="15"/>
  <c r="I6552" i="15" s="1"/>
  <c r="E6547" i="15"/>
  <c r="D6547" i="15"/>
  <c r="I6542" i="15"/>
  <c r="G6541" i="15"/>
  <c r="I6541" i="15" s="1"/>
  <c r="G6536" i="15"/>
  <c r="M6531" i="15"/>
  <c r="F6531" i="15"/>
  <c r="M6530" i="15"/>
  <c r="J6530" i="15"/>
  <c r="K6530" i="15" s="1"/>
  <c r="F6530" i="15"/>
  <c r="M6529" i="15"/>
  <c r="J6529" i="15"/>
  <c r="F6529" i="15"/>
  <c r="M6528" i="15"/>
  <c r="J6528" i="15"/>
  <c r="F6528" i="15"/>
  <c r="M6527" i="15"/>
  <c r="J6527" i="15"/>
  <c r="F6527" i="15"/>
  <c r="F6503" i="15"/>
  <c r="F6502" i="15"/>
  <c r="F6497" i="15"/>
  <c r="E6493" i="15"/>
  <c r="E6492" i="15"/>
  <c r="E6491" i="15"/>
  <c r="E6490" i="15"/>
  <c r="E6489" i="15"/>
  <c r="E6488" i="15"/>
  <c r="E6487" i="15"/>
  <c r="G6482" i="15"/>
  <c r="G6481" i="15"/>
  <c r="G6480" i="15"/>
  <c r="G6479" i="15"/>
  <c r="G6478" i="15"/>
  <c r="G6477" i="15"/>
  <c r="G6476" i="15"/>
  <c r="G6475" i="15"/>
  <c r="G6474" i="15"/>
  <c r="G6473" i="15"/>
  <c r="G6471" i="15"/>
  <c r="G6470" i="15"/>
  <c r="G6469" i="15"/>
  <c r="F6444" i="15"/>
  <c r="F6443" i="15"/>
  <c r="F6442" i="15"/>
  <c r="F6441" i="15"/>
  <c r="F6440" i="15"/>
  <c r="F6439" i="15"/>
  <c r="F6438" i="15"/>
  <c r="F6437" i="15"/>
  <c r="F6436" i="15"/>
  <c r="F6435" i="15"/>
  <c r="F6433" i="15"/>
  <c r="F6432" i="15"/>
  <c r="F6431" i="15"/>
  <c r="G6425" i="15"/>
  <c r="G6424" i="15"/>
  <c r="G6423" i="15"/>
  <c r="J6419" i="15"/>
  <c r="F6419" i="15" s="1"/>
  <c r="I6419" i="15"/>
  <c r="G6419" i="15" s="1"/>
  <c r="H6419" i="15"/>
  <c r="E6419" i="15" s="1"/>
  <c r="H6416" i="15"/>
  <c r="E6416" i="15"/>
  <c r="E6415" i="15"/>
  <c r="E6414" i="15"/>
  <c r="E6413" i="15"/>
  <c r="F6407" i="15"/>
  <c r="F6406" i="15"/>
  <c r="F6405" i="15"/>
  <c r="F6404" i="15"/>
  <c r="F6403" i="15"/>
  <c r="E6397" i="15"/>
  <c r="D6396" i="15"/>
  <c r="E6396" i="15" s="1"/>
  <c r="D6395" i="15"/>
  <c r="E6395" i="15" s="1"/>
  <c r="D6394" i="15"/>
  <c r="E6394" i="15" s="1"/>
  <c r="D6393" i="15"/>
  <c r="E6393" i="15" s="1"/>
  <c r="D6392" i="15"/>
  <c r="E6392" i="15" s="1"/>
  <c r="D6391" i="15"/>
  <c r="E6391" i="15" s="1"/>
  <c r="D6386" i="15"/>
  <c r="C6386" i="15"/>
  <c r="D6385" i="15"/>
  <c r="C6385" i="15"/>
  <c r="D6384" i="15"/>
  <c r="C6384" i="15"/>
  <c r="D6383" i="15"/>
  <c r="C6383" i="15"/>
  <c r="D6382" i="15"/>
  <c r="C6382" i="15"/>
  <c r="D6381" i="15"/>
  <c r="C6381" i="15"/>
  <c r="I6333" i="15"/>
  <c r="G6332" i="15"/>
  <c r="I6332" i="15" s="1"/>
  <c r="I6329" i="15"/>
  <c r="I6328" i="15"/>
  <c r="I6327" i="15"/>
  <c r="G6314" i="15"/>
  <c r="G6311" i="15"/>
  <c r="G6310" i="15"/>
  <c r="G6309" i="15"/>
  <c r="G6306" i="15"/>
  <c r="F6301" i="15"/>
  <c r="F6298" i="15"/>
  <c r="F6297" i="15"/>
  <c r="F6296" i="15"/>
  <c r="F6295" i="15"/>
  <c r="F6294" i="15"/>
  <c r="G6283" i="15"/>
  <c r="G6282" i="15"/>
  <c r="G6281" i="15"/>
  <c r="F6276" i="15"/>
  <c r="F6272" i="15"/>
  <c r="E6265" i="15"/>
  <c r="E6264" i="15"/>
  <c r="G6259" i="15"/>
  <c r="G6250" i="15"/>
  <c r="G6249" i="15"/>
  <c r="F6245" i="15"/>
  <c r="F6244" i="15"/>
  <c r="F6243" i="15"/>
  <c r="F6242" i="15"/>
  <c r="F6241" i="15"/>
  <c r="F6233" i="15"/>
  <c r="O6228" i="15"/>
  <c r="G6228" i="15"/>
  <c r="R6228" i="15" s="1"/>
  <c r="O6227" i="15"/>
  <c r="G6227" i="15"/>
  <c r="K6227" i="15" s="1"/>
  <c r="O6226" i="15"/>
  <c r="G6226" i="15"/>
  <c r="K6226" i="15" s="1"/>
  <c r="O6225" i="15"/>
  <c r="G6225" i="15"/>
  <c r="R6225" i="15" s="1"/>
  <c r="O6224" i="15"/>
  <c r="G6224" i="15"/>
  <c r="R6224" i="15" s="1"/>
  <c r="E6218" i="15"/>
  <c r="F6213" i="15"/>
  <c r="F6212" i="15"/>
  <c r="F6211" i="15"/>
  <c r="F6203" i="15"/>
  <c r="F6202" i="15"/>
  <c r="F6201" i="15"/>
  <c r="F6200" i="15"/>
  <c r="F6199" i="15"/>
  <c r="F6195" i="15"/>
  <c r="F6194" i="15"/>
  <c r="F6193" i="15"/>
  <c r="F6190" i="15"/>
  <c r="F6189" i="15"/>
  <c r="F6188" i="15"/>
  <c r="G6184" i="15"/>
  <c r="G6181" i="15"/>
  <c r="D6179" i="15"/>
  <c r="D6177" i="15"/>
  <c r="G6173" i="15"/>
  <c r="G6170" i="15"/>
  <c r="F6157" i="15"/>
  <c r="F6152" i="15"/>
  <c r="E6148" i="15"/>
  <c r="H6135" i="15"/>
  <c r="F6134" i="15"/>
  <c r="H6134" i="15" s="1"/>
  <c r="F6133" i="15"/>
  <c r="H6133" i="15" s="1"/>
  <c r="E6115" i="15"/>
  <c r="D6115" i="15"/>
  <c r="E6114" i="15"/>
  <c r="D6114" i="15"/>
  <c r="G6108" i="15"/>
  <c r="G6103" i="15"/>
  <c r="G6102" i="15"/>
  <c r="G6101" i="15"/>
  <c r="G6100" i="15"/>
  <c r="F6095" i="15"/>
  <c r="F6087" i="15"/>
  <c r="F6086" i="15"/>
  <c r="F6082" i="15"/>
  <c r="F6080" i="15"/>
  <c r="F6079" i="15"/>
  <c r="K6075" i="15"/>
  <c r="G6075" i="15"/>
  <c r="K6074" i="15"/>
  <c r="G6074" i="15"/>
  <c r="K6073" i="15"/>
  <c r="G6073" i="15"/>
  <c r="K6072" i="15"/>
  <c r="G6072" i="15"/>
  <c r="F6060" i="15"/>
  <c r="F6059" i="15"/>
  <c r="E6053" i="15"/>
  <c r="E6052" i="15"/>
  <c r="E6051" i="15"/>
  <c r="E6045" i="15"/>
  <c r="G6041" i="15"/>
  <c r="G6034" i="15"/>
  <c r="E6027" i="15"/>
  <c r="E6026" i="15"/>
  <c r="E6025" i="15"/>
  <c r="F6021" i="15"/>
  <c r="C6009" i="15"/>
  <c r="D6009" i="15" s="1"/>
  <c r="C6008" i="15"/>
  <c r="D6008" i="15" s="1"/>
  <c r="C6007" i="15"/>
  <c r="D6007" i="15" s="1"/>
  <c r="C6006" i="15"/>
  <c r="D6006" i="15" s="1"/>
  <c r="B6001" i="15"/>
  <c r="G5992" i="15"/>
  <c r="G5986" i="15"/>
  <c r="G5931" i="15"/>
  <c r="G5928" i="15"/>
  <c r="G5927" i="15"/>
  <c r="G5926" i="15"/>
  <c r="F5919" i="15"/>
  <c r="G5914" i="15"/>
  <c r="G5913" i="15"/>
  <c r="G5912" i="15"/>
  <c r="G5911" i="15"/>
  <c r="G5910" i="15"/>
  <c r="G5909" i="15"/>
  <c r="F5880" i="15"/>
  <c r="G5876" i="15"/>
  <c r="F5872" i="15"/>
  <c r="F5867" i="15"/>
  <c r="D5851" i="15"/>
  <c r="E5850" i="15"/>
  <c r="D5850" i="15"/>
  <c r="G5845" i="15"/>
  <c r="G5844" i="15"/>
  <c r="G5843" i="15"/>
  <c r="F5836" i="15"/>
  <c r="F5835" i="15"/>
  <c r="F5834" i="15"/>
  <c r="D5829" i="15"/>
  <c r="C5829" i="15"/>
  <c r="D5828" i="15"/>
  <c r="C5828" i="15"/>
  <c r="D5827" i="15"/>
  <c r="C5827" i="15"/>
  <c r="D5826" i="15"/>
  <c r="C5826" i="15"/>
  <c r="D5825" i="15"/>
  <c r="C5825" i="15"/>
  <c r="D5824" i="15"/>
  <c r="C5824" i="15"/>
  <c r="D5823" i="15"/>
  <c r="C5823" i="15"/>
  <c r="C5819" i="15"/>
  <c r="C5818" i="15"/>
  <c r="C5817" i="15"/>
  <c r="C5816" i="15"/>
  <c r="C5815" i="15"/>
  <c r="C5814" i="15"/>
  <c r="C5813" i="15"/>
  <c r="F5796" i="15"/>
  <c r="F5775" i="15"/>
  <c r="K5772" i="15"/>
  <c r="E5772" i="15"/>
  <c r="G5772" i="15" s="1"/>
  <c r="I5769" i="15"/>
  <c r="J5769" i="15" s="1"/>
  <c r="I5768" i="15"/>
  <c r="I5767" i="15"/>
  <c r="I5766" i="15"/>
  <c r="I5765" i="15"/>
  <c r="I5764" i="15"/>
  <c r="I5763" i="15"/>
  <c r="B5737" i="15"/>
  <c r="B5727" i="15"/>
  <c r="F5721" i="15"/>
  <c r="F5720" i="15"/>
  <c r="F5718" i="15"/>
  <c r="F5716" i="15"/>
  <c r="F5715" i="15"/>
  <c r="F5714" i="15"/>
  <c r="F5713" i="15"/>
  <c r="F5697" i="15"/>
  <c r="F5694" i="15"/>
  <c r="F5693" i="15"/>
  <c r="G5687" i="15"/>
  <c r="G5685" i="15"/>
  <c r="G5684" i="15"/>
  <c r="G5683" i="15"/>
  <c r="E5676" i="15"/>
  <c r="E5674" i="15"/>
  <c r="E5673" i="15"/>
  <c r="H5663" i="15"/>
  <c r="F5662" i="15"/>
  <c r="H5662" i="15" s="1"/>
  <c r="I5645" i="15"/>
  <c r="G5644" i="15"/>
  <c r="I5644" i="15" s="1"/>
  <c r="F5626" i="15"/>
  <c r="F5625" i="15"/>
  <c r="F5619" i="15"/>
  <c r="F5594" i="15"/>
  <c r="F5593" i="15"/>
  <c r="F5589" i="15"/>
  <c r="F5588" i="15"/>
  <c r="G5584" i="15"/>
  <c r="G5575" i="15"/>
  <c r="F5557" i="15"/>
  <c r="F5556" i="15"/>
  <c r="G5551" i="15"/>
  <c r="G5550" i="15"/>
  <c r="F5544" i="15"/>
  <c r="F5543" i="15"/>
  <c r="F5542" i="15"/>
  <c r="F5527" i="15"/>
  <c r="F5526" i="15"/>
  <c r="F5525" i="15"/>
  <c r="F5524" i="15"/>
  <c r="F5523" i="15"/>
  <c r="F5522" i="15"/>
  <c r="F5513" i="15"/>
  <c r="H5513" i="15" s="1"/>
  <c r="F5512" i="15"/>
  <c r="H5512" i="15" s="1"/>
  <c r="F5511" i="15"/>
  <c r="H5511" i="15" s="1"/>
  <c r="F5510" i="15"/>
  <c r="H5510" i="15" s="1"/>
  <c r="F5509" i="15"/>
  <c r="H5509" i="15" s="1"/>
  <c r="F5508" i="15"/>
  <c r="H5508" i="15" s="1"/>
  <c r="F5507" i="15"/>
  <c r="H5507" i="15" s="1"/>
  <c r="F5506" i="15"/>
  <c r="H5506" i="15" s="1"/>
  <c r="F5505" i="15"/>
  <c r="H5505" i="15" s="1"/>
  <c r="F5504" i="15"/>
  <c r="H5504" i="15" s="1"/>
  <c r="F5503" i="15"/>
  <c r="H5503" i="15" s="1"/>
  <c r="F5498" i="15"/>
  <c r="F5494" i="15"/>
  <c r="F5493" i="15"/>
  <c r="G5488" i="15"/>
  <c r="I5488" i="15" s="1"/>
  <c r="G5487" i="15"/>
  <c r="I5487" i="15" s="1"/>
  <c r="G5485" i="15"/>
  <c r="I5485" i="15" s="1"/>
  <c r="G5483" i="15"/>
  <c r="I5483" i="15" s="1"/>
  <c r="G5482" i="15"/>
  <c r="I5482" i="15" s="1"/>
  <c r="G5481" i="15"/>
  <c r="I5481" i="15" s="1"/>
  <c r="G5480" i="15"/>
  <c r="I5480" i="15" s="1"/>
  <c r="F5469" i="15"/>
  <c r="F5468" i="15"/>
  <c r="F5467" i="15"/>
  <c r="F5440" i="15"/>
  <c r="G5435" i="15"/>
  <c r="F5414" i="15"/>
  <c r="F5413" i="15"/>
  <c r="F5403" i="15"/>
  <c r="F5397" i="15"/>
  <c r="E5358" i="15"/>
  <c r="E5357" i="15"/>
  <c r="F5352" i="15"/>
  <c r="H5352" i="15" s="1"/>
  <c r="F5351" i="15"/>
  <c r="H5351" i="15" s="1"/>
  <c r="F5350" i="15"/>
  <c r="H5350" i="15" s="1"/>
  <c r="F5347" i="15"/>
  <c r="H5347" i="15" s="1"/>
  <c r="F5346" i="15"/>
  <c r="H5346" i="15" s="1"/>
  <c r="F5345" i="15"/>
  <c r="H5345" i="15" s="1"/>
  <c r="F5344" i="15"/>
  <c r="H5344" i="15" s="1"/>
  <c r="F5342" i="15"/>
  <c r="H5342" i="15" s="1"/>
  <c r="F5341" i="15"/>
  <c r="H5341" i="15" s="1"/>
  <c r="F5340" i="15"/>
  <c r="H5340" i="15" s="1"/>
  <c r="F5339" i="15"/>
  <c r="H5339" i="15" s="1"/>
  <c r="F5330" i="15"/>
  <c r="F5329" i="15"/>
  <c r="F5324" i="15"/>
  <c r="F5323" i="15"/>
  <c r="F5322" i="15"/>
  <c r="F5320" i="15"/>
  <c r="F5319" i="15"/>
  <c r="F5318" i="15"/>
  <c r="F5317" i="15"/>
  <c r="F5315" i="15"/>
  <c r="F5314" i="15"/>
  <c r="F5313" i="15"/>
  <c r="F5312" i="15"/>
  <c r="F5298" i="15"/>
  <c r="G5241" i="15"/>
  <c r="E5240" i="15"/>
  <c r="G5240" i="15" s="1"/>
  <c r="E5239" i="15"/>
  <c r="G5239" i="15" s="1"/>
  <c r="F5235" i="15"/>
  <c r="F5234" i="15"/>
  <c r="F5233" i="15"/>
  <c r="F5232" i="15"/>
  <c r="F5231" i="15"/>
  <c r="F5230" i="15"/>
  <c r="F5229" i="15"/>
  <c r="F5228" i="15"/>
  <c r="F5227" i="15"/>
  <c r="F5226" i="15"/>
  <c r="F5225" i="15"/>
  <c r="F5224" i="15"/>
  <c r="F5223" i="15"/>
  <c r="F5222" i="15"/>
  <c r="H5217" i="15"/>
  <c r="F5216" i="15"/>
  <c r="H5216" i="15" s="1"/>
  <c r="F5215" i="15"/>
  <c r="H5215" i="15" s="1"/>
  <c r="G5212" i="15"/>
  <c r="G5211" i="15"/>
  <c r="G5210" i="15"/>
  <c r="G5209" i="15"/>
  <c r="G5208" i="15"/>
  <c r="G5207" i="15"/>
  <c r="G5206" i="15"/>
  <c r="G5205" i="15"/>
  <c r="G5204" i="15"/>
  <c r="G5203" i="15"/>
  <c r="G5202" i="15"/>
  <c r="G5201" i="15"/>
  <c r="G5200" i="15"/>
  <c r="G5199" i="15"/>
  <c r="G5198" i="15"/>
  <c r="G5170" i="15"/>
  <c r="G5074" i="15"/>
  <c r="G5073" i="15"/>
  <c r="G5072" i="15"/>
  <c r="G5068" i="15"/>
  <c r="F5064" i="15"/>
  <c r="F5063" i="15"/>
  <c r="F5062" i="15"/>
  <c r="F5057" i="15"/>
  <c r="E5052" i="15"/>
  <c r="E5051" i="15"/>
  <c r="D5048" i="15"/>
  <c r="F5048" i="15" s="1"/>
  <c r="D5047" i="15"/>
  <c r="F5047" i="15" s="1"/>
  <c r="H5046" i="15"/>
  <c r="F5046" i="15"/>
  <c r="H5045" i="15"/>
  <c r="F5045" i="15"/>
  <c r="H5044" i="15"/>
  <c r="F5044" i="15"/>
  <c r="H5043" i="15"/>
  <c r="F5043" i="15"/>
  <c r="F5039" i="15"/>
  <c r="F5038" i="15"/>
  <c r="F5037" i="15"/>
  <c r="F5036" i="15"/>
  <c r="F5035" i="15"/>
  <c r="E5029" i="15"/>
  <c r="E5028" i="15"/>
  <c r="E5027" i="15"/>
  <c r="E5021" i="15"/>
  <c r="F5004" i="15"/>
  <c r="F4985" i="15"/>
  <c r="E4944" i="15"/>
  <c r="E4943" i="15"/>
  <c r="E4942" i="15"/>
  <c r="E4941" i="15"/>
  <c r="F4936" i="15"/>
  <c r="F4931" i="15"/>
  <c r="H4927" i="15"/>
  <c r="H4926" i="15"/>
  <c r="H4925" i="15"/>
  <c r="H4924" i="15"/>
  <c r="H4923" i="15"/>
  <c r="H4922" i="15"/>
  <c r="H4921" i="15"/>
  <c r="H4920" i="15"/>
  <c r="H4919" i="15"/>
  <c r="H4918" i="15"/>
  <c r="H4917" i="15"/>
  <c r="H4916" i="15"/>
  <c r="H4915" i="15"/>
  <c r="H4914" i="15"/>
  <c r="H4913" i="15"/>
  <c r="H4912" i="15"/>
  <c r="H4911" i="15"/>
  <c r="H4910" i="15"/>
  <c r="H4909" i="15"/>
  <c r="H4905" i="15"/>
  <c r="H4904" i="15"/>
  <c r="H4903" i="15"/>
  <c r="H4902" i="15"/>
  <c r="H4901" i="15"/>
  <c r="H4900" i="15"/>
  <c r="H4899" i="15"/>
  <c r="H4898" i="15"/>
  <c r="H4897" i="15"/>
  <c r="H4896" i="15"/>
  <c r="H4895" i="15"/>
  <c r="H4894" i="15"/>
  <c r="H4893" i="15"/>
  <c r="H4892" i="15"/>
  <c r="H4891" i="15"/>
  <c r="H4890" i="15"/>
  <c r="H4889" i="15"/>
  <c r="H4888" i="15"/>
  <c r="H4887" i="15"/>
  <c r="H4886" i="15"/>
  <c r="H4885" i="15"/>
  <c r="H4884" i="15"/>
  <c r="H4883" i="15"/>
  <c r="H4882" i="15"/>
  <c r="H4881" i="15"/>
  <c r="H4880" i="15"/>
  <c r="H4879" i="15"/>
  <c r="H4878" i="15"/>
  <c r="H4877" i="15"/>
  <c r="H4876" i="15"/>
  <c r="H4875" i="15"/>
  <c r="H4874" i="15"/>
  <c r="H4873" i="15"/>
  <c r="H4872" i="15"/>
  <c r="H4871" i="15"/>
  <c r="H4870" i="15"/>
  <c r="H4869" i="15"/>
  <c r="H4868" i="15"/>
  <c r="I4853" i="15"/>
  <c r="I4852" i="15"/>
  <c r="I4851" i="15"/>
  <c r="I4850" i="15"/>
  <c r="I4849" i="15"/>
  <c r="I4848" i="15"/>
  <c r="I4847" i="15"/>
  <c r="F4845" i="15"/>
  <c r="I4845" i="15" s="1"/>
  <c r="F4844" i="15"/>
  <c r="I4844" i="15" s="1"/>
  <c r="E4839" i="15"/>
  <c r="F4834" i="15"/>
  <c r="F4833" i="15"/>
  <c r="E4827" i="15"/>
  <c r="F4821" i="15"/>
  <c r="I4807" i="15"/>
  <c r="F4806" i="15"/>
  <c r="I4806" i="15" s="1"/>
  <c r="F4797" i="15"/>
  <c r="F4796" i="15"/>
  <c r="F4795" i="15"/>
  <c r="F4794" i="15"/>
  <c r="F4790" i="15"/>
  <c r="E4786" i="15"/>
  <c r="E4785" i="15"/>
  <c r="E4784" i="15"/>
  <c r="E4783" i="15"/>
  <c r="E4781" i="15"/>
  <c r="E4780" i="15"/>
  <c r="F4775" i="15"/>
  <c r="F4774" i="15"/>
  <c r="F4773" i="15"/>
  <c r="F4772" i="15"/>
  <c r="F4771" i="15"/>
  <c r="F4770" i="15"/>
  <c r="F4769" i="15"/>
  <c r="F4768" i="15"/>
  <c r="F4767" i="15"/>
  <c r="G4730" i="15"/>
  <c r="E4729" i="15"/>
  <c r="G4729" i="15" s="1"/>
  <c r="F4724" i="15"/>
  <c r="F4723" i="15"/>
  <c r="F4722" i="15"/>
  <c r="F4721" i="15"/>
  <c r="F4716" i="15"/>
  <c r="F4715" i="15"/>
  <c r="F4714" i="15"/>
  <c r="F4713" i="15"/>
  <c r="F4712" i="15"/>
  <c r="F4711" i="15"/>
  <c r="F4710" i="15"/>
  <c r="F4709" i="15"/>
  <c r="F4708" i="15"/>
  <c r="F4699" i="15"/>
  <c r="F4698" i="15"/>
  <c r="F4697" i="15"/>
  <c r="F4696" i="15"/>
  <c r="F4695" i="15"/>
  <c r="F4694" i="15"/>
  <c r="F4693" i="15"/>
  <c r="F4692" i="15"/>
  <c r="F4691" i="15"/>
  <c r="I4686" i="15"/>
  <c r="F4685" i="15"/>
  <c r="I4685" i="15" s="1"/>
  <c r="F4676" i="15"/>
  <c r="F4675" i="15"/>
  <c r="I4642" i="15"/>
  <c r="I4641" i="15"/>
  <c r="I4639" i="15"/>
  <c r="I4638" i="15"/>
  <c r="I4632" i="15"/>
  <c r="I4631" i="15"/>
  <c r="I4630" i="15"/>
  <c r="I4629" i="15"/>
  <c r="I4628" i="15"/>
  <c r="I4626" i="15"/>
  <c r="I4625" i="15"/>
  <c r="I4624" i="15"/>
  <c r="I4623" i="15"/>
  <c r="F4610" i="15"/>
  <c r="F4609" i="15"/>
  <c r="F4608" i="15"/>
  <c r="F4606" i="15"/>
  <c r="F4605" i="15"/>
  <c r="F4604" i="15"/>
  <c r="F4603" i="15"/>
  <c r="F4602" i="15"/>
  <c r="F4597" i="15"/>
  <c r="F4596" i="15"/>
  <c r="F4595" i="15"/>
  <c r="F4594" i="15"/>
  <c r="F4593" i="15"/>
  <c r="F4592" i="15"/>
  <c r="F4587" i="15"/>
  <c r="F4586" i="15"/>
  <c r="F4585" i="15"/>
  <c r="F4584" i="15"/>
  <c r="F4583" i="15"/>
  <c r="J4544" i="15"/>
  <c r="F4544" i="15"/>
  <c r="J4543" i="15"/>
  <c r="F4543" i="15"/>
  <c r="J4542" i="15"/>
  <c r="F4542" i="15"/>
  <c r="J4541" i="15"/>
  <c r="F4541" i="15"/>
  <c r="J4538" i="15"/>
  <c r="F4538" i="15"/>
  <c r="J4537" i="15"/>
  <c r="F4537" i="15"/>
  <c r="J4536" i="15"/>
  <c r="F4536" i="15"/>
  <c r="J4535" i="15"/>
  <c r="F4535" i="15"/>
  <c r="E4523" i="15"/>
  <c r="E4522" i="15"/>
  <c r="D4513" i="15"/>
  <c r="D4512" i="15"/>
  <c r="D4511" i="15"/>
  <c r="D4510" i="15"/>
  <c r="C4509" i="15"/>
  <c r="D4509" i="15" s="1"/>
  <c r="C4508" i="15"/>
  <c r="D4508" i="15" s="1"/>
  <c r="C4507" i="15"/>
  <c r="D4507" i="15" s="1"/>
  <c r="C4506" i="15"/>
  <c r="D4506" i="15" s="1"/>
  <c r="E4493" i="15"/>
  <c r="E4492" i="15"/>
  <c r="I4478" i="15"/>
  <c r="F4478" i="15"/>
  <c r="I4477" i="15"/>
  <c r="F4477" i="15"/>
  <c r="I4476" i="15"/>
  <c r="F4476" i="15"/>
  <c r="I4475" i="15"/>
  <c r="F4475" i="15"/>
  <c r="I4474" i="15"/>
  <c r="F4474" i="15"/>
  <c r="I4473" i="15"/>
  <c r="F4473" i="15"/>
  <c r="G4467" i="15"/>
  <c r="I4458" i="15"/>
  <c r="I4457" i="15"/>
  <c r="I4456" i="15"/>
  <c r="I4455" i="15"/>
  <c r="I4453" i="15"/>
  <c r="E4449" i="15"/>
  <c r="I4441" i="15"/>
  <c r="I4432" i="15"/>
  <c r="F4421" i="15"/>
  <c r="F4420" i="15"/>
  <c r="E4407" i="15"/>
  <c r="E4406" i="15"/>
  <c r="E4405" i="15"/>
  <c r="I4402" i="15"/>
  <c r="F4401" i="15"/>
  <c r="I4401" i="15" s="1"/>
  <c r="I4400" i="15"/>
  <c r="F4399" i="15"/>
  <c r="I4399" i="15" s="1"/>
  <c r="F4398" i="15"/>
  <c r="I4398" i="15" s="1"/>
  <c r="G4393" i="15"/>
  <c r="G4392" i="15"/>
  <c r="G4386" i="15"/>
  <c r="G4385" i="15"/>
  <c r="F4373" i="15"/>
  <c r="F4372" i="15"/>
  <c r="F4367" i="15"/>
  <c r="F4362" i="15"/>
  <c r="F4361" i="15"/>
  <c r="F4360" i="15"/>
  <c r="F4359" i="15"/>
  <c r="F4358" i="15"/>
  <c r="F4357" i="15"/>
  <c r="F4341" i="15"/>
  <c r="F4340" i="15"/>
  <c r="F4339" i="15"/>
  <c r="I4322" i="15"/>
  <c r="F4322" i="15"/>
  <c r="I4321" i="15"/>
  <c r="F4321" i="15"/>
  <c r="I4320" i="15"/>
  <c r="F4320" i="15"/>
  <c r="I4319" i="15"/>
  <c r="F4319" i="15"/>
  <c r="I4318" i="15"/>
  <c r="F4318" i="15"/>
  <c r="I4314" i="15"/>
  <c r="F4314" i="15"/>
  <c r="F4281" i="15"/>
  <c r="F4262" i="15"/>
  <c r="F4250" i="15"/>
  <c r="F4238" i="15"/>
  <c r="F4237" i="15"/>
  <c r="F4232" i="15"/>
  <c r="F4231" i="15"/>
  <c r="E4226" i="15"/>
  <c r="I4172" i="15"/>
  <c r="I4171" i="15"/>
  <c r="I4170" i="15"/>
  <c r="I4129" i="15"/>
  <c r="I4128" i="15"/>
  <c r="I4127" i="15"/>
  <c r="F4092" i="15"/>
  <c r="F4091" i="15"/>
  <c r="F4090" i="15"/>
  <c r="F4086" i="15"/>
  <c r="F4085" i="15"/>
  <c r="F4084" i="15"/>
  <c r="F4083" i="15"/>
  <c r="F4082" i="15"/>
  <c r="F4081" i="15"/>
  <c r="F4077" i="15"/>
  <c r="F4076" i="15"/>
  <c r="F4075" i="15"/>
  <c r="F4074" i="15"/>
  <c r="F4073" i="15"/>
  <c r="F4072" i="15"/>
  <c r="F4071" i="15"/>
  <c r="F4070" i="15"/>
  <c r="F4069" i="15"/>
  <c r="F4068" i="15"/>
  <c r="F4067" i="15"/>
  <c r="F4066" i="15"/>
  <c r="N3978" i="15"/>
  <c r="J3978" i="15"/>
  <c r="N3977" i="15"/>
  <c r="J3977" i="15"/>
  <c r="N3976" i="15"/>
  <c r="J3976" i="15"/>
  <c r="G3938" i="15"/>
  <c r="D3938" i="15"/>
  <c r="D3740" i="15"/>
  <c r="D3739" i="15"/>
  <c r="D3738" i="15"/>
  <c r="D3737" i="15"/>
  <c r="C3679" i="15"/>
  <c r="D3207" i="15"/>
  <c r="D3206" i="15"/>
  <c r="D3191" i="15"/>
  <c r="D3190" i="15"/>
  <c r="E2891" i="15"/>
  <c r="E2890" i="15"/>
  <c r="E2894" i="15" s="1"/>
  <c r="E2565" i="15"/>
  <c r="E2564" i="15"/>
  <c r="E2563" i="15"/>
  <c r="E2562" i="15"/>
  <c r="E2561" i="15"/>
  <c r="E2560" i="15"/>
  <c r="E2559" i="15"/>
  <c r="E2558" i="15"/>
  <c r="E2567" i="15" s="1"/>
  <c r="D2290" i="15"/>
  <c r="D2289" i="15"/>
  <c r="D2288" i="15"/>
  <c r="D2287" i="15"/>
  <c r="D2286" i="15"/>
  <c r="D2292" i="15" s="1"/>
  <c r="D2239" i="15"/>
  <c r="D2238" i="15"/>
  <c r="D2235" i="15"/>
  <c r="D2234" i="15"/>
  <c r="D2231" i="15"/>
  <c r="D2230" i="15"/>
  <c r="D2227" i="15"/>
  <c r="D2226" i="15"/>
  <c r="D2225" i="15"/>
  <c r="D2224" i="15"/>
  <c r="D2223" i="15"/>
  <c r="D2222" i="15"/>
  <c r="D2241" i="15" s="1"/>
  <c r="D2179" i="15"/>
  <c r="D2120" i="15"/>
  <c r="D2077" i="15"/>
  <c r="D2076" i="15"/>
  <c r="D2075" i="15"/>
  <c r="D2074" i="15"/>
  <c r="D2056" i="15"/>
  <c r="D2055" i="15"/>
  <c r="D2054" i="15"/>
  <c r="D2053" i="15"/>
  <c r="D2052" i="15"/>
  <c r="D2051" i="15"/>
  <c r="D2050" i="15"/>
  <c r="D2049" i="15"/>
  <c r="D2048" i="15"/>
  <c r="D2047" i="15"/>
  <c r="D2045" i="15"/>
  <c r="D2044" i="15"/>
  <c r="D2043" i="15"/>
  <c r="D2042" i="15"/>
  <c r="D2041" i="15"/>
  <c r="D2058" i="15" s="1"/>
  <c r="D2015" i="15"/>
  <c r="D2014" i="15"/>
  <c r="D2013" i="15"/>
  <c r="D2012" i="15"/>
  <c r="D2011" i="15"/>
  <c r="D2010" i="15"/>
  <c r="D2009" i="15"/>
  <c r="D2007" i="15"/>
  <c r="D2006" i="15"/>
  <c r="D2005" i="15"/>
  <c r="D2004" i="15"/>
  <c r="D2002" i="15"/>
  <c r="D2001" i="15"/>
  <c r="D2000" i="15"/>
  <c r="D1999" i="15"/>
  <c r="D1997" i="15"/>
  <c r="D1996" i="15"/>
  <c r="D1995" i="15"/>
  <c r="D1994" i="15"/>
  <c r="D1992" i="15"/>
  <c r="D1991" i="15"/>
  <c r="D1990" i="15"/>
  <c r="D1989" i="15"/>
  <c r="D1987" i="15"/>
  <c r="D1986" i="15"/>
  <c r="D1985" i="15"/>
  <c r="D1984" i="15"/>
  <c r="D1983" i="15"/>
  <c r="D1982" i="15"/>
  <c r="D1981" i="15"/>
  <c r="D1980" i="15"/>
  <c r="D1979" i="15"/>
  <c r="D1978" i="15"/>
  <c r="D1976" i="15"/>
  <c r="D1975" i="15"/>
  <c r="D1974" i="15"/>
  <c r="D1973" i="15"/>
  <c r="D1972" i="15"/>
  <c r="D2017" i="15" s="1"/>
  <c r="D1955" i="15"/>
  <c r="D1954" i="15"/>
  <c r="D1953" i="15"/>
  <c r="D1952" i="15"/>
  <c r="D1951" i="15"/>
  <c r="D1950" i="15"/>
  <c r="D1949" i="15"/>
  <c r="D1947" i="15"/>
  <c r="D1946" i="15"/>
  <c r="D1945" i="15"/>
  <c r="D1944" i="15"/>
  <c r="D1942" i="15"/>
  <c r="D1941" i="15"/>
  <c r="D1940" i="15"/>
  <c r="D1939" i="15"/>
  <c r="D1937" i="15"/>
  <c r="D1936" i="15"/>
  <c r="D1935" i="15"/>
  <c r="D1934" i="15"/>
  <c r="D1932" i="15"/>
  <c r="D1931" i="15"/>
  <c r="D1930" i="15"/>
  <c r="D1929" i="15"/>
  <c r="D1927" i="15"/>
  <c r="D1926" i="15"/>
  <c r="D1925" i="15"/>
  <c r="D1924" i="15"/>
  <c r="D1923" i="15"/>
  <c r="D1922" i="15"/>
  <c r="D1921" i="15"/>
  <c r="D1920" i="15"/>
  <c r="D1919" i="15"/>
  <c r="D1918" i="15"/>
  <c r="D1916" i="15"/>
  <c r="D1915" i="15"/>
  <c r="D1914" i="15"/>
  <c r="D1913" i="15"/>
  <c r="D1912" i="15"/>
  <c r="D1957" i="15" s="1"/>
  <c r="E1827" i="15"/>
  <c r="E1826" i="15"/>
  <c r="E1821" i="15"/>
  <c r="D1652" i="15"/>
  <c r="D1651" i="15"/>
  <c r="E1232" i="15"/>
  <c r="E1231" i="15"/>
  <c r="D1210" i="15"/>
  <c r="D1213" i="15" s="1"/>
  <c r="E981" i="15"/>
  <c r="E980" i="15"/>
  <c r="E979" i="15"/>
  <c r="E978" i="15"/>
  <c r="E977" i="15"/>
  <c r="E976" i="15"/>
  <c r="E975" i="15"/>
  <c r="E974" i="15"/>
  <c r="E971" i="15"/>
  <c r="E970" i="15"/>
  <c r="E969" i="15"/>
  <c r="E968" i="15"/>
  <c r="E967" i="15"/>
  <c r="E964" i="15"/>
  <c r="E963" i="15"/>
  <c r="E962" i="15"/>
  <c r="E961" i="15"/>
  <c r="E960" i="15"/>
  <c r="E959" i="15"/>
  <c r="E958" i="15"/>
  <c r="E957" i="15"/>
  <c r="E208" i="15"/>
  <c r="E207" i="15"/>
  <c r="E206" i="15"/>
  <c r="K70" i="16"/>
  <c r="J70" i="16"/>
  <c r="H70" i="16"/>
  <c r="I46" i="16"/>
  <c r="I45" i="16"/>
  <c r="I44" i="16"/>
  <c r="I43" i="16"/>
  <c r="I42" i="16"/>
  <c r="I41" i="16"/>
  <c r="I39" i="16"/>
  <c r="I38" i="16"/>
  <c r="J2" i="16"/>
  <c r="I59" i="18"/>
  <c r="G59" i="18"/>
  <c r="G59" i="18" a="1"/>
  <c r="I58" i="18"/>
  <c r="I20" i="18"/>
  <c r="C20" i="18"/>
  <c r="A20" i="18"/>
  <c r="I18" i="18"/>
  <c r="C18" i="18"/>
  <c r="C8" i="18"/>
  <c r="B5" i="18"/>
  <c r="B9" i="18" s="1"/>
  <c r="I4" i="18"/>
  <c r="I16" i="18" s="1"/>
  <c r="F3" i="18"/>
  <c r="C69" i="6"/>
  <c r="B69" i="6"/>
  <c r="C68" i="6"/>
  <c r="B68" i="6"/>
  <c r="C67" i="6"/>
  <c r="B67" i="6"/>
  <c r="C66" i="6"/>
  <c r="B66" i="6"/>
  <c r="B65" i="6"/>
  <c r="J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C33" i="6"/>
  <c r="C32" i="6"/>
  <c r="C31" i="6"/>
  <c r="M29" i="6"/>
  <c r="M28" i="6"/>
  <c r="B25" i="6"/>
  <c r="B20" i="6"/>
  <c r="B19" i="6"/>
  <c r="F18" i="6"/>
  <c r="H18" i="6" s="1"/>
  <c r="B18" i="6" s="1"/>
  <c r="C65" i="6" s="1"/>
  <c r="C13" i="6"/>
  <c r="C12" i="6"/>
  <c r="E11" i="6"/>
  <c r="C11" i="6"/>
  <c r="E10" i="6" a="1"/>
  <c r="E10" i="6" s="1"/>
  <c r="C10" i="6"/>
  <c r="E8" i="6" a="1"/>
  <c r="E8" i="6" s="1"/>
  <c r="E7" i="6"/>
  <c r="C7" i="6"/>
  <c r="E4" i="6"/>
  <c r="E5" i="6" s="1"/>
  <c r="J72" i="13"/>
  <c r="J73" i="13" s="1"/>
  <c r="J71" i="13"/>
  <c r="H71" i="13"/>
  <c r="H71" i="13" a="1"/>
  <c r="J70" i="13"/>
  <c r="H70" i="13"/>
  <c r="H70" i="13" a="1"/>
  <c r="J69" i="13"/>
  <c r="F33" i="13"/>
  <c r="D33" i="13"/>
  <c r="B33" i="13"/>
  <c r="J31" i="13"/>
  <c r="D31" i="13"/>
  <c r="B31" i="13"/>
  <c r="D28" i="13"/>
  <c r="C28" i="13"/>
  <c r="D27" i="13"/>
  <c r="C27" i="13"/>
  <c r="C26" i="13"/>
  <c r="C25" i="13"/>
  <c r="C24" i="13"/>
  <c r="D21" i="13"/>
  <c r="C21" i="13"/>
  <c r="C20" i="13"/>
  <c r="C19" i="13"/>
  <c r="C18" i="13"/>
  <c r="E12" i="13"/>
  <c r="C12" i="13" a="1"/>
  <c r="C12" i="13" s="1"/>
  <c r="C11" i="13"/>
  <c r="C10" i="13"/>
  <c r="C9" i="13"/>
  <c r="C7" i="13"/>
  <c r="C6" i="13"/>
  <c r="C8" i="13" s="1"/>
  <c r="E5" i="13"/>
  <c r="E6" i="13" s="1"/>
  <c r="C5" i="13"/>
  <c r="E4" i="13"/>
  <c r="C3" i="13"/>
  <c r="D22" i="13" s="1"/>
  <c r="H2" i="13"/>
  <c r="C2" i="13"/>
  <c r="G16" i="13" s="1"/>
  <c r="J73" i="12"/>
  <c r="J71" i="12"/>
  <c r="H71" i="12"/>
  <c r="H71" i="12" a="1"/>
  <c r="J70" i="12"/>
  <c r="H70" i="12"/>
  <c r="H70" i="12" a="1"/>
  <c r="J69" i="12"/>
  <c r="I32" i="12"/>
  <c r="D28" i="12"/>
  <c r="C28" i="12"/>
  <c r="D27" i="12"/>
  <c r="C27" i="12"/>
  <c r="C26" i="12"/>
  <c r="C25" i="12"/>
  <c r="C24" i="12"/>
  <c r="B11" i="18" s="1"/>
  <c r="D22" i="12"/>
  <c r="C22" i="12"/>
  <c r="D21" i="12"/>
  <c r="C21" i="12"/>
  <c r="C20" i="12"/>
  <c r="C19" i="12"/>
  <c r="C18" i="12"/>
  <c r="J17" i="12"/>
  <c r="F31" i="12" s="1"/>
  <c r="G16" i="12"/>
  <c r="E12" i="12"/>
  <c r="C12" i="12" a="1"/>
  <c r="C12" i="12" s="1"/>
  <c r="E11" i="12" a="1"/>
  <c r="E11" i="12" s="1"/>
  <c r="C11" i="12"/>
  <c r="E10" i="12" a="1"/>
  <c r="E10" i="12" s="1"/>
  <c r="E10" i="13" s="1"/>
  <c r="E9" i="12" a="1"/>
  <c r="E9" i="12" s="1"/>
  <c r="E9" i="13" s="1"/>
  <c r="E8" i="12"/>
  <c r="C8" i="12"/>
  <c r="E5" i="12"/>
  <c r="E6" i="12" s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365" i="1"/>
  <c r="W4364" i="1"/>
  <c r="T4364" i="1"/>
  <c r="R4364" i="1"/>
  <c r="P4364" i="1"/>
  <c r="L4364" i="1"/>
  <c r="W4363" i="1"/>
  <c r="T4363" i="1"/>
  <c r="R4363" i="1"/>
  <c r="P4363" i="1"/>
  <c r="L4363" i="1"/>
  <c r="W4362" i="1"/>
  <c r="T4362" i="1"/>
  <c r="R4362" i="1"/>
  <c r="P4362" i="1"/>
  <c r="L4362" i="1"/>
  <c r="W4361" i="1"/>
  <c r="W4360" i="1"/>
  <c r="W4357" i="1"/>
  <c r="T4357" i="1"/>
  <c r="R4357" i="1"/>
  <c r="P4357" i="1"/>
  <c r="L4357" i="1"/>
  <c r="W4356" i="1"/>
  <c r="W4355" i="1"/>
  <c r="W4354" i="1"/>
  <c r="T4354" i="1"/>
  <c r="P4354" i="1"/>
  <c r="L4354" i="1"/>
  <c r="W4353" i="1"/>
  <c r="P4353" i="1"/>
  <c r="J4353" i="1"/>
  <c r="W4352" i="1"/>
  <c r="W4351" i="1"/>
  <c r="W4350" i="1"/>
  <c r="P4350" i="1"/>
  <c r="L4350" i="1"/>
  <c r="W4349" i="1"/>
  <c r="P4349" i="1"/>
  <c r="J4349" i="1"/>
  <c r="R4349" i="1" s="1"/>
  <c r="W4348" i="1"/>
  <c r="W4347" i="1"/>
  <c r="W4346" i="1"/>
  <c r="T4346" i="1"/>
  <c r="R4346" i="1"/>
  <c r="P4346" i="1"/>
  <c r="L4346" i="1"/>
  <c r="W4345" i="1"/>
  <c r="P4345" i="1"/>
  <c r="J4345" i="1"/>
  <c r="T4345" i="1" s="1"/>
  <c r="W4344" i="1"/>
  <c r="W4343" i="1"/>
  <c r="T4342" i="1"/>
  <c r="R4342" i="1"/>
  <c r="W4340" i="1"/>
  <c r="T4340" i="1"/>
  <c r="R4340" i="1"/>
  <c r="P4340" i="1"/>
  <c r="L4340" i="1"/>
  <c r="W4339" i="1"/>
  <c r="T4339" i="1"/>
  <c r="R4339" i="1"/>
  <c r="P4339" i="1"/>
  <c r="L4339" i="1"/>
  <c r="W4338" i="1"/>
  <c r="W4337" i="1"/>
  <c r="S4336" i="1"/>
  <c r="T4336" i="1" s="1"/>
  <c r="R4336" i="1"/>
  <c r="P4336" i="1"/>
  <c r="L4336" i="1"/>
  <c r="W4335" i="1"/>
  <c r="T4335" i="1"/>
  <c r="R4335" i="1"/>
  <c r="P4335" i="1"/>
  <c r="L4335" i="1"/>
  <c r="W4334" i="1"/>
  <c r="T4334" i="1"/>
  <c r="R4334" i="1"/>
  <c r="P4334" i="1"/>
  <c r="L4334" i="1"/>
  <c r="W4333" i="1"/>
  <c r="T4333" i="1"/>
  <c r="R4333" i="1"/>
  <c r="P4333" i="1"/>
  <c r="L4333" i="1"/>
  <c r="W4332" i="1"/>
  <c r="T4332" i="1"/>
  <c r="R4332" i="1"/>
  <c r="P4332" i="1"/>
  <c r="L4332" i="1"/>
  <c r="W4331" i="1"/>
  <c r="P4331" i="1"/>
  <c r="J4331" i="1"/>
  <c r="T4331" i="1" s="1"/>
  <c r="W4330" i="1"/>
  <c r="P4330" i="1"/>
  <c r="J4330" i="1"/>
  <c r="W4329" i="1"/>
  <c r="W4328" i="1"/>
  <c r="W4327" i="1"/>
  <c r="T4327" i="1"/>
  <c r="W4326" i="1"/>
  <c r="P4326" i="1"/>
  <c r="J4326" i="1"/>
  <c r="W4325" i="1"/>
  <c r="W4324" i="1"/>
  <c r="W4323" i="1"/>
  <c r="T4323" i="1"/>
  <c r="R4323" i="1"/>
  <c r="P4323" i="1"/>
  <c r="L4323" i="1"/>
  <c r="W4322" i="1"/>
  <c r="T4322" i="1"/>
  <c r="R4322" i="1"/>
  <c r="P4322" i="1"/>
  <c r="L4322" i="1"/>
  <c r="W4321" i="1"/>
  <c r="T4321" i="1"/>
  <c r="P4321" i="1"/>
  <c r="W4320" i="1"/>
  <c r="W4319" i="1"/>
  <c r="T4319" i="1"/>
  <c r="R4319" i="1"/>
  <c r="P4319" i="1"/>
  <c r="L4319" i="1"/>
  <c r="W4318" i="1"/>
  <c r="P4318" i="1"/>
  <c r="J4318" i="1"/>
  <c r="W4317" i="1"/>
  <c r="W4316" i="1"/>
  <c r="W4315" i="1"/>
  <c r="T4315" i="1"/>
  <c r="R4315" i="1"/>
  <c r="L4315" i="1"/>
  <c r="W4314" i="1"/>
  <c r="P4314" i="1"/>
  <c r="J4314" i="1"/>
  <c r="W4313" i="1"/>
  <c r="P4313" i="1"/>
  <c r="J4313" i="1"/>
  <c r="R4313" i="1" s="1"/>
  <c r="W4312" i="1"/>
  <c r="W4311" i="1"/>
  <c r="W4310" i="1"/>
  <c r="T4310" i="1"/>
  <c r="R4310" i="1"/>
  <c r="P4310" i="1"/>
  <c r="L4310" i="1"/>
  <c r="W4309" i="1"/>
  <c r="T4309" i="1"/>
  <c r="R4309" i="1"/>
  <c r="P4309" i="1"/>
  <c r="L4309" i="1"/>
  <c r="W4308" i="1"/>
  <c r="T4308" i="1"/>
  <c r="P4308" i="1"/>
  <c r="W4307" i="1"/>
  <c r="W4306" i="1"/>
  <c r="T4306" i="1"/>
  <c r="R4306" i="1"/>
  <c r="P4306" i="1"/>
  <c r="L4306" i="1"/>
  <c r="W4305" i="1"/>
  <c r="T4305" i="1"/>
  <c r="P4305" i="1"/>
  <c r="W4304" i="1"/>
  <c r="W4303" i="1"/>
  <c r="T4303" i="1"/>
  <c r="R4303" i="1"/>
  <c r="P4303" i="1"/>
  <c r="L4303" i="1"/>
  <c r="W4302" i="1"/>
  <c r="T4302" i="1"/>
  <c r="R4302" i="1"/>
  <c r="P4302" i="1"/>
  <c r="L4302" i="1"/>
  <c r="W4301" i="1"/>
  <c r="T4301" i="1"/>
  <c r="R4301" i="1"/>
  <c r="P4301" i="1"/>
  <c r="L4301" i="1"/>
  <c r="W4300" i="1"/>
  <c r="W4299" i="1"/>
  <c r="T4299" i="1"/>
  <c r="R4299" i="1"/>
  <c r="P4299" i="1"/>
  <c r="L4299" i="1"/>
  <c r="W4298" i="1"/>
  <c r="W4297" i="1"/>
  <c r="S4296" i="1"/>
  <c r="W4296" i="1" s="1"/>
  <c r="P4296" i="1"/>
  <c r="J4296" i="1"/>
  <c r="S4295" i="1"/>
  <c r="W4295" i="1" s="1"/>
  <c r="P4295" i="1"/>
  <c r="J4295" i="1"/>
  <c r="S4294" i="1"/>
  <c r="P4294" i="1"/>
  <c r="J4294" i="1"/>
  <c r="L4294" i="1" s="1"/>
  <c r="W4293" i="1"/>
  <c r="W4292" i="1"/>
  <c r="W4291" i="1"/>
  <c r="R4291" i="1"/>
  <c r="P4291" i="1"/>
  <c r="L4291" i="1"/>
  <c r="W4290" i="1"/>
  <c r="T4290" i="1"/>
  <c r="R4290" i="1"/>
  <c r="P4290" i="1"/>
  <c r="L4290" i="1"/>
  <c r="W4289" i="1"/>
  <c r="T4289" i="1"/>
  <c r="R4289" i="1"/>
  <c r="P4289" i="1"/>
  <c r="L4289" i="1"/>
  <c r="W4288" i="1"/>
  <c r="W4287" i="1"/>
  <c r="P4287" i="1"/>
  <c r="J4287" i="1"/>
  <c r="R4287" i="1" s="1"/>
  <c r="W4286" i="1"/>
  <c r="W4285" i="1"/>
  <c r="W4284" i="1"/>
  <c r="T4284" i="1"/>
  <c r="R4284" i="1"/>
  <c r="P4284" i="1"/>
  <c r="L4284" i="1"/>
  <c r="W4283" i="1"/>
  <c r="T4283" i="1"/>
  <c r="P4283" i="1"/>
  <c r="W4282" i="1"/>
  <c r="W4280" i="1"/>
  <c r="T4280" i="1"/>
  <c r="R4280" i="1"/>
  <c r="P4280" i="1"/>
  <c r="L4280" i="1"/>
  <c r="W4279" i="1"/>
  <c r="T4279" i="1"/>
  <c r="R4279" i="1"/>
  <c r="P4279" i="1"/>
  <c r="L4279" i="1"/>
  <c r="W4278" i="1"/>
  <c r="T4278" i="1"/>
  <c r="R4278" i="1"/>
  <c r="P4278" i="1"/>
  <c r="L4278" i="1"/>
  <c r="W4277" i="1"/>
  <c r="T4277" i="1"/>
  <c r="R4277" i="1"/>
  <c r="P4277" i="1"/>
  <c r="L4277" i="1"/>
  <c r="W4276" i="1"/>
  <c r="T4276" i="1"/>
  <c r="P4276" i="1"/>
  <c r="W4275" i="1"/>
  <c r="W4274" i="1"/>
  <c r="T4274" i="1"/>
  <c r="R4274" i="1"/>
  <c r="P4274" i="1"/>
  <c r="L4274" i="1"/>
  <c r="W4273" i="1"/>
  <c r="T4273" i="1"/>
  <c r="P4273" i="1"/>
  <c r="W4272" i="1"/>
  <c r="W4271" i="1"/>
  <c r="P4271" i="1"/>
  <c r="J4271" i="1"/>
  <c r="T4271" i="1" s="1"/>
  <c r="W4270" i="1"/>
  <c r="P4270" i="1"/>
  <c r="J4270" i="1"/>
  <c r="W4269" i="1"/>
  <c r="P4269" i="1"/>
  <c r="J4269" i="1"/>
  <c r="R4269" i="1" s="1"/>
  <c r="W4268" i="1"/>
  <c r="W4267" i="1"/>
  <c r="W4266" i="1"/>
  <c r="P4266" i="1"/>
  <c r="J4266" i="1"/>
  <c r="R4266" i="1" s="1"/>
  <c r="W4265" i="1"/>
  <c r="W4264" i="1"/>
  <c r="W4263" i="1"/>
  <c r="P4263" i="1"/>
  <c r="J4263" i="1"/>
  <c r="W4262" i="1"/>
  <c r="W4261" i="1"/>
  <c r="W4260" i="1"/>
  <c r="T4260" i="1"/>
  <c r="W4259" i="1"/>
  <c r="P4259" i="1"/>
  <c r="J4259" i="1"/>
  <c r="T4259" i="1" s="1"/>
  <c r="W4258" i="1"/>
  <c r="P4258" i="1"/>
  <c r="J4258" i="1"/>
  <c r="R4258" i="1" s="1"/>
  <c r="W4257" i="1"/>
  <c r="W4256" i="1"/>
  <c r="W4255" i="1"/>
  <c r="P4255" i="1"/>
  <c r="J4255" i="1"/>
  <c r="W4254" i="1"/>
  <c r="P4254" i="1"/>
  <c r="J4254" i="1"/>
  <c r="W4252" i="1"/>
  <c r="W4251" i="1"/>
  <c r="P4251" i="1"/>
  <c r="J4251" i="1"/>
  <c r="L4251" i="1" s="1"/>
  <c r="W4250" i="1"/>
  <c r="P4250" i="1"/>
  <c r="J4250" i="1"/>
  <c r="W4249" i="1"/>
  <c r="P4249" i="1"/>
  <c r="J4249" i="1"/>
  <c r="L4249" i="1" s="1"/>
  <c r="W4248" i="1"/>
  <c r="P4248" i="1"/>
  <c r="J4248" i="1"/>
  <c r="L4248" i="1" s="1"/>
  <c r="S4246" i="1"/>
  <c r="W4245" i="1"/>
  <c r="T4245" i="1"/>
  <c r="R4245" i="1"/>
  <c r="L4245" i="1"/>
  <c r="W4244" i="1"/>
  <c r="P4244" i="1"/>
  <c r="J4244" i="1"/>
  <c r="W4243" i="1"/>
  <c r="W4242" i="1"/>
  <c r="W4241" i="1"/>
  <c r="T4241" i="1"/>
  <c r="R4241" i="1"/>
  <c r="P4241" i="1"/>
  <c r="L4241" i="1"/>
  <c r="W4240" i="1"/>
  <c r="P4240" i="1"/>
  <c r="J4240" i="1"/>
  <c r="W4239" i="1"/>
  <c r="P4239" i="1"/>
  <c r="J4239" i="1"/>
  <c r="L4239" i="1" s="1"/>
  <c r="W4238" i="1"/>
  <c r="W4237" i="1"/>
  <c r="W4236" i="1"/>
  <c r="T4236" i="1"/>
  <c r="R4236" i="1"/>
  <c r="P4236" i="1"/>
  <c r="L4236" i="1"/>
  <c r="W4235" i="1"/>
  <c r="T4235" i="1"/>
  <c r="R4235" i="1"/>
  <c r="P4235" i="1"/>
  <c r="L4235" i="1"/>
  <c r="W4234" i="1"/>
  <c r="T4234" i="1"/>
  <c r="P4234" i="1"/>
  <c r="W4233" i="1"/>
  <c r="S4232" i="1"/>
  <c r="P4232" i="1"/>
  <c r="J4232" i="1"/>
  <c r="S4231" i="1"/>
  <c r="W4231" i="1" s="1"/>
  <c r="P4231" i="1"/>
  <c r="J4231" i="1"/>
  <c r="W4230" i="1"/>
  <c r="S4229" i="1"/>
  <c r="W4229" i="1" s="1"/>
  <c r="P4229" i="1"/>
  <c r="J4229" i="1"/>
  <c r="R4229" i="1" s="1"/>
  <c r="W4228" i="1"/>
  <c r="W4227" i="1"/>
  <c r="T4227" i="1"/>
  <c r="W4226" i="1"/>
  <c r="P4226" i="1"/>
  <c r="L4226" i="1"/>
  <c r="W4225" i="1"/>
  <c r="P4225" i="1"/>
  <c r="J4225" i="1"/>
  <c r="R4225" i="1" s="1"/>
  <c r="W4224" i="1"/>
  <c r="W4223" i="1"/>
  <c r="W4222" i="1"/>
  <c r="T4222" i="1"/>
  <c r="R4222" i="1"/>
  <c r="P4222" i="1"/>
  <c r="L4222" i="1"/>
  <c r="W4221" i="1"/>
  <c r="P4221" i="1"/>
  <c r="J4221" i="1"/>
  <c r="T4220" i="1"/>
  <c r="S4220" i="1"/>
  <c r="W4219" i="1"/>
  <c r="W4218" i="1"/>
  <c r="T4218" i="1"/>
  <c r="L4218" i="1"/>
  <c r="W4217" i="1"/>
  <c r="P4217" i="1"/>
  <c r="J4217" i="1"/>
  <c r="R4217" i="1" s="1"/>
  <c r="W4216" i="1"/>
  <c r="W4215" i="1"/>
  <c r="W4214" i="1"/>
  <c r="T4214" i="1"/>
  <c r="R4214" i="1"/>
  <c r="P4214" i="1"/>
  <c r="L4214" i="1"/>
  <c r="W4213" i="1"/>
  <c r="T4213" i="1"/>
  <c r="R4213" i="1"/>
  <c r="P4213" i="1"/>
  <c r="L4213" i="1"/>
  <c r="W4212" i="1"/>
  <c r="T4212" i="1"/>
  <c r="R4212" i="1"/>
  <c r="P4212" i="1"/>
  <c r="L4212" i="1"/>
  <c r="W4211" i="1"/>
  <c r="T4211" i="1"/>
  <c r="R4211" i="1"/>
  <c r="P4211" i="1"/>
  <c r="L4211" i="1"/>
  <c r="W4210" i="1"/>
  <c r="T4210" i="1"/>
  <c r="R4210" i="1"/>
  <c r="P4210" i="1"/>
  <c r="L4210" i="1"/>
  <c r="W4209" i="1"/>
  <c r="T4209" i="1"/>
  <c r="R4209" i="1"/>
  <c r="P4209" i="1"/>
  <c r="L4209" i="1"/>
  <c r="W4208" i="1"/>
  <c r="T4208" i="1"/>
  <c r="R4208" i="1"/>
  <c r="P4208" i="1"/>
  <c r="L4208" i="1"/>
  <c r="W4207" i="1"/>
  <c r="T4207" i="1"/>
  <c r="R4207" i="1"/>
  <c r="P4207" i="1"/>
  <c r="L4207" i="1"/>
  <c r="W4206" i="1"/>
  <c r="T4206" i="1"/>
  <c r="P4206" i="1"/>
  <c r="W4205" i="1"/>
  <c r="W4204" i="1"/>
  <c r="T4204" i="1"/>
  <c r="R4204" i="1"/>
  <c r="P4204" i="1"/>
  <c r="L4204" i="1"/>
  <c r="W4203" i="1"/>
  <c r="T4203" i="1"/>
  <c r="R4203" i="1"/>
  <c r="P4203" i="1"/>
  <c r="L4203" i="1"/>
  <c r="W4202" i="1"/>
  <c r="T4202" i="1"/>
  <c r="R4202" i="1"/>
  <c r="P4202" i="1"/>
  <c r="L4202" i="1"/>
  <c r="W4201" i="1"/>
  <c r="T4201" i="1"/>
  <c r="R4201" i="1"/>
  <c r="P4201" i="1"/>
  <c r="L4201" i="1"/>
  <c r="W4200" i="1"/>
  <c r="T4200" i="1"/>
  <c r="R4200" i="1"/>
  <c r="P4200" i="1"/>
  <c r="L4200" i="1"/>
  <c r="W4199" i="1"/>
  <c r="T4199" i="1"/>
  <c r="R4199" i="1"/>
  <c r="P4199" i="1"/>
  <c r="L4199" i="1"/>
  <c r="W4198" i="1"/>
  <c r="T4198" i="1"/>
  <c r="R4198" i="1"/>
  <c r="P4198" i="1"/>
  <c r="L4198" i="1"/>
  <c r="W4197" i="1"/>
  <c r="W4196" i="1"/>
  <c r="S4195" i="1"/>
  <c r="W4195" i="1" s="1"/>
  <c r="R4195" i="1"/>
  <c r="P4195" i="1"/>
  <c r="L4195" i="1"/>
  <c r="S4194" i="1"/>
  <c r="R4194" i="1"/>
  <c r="P4194" i="1"/>
  <c r="L4194" i="1"/>
  <c r="W4193" i="1"/>
  <c r="T4193" i="1"/>
  <c r="P4193" i="1"/>
  <c r="W4192" i="1"/>
  <c r="W4191" i="1"/>
  <c r="T4191" i="1"/>
  <c r="R4191" i="1"/>
  <c r="P4191" i="1"/>
  <c r="L4191" i="1"/>
  <c r="W4190" i="1"/>
  <c r="T4190" i="1"/>
  <c r="R4190" i="1"/>
  <c r="P4190" i="1"/>
  <c r="L4190" i="1"/>
  <c r="W4189" i="1"/>
  <c r="W4188" i="1"/>
  <c r="W4187" i="1"/>
  <c r="T4187" i="1"/>
  <c r="R4187" i="1"/>
  <c r="P4187" i="1"/>
  <c r="L4187" i="1"/>
  <c r="W4186" i="1"/>
  <c r="P4186" i="1"/>
  <c r="J4186" i="1"/>
  <c r="R4186" i="1" s="1"/>
  <c r="W4185" i="1"/>
  <c r="T4185" i="1"/>
  <c r="R4185" i="1"/>
  <c r="P4185" i="1"/>
  <c r="L4185" i="1"/>
  <c r="W4184" i="1"/>
  <c r="W4183" i="1"/>
  <c r="W4182" i="1"/>
  <c r="T4182" i="1"/>
  <c r="R4182" i="1"/>
  <c r="P4182" i="1"/>
  <c r="L4182" i="1"/>
  <c r="W4181" i="1"/>
  <c r="P4181" i="1"/>
  <c r="J4181" i="1"/>
  <c r="R4181" i="1" s="1"/>
  <c r="W4180" i="1"/>
  <c r="W4179" i="1"/>
  <c r="W4178" i="1"/>
  <c r="P4178" i="1"/>
  <c r="L4178" i="1"/>
  <c r="W4177" i="1"/>
  <c r="T4177" i="1"/>
  <c r="P4177" i="1"/>
  <c r="L4177" i="1"/>
  <c r="W4176" i="1"/>
  <c r="T4176" i="1"/>
  <c r="R4176" i="1"/>
  <c r="P4176" i="1"/>
  <c r="L4176" i="1"/>
  <c r="W4175" i="1"/>
  <c r="W4174" i="1"/>
  <c r="W4173" i="1"/>
  <c r="P4173" i="1"/>
  <c r="L4173" i="1"/>
  <c r="W4172" i="1"/>
  <c r="P4172" i="1"/>
  <c r="J4172" i="1"/>
  <c r="W4171" i="1"/>
  <c r="P4171" i="1"/>
  <c r="J4171" i="1"/>
  <c r="W4170" i="1"/>
  <c r="P4170" i="1"/>
  <c r="J4170" i="1"/>
  <c r="R4170" i="1" s="1"/>
  <c r="W4169" i="1"/>
  <c r="P4169" i="1"/>
  <c r="J4169" i="1"/>
  <c r="L4169" i="1" s="1"/>
  <c r="W4168" i="1"/>
  <c r="P4168" i="1"/>
  <c r="J4168" i="1"/>
  <c r="L4168" i="1" s="1"/>
  <c r="W4167" i="1"/>
  <c r="P4167" i="1"/>
  <c r="J4167" i="1"/>
  <c r="L4167" i="1" s="1"/>
  <c r="W4166" i="1"/>
  <c r="W4165" i="1"/>
  <c r="S4164" i="1"/>
  <c r="R4164" i="1"/>
  <c r="P4164" i="1"/>
  <c r="L4164" i="1"/>
  <c r="W4163" i="1"/>
  <c r="W4162" i="1"/>
  <c r="W4161" i="1"/>
  <c r="W4160" i="1"/>
  <c r="T4160" i="1"/>
  <c r="R4160" i="1"/>
  <c r="P4160" i="1"/>
  <c r="L4160" i="1"/>
  <c r="W4159" i="1"/>
  <c r="T4159" i="1"/>
  <c r="R4159" i="1"/>
  <c r="P4159" i="1"/>
  <c r="L4159" i="1"/>
  <c r="W4158" i="1"/>
  <c r="P4158" i="1"/>
  <c r="J4158" i="1"/>
  <c r="W4157" i="1"/>
  <c r="P4157" i="1"/>
  <c r="J4157" i="1"/>
  <c r="L4157" i="1" s="1"/>
  <c r="W4156" i="1"/>
  <c r="P4156" i="1"/>
  <c r="J4156" i="1"/>
  <c r="W4155" i="1"/>
  <c r="P4155" i="1"/>
  <c r="J4155" i="1"/>
  <c r="W4154" i="1"/>
  <c r="W4153" i="1"/>
  <c r="S4152" i="1"/>
  <c r="W4152" i="1" s="1"/>
  <c r="R4152" i="1"/>
  <c r="P4152" i="1"/>
  <c r="L4152" i="1"/>
  <c r="S4151" i="1"/>
  <c r="W4151" i="1" s="1"/>
  <c r="R4151" i="1"/>
  <c r="P4151" i="1"/>
  <c r="L4151" i="1"/>
  <c r="W4150" i="1"/>
  <c r="T4150" i="1"/>
  <c r="P4150" i="1"/>
  <c r="W4149" i="1"/>
  <c r="W4148" i="1"/>
  <c r="T4148" i="1"/>
  <c r="R4148" i="1"/>
  <c r="P4148" i="1"/>
  <c r="L4148" i="1"/>
  <c r="W4147" i="1"/>
  <c r="P4147" i="1"/>
  <c r="J4147" i="1"/>
  <c r="W4146" i="1"/>
  <c r="P4146" i="1"/>
  <c r="J4146" i="1"/>
  <c r="L4146" i="1" s="1"/>
  <c r="W4145" i="1"/>
  <c r="K4144" i="1"/>
  <c r="W4144" i="1" s="1"/>
  <c r="S4143" i="1"/>
  <c r="R4143" i="1"/>
  <c r="W4142" i="1"/>
  <c r="J4142" i="1"/>
  <c r="T4142" i="1" s="1"/>
  <c r="W4141" i="1"/>
  <c r="W4140" i="1"/>
  <c r="J4140" i="1"/>
  <c r="R4140" i="1" s="1"/>
  <c r="W4139" i="1"/>
  <c r="W4138" i="1"/>
  <c r="W4137" i="1"/>
  <c r="T4137" i="1"/>
  <c r="R4137" i="1"/>
  <c r="P4137" i="1"/>
  <c r="L4137" i="1"/>
  <c r="W4136" i="1"/>
  <c r="T4136" i="1"/>
  <c r="R4136" i="1"/>
  <c r="P4136" i="1"/>
  <c r="L4136" i="1"/>
  <c r="W4135" i="1"/>
  <c r="T4135" i="1"/>
  <c r="P4135" i="1"/>
  <c r="W4134" i="1"/>
  <c r="W4133" i="1"/>
  <c r="T4133" i="1"/>
  <c r="R4133" i="1"/>
  <c r="P4133" i="1"/>
  <c r="W4132" i="1"/>
  <c r="P4132" i="1"/>
  <c r="J4132" i="1"/>
  <c r="W4131" i="1"/>
  <c r="P4131" i="1"/>
  <c r="J4131" i="1"/>
  <c r="R4131" i="1" s="1"/>
  <c r="W4130" i="1"/>
  <c r="P4130" i="1"/>
  <c r="J4130" i="1"/>
  <c r="L4130" i="1" s="1"/>
  <c r="W4129" i="1"/>
  <c r="W4128" i="1"/>
  <c r="W4127" i="1"/>
  <c r="T4127" i="1"/>
  <c r="R4127" i="1"/>
  <c r="L4127" i="1"/>
  <c r="W4126" i="1"/>
  <c r="P4126" i="1"/>
  <c r="J4126" i="1"/>
  <c r="T4126" i="1" s="1"/>
  <c r="W4125" i="1"/>
  <c r="W4124" i="1"/>
  <c r="W4123" i="1"/>
  <c r="T4123" i="1"/>
  <c r="R4123" i="1"/>
  <c r="L4123" i="1"/>
  <c r="W4122" i="1"/>
  <c r="R4122" i="1"/>
  <c r="P4122" i="1"/>
  <c r="L4122" i="1"/>
  <c r="W4121" i="1"/>
  <c r="T4121" i="1"/>
  <c r="R4121" i="1"/>
  <c r="P4121" i="1"/>
  <c r="L4121" i="1"/>
  <c r="W4120" i="1"/>
  <c r="T4120" i="1"/>
  <c r="R4120" i="1"/>
  <c r="P4120" i="1"/>
  <c r="L4120" i="1"/>
  <c r="W4119" i="1"/>
  <c r="T4119" i="1"/>
  <c r="R4119" i="1"/>
  <c r="P4119" i="1"/>
  <c r="L4119" i="1"/>
  <c r="W4118" i="1"/>
  <c r="T4118" i="1"/>
  <c r="R4118" i="1"/>
  <c r="P4118" i="1"/>
  <c r="L4118" i="1"/>
  <c r="W4117" i="1"/>
  <c r="T4117" i="1"/>
  <c r="R4117" i="1"/>
  <c r="P4117" i="1"/>
  <c r="L4117" i="1"/>
  <c r="W4115" i="1"/>
  <c r="W4114" i="1"/>
  <c r="T4114" i="1"/>
  <c r="R4114" i="1"/>
  <c r="W4113" i="1"/>
  <c r="P4113" i="1"/>
  <c r="J4113" i="1"/>
  <c r="W4112" i="1"/>
  <c r="P4112" i="1"/>
  <c r="J4112" i="1"/>
  <c r="L4112" i="1" s="1"/>
  <c r="W4111" i="1"/>
  <c r="P4111" i="1"/>
  <c r="J4111" i="1"/>
  <c r="L4111" i="1" s="1"/>
  <c r="W4110" i="1"/>
  <c r="P4110" i="1"/>
  <c r="J4110" i="1"/>
  <c r="R4110" i="1" s="1"/>
  <c r="W4109" i="1"/>
  <c r="P4109" i="1"/>
  <c r="J4109" i="1"/>
  <c r="L4109" i="1" s="1"/>
  <c r="W4108" i="1"/>
  <c r="P4108" i="1"/>
  <c r="J4108" i="1"/>
  <c r="R4108" i="1" s="1"/>
  <c r="W4106" i="1"/>
  <c r="W4105" i="1"/>
  <c r="T4105" i="1"/>
  <c r="R4105" i="1"/>
  <c r="P4105" i="1"/>
  <c r="L4105" i="1"/>
  <c r="W4104" i="1"/>
  <c r="P4104" i="1"/>
  <c r="J4104" i="1"/>
  <c r="R4104" i="1" s="1"/>
  <c r="W4103" i="1"/>
  <c r="W4102" i="1"/>
  <c r="S4101" i="1"/>
  <c r="R4101" i="1"/>
  <c r="P4101" i="1"/>
  <c r="L4101" i="1"/>
  <c r="S4100" i="1"/>
  <c r="R4100" i="1"/>
  <c r="P4100" i="1"/>
  <c r="L4100" i="1"/>
  <c r="W4099" i="1"/>
  <c r="T4099" i="1"/>
  <c r="R4099" i="1"/>
  <c r="P4099" i="1"/>
  <c r="L4099" i="1"/>
  <c r="W4098" i="1"/>
  <c r="W4097" i="1"/>
  <c r="S4096" i="1"/>
  <c r="R4096" i="1"/>
  <c r="P4096" i="1"/>
  <c r="L4096" i="1"/>
  <c r="W4095" i="1"/>
  <c r="W4094" i="1"/>
  <c r="W4093" i="1"/>
  <c r="T4093" i="1"/>
  <c r="W4092" i="1"/>
  <c r="T4092" i="1"/>
  <c r="W4091" i="1"/>
  <c r="P4091" i="1"/>
  <c r="J4091" i="1"/>
  <c r="L4091" i="1" s="1"/>
  <c r="W4090" i="1"/>
  <c r="W4089" i="1"/>
  <c r="P4089" i="1"/>
  <c r="J4089" i="1"/>
  <c r="L4089" i="1" s="1"/>
  <c r="W4088" i="1"/>
  <c r="P4088" i="1"/>
  <c r="J4088" i="1"/>
  <c r="L4088" i="1" s="1"/>
  <c r="W4087" i="1"/>
  <c r="P4087" i="1"/>
  <c r="J4087" i="1"/>
  <c r="W4086" i="1"/>
  <c r="P4086" i="1"/>
  <c r="J4086" i="1"/>
  <c r="L4086" i="1" s="1"/>
  <c r="W4085" i="1"/>
  <c r="P4085" i="1"/>
  <c r="J4085" i="1"/>
  <c r="W4084" i="1"/>
  <c r="P4084" i="1"/>
  <c r="J4084" i="1"/>
  <c r="L4084" i="1" s="1"/>
  <c r="W4083" i="1"/>
  <c r="W4082" i="1"/>
  <c r="W4081" i="1"/>
  <c r="P4081" i="1"/>
  <c r="J4081" i="1"/>
  <c r="T4081" i="1" s="1"/>
  <c r="W4080" i="1"/>
  <c r="P4080" i="1"/>
  <c r="J4080" i="1"/>
  <c r="W4079" i="1"/>
  <c r="W4078" i="1"/>
  <c r="W4077" i="1"/>
  <c r="T4077" i="1"/>
  <c r="R4077" i="1"/>
  <c r="P4077" i="1"/>
  <c r="L4077" i="1"/>
  <c r="W4076" i="1"/>
  <c r="P4076" i="1"/>
  <c r="J4076" i="1"/>
  <c r="W4075" i="1"/>
  <c r="W4074" i="1"/>
  <c r="W4073" i="1"/>
  <c r="T4073" i="1"/>
  <c r="R4073" i="1"/>
  <c r="P4073" i="1"/>
  <c r="L4073" i="1"/>
  <c r="S4072" i="1"/>
  <c r="W4072" i="1" s="1"/>
  <c r="P4072" i="1"/>
  <c r="J4072" i="1"/>
  <c r="S4071" i="1"/>
  <c r="P4071" i="1"/>
  <c r="J4071" i="1"/>
  <c r="S4070" i="1"/>
  <c r="P4070" i="1"/>
  <c r="J4070" i="1"/>
  <c r="S4069" i="1"/>
  <c r="W4069" i="1" s="1"/>
  <c r="P4069" i="1"/>
  <c r="J4069" i="1"/>
  <c r="R4069" i="1" s="1"/>
  <c r="S4068" i="1"/>
  <c r="W4068" i="1" s="1"/>
  <c r="P4068" i="1"/>
  <c r="J4068" i="1"/>
  <c r="S4067" i="1"/>
  <c r="W4067" i="1" s="1"/>
  <c r="P4067" i="1"/>
  <c r="J4067" i="1"/>
  <c r="S4066" i="1"/>
  <c r="P4066" i="1"/>
  <c r="J4066" i="1"/>
  <c r="R4066" i="1" s="1"/>
  <c r="S4065" i="1"/>
  <c r="P4065" i="1"/>
  <c r="J4065" i="1"/>
  <c r="S4064" i="1"/>
  <c r="P4064" i="1"/>
  <c r="J4064" i="1"/>
  <c r="R4064" i="1" s="1"/>
  <c r="S4063" i="1"/>
  <c r="W4063" i="1" s="1"/>
  <c r="P4063" i="1"/>
  <c r="J4063" i="1"/>
  <c r="L4063" i="1" s="1"/>
  <c r="W4062" i="1"/>
  <c r="W4061" i="1"/>
  <c r="W4060" i="1"/>
  <c r="T4060" i="1"/>
  <c r="R4060" i="1"/>
  <c r="P4060" i="1"/>
  <c r="L4060" i="1"/>
  <c r="W4059" i="1"/>
  <c r="T4059" i="1"/>
  <c r="R4059" i="1"/>
  <c r="P4059" i="1"/>
  <c r="L4059" i="1"/>
  <c r="W4058" i="1"/>
  <c r="T4058" i="1"/>
  <c r="R4058" i="1"/>
  <c r="P4058" i="1"/>
  <c r="L4058" i="1"/>
  <c r="W4057" i="1"/>
  <c r="T4057" i="1"/>
  <c r="P4057" i="1"/>
  <c r="W4056" i="1"/>
  <c r="W4055" i="1"/>
  <c r="T4055" i="1"/>
  <c r="R4055" i="1"/>
  <c r="P4055" i="1"/>
  <c r="L4055" i="1"/>
  <c r="W4054" i="1"/>
  <c r="T4054" i="1"/>
  <c r="R4054" i="1"/>
  <c r="P4054" i="1"/>
  <c r="L4054" i="1"/>
  <c r="W4053" i="1"/>
  <c r="T4053" i="1"/>
  <c r="R4053" i="1"/>
  <c r="P4053" i="1"/>
  <c r="L4053" i="1"/>
  <c r="W4052" i="1"/>
  <c r="T4052" i="1"/>
  <c r="R4052" i="1"/>
  <c r="P4052" i="1"/>
  <c r="L4052" i="1"/>
  <c r="W4051" i="1"/>
  <c r="T4051" i="1"/>
  <c r="R4051" i="1"/>
  <c r="P4051" i="1"/>
  <c r="L4051" i="1"/>
  <c r="W4050" i="1"/>
  <c r="T4050" i="1"/>
  <c r="R4050" i="1"/>
  <c r="P4050" i="1"/>
  <c r="L4050" i="1"/>
  <c r="W4049" i="1"/>
  <c r="T4049" i="1"/>
  <c r="P4049" i="1"/>
  <c r="W4048" i="1"/>
  <c r="W4047" i="1"/>
  <c r="T4047" i="1"/>
  <c r="R4047" i="1"/>
  <c r="P4047" i="1"/>
  <c r="L4047" i="1"/>
  <c r="W4046" i="1"/>
  <c r="P4046" i="1"/>
  <c r="J4046" i="1"/>
  <c r="L4046" i="1" s="1"/>
  <c r="W4045" i="1"/>
  <c r="W4044" i="1"/>
  <c r="W4043" i="1"/>
  <c r="T4043" i="1"/>
  <c r="R4043" i="1"/>
  <c r="P4043" i="1"/>
  <c r="L4043" i="1"/>
  <c r="W4042" i="1"/>
  <c r="T4042" i="1"/>
  <c r="R4042" i="1"/>
  <c r="P4042" i="1"/>
  <c r="L4042" i="1"/>
  <c r="W4041" i="1"/>
  <c r="T4041" i="1"/>
  <c r="R4041" i="1"/>
  <c r="P4041" i="1"/>
  <c r="L4041" i="1"/>
  <c r="W4040" i="1"/>
  <c r="T4040" i="1"/>
  <c r="P4040" i="1"/>
  <c r="W4039" i="1"/>
  <c r="S4038" i="1"/>
  <c r="R4038" i="1"/>
  <c r="P4038" i="1"/>
  <c r="W4037" i="1"/>
  <c r="T4037" i="1"/>
  <c r="P4037" i="1"/>
  <c r="L4037" i="1"/>
  <c r="S4036" i="1"/>
  <c r="W4036" i="1" s="1"/>
  <c r="R4036" i="1"/>
  <c r="P4036" i="1"/>
  <c r="L4036" i="1"/>
  <c r="W4035" i="1"/>
  <c r="T4035" i="1"/>
  <c r="P4035" i="1"/>
  <c r="W4034" i="1"/>
  <c r="W4033" i="1"/>
  <c r="T4033" i="1"/>
  <c r="R4033" i="1"/>
  <c r="P4033" i="1"/>
  <c r="L4033" i="1"/>
  <c r="S4032" i="1"/>
  <c r="W4032" i="1" s="1"/>
  <c r="R4032" i="1"/>
  <c r="P4032" i="1"/>
  <c r="L4032" i="1"/>
  <c r="S4031" i="1"/>
  <c r="R4031" i="1"/>
  <c r="P4031" i="1"/>
  <c r="L4031" i="1"/>
  <c r="W4029" i="1"/>
  <c r="W4028" i="1"/>
  <c r="T4028" i="1"/>
  <c r="R4028" i="1"/>
  <c r="P4028" i="1"/>
  <c r="L4028" i="1"/>
  <c r="W4027" i="1"/>
  <c r="T4027" i="1"/>
  <c r="R4027" i="1"/>
  <c r="P4027" i="1"/>
  <c r="L4027" i="1"/>
  <c r="W4026" i="1"/>
  <c r="T4026" i="1"/>
  <c r="P4026" i="1"/>
  <c r="W4025" i="1"/>
  <c r="W4024" i="1"/>
  <c r="T4024" i="1"/>
  <c r="R4024" i="1"/>
  <c r="P4024" i="1"/>
  <c r="L4024" i="1"/>
  <c r="W4023" i="1"/>
  <c r="T4023" i="1"/>
  <c r="R4023" i="1"/>
  <c r="P4023" i="1"/>
  <c r="L4023" i="1"/>
  <c r="W4022" i="1"/>
  <c r="T4022" i="1"/>
  <c r="P4022" i="1"/>
  <c r="W4021" i="1"/>
  <c r="W4020" i="1"/>
  <c r="T4020" i="1"/>
  <c r="R4020" i="1"/>
  <c r="P4020" i="1"/>
  <c r="L4020" i="1"/>
  <c r="W4019" i="1"/>
  <c r="T4019" i="1"/>
  <c r="R4019" i="1"/>
  <c r="P4019" i="1"/>
  <c r="L4019" i="1"/>
  <c r="W4018" i="1"/>
  <c r="T4018" i="1"/>
  <c r="R4018" i="1"/>
  <c r="P4018" i="1"/>
  <c r="L4018" i="1"/>
  <c r="W4017" i="1"/>
  <c r="T4017" i="1"/>
  <c r="R4017" i="1"/>
  <c r="P4017" i="1"/>
  <c r="L4017" i="1"/>
  <c r="W4016" i="1"/>
  <c r="T4016" i="1"/>
  <c r="P4016" i="1"/>
  <c r="W4015" i="1"/>
  <c r="W4014" i="1"/>
  <c r="T4014" i="1"/>
  <c r="R4014" i="1"/>
  <c r="P4014" i="1"/>
  <c r="L4014" i="1"/>
  <c r="W4013" i="1"/>
  <c r="P4013" i="1"/>
  <c r="J4013" i="1"/>
  <c r="W4012" i="1"/>
  <c r="W4011" i="1"/>
  <c r="W4010" i="1"/>
  <c r="P4010" i="1"/>
  <c r="L4010" i="1"/>
  <c r="W4009" i="1"/>
  <c r="P4009" i="1"/>
  <c r="J4009" i="1"/>
  <c r="R4009" i="1" s="1"/>
  <c r="W4008" i="1"/>
  <c r="P4008" i="1"/>
  <c r="J4008" i="1"/>
  <c r="T4008" i="1" s="1"/>
  <c r="W4007" i="1"/>
  <c r="P4007" i="1"/>
  <c r="J4007" i="1"/>
  <c r="R4007" i="1" s="1"/>
  <c r="W4006" i="1"/>
  <c r="W4005" i="1"/>
  <c r="W4004" i="1"/>
  <c r="T4004" i="1"/>
  <c r="R4004" i="1"/>
  <c r="P4004" i="1"/>
  <c r="L4004" i="1"/>
  <c r="W4003" i="1"/>
  <c r="T4003" i="1"/>
  <c r="R4003" i="1"/>
  <c r="P4003" i="1"/>
  <c r="L4003" i="1"/>
  <c r="W4002" i="1"/>
  <c r="T4002" i="1"/>
  <c r="R4002" i="1"/>
  <c r="P4002" i="1"/>
  <c r="L4002" i="1"/>
  <c r="W4001" i="1"/>
  <c r="T4001" i="1"/>
  <c r="P4001" i="1"/>
  <c r="W4000" i="1"/>
  <c r="W3999" i="1"/>
  <c r="P3999" i="1"/>
  <c r="J3999" i="1"/>
  <c r="W3998" i="1"/>
  <c r="W3997" i="1"/>
  <c r="S3996" i="1"/>
  <c r="R3996" i="1"/>
  <c r="P3996" i="1"/>
  <c r="L3996" i="1"/>
  <c r="W3995" i="1"/>
  <c r="T3995" i="1"/>
  <c r="R3995" i="1"/>
  <c r="P3995" i="1"/>
  <c r="L3995" i="1"/>
  <c r="S3994" i="1"/>
  <c r="T3994" i="1" s="1"/>
  <c r="R3994" i="1"/>
  <c r="P3994" i="1"/>
  <c r="L3994" i="1"/>
  <c r="W3993" i="1"/>
  <c r="T3993" i="1"/>
  <c r="R3993" i="1"/>
  <c r="P3993" i="1"/>
  <c r="L3993" i="1"/>
  <c r="W3992" i="1"/>
  <c r="T3992" i="1"/>
  <c r="R3992" i="1"/>
  <c r="P3992" i="1"/>
  <c r="W3991" i="1"/>
  <c r="T3991" i="1"/>
  <c r="R3991" i="1"/>
  <c r="P3991" i="1"/>
  <c r="W3990" i="1"/>
  <c r="T3990" i="1"/>
  <c r="P3990" i="1"/>
  <c r="W3989" i="1"/>
  <c r="W3988" i="1"/>
  <c r="T3988" i="1"/>
  <c r="R3988" i="1"/>
  <c r="P3988" i="1"/>
  <c r="L3988" i="1"/>
  <c r="S3987" i="1"/>
  <c r="T3987" i="1" s="1"/>
  <c r="R3987" i="1"/>
  <c r="P3987" i="1"/>
  <c r="L3987" i="1"/>
  <c r="W3986" i="1"/>
  <c r="T3986" i="1"/>
  <c r="P3986" i="1"/>
  <c r="W3985" i="1"/>
  <c r="W3984" i="1"/>
  <c r="T3984" i="1"/>
  <c r="R3984" i="1"/>
  <c r="P3984" i="1"/>
  <c r="L3984" i="1"/>
  <c r="W3983" i="1"/>
  <c r="T3983" i="1"/>
  <c r="R3983" i="1"/>
  <c r="P3983" i="1"/>
  <c r="L3983" i="1"/>
  <c r="W3982" i="1"/>
  <c r="T3982" i="1"/>
  <c r="P3982" i="1"/>
  <c r="W3981" i="1"/>
  <c r="W3980" i="1"/>
  <c r="T3980" i="1"/>
  <c r="R3980" i="1"/>
  <c r="P3980" i="1"/>
  <c r="L3980" i="1"/>
  <c r="W3979" i="1"/>
  <c r="T3979" i="1"/>
  <c r="R3979" i="1"/>
  <c r="P3979" i="1"/>
  <c r="L3979" i="1"/>
  <c r="W3978" i="1"/>
  <c r="T3978" i="1"/>
  <c r="P3978" i="1"/>
  <c r="W3977" i="1"/>
  <c r="W3976" i="1"/>
  <c r="T3976" i="1"/>
  <c r="R3976" i="1"/>
  <c r="P3976" i="1"/>
  <c r="L3976" i="1"/>
  <c r="S3975" i="1"/>
  <c r="W3975" i="1" s="1"/>
  <c r="R3975" i="1"/>
  <c r="P3975" i="1"/>
  <c r="L3975" i="1"/>
  <c r="W3974" i="1"/>
  <c r="T3974" i="1"/>
  <c r="P3974" i="1"/>
  <c r="W3973" i="1"/>
  <c r="W3972" i="1"/>
  <c r="P3972" i="1"/>
  <c r="J3972" i="1"/>
  <c r="L3972" i="1" s="1"/>
  <c r="W3971" i="1"/>
  <c r="W3970" i="1"/>
  <c r="W3969" i="1"/>
  <c r="P3969" i="1"/>
  <c r="L3969" i="1"/>
  <c r="W3968" i="1"/>
  <c r="P3968" i="1"/>
  <c r="J3968" i="1"/>
  <c r="L3968" i="1" s="1"/>
  <c r="W3967" i="1"/>
  <c r="W3966" i="1"/>
  <c r="W3965" i="1"/>
  <c r="P3965" i="1"/>
  <c r="L3965" i="1"/>
  <c r="W3964" i="1"/>
  <c r="P3964" i="1"/>
  <c r="J3964" i="1"/>
  <c r="W3963" i="1"/>
  <c r="W3962" i="1"/>
  <c r="W3961" i="1"/>
  <c r="T3961" i="1"/>
  <c r="R3961" i="1"/>
  <c r="P3961" i="1"/>
  <c r="L3961" i="1"/>
  <c r="W3960" i="1"/>
  <c r="T3960" i="1"/>
  <c r="R3960" i="1"/>
  <c r="P3960" i="1"/>
  <c r="L3960" i="1"/>
  <c r="W3959" i="1"/>
  <c r="T3959" i="1"/>
  <c r="R3959" i="1"/>
  <c r="P3959" i="1"/>
  <c r="L3959" i="1"/>
  <c r="W3958" i="1"/>
  <c r="T3958" i="1"/>
  <c r="R3958" i="1"/>
  <c r="P3958" i="1"/>
  <c r="L3958" i="1"/>
  <c r="W3957" i="1"/>
  <c r="T3957" i="1"/>
  <c r="P3957" i="1"/>
  <c r="W3956" i="1"/>
  <c r="W3955" i="1"/>
  <c r="T3955" i="1"/>
  <c r="R3955" i="1"/>
  <c r="P3955" i="1"/>
  <c r="L3955" i="1"/>
  <c r="W3954" i="1"/>
  <c r="T3954" i="1"/>
  <c r="R3954" i="1"/>
  <c r="P3954" i="1"/>
  <c r="S3953" i="1"/>
  <c r="T3953" i="1" s="1"/>
  <c r="R3953" i="1"/>
  <c r="P3953" i="1"/>
  <c r="L3953" i="1"/>
  <c r="W3952" i="1"/>
  <c r="T3952" i="1"/>
  <c r="R3952" i="1"/>
  <c r="P3952" i="1"/>
  <c r="W3950" i="1"/>
  <c r="T3950" i="1"/>
  <c r="R3950" i="1"/>
  <c r="P3950" i="1"/>
  <c r="L3950" i="1"/>
  <c r="W3949" i="1"/>
  <c r="T3949" i="1"/>
  <c r="R3949" i="1"/>
  <c r="P3949" i="1"/>
  <c r="S3948" i="1"/>
  <c r="W3948" i="1" s="1"/>
  <c r="R3948" i="1"/>
  <c r="P3948" i="1"/>
  <c r="L3948" i="1"/>
  <c r="W3947" i="1"/>
  <c r="T3947" i="1"/>
  <c r="R3947" i="1"/>
  <c r="P3947" i="1"/>
  <c r="W3945" i="1"/>
  <c r="T3945" i="1"/>
  <c r="R3945" i="1"/>
  <c r="P3945" i="1"/>
  <c r="L3945" i="1"/>
  <c r="W3944" i="1"/>
  <c r="T3944" i="1"/>
  <c r="R3944" i="1"/>
  <c r="P3944" i="1"/>
  <c r="W3943" i="1"/>
  <c r="T3943" i="1"/>
  <c r="R3943" i="1"/>
  <c r="P3943" i="1"/>
  <c r="L3943" i="1"/>
  <c r="W3942" i="1"/>
  <c r="T3942" i="1"/>
  <c r="R3942" i="1"/>
  <c r="P3942" i="1"/>
  <c r="W3940" i="1"/>
  <c r="W3939" i="1"/>
  <c r="T3939" i="1"/>
  <c r="R3939" i="1"/>
  <c r="P3939" i="1"/>
  <c r="L3939" i="1"/>
  <c r="W3938" i="1"/>
  <c r="T3938" i="1"/>
  <c r="R3938" i="1"/>
  <c r="P3938" i="1"/>
  <c r="L3938" i="1"/>
  <c r="W3937" i="1"/>
  <c r="T3937" i="1"/>
  <c r="R3937" i="1"/>
  <c r="P3937" i="1"/>
  <c r="L3937" i="1"/>
  <c r="W3936" i="1"/>
  <c r="T3936" i="1"/>
  <c r="R3936" i="1"/>
  <c r="P3936" i="1"/>
  <c r="L3936" i="1"/>
  <c r="W3935" i="1"/>
  <c r="T3935" i="1"/>
  <c r="P3935" i="1"/>
  <c r="W3934" i="1"/>
  <c r="W3933" i="1"/>
  <c r="T3933" i="1"/>
  <c r="R3933" i="1"/>
  <c r="P3933" i="1"/>
  <c r="L3933" i="1"/>
  <c r="W3932" i="1"/>
  <c r="T3932" i="1"/>
  <c r="R3932" i="1"/>
  <c r="P3932" i="1"/>
  <c r="L3932" i="1"/>
  <c r="W3931" i="1"/>
  <c r="T3931" i="1"/>
  <c r="R3931" i="1"/>
  <c r="P3931" i="1"/>
  <c r="L3931" i="1"/>
  <c r="W3930" i="1"/>
  <c r="T3930" i="1"/>
  <c r="P3930" i="1"/>
  <c r="W3929" i="1"/>
  <c r="W3928" i="1"/>
  <c r="T3928" i="1"/>
  <c r="R3928" i="1"/>
  <c r="L3928" i="1"/>
  <c r="W3927" i="1"/>
  <c r="T3927" i="1"/>
  <c r="R3927" i="1"/>
  <c r="L3927" i="1"/>
  <c r="W3926" i="1"/>
  <c r="T3926" i="1"/>
  <c r="R3926" i="1"/>
  <c r="P3926" i="1"/>
  <c r="L3926" i="1"/>
  <c r="W3925" i="1"/>
  <c r="T3925" i="1"/>
  <c r="R3925" i="1"/>
  <c r="P3925" i="1"/>
  <c r="L3925" i="1"/>
  <c r="W3923" i="1"/>
  <c r="W3922" i="1"/>
  <c r="T3922" i="1"/>
  <c r="P3922" i="1"/>
  <c r="W3921" i="1"/>
  <c r="T3921" i="1"/>
  <c r="R3921" i="1"/>
  <c r="P3921" i="1"/>
  <c r="L3921" i="1"/>
  <c r="S3920" i="1"/>
  <c r="R3920" i="1"/>
  <c r="P3920" i="1"/>
  <c r="L3920" i="1"/>
  <c r="S3919" i="1"/>
  <c r="T3919" i="1" s="1"/>
  <c r="R3919" i="1"/>
  <c r="P3919" i="1"/>
  <c r="L3919" i="1"/>
  <c r="W3918" i="1"/>
  <c r="T3918" i="1"/>
  <c r="R3918" i="1"/>
  <c r="P3918" i="1"/>
  <c r="L3918" i="1"/>
  <c r="S3916" i="1"/>
  <c r="W3916" i="1" s="1"/>
  <c r="R3916" i="1"/>
  <c r="P3916" i="1"/>
  <c r="L3916" i="1"/>
  <c r="S3915" i="1"/>
  <c r="T3915" i="1" s="1"/>
  <c r="R3915" i="1"/>
  <c r="P3915" i="1"/>
  <c r="L3915" i="1"/>
  <c r="W3914" i="1"/>
  <c r="T3914" i="1"/>
  <c r="R3914" i="1"/>
  <c r="P3914" i="1"/>
  <c r="L3914" i="1"/>
  <c r="W3912" i="1"/>
  <c r="T3912" i="1"/>
  <c r="R3912" i="1"/>
  <c r="P3912" i="1"/>
  <c r="L3912" i="1"/>
  <c r="W3911" i="1"/>
  <c r="T3911" i="1"/>
  <c r="R3911" i="1"/>
  <c r="P3911" i="1"/>
  <c r="L3911" i="1"/>
  <c r="W3910" i="1"/>
  <c r="T3910" i="1"/>
  <c r="R3910" i="1"/>
  <c r="P3910" i="1"/>
  <c r="L3910" i="1"/>
  <c r="W3908" i="1"/>
  <c r="T3908" i="1"/>
  <c r="R3908" i="1"/>
  <c r="P3908" i="1"/>
  <c r="L3908" i="1"/>
  <c r="W3907" i="1"/>
  <c r="T3907" i="1"/>
  <c r="R3907" i="1"/>
  <c r="P3907" i="1"/>
  <c r="L3907" i="1"/>
  <c r="W3906" i="1"/>
  <c r="T3906" i="1"/>
  <c r="R3906" i="1"/>
  <c r="P3906" i="1"/>
  <c r="L3906" i="1"/>
  <c r="W3905" i="1"/>
  <c r="T3905" i="1"/>
  <c r="R3905" i="1"/>
  <c r="P3905" i="1"/>
  <c r="L3905" i="1"/>
  <c r="W3904" i="1"/>
  <c r="T3904" i="1"/>
  <c r="R3904" i="1"/>
  <c r="P3904" i="1"/>
  <c r="L3904" i="1"/>
  <c r="W3903" i="1"/>
  <c r="T3903" i="1"/>
  <c r="R3903" i="1"/>
  <c r="P3903" i="1"/>
  <c r="L3903" i="1"/>
  <c r="W3902" i="1"/>
  <c r="T3902" i="1"/>
  <c r="R3902" i="1"/>
  <c r="P3902" i="1"/>
  <c r="L3902" i="1"/>
  <c r="W3901" i="1"/>
  <c r="T3901" i="1"/>
  <c r="P3901" i="1"/>
  <c r="W3900" i="1"/>
  <c r="W3899" i="1"/>
  <c r="R3899" i="1"/>
  <c r="P3899" i="1"/>
  <c r="L3899" i="1"/>
  <c r="W3898" i="1"/>
  <c r="T3898" i="1"/>
  <c r="R3898" i="1"/>
  <c r="P3898" i="1"/>
  <c r="L3898" i="1"/>
  <c r="W3897" i="1"/>
  <c r="T3897" i="1"/>
  <c r="R3897" i="1"/>
  <c r="P3897" i="1"/>
  <c r="L3897" i="1"/>
  <c r="W3896" i="1"/>
  <c r="T3896" i="1"/>
  <c r="P3896" i="1"/>
  <c r="W3895" i="1"/>
  <c r="W3894" i="1"/>
  <c r="P3894" i="1"/>
  <c r="L3894" i="1"/>
  <c r="W3893" i="1"/>
  <c r="T3893" i="1"/>
  <c r="R3893" i="1"/>
  <c r="P3893" i="1"/>
  <c r="L3893" i="1"/>
  <c r="W3892" i="1"/>
  <c r="P3892" i="1"/>
  <c r="L3892" i="1"/>
  <c r="S3891" i="1"/>
  <c r="T3891" i="1" s="1"/>
  <c r="R3891" i="1"/>
  <c r="P3891" i="1"/>
  <c r="L3891" i="1"/>
  <c r="S3890" i="1"/>
  <c r="R3890" i="1"/>
  <c r="P3890" i="1"/>
  <c r="L3890" i="1"/>
  <c r="W3888" i="1"/>
  <c r="W3887" i="1"/>
  <c r="P3887" i="1"/>
  <c r="L3887" i="1"/>
  <c r="W3886" i="1"/>
  <c r="P3886" i="1"/>
  <c r="J3886" i="1"/>
  <c r="L3886" i="1" s="1"/>
  <c r="W3885" i="1"/>
  <c r="W3884" i="1"/>
  <c r="W3883" i="1"/>
  <c r="T3883" i="1"/>
  <c r="L3883" i="1"/>
  <c r="W3882" i="1"/>
  <c r="P3882" i="1"/>
  <c r="J3882" i="1"/>
  <c r="T3882" i="1" s="1"/>
  <c r="W3881" i="1"/>
  <c r="W3880" i="1"/>
  <c r="W3879" i="1"/>
  <c r="T3879" i="1"/>
  <c r="W3878" i="1"/>
  <c r="P3878" i="1"/>
  <c r="J3878" i="1"/>
  <c r="T3878" i="1" s="1"/>
  <c r="W3877" i="1"/>
  <c r="P3877" i="1"/>
  <c r="J3877" i="1"/>
  <c r="R3877" i="1" s="1"/>
  <c r="W3876" i="1"/>
  <c r="P3876" i="1"/>
  <c r="J3876" i="1"/>
  <c r="T3876" i="1" s="1"/>
  <c r="W3875" i="1"/>
  <c r="P3875" i="1"/>
  <c r="J3875" i="1"/>
  <c r="R3875" i="1" s="1"/>
  <c r="W3874" i="1"/>
  <c r="W3873" i="1"/>
  <c r="W3872" i="1"/>
  <c r="T3872" i="1"/>
  <c r="S3871" i="1"/>
  <c r="P3871" i="1"/>
  <c r="J3871" i="1"/>
  <c r="L3871" i="1" s="1"/>
  <c r="S3870" i="1"/>
  <c r="P3870" i="1"/>
  <c r="J3870" i="1"/>
  <c r="R3870" i="1" s="1"/>
  <c r="S3869" i="1"/>
  <c r="P3869" i="1"/>
  <c r="J3869" i="1"/>
  <c r="R3869" i="1" s="1"/>
  <c r="S3868" i="1"/>
  <c r="P3868" i="1"/>
  <c r="J3868" i="1"/>
  <c r="R3868" i="1" s="1"/>
  <c r="S3867" i="1"/>
  <c r="W3867" i="1" s="1"/>
  <c r="P3867" i="1"/>
  <c r="J3867" i="1"/>
  <c r="W3866" i="1"/>
  <c r="T3865" i="1"/>
  <c r="S3865" i="1"/>
  <c r="K3865" i="1"/>
  <c r="T3864" i="1"/>
  <c r="R3864" i="1"/>
  <c r="L3864" i="1"/>
  <c r="T3863" i="1"/>
  <c r="R3863" i="1"/>
  <c r="L3863" i="1"/>
  <c r="W3861" i="1"/>
  <c r="S3860" i="1"/>
  <c r="W3860" i="1" s="1"/>
  <c r="R3860" i="1"/>
  <c r="P3860" i="1"/>
  <c r="L3860" i="1"/>
  <c r="W3859" i="1"/>
  <c r="P3859" i="1"/>
  <c r="S3857" i="1"/>
  <c r="T3857" i="1" s="1"/>
  <c r="R3857" i="1"/>
  <c r="P3857" i="1"/>
  <c r="L3857" i="1"/>
  <c r="W3856" i="1"/>
  <c r="T3856" i="1"/>
  <c r="P3856" i="1"/>
  <c r="S3854" i="1"/>
  <c r="R3854" i="1"/>
  <c r="P3854" i="1"/>
  <c r="L3854" i="1"/>
  <c r="S3852" i="1"/>
  <c r="W3852" i="1" s="1"/>
  <c r="R3852" i="1"/>
  <c r="P3852" i="1"/>
  <c r="L3852" i="1"/>
  <c r="W3851" i="1"/>
  <c r="T3851" i="1"/>
  <c r="P3851" i="1"/>
  <c r="W3850" i="1"/>
  <c r="W3849" i="1"/>
  <c r="T3849" i="1"/>
  <c r="R3849" i="1"/>
  <c r="P3849" i="1"/>
  <c r="L3849" i="1"/>
  <c r="W3848" i="1"/>
  <c r="P3848" i="1"/>
  <c r="J3848" i="1"/>
  <c r="R3848" i="1" s="1"/>
  <c r="W3847" i="1"/>
  <c r="W3846" i="1"/>
  <c r="W3845" i="1"/>
  <c r="T3845" i="1"/>
  <c r="R3845" i="1"/>
  <c r="P3845" i="1"/>
  <c r="L3845" i="1"/>
  <c r="W3844" i="1"/>
  <c r="P3844" i="1"/>
  <c r="J3844" i="1"/>
  <c r="W3843" i="1"/>
  <c r="W3842" i="1"/>
  <c r="W3841" i="1"/>
  <c r="T3841" i="1"/>
  <c r="Q3841" i="1"/>
  <c r="R3841" i="1" s="1"/>
  <c r="L3841" i="1"/>
  <c r="W3840" i="1"/>
  <c r="P3840" i="1"/>
  <c r="J3840" i="1"/>
  <c r="L3840" i="1" s="1"/>
  <c r="W3839" i="1"/>
  <c r="P3839" i="1"/>
  <c r="J3839" i="1"/>
  <c r="L3839" i="1" s="1"/>
  <c r="W3838" i="1"/>
  <c r="P3838" i="1"/>
  <c r="J3838" i="1"/>
  <c r="W3837" i="1"/>
  <c r="W3836" i="1"/>
  <c r="W3835" i="1"/>
  <c r="T3835" i="1"/>
  <c r="R3835" i="1"/>
  <c r="P3835" i="1"/>
  <c r="L3835" i="1"/>
  <c r="W3834" i="1"/>
  <c r="T3834" i="1"/>
  <c r="R3834" i="1"/>
  <c r="P3834" i="1"/>
  <c r="L3834" i="1"/>
  <c r="W3833" i="1"/>
  <c r="T3833" i="1"/>
  <c r="R3833" i="1"/>
  <c r="P3833" i="1"/>
  <c r="L3833" i="1"/>
  <c r="W3832" i="1"/>
  <c r="T3832" i="1"/>
  <c r="R3832" i="1"/>
  <c r="P3832" i="1"/>
  <c r="L3832" i="1"/>
  <c r="W3831" i="1"/>
  <c r="T3831" i="1"/>
  <c r="P3831" i="1"/>
  <c r="W3830" i="1"/>
  <c r="W3829" i="1"/>
  <c r="T3829" i="1"/>
  <c r="R3829" i="1"/>
  <c r="L3829" i="1"/>
  <c r="W3828" i="1"/>
  <c r="T3828" i="1"/>
  <c r="R3828" i="1"/>
  <c r="L3828" i="1"/>
  <c r="W3827" i="1"/>
  <c r="T3827" i="1"/>
  <c r="R3827" i="1"/>
  <c r="P3827" i="1"/>
  <c r="L3827" i="1"/>
  <c r="W3825" i="1"/>
  <c r="Q3825" i="1"/>
  <c r="W3824" i="1"/>
  <c r="T3824" i="1"/>
  <c r="W3823" i="1"/>
  <c r="J3823" i="1"/>
  <c r="W3822" i="1"/>
  <c r="J3822" i="1"/>
  <c r="T3822" i="1" s="1"/>
  <c r="W3821" i="1"/>
  <c r="W3820" i="1"/>
  <c r="W3819" i="1"/>
  <c r="T3819" i="1"/>
  <c r="P3819" i="1"/>
  <c r="L3819" i="1"/>
  <c r="W3818" i="1"/>
  <c r="P3818" i="1"/>
  <c r="J3818" i="1"/>
  <c r="L3818" i="1" s="1"/>
  <c r="W3817" i="1"/>
  <c r="W3816" i="1"/>
  <c r="W3815" i="1"/>
  <c r="T3815" i="1"/>
  <c r="P3815" i="1"/>
  <c r="L3815" i="1"/>
  <c r="W3814" i="1"/>
  <c r="P3814" i="1"/>
  <c r="J3814" i="1"/>
  <c r="W3813" i="1"/>
  <c r="W3812" i="1"/>
  <c r="W3811" i="1"/>
  <c r="R3811" i="1"/>
  <c r="W3810" i="1"/>
  <c r="P3810" i="1"/>
  <c r="J3810" i="1"/>
  <c r="W3809" i="1"/>
  <c r="W3808" i="1"/>
  <c r="W3807" i="1"/>
  <c r="P3807" i="1"/>
  <c r="J3807" i="1"/>
  <c r="L3807" i="1" s="1"/>
  <c r="W3806" i="1"/>
  <c r="P3806" i="1"/>
  <c r="J3806" i="1"/>
  <c r="R3806" i="1" s="1"/>
  <c r="W3805" i="1"/>
  <c r="W3804" i="1"/>
  <c r="W3803" i="1"/>
  <c r="T3803" i="1"/>
  <c r="R3803" i="1"/>
  <c r="L3803" i="1"/>
  <c r="S3802" i="1"/>
  <c r="T3802" i="1" s="1"/>
  <c r="R3802" i="1"/>
  <c r="P3802" i="1"/>
  <c r="L3802" i="1"/>
  <c r="W3801" i="1"/>
  <c r="T3801" i="1"/>
  <c r="P3801" i="1"/>
  <c r="W3800" i="1"/>
  <c r="W3799" i="1"/>
  <c r="R3799" i="1"/>
  <c r="P3799" i="1"/>
  <c r="L3799" i="1"/>
  <c r="S3798" i="1"/>
  <c r="T3798" i="1" s="1"/>
  <c r="R3798" i="1"/>
  <c r="P3798" i="1"/>
  <c r="L3798" i="1"/>
  <c r="W3797" i="1"/>
  <c r="T3797" i="1"/>
  <c r="R3797" i="1"/>
  <c r="P3797" i="1"/>
  <c r="L3797" i="1"/>
  <c r="S3795" i="1"/>
  <c r="W3795" i="1" s="1"/>
  <c r="R3795" i="1"/>
  <c r="P3795" i="1"/>
  <c r="L3795" i="1"/>
  <c r="W3794" i="1"/>
  <c r="T3794" i="1"/>
  <c r="R3794" i="1"/>
  <c r="P3794" i="1"/>
  <c r="L3794" i="1"/>
  <c r="S3792" i="1"/>
  <c r="T3792" i="1" s="1"/>
  <c r="R3792" i="1"/>
  <c r="P3792" i="1"/>
  <c r="L3792" i="1"/>
  <c r="W3791" i="1"/>
  <c r="T3791" i="1"/>
  <c r="R3791" i="1"/>
  <c r="P3791" i="1"/>
  <c r="L3791" i="1"/>
  <c r="S3789" i="1"/>
  <c r="W3789" i="1" s="1"/>
  <c r="R3789" i="1"/>
  <c r="P3789" i="1"/>
  <c r="L3789" i="1"/>
  <c r="W3788" i="1"/>
  <c r="T3788" i="1"/>
  <c r="R3788" i="1"/>
  <c r="P3788" i="1"/>
  <c r="L3788" i="1"/>
  <c r="W3787" i="1"/>
  <c r="T3787" i="1"/>
  <c r="P3787" i="1"/>
  <c r="W3786" i="1"/>
  <c r="W3785" i="1"/>
  <c r="P3785" i="1"/>
  <c r="L3785" i="1"/>
  <c r="W3784" i="1"/>
  <c r="P3784" i="1"/>
  <c r="J3784" i="1"/>
  <c r="W3783" i="1"/>
  <c r="W3782" i="1"/>
  <c r="W3781" i="1"/>
  <c r="T3781" i="1"/>
  <c r="W3780" i="1"/>
  <c r="P3780" i="1"/>
  <c r="J3780" i="1"/>
  <c r="R3780" i="1" s="1"/>
  <c r="W3779" i="1"/>
  <c r="P3779" i="1"/>
  <c r="J3779" i="1"/>
  <c r="W3778" i="1"/>
  <c r="P3778" i="1"/>
  <c r="J3778" i="1"/>
  <c r="W3777" i="1"/>
  <c r="P3777" i="1"/>
  <c r="J3777" i="1"/>
  <c r="R3777" i="1" s="1"/>
  <c r="W3776" i="1"/>
  <c r="W3775" i="1"/>
  <c r="T3775" i="1"/>
  <c r="W3774" i="1"/>
  <c r="P3774" i="1"/>
  <c r="J3774" i="1"/>
  <c r="T3774" i="1" s="1"/>
  <c r="W3773" i="1"/>
  <c r="P3773" i="1"/>
  <c r="J3773" i="1"/>
  <c r="T3773" i="1" s="1"/>
  <c r="W3772" i="1"/>
  <c r="P3772" i="1"/>
  <c r="J3772" i="1"/>
  <c r="L3772" i="1" s="1"/>
  <c r="W3770" i="1"/>
  <c r="W3769" i="1"/>
  <c r="P3769" i="1"/>
  <c r="J3769" i="1"/>
  <c r="W3768" i="1"/>
  <c r="W3767" i="1"/>
  <c r="W3766" i="1"/>
  <c r="P3766" i="1"/>
  <c r="L3766" i="1"/>
  <c r="W3765" i="1"/>
  <c r="P3765" i="1"/>
  <c r="J3765" i="1"/>
  <c r="T3765" i="1" s="1"/>
  <c r="W3764" i="1"/>
  <c r="P3764" i="1"/>
  <c r="J3764" i="1"/>
  <c r="R3764" i="1" s="1"/>
  <c r="W3763" i="1"/>
  <c r="W3762" i="1"/>
  <c r="W3761" i="1"/>
  <c r="T3761" i="1"/>
  <c r="Q3761" i="1"/>
  <c r="R3761" i="1" s="1"/>
  <c r="L3761" i="1"/>
  <c r="W3760" i="1"/>
  <c r="T3760" i="1"/>
  <c r="P3760" i="1"/>
  <c r="L3760" i="1"/>
  <c r="W3759" i="1"/>
  <c r="P3759" i="1"/>
  <c r="J3759" i="1"/>
  <c r="W3758" i="1"/>
  <c r="W3757" i="1"/>
  <c r="W3756" i="1"/>
  <c r="T3756" i="1"/>
  <c r="P3756" i="1"/>
  <c r="L3756" i="1"/>
  <c r="W3755" i="1"/>
  <c r="T3755" i="1"/>
  <c r="P3755" i="1"/>
  <c r="L3755" i="1"/>
  <c r="W3754" i="1"/>
  <c r="P3754" i="1"/>
  <c r="J3754" i="1"/>
  <c r="W3753" i="1"/>
  <c r="R3752" i="1"/>
  <c r="Q3752" i="1"/>
  <c r="K3752" i="1"/>
  <c r="W3752" i="1" s="1"/>
  <c r="S3751" i="1"/>
  <c r="J3751" i="1"/>
  <c r="S3750" i="1"/>
  <c r="W3750" i="1" s="1"/>
  <c r="J3750" i="1"/>
  <c r="W3749" i="1"/>
  <c r="W3748" i="1"/>
  <c r="W3747" i="1"/>
  <c r="T3747" i="1"/>
  <c r="R3747" i="1"/>
  <c r="P3747" i="1"/>
  <c r="L3747" i="1"/>
  <c r="W3746" i="1"/>
  <c r="T3746" i="1"/>
  <c r="R3746" i="1"/>
  <c r="P3746" i="1"/>
  <c r="L3746" i="1"/>
  <c r="W3745" i="1"/>
  <c r="T3745" i="1"/>
  <c r="P3745" i="1"/>
  <c r="W3744" i="1"/>
  <c r="W3743" i="1"/>
  <c r="T3743" i="1"/>
  <c r="R3743" i="1"/>
  <c r="P3743" i="1"/>
  <c r="L3743" i="1"/>
  <c r="W3742" i="1"/>
  <c r="P3742" i="1"/>
  <c r="J3742" i="1"/>
  <c r="R3742" i="1" s="1"/>
  <c r="W3741" i="1"/>
  <c r="P3741" i="1"/>
  <c r="J3741" i="1"/>
  <c r="R3741" i="1" s="1"/>
  <c r="W3740" i="1"/>
  <c r="W3739" i="1"/>
  <c r="W3738" i="1"/>
  <c r="T3738" i="1"/>
  <c r="R3738" i="1"/>
  <c r="P3738" i="1"/>
  <c r="L3738" i="1"/>
  <c r="W3737" i="1"/>
  <c r="P3737" i="1"/>
  <c r="J3737" i="1"/>
  <c r="R3737" i="1" s="1"/>
  <c r="W3736" i="1"/>
  <c r="P3736" i="1"/>
  <c r="J3736" i="1"/>
  <c r="R3736" i="1" s="1"/>
  <c r="W3734" i="1"/>
  <c r="P3734" i="1"/>
  <c r="J3734" i="1"/>
  <c r="W3733" i="1"/>
  <c r="P3733" i="1"/>
  <c r="J3733" i="1"/>
  <c r="L3733" i="1" s="1"/>
  <c r="W3731" i="1"/>
  <c r="W3730" i="1"/>
  <c r="T3730" i="1"/>
  <c r="R3730" i="1"/>
  <c r="P3730" i="1"/>
  <c r="L3730" i="1"/>
  <c r="W3729" i="1"/>
  <c r="P3729" i="1"/>
  <c r="J3729" i="1"/>
  <c r="L3729" i="1" s="1"/>
  <c r="W3728" i="1"/>
  <c r="W3727" i="1"/>
  <c r="W3726" i="1"/>
  <c r="P3726" i="1"/>
  <c r="L3726" i="1"/>
  <c r="W3725" i="1"/>
  <c r="P3725" i="1"/>
  <c r="J3725" i="1"/>
  <c r="R3725" i="1" s="1"/>
  <c r="W3724" i="1"/>
  <c r="P3724" i="1"/>
  <c r="J3724" i="1"/>
  <c r="T3724" i="1" s="1"/>
  <c r="W3723" i="1"/>
  <c r="P3723" i="1"/>
  <c r="J3723" i="1"/>
  <c r="R3723" i="1" s="1"/>
  <c r="W3722" i="1"/>
  <c r="P3722" i="1"/>
  <c r="J3722" i="1"/>
  <c r="T3722" i="1" s="1"/>
  <c r="W3721" i="1"/>
  <c r="W3720" i="1"/>
  <c r="W3719" i="1"/>
  <c r="R3719" i="1"/>
  <c r="P3719" i="1"/>
  <c r="L3719" i="1"/>
  <c r="W3718" i="1"/>
  <c r="T3718" i="1"/>
  <c r="R3718" i="1"/>
  <c r="P3718" i="1"/>
  <c r="L3718" i="1"/>
  <c r="W3717" i="1"/>
  <c r="T3717" i="1"/>
  <c r="R3717" i="1"/>
  <c r="P3717" i="1"/>
  <c r="L3717" i="1"/>
  <c r="W3716" i="1"/>
  <c r="T3716" i="1"/>
  <c r="R3716" i="1"/>
  <c r="P3716" i="1"/>
  <c r="L3716" i="1"/>
  <c r="W3715" i="1"/>
  <c r="T3715" i="1"/>
  <c r="R3715" i="1"/>
  <c r="P3715" i="1"/>
  <c r="L3715" i="1"/>
  <c r="W3714" i="1"/>
  <c r="T3714" i="1"/>
  <c r="R3714" i="1"/>
  <c r="P3714" i="1"/>
  <c r="L3714" i="1"/>
  <c r="W3713" i="1"/>
  <c r="T3713" i="1"/>
  <c r="R3713" i="1"/>
  <c r="P3713" i="1"/>
  <c r="W3712" i="1"/>
  <c r="T3712" i="1"/>
  <c r="R3712" i="1"/>
  <c r="P3712" i="1"/>
  <c r="L3712" i="1"/>
  <c r="W3711" i="1"/>
  <c r="T3711" i="1"/>
  <c r="R3711" i="1"/>
  <c r="P3711" i="1"/>
  <c r="L3711" i="1"/>
  <c r="W3710" i="1"/>
  <c r="T3710" i="1"/>
  <c r="R3710" i="1"/>
  <c r="P3710" i="1"/>
  <c r="L3710" i="1"/>
  <c r="W3709" i="1"/>
  <c r="T3709" i="1"/>
  <c r="R3709" i="1"/>
  <c r="P3709" i="1"/>
  <c r="L3709" i="1"/>
  <c r="W3708" i="1"/>
  <c r="T3708" i="1"/>
  <c r="R3708" i="1"/>
  <c r="P3708" i="1"/>
  <c r="L3708" i="1"/>
  <c r="W3707" i="1"/>
  <c r="T3707" i="1"/>
  <c r="R3707" i="1"/>
  <c r="P3707" i="1"/>
  <c r="L3707" i="1"/>
  <c r="W3706" i="1"/>
  <c r="T3706" i="1"/>
  <c r="R3706" i="1"/>
  <c r="P3706" i="1"/>
  <c r="L3706" i="1"/>
  <c r="W3705" i="1"/>
  <c r="T3705" i="1"/>
  <c r="R3705" i="1"/>
  <c r="P3705" i="1"/>
  <c r="L3705" i="1"/>
  <c r="W3704" i="1"/>
  <c r="T3704" i="1"/>
  <c r="R3704" i="1"/>
  <c r="P3704" i="1"/>
  <c r="L3704" i="1"/>
  <c r="W3703" i="1"/>
  <c r="T3703" i="1"/>
  <c r="R3703" i="1"/>
  <c r="P3703" i="1"/>
  <c r="L3703" i="1"/>
  <c r="W3702" i="1"/>
  <c r="T3702" i="1"/>
  <c r="R3702" i="1"/>
  <c r="P3702" i="1"/>
  <c r="L3702" i="1"/>
  <c r="W3701" i="1"/>
  <c r="W3700" i="1"/>
  <c r="W3699" i="1"/>
  <c r="T3699" i="1"/>
  <c r="W3698" i="1"/>
  <c r="P3698" i="1"/>
  <c r="J3698" i="1"/>
  <c r="W3697" i="1"/>
  <c r="K3696" i="1"/>
  <c r="W3695" i="1"/>
  <c r="W3694" i="1"/>
  <c r="J3694" i="1"/>
  <c r="T3694" i="1" s="1"/>
  <c r="W3693" i="1"/>
  <c r="W3692" i="1"/>
  <c r="W3691" i="1"/>
  <c r="T3691" i="1"/>
  <c r="R3691" i="1"/>
  <c r="P3691" i="1"/>
  <c r="L3691" i="1"/>
  <c r="W3690" i="1"/>
  <c r="T3690" i="1"/>
  <c r="R3690" i="1"/>
  <c r="P3690" i="1"/>
  <c r="L3690" i="1"/>
  <c r="W3689" i="1"/>
  <c r="T3689" i="1"/>
  <c r="R3689" i="1"/>
  <c r="P3689" i="1"/>
  <c r="L3689" i="1"/>
  <c r="W3688" i="1"/>
  <c r="T3688" i="1"/>
  <c r="P3688" i="1"/>
  <c r="W3687" i="1"/>
  <c r="W3686" i="1"/>
  <c r="T3686" i="1"/>
  <c r="Q3686" i="1"/>
  <c r="R3686" i="1" s="1"/>
  <c r="L3686" i="1"/>
  <c r="W3685" i="1"/>
  <c r="P3685" i="1"/>
  <c r="J3685" i="1"/>
  <c r="R3685" i="1" s="1"/>
  <c r="W3684" i="1"/>
  <c r="P3684" i="1"/>
  <c r="J3684" i="1"/>
  <c r="W3683" i="1"/>
  <c r="W3682" i="1"/>
  <c r="W3681" i="1"/>
  <c r="R3681" i="1"/>
  <c r="P3681" i="1"/>
  <c r="L3681" i="1"/>
  <c r="W3680" i="1"/>
  <c r="P3680" i="1"/>
  <c r="J3680" i="1"/>
  <c r="W3679" i="1"/>
  <c r="W3678" i="1"/>
  <c r="W3677" i="1"/>
  <c r="T3677" i="1"/>
  <c r="R3677" i="1"/>
  <c r="L3677" i="1"/>
  <c r="W3676" i="1"/>
  <c r="T3676" i="1"/>
  <c r="R3676" i="1"/>
  <c r="P3676" i="1"/>
  <c r="L3676" i="1"/>
  <c r="W3675" i="1"/>
  <c r="T3675" i="1"/>
  <c r="R3675" i="1"/>
  <c r="P3675" i="1"/>
  <c r="L3675" i="1"/>
  <c r="W3674" i="1"/>
  <c r="T3674" i="1"/>
  <c r="P3674" i="1"/>
  <c r="W3673" i="1"/>
  <c r="W3672" i="1"/>
  <c r="T3672" i="1"/>
  <c r="R3672" i="1"/>
  <c r="L3672" i="1"/>
  <c r="W3671" i="1"/>
  <c r="T3671" i="1"/>
  <c r="R3671" i="1"/>
  <c r="P3671" i="1"/>
  <c r="L3671" i="1"/>
  <c r="W3670" i="1"/>
  <c r="T3670" i="1"/>
  <c r="P3670" i="1"/>
  <c r="W3669" i="1"/>
  <c r="W3668" i="1"/>
  <c r="T3668" i="1"/>
  <c r="R3668" i="1"/>
  <c r="P3668" i="1"/>
  <c r="L3668" i="1"/>
  <c r="W3667" i="1"/>
  <c r="P3667" i="1"/>
  <c r="J3667" i="1"/>
  <c r="L3667" i="1" s="1"/>
  <c r="W3666" i="1"/>
  <c r="W3665" i="1"/>
  <c r="P3665" i="1"/>
  <c r="J3665" i="1"/>
  <c r="R3665" i="1" s="1"/>
  <c r="W3664" i="1"/>
  <c r="P3664" i="1"/>
  <c r="J3664" i="1"/>
  <c r="W3663" i="1"/>
  <c r="W3662" i="1"/>
  <c r="W3661" i="1"/>
  <c r="T3661" i="1"/>
  <c r="P3661" i="1"/>
  <c r="L3661" i="1"/>
  <c r="W3660" i="1"/>
  <c r="T3660" i="1"/>
  <c r="P3660" i="1"/>
  <c r="L3660" i="1"/>
  <c r="W3659" i="1"/>
  <c r="P3659" i="1"/>
  <c r="J3659" i="1"/>
  <c r="W3658" i="1"/>
  <c r="W3657" i="1"/>
  <c r="W3656" i="1"/>
  <c r="P3656" i="1"/>
  <c r="L3656" i="1"/>
  <c r="W3655" i="1"/>
  <c r="P3655" i="1"/>
  <c r="J3655" i="1"/>
  <c r="R3655" i="1" s="1"/>
  <c r="W3654" i="1"/>
  <c r="W3653" i="1"/>
  <c r="W3652" i="1"/>
  <c r="R3652" i="1"/>
  <c r="L3652" i="1"/>
  <c r="W3651" i="1"/>
  <c r="T3651" i="1"/>
  <c r="R3651" i="1"/>
  <c r="L3651" i="1"/>
  <c r="W3650" i="1"/>
  <c r="T3650" i="1"/>
  <c r="R3650" i="1"/>
  <c r="P3650" i="1"/>
  <c r="L3650" i="1"/>
  <c r="W3649" i="1"/>
  <c r="W3648" i="1"/>
  <c r="W3647" i="1"/>
  <c r="T3647" i="1"/>
  <c r="R3647" i="1"/>
  <c r="P3647" i="1"/>
  <c r="L3647" i="1"/>
  <c r="W3646" i="1"/>
  <c r="W3645" i="1"/>
  <c r="W3644" i="1"/>
  <c r="P3644" i="1"/>
  <c r="J3644" i="1"/>
  <c r="R3644" i="1" s="1"/>
  <c r="W3643" i="1"/>
  <c r="W3642" i="1"/>
  <c r="W3641" i="1"/>
  <c r="P3641" i="1"/>
  <c r="J3641" i="1"/>
  <c r="W3640" i="1"/>
  <c r="W3639" i="1"/>
  <c r="W3638" i="1"/>
  <c r="T3638" i="1"/>
  <c r="R3638" i="1"/>
  <c r="P3638" i="1"/>
  <c r="L3638" i="1"/>
  <c r="W3637" i="1"/>
  <c r="P3637" i="1"/>
  <c r="J3637" i="1"/>
  <c r="L3637" i="1" s="1"/>
  <c r="W3636" i="1"/>
  <c r="T3635" i="1"/>
  <c r="S3635" i="1"/>
  <c r="K3635" i="1"/>
  <c r="W3634" i="1"/>
  <c r="W3633" i="1"/>
  <c r="J3633" i="1"/>
  <c r="T3633" i="1" s="1"/>
  <c r="W3632" i="1"/>
  <c r="T3631" i="1"/>
  <c r="S3631" i="1"/>
  <c r="R3631" i="1"/>
  <c r="Q3631" i="1"/>
  <c r="K3631" i="1"/>
  <c r="W3630" i="1"/>
  <c r="L3630" i="1"/>
  <c r="W3629" i="1"/>
  <c r="J3629" i="1"/>
  <c r="L3629" i="1" s="1"/>
  <c r="W3628" i="1"/>
  <c r="J3628" i="1"/>
  <c r="W3627" i="1"/>
  <c r="W3626" i="1"/>
  <c r="W3625" i="1"/>
  <c r="W3624" i="1"/>
  <c r="P3624" i="1"/>
  <c r="J3624" i="1"/>
  <c r="L3624" i="1" s="1"/>
  <c r="W3623" i="1"/>
  <c r="P3623" i="1"/>
  <c r="J3623" i="1"/>
  <c r="L3623" i="1" s="1"/>
  <c r="W3622" i="1"/>
  <c r="W3621" i="1"/>
  <c r="W3620" i="1"/>
  <c r="P3620" i="1"/>
  <c r="J3620" i="1"/>
  <c r="W3619" i="1"/>
  <c r="T3619" i="1"/>
  <c r="P3619" i="1"/>
  <c r="W3618" i="1"/>
  <c r="W3617" i="1"/>
  <c r="R3617" i="1"/>
  <c r="P3617" i="1"/>
  <c r="L3617" i="1"/>
  <c r="W3616" i="1"/>
  <c r="T3616" i="1"/>
  <c r="R3616" i="1"/>
  <c r="P3616" i="1"/>
  <c r="L3616" i="1"/>
  <c r="W3615" i="1"/>
  <c r="T3615" i="1"/>
  <c r="R3615" i="1"/>
  <c r="P3615" i="1"/>
  <c r="L3615" i="1"/>
  <c r="W3614" i="1"/>
  <c r="T3614" i="1"/>
  <c r="R3614" i="1"/>
  <c r="P3614" i="1"/>
  <c r="L3614" i="1"/>
  <c r="W3613" i="1"/>
  <c r="T3613" i="1"/>
  <c r="R3613" i="1"/>
  <c r="P3613" i="1"/>
  <c r="L3613" i="1"/>
  <c r="W3611" i="1"/>
  <c r="T3611" i="1"/>
  <c r="R3611" i="1"/>
  <c r="P3611" i="1"/>
  <c r="L3611" i="1"/>
  <c r="W3610" i="1"/>
  <c r="T3610" i="1"/>
  <c r="R3610" i="1"/>
  <c r="P3610" i="1"/>
  <c r="L3610" i="1"/>
  <c r="W3609" i="1"/>
  <c r="T3609" i="1"/>
  <c r="R3609" i="1"/>
  <c r="P3609" i="1"/>
  <c r="L3609" i="1"/>
  <c r="W3607" i="1"/>
  <c r="T3607" i="1"/>
  <c r="R3607" i="1"/>
  <c r="P3607" i="1"/>
  <c r="L3607" i="1"/>
  <c r="W3606" i="1"/>
  <c r="T3606" i="1"/>
  <c r="R3606" i="1"/>
  <c r="P3606" i="1"/>
  <c r="L3606" i="1"/>
  <c r="W3605" i="1"/>
  <c r="T3605" i="1"/>
  <c r="R3605" i="1"/>
  <c r="P3605" i="1"/>
  <c r="L3605" i="1"/>
  <c r="W3603" i="1"/>
  <c r="T3603" i="1"/>
  <c r="R3603" i="1"/>
  <c r="P3603" i="1"/>
  <c r="L3603" i="1"/>
  <c r="W3602" i="1"/>
  <c r="T3602" i="1"/>
  <c r="R3602" i="1"/>
  <c r="P3602" i="1"/>
  <c r="L3602" i="1"/>
  <c r="W3601" i="1"/>
  <c r="T3601" i="1"/>
  <c r="R3601" i="1"/>
  <c r="P3601" i="1"/>
  <c r="L3601" i="1"/>
  <c r="W3600" i="1"/>
  <c r="T3600" i="1"/>
  <c r="R3600" i="1"/>
  <c r="P3600" i="1"/>
  <c r="L3600" i="1"/>
  <c r="W3599" i="1"/>
  <c r="T3599" i="1"/>
  <c r="P3599" i="1"/>
  <c r="W3598" i="1"/>
  <c r="W3597" i="1"/>
  <c r="T3597" i="1"/>
  <c r="R3597" i="1"/>
  <c r="P3597" i="1"/>
  <c r="L3597" i="1"/>
  <c r="W3596" i="1"/>
  <c r="P3596" i="1"/>
  <c r="J3596" i="1"/>
  <c r="L3596" i="1" s="1"/>
  <c r="W3595" i="1"/>
  <c r="P3595" i="1"/>
  <c r="J3595" i="1"/>
  <c r="W3594" i="1"/>
  <c r="P3594" i="1"/>
  <c r="J3594" i="1"/>
  <c r="L3594" i="1" s="1"/>
  <c r="W3593" i="1"/>
  <c r="P3593" i="1"/>
  <c r="J3593" i="1"/>
  <c r="L3593" i="1" s="1"/>
  <c r="W3592" i="1"/>
  <c r="P3592" i="1"/>
  <c r="J3592" i="1"/>
  <c r="W3591" i="1"/>
  <c r="W3590" i="1"/>
  <c r="W3589" i="1"/>
  <c r="T3589" i="1"/>
  <c r="R3589" i="1"/>
  <c r="P3589" i="1"/>
  <c r="L3589" i="1"/>
  <c r="W3588" i="1"/>
  <c r="T3588" i="1"/>
  <c r="R3588" i="1"/>
  <c r="P3588" i="1"/>
  <c r="L3588" i="1"/>
  <c r="W3587" i="1"/>
  <c r="T3587" i="1"/>
  <c r="P3587" i="1"/>
  <c r="K3586" i="1"/>
  <c r="W3585" i="1"/>
  <c r="W3584" i="1"/>
  <c r="J3584" i="1"/>
  <c r="R3584" i="1" s="1"/>
  <c r="W3583" i="1"/>
  <c r="J3583" i="1"/>
  <c r="T3583" i="1" s="1"/>
  <c r="W3582" i="1"/>
  <c r="K3581" i="1"/>
  <c r="W3581" i="1" s="1"/>
  <c r="W3580" i="1"/>
  <c r="T3580" i="1"/>
  <c r="R3580" i="1"/>
  <c r="P3580" i="1"/>
  <c r="L3580" i="1"/>
  <c r="W3579" i="1"/>
  <c r="T3579" i="1"/>
  <c r="R3579" i="1"/>
  <c r="P3579" i="1"/>
  <c r="L3579" i="1"/>
  <c r="S3578" i="1"/>
  <c r="R3578" i="1"/>
  <c r="L3578" i="1"/>
  <c r="W3577" i="1"/>
  <c r="T3577" i="1"/>
  <c r="P3577" i="1"/>
  <c r="W3576" i="1"/>
  <c r="W3575" i="1"/>
  <c r="T3575" i="1"/>
  <c r="R3575" i="1"/>
  <c r="P3575" i="1"/>
  <c r="L3575" i="1"/>
  <c r="W3574" i="1"/>
  <c r="P3574" i="1"/>
  <c r="J3574" i="1"/>
  <c r="T3574" i="1" s="1"/>
  <c r="W3573" i="1"/>
  <c r="P3573" i="1"/>
  <c r="J3573" i="1"/>
  <c r="W3572" i="1"/>
  <c r="P3572" i="1"/>
  <c r="J3572" i="1"/>
  <c r="R3572" i="1" s="1"/>
  <c r="W3571" i="1"/>
  <c r="P3571" i="1"/>
  <c r="J3571" i="1"/>
  <c r="R3571" i="1" s="1"/>
  <c r="W3570" i="1"/>
  <c r="P3570" i="1"/>
  <c r="J3570" i="1"/>
  <c r="W3569" i="1"/>
  <c r="W3568" i="1"/>
  <c r="W3567" i="1"/>
  <c r="P3567" i="1"/>
  <c r="J3567" i="1"/>
  <c r="R3567" i="1" s="1"/>
  <c r="W3566" i="1"/>
  <c r="W3565" i="1"/>
  <c r="W3564" i="1"/>
  <c r="T3564" i="1"/>
  <c r="P3564" i="1"/>
  <c r="L3564" i="1"/>
  <c r="W3563" i="1"/>
  <c r="P3563" i="1"/>
  <c r="J3563" i="1"/>
  <c r="R3563" i="1" s="1"/>
  <c r="W3562" i="1"/>
  <c r="P3562" i="1"/>
  <c r="J3562" i="1"/>
  <c r="R3562" i="1" s="1"/>
  <c r="W3561" i="1"/>
  <c r="K3560" i="1"/>
  <c r="W3560" i="1" s="1"/>
  <c r="W3559" i="1"/>
  <c r="T3559" i="1"/>
  <c r="P3559" i="1"/>
  <c r="L3559" i="1"/>
  <c r="W3558" i="1"/>
  <c r="J3558" i="1"/>
  <c r="W3557" i="1"/>
  <c r="W3556" i="1"/>
  <c r="W3555" i="1"/>
  <c r="T3555" i="1"/>
  <c r="R3555" i="1"/>
  <c r="P3555" i="1"/>
  <c r="L3555" i="1"/>
  <c r="W3554" i="1"/>
  <c r="T3554" i="1"/>
  <c r="R3554" i="1"/>
  <c r="P3554" i="1"/>
  <c r="L3554" i="1"/>
  <c r="W3553" i="1"/>
  <c r="T3553" i="1"/>
  <c r="P3553" i="1"/>
  <c r="W3552" i="1"/>
  <c r="W3551" i="1"/>
  <c r="R3551" i="1"/>
  <c r="P3551" i="1"/>
  <c r="L3551" i="1"/>
  <c r="W3550" i="1"/>
  <c r="P3550" i="1"/>
  <c r="J3550" i="1"/>
  <c r="W3549" i="1"/>
  <c r="W3548" i="1"/>
  <c r="W3547" i="1"/>
  <c r="T3547" i="1"/>
  <c r="R3547" i="1"/>
  <c r="P3547" i="1"/>
  <c r="L3547" i="1"/>
  <c r="W3546" i="1"/>
  <c r="T3546" i="1"/>
  <c r="R3546" i="1"/>
  <c r="P3546" i="1"/>
  <c r="L3546" i="1"/>
  <c r="W3545" i="1"/>
  <c r="T3545" i="1"/>
  <c r="R3545" i="1"/>
  <c r="P3545" i="1"/>
  <c r="L3545" i="1"/>
  <c r="W3544" i="1"/>
  <c r="T3544" i="1"/>
  <c r="R3544" i="1"/>
  <c r="P3544" i="1"/>
  <c r="L3544" i="1"/>
  <c r="W3543" i="1"/>
  <c r="T3543" i="1"/>
  <c r="R3543" i="1"/>
  <c r="P3543" i="1"/>
  <c r="L3543" i="1"/>
  <c r="W3542" i="1"/>
  <c r="T3542" i="1"/>
  <c r="R3542" i="1"/>
  <c r="P3542" i="1"/>
  <c r="L3542" i="1"/>
  <c r="W3541" i="1"/>
  <c r="T3541" i="1"/>
  <c r="R3541" i="1"/>
  <c r="P3541" i="1"/>
  <c r="L3541" i="1"/>
  <c r="W3540" i="1"/>
  <c r="T3540" i="1"/>
  <c r="R3540" i="1"/>
  <c r="P3540" i="1"/>
  <c r="L3540" i="1"/>
  <c r="W3539" i="1"/>
  <c r="T3539" i="1"/>
  <c r="R3539" i="1"/>
  <c r="P3539" i="1"/>
  <c r="L3539" i="1"/>
  <c r="W3538" i="1"/>
  <c r="W3537" i="1"/>
  <c r="W3536" i="1"/>
  <c r="T3536" i="1"/>
  <c r="R3536" i="1"/>
  <c r="P3536" i="1"/>
  <c r="L3536" i="1"/>
  <c r="W3535" i="1"/>
  <c r="J3535" i="1"/>
  <c r="W3534" i="1"/>
  <c r="W3533" i="1"/>
  <c r="S3532" i="1"/>
  <c r="T3532" i="1" s="1"/>
  <c r="R3532" i="1"/>
  <c r="P3532" i="1"/>
  <c r="L3532" i="1"/>
  <c r="W3531" i="1"/>
  <c r="P3531" i="1"/>
  <c r="J3531" i="1"/>
  <c r="W3530" i="1"/>
  <c r="P3530" i="1"/>
  <c r="J3530" i="1"/>
  <c r="W3528" i="1"/>
  <c r="T3528" i="1"/>
  <c r="R3528" i="1"/>
  <c r="P3528" i="1"/>
  <c r="L3528" i="1"/>
  <c r="W3527" i="1"/>
  <c r="T3527" i="1"/>
  <c r="R3527" i="1"/>
  <c r="P3527" i="1"/>
  <c r="L3527" i="1"/>
  <c r="W3526" i="1"/>
  <c r="W3525" i="1"/>
  <c r="T3525" i="1"/>
  <c r="P3525" i="1"/>
  <c r="L3525" i="1"/>
  <c r="W3524" i="1"/>
  <c r="T3524" i="1"/>
  <c r="R3524" i="1"/>
  <c r="P3524" i="1"/>
  <c r="L3524" i="1"/>
  <c r="W3523" i="1"/>
  <c r="T3523" i="1"/>
  <c r="R3523" i="1"/>
  <c r="P3523" i="1"/>
  <c r="L3523" i="1"/>
  <c r="W3522" i="1"/>
  <c r="W3521" i="1"/>
  <c r="S3520" i="1"/>
  <c r="T3520" i="1" s="1"/>
  <c r="R3520" i="1"/>
  <c r="P3520" i="1"/>
  <c r="L3520" i="1"/>
  <c r="W3519" i="1"/>
  <c r="P3519" i="1"/>
  <c r="J3519" i="1"/>
  <c r="R3519" i="1" s="1"/>
  <c r="W3518" i="1"/>
  <c r="P3518" i="1"/>
  <c r="J3518" i="1"/>
  <c r="R3518" i="1" s="1"/>
  <c r="W3516" i="1"/>
  <c r="T3516" i="1"/>
  <c r="P3516" i="1"/>
  <c r="L3516" i="1"/>
  <c r="S3515" i="1"/>
  <c r="R3515" i="1"/>
  <c r="P3515" i="1"/>
  <c r="L3515" i="1"/>
  <c r="W3514" i="1"/>
  <c r="T3514" i="1"/>
  <c r="R3514" i="1"/>
  <c r="P3514" i="1"/>
  <c r="L3514" i="1"/>
  <c r="S3513" i="1"/>
  <c r="T3513" i="1" s="1"/>
  <c r="R3513" i="1"/>
  <c r="P3513" i="1"/>
  <c r="L3513" i="1"/>
  <c r="W3512" i="1"/>
  <c r="T3512" i="1"/>
  <c r="R3512" i="1"/>
  <c r="P3512" i="1"/>
  <c r="L3512" i="1"/>
  <c r="W3511" i="1"/>
  <c r="K3510" i="1"/>
  <c r="W3509" i="1"/>
  <c r="T3509" i="1"/>
  <c r="W3508" i="1"/>
  <c r="J3508" i="1"/>
  <c r="L3508" i="1" s="1"/>
  <c r="W3507" i="1"/>
  <c r="J3507" i="1"/>
  <c r="L3507" i="1" s="1"/>
  <c r="W3506" i="1"/>
  <c r="J3506" i="1"/>
  <c r="L3506" i="1" s="1"/>
  <c r="W3505" i="1"/>
  <c r="J3505" i="1"/>
  <c r="W3504" i="1"/>
  <c r="W3503" i="1"/>
  <c r="S3502" i="1"/>
  <c r="T3502" i="1" s="1"/>
  <c r="R3502" i="1"/>
  <c r="P3502" i="1"/>
  <c r="L3502" i="1"/>
  <c r="W3501" i="1"/>
  <c r="W3500" i="1"/>
  <c r="W3499" i="1"/>
  <c r="T3499" i="1"/>
  <c r="W3498" i="1"/>
  <c r="P3498" i="1"/>
  <c r="J3498" i="1"/>
  <c r="L3498" i="1" s="1"/>
  <c r="W3497" i="1"/>
  <c r="P3497" i="1"/>
  <c r="J3497" i="1"/>
  <c r="T3497" i="1" s="1"/>
  <c r="W3496" i="1"/>
  <c r="W3495" i="1"/>
  <c r="W3494" i="1"/>
  <c r="T3494" i="1"/>
  <c r="W3493" i="1"/>
  <c r="P3493" i="1"/>
  <c r="J3493" i="1"/>
  <c r="L3493" i="1" s="1"/>
  <c r="W3492" i="1"/>
  <c r="W3491" i="1"/>
  <c r="W3490" i="1"/>
  <c r="P3490" i="1"/>
  <c r="J3490" i="1"/>
  <c r="L3490" i="1" s="1"/>
  <c r="W3489" i="1"/>
  <c r="W3488" i="1"/>
  <c r="W3487" i="1"/>
  <c r="T3487" i="1"/>
  <c r="P3487" i="1"/>
  <c r="L3487" i="1"/>
  <c r="W3486" i="1"/>
  <c r="P3486" i="1"/>
  <c r="J3486" i="1"/>
  <c r="R3486" i="1" s="1"/>
  <c r="W3485" i="1"/>
  <c r="P3485" i="1"/>
  <c r="J3485" i="1"/>
  <c r="T3485" i="1" s="1"/>
  <c r="W3484" i="1"/>
  <c r="P3484" i="1"/>
  <c r="J3484" i="1"/>
  <c r="W3483" i="1"/>
  <c r="W3482" i="1"/>
  <c r="W3481" i="1"/>
  <c r="T3481" i="1"/>
  <c r="W3480" i="1"/>
  <c r="P3480" i="1"/>
  <c r="J3480" i="1"/>
  <c r="W3479" i="1"/>
  <c r="P3479" i="1"/>
  <c r="J3479" i="1"/>
  <c r="W3477" i="1"/>
  <c r="W3476" i="1"/>
  <c r="P3476" i="1"/>
  <c r="J3476" i="1"/>
  <c r="R3476" i="1" s="1"/>
  <c r="W3475" i="1"/>
  <c r="P3475" i="1"/>
  <c r="J3475" i="1"/>
  <c r="W3474" i="1"/>
  <c r="P3474" i="1"/>
  <c r="J3474" i="1"/>
  <c r="L3474" i="1" s="1"/>
  <c r="W3473" i="1"/>
  <c r="W3472" i="1"/>
  <c r="W3471" i="1"/>
  <c r="T3471" i="1"/>
  <c r="R3471" i="1"/>
  <c r="P3471" i="1"/>
  <c r="L3471" i="1"/>
  <c r="W3470" i="1"/>
  <c r="T3470" i="1"/>
  <c r="P3470" i="1"/>
  <c r="W3469" i="1"/>
  <c r="W3468" i="1"/>
  <c r="T3468" i="1"/>
  <c r="R3468" i="1"/>
  <c r="L3468" i="1"/>
  <c r="W3467" i="1"/>
  <c r="T3467" i="1"/>
  <c r="R3467" i="1"/>
  <c r="P3467" i="1"/>
  <c r="L3467" i="1"/>
  <c r="W3466" i="1"/>
  <c r="T3466" i="1"/>
  <c r="P3466" i="1"/>
  <c r="W3465" i="1"/>
  <c r="T3465" i="1"/>
  <c r="R3465" i="1"/>
  <c r="P3465" i="1"/>
  <c r="L3465" i="1"/>
  <c r="W3464" i="1"/>
  <c r="T3464" i="1"/>
  <c r="P3464" i="1"/>
  <c r="W3463" i="1"/>
  <c r="W3462" i="1"/>
  <c r="T3462" i="1"/>
  <c r="P3462" i="1"/>
  <c r="L3462" i="1"/>
  <c r="W3461" i="1"/>
  <c r="P3461" i="1"/>
  <c r="J3461" i="1"/>
  <c r="W3460" i="1"/>
  <c r="W3459" i="1"/>
  <c r="W3458" i="1"/>
  <c r="T3458" i="1"/>
  <c r="R3458" i="1"/>
  <c r="W3457" i="1"/>
  <c r="P3457" i="1"/>
  <c r="J3457" i="1"/>
  <c r="W3456" i="1"/>
  <c r="P3456" i="1"/>
  <c r="J3456" i="1"/>
  <c r="R3456" i="1" s="1"/>
  <c r="W3454" i="1"/>
  <c r="W3453" i="1"/>
  <c r="T3453" i="1"/>
  <c r="R3453" i="1"/>
  <c r="L3453" i="1"/>
  <c r="W3452" i="1"/>
  <c r="P3452" i="1"/>
  <c r="J3452" i="1"/>
  <c r="L3452" i="1" s="1"/>
  <c r="W3451" i="1"/>
  <c r="W3450" i="1"/>
  <c r="W3449" i="1"/>
  <c r="T3449" i="1"/>
  <c r="R3449" i="1"/>
  <c r="P3449" i="1"/>
  <c r="L3449" i="1"/>
  <c r="W3448" i="1"/>
  <c r="T3448" i="1"/>
  <c r="R3448" i="1"/>
  <c r="P3448" i="1"/>
  <c r="L3448" i="1"/>
  <c r="W3447" i="1"/>
  <c r="T3447" i="1"/>
  <c r="R3447" i="1"/>
  <c r="P3447" i="1"/>
  <c r="L3447" i="1"/>
  <c r="W3446" i="1"/>
  <c r="W3445" i="1"/>
  <c r="W3444" i="1"/>
  <c r="T3444" i="1"/>
  <c r="R3444" i="1"/>
  <c r="P3444" i="1"/>
  <c r="L3444" i="1"/>
  <c r="W3443" i="1"/>
  <c r="P3443" i="1"/>
  <c r="J3443" i="1"/>
  <c r="L3443" i="1" s="1"/>
  <c r="W3442" i="1"/>
  <c r="W3441" i="1"/>
  <c r="W3440" i="1"/>
  <c r="P3440" i="1"/>
  <c r="J3440" i="1"/>
  <c r="W3439" i="1"/>
  <c r="P3439" i="1"/>
  <c r="J3439" i="1"/>
  <c r="L3439" i="1" s="1"/>
  <c r="W3438" i="1"/>
  <c r="P3438" i="1"/>
  <c r="J3438" i="1"/>
  <c r="T3438" i="1" s="1"/>
  <c r="W3437" i="1"/>
  <c r="P3437" i="1"/>
  <c r="J3437" i="1"/>
  <c r="W3436" i="1"/>
  <c r="P3436" i="1"/>
  <c r="J3436" i="1"/>
  <c r="W3435" i="1"/>
  <c r="P3435" i="1"/>
  <c r="J3435" i="1"/>
  <c r="W3434" i="1"/>
  <c r="P3434" i="1"/>
  <c r="J3434" i="1"/>
  <c r="L3434" i="1" s="1"/>
  <c r="W3433" i="1"/>
  <c r="P3433" i="1"/>
  <c r="J3433" i="1"/>
  <c r="L3433" i="1" s="1"/>
  <c r="W3432" i="1"/>
  <c r="P3432" i="1"/>
  <c r="J3432" i="1"/>
  <c r="L3432" i="1" s="1"/>
  <c r="W3431" i="1"/>
  <c r="W3430" i="1"/>
  <c r="W3429" i="1"/>
  <c r="T3429" i="1"/>
  <c r="L3429" i="1"/>
  <c r="W3428" i="1"/>
  <c r="T3428" i="1"/>
  <c r="P3428" i="1"/>
  <c r="L3428" i="1"/>
  <c r="W3427" i="1"/>
  <c r="T3427" i="1"/>
  <c r="P3427" i="1"/>
  <c r="L3427" i="1"/>
  <c r="W3426" i="1"/>
  <c r="P3426" i="1"/>
  <c r="J3426" i="1"/>
  <c r="W3425" i="1"/>
  <c r="P3425" i="1"/>
  <c r="J3425" i="1"/>
  <c r="L3425" i="1" s="1"/>
  <c r="W3424" i="1"/>
  <c r="P3424" i="1"/>
  <c r="J3424" i="1"/>
  <c r="L3424" i="1" s="1"/>
  <c r="W3423" i="1"/>
  <c r="P3423" i="1"/>
  <c r="J3423" i="1"/>
  <c r="W3422" i="1"/>
  <c r="P3422" i="1"/>
  <c r="J3422" i="1"/>
  <c r="R3422" i="1" s="1"/>
  <c r="W3421" i="1"/>
  <c r="P3421" i="1"/>
  <c r="J3421" i="1"/>
  <c r="L3421" i="1" s="1"/>
  <c r="W3420" i="1"/>
  <c r="W3419" i="1"/>
  <c r="P3419" i="1"/>
  <c r="J3419" i="1"/>
  <c r="T3419" i="1" s="1"/>
  <c r="W3418" i="1"/>
  <c r="P3418" i="1"/>
  <c r="J3418" i="1"/>
  <c r="T3418" i="1" s="1"/>
  <c r="W3417" i="1"/>
  <c r="P3417" i="1"/>
  <c r="J3417" i="1"/>
  <c r="T3417" i="1" s="1"/>
  <c r="W3416" i="1"/>
  <c r="P3416" i="1"/>
  <c r="J3416" i="1"/>
  <c r="W3415" i="1"/>
  <c r="P3415" i="1"/>
  <c r="J3415" i="1"/>
  <c r="W3414" i="1"/>
  <c r="P3414" i="1"/>
  <c r="J3414" i="1"/>
  <c r="W3413" i="1"/>
  <c r="P3413" i="1"/>
  <c r="J3413" i="1"/>
  <c r="W3412" i="1"/>
  <c r="P3412" i="1"/>
  <c r="J3412" i="1"/>
  <c r="T3412" i="1" s="1"/>
  <c r="W3411" i="1"/>
  <c r="P3411" i="1"/>
  <c r="J3411" i="1"/>
  <c r="T3411" i="1" s="1"/>
  <c r="W3410" i="1"/>
  <c r="P3410" i="1"/>
  <c r="J3410" i="1"/>
  <c r="W3409" i="1"/>
  <c r="P3409" i="1"/>
  <c r="J3409" i="1"/>
  <c r="W3408" i="1"/>
  <c r="P3408" i="1"/>
  <c r="J3408" i="1"/>
  <c r="T3408" i="1" s="1"/>
  <c r="W3407" i="1"/>
  <c r="P3407" i="1"/>
  <c r="J3407" i="1"/>
  <c r="W3406" i="1"/>
  <c r="P3406" i="1"/>
  <c r="J3406" i="1"/>
  <c r="R3406" i="1" s="1"/>
  <c r="W3405" i="1"/>
  <c r="P3405" i="1"/>
  <c r="J3405" i="1"/>
  <c r="W3404" i="1"/>
  <c r="P3404" i="1"/>
  <c r="J3404" i="1"/>
  <c r="L3404" i="1" s="1"/>
  <c r="W3402" i="1"/>
  <c r="W3401" i="1"/>
  <c r="T3401" i="1"/>
  <c r="L3401" i="1"/>
  <c r="W3400" i="1"/>
  <c r="P3400" i="1"/>
  <c r="J3400" i="1"/>
  <c r="W3399" i="1"/>
  <c r="W3398" i="1"/>
  <c r="W3397" i="1"/>
  <c r="T3397" i="1"/>
  <c r="R3397" i="1"/>
  <c r="W3396" i="1"/>
  <c r="P3396" i="1"/>
  <c r="J3396" i="1"/>
  <c r="L3396" i="1" s="1"/>
  <c r="W3395" i="1"/>
  <c r="W3394" i="1"/>
  <c r="W3393" i="1"/>
  <c r="P3393" i="1"/>
  <c r="J3393" i="1"/>
  <c r="R3393" i="1" s="1"/>
  <c r="W3391" i="1"/>
  <c r="W3390" i="1"/>
  <c r="T3390" i="1"/>
  <c r="R3390" i="1"/>
  <c r="W3389" i="1"/>
  <c r="P3389" i="1"/>
  <c r="J3389" i="1"/>
  <c r="L3389" i="1" s="1"/>
  <c r="W3388" i="1"/>
  <c r="W3387" i="1"/>
  <c r="P3387" i="1"/>
  <c r="J3387" i="1"/>
  <c r="W3386" i="1"/>
  <c r="P3386" i="1"/>
  <c r="J3386" i="1"/>
  <c r="T3386" i="1" s="1"/>
  <c r="W3385" i="1"/>
  <c r="K3384" i="1"/>
  <c r="W3383" i="1"/>
  <c r="T3383" i="1"/>
  <c r="L3383" i="1"/>
  <c r="W3382" i="1"/>
  <c r="J3382" i="1"/>
  <c r="W3381" i="1"/>
  <c r="W3380" i="1"/>
  <c r="W3379" i="1"/>
  <c r="P3379" i="1"/>
  <c r="J3379" i="1"/>
  <c r="W3378" i="1"/>
  <c r="T3378" i="1"/>
  <c r="R3378" i="1"/>
  <c r="P3378" i="1"/>
  <c r="L3378" i="1"/>
  <c r="W3377" i="1"/>
  <c r="W3376" i="1"/>
  <c r="T3376" i="1"/>
  <c r="R3376" i="1"/>
  <c r="L3376" i="1"/>
  <c r="W3375" i="1"/>
  <c r="T3375" i="1"/>
  <c r="R3375" i="1"/>
  <c r="P3375" i="1"/>
  <c r="L3375" i="1"/>
  <c r="W3374" i="1"/>
  <c r="T3374" i="1"/>
  <c r="R3374" i="1"/>
  <c r="P3374" i="1"/>
  <c r="L3374" i="1"/>
  <c r="W3373" i="1"/>
  <c r="S3372" i="1"/>
  <c r="R3372" i="1"/>
  <c r="P3372" i="1"/>
  <c r="L3372" i="1"/>
  <c r="W3371" i="1"/>
  <c r="W3370" i="1"/>
  <c r="W3369" i="1"/>
  <c r="T3369" i="1"/>
  <c r="R3369" i="1"/>
  <c r="W3368" i="1"/>
  <c r="P3368" i="1"/>
  <c r="J3368" i="1"/>
  <c r="L3368" i="1" s="1"/>
  <c r="W3367" i="1"/>
  <c r="P3367" i="1"/>
  <c r="J3367" i="1"/>
  <c r="W3366" i="1"/>
  <c r="P3366" i="1"/>
  <c r="J3366" i="1"/>
  <c r="W3365" i="1"/>
  <c r="P3365" i="1"/>
  <c r="J3365" i="1"/>
  <c r="T3365" i="1" s="1"/>
  <c r="W3364" i="1"/>
  <c r="P3364" i="1"/>
  <c r="J3364" i="1"/>
  <c r="L3364" i="1" s="1"/>
  <c r="W3363" i="1"/>
  <c r="W3362" i="1"/>
  <c r="S3361" i="1"/>
  <c r="T3361" i="1" s="1"/>
  <c r="R3361" i="1"/>
  <c r="P3361" i="1"/>
  <c r="L3361" i="1"/>
  <c r="S3360" i="1"/>
  <c r="T3360" i="1" s="1"/>
  <c r="R3360" i="1"/>
  <c r="P3360" i="1"/>
  <c r="L3360" i="1"/>
  <c r="W3359" i="1"/>
  <c r="W3358" i="1"/>
  <c r="W3357" i="1"/>
  <c r="R3357" i="1"/>
  <c r="W3356" i="1"/>
  <c r="R3356" i="1"/>
  <c r="W3355" i="1"/>
  <c r="P3355" i="1"/>
  <c r="J3355" i="1"/>
  <c r="L3355" i="1" s="1"/>
  <c r="W3354" i="1"/>
  <c r="P3354" i="1"/>
  <c r="J3354" i="1"/>
  <c r="T3354" i="1" s="1"/>
  <c r="S3353" i="1"/>
  <c r="W3353" i="1" s="1"/>
  <c r="P3353" i="1"/>
  <c r="J3353" i="1"/>
  <c r="S3352" i="1"/>
  <c r="W3352" i="1" s="1"/>
  <c r="P3352" i="1"/>
  <c r="J3352" i="1"/>
  <c r="R3352" i="1" s="1"/>
  <c r="S3351" i="1"/>
  <c r="P3351" i="1"/>
  <c r="J3351" i="1"/>
  <c r="S3350" i="1"/>
  <c r="W3350" i="1" s="1"/>
  <c r="P3350" i="1"/>
  <c r="J3350" i="1"/>
  <c r="R3350" i="1" s="1"/>
  <c r="S3349" i="1"/>
  <c r="P3349" i="1"/>
  <c r="J3349" i="1"/>
  <c r="S3348" i="1"/>
  <c r="W3348" i="1" s="1"/>
  <c r="P3348" i="1"/>
  <c r="J3348" i="1"/>
  <c r="S3347" i="1"/>
  <c r="W3347" i="1" s="1"/>
  <c r="P3347" i="1"/>
  <c r="J3347" i="1"/>
  <c r="R3347" i="1" s="1"/>
  <c r="S3346" i="1"/>
  <c r="P3346" i="1"/>
  <c r="J3346" i="1"/>
  <c r="W3345" i="1"/>
  <c r="P3345" i="1"/>
  <c r="J3345" i="1"/>
  <c r="W3344" i="1"/>
  <c r="P3344" i="1"/>
  <c r="J3344" i="1"/>
  <c r="L3344" i="1" s="1"/>
  <c r="W3343" i="1"/>
  <c r="P3343" i="1"/>
  <c r="J3343" i="1"/>
  <c r="L3343" i="1" s="1"/>
  <c r="W3342" i="1"/>
  <c r="P3342" i="1"/>
  <c r="J3342" i="1"/>
  <c r="W3341" i="1"/>
  <c r="P3341" i="1"/>
  <c r="J3341" i="1"/>
  <c r="L3341" i="1" s="1"/>
  <c r="W3340" i="1"/>
  <c r="P3340" i="1"/>
  <c r="J3340" i="1"/>
  <c r="W3339" i="1"/>
  <c r="P3339" i="1"/>
  <c r="J3339" i="1"/>
  <c r="R3339" i="1" s="1"/>
  <c r="W3338" i="1"/>
  <c r="P3338" i="1"/>
  <c r="J3338" i="1"/>
  <c r="W3337" i="1"/>
  <c r="W3336" i="1"/>
  <c r="W3335" i="1"/>
  <c r="T3335" i="1"/>
  <c r="R3335" i="1"/>
  <c r="L3335" i="1"/>
  <c r="W3334" i="1"/>
  <c r="T3334" i="1"/>
  <c r="R3334" i="1"/>
  <c r="L3334" i="1"/>
  <c r="W3333" i="1"/>
  <c r="T3333" i="1"/>
  <c r="R3333" i="1"/>
  <c r="P3333" i="1"/>
  <c r="L3333" i="1"/>
  <c r="W3332" i="1"/>
  <c r="T3332" i="1"/>
  <c r="R3332" i="1"/>
  <c r="P3332" i="1"/>
  <c r="L3332" i="1"/>
  <c r="W3331" i="1"/>
  <c r="T3331" i="1"/>
  <c r="R3331" i="1"/>
  <c r="P3331" i="1"/>
  <c r="L3331" i="1"/>
  <c r="W3330" i="1"/>
  <c r="T3330" i="1"/>
  <c r="R3330" i="1"/>
  <c r="P3330" i="1"/>
  <c r="L3330" i="1"/>
  <c r="W3329" i="1"/>
  <c r="T3329" i="1"/>
  <c r="R3329" i="1"/>
  <c r="P3329" i="1"/>
  <c r="L3329" i="1"/>
  <c r="W3328" i="1"/>
  <c r="T3328" i="1"/>
  <c r="R3328" i="1"/>
  <c r="P3328" i="1"/>
  <c r="L3328" i="1"/>
  <c r="W3326" i="1"/>
  <c r="W3325" i="1"/>
  <c r="R3325" i="1"/>
  <c r="L3325" i="1"/>
  <c r="W3324" i="1"/>
  <c r="T3324" i="1"/>
  <c r="R3324" i="1"/>
  <c r="P3324" i="1"/>
  <c r="L3324" i="1"/>
  <c r="W3322" i="1"/>
  <c r="W3321" i="1"/>
  <c r="T3321" i="1"/>
  <c r="R3321" i="1"/>
  <c r="L3321" i="1"/>
  <c r="W3320" i="1"/>
  <c r="P3320" i="1"/>
  <c r="J3320" i="1"/>
  <c r="W3319" i="1"/>
  <c r="K3318" i="1"/>
  <c r="W3318" i="1" s="1"/>
  <c r="W3317" i="1"/>
  <c r="J3317" i="1"/>
  <c r="L3317" i="1" s="1"/>
  <c r="W3316" i="1"/>
  <c r="J3316" i="1"/>
  <c r="L3316" i="1" s="1"/>
  <c r="W3314" i="1"/>
  <c r="W3313" i="1"/>
  <c r="P3313" i="1"/>
  <c r="J3313" i="1"/>
  <c r="L3313" i="1" s="1"/>
  <c r="W3312" i="1"/>
  <c r="P3312" i="1"/>
  <c r="J3312" i="1"/>
  <c r="T3312" i="1" s="1"/>
  <c r="W3311" i="1"/>
  <c r="P3311" i="1"/>
  <c r="J3311" i="1"/>
  <c r="W3310" i="1"/>
  <c r="P3310" i="1"/>
  <c r="J3310" i="1"/>
  <c r="W3309" i="1"/>
  <c r="P3309" i="1"/>
  <c r="J3309" i="1"/>
  <c r="W3308" i="1"/>
  <c r="P3308" i="1"/>
  <c r="J3308" i="1"/>
  <c r="W3307" i="1"/>
  <c r="W3306" i="1"/>
  <c r="W3305" i="1"/>
  <c r="R3305" i="1"/>
  <c r="L3305" i="1"/>
  <c r="W3304" i="1"/>
  <c r="P3304" i="1"/>
  <c r="J3304" i="1"/>
  <c r="R3304" i="1" s="1"/>
  <c r="W3303" i="1"/>
  <c r="W3302" i="1"/>
  <c r="W3301" i="1"/>
  <c r="T3301" i="1"/>
  <c r="R3301" i="1"/>
  <c r="L3301" i="1"/>
  <c r="W3300" i="1"/>
  <c r="T3300" i="1"/>
  <c r="R3300" i="1"/>
  <c r="P3300" i="1"/>
  <c r="L3300" i="1"/>
  <c r="W3299" i="1"/>
  <c r="T3299" i="1"/>
  <c r="P3299" i="1"/>
  <c r="W3298" i="1"/>
  <c r="W3297" i="1"/>
  <c r="T3297" i="1"/>
  <c r="R3297" i="1"/>
  <c r="L3297" i="1"/>
  <c r="S3296" i="1"/>
  <c r="R3296" i="1"/>
  <c r="P3296" i="1"/>
  <c r="L3296" i="1"/>
  <c r="S3295" i="1"/>
  <c r="R3295" i="1"/>
  <c r="P3295" i="1"/>
  <c r="L3295" i="1"/>
  <c r="W3293" i="1"/>
  <c r="S3292" i="1"/>
  <c r="T3292" i="1" s="1"/>
  <c r="R3292" i="1"/>
  <c r="P3292" i="1"/>
  <c r="L3292" i="1"/>
  <c r="S3291" i="1"/>
  <c r="T3291" i="1" s="1"/>
  <c r="R3291" i="1"/>
  <c r="P3291" i="1"/>
  <c r="L3291" i="1"/>
  <c r="S3290" i="1"/>
  <c r="T3290" i="1" s="1"/>
  <c r="R3290" i="1"/>
  <c r="P3290" i="1"/>
  <c r="L3290" i="1"/>
  <c r="W3289" i="1"/>
  <c r="W3288" i="1"/>
  <c r="S3287" i="1"/>
  <c r="T3287" i="1" s="1"/>
  <c r="R3287" i="1"/>
  <c r="P3287" i="1"/>
  <c r="L3287" i="1"/>
  <c r="S3286" i="1"/>
  <c r="T3286" i="1" s="1"/>
  <c r="R3286" i="1"/>
  <c r="P3286" i="1"/>
  <c r="L3286" i="1"/>
  <c r="W3285" i="1"/>
  <c r="W3284" i="1"/>
  <c r="S3283" i="1"/>
  <c r="T3283" i="1" s="1"/>
  <c r="R3283" i="1"/>
  <c r="P3283" i="1"/>
  <c r="L3283" i="1"/>
  <c r="S3282" i="1"/>
  <c r="T3282" i="1" s="1"/>
  <c r="R3282" i="1"/>
  <c r="P3282" i="1"/>
  <c r="L3282" i="1"/>
  <c r="S3281" i="1"/>
  <c r="T3281" i="1" s="1"/>
  <c r="R3281" i="1"/>
  <c r="P3281" i="1"/>
  <c r="L3281" i="1"/>
  <c r="W3280" i="1"/>
  <c r="W3279" i="1"/>
  <c r="W3278" i="1"/>
  <c r="T3278" i="1"/>
  <c r="R3278" i="1"/>
  <c r="L3278" i="1"/>
  <c r="W3277" i="1"/>
  <c r="P3277" i="1"/>
  <c r="J3277" i="1"/>
  <c r="L3277" i="1" s="1"/>
  <c r="W3276" i="1"/>
  <c r="P3276" i="1"/>
  <c r="J3276" i="1"/>
  <c r="W3275" i="1"/>
  <c r="W3274" i="1"/>
  <c r="W3273" i="1"/>
  <c r="R3273" i="1"/>
  <c r="L3273" i="1"/>
  <c r="W3272" i="1"/>
  <c r="P3272" i="1"/>
  <c r="J3272" i="1"/>
  <c r="W3271" i="1"/>
  <c r="W3270" i="1"/>
  <c r="W3269" i="1"/>
  <c r="T3269" i="1"/>
  <c r="R3269" i="1"/>
  <c r="L3269" i="1"/>
  <c r="W3268" i="1"/>
  <c r="T3268" i="1"/>
  <c r="R3268" i="1"/>
  <c r="L3268" i="1"/>
  <c r="W3267" i="1"/>
  <c r="T3267" i="1"/>
  <c r="R3267" i="1"/>
  <c r="P3267" i="1"/>
  <c r="L3267" i="1"/>
  <c r="W3266" i="1"/>
  <c r="W3265" i="1"/>
  <c r="W3264" i="1"/>
  <c r="R3264" i="1"/>
  <c r="L3264" i="1"/>
  <c r="W3263" i="1"/>
  <c r="T3263" i="1"/>
  <c r="R3263" i="1"/>
  <c r="P3263" i="1"/>
  <c r="L3263" i="1"/>
  <c r="W3262" i="1"/>
  <c r="T3262" i="1"/>
  <c r="P3262" i="1"/>
  <c r="W3261" i="1"/>
  <c r="W3260" i="1"/>
  <c r="T3260" i="1"/>
  <c r="R3260" i="1"/>
  <c r="L3260" i="1"/>
  <c r="W3259" i="1"/>
  <c r="P3259" i="1"/>
  <c r="J3259" i="1"/>
  <c r="W3258" i="1"/>
  <c r="P3258" i="1"/>
  <c r="J3258" i="1"/>
  <c r="L3258" i="1" s="1"/>
  <c r="W3257" i="1"/>
  <c r="P3257" i="1"/>
  <c r="J3257" i="1"/>
  <c r="T3257" i="1" s="1"/>
  <c r="W3256" i="1"/>
  <c r="P3256" i="1"/>
  <c r="J3256" i="1"/>
  <c r="W3255" i="1"/>
  <c r="W3254" i="1"/>
  <c r="W3253" i="1"/>
  <c r="T3253" i="1"/>
  <c r="R3253" i="1"/>
  <c r="L3253" i="1"/>
  <c r="W3252" i="1"/>
  <c r="T3252" i="1"/>
  <c r="L3252" i="1"/>
  <c r="W3251" i="1"/>
  <c r="T3251" i="1"/>
  <c r="R3251" i="1"/>
  <c r="P3251" i="1"/>
  <c r="L3251" i="1"/>
  <c r="S3250" i="1"/>
  <c r="R3250" i="1"/>
  <c r="P3250" i="1"/>
  <c r="L3250" i="1"/>
  <c r="W3248" i="1"/>
  <c r="S3247" i="1"/>
  <c r="T3247" i="1" s="1"/>
  <c r="R3247" i="1"/>
  <c r="P3247" i="1"/>
  <c r="L3247" i="1"/>
  <c r="S3246" i="1"/>
  <c r="W3246" i="1" s="1"/>
  <c r="R3246" i="1"/>
  <c r="P3246" i="1"/>
  <c r="L3246" i="1"/>
  <c r="W3245" i="1"/>
  <c r="W3244" i="1"/>
  <c r="W3243" i="1"/>
  <c r="P3243" i="1"/>
  <c r="J3243" i="1"/>
  <c r="R3243" i="1" s="1"/>
  <c r="W3241" i="1"/>
  <c r="W3240" i="1"/>
  <c r="T3240" i="1"/>
  <c r="R3240" i="1"/>
  <c r="L3240" i="1"/>
  <c r="W3239" i="1"/>
  <c r="T3239" i="1"/>
  <c r="R3239" i="1"/>
  <c r="P3239" i="1"/>
  <c r="L3239" i="1"/>
  <c r="W3238" i="1"/>
  <c r="T3238" i="1"/>
  <c r="P3238" i="1"/>
  <c r="W3237" i="1"/>
  <c r="W3236" i="1"/>
  <c r="R3236" i="1"/>
  <c r="L3236" i="1"/>
  <c r="W3235" i="1"/>
  <c r="T3235" i="1"/>
  <c r="R3235" i="1"/>
  <c r="P3235" i="1"/>
  <c r="L3235" i="1"/>
  <c r="W3234" i="1"/>
  <c r="T3234" i="1"/>
  <c r="P3234" i="1"/>
  <c r="W3233" i="1"/>
  <c r="W3232" i="1"/>
  <c r="T3232" i="1"/>
  <c r="R3232" i="1"/>
  <c r="L3232" i="1"/>
  <c r="W3231" i="1"/>
  <c r="T3231" i="1"/>
  <c r="R3231" i="1"/>
  <c r="P3231" i="1"/>
  <c r="L3231" i="1"/>
  <c r="W3230" i="1"/>
  <c r="T3230" i="1"/>
  <c r="R3230" i="1"/>
  <c r="P3230" i="1"/>
  <c r="L3230" i="1"/>
  <c r="W3229" i="1"/>
  <c r="T3229" i="1"/>
  <c r="P3229" i="1"/>
  <c r="W3228" i="1"/>
  <c r="S3227" i="1"/>
  <c r="W3227" i="1" s="1"/>
  <c r="R3227" i="1"/>
  <c r="L3227" i="1"/>
  <c r="W3226" i="1"/>
  <c r="T3226" i="1"/>
  <c r="R3226" i="1"/>
  <c r="P3226" i="1"/>
  <c r="L3226" i="1"/>
  <c r="W3225" i="1"/>
  <c r="T3225" i="1"/>
  <c r="R3225" i="1"/>
  <c r="P3225" i="1"/>
  <c r="L3225" i="1"/>
  <c r="W3224" i="1"/>
  <c r="T3224" i="1"/>
  <c r="R3224" i="1"/>
  <c r="P3224" i="1"/>
  <c r="L3224" i="1"/>
  <c r="W3223" i="1"/>
  <c r="T3223" i="1"/>
  <c r="R3223" i="1"/>
  <c r="P3223" i="1"/>
  <c r="L3223" i="1"/>
  <c r="W3222" i="1"/>
  <c r="T3222" i="1"/>
  <c r="R3222" i="1"/>
  <c r="P3222" i="1"/>
  <c r="L3222" i="1"/>
  <c r="W3221" i="1"/>
  <c r="T3221" i="1"/>
  <c r="R3221" i="1"/>
  <c r="P3221" i="1"/>
  <c r="L3221" i="1"/>
  <c r="W3220" i="1"/>
  <c r="T3220" i="1"/>
  <c r="R3220" i="1"/>
  <c r="P3220" i="1"/>
  <c r="L3220" i="1"/>
  <c r="W3219" i="1"/>
  <c r="T3219" i="1"/>
  <c r="R3219" i="1"/>
  <c r="P3219" i="1"/>
  <c r="L3219" i="1"/>
  <c r="W3218" i="1"/>
  <c r="T3218" i="1"/>
  <c r="R3218" i="1"/>
  <c r="P3218" i="1"/>
  <c r="L3218" i="1"/>
  <c r="W3217" i="1"/>
  <c r="T3217" i="1"/>
  <c r="R3217" i="1"/>
  <c r="P3217" i="1"/>
  <c r="L3217" i="1"/>
  <c r="W3215" i="1"/>
  <c r="T3215" i="1"/>
  <c r="R3215" i="1"/>
  <c r="P3215" i="1"/>
  <c r="L3215" i="1"/>
  <c r="W3213" i="1"/>
  <c r="T3213" i="1"/>
  <c r="R3213" i="1"/>
  <c r="P3213" i="1"/>
  <c r="L3213" i="1"/>
  <c r="W3211" i="1"/>
  <c r="P3211" i="1"/>
  <c r="J3211" i="1"/>
  <c r="R3211" i="1" s="1"/>
  <c r="W3210" i="1"/>
  <c r="T3210" i="1"/>
  <c r="P3210" i="1"/>
  <c r="W3209" i="1"/>
  <c r="W3208" i="1"/>
  <c r="T3208" i="1"/>
  <c r="P3208" i="1"/>
  <c r="L3208" i="1"/>
  <c r="W3207" i="1"/>
  <c r="P3207" i="1"/>
  <c r="J3207" i="1"/>
  <c r="T3207" i="1" s="1"/>
  <c r="W3206" i="1"/>
  <c r="P3206" i="1"/>
  <c r="J3206" i="1"/>
  <c r="R3206" i="1" s="1"/>
  <c r="W3205" i="1"/>
  <c r="P3205" i="1"/>
  <c r="J3205" i="1"/>
  <c r="T3205" i="1" s="1"/>
  <c r="W3204" i="1"/>
  <c r="K3203" i="1"/>
  <c r="W3202" i="1"/>
  <c r="T3202" i="1"/>
  <c r="L3202" i="1"/>
  <c r="W3201" i="1"/>
  <c r="J3201" i="1"/>
  <c r="W3200" i="1"/>
  <c r="W3199" i="1"/>
  <c r="W3198" i="1"/>
  <c r="T3198" i="1"/>
  <c r="P3198" i="1"/>
  <c r="L3198" i="1"/>
  <c r="W3197" i="1"/>
  <c r="P3197" i="1"/>
  <c r="J3197" i="1"/>
  <c r="W3196" i="1"/>
  <c r="P3196" i="1"/>
  <c r="J3196" i="1"/>
  <c r="W3195" i="1"/>
  <c r="P3195" i="1"/>
  <c r="J3195" i="1"/>
  <c r="R3195" i="1" s="1"/>
  <c r="W3194" i="1"/>
  <c r="P3194" i="1"/>
  <c r="J3194" i="1"/>
  <c r="W3193" i="1"/>
  <c r="W3192" i="1"/>
  <c r="Q3192" i="1"/>
  <c r="W3191" i="1"/>
  <c r="T3191" i="1"/>
  <c r="W3190" i="1"/>
  <c r="J3190" i="1"/>
  <c r="L3190" i="1" s="1"/>
  <c r="W3189" i="1"/>
  <c r="J3189" i="1"/>
  <c r="R3189" i="1" s="1"/>
  <c r="W3188" i="1"/>
  <c r="W3187" i="1"/>
  <c r="W3186" i="1"/>
  <c r="T3186" i="1"/>
  <c r="R3186" i="1"/>
  <c r="L3186" i="1"/>
  <c r="W3185" i="1"/>
  <c r="P3185" i="1"/>
  <c r="J3185" i="1"/>
  <c r="T3185" i="1" s="1"/>
  <c r="W3184" i="1"/>
  <c r="W3183" i="1"/>
  <c r="W3182" i="1"/>
  <c r="T3182" i="1"/>
  <c r="R3182" i="1"/>
  <c r="L3182" i="1"/>
  <c r="W3181" i="1"/>
  <c r="P3181" i="1"/>
  <c r="J3181" i="1"/>
  <c r="T3181" i="1" s="1"/>
  <c r="W3180" i="1"/>
  <c r="P3180" i="1"/>
  <c r="J3180" i="1"/>
  <c r="W3179" i="1"/>
  <c r="W3178" i="1"/>
  <c r="W3177" i="1"/>
  <c r="T3177" i="1"/>
  <c r="R3177" i="1"/>
  <c r="L3177" i="1"/>
  <c r="W3176" i="1"/>
  <c r="T3176" i="1"/>
  <c r="R3176" i="1"/>
  <c r="L3176" i="1"/>
  <c r="W3175" i="1"/>
  <c r="T3175" i="1"/>
  <c r="R3175" i="1"/>
  <c r="P3175" i="1"/>
  <c r="L3175" i="1"/>
  <c r="W3173" i="1"/>
  <c r="W3172" i="1"/>
  <c r="T3172" i="1"/>
  <c r="R3172" i="1"/>
  <c r="P3172" i="1"/>
  <c r="L3172" i="1"/>
  <c r="W3171" i="1"/>
  <c r="T3171" i="1"/>
  <c r="R3171" i="1"/>
  <c r="P3171" i="1"/>
  <c r="L3171" i="1"/>
  <c r="W3170" i="1"/>
  <c r="W3169" i="1"/>
  <c r="W3168" i="1"/>
  <c r="T3168" i="1"/>
  <c r="R3168" i="1"/>
  <c r="L3168" i="1"/>
  <c r="W3167" i="1"/>
  <c r="P3167" i="1"/>
  <c r="J3167" i="1"/>
  <c r="T3167" i="1" s="1"/>
  <c r="W3166" i="1"/>
  <c r="P3166" i="1"/>
  <c r="J3166" i="1"/>
  <c r="L3166" i="1" s="1"/>
  <c r="W3165" i="1"/>
  <c r="P3165" i="1"/>
  <c r="J3165" i="1"/>
  <c r="R3165" i="1" s="1"/>
  <c r="W3164" i="1"/>
  <c r="P3164" i="1"/>
  <c r="J3164" i="1"/>
  <c r="W3163" i="1"/>
  <c r="T3163" i="1"/>
  <c r="P3163" i="1"/>
  <c r="W3162" i="1"/>
  <c r="W3161" i="1"/>
  <c r="T3161" i="1"/>
  <c r="R3161" i="1"/>
  <c r="L3161" i="1"/>
  <c r="W3160" i="1"/>
  <c r="T3160" i="1"/>
  <c r="R3160" i="1"/>
  <c r="P3160" i="1"/>
  <c r="L3160" i="1"/>
  <c r="W3159" i="1"/>
  <c r="T3159" i="1"/>
  <c r="R3159" i="1"/>
  <c r="P3159" i="1"/>
  <c r="L3159" i="1"/>
  <c r="W3158" i="1"/>
  <c r="T3158" i="1"/>
  <c r="R3158" i="1"/>
  <c r="P3158" i="1"/>
  <c r="L3158" i="1"/>
  <c r="W3157" i="1"/>
  <c r="T3157" i="1"/>
  <c r="R3157" i="1"/>
  <c r="P3157" i="1"/>
  <c r="L3157" i="1"/>
  <c r="W3156" i="1"/>
  <c r="T3156" i="1"/>
  <c r="R3156" i="1"/>
  <c r="P3156" i="1"/>
  <c r="L3156" i="1"/>
  <c r="W3154" i="1"/>
  <c r="T3154" i="1"/>
  <c r="R3154" i="1"/>
  <c r="P3154" i="1"/>
  <c r="L3154" i="1"/>
  <c r="W3153" i="1"/>
  <c r="T3153" i="1"/>
  <c r="R3153" i="1"/>
  <c r="P3153" i="1"/>
  <c r="L3153" i="1"/>
  <c r="W3152" i="1"/>
  <c r="T3152" i="1"/>
  <c r="R3152" i="1"/>
  <c r="P3152" i="1"/>
  <c r="L3152" i="1"/>
  <c r="W3151" i="1"/>
  <c r="T3151" i="1"/>
  <c r="R3151" i="1"/>
  <c r="P3151" i="1"/>
  <c r="L3151" i="1"/>
  <c r="W3149" i="1"/>
  <c r="W3148" i="1"/>
  <c r="T3148" i="1"/>
  <c r="R3148" i="1"/>
  <c r="L3148" i="1"/>
  <c r="W3147" i="1"/>
  <c r="T3147" i="1"/>
  <c r="R3147" i="1"/>
  <c r="P3147" i="1"/>
  <c r="L3147" i="1"/>
  <c r="W3145" i="1"/>
  <c r="W3144" i="1"/>
  <c r="T3144" i="1"/>
  <c r="R3144" i="1"/>
  <c r="L3144" i="1"/>
  <c r="W3143" i="1"/>
  <c r="P3143" i="1"/>
  <c r="J3143" i="1"/>
  <c r="W3142" i="1"/>
  <c r="W3141" i="1"/>
  <c r="W3140" i="1"/>
  <c r="T3140" i="1"/>
  <c r="R3140" i="1"/>
  <c r="L3140" i="1"/>
  <c r="W3139" i="1"/>
  <c r="T3139" i="1"/>
  <c r="R3139" i="1"/>
  <c r="L3139" i="1"/>
  <c r="W3138" i="1"/>
  <c r="P3138" i="1"/>
  <c r="J3138" i="1"/>
  <c r="R3138" i="1" s="1"/>
  <c r="W3137" i="1"/>
  <c r="P3137" i="1"/>
  <c r="J3137" i="1"/>
  <c r="T3137" i="1" s="1"/>
  <c r="W3136" i="1"/>
  <c r="W3135" i="1"/>
  <c r="W3134" i="1"/>
  <c r="T3134" i="1"/>
  <c r="R3134" i="1"/>
  <c r="L3134" i="1"/>
  <c r="W3133" i="1"/>
  <c r="T3133" i="1"/>
  <c r="R3133" i="1"/>
  <c r="L3133" i="1"/>
  <c r="W3132" i="1"/>
  <c r="T3132" i="1"/>
  <c r="R3132" i="1"/>
  <c r="P3132" i="1"/>
  <c r="L3132" i="1"/>
  <c r="W3130" i="1"/>
  <c r="W3129" i="1"/>
  <c r="T3129" i="1"/>
  <c r="R3129" i="1"/>
  <c r="L3129" i="1"/>
  <c r="W3128" i="1"/>
  <c r="P3128" i="1"/>
  <c r="J3128" i="1"/>
  <c r="T3128" i="1" s="1"/>
  <c r="W3127" i="1"/>
  <c r="W3126" i="1"/>
  <c r="W3125" i="1"/>
  <c r="P3125" i="1"/>
  <c r="J3125" i="1"/>
  <c r="W3124" i="1"/>
  <c r="P3124" i="1"/>
  <c r="J3124" i="1"/>
  <c r="T3124" i="1" s="1"/>
  <c r="W3123" i="1"/>
  <c r="P3123" i="1"/>
  <c r="J3123" i="1"/>
  <c r="T3123" i="1" s="1"/>
  <c r="W3122" i="1"/>
  <c r="T3122" i="1"/>
  <c r="P3122" i="1"/>
  <c r="W3121" i="1"/>
  <c r="S3120" i="1"/>
  <c r="W3120" i="1" s="1"/>
  <c r="R3120" i="1"/>
  <c r="L3120" i="1"/>
  <c r="W3119" i="1"/>
  <c r="T3119" i="1"/>
  <c r="R3119" i="1"/>
  <c r="P3119" i="1"/>
  <c r="L3119" i="1"/>
  <c r="W3118" i="1"/>
  <c r="T3118" i="1"/>
  <c r="R3118" i="1"/>
  <c r="P3118" i="1"/>
  <c r="L3118" i="1"/>
  <c r="W3116" i="1"/>
  <c r="T3116" i="1"/>
  <c r="R3116" i="1"/>
  <c r="P3116" i="1"/>
  <c r="L3116" i="1"/>
  <c r="W3115" i="1"/>
  <c r="T3115" i="1"/>
  <c r="R3115" i="1"/>
  <c r="P3115" i="1"/>
  <c r="L3115" i="1"/>
  <c r="W3113" i="1"/>
  <c r="W3112" i="1"/>
  <c r="T3112" i="1"/>
  <c r="R3112" i="1"/>
  <c r="L3112" i="1"/>
  <c r="W3111" i="1"/>
  <c r="T3111" i="1"/>
  <c r="R3111" i="1"/>
  <c r="P3111" i="1"/>
  <c r="L3111" i="1"/>
  <c r="W3110" i="1"/>
  <c r="T3110" i="1"/>
  <c r="R3110" i="1"/>
  <c r="P3110" i="1"/>
  <c r="L3110" i="1"/>
  <c r="W3109" i="1"/>
  <c r="T3109" i="1"/>
  <c r="R3109" i="1"/>
  <c r="P3109" i="1"/>
  <c r="L3109" i="1"/>
  <c r="W3108" i="1"/>
  <c r="T3108" i="1"/>
  <c r="R3108" i="1"/>
  <c r="P3108" i="1"/>
  <c r="L3108" i="1"/>
  <c r="W3107" i="1"/>
  <c r="T3107" i="1"/>
  <c r="R3107" i="1"/>
  <c r="P3107" i="1"/>
  <c r="L3107" i="1"/>
  <c r="W3106" i="1"/>
  <c r="T3106" i="1"/>
  <c r="R3106" i="1"/>
  <c r="P3106" i="1"/>
  <c r="L3106" i="1"/>
  <c r="W3105" i="1"/>
  <c r="W3104" i="1"/>
  <c r="W3103" i="1"/>
  <c r="T3103" i="1"/>
  <c r="L3103" i="1"/>
  <c r="W3102" i="1"/>
  <c r="P3102" i="1"/>
  <c r="J3102" i="1"/>
  <c r="R3102" i="1" s="1"/>
  <c r="W3101" i="1"/>
  <c r="W3100" i="1"/>
  <c r="W3099" i="1"/>
  <c r="T3099" i="1"/>
  <c r="R3099" i="1"/>
  <c r="L3099" i="1"/>
  <c r="W3098" i="1"/>
  <c r="P3098" i="1"/>
  <c r="J3098" i="1"/>
  <c r="W3097" i="1"/>
  <c r="K3096" i="1"/>
  <c r="W3095" i="1"/>
  <c r="J3095" i="1"/>
  <c r="L3095" i="1" s="1"/>
  <c r="W3094" i="1"/>
  <c r="W3093" i="1"/>
  <c r="W3092" i="1"/>
  <c r="T3092" i="1"/>
  <c r="R3092" i="1"/>
  <c r="L3092" i="1"/>
  <c r="W3091" i="1"/>
  <c r="T3091" i="1"/>
  <c r="R3091" i="1"/>
  <c r="P3091" i="1"/>
  <c r="L3091" i="1"/>
  <c r="W3090" i="1"/>
  <c r="T3090" i="1"/>
  <c r="R3090" i="1"/>
  <c r="P3090" i="1"/>
  <c r="L3090" i="1"/>
  <c r="W3089" i="1"/>
  <c r="T3089" i="1"/>
  <c r="R3089" i="1"/>
  <c r="P3089" i="1"/>
  <c r="L3089" i="1"/>
  <c r="W3088" i="1"/>
  <c r="T3088" i="1"/>
  <c r="R3088" i="1"/>
  <c r="P3088" i="1"/>
  <c r="L3088" i="1"/>
  <c r="W3087" i="1"/>
  <c r="T3087" i="1"/>
  <c r="R3087" i="1"/>
  <c r="P3087" i="1"/>
  <c r="L3087" i="1"/>
  <c r="W3086" i="1"/>
  <c r="T3085" i="1"/>
  <c r="S3085" i="1"/>
  <c r="K3085" i="1"/>
  <c r="W3084" i="1"/>
  <c r="W3083" i="1"/>
  <c r="W3082" i="1"/>
  <c r="W3081" i="1"/>
  <c r="W3080" i="1"/>
  <c r="L3080" i="1"/>
  <c r="W3079" i="1"/>
  <c r="J3079" i="1"/>
  <c r="L3079" i="1" s="1"/>
  <c r="W3078" i="1"/>
  <c r="J3078" i="1"/>
  <c r="R3078" i="1" s="1"/>
  <c r="W3077" i="1"/>
  <c r="J3077" i="1"/>
  <c r="W3076" i="1"/>
  <c r="J3076" i="1"/>
  <c r="R3076" i="1" s="1"/>
  <c r="W3075" i="1"/>
  <c r="J3075" i="1"/>
  <c r="L3075" i="1" s="1"/>
  <c r="W3074" i="1"/>
  <c r="J3074" i="1"/>
  <c r="W3073" i="1"/>
  <c r="J3073" i="1"/>
  <c r="T3073" i="1" s="1"/>
  <c r="W3072" i="1"/>
  <c r="J3072" i="1"/>
  <c r="R3072" i="1" s="1"/>
  <c r="W3071" i="1"/>
  <c r="J3071" i="1"/>
  <c r="R3071" i="1" s="1"/>
  <c r="W3070" i="1"/>
  <c r="J3070" i="1"/>
  <c r="T3070" i="1" s="1"/>
  <c r="W3069" i="1"/>
  <c r="J3069" i="1"/>
  <c r="T3069" i="1" s="1"/>
  <c r="W3068" i="1"/>
  <c r="W3067" i="1"/>
  <c r="W3066" i="1"/>
  <c r="T3066" i="1"/>
  <c r="R3066" i="1"/>
  <c r="L3066" i="1"/>
  <c r="W3065" i="1"/>
  <c r="T3065" i="1"/>
  <c r="R3065" i="1"/>
  <c r="P3065" i="1"/>
  <c r="L3065" i="1"/>
  <c r="W3064" i="1"/>
  <c r="T3064" i="1"/>
  <c r="R3064" i="1"/>
  <c r="P3064" i="1"/>
  <c r="L3064" i="1"/>
  <c r="W3063" i="1"/>
  <c r="T3063" i="1"/>
  <c r="R3063" i="1"/>
  <c r="P3063" i="1"/>
  <c r="L3063" i="1"/>
  <c r="W3061" i="1"/>
  <c r="W3060" i="1"/>
  <c r="T3060" i="1"/>
  <c r="L3060" i="1"/>
  <c r="W3059" i="1"/>
  <c r="T3059" i="1"/>
  <c r="R3059" i="1"/>
  <c r="P3059" i="1"/>
  <c r="L3059" i="1"/>
  <c r="W3057" i="1"/>
  <c r="S3056" i="1"/>
  <c r="P3056" i="1"/>
  <c r="J3056" i="1"/>
  <c r="L3056" i="1" s="1"/>
  <c r="W3055" i="1"/>
  <c r="W3054" i="1"/>
  <c r="S3053" i="1"/>
  <c r="T3053" i="1" s="1"/>
  <c r="R3053" i="1"/>
  <c r="P3053" i="1"/>
  <c r="L3053" i="1"/>
  <c r="W3052" i="1"/>
  <c r="W3051" i="1"/>
  <c r="W3050" i="1"/>
  <c r="T3050" i="1"/>
  <c r="L3050" i="1"/>
  <c r="W3049" i="1"/>
  <c r="P3049" i="1"/>
  <c r="J3049" i="1"/>
  <c r="W3048" i="1"/>
  <c r="W3047" i="1"/>
  <c r="W3046" i="1"/>
  <c r="T3046" i="1"/>
  <c r="R3046" i="1"/>
  <c r="L3046" i="1"/>
  <c r="W3045" i="1"/>
  <c r="T3045" i="1"/>
  <c r="R3045" i="1"/>
  <c r="L3045" i="1"/>
  <c r="W3044" i="1"/>
  <c r="P3044" i="1"/>
  <c r="J3044" i="1"/>
  <c r="T3042" i="1"/>
  <c r="S3042" i="1"/>
  <c r="K3042" i="1"/>
  <c r="W3041" i="1"/>
  <c r="J3041" i="1"/>
  <c r="T3041" i="1" s="1"/>
  <c r="W3040" i="1"/>
  <c r="W3039" i="1"/>
  <c r="W3038" i="1"/>
  <c r="T3038" i="1"/>
  <c r="R3038" i="1"/>
  <c r="L3038" i="1"/>
  <c r="W3037" i="1"/>
  <c r="P3037" i="1"/>
  <c r="J3037" i="1"/>
  <c r="T3037" i="1" s="1"/>
  <c r="W3036" i="1"/>
  <c r="P3036" i="1"/>
  <c r="J3036" i="1"/>
  <c r="L3036" i="1" s="1"/>
  <c r="W3035" i="1"/>
  <c r="W3033" i="1"/>
  <c r="T3033" i="1"/>
  <c r="R3033" i="1"/>
  <c r="L3033" i="1"/>
  <c r="W3032" i="1"/>
  <c r="P3032" i="1"/>
  <c r="J3032" i="1"/>
  <c r="L3032" i="1" s="1"/>
  <c r="W3029" i="1"/>
  <c r="P3029" i="1"/>
  <c r="J3029" i="1"/>
  <c r="L3029" i="1" s="1"/>
  <c r="W3028" i="1"/>
  <c r="W3026" i="1"/>
  <c r="T3026" i="1"/>
  <c r="R3026" i="1"/>
  <c r="L3026" i="1"/>
  <c r="W3025" i="1"/>
  <c r="P3025" i="1"/>
  <c r="J3025" i="1"/>
  <c r="T3025" i="1" s="1"/>
  <c r="W3023" i="1"/>
  <c r="W3022" i="1"/>
  <c r="T3022" i="1"/>
  <c r="L3022" i="1"/>
  <c r="W3021" i="1"/>
  <c r="T3021" i="1"/>
  <c r="R3021" i="1"/>
  <c r="P3021" i="1"/>
  <c r="L3021" i="1"/>
  <c r="W3020" i="1"/>
  <c r="W3019" i="1"/>
  <c r="W3018" i="1"/>
  <c r="T3018" i="1"/>
  <c r="L3018" i="1"/>
  <c r="W3017" i="1"/>
  <c r="P3017" i="1"/>
  <c r="J3017" i="1"/>
  <c r="W3016" i="1"/>
  <c r="T3014" i="1"/>
  <c r="R3014" i="1"/>
  <c r="L3014" i="1"/>
  <c r="T3013" i="1"/>
  <c r="R3013" i="1"/>
  <c r="L3013" i="1"/>
  <c r="W3012" i="1"/>
  <c r="P3012" i="1"/>
  <c r="J3012" i="1"/>
  <c r="T3010" i="1"/>
  <c r="S3010" i="1"/>
  <c r="K3010" i="1"/>
  <c r="T3009" i="1"/>
  <c r="S3009" i="1"/>
  <c r="W3009" i="1" s="1"/>
  <c r="P3009" i="1"/>
  <c r="W3008" i="1"/>
  <c r="J3008" i="1"/>
  <c r="L3008" i="1" s="1"/>
  <c r="W3007" i="1"/>
  <c r="J3007" i="1"/>
  <c r="L3007" i="1" s="1"/>
  <c r="W3006" i="1"/>
  <c r="J3006" i="1"/>
  <c r="T3006" i="1" s="1"/>
  <c r="W3005" i="1"/>
  <c r="J3005" i="1"/>
  <c r="T3005" i="1" s="1"/>
  <c r="W3004" i="1"/>
  <c r="J3004" i="1"/>
  <c r="W3003" i="1"/>
  <c r="J3003" i="1"/>
  <c r="W3002" i="1"/>
  <c r="J3002" i="1"/>
  <c r="W3001" i="1"/>
  <c r="W3000" i="1"/>
  <c r="W2999" i="1"/>
  <c r="T2999" i="1"/>
  <c r="R2999" i="1"/>
  <c r="L2999" i="1"/>
  <c r="W2998" i="1"/>
  <c r="T2998" i="1"/>
  <c r="R2998" i="1"/>
  <c r="P2998" i="1"/>
  <c r="L2998" i="1"/>
  <c r="W2997" i="1"/>
  <c r="P2997" i="1"/>
  <c r="J2997" i="1"/>
  <c r="W2996" i="1"/>
  <c r="T2996" i="1"/>
  <c r="R2996" i="1"/>
  <c r="P2996" i="1"/>
  <c r="L2996" i="1"/>
  <c r="W2995" i="1"/>
  <c r="W2994" i="1"/>
  <c r="W2993" i="1"/>
  <c r="T2993" i="1"/>
  <c r="R2993" i="1"/>
  <c r="L2993" i="1"/>
  <c r="W2992" i="1"/>
  <c r="P2992" i="1"/>
  <c r="J2992" i="1"/>
  <c r="W2991" i="1"/>
  <c r="W2990" i="1"/>
  <c r="W2989" i="1"/>
  <c r="T2989" i="1"/>
  <c r="R2989" i="1"/>
  <c r="L2989" i="1"/>
  <c r="W2988" i="1"/>
  <c r="P2988" i="1"/>
  <c r="J2988" i="1"/>
  <c r="T2988" i="1" s="1"/>
  <c r="W2987" i="1"/>
  <c r="P2987" i="1"/>
  <c r="J2987" i="1"/>
  <c r="W2986" i="1"/>
  <c r="W2985" i="1"/>
  <c r="W2984" i="1"/>
  <c r="R2984" i="1"/>
  <c r="L2984" i="1"/>
  <c r="W2983" i="1"/>
  <c r="T2983" i="1"/>
  <c r="R2983" i="1"/>
  <c r="L2983" i="1"/>
  <c r="W2982" i="1"/>
  <c r="T2982" i="1"/>
  <c r="R2982" i="1"/>
  <c r="P2982" i="1"/>
  <c r="L2982" i="1"/>
  <c r="W2981" i="1"/>
  <c r="T2981" i="1"/>
  <c r="R2981" i="1"/>
  <c r="P2981" i="1"/>
  <c r="L2981" i="1"/>
  <c r="W2980" i="1"/>
  <c r="W2979" i="1"/>
  <c r="W2978" i="1"/>
  <c r="T2978" i="1"/>
  <c r="P2978" i="1"/>
  <c r="L2978" i="1"/>
  <c r="W2977" i="1"/>
  <c r="T2977" i="1"/>
  <c r="R2977" i="1"/>
  <c r="P2977" i="1"/>
  <c r="L2977" i="1"/>
  <c r="W2976" i="1"/>
  <c r="T2976" i="1"/>
  <c r="R2976" i="1"/>
  <c r="P2976" i="1"/>
  <c r="L2976" i="1"/>
  <c r="W2975" i="1"/>
  <c r="T2975" i="1"/>
  <c r="R2975" i="1"/>
  <c r="P2975" i="1"/>
  <c r="L2975" i="1"/>
  <c r="W2974" i="1"/>
  <c r="T2974" i="1"/>
  <c r="R2974" i="1"/>
  <c r="P2974" i="1"/>
  <c r="L2974" i="1"/>
  <c r="W2972" i="1"/>
  <c r="W2971" i="1"/>
  <c r="T2971" i="1"/>
  <c r="R2971" i="1"/>
  <c r="S2970" i="1"/>
  <c r="P2970" i="1"/>
  <c r="J2970" i="1"/>
  <c r="S2969" i="1"/>
  <c r="W2969" i="1" s="1"/>
  <c r="P2969" i="1"/>
  <c r="J2969" i="1"/>
  <c r="R2969" i="1" s="1"/>
  <c r="S2968" i="1"/>
  <c r="P2968" i="1"/>
  <c r="J2968" i="1"/>
  <c r="R2968" i="1" s="1"/>
  <c r="S2967" i="1"/>
  <c r="P2967" i="1"/>
  <c r="J2967" i="1"/>
  <c r="L2967" i="1" s="1"/>
  <c r="S2966" i="1"/>
  <c r="W2966" i="1" s="1"/>
  <c r="P2966" i="1"/>
  <c r="J2966" i="1"/>
  <c r="R2966" i="1" s="1"/>
  <c r="S2965" i="1"/>
  <c r="W2965" i="1" s="1"/>
  <c r="P2965" i="1"/>
  <c r="J2965" i="1"/>
  <c r="R2965" i="1" s="1"/>
  <c r="S2964" i="1"/>
  <c r="W2964" i="1" s="1"/>
  <c r="P2964" i="1"/>
  <c r="J2964" i="1"/>
  <c r="S2963" i="1"/>
  <c r="P2963" i="1"/>
  <c r="J2963" i="1"/>
  <c r="L2963" i="1" s="1"/>
  <c r="S2962" i="1"/>
  <c r="P2962" i="1"/>
  <c r="J2962" i="1"/>
  <c r="L2962" i="1" s="1"/>
  <c r="S2961" i="1"/>
  <c r="P2961" i="1"/>
  <c r="J2961" i="1"/>
  <c r="R2961" i="1" s="1"/>
  <c r="S2960" i="1"/>
  <c r="P2960" i="1"/>
  <c r="J2960" i="1"/>
  <c r="S2959" i="1"/>
  <c r="W2959" i="1" s="1"/>
  <c r="P2959" i="1"/>
  <c r="J2959" i="1"/>
  <c r="S2958" i="1"/>
  <c r="W2958" i="1" s="1"/>
  <c r="P2958" i="1"/>
  <c r="J2958" i="1"/>
  <c r="S2957" i="1"/>
  <c r="P2957" i="1"/>
  <c r="J2957" i="1"/>
  <c r="W2956" i="1"/>
  <c r="K2955" i="1"/>
  <c r="W2955" i="1" s="1"/>
  <c r="W2954" i="1"/>
  <c r="T2954" i="1"/>
  <c r="R2954" i="1"/>
  <c r="W2953" i="1"/>
  <c r="J2953" i="1"/>
  <c r="L2953" i="1" s="1"/>
  <c r="W2952" i="1"/>
  <c r="W2951" i="1"/>
  <c r="R2951" i="1"/>
  <c r="W2950" i="1"/>
  <c r="T2950" i="1"/>
  <c r="P2950" i="1"/>
  <c r="L2950" i="1"/>
  <c r="W2949" i="1"/>
  <c r="P2949" i="1"/>
  <c r="J2949" i="1"/>
  <c r="L2949" i="1" s="1"/>
  <c r="W2948" i="1"/>
  <c r="P2948" i="1"/>
  <c r="J2948" i="1"/>
  <c r="W2947" i="1"/>
  <c r="P2947" i="1"/>
  <c r="J2947" i="1"/>
  <c r="W2946" i="1"/>
  <c r="W2945" i="1"/>
  <c r="W2944" i="1"/>
  <c r="T2944" i="1"/>
  <c r="R2944" i="1"/>
  <c r="P2944" i="1"/>
  <c r="L2944" i="1"/>
  <c r="W2943" i="1"/>
  <c r="T2943" i="1"/>
  <c r="R2943" i="1"/>
  <c r="P2943" i="1"/>
  <c r="L2943" i="1"/>
  <c r="W2942" i="1"/>
  <c r="T2942" i="1"/>
  <c r="R2942" i="1"/>
  <c r="P2942" i="1"/>
  <c r="L2942" i="1"/>
  <c r="W2940" i="1"/>
  <c r="W2939" i="1"/>
  <c r="T2939" i="1"/>
  <c r="R2939" i="1"/>
  <c r="L2939" i="1"/>
  <c r="W2938" i="1"/>
  <c r="T2938" i="1"/>
  <c r="R2938" i="1"/>
  <c r="P2938" i="1"/>
  <c r="L2938" i="1"/>
  <c r="W2937" i="1"/>
  <c r="T2937" i="1"/>
  <c r="R2937" i="1"/>
  <c r="P2937" i="1"/>
  <c r="L2937" i="1"/>
  <c r="W2936" i="1"/>
  <c r="T2936" i="1"/>
  <c r="R2936" i="1"/>
  <c r="P2936" i="1"/>
  <c r="L2936" i="1"/>
  <c r="W2935" i="1"/>
  <c r="T2935" i="1"/>
  <c r="R2935" i="1"/>
  <c r="P2935" i="1"/>
  <c r="L2935" i="1"/>
  <c r="W2933" i="1"/>
  <c r="W2932" i="1"/>
  <c r="R2932" i="1"/>
  <c r="L2932" i="1"/>
  <c r="W2931" i="1"/>
  <c r="P2931" i="1"/>
  <c r="J2931" i="1"/>
  <c r="R2931" i="1" s="1"/>
  <c r="W2930" i="1"/>
  <c r="W2929" i="1"/>
  <c r="W2928" i="1"/>
  <c r="P2928" i="1"/>
  <c r="J2928" i="1"/>
  <c r="W2927" i="1"/>
  <c r="P2927" i="1"/>
  <c r="J2927" i="1"/>
  <c r="R2927" i="1" s="1"/>
  <c r="W2926" i="1"/>
  <c r="P2926" i="1"/>
  <c r="J2926" i="1"/>
  <c r="R2926" i="1" s="1"/>
  <c r="W2925" i="1"/>
  <c r="W2924" i="1"/>
  <c r="W2923" i="1"/>
  <c r="T2923" i="1"/>
  <c r="L2923" i="1"/>
  <c r="S2922" i="1"/>
  <c r="R2922" i="1"/>
  <c r="P2922" i="1"/>
  <c r="L2922" i="1"/>
  <c r="W2921" i="1"/>
  <c r="S2920" i="1"/>
  <c r="T2920" i="1" s="1"/>
  <c r="R2920" i="1"/>
  <c r="P2920" i="1"/>
  <c r="L2920" i="1"/>
  <c r="W2919" i="1"/>
  <c r="W2918" i="1"/>
  <c r="T2918" i="1"/>
  <c r="R2918" i="1"/>
  <c r="P2918" i="1"/>
  <c r="L2918" i="1"/>
  <c r="W2917" i="1"/>
  <c r="T2917" i="1"/>
  <c r="R2917" i="1"/>
  <c r="P2917" i="1"/>
  <c r="L2917" i="1"/>
  <c r="W2916" i="1"/>
  <c r="W2915" i="1"/>
  <c r="W2914" i="1"/>
  <c r="T2914" i="1"/>
  <c r="L2914" i="1"/>
  <c r="W2913" i="1"/>
  <c r="P2913" i="1"/>
  <c r="J2913" i="1"/>
  <c r="W2912" i="1"/>
  <c r="W2911" i="1"/>
  <c r="W2910" i="1"/>
  <c r="T2910" i="1"/>
  <c r="R2910" i="1"/>
  <c r="P2910" i="1"/>
  <c r="L2910" i="1"/>
  <c r="W2909" i="1"/>
  <c r="W2908" i="1"/>
  <c r="W2907" i="1"/>
  <c r="T2907" i="1"/>
  <c r="R2907" i="1"/>
  <c r="L2907" i="1"/>
  <c r="S2906" i="1"/>
  <c r="T2906" i="1" s="1"/>
  <c r="R2906" i="1"/>
  <c r="P2906" i="1"/>
  <c r="L2906" i="1"/>
  <c r="W2905" i="1"/>
  <c r="W2904" i="1"/>
  <c r="W2903" i="1"/>
  <c r="T2903" i="1"/>
  <c r="R2903" i="1"/>
  <c r="L2903" i="1"/>
  <c r="W2902" i="1"/>
  <c r="T2902" i="1"/>
  <c r="R2902" i="1"/>
  <c r="L2902" i="1"/>
  <c r="W2901" i="1"/>
  <c r="T2901" i="1"/>
  <c r="R2901" i="1"/>
  <c r="P2901" i="1"/>
  <c r="L2901" i="1"/>
  <c r="W2900" i="1"/>
  <c r="W2899" i="1"/>
  <c r="W2898" i="1"/>
  <c r="T2898" i="1"/>
  <c r="R2898" i="1"/>
  <c r="L2898" i="1"/>
  <c r="W2897" i="1"/>
  <c r="T2897" i="1"/>
  <c r="R2897" i="1"/>
  <c r="L2897" i="1"/>
  <c r="W2896" i="1"/>
  <c r="T2896" i="1"/>
  <c r="R2896" i="1"/>
  <c r="P2896" i="1"/>
  <c r="L2896" i="1"/>
  <c r="W2895" i="1"/>
  <c r="W2894" i="1"/>
  <c r="W2893" i="1"/>
  <c r="T2893" i="1"/>
  <c r="L2893" i="1"/>
  <c r="W2892" i="1"/>
  <c r="T2892" i="1"/>
  <c r="R2892" i="1"/>
  <c r="P2892" i="1"/>
  <c r="L2892" i="1"/>
  <c r="W2891" i="1"/>
  <c r="T2891" i="1"/>
  <c r="R2891" i="1"/>
  <c r="P2891" i="1"/>
  <c r="L2891" i="1"/>
  <c r="W2890" i="1"/>
  <c r="T2890" i="1"/>
  <c r="R2890" i="1"/>
  <c r="P2890" i="1"/>
  <c r="L2890" i="1"/>
  <c r="W2889" i="1"/>
  <c r="T2889" i="1"/>
  <c r="R2889" i="1"/>
  <c r="P2889" i="1"/>
  <c r="L2889" i="1"/>
  <c r="W2888" i="1"/>
  <c r="W2887" i="1"/>
  <c r="W2886" i="1"/>
  <c r="T2886" i="1"/>
  <c r="L2886" i="1"/>
  <c r="W2885" i="1"/>
  <c r="P2885" i="1"/>
  <c r="J2885" i="1"/>
  <c r="R2885" i="1" s="1"/>
  <c r="W2884" i="1"/>
  <c r="W2883" i="1"/>
  <c r="W2882" i="1"/>
  <c r="T2882" i="1"/>
  <c r="R2882" i="1"/>
  <c r="L2882" i="1"/>
  <c r="W2881" i="1"/>
  <c r="P2881" i="1"/>
  <c r="J2881" i="1"/>
  <c r="R2881" i="1" s="1"/>
  <c r="W2880" i="1"/>
  <c r="W2879" i="1"/>
  <c r="W2878" i="1"/>
  <c r="T2878" i="1"/>
  <c r="R2878" i="1"/>
  <c r="L2878" i="1"/>
  <c r="W2877" i="1"/>
  <c r="P2877" i="1"/>
  <c r="J2877" i="1"/>
  <c r="W2876" i="1"/>
  <c r="W2875" i="1"/>
  <c r="W2874" i="1"/>
  <c r="T2874" i="1"/>
  <c r="R2874" i="1"/>
  <c r="L2874" i="1"/>
  <c r="W2873" i="1"/>
  <c r="P2873" i="1"/>
  <c r="J2873" i="1"/>
  <c r="W2872" i="1"/>
  <c r="W2871" i="1"/>
  <c r="W2870" i="1"/>
  <c r="T2870" i="1"/>
  <c r="R2870" i="1"/>
  <c r="L2870" i="1"/>
  <c r="W2869" i="1"/>
  <c r="T2869" i="1"/>
  <c r="R2869" i="1"/>
  <c r="P2869" i="1"/>
  <c r="L2869" i="1"/>
  <c r="W2868" i="1"/>
  <c r="T2868" i="1"/>
  <c r="R2868" i="1"/>
  <c r="P2868" i="1"/>
  <c r="L2868" i="1"/>
  <c r="W2867" i="1"/>
  <c r="T2867" i="1"/>
  <c r="R2867" i="1"/>
  <c r="P2867" i="1"/>
  <c r="L2867" i="1"/>
  <c r="W2866" i="1"/>
  <c r="T2866" i="1"/>
  <c r="R2866" i="1"/>
  <c r="P2866" i="1"/>
  <c r="L2866" i="1"/>
  <c r="W2865" i="1"/>
  <c r="T2865" i="1"/>
  <c r="R2865" i="1"/>
  <c r="P2865" i="1"/>
  <c r="L2865" i="1"/>
  <c r="W2864" i="1"/>
  <c r="T2864" i="1"/>
  <c r="R2864" i="1"/>
  <c r="P2864" i="1"/>
  <c r="L2864" i="1"/>
  <c r="W2863" i="1"/>
  <c r="W2861" i="1"/>
  <c r="T2861" i="1"/>
  <c r="L2861" i="1"/>
  <c r="W2860" i="1"/>
  <c r="P2860" i="1"/>
  <c r="J2860" i="1"/>
  <c r="T2860" i="1" s="1"/>
  <c r="W2858" i="1"/>
  <c r="W2857" i="1"/>
  <c r="T2857" i="1"/>
  <c r="R2857" i="1"/>
  <c r="L2857" i="1"/>
  <c r="W2856" i="1"/>
  <c r="T2856" i="1"/>
  <c r="R2856" i="1"/>
  <c r="W2855" i="1"/>
  <c r="T2855" i="1"/>
  <c r="R2855" i="1"/>
  <c r="W2854" i="1"/>
  <c r="T2854" i="1"/>
  <c r="R2854" i="1"/>
  <c r="L2854" i="1"/>
  <c r="W2853" i="1"/>
  <c r="W2851" i="1"/>
  <c r="T2851" i="1"/>
  <c r="R2851" i="1"/>
  <c r="L2851" i="1"/>
  <c r="W2850" i="1"/>
  <c r="P2850" i="1"/>
  <c r="J2850" i="1"/>
  <c r="W2848" i="1"/>
  <c r="W2847" i="1"/>
  <c r="T2847" i="1"/>
  <c r="R2847" i="1"/>
  <c r="S2846" i="1"/>
  <c r="P2846" i="1"/>
  <c r="J2846" i="1"/>
  <c r="L2846" i="1" s="1"/>
  <c r="S2845" i="1"/>
  <c r="W2845" i="1" s="1"/>
  <c r="P2845" i="1"/>
  <c r="J2845" i="1"/>
  <c r="R2845" i="1" s="1"/>
  <c r="S2844" i="1"/>
  <c r="P2844" i="1"/>
  <c r="J2844" i="1"/>
  <c r="L2844" i="1" s="1"/>
  <c r="W2843" i="1"/>
  <c r="K2842" i="1"/>
  <c r="W2840" i="1"/>
  <c r="T2840" i="1"/>
  <c r="W2839" i="1"/>
  <c r="J2839" i="1"/>
  <c r="T2839" i="1" s="1"/>
  <c r="W2838" i="1"/>
  <c r="T2836" i="1"/>
  <c r="R2836" i="1"/>
  <c r="L2836" i="1"/>
  <c r="W2835" i="1"/>
  <c r="P2835" i="1"/>
  <c r="J2835" i="1"/>
  <c r="R2835" i="1" s="1"/>
  <c r="W2833" i="1"/>
  <c r="S2832" i="1"/>
  <c r="T2832" i="1" s="1"/>
  <c r="R2832" i="1"/>
  <c r="P2832" i="1"/>
  <c r="L2832" i="1"/>
  <c r="W2831" i="1"/>
  <c r="W2830" i="1"/>
  <c r="W2829" i="1"/>
  <c r="T2829" i="1"/>
  <c r="R2829" i="1"/>
  <c r="L2829" i="1"/>
  <c r="W2828" i="1"/>
  <c r="T2828" i="1"/>
  <c r="R2828" i="1"/>
  <c r="P2828" i="1"/>
  <c r="L2828" i="1"/>
  <c r="W2827" i="1"/>
  <c r="K2826" i="1"/>
  <c r="W2826" i="1" s="1"/>
  <c r="W2825" i="1"/>
  <c r="T2825" i="1"/>
  <c r="W2824" i="1"/>
  <c r="J2824" i="1"/>
  <c r="L2824" i="1" s="1"/>
  <c r="W2823" i="1"/>
  <c r="J2823" i="1"/>
  <c r="L2823" i="1" s="1"/>
  <c r="W2822" i="1"/>
  <c r="W2821" i="1"/>
  <c r="W2820" i="1"/>
  <c r="T2820" i="1"/>
  <c r="L2820" i="1"/>
  <c r="W2819" i="1"/>
  <c r="P2819" i="1"/>
  <c r="J2819" i="1"/>
  <c r="L2819" i="1" s="1"/>
  <c r="W2818" i="1"/>
  <c r="P2818" i="1"/>
  <c r="J2818" i="1"/>
  <c r="L2818" i="1" s="1"/>
  <c r="W2817" i="1"/>
  <c r="W2816" i="1"/>
  <c r="W2815" i="1"/>
  <c r="T2815" i="1"/>
  <c r="R2815" i="1"/>
  <c r="L2815" i="1"/>
  <c r="W2814" i="1"/>
  <c r="P2814" i="1"/>
  <c r="J2814" i="1"/>
  <c r="W2813" i="1"/>
  <c r="P2813" i="1"/>
  <c r="J2813" i="1"/>
  <c r="W2812" i="1"/>
  <c r="T2810" i="1"/>
  <c r="R2810" i="1"/>
  <c r="L2810" i="1"/>
  <c r="W2809" i="1"/>
  <c r="P2809" i="1"/>
  <c r="J2809" i="1"/>
  <c r="R2809" i="1" s="1"/>
  <c r="W2808" i="1"/>
  <c r="P2808" i="1"/>
  <c r="J2808" i="1"/>
  <c r="L2808" i="1" s="1"/>
  <c r="W2807" i="1"/>
  <c r="W2806" i="1"/>
  <c r="W2805" i="1"/>
  <c r="T2805" i="1"/>
  <c r="R2805" i="1"/>
  <c r="L2805" i="1"/>
  <c r="W2804" i="1"/>
  <c r="P2804" i="1"/>
  <c r="J2804" i="1"/>
  <c r="W2802" i="1"/>
  <c r="P2802" i="1"/>
  <c r="J2802" i="1"/>
  <c r="R2802" i="1" s="1"/>
  <c r="W2801" i="1"/>
  <c r="W2800" i="1"/>
  <c r="P2800" i="1"/>
  <c r="J2800" i="1"/>
  <c r="L2800" i="1" s="1"/>
  <c r="W2799" i="1"/>
  <c r="W2798" i="1"/>
  <c r="W2797" i="1"/>
  <c r="T2797" i="1"/>
  <c r="R2797" i="1"/>
  <c r="L2797" i="1"/>
  <c r="W2796" i="1"/>
  <c r="T2796" i="1"/>
  <c r="R2796" i="1"/>
  <c r="L2796" i="1"/>
  <c r="W2795" i="1"/>
  <c r="T2795" i="1"/>
  <c r="R2795" i="1"/>
  <c r="P2795" i="1"/>
  <c r="L2795" i="1"/>
  <c r="W2794" i="1"/>
  <c r="T2794" i="1"/>
  <c r="R2794" i="1"/>
  <c r="P2794" i="1"/>
  <c r="L2794" i="1"/>
  <c r="W2793" i="1"/>
  <c r="T2793" i="1"/>
  <c r="R2793" i="1"/>
  <c r="P2793" i="1"/>
  <c r="L2793" i="1"/>
  <c r="W2792" i="1"/>
  <c r="W2791" i="1"/>
  <c r="W2790" i="1"/>
  <c r="R2790" i="1"/>
  <c r="L2790" i="1"/>
  <c r="W2789" i="1"/>
  <c r="P2789" i="1"/>
  <c r="J2789" i="1"/>
  <c r="R2789" i="1" s="1"/>
  <c r="W2788" i="1"/>
  <c r="W2787" i="1"/>
  <c r="W2786" i="1"/>
  <c r="T2786" i="1"/>
  <c r="R2786" i="1"/>
  <c r="S2785" i="1"/>
  <c r="W2785" i="1" s="1"/>
  <c r="P2785" i="1"/>
  <c r="J2785" i="1"/>
  <c r="S2784" i="1"/>
  <c r="W2784" i="1" s="1"/>
  <c r="P2784" i="1"/>
  <c r="J2784" i="1"/>
  <c r="L2784" i="1" s="1"/>
  <c r="W2783" i="1"/>
  <c r="S2782" i="1"/>
  <c r="W2782" i="1" s="1"/>
  <c r="P2782" i="1"/>
  <c r="J2782" i="1"/>
  <c r="R2782" i="1" s="1"/>
  <c r="S2781" i="1"/>
  <c r="P2781" i="1"/>
  <c r="J2781" i="1"/>
  <c r="S2780" i="1"/>
  <c r="W2780" i="1" s="1"/>
  <c r="P2780" i="1"/>
  <c r="J2780" i="1"/>
  <c r="W2779" i="1"/>
  <c r="S2778" i="1"/>
  <c r="W2778" i="1" s="1"/>
  <c r="P2778" i="1"/>
  <c r="J2778" i="1"/>
  <c r="R2778" i="1" s="1"/>
  <c r="W2777" i="1"/>
  <c r="W2776" i="1"/>
  <c r="W2775" i="1"/>
  <c r="T2775" i="1"/>
  <c r="P2775" i="1"/>
  <c r="L2775" i="1"/>
  <c r="W2774" i="1"/>
  <c r="P2774" i="1"/>
  <c r="J2774" i="1"/>
  <c r="W2773" i="1"/>
  <c r="P2773" i="1"/>
  <c r="J2773" i="1"/>
  <c r="R2773" i="1" s="1"/>
  <c r="W2772" i="1"/>
  <c r="P2772" i="1"/>
  <c r="J2772" i="1"/>
  <c r="R2772" i="1" s="1"/>
  <c r="W2771" i="1"/>
  <c r="P2771" i="1"/>
  <c r="J2771" i="1"/>
  <c r="W2770" i="1"/>
  <c r="P2770" i="1"/>
  <c r="J2770" i="1"/>
  <c r="L2770" i="1" s="1"/>
  <c r="W2769" i="1"/>
  <c r="W2768" i="1"/>
  <c r="W2767" i="1"/>
  <c r="T2767" i="1"/>
  <c r="R2767" i="1"/>
  <c r="L2767" i="1"/>
  <c r="W2766" i="1"/>
  <c r="T2766" i="1"/>
  <c r="R2766" i="1"/>
  <c r="P2766" i="1"/>
  <c r="L2766" i="1"/>
  <c r="W2765" i="1"/>
  <c r="T2765" i="1"/>
  <c r="R2765" i="1"/>
  <c r="P2765" i="1"/>
  <c r="L2765" i="1"/>
  <c r="W2764" i="1"/>
  <c r="W2763" i="1"/>
  <c r="W2762" i="1"/>
  <c r="T2762" i="1"/>
  <c r="R2762" i="1"/>
  <c r="L2762" i="1"/>
  <c r="W2761" i="1"/>
  <c r="T2761" i="1"/>
  <c r="R2761" i="1"/>
  <c r="P2761" i="1"/>
  <c r="L2761" i="1"/>
  <c r="W2760" i="1"/>
  <c r="W2759" i="1"/>
  <c r="W2758" i="1"/>
  <c r="T2758" i="1"/>
  <c r="L2758" i="1"/>
  <c r="W2757" i="1"/>
  <c r="P2757" i="1"/>
  <c r="J2757" i="1"/>
  <c r="L2757" i="1" s="1"/>
  <c r="W2756" i="1"/>
  <c r="P2756" i="1"/>
  <c r="J2756" i="1"/>
  <c r="L2756" i="1" s="1"/>
  <c r="W2755" i="1"/>
  <c r="P2755" i="1"/>
  <c r="J2755" i="1"/>
  <c r="W2754" i="1"/>
  <c r="P2754" i="1"/>
  <c r="J2754" i="1"/>
  <c r="L2754" i="1" s="1"/>
  <c r="W2753" i="1"/>
  <c r="P2753" i="1"/>
  <c r="J2753" i="1"/>
  <c r="T2753" i="1" s="1"/>
  <c r="W2752" i="1"/>
  <c r="S2750" i="1"/>
  <c r="T2750" i="1" s="1"/>
  <c r="R2750" i="1"/>
  <c r="P2750" i="1"/>
  <c r="L2750" i="1"/>
  <c r="S2749" i="1"/>
  <c r="T2749" i="1" s="1"/>
  <c r="R2749" i="1"/>
  <c r="P2749" i="1"/>
  <c r="L2749" i="1"/>
  <c r="W2748" i="1"/>
  <c r="K2747" i="1"/>
  <c r="W2746" i="1"/>
  <c r="T2746" i="1"/>
  <c r="W2745" i="1"/>
  <c r="J2745" i="1"/>
  <c r="W2744" i="1"/>
  <c r="T2742" i="1"/>
  <c r="R2742" i="1"/>
  <c r="L2742" i="1"/>
  <c r="W2741" i="1"/>
  <c r="P2741" i="1"/>
  <c r="J2741" i="1"/>
  <c r="W2740" i="1"/>
  <c r="T2738" i="1"/>
  <c r="R2738" i="1"/>
  <c r="L2738" i="1"/>
  <c r="W2737" i="1"/>
  <c r="T2737" i="1"/>
  <c r="R2737" i="1"/>
  <c r="L2737" i="1"/>
  <c r="W2736" i="1"/>
  <c r="P2736" i="1"/>
  <c r="J2736" i="1"/>
  <c r="W2734" i="1"/>
  <c r="W2733" i="1"/>
  <c r="T2733" i="1"/>
  <c r="W2732" i="1"/>
  <c r="P2732" i="1"/>
  <c r="J2732" i="1"/>
  <c r="W2731" i="1"/>
  <c r="P2731" i="1"/>
  <c r="J2731" i="1"/>
  <c r="L2731" i="1" s="1"/>
  <c r="W2730" i="1"/>
  <c r="P2730" i="1"/>
  <c r="J2730" i="1"/>
  <c r="K2728" i="1"/>
  <c r="Q2728" i="1" s="1"/>
  <c r="W2727" i="1"/>
  <c r="T2727" i="1"/>
  <c r="W2726" i="1"/>
  <c r="J2726" i="1"/>
  <c r="T2726" i="1" s="1"/>
  <c r="W2725" i="1"/>
  <c r="J2725" i="1"/>
  <c r="T2725" i="1" s="1"/>
  <c r="W2724" i="1"/>
  <c r="W2723" i="1"/>
  <c r="W2722" i="1"/>
  <c r="T2722" i="1"/>
  <c r="R2722" i="1"/>
  <c r="L2722" i="1"/>
  <c r="W2721" i="1"/>
  <c r="T2721" i="1"/>
  <c r="R2721" i="1"/>
  <c r="P2721" i="1"/>
  <c r="L2721" i="1"/>
  <c r="W2720" i="1"/>
  <c r="W2719" i="1"/>
  <c r="T2718" i="1"/>
  <c r="S2718" i="1"/>
  <c r="W2718" i="1" s="1"/>
  <c r="W2717" i="1"/>
  <c r="P2717" i="1"/>
  <c r="J2717" i="1"/>
  <c r="R2717" i="1" s="1"/>
  <c r="W2716" i="1"/>
  <c r="P2716" i="1"/>
  <c r="J2716" i="1"/>
  <c r="T2716" i="1" s="1"/>
  <c r="W2714" i="1"/>
  <c r="P2714" i="1"/>
  <c r="J2714" i="1"/>
  <c r="W2713" i="1"/>
  <c r="P2713" i="1"/>
  <c r="J2713" i="1"/>
  <c r="T2713" i="1" s="1"/>
  <c r="W2711" i="1"/>
  <c r="W2710" i="1"/>
  <c r="T2710" i="1"/>
  <c r="R2710" i="1"/>
  <c r="L2710" i="1"/>
  <c r="W2709" i="1"/>
  <c r="T2709" i="1"/>
  <c r="R2709" i="1"/>
  <c r="P2709" i="1"/>
  <c r="L2709" i="1"/>
  <c r="W2708" i="1"/>
  <c r="T2708" i="1"/>
  <c r="R2708" i="1"/>
  <c r="P2708" i="1"/>
  <c r="L2708" i="1"/>
  <c r="W2707" i="1"/>
  <c r="T2707" i="1"/>
  <c r="R2707" i="1"/>
  <c r="P2707" i="1"/>
  <c r="L2707" i="1"/>
  <c r="W2706" i="1"/>
  <c r="T2706" i="1"/>
  <c r="R2706" i="1"/>
  <c r="P2706" i="1"/>
  <c r="L2706" i="1"/>
  <c r="W2703" i="1"/>
  <c r="T2703" i="1"/>
  <c r="R2703" i="1"/>
  <c r="P2703" i="1"/>
  <c r="S2702" i="1"/>
  <c r="T2702" i="1" s="1"/>
  <c r="R2702" i="1"/>
  <c r="P2702" i="1"/>
  <c r="L2702" i="1"/>
  <c r="S2701" i="1"/>
  <c r="T2701" i="1" s="1"/>
  <c r="R2701" i="1"/>
  <c r="P2701" i="1"/>
  <c r="L2701" i="1"/>
  <c r="W2699" i="1"/>
  <c r="S2698" i="1"/>
  <c r="P2698" i="1"/>
  <c r="J2698" i="1"/>
  <c r="W2697" i="1"/>
  <c r="W2695" i="1"/>
  <c r="P2695" i="1"/>
  <c r="J2695" i="1"/>
  <c r="T2695" i="1" s="1"/>
  <c r="W2694" i="1"/>
  <c r="P2694" i="1"/>
  <c r="J2694" i="1"/>
  <c r="R2694" i="1" s="1"/>
  <c r="T2692" i="1"/>
  <c r="S2692" i="1"/>
  <c r="K2692" i="1"/>
  <c r="W2691" i="1"/>
  <c r="P2691" i="1"/>
  <c r="W2690" i="1"/>
  <c r="J2690" i="1"/>
  <c r="W2689" i="1"/>
  <c r="W2688" i="1"/>
  <c r="W2687" i="1"/>
  <c r="T2687" i="1"/>
  <c r="R2687" i="1"/>
  <c r="L2687" i="1"/>
  <c r="W2686" i="1"/>
  <c r="T2686" i="1"/>
  <c r="R2686" i="1"/>
  <c r="P2686" i="1"/>
  <c r="L2686" i="1"/>
  <c r="W2685" i="1"/>
  <c r="T2685" i="1"/>
  <c r="R2685" i="1"/>
  <c r="P2685" i="1"/>
  <c r="L2685" i="1"/>
  <c r="W2684" i="1"/>
  <c r="T2684" i="1"/>
  <c r="R2684" i="1"/>
  <c r="P2684" i="1"/>
  <c r="L2684" i="1"/>
  <c r="W2683" i="1"/>
  <c r="W2682" i="1"/>
  <c r="W2681" i="1"/>
  <c r="T2681" i="1"/>
  <c r="R2681" i="1"/>
  <c r="L2681" i="1"/>
  <c r="W2680" i="1"/>
  <c r="P2680" i="1"/>
  <c r="J2680" i="1"/>
  <c r="R2680" i="1" s="1"/>
  <c r="W2679" i="1"/>
  <c r="W2678" i="1"/>
  <c r="W2677" i="1"/>
  <c r="T2677" i="1"/>
  <c r="L2677" i="1"/>
  <c r="W2676" i="1"/>
  <c r="P2676" i="1"/>
  <c r="J2676" i="1"/>
  <c r="W2675" i="1"/>
  <c r="W2674" i="1"/>
  <c r="W2673" i="1"/>
  <c r="T2673" i="1"/>
  <c r="L2673" i="1"/>
  <c r="W2672" i="1"/>
  <c r="P2672" i="1"/>
  <c r="J2672" i="1"/>
  <c r="T2672" i="1" s="1"/>
  <c r="W2671" i="1"/>
  <c r="W2670" i="1"/>
  <c r="W2669" i="1"/>
  <c r="T2669" i="1"/>
  <c r="S2668" i="1"/>
  <c r="W2668" i="1" s="1"/>
  <c r="P2668" i="1"/>
  <c r="J2668" i="1"/>
  <c r="S2667" i="1"/>
  <c r="W2667" i="1" s="1"/>
  <c r="P2667" i="1"/>
  <c r="J2667" i="1"/>
  <c r="S2666" i="1"/>
  <c r="P2666" i="1"/>
  <c r="J2666" i="1"/>
  <c r="L2666" i="1" s="1"/>
  <c r="S2665" i="1"/>
  <c r="W2665" i="1" s="1"/>
  <c r="P2665" i="1"/>
  <c r="J2665" i="1"/>
  <c r="L2665" i="1" s="1"/>
  <c r="S2664" i="1"/>
  <c r="W2664" i="1" s="1"/>
  <c r="P2664" i="1"/>
  <c r="J2664" i="1"/>
  <c r="S2663" i="1"/>
  <c r="P2663" i="1"/>
  <c r="J2663" i="1"/>
  <c r="L2663" i="1" s="1"/>
  <c r="S2662" i="1"/>
  <c r="W2662" i="1" s="1"/>
  <c r="P2662" i="1"/>
  <c r="J2662" i="1"/>
  <c r="R2662" i="1" s="1"/>
  <c r="W2661" i="1"/>
  <c r="S2660" i="1"/>
  <c r="P2660" i="1"/>
  <c r="J2660" i="1"/>
  <c r="L2660" i="1" s="1"/>
  <c r="S2659" i="1"/>
  <c r="P2659" i="1"/>
  <c r="J2659" i="1"/>
  <c r="S2658" i="1"/>
  <c r="W2658" i="1" s="1"/>
  <c r="P2658" i="1"/>
  <c r="J2658" i="1"/>
  <c r="R2658" i="1" s="1"/>
  <c r="S2657" i="1"/>
  <c r="P2657" i="1"/>
  <c r="J2657" i="1"/>
  <c r="S2656" i="1"/>
  <c r="W2656" i="1" s="1"/>
  <c r="P2656" i="1"/>
  <c r="J2656" i="1"/>
  <c r="S2655" i="1"/>
  <c r="P2655" i="1"/>
  <c r="J2655" i="1"/>
  <c r="L2655" i="1" s="1"/>
  <c r="S2654" i="1"/>
  <c r="W2654" i="1" s="1"/>
  <c r="P2654" i="1"/>
  <c r="J2654" i="1"/>
  <c r="R2654" i="1" s="1"/>
  <c r="S2653" i="1"/>
  <c r="W2653" i="1" s="1"/>
  <c r="P2653" i="1"/>
  <c r="J2653" i="1"/>
  <c r="W2651" i="1"/>
  <c r="W2650" i="1"/>
  <c r="T2650" i="1"/>
  <c r="R2650" i="1"/>
  <c r="L2650" i="1"/>
  <c r="W2649" i="1"/>
  <c r="P2649" i="1"/>
  <c r="J2649" i="1"/>
  <c r="T2649" i="1" s="1"/>
  <c r="W2648" i="1"/>
  <c r="P2648" i="1"/>
  <c r="J2648" i="1"/>
  <c r="T2648" i="1" s="1"/>
  <c r="W2647" i="1"/>
  <c r="W2646" i="1"/>
  <c r="W2645" i="1"/>
  <c r="T2645" i="1"/>
  <c r="L2645" i="1"/>
  <c r="W2644" i="1"/>
  <c r="P2644" i="1"/>
  <c r="J2644" i="1"/>
  <c r="T2644" i="1" s="1"/>
  <c r="W2643" i="1"/>
  <c r="W2642" i="1"/>
  <c r="W2641" i="1"/>
  <c r="T2641" i="1"/>
  <c r="R2641" i="1"/>
  <c r="L2641" i="1"/>
  <c r="W2640" i="1"/>
  <c r="T2640" i="1"/>
  <c r="R2640" i="1"/>
  <c r="P2640" i="1"/>
  <c r="L2640" i="1"/>
  <c r="W2639" i="1"/>
  <c r="W2638" i="1"/>
  <c r="W2637" i="1"/>
  <c r="T2637" i="1"/>
  <c r="L2637" i="1"/>
  <c r="W2636" i="1"/>
  <c r="P2636" i="1"/>
  <c r="J2636" i="1"/>
  <c r="R2636" i="1" s="1"/>
  <c r="W2635" i="1"/>
  <c r="P2635" i="1"/>
  <c r="J2635" i="1"/>
  <c r="W2634" i="1"/>
  <c r="P2634" i="1"/>
  <c r="J2634" i="1"/>
  <c r="W2633" i="1"/>
  <c r="P2633" i="1"/>
  <c r="J2633" i="1"/>
  <c r="T2633" i="1" s="1"/>
  <c r="W2632" i="1"/>
  <c r="P2632" i="1"/>
  <c r="J2632" i="1"/>
  <c r="T2632" i="1" s="1"/>
  <c r="W2631" i="1"/>
  <c r="P2631" i="1"/>
  <c r="J2631" i="1"/>
  <c r="W2630" i="1"/>
  <c r="P2630" i="1"/>
  <c r="J2630" i="1"/>
  <c r="R2630" i="1" s="1"/>
  <c r="W2629" i="1"/>
  <c r="P2629" i="1"/>
  <c r="J2629" i="1"/>
  <c r="T2629" i="1" s="1"/>
  <c r="W2628" i="1"/>
  <c r="P2628" i="1"/>
  <c r="J2628" i="1"/>
  <c r="W2627" i="1"/>
  <c r="P2627" i="1"/>
  <c r="J2627" i="1"/>
  <c r="W2626" i="1"/>
  <c r="P2626" i="1"/>
  <c r="J2626" i="1"/>
  <c r="L2626" i="1" s="1"/>
  <c r="W2625" i="1"/>
  <c r="K2624" i="1"/>
  <c r="W2624" i="1" s="1"/>
  <c r="W2623" i="1"/>
  <c r="T2623" i="1"/>
  <c r="W2622" i="1"/>
  <c r="J2622" i="1"/>
  <c r="L2622" i="1" s="1"/>
  <c r="W2621" i="1"/>
  <c r="W2620" i="1"/>
  <c r="W2619" i="1"/>
  <c r="T2619" i="1"/>
  <c r="L2619" i="1"/>
  <c r="W2618" i="1"/>
  <c r="P2618" i="1"/>
  <c r="J2618" i="1"/>
  <c r="T2618" i="1" s="1"/>
  <c r="W2617" i="1"/>
  <c r="W2616" i="1"/>
  <c r="W2615" i="1"/>
  <c r="T2615" i="1"/>
  <c r="L2615" i="1"/>
  <c r="S2614" i="1"/>
  <c r="T2614" i="1" s="1"/>
  <c r="R2614" i="1"/>
  <c r="P2614" i="1"/>
  <c r="L2614" i="1"/>
  <c r="S2613" i="1"/>
  <c r="R2613" i="1"/>
  <c r="P2613" i="1"/>
  <c r="L2613" i="1"/>
  <c r="S2612" i="1"/>
  <c r="R2612" i="1"/>
  <c r="P2612" i="1"/>
  <c r="L2612" i="1"/>
  <c r="S2611" i="1"/>
  <c r="W2611" i="1" s="1"/>
  <c r="R2611" i="1"/>
  <c r="P2611" i="1"/>
  <c r="L2611" i="1"/>
  <c r="W2610" i="1"/>
  <c r="W2609" i="1"/>
  <c r="P2609" i="1"/>
  <c r="J2609" i="1"/>
  <c r="W2608" i="1"/>
  <c r="P2608" i="1"/>
  <c r="J2608" i="1"/>
  <c r="W2607" i="1"/>
  <c r="W2606" i="1"/>
  <c r="W2605" i="1"/>
  <c r="T2605" i="1"/>
  <c r="L2605" i="1"/>
  <c r="W2604" i="1"/>
  <c r="P2604" i="1"/>
  <c r="J2604" i="1"/>
  <c r="W2603" i="1"/>
  <c r="W2602" i="1"/>
  <c r="W2601" i="1"/>
  <c r="T2601" i="1"/>
  <c r="W2600" i="1"/>
  <c r="P2600" i="1"/>
  <c r="J2600" i="1"/>
  <c r="W2599" i="1"/>
  <c r="P2599" i="1"/>
  <c r="J2599" i="1"/>
  <c r="T2599" i="1" s="1"/>
  <c r="W2598" i="1"/>
  <c r="P2598" i="1"/>
  <c r="J2598" i="1"/>
  <c r="W2597" i="1"/>
  <c r="W2596" i="1"/>
  <c r="W2595" i="1"/>
  <c r="T2595" i="1"/>
  <c r="R2595" i="1"/>
  <c r="L2595" i="1"/>
  <c r="W2594" i="1"/>
  <c r="P2594" i="1"/>
  <c r="J2594" i="1"/>
  <c r="W2593" i="1"/>
  <c r="P2593" i="1"/>
  <c r="J2593" i="1"/>
  <c r="L2593" i="1" s="1"/>
  <c r="W2592" i="1"/>
  <c r="W2591" i="1"/>
  <c r="W2590" i="1"/>
  <c r="P2590" i="1"/>
  <c r="J2590" i="1"/>
  <c r="W2589" i="1"/>
  <c r="P2589" i="1"/>
  <c r="J2589" i="1"/>
  <c r="L2589" i="1" s="1"/>
  <c r="W2588" i="1"/>
  <c r="P2588" i="1"/>
  <c r="J2588" i="1"/>
  <c r="W2587" i="1"/>
  <c r="K2586" i="1"/>
  <c r="W2586" i="1" s="1"/>
  <c r="W2585" i="1"/>
  <c r="T2585" i="1"/>
  <c r="R2585" i="1"/>
  <c r="W2584" i="1"/>
  <c r="J2584" i="1"/>
  <c r="W2583" i="1"/>
  <c r="W2582" i="1"/>
  <c r="W2581" i="1"/>
  <c r="T2581" i="1"/>
  <c r="W2580" i="1"/>
  <c r="P2580" i="1"/>
  <c r="J2580" i="1"/>
  <c r="T2580" i="1" s="1"/>
  <c r="W2579" i="1"/>
  <c r="W2578" i="1"/>
  <c r="W2577" i="1"/>
  <c r="T2577" i="1"/>
  <c r="W2576" i="1"/>
  <c r="P2576" i="1"/>
  <c r="J2576" i="1"/>
  <c r="W2575" i="1"/>
  <c r="W2574" i="1"/>
  <c r="P2574" i="1"/>
  <c r="J2574" i="1"/>
  <c r="W2573" i="1"/>
  <c r="R2572" i="1"/>
  <c r="Q2572" i="1"/>
  <c r="K2572" i="1"/>
  <c r="W2572" i="1" s="1"/>
  <c r="W2571" i="1"/>
  <c r="T2571" i="1"/>
  <c r="W2570" i="1"/>
  <c r="T2570" i="1"/>
  <c r="W2569" i="1"/>
  <c r="J2569" i="1"/>
  <c r="W2568" i="1"/>
  <c r="R2567" i="1"/>
  <c r="Q2567" i="1"/>
  <c r="K2567" i="1"/>
  <c r="W2567" i="1" s="1"/>
  <c r="W2566" i="1"/>
  <c r="P2566" i="1"/>
  <c r="W2565" i="1"/>
  <c r="J2565" i="1"/>
  <c r="R2565" i="1" s="1"/>
  <c r="W2564" i="1"/>
  <c r="J2564" i="1"/>
  <c r="W2563" i="1"/>
  <c r="J2563" i="1"/>
  <c r="W2562" i="1"/>
  <c r="J2562" i="1"/>
  <c r="L2562" i="1" s="1"/>
  <c r="W2561" i="1"/>
  <c r="J2561" i="1"/>
  <c r="T2561" i="1" s="1"/>
  <c r="W2560" i="1"/>
  <c r="W2559" i="1"/>
  <c r="W2558" i="1"/>
  <c r="T2558" i="1"/>
  <c r="R2558" i="1"/>
  <c r="L2558" i="1"/>
  <c r="W2557" i="1"/>
  <c r="P2557" i="1"/>
  <c r="J2557" i="1"/>
  <c r="T2557" i="1" s="1"/>
  <c r="W2556" i="1"/>
  <c r="W2555" i="1"/>
  <c r="W2554" i="1"/>
  <c r="T2554" i="1"/>
  <c r="R2554" i="1"/>
  <c r="L2554" i="1"/>
  <c r="W2553" i="1"/>
  <c r="T2553" i="1"/>
  <c r="R2553" i="1"/>
  <c r="P2553" i="1"/>
  <c r="L2553" i="1"/>
  <c r="W2552" i="1"/>
  <c r="W2551" i="1"/>
  <c r="W2550" i="1"/>
  <c r="T2550" i="1"/>
  <c r="R2550" i="1"/>
  <c r="L2550" i="1"/>
  <c r="W2549" i="1"/>
  <c r="P2549" i="1"/>
  <c r="J2549" i="1"/>
  <c r="T2549" i="1" s="1"/>
  <c r="W2548" i="1"/>
  <c r="P2548" i="1"/>
  <c r="J2548" i="1"/>
  <c r="T2548" i="1" s="1"/>
  <c r="W2547" i="1"/>
  <c r="P2547" i="1"/>
  <c r="J2547" i="1"/>
  <c r="W2546" i="1"/>
  <c r="W2545" i="1"/>
  <c r="W2544" i="1"/>
  <c r="P2544" i="1"/>
  <c r="J2544" i="1"/>
  <c r="W2543" i="1"/>
  <c r="P2543" i="1"/>
  <c r="J2543" i="1"/>
  <c r="L2543" i="1" s="1"/>
  <c r="S2542" i="1"/>
  <c r="W2542" i="1" s="1"/>
  <c r="P2542" i="1"/>
  <c r="J2542" i="1"/>
  <c r="S2541" i="1"/>
  <c r="W2541" i="1" s="1"/>
  <c r="P2541" i="1"/>
  <c r="J2541" i="1"/>
  <c r="L2541" i="1" s="1"/>
  <c r="W2540" i="1"/>
  <c r="W2539" i="1"/>
  <c r="S2538" i="1"/>
  <c r="W2538" i="1" s="1"/>
  <c r="P2538" i="1"/>
  <c r="J2538" i="1"/>
  <c r="L2538" i="1" s="1"/>
  <c r="S2537" i="1"/>
  <c r="W2537" i="1" s="1"/>
  <c r="P2537" i="1"/>
  <c r="J2537" i="1"/>
  <c r="L2537" i="1" s="1"/>
  <c r="S2536" i="1"/>
  <c r="W2536" i="1" s="1"/>
  <c r="P2536" i="1"/>
  <c r="J2536" i="1"/>
  <c r="S2535" i="1"/>
  <c r="P2535" i="1"/>
  <c r="J2535" i="1"/>
  <c r="R2535" i="1" s="1"/>
  <c r="W2534" i="1"/>
  <c r="W2533" i="1"/>
  <c r="L2533" i="1"/>
  <c r="W2532" i="1"/>
  <c r="W2531" i="1"/>
  <c r="T2531" i="1"/>
  <c r="R2531" i="1"/>
  <c r="L2531" i="1"/>
  <c r="W2530" i="1"/>
  <c r="T2530" i="1"/>
  <c r="R2530" i="1"/>
  <c r="P2530" i="1"/>
  <c r="L2530" i="1"/>
  <c r="W2529" i="1"/>
  <c r="W2528" i="1"/>
  <c r="W2527" i="1"/>
  <c r="T2527" i="1"/>
  <c r="R2527" i="1"/>
  <c r="L2527" i="1"/>
  <c r="W2526" i="1"/>
  <c r="T2526" i="1"/>
  <c r="R2526" i="1"/>
  <c r="P2526" i="1"/>
  <c r="L2526" i="1"/>
  <c r="W2525" i="1"/>
  <c r="T2525" i="1"/>
  <c r="R2525" i="1"/>
  <c r="P2525" i="1"/>
  <c r="L2525" i="1"/>
  <c r="W2524" i="1"/>
  <c r="T2524" i="1"/>
  <c r="R2524" i="1"/>
  <c r="P2524" i="1"/>
  <c r="L2524" i="1"/>
  <c r="W2523" i="1"/>
  <c r="W2522" i="1"/>
  <c r="W2521" i="1"/>
  <c r="T2521" i="1"/>
  <c r="R2521" i="1"/>
  <c r="L2521" i="1"/>
  <c r="W2520" i="1"/>
  <c r="P2520" i="1"/>
  <c r="J2520" i="1"/>
  <c r="L2520" i="1" s="1"/>
  <c r="W2519" i="1"/>
  <c r="K2518" i="1"/>
  <c r="W2517" i="1"/>
  <c r="P2517" i="1"/>
  <c r="S2516" i="1"/>
  <c r="J2516" i="1"/>
  <c r="S2515" i="1"/>
  <c r="W2515" i="1" s="1"/>
  <c r="J2515" i="1"/>
  <c r="S2514" i="1"/>
  <c r="J2514" i="1"/>
  <c r="L2514" i="1" s="1"/>
  <c r="S2513" i="1"/>
  <c r="W2513" i="1" s="1"/>
  <c r="J2513" i="1"/>
  <c r="R2513" i="1" s="1"/>
  <c r="W2512" i="1"/>
  <c r="W2511" i="1"/>
  <c r="W2510" i="1"/>
  <c r="T2510" i="1"/>
  <c r="R2510" i="1"/>
  <c r="L2510" i="1"/>
  <c r="W2509" i="1"/>
  <c r="P2509" i="1"/>
  <c r="J2509" i="1"/>
  <c r="L2509" i="1" s="1"/>
  <c r="W2508" i="1"/>
  <c r="W2507" i="1"/>
  <c r="W2506" i="1"/>
  <c r="T2506" i="1"/>
  <c r="R2506" i="1"/>
  <c r="L2506" i="1"/>
  <c r="W2505" i="1"/>
  <c r="P2505" i="1"/>
  <c r="J2505" i="1"/>
  <c r="L2505" i="1" s="1"/>
  <c r="W2504" i="1"/>
  <c r="W2503" i="1"/>
  <c r="W2502" i="1"/>
  <c r="P2502" i="1"/>
  <c r="J2502" i="1"/>
  <c r="W2501" i="1"/>
  <c r="P2501" i="1"/>
  <c r="J2501" i="1"/>
  <c r="L2501" i="1" s="1"/>
  <c r="W2500" i="1"/>
  <c r="P2500" i="1"/>
  <c r="J2500" i="1"/>
  <c r="W2499" i="1"/>
  <c r="P2499" i="1"/>
  <c r="J2499" i="1"/>
  <c r="L2499" i="1" s="1"/>
  <c r="W2498" i="1"/>
  <c r="P2498" i="1"/>
  <c r="J2498" i="1"/>
  <c r="R2498" i="1" s="1"/>
  <c r="W2497" i="1"/>
  <c r="P2497" i="1"/>
  <c r="J2497" i="1"/>
  <c r="R2497" i="1" s="1"/>
  <c r="W2496" i="1"/>
  <c r="W2495" i="1"/>
  <c r="T2495" i="1"/>
  <c r="R2495" i="1"/>
  <c r="W2494" i="1"/>
  <c r="P2494" i="1"/>
  <c r="J2494" i="1"/>
  <c r="W2493" i="1"/>
  <c r="W2492" i="1"/>
  <c r="W2491" i="1"/>
  <c r="T2491" i="1"/>
  <c r="R2491" i="1"/>
  <c r="L2491" i="1"/>
  <c r="S2490" i="1"/>
  <c r="R2490" i="1"/>
  <c r="P2490" i="1"/>
  <c r="L2490" i="1"/>
  <c r="W2489" i="1"/>
  <c r="W2488" i="1"/>
  <c r="S2487" i="1"/>
  <c r="T2487" i="1" s="1"/>
  <c r="R2487" i="1"/>
  <c r="L2487" i="1"/>
  <c r="W2486" i="1"/>
  <c r="T2486" i="1"/>
  <c r="R2486" i="1"/>
  <c r="L2486" i="1"/>
  <c r="W2485" i="1"/>
  <c r="T2485" i="1"/>
  <c r="R2485" i="1"/>
  <c r="P2485" i="1"/>
  <c r="L2485" i="1"/>
  <c r="W2484" i="1"/>
  <c r="W2483" i="1"/>
  <c r="T2483" i="1"/>
  <c r="R2483" i="1"/>
  <c r="P2483" i="1"/>
  <c r="L2483" i="1"/>
  <c r="W2482" i="1"/>
  <c r="T2482" i="1"/>
  <c r="R2482" i="1"/>
  <c r="P2482" i="1"/>
  <c r="L2482" i="1"/>
  <c r="W2481" i="1"/>
  <c r="T2481" i="1"/>
  <c r="R2481" i="1"/>
  <c r="P2481" i="1"/>
  <c r="L2481" i="1"/>
  <c r="W2480" i="1"/>
  <c r="W2479" i="1"/>
  <c r="W2478" i="1"/>
  <c r="T2478" i="1"/>
  <c r="R2478" i="1"/>
  <c r="L2478" i="1"/>
  <c r="W2477" i="1"/>
  <c r="P2477" i="1"/>
  <c r="J2477" i="1"/>
  <c r="W2476" i="1"/>
  <c r="W2475" i="1"/>
  <c r="W2474" i="1"/>
  <c r="T2474" i="1"/>
  <c r="R2474" i="1"/>
  <c r="L2474" i="1"/>
  <c r="W2473" i="1"/>
  <c r="T2473" i="1"/>
  <c r="R2473" i="1"/>
  <c r="P2473" i="1"/>
  <c r="L2473" i="1"/>
  <c r="W2472" i="1"/>
  <c r="W2471" i="1"/>
  <c r="W2470" i="1"/>
  <c r="T2470" i="1"/>
  <c r="P2470" i="1"/>
  <c r="L2470" i="1"/>
  <c r="W2469" i="1"/>
  <c r="P2469" i="1"/>
  <c r="J2469" i="1"/>
  <c r="W2468" i="1"/>
  <c r="P2468" i="1"/>
  <c r="J2468" i="1"/>
  <c r="T2468" i="1" s="1"/>
  <c r="W2467" i="1"/>
  <c r="W2466" i="1"/>
  <c r="W2465" i="1"/>
  <c r="T2465" i="1"/>
  <c r="R2465" i="1"/>
  <c r="L2465" i="1"/>
  <c r="S2464" i="1"/>
  <c r="W2464" i="1" s="1"/>
  <c r="R2464" i="1"/>
  <c r="P2464" i="1"/>
  <c r="L2464" i="1"/>
  <c r="S2463" i="1"/>
  <c r="W2463" i="1" s="1"/>
  <c r="R2463" i="1"/>
  <c r="P2463" i="1"/>
  <c r="L2463" i="1"/>
  <c r="S2462" i="1"/>
  <c r="R2462" i="1"/>
  <c r="P2462" i="1"/>
  <c r="L2462" i="1"/>
  <c r="W2461" i="1"/>
  <c r="W2460" i="1"/>
  <c r="W2459" i="1"/>
  <c r="P2459" i="1"/>
  <c r="J2459" i="1"/>
  <c r="L2459" i="1" s="1"/>
  <c r="W2458" i="1"/>
  <c r="P2458" i="1"/>
  <c r="J2458" i="1"/>
  <c r="W2457" i="1"/>
  <c r="P2457" i="1"/>
  <c r="J2457" i="1"/>
  <c r="L2457" i="1" s="1"/>
  <c r="W2456" i="1"/>
  <c r="W2455" i="1"/>
  <c r="W2454" i="1"/>
  <c r="P2454" i="1"/>
  <c r="J2454" i="1"/>
  <c r="T2454" i="1" s="1"/>
  <c r="W2453" i="1"/>
  <c r="P2453" i="1"/>
  <c r="J2453" i="1"/>
  <c r="L2453" i="1" s="1"/>
  <c r="W2452" i="1"/>
  <c r="P2452" i="1"/>
  <c r="J2452" i="1"/>
  <c r="W2451" i="1"/>
  <c r="W2450" i="1"/>
  <c r="W2449" i="1"/>
  <c r="T2449" i="1"/>
  <c r="R2449" i="1"/>
  <c r="L2449" i="1"/>
  <c r="W2448" i="1"/>
  <c r="T2448" i="1"/>
  <c r="R2448" i="1"/>
  <c r="P2448" i="1"/>
  <c r="L2448" i="1"/>
  <c r="W2447" i="1"/>
  <c r="W2446" i="1"/>
  <c r="W2445" i="1"/>
  <c r="T2445" i="1"/>
  <c r="R2445" i="1"/>
  <c r="L2445" i="1"/>
  <c r="W2444" i="1"/>
  <c r="T2444" i="1"/>
  <c r="R2444" i="1"/>
  <c r="L2444" i="1"/>
  <c r="S2443" i="1"/>
  <c r="W2443" i="1" s="1"/>
  <c r="P2443" i="1"/>
  <c r="J2443" i="1"/>
  <c r="W2442" i="1"/>
  <c r="W2441" i="1"/>
  <c r="W2440" i="1"/>
  <c r="T2440" i="1"/>
  <c r="R2440" i="1"/>
  <c r="L2440" i="1"/>
  <c r="W2439" i="1"/>
  <c r="T2439" i="1"/>
  <c r="R2439" i="1"/>
  <c r="P2439" i="1"/>
  <c r="L2439" i="1"/>
  <c r="W2438" i="1"/>
  <c r="T2438" i="1"/>
  <c r="R2438" i="1"/>
  <c r="P2438" i="1"/>
  <c r="L2438" i="1"/>
  <c r="W2437" i="1"/>
  <c r="W2436" i="1"/>
  <c r="W2435" i="1"/>
  <c r="T2435" i="1"/>
  <c r="R2435" i="1"/>
  <c r="W2434" i="1"/>
  <c r="P2434" i="1"/>
  <c r="J2434" i="1"/>
  <c r="L2434" i="1" s="1"/>
  <c r="W2433" i="1"/>
  <c r="P2433" i="1"/>
  <c r="J2433" i="1"/>
  <c r="W2432" i="1"/>
  <c r="P2432" i="1"/>
  <c r="J2432" i="1"/>
  <c r="R2432" i="1" s="1"/>
  <c r="W2431" i="1"/>
  <c r="P2431" i="1"/>
  <c r="J2431" i="1"/>
  <c r="L2431" i="1" s="1"/>
  <c r="W2430" i="1"/>
  <c r="W2429" i="1"/>
  <c r="W2428" i="1"/>
  <c r="T2428" i="1"/>
  <c r="R2428" i="1"/>
  <c r="W2427" i="1"/>
  <c r="P2427" i="1"/>
  <c r="J2427" i="1"/>
  <c r="R2427" i="1" s="1"/>
  <c r="W2426" i="1"/>
  <c r="P2426" i="1"/>
  <c r="J2426" i="1"/>
  <c r="W2425" i="1"/>
  <c r="P2425" i="1"/>
  <c r="J2425" i="1"/>
  <c r="L2425" i="1" s="1"/>
  <c r="W2424" i="1"/>
  <c r="P2424" i="1"/>
  <c r="J2424" i="1"/>
  <c r="R2424" i="1" s="1"/>
  <c r="W2423" i="1"/>
  <c r="W2422" i="1"/>
  <c r="W2421" i="1"/>
  <c r="T2421" i="1"/>
  <c r="R2421" i="1"/>
  <c r="W2420" i="1"/>
  <c r="P2420" i="1"/>
  <c r="J2420" i="1"/>
  <c r="W2419" i="1"/>
  <c r="P2419" i="1"/>
  <c r="J2419" i="1"/>
  <c r="W2418" i="1"/>
  <c r="P2418" i="1"/>
  <c r="J2418" i="1"/>
  <c r="L2418" i="1" s="1"/>
  <c r="W2417" i="1"/>
  <c r="W2416" i="1"/>
  <c r="W2415" i="1"/>
  <c r="T2415" i="1"/>
  <c r="R2415" i="1"/>
  <c r="W2414" i="1"/>
  <c r="P2414" i="1"/>
  <c r="J2414" i="1"/>
  <c r="W2413" i="1"/>
  <c r="P2413" i="1"/>
  <c r="J2413" i="1"/>
  <c r="W2412" i="1"/>
  <c r="P2412" i="1"/>
  <c r="J2412" i="1"/>
  <c r="W2411" i="1"/>
  <c r="P2411" i="1"/>
  <c r="J2411" i="1"/>
  <c r="W2410" i="1"/>
  <c r="W2409" i="1"/>
  <c r="W2408" i="1"/>
  <c r="T2408" i="1"/>
  <c r="R2408" i="1"/>
  <c r="W2407" i="1"/>
  <c r="P2407" i="1"/>
  <c r="J2407" i="1"/>
  <c r="T2407" i="1" s="1"/>
  <c r="W2406" i="1"/>
  <c r="P2406" i="1"/>
  <c r="J2406" i="1"/>
  <c r="L2406" i="1" s="1"/>
  <c r="W2405" i="1"/>
  <c r="W2404" i="1"/>
  <c r="W2403" i="1"/>
  <c r="T2403" i="1"/>
  <c r="R2403" i="1"/>
  <c r="W2402" i="1"/>
  <c r="P2402" i="1"/>
  <c r="J2402" i="1"/>
  <c r="W2401" i="1"/>
  <c r="P2401" i="1"/>
  <c r="J2401" i="1"/>
  <c r="W2400" i="1"/>
  <c r="W2399" i="1"/>
  <c r="W2398" i="1"/>
  <c r="T2398" i="1"/>
  <c r="R2398" i="1"/>
  <c r="L2398" i="1"/>
  <c r="W2397" i="1"/>
  <c r="P2397" i="1"/>
  <c r="J2397" i="1"/>
  <c r="L2397" i="1" s="1"/>
  <c r="W2396" i="1"/>
  <c r="P2396" i="1"/>
  <c r="J2396" i="1"/>
  <c r="W2395" i="1"/>
  <c r="P2395" i="1"/>
  <c r="J2395" i="1"/>
  <c r="L2395" i="1" s="1"/>
  <c r="W2394" i="1"/>
  <c r="P2394" i="1"/>
  <c r="J2394" i="1"/>
  <c r="W2393" i="1"/>
  <c r="W2392" i="1"/>
  <c r="W2391" i="1"/>
  <c r="T2391" i="1"/>
  <c r="R2391" i="1"/>
  <c r="L2391" i="1"/>
  <c r="W2390" i="1"/>
  <c r="P2390" i="1"/>
  <c r="J2390" i="1"/>
  <c r="W2389" i="1"/>
  <c r="P2389" i="1"/>
  <c r="J2389" i="1"/>
  <c r="W2388" i="1"/>
  <c r="W2387" i="1"/>
  <c r="T2387" i="1"/>
  <c r="R2387" i="1"/>
  <c r="P2387" i="1"/>
  <c r="L2387" i="1"/>
  <c r="W2386" i="1"/>
  <c r="T2386" i="1"/>
  <c r="R2386" i="1"/>
  <c r="P2386" i="1"/>
  <c r="L2386" i="1"/>
  <c r="W2385" i="1"/>
  <c r="T2385" i="1"/>
  <c r="R2385" i="1"/>
  <c r="P2385" i="1"/>
  <c r="L2385" i="1"/>
  <c r="W2384" i="1"/>
  <c r="T2384" i="1"/>
  <c r="R2384" i="1"/>
  <c r="P2384" i="1"/>
  <c r="L2384" i="1"/>
  <c r="W2383" i="1"/>
  <c r="T2383" i="1"/>
  <c r="R2383" i="1"/>
  <c r="P2383" i="1"/>
  <c r="L2383" i="1"/>
  <c r="W2382" i="1"/>
  <c r="T2382" i="1"/>
  <c r="R2382" i="1"/>
  <c r="P2382" i="1"/>
  <c r="L2382" i="1"/>
  <c r="W2381" i="1"/>
  <c r="W2380" i="1"/>
  <c r="S2379" i="1"/>
  <c r="R2379" i="1"/>
  <c r="W2378" i="1"/>
  <c r="S2377" i="1"/>
  <c r="R2377" i="1"/>
  <c r="W2376" i="1"/>
  <c r="S2375" i="1"/>
  <c r="K2375" i="1" s="1"/>
  <c r="P2375" i="1" s="1"/>
  <c r="R2375" i="1"/>
  <c r="W2374" i="1"/>
  <c r="S2373" i="1"/>
  <c r="R2373" i="1"/>
  <c r="W2372" i="1"/>
  <c r="S2371" i="1"/>
  <c r="R2371" i="1"/>
  <c r="W2370" i="1"/>
  <c r="S2369" i="1"/>
  <c r="K2369" i="1" s="1"/>
  <c r="W2369" i="1" s="1"/>
  <c r="R2369" i="1"/>
  <c r="W2368" i="1"/>
  <c r="S2367" i="1"/>
  <c r="K2367" i="1" s="1"/>
  <c r="P2367" i="1" s="1"/>
  <c r="R2367" i="1"/>
  <c r="W2366" i="1"/>
  <c r="S2365" i="1"/>
  <c r="R2365" i="1"/>
  <c r="W2364" i="1"/>
  <c r="S2363" i="1"/>
  <c r="K2363" i="1" s="1"/>
  <c r="R2363" i="1"/>
  <c r="W2362" i="1"/>
  <c r="S2361" i="1"/>
  <c r="K2361" i="1" s="1"/>
  <c r="P2361" i="1" s="1"/>
  <c r="R2361" i="1"/>
  <c r="W2360" i="1"/>
  <c r="W2359" i="1"/>
  <c r="W2358" i="1"/>
  <c r="T2358" i="1"/>
  <c r="R2358" i="1"/>
  <c r="P2358" i="1"/>
  <c r="L2358" i="1"/>
  <c r="W2357" i="1"/>
  <c r="P2357" i="1"/>
  <c r="J2357" i="1"/>
  <c r="T2357" i="1" s="1"/>
  <c r="W2356" i="1"/>
  <c r="P2356" i="1"/>
  <c r="J2356" i="1"/>
  <c r="R2356" i="1" s="1"/>
  <c r="W2355" i="1"/>
  <c r="P2355" i="1"/>
  <c r="J2355" i="1"/>
  <c r="L2355" i="1" s="1"/>
  <c r="W2354" i="1"/>
  <c r="P2354" i="1"/>
  <c r="J2354" i="1"/>
  <c r="L2354" i="1" s="1"/>
  <c r="W2353" i="1"/>
  <c r="P2353" i="1"/>
  <c r="J2353" i="1"/>
  <c r="W2352" i="1"/>
  <c r="W2351" i="1"/>
  <c r="W2350" i="1"/>
  <c r="T2350" i="1"/>
  <c r="P2350" i="1"/>
  <c r="L2350" i="1"/>
  <c r="W2349" i="1"/>
  <c r="T2349" i="1"/>
  <c r="R2349" i="1"/>
  <c r="P2349" i="1"/>
  <c r="L2349" i="1"/>
  <c r="W2348" i="1"/>
  <c r="T2348" i="1"/>
  <c r="R2348" i="1"/>
  <c r="P2348" i="1"/>
  <c r="L2348" i="1"/>
  <c r="W2347" i="1"/>
  <c r="T2347" i="1"/>
  <c r="R2347" i="1"/>
  <c r="P2347" i="1"/>
  <c r="L2347" i="1"/>
  <c r="W2346" i="1"/>
  <c r="T2346" i="1"/>
  <c r="R2346" i="1"/>
  <c r="P2346" i="1"/>
  <c r="L2346" i="1"/>
  <c r="W2345" i="1"/>
  <c r="W2344" i="1"/>
  <c r="W2343" i="1"/>
  <c r="P2343" i="1"/>
  <c r="J2343" i="1"/>
  <c r="R2343" i="1" s="1"/>
  <c r="W2342" i="1"/>
  <c r="W2341" i="1"/>
  <c r="T2341" i="1"/>
  <c r="R2341" i="1"/>
  <c r="S2340" i="1"/>
  <c r="W2340" i="1" s="1"/>
  <c r="P2340" i="1"/>
  <c r="J2340" i="1"/>
  <c r="R2340" i="1" s="1"/>
  <c r="S2339" i="1"/>
  <c r="P2339" i="1"/>
  <c r="J2339" i="1"/>
  <c r="R2339" i="1" s="1"/>
  <c r="S2338" i="1"/>
  <c r="W2338" i="1" s="1"/>
  <c r="P2338" i="1"/>
  <c r="J2338" i="1"/>
  <c r="R2338" i="1" s="1"/>
  <c r="S2337" i="1"/>
  <c r="P2337" i="1"/>
  <c r="J2337" i="1"/>
  <c r="R2337" i="1" s="1"/>
  <c r="S2336" i="1"/>
  <c r="P2336" i="1"/>
  <c r="J2336" i="1"/>
  <c r="S2335" i="1"/>
  <c r="W2335" i="1" s="1"/>
  <c r="P2335" i="1"/>
  <c r="J2335" i="1"/>
  <c r="R2335" i="1" s="1"/>
  <c r="S2334" i="1"/>
  <c r="W2334" i="1" s="1"/>
  <c r="P2334" i="1"/>
  <c r="J2334" i="1"/>
  <c r="R2334" i="1" s="1"/>
  <c r="S2333" i="1"/>
  <c r="W2333" i="1" s="1"/>
  <c r="P2333" i="1"/>
  <c r="J2333" i="1"/>
  <c r="L2333" i="1" s="1"/>
  <c r="S2332" i="1"/>
  <c r="P2332" i="1"/>
  <c r="J2332" i="1"/>
  <c r="W2331" i="1"/>
  <c r="R2330" i="1"/>
  <c r="Q2330" i="1"/>
  <c r="K2330" i="1"/>
  <c r="W2330" i="1" s="1"/>
  <c r="W2329" i="1"/>
  <c r="T2329" i="1"/>
  <c r="W2328" i="1"/>
  <c r="J2328" i="1"/>
  <c r="W2327" i="1"/>
  <c r="R2326" i="1"/>
  <c r="Q2326" i="1"/>
  <c r="W2325" i="1"/>
  <c r="T2325" i="1"/>
  <c r="S2324" i="1"/>
  <c r="J2324" i="1"/>
  <c r="R2324" i="1" s="1"/>
  <c r="S2323" i="1"/>
  <c r="J2323" i="1"/>
  <c r="L2323" i="1" s="1"/>
  <c r="W2322" i="1"/>
  <c r="T2321" i="1"/>
  <c r="S2321" i="1"/>
  <c r="R2321" i="1"/>
  <c r="Q2321" i="1"/>
  <c r="K2321" i="1"/>
  <c r="W2320" i="1"/>
  <c r="P2320" i="1"/>
  <c r="W2319" i="1"/>
  <c r="T2319" i="1"/>
  <c r="S2318" i="1"/>
  <c r="J2318" i="1"/>
  <c r="R2318" i="1" s="1"/>
  <c r="S2317" i="1"/>
  <c r="W2317" i="1" s="1"/>
  <c r="J2317" i="1"/>
  <c r="L2317" i="1" s="1"/>
  <c r="S2316" i="1"/>
  <c r="W2316" i="1" s="1"/>
  <c r="J2316" i="1"/>
  <c r="R2316" i="1" s="1"/>
  <c r="S2315" i="1"/>
  <c r="W2315" i="1" s="1"/>
  <c r="J2315" i="1"/>
  <c r="L2315" i="1" s="1"/>
  <c r="S2314" i="1"/>
  <c r="W2314" i="1" s="1"/>
  <c r="J2314" i="1"/>
  <c r="W2313" i="1"/>
  <c r="T2312" i="1"/>
  <c r="S2312" i="1"/>
  <c r="R2312" i="1"/>
  <c r="Q2312" i="1"/>
  <c r="K2312" i="1"/>
  <c r="W2311" i="1"/>
  <c r="P2311" i="1"/>
  <c r="S2310" i="1"/>
  <c r="J2310" i="1"/>
  <c r="R2310" i="1" s="1"/>
  <c r="W2309" i="1"/>
  <c r="W2308" i="1"/>
  <c r="S2307" i="1"/>
  <c r="T2307" i="1" s="1"/>
  <c r="R2307" i="1"/>
  <c r="P2307" i="1"/>
  <c r="L2307" i="1"/>
  <c r="S2306" i="1"/>
  <c r="W2306" i="1" s="1"/>
  <c r="R2306" i="1"/>
  <c r="P2306" i="1"/>
  <c r="L2306" i="1"/>
  <c r="S2305" i="1"/>
  <c r="R2305" i="1"/>
  <c r="P2305" i="1"/>
  <c r="L2305" i="1"/>
  <c r="S2304" i="1"/>
  <c r="T2304" i="1" s="1"/>
  <c r="R2304" i="1"/>
  <c r="P2304" i="1"/>
  <c r="L2304" i="1"/>
  <c r="S2303" i="1"/>
  <c r="T2303" i="1" s="1"/>
  <c r="R2303" i="1"/>
  <c r="P2303" i="1"/>
  <c r="L2303" i="1"/>
  <c r="S2302" i="1"/>
  <c r="T2302" i="1" s="1"/>
  <c r="R2302" i="1"/>
  <c r="P2302" i="1"/>
  <c r="L2302" i="1"/>
  <c r="S2301" i="1"/>
  <c r="T2301" i="1" s="1"/>
  <c r="R2301" i="1"/>
  <c r="P2301" i="1"/>
  <c r="L2301" i="1"/>
  <c r="S2300" i="1"/>
  <c r="T2300" i="1" s="1"/>
  <c r="R2300" i="1"/>
  <c r="P2300" i="1"/>
  <c r="L2300" i="1"/>
  <c r="S2299" i="1"/>
  <c r="R2299" i="1"/>
  <c r="P2299" i="1"/>
  <c r="L2299" i="1"/>
  <c r="S2298" i="1"/>
  <c r="W2298" i="1" s="1"/>
  <c r="R2298" i="1"/>
  <c r="P2298" i="1"/>
  <c r="L2298" i="1"/>
  <c r="S2297" i="1"/>
  <c r="R2297" i="1"/>
  <c r="P2297" i="1"/>
  <c r="L2297" i="1"/>
  <c r="S2296" i="1"/>
  <c r="T2296" i="1" s="1"/>
  <c r="R2296" i="1"/>
  <c r="P2296" i="1"/>
  <c r="L2296" i="1"/>
  <c r="W2295" i="1"/>
  <c r="W2294" i="1"/>
  <c r="S2293" i="1"/>
  <c r="R2293" i="1"/>
  <c r="P2293" i="1"/>
  <c r="L2293" i="1"/>
  <c r="S2292" i="1"/>
  <c r="T2292" i="1" s="1"/>
  <c r="R2292" i="1"/>
  <c r="P2292" i="1"/>
  <c r="L2292" i="1"/>
  <c r="W2291" i="1"/>
  <c r="W2290" i="1"/>
  <c r="W2289" i="1"/>
  <c r="T2289" i="1"/>
  <c r="P2289" i="1"/>
  <c r="L2289" i="1"/>
  <c r="W2288" i="1"/>
  <c r="P2288" i="1"/>
  <c r="J2288" i="1"/>
  <c r="L2288" i="1" s="1"/>
  <c r="W2287" i="1"/>
  <c r="W2286" i="1"/>
  <c r="P2286" i="1"/>
  <c r="J2286" i="1"/>
  <c r="L2286" i="1" s="1"/>
  <c r="W2285" i="1"/>
  <c r="W2284" i="1"/>
  <c r="W2283" i="1"/>
  <c r="T2283" i="1"/>
  <c r="R2283" i="1"/>
  <c r="W2282" i="1"/>
  <c r="P2282" i="1"/>
  <c r="J2282" i="1"/>
  <c r="T2282" i="1" s="1"/>
  <c r="W2281" i="1"/>
  <c r="W2280" i="1"/>
  <c r="W2279" i="1"/>
  <c r="T2279" i="1"/>
  <c r="R2279" i="1"/>
  <c r="P2279" i="1"/>
  <c r="L2279" i="1"/>
  <c r="W2278" i="1"/>
  <c r="P2278" i="1"/>
  <c r="J2278" i="1"/>
  <c r="W2277" i="1"/>
  <c r="T2276" i="1"/>
  <c r="S2276" i="1"/>
  <c r="K2276" i="1"/>
  <c r="S2275" i="1"/>
  <c r="R2275" i="1"/>
  <c r="L2275" i="1"/>
  <c r="S2274" i="1"/>
  <c r="R2274" i="1"/>
  <c r="L2274" i="1"/>
  <c r="W2273" i="1"/>
  <c r="W2272" i="1"/>
  <c r="W2271" i="1"/>
  <c r="T2271" i="1"/>
  <c r="R2271" i="1"/>
  <c r="L2271" i="1"/>
  <c r="W2270" i="1"/>
  <c r="P2270" i="1"/>
  <c r="J2270" i="1"/>
  <c r="L2270" i="1" s="1"/>
  <c r="W2269" i="1"/>
  <c r="R2268" i="1"/>
  <c r="Q2268" i="1"/>
  <c r="K2268" i="1"/>
  <c r="W2268" i="1" s="1"/>
  <c r="W2267" i="1"/>
  <c r="T2267" i="1"/>
  <c r="W2266" i="1"/>
  <c r="J2266" i="1"/>
  <c r="W2265" i="1"/>
  <c r="W2264" i="1"/>
  <c r="W2263" i="1"/>
  <c r="T2263" i="1"/>
  <c r="R2263" i="1"/>
  <c r="L2263" i="1"/>
  <c r="W2262" i="1"/>
  <c r="T2262" i="1"/>
  <c r="R2262" i="1"/>
  <c r="L2262" i="1"/>
  <c r="W2261" i="1"/>
  <c r="P2261" i="1"/>
  <c r="J2261" i="1"/>
  <c r="W2260" i="1"/>
  <c r="P2260" i="1"/>
  <c r="J2260" i="1"/>
  <c r="T2260" i="1" s="1"/>
  <c r="W2259" i="1"/>
  <c r="W2258" i="1"/>
  <c r="W2257" i="1"/>
  <c r="T2257" i="1"/>
  <c r="R2257" i="1"/>
  <c r="L2257" i="1"/>
  <c r="W2256" i="1"/>
  <c r="P2256" i="1"/>
  <c r="J2256" i="1"/>
  <c r="T2256" i="1" s="1"/>
  <c r="W2255" i="1"/>
  <c r="W2254" i="1"/>
  <c r="W2253" i="1"/>
  <c r="T2253" i="1"/>
  <c r="L2253" i="1"/>
  <c r="W2252" i="1"/>
  <c r="P2252" i="1"/>
  <c r="J2252" i="1"/>
  <c r="W2251" i="1"/>
  <c r="W2250" i="1"/>
  <c r="W2249" i="1"/>
  <c r="T2249" i="1"/>
  <c r="R2249" i="1"/>
  <c r="W2248" i="1"/>
  <c r="P2248" i="1"/>
  <c r="J2248" i="1"/>
  <c r="L2248" i="1" s="1"/>
  <c r="W2247" i="1"/>
  <c r="W2246" i="1"/>
  <c r="W2245" i="1"/>
  <c r="T2245" i="1"/>
  <c r="R2245" i="1"/>
  <c r="L2245" i="1"/>
  <c r="W2244" i="1"/>
  <c r="P2244" i="1"/>
  <c r="J2244" i="1"/>
  <c r="R2244" i="1" s="1"/>
  <c r="W2243" i="1"/>
  <c r="K2242" i="1"/>
  <c r="W2242" i="1" s="1"/>
  <c r="W2241" i="1"/>
  <c r="T2241" i="1"/>
  <c r="L2241" i="1"/>
  <c r="W2240" i="1"/>
  <c r="J2240" i="1"/>
  <c r="R2240" i="1" s="1"/>
  <c r="W2239" i="1"/>
  <c r="W2238" i="1"/>
  <c r="T2238" i="1"/>
  <c r="W2237" i="1"/>
  <c r="J2237" i="1"/>
  <c r="T2237" i="1" s="1"/>
  <c r="W2236" i="1"/>
  <c r="R2235" i="1"/>
  <c r="Q2235" i="1"/>
  <c r="K2235" i="1"/>
  <c r="W2235" i="1" s="1"/>
  <c r="W2234" i="1"/>
  <c r="T2234" i="1"/>
  <c r="W2233" i="1"/>
  <c r="J2233" i="1"/>
  <c r="L2233" i="1" s="1"/>
  <c r="W2232" i="1"/>
  <c r="W2231" i="1"/>
  <c r="W2230" i="1"/>
  <c r="T2230" i="1"/>
  <c r="R2230" i="1"/>
  <c r="L2230" i="1"/>
  <c r="W2229" i="1"/>
  <c r="T2229" i="1"/>
  <c r="R2229" i="1"/>
  <c r="P2229" i="1"/>
  <c r="L2229" i="1"/>
  <c r="W2228" i="1"/>
  <c r="T2227" i="1"/>
  <c r="S2227" i="1"/>
  <c r="R2227" i="1"/>
  <c r="Q2227" i="1"/>
  <c r="W2226" i="1"/>
  <c r="T2226" i="1"/>
  <c r="W2225" i="1"/>
  <c r="J2225" i="1"/>
  <c r="W2224" i="1"/>
  <c r="J2224" i="1"/>
  <c r="W2223" i="1"/>
  <c r="W2222" i="1"/>
  <c r="W2221" i="1"/>
  <c r="T2221" i="1"/>
  <c r="R2221" i="1"/>
  <c r="L2221" i="1"/>
  <c r="W2220" i="1"/>
  <c r="P2220" i="1"/>
  <c r="J2220" i="1"/>
  <c r="W2219" i="1"/>
  <c r="W2218" i="1"/>
  <c r="P2218" i="1"/>
  <c r="J2218" i="1"/>
  <c r="W2217" i="1"/>
  <c r="W2216" i="1"/>
  <c r="W2215" i="1"/>
  <c r="T2215" i="1"/>
  <c r="R2215" i="1"/>
  <c r="L2215" i="1"/>
  <c r="W2214" i="1"/>
  <c r="T2214" i="1"/>
  <c r="R2214" i="1"/>
  <c r="L2214" i="1"/>
  <c r="W2213" i="1"/>
  <c r="T2213" i="1"/>
  <c r="R2213" i="1"/>
  <c r="P2213" i="1"/>
  <c r="L2213" i="1"/>
  <c r="W2212" i="1"/>
  <c r="T2212" i="1"/>
  <c r="R2212" i="1"/>
  <c r="P2212" i="1"/>
  <c r="L2212" i="1"/>
  <c r="W2211" i="1"/>
  <c r="W2210" i="1"/>
  <c r="W2209" i="1"/>
  <c r="T2209" i="1"/>
  <c r="R2209" i="1"/>
  <c r="L2209" i="1"/>
  <c r="W2208" i="1"/>
  <c r="P2208" i="1"/>
  <c r="J2208" i="1"/>
  <c r="W2207" i="1"/>
  <c r="P2207" i="1"/>
  <c r="J2207" i="1"/>
  <c r="T2207" i="1" s="1"/>
  <c r="W2206" i="1"/>
  <c r="P2206" i="1"/>
  <c r="J2206" i="1"/>
  <c r="L2206" i="1" s="1"/>
  <c r="W2205" i="1"/>
  <c r="W2204" i="1"/>
  <c r="W2203" i="1"/>
  <c r="T2203" i="1"/>
  <c r="R2203" i="1"/>
  <c r="L2203" i="1"/>
  <c r="W2202" i="1"/>
  <c r="P2202" i="1"/>
  <c r="J2202" i="1"/>
  <c r="R2202" i="1" s="1"/>
  <c r="W2201" i="1"/>
  <c r="W2200" i="1"/>
  <c r="S2199" i="1"/>
  <c r="W2199" i="1" s="1"/>
  <c r="R2199" i="1"/>
  <c r="P2199" i="1"/>
  <c r="L2199" i="1"/>
  <c r="W2198" i="1"/>
  <c r="W2197" i="1"/>
  <c r="S2196" i="1"/>
  <c r="W2196" i="1" s="1"/>
  <c r="R2196" i="1"/>
  <c r="P2196" i="1"/>
  <c r="L2196" i="1"/>
  <c r="W2195" i="1"/>
  <c r="W2194" i="1"/>
  <c r="W2193" i="1"/>
  <c r="T2193" i="1"/>
  <c r="R2193" i="1"/>
  <c r="L2193" i="1"/>
  <c r="W2192" i="1"/>
  <c r="P2192" i="1"/>
  <c r="J2192" i="1"/>
  <c r="L2192" i="1" s="1"/>
  <c r="W2191" i="1"/>
  <c r="W2190" i="1"/>
  <c r="W2189" i="1"/>
  <c r="T2189" i="1"/>
  <c r="P2189" i="1"/>
  <c r="L2189" i="1"/>
  <c r="W2188" i="1"/>
  <c r="P2188" i="1"/>
  <c r="J2188" i="1"/>
  <c r="L2188" i="1" s="1"/>
  <c r="W2187" i="1"/>
  <c r="P2187" i="1"/>
  <c r="J2187" i="1"/>
  <c r="L2187" i="1" s="1"/>
  <c r="W2186" i="1"/>
  <c r="R2185" i="1"/>
  <c r="Q2185" i="1"/>
  <c r="K2185" i="1"/>
  <c r="W2185" i="1" s="1"/>
  <c r="W2184" i="1"/>
  <c r="T2184" i="1"/>
  <c r="W2183" i="1"/>
  <c r="J2183" i="1"/>
  <c r="T2183" i="1" s="1"/>
  <c r="W2182" i="1"/>
  <c r="J2182" i="1"/>
  <c r="R2182" i="1" s="1"/>
  <c r="W2181" i="1"/>
  <c r="W2180" i="1"/>
  <c r="S2179" i="1"/>
  <c r="W2179" i="1" s="1"/>
  <c r="R2179" i="1"/>
  <c r="P2179" i="1"/>
  <c r="L2179" i="1"/>
  <c r="W2178" i="1"/>
  <c r="W2177" i="1"/>
  <c r="W2176" i="1"/>
  <c r="T2176" i="1"/>
  <c r="P2176" i="1"/>
  <c r="L2176" i="1"/>
  <c r="W2175" i="1"/>
  <c r="P2175" i="1"/>
  <c r="J2175" i="1"/>
  <c r="W2174" i="1"/>
  <c r="P2174" i="1"/>
  <c r="J2174" i="1"/>
  <c r="W2173" i="1"/>
  <c r="W2172" i="1"/>
  <c r="W2171" i="1"/>
  <c r="T2171" i="1"/>
  <c r="R2171" i="1"/>
  <c r="L2171" i="1"/>
  <c r="W2170" i="1"/>
  <c r="P2170" i="1"/>
  <c r="J2170" i="1"/>
  <c r="W2169" i="1"/>
  <c r="W2168" i="1"/>
  <c r="W2167" i="1"/>
  <c r="T2167" i="1"/>
  <c r="R2167" i="1"/>
  <c r="L2167" i="1"/>
  <c r="W2166" i="1"/>
  <c r="P2166" i="1"/>
  <c r="J2166" i="1"/>
  <c r="L2166" i="1" s="1"/>
  <c r="W2165" i="1"/>
  <c r="P2165" i="1"/>
  <c r="J2165" i="1"/>
  <c r="W2164" i="1"/>
  <c r="J2162" i="1"/>
  <c r="J2161" i="1"/>
  <c r="J2160" i="1"/>
  <c r="J2159" i="1"/>
  <c r="J2158" i="1"/>
  <c r="J2157" i="1"/>
  <c r="J2156" i="1"/>
  <c r="J2155" i="1"/>
  <c r="J2154" i="1"/>
  <c r="J2153" i="1"/>
  <c r="T2152" i="1"/>
  <c r="R2152" i="1"/>
  <c r="P2152" i="1"/>
  <c r="L2152" i="1"/>
  <c r="T2149" i="1"/>
  <c r="R2149" i="1"/>
  <c r="P2149" i="1"/>
  <c r="L2149" i="1"/>
  <c r="T2146" i="1"/>
  <c r="R2146" i="1"/>
  <c r="L2146" i="1"/>
  <c r="T2145" i="1"/>
  <c r="R2145" i="1"/>
  <c r="L2145" i="1"/>
  <c r="P2144" i="1"/>
  <c r="J2144" i="1"/>
  <c r="T2144" i="1" s="1"/>
  <c r="P2143" i="1"/>
  <c r="J2143" i="1"/>
  <c r="L2143" i="1" s="1"/>
  <c r="T2140" i="1"/>
  <c r="R2140" i="1"/>
  <c r="P2140" i="1"/>
  <c r="L2140" i="1"/>
  <c r="P2139" i="1"/>
  <c r="J2139" i="1"/>
  <c r="L2139" i="1" s="1"/>
  <c r="T2136" i="1"/>
  <c r="R2136" i="1"/>
  <c r="L2136" i="1"/>
  <c r="P2135" i="1"/>
  <c r="J2135" i="1"/>
  <c r="T2135" i="1" s="1"/>
  <c r="T2132" i="1"/>
  <c r="R2132" i="1"/>
  <c r="P2132" i="1"/>
  <c r="L2132" i="1"/>
  <c r="P2131" i="1"/>
  <c r="J2131" i="1"/>
  <c r="T2131" i="1" s="1"/>
  <c r="S2128" i="1"/>
  <c r="T2128" i="1" s="1"/>
  <c r="P2128" i="1"/>
  <c r="L2128" i="1"/>
  <c r="T2127" i="1"/>
  <c r="R2127" i="1"/>
  <c r="P2127" i="1"/>
  <c r="L2127" i="1"/>
  <c r="T2125" i="1"/>
  <c r="R2125" i="1"/>
  <c r="P2125" i="1"/>
  <c r="L2125" i="1"/>
  <c r="T2123" i="1"/>
  <c r="R2123" i="1"/>
  <c r="P2123" i="1"/>
  <c r="L2123" i="1"/>
  <c r="T2122" i="1"/>
  <c r="R2122" i="1"/>
  <c r="P2122" i="1"/>
  <c r="L2122" i="1"/>
  <c r="T2121" i="1"/>
  <c r="R2121" i="1"/>
  <c r="P2121" i="1"/>
  <c r="L2121" i="1"/>
  <c r="T2118" i="1"/>
  <c r="P2118" i="1"/>
  <c r="L2118" i="1"/>
  <c r="P2117" i="1"/>
  <c r="J2117" i="1"/>
  <c r="T2115" i="1"/>
  <c r="R2115" i="1"/>
  <c r="P2115" i="1"/>
  <c r="L2115" i="1"/>
  <c r="P2114" i="1"/>
  <c r="J2114" i="1"/>
  <c r="T2114" i="1" s="1"/>
  <c r="T2113" i="1"/>
  <c r="R2113" i="1"/>
  <c r="P2113" i="1"/>
  <c r="L2113" i="1"/>
  <c r="T2110" i="1"/>
  <c r="L2110" i="1"/>
  <c r="P2109" i="1"/>
  <c r="J2109" i="1"/>
  <c r="T2106" i="1"/>
  <c r="R2106" i="1"/>
  <c r="L2106" i="1"/>
  <c r="P2105" i="1"/>
  <c r="J2105" i="1"/>
  <c r="L2105" i="1" s="1"/>
  <c r="T2102" i="1"/>
  <c r="R2102" i="1"/>
  <c r="L2102" i="1"/>
  <c r="T2101" i="1"/>
  <c r="R2101" i="1"/>
  <c r="P2101" i="1"/>
  <c r="L2101" i="1"/>
  <c r="T2098" i="1"/>
  <c r="R2098" i="1"/>
  <c r="L2098" i="1"/>
  <c r="T2097" i="1"/>
  <c r="R2097" i="1"/>
  <c r="L2097" i="1"/>
  <c r="T2096" i="1"/>
  <c r="R2096" i="1"/>
  <c r="P2096" i="1"/>
  <c r="L2096" i="1"/>
  <c r="T2094" i="1"/>
  <c r="R2094" i="1"/>
  <c r="P2094" i="1"/>
  <c r="L2094" i="1"/>
  <c r="T2091" i="1"/>
  <c r="R2091" i="1"/>
  <c r="L2091" i="1"/>
  <c r="S2090" i="1"/>
  <c r="T2090" i="1" s="1"/>
  <c r="R2090" i="1"/>
  <c r="P2090" i="1"/>
  <c r="K2090" i="1"/>
  <c r="L2090" i="1" s="1"/>
  <c r="S2089" i="1"/>
  <c r="T2089" i="1" s="1"/>
  <c r="R2089" i="1"/>
  <c r="P2089" i="1"/>
  <c r="K2089" i="1"/>
  <c r="L2089" i="1" s="1"/>
  <c r="S2088" i="1"/>
  <c r="T2088" i="1" s="1"/>
  <c r="R2088" i="1"/>
  <c r="P2088" i="1"/>
  <c r="K2088" i="1"/>
  <c r="L2088" i="1" s="1"/>
  <c r="S2087" i="1"/>
  <c r="T2087" i="1" s="1"/>
  <c r="R2087" i="1"/>
  <c r="P2087" i="1"/>
  <c r="K2087" i="1"/>
  <c r="L2087" i="1" s="1"/>
  <c r="S2086" i="1"/>
  <c r="T2086" i="1" s="1"/>
  <c r="R2086" i="1"/>
  <c r="P2086" i="1"/>
  <c r="L2086" i="1"/>
  <c r="T2083" i="1"/>
  <c r="R2083" i="1"/>
  <c r="P2082" i="1"/>
  <c r="J2082" i="1"/>
  <c r="R2082" i="1" s="1"/>
  <c r="P2081" i="1"/>
  <c r="J2081" i="1"/>
  <c r="L2081" i="1" s="1"/>
  <c r="P2080" i="1"/>
  <c r="J2080" i="1"/>
  <c r="P2079" i="1"/>
  <c r="J2079" i="1"/>
  <c r="P2078" i="1"/>
  <c r="J2078" i="1"/>
  <c r="P2077" i="1"/>
  <c r="J2077" i="1"/>
  <c r="P2075" i="1"/>
  <c r="J2075" i="1"/>
  <c r="L2075" i="1" s="1"/>
  <c r="T2072" i="1"/>
  <c r="R2072" i="1"/>
  <c r="P2071" i="1"/>
  <c r="J2071" i="1"/>
  <c r="L2071" i="1" s="1"/>
  <c r="P2070" i="1"/>
  <c r="J2070" i="1"/>
  <c r="L2070" i="1" s="1"/>
  <c r="P2068" i="1"/>
  <c r="J2068" i="1"/>
  <c r="R2068" i="1" s="1"/>
  <c r="P2067" i="1"/>
  <c r="J2067" i="1"/>
  <c r="R2067" i="1" s="1"/>
  <c r="P2065" i="1"/>
  <c r="J2065" i="1"/>
  <c r="T2065" i="1" s="1"/>
  <c r="P2064" i="1"/>
  <c r="J2064" i="1"/>
  <c r="T2061" i="1"/>
  <c r="R2061" i="1"/>
  <c r="P2060" i="1"/>
  <c r="J2060" i="1"/>
  <c r="P2059" i="1"/>
  <c r="J2059" i="1"/>
  <c r="P2058" i="1"/>
  <c r="J2058" i="1"/>
  <c r="P2056" i="1"/>
  <c r="J2056" i="1"/>
  <c r="L2056" i="1" s="1"/>
  <c r="P2055" i="1"/>
  <c r="J2055" i="1"/>
  <c r="P2053" i="1"/>
  <c r="J2053" i="1"/>
  <c r="R2053" i="1" s="1"/>
  <c r="P2052" i="1"/>
  <c r="J2052" i="1"/>
  <c r="L2052" i="1" s="1"/>
  <c r="T2049" i="1"/>
  <c r="R2049" i="1"/>
  <c r="P2048" i="1"/>
  <c r="J2048" i="1"/>
  <c r="P2047" i="1"/>
  <c r="J2047" i="1"/>
  <c r="P2045" i="1"/>
  <c r="J2045" i="1"/>
  <c r="P2044" i="1"/>
  <c r="J2044" i="1"/>
  <c r="P2042" i="1"/>
  <c r="J2042" i="1"/>
  <c r="R2042" i="1" s="1"/>
  <c r="P2041" i="1"/>
  <c r="J2041" i="1"/>
  <c r="T2038" i="1"/>
  <c r="R2038" i="1"/>
  <c r="P2037" i="1"/>
  <c r="J2037" i="1"/>
  <c r="P2036" i="1"/>
  <c r="J2036" i="1"/>
  <c r="R2036" i="1" s="1"/>
  <c r="P2035" i="1"/>
  <c r="J2035" i="1"/>
  <c r="T2035" i="1" s="1"/>
  <c r="P2034" i="1"/>
  <c r="J2034" i="1"/>
  <c r="L2034" i="1" s="1"/>
  <c r="T2031" i="1"/>
  <c r="R2031" i="1"/>
  <c r="P2030" i="1"/>
  <c r="J2030" i="1"/>
  <c r="L2030" i="1" s="1"/>
  <c r="P2029" i="1"/>
  <c r="J2029" i="1"/>
  <c r="L2029" i="1" s="1"/>
  <c r="P2028" i="1"/>
  <c r="J2028" i="1"/>
  <c r="P2027" i="1"/>
  <c r="J2027" i="1"/>
  <c r="R2027" i="1" s="1"/>
  <c r="P2026" i="1"/>
  <c r="J2026" i="1"/>
  <c r="R2026" i="1" s="1"/>
  <c r="T2023" i="1"/>
  <c r="R2023" i="1"/>
  <c r="P2022" i="1"/>
  <c r="J2022" i="1"/>
  <c r="L2022" i="1" s="1"/>
  <c r="P2021" i="1"/>
  <c r="J2021" i="1"/>
  <c r="P2020" i="1"/>
  <c r="J2020" i="1"/>
  <c r="T2017" i="1"/>
  <c r="R2017" i="1"/>
  <c r="P2016" i="1"/>
  <c r="J2016" i="1"/>
  <c r="P2015" i="1"/>
  <c r="J2015" i="1"/>
  <c r="P2014" i="1"/>
  <c r="J2014" i="1"/>
  <c r="T2014" i="1" s="1"/>
  <c r="T2011" i="1"/>
  <c r="R2011" i="1"/>
  <c r="P2010" i="1"/>
  <c r="J2010" i="1"/>
  <c r="P2009" i="1"/>
  <c r="J2009" i="1"/>
  <c r="P2008" i="1"/>
  <c r="J2008" i="1"/>
  <c r="T2005" i="1"/>
  <c r="R2005" i="1"/>
  <c r="P2004" i="1"/>
  <c r="J2004" i="1"/>
  <c r="P2003" i="1"/>
  <c r="J2003" i="1"/>
  <c r="T2000" i="1"/>
  <c r="R2000" i="1"/>
  <c r="P2000" i="1"/>
  <c r="L2000" i="1"/>
  <c r="T1999" i="1"/>
  <c r="R1999" i="1"/>
  <c r="P1999" i="1"/>
  <c r="L1999" i="1"/>
  <c r="P1998" i="1"/>
  <c r="J1998" i="1"/>
  <c r="R1998" i="1" s="1"/>
  <c r="T1995" i="1"/>
  <c r="R1995" i="1"/>
  <c r="P1995" i="1"/>
  <c r="L1995" i="1"/>
  <c r="P1994" i="1"/>
  <c r="J1994" i="1"/>
  <c r="T1994" i="1" s="1"/>
  <c r="T1991" i="1"/>
  <c r="P1990" i="1"/>
  <c r="J1990" i="1"/>
  <c r="P1989" i="1"/>
  <c r="J1989" i="1"/>
  <c r="T1989" i="1" s="1"/>
  <c r="P1988" i="1"/>
  <c r="J1988" i="1"/>
  <c r="L1988" i="1" s="1"/>
  <c r="P1986" i="1"/>
  <c r="J1986" i="1"/>
  <c r="P1985" i="1"/>
  <c r="J1985" i="1"/>
  <c r="R1985" i="1" s="1"/>
  <c r="P1984" i="1"/>
  <c r="J1984" i="1"/>
  <c r="P1983" i="1"/>
  <c r="J1983" i="1"/>
  <c r="L1983" i="1" s="1"/>
  <c r="P1982" i="1"/>
  <c r="J1982" i="1"/>
  <c r="P1981" i="1"/>
  <c r="J1981" i="1"/>
  <c r="T1981" i="1" s="1"/>
  <c r="P1980" i="1"/>
  <c r="J1980" i="1"/>
  <c r="P1979" i="1"/>
  <c r="J1979" i="1"/>
  <c r="L1979" i="1" s="1"/>
  <c r="P1978" i="1"/>
  <c r="J1978" i="1"/>
  <c r="P1977" i="1"/>
  <c r="J1977" i="1"/>
  <c r="R1977" i="1" s="1"/>
  <c r="P1974" i="1"/>
  <c r="J1974" i="1"/>
  <c r="P1973" i="1"/>
  <c r="J1973" i="1"/>
  <c r="P1972" i="1"/>
  <c r="J1972" i="1"/>
  <c r="T1972" i="1" s="1"/>
  <c r="P1970" i="1"/>
  <c r="J1970" i="1"/>
  <c r="L1970" i="1" s="1"/>
  <c r="P1968" i="1"/>
  <c r="J1968" i="1"/>
  <c r="L1968" i="1" s="1"/>
  <c r="P1967" i="1"/>
  <c r="J1967" i="1"/>
  <c r="P1966" i="1"/>
  <c r="J1966" i="1"/>
  <c r="T1966" i="1" s="1"/>
  <c r="P1964" i="1"/>
  <c r="J1964" i="1"/>
  <c r="T1964" i="1" s="1"/>
  <c r="T1962" i="1"/>
  <c r="T1961" i="1"/>
  <c r="R1961" i="1"/>
  <c r="P1961" i="1"/>
  <c r="L1961" i="1"/>
  <c r="P1960" i="1"/>
  <c r="J1960" i="1"/>
  <c r="R1960" i="1" s="1"/>
  <c r="S1957" i="1"/>
  <c r="T1957" i="1" s="1"/>
  <c r="R1957" i="1"/>
  <c r="P1957" i="1"/>
  <c r="L1957" i="1"/>
  <c r="S1956" i="1"/>
  <c r="T1956" i="1" s="1"/>
  <c r="R1956" i="1"/>
  <c r="P1956" i="1"/>
  <c r="L1956" i="1"/>
  <c r="S1955" i="1"/>
  <c r="T1955" i="1" s="1"/>
  <c r="R1955" i="1"/>
  <c r="P1955" i="1"/>
  <c r="L1955" i="1"/>
  <c r="S1952" i="1"/>
  <c r="T1952" i="1" s="1"/>
  <c r="R1952" i="1"/>
  <c r="P1952" i="1"/>
  <c r="L1952" i="1"/>
  <c r="S1951" i="1"/>
  <c r="T1951" i="1" s="1"/>
  <c r="R1951" i="1"/>
  <c r="P1951" i="1"/>
  <c r="L1951" i="1"/>
  <c r="S1950" i="1"/>
  <c r="T1950" i="1" s="1"/>
  <c r="R1950" i="1"/>
  <c r="P1950" i="1"/>
  <c r="L1950" i="1"/>
  <c r="S1949" i="1"/>
  <c r="T1949" i="1" s="1"/>
  <c r="R1949" i="1"/>
  <c r="P1949" i="1"/>
  <c r="L1949" i="1"/>
  <c r="S1948" i="1"/>
  <c r="T1948" i="1" s="1"/>
  <c r="R1948" i="1"/>
  <c r="P1948" i="1"/>
  <c r="L1948" i="1"/>
  <c r="S1947" i="1"/>
  <c r="T1947" i="1" s="1"/>
  <c r="R1947" i="1"/>
  <c r="P1947" i="1"/>
  <c r="L1947" i="1"/>
  <c r="S1946" i="1"/>
  <c r="T1946" i="1" s="1"/>
  <c r="R1946" i="1"/>
  <c r="P1946" i="1"/>
  <c r="L1946" i="1"/>
  <c r="S1943" i="1"/>
  <c r="T1943" i="1" s="1"/>
  <c r="R1943" i="1"/>
  <c r="P1943" i="1"/>
  <c r="L1943" i="1"/>
  <c r="S1940" i="1"/>
  <c r="T1940" i="1" s="1"/>
  <c r="R1940" i="1"/>
  <c r="L1940" i="1"/>
  <c r="P1939" i="1"/>
  <c r="J1939" i="1"/>
  <c r="R1939" i="1" s="1"/>
  <c r="P1938" i="1"/>
  <c r="J1938" i="1"/>
  <c r="P1937" i="1"/>
  <c r="J1937" i="1"/>
  <c r="T1937" i="1" s="1"/>
  <c r="P1935" i="1"/>
  <c r="J1935" i="1"/>
  <c r="T1932" i="1"/>
  <c r="R1932" i="1"/>
  <c r="L1932" i="1"/>
  <c r="T1931" i="1"/>
  <c r="P1931" i="1"/>
  <c r="L1931" i="1"/>
  <c r="P1930" i="1"/>
  <c r="J1930" i="1"/>
  <c r="T1930" i="1" s="1"/>
  <c r="P1929" i="1"/>
  <c r="J1929" i="1"/>
  <c r="P1928" i="1"/>
  <c r="J1928" i="1"/>
  <c r="T1928" i="1" s="1"/>
  <c r="T1925" i="1"/>
  <c r="R1925" i="1"/>
  <c r="P1925" i="1"/>
  <c r="L1925" i="1"/>
  <c r="T1924" i="1"/>
  <c r="R1924" i="1"/>
  <c r="P1924" i="1"/>
  <c r="L1924" i="1"/>
  <c r="T1923" i="1"/>
  <c r="R1923" i="1"/>
  <c r="P1923" i="1"/>
  <c r="L1923" i="1"/>
  <c r="T1921" i="1"/>
  <c r="R1921" i="1"/>
  <c r="L1921" i="1"/>
  <c r="T1920" i="1"/>
  <c r="R1920" i="1"/>
  <c r="P1920" i="1"/>
  <c r="L1920" i="1"/>
  <c r="T1919" i="1"/>
  <c r="R1919" i="1"/>
  <c r="P1919" i="1"/>
  <c r="L1919" i="1"/>
  <c r="T1918" i="1"/>
  <c r="R1918" i="1"/>
  <c r="P1918" i="1"/>
  <c r="L1918" i="1"/>
  <c r="T1917" i="1"/>
  <c r="R1917" i="1"/>
  <c r="P1917" i="1"/>
  <c r="L1917" i="1"/>
  <c r="T1914" i="1"/>
  <c r="L1914" i="1"/>
  <c r="P1913" i="1"/>
  <c r="J1913" i="1"/>
  <c r="T1913" i="1" s="1"/>
  <c r="S1910" i="1"/>
  <c r="T1910" i="1" s="1"/>
  <c r="L1910" i="1"/>
  <c r="P1909" i="1"/>
  <c r="J1909" i="1"/>
  <c r="L1909" i="1" s="1"/>
  <c r="P1907" i="1"/>
  <c r="J1907" i="1"/>
  <c r="R1907" i="1" s="1"/>
  <c r="T1904" i="1"/>
  <c r="L1904" i="1"/>
  <c r="J1903" i="1"/>
  <c r="L1903" i="1" s="1"/>
  <c r="T1900" i="1"/>
  <c r="R1900" i="1"/>
  <c r="L1900" i="1"/>
  <c r="P1899" i="1"/>
  <c r="J1899" i="1"/>
  <c r="L1899" i="1" s="1"/>
  <c r="T1896" i="1"/>
  <c r="R1896" i="1"/>
  <c r="L1896" i="1"/>
  <c r="P1895" i="1"/>
  <c r="J1895" i="1"/>
  <c r="T1892" i="1"/>
  <c r="R1892" i="1"/>
  <c r="L1892" i="1"/>
  <c r="P1891" i="1"/>
  <c r="J1891" i="1"/>
  <c r="T1891" i="1" s="1"/>
  <c r="P1890" i="1"/>
  <c r="J1890" i="1"/>
  <c r="T1888" i="1"/>
  <c r="R1888" i="1"/>
  <c r="P1888" i="1"/>
  <c r="L1888" i="1"/>
  <c r="T1887" i="1"/>
  <c r="R1887" i="1"/>
  <c r="P1887" i="1"/>
  <c r="L1887" i="1"/>
  <c r="P1885" i="1"/>
  <c r="J1885" i="1"/>
  <c r="T1882" i="1"/>
  <c r="R1882" i="1"/>
  <c r="S1881" i="1"/>
  <c r="P1881" i="1"/>
  <c r="J1881" i="1"/>
  <c r="S1880" i="1"/>
  <c r="P1880" i="1"/>
  <c r="J1880" i="1"/>
  <c r="S1879" i="1"/>
  <c r="P1879" i="1"/>
  <c r="J1879" i="1"/>
  <c r="S1878" i="1"/>
  <c r="P1878" i="1"/>
  <c r="J1878" i="1"/>
  <c r="R1878" i="1" s="1"/>
  <c r="S1877" i="1"/>
  <c r="P1877" i="1"/>
  <c r="J1877" i="1"/>
  <c r="S1876" i="1"/>
  <c r="P1876" i="1"/>
  <c r="J1876" i="1"/>
  <c r="S1875" i="1"/>
  <c r="P1875" i="1"/>
  <c r="J1875" i="1"/>
  <c r="L1875" i="1" s="1"/>
  <c r="S1874" i="1"/>
  <c r="P1874" i="1"/>
  <c r="J1874" i="1"/>
  <c r="R1874" i="1" s="1"/>
  <c r="S1873" i="1"/>
  <c r="P1873" i="1"/>
  <c r="J1873" i="1"/>
  <c r="L1873" i="1" s="1"/>
  <c r="S1872" i="1"/>
  <c r="P1872" i="1"/>
  <c r="J1872" i="1"/>
  <c r="L1872" i="1" s="1"/>
  <c r="P1870" i="1"/>
  <c r="J1870" i="1"/>
  <c r="S1869" i="1"/>
  <c r="P1869" i="1"/>
  <c r="J1869" i="1"/>
  <c r="R1869" i="1" s="1"/>
  <c r="S1868" i="1"/>
  <c r="P1868" i="1"/>
  <c r="J1868" i="1"/>
  <c r="T1865" i="1"/>
  <c r="R1865" i="1"/>
  <c r="L1865" i="1"/>
  <c r="P1864" i="1"/>
  <c r="J1864" i="1"/>
  <c r="T1861" i="1"/>
  <c r="R1861" i="1"/>
  <c r="L1861" i="1"/>
  <c r="T1860" i="1"/>
  <c r="R1860" i="1"/>
  <c r="P1860" i="1"/>
  <c r="L1860" i="1"/>
  <c r="T1859" i="1"/>
  <c r="R1859" i="1"/>
  <c r="P1859" i="1"/>
  <c r="L1859" i="1"/>
  <c r="T1858" i="1"/>
  <c r="R1858" i="1"/>
  <c r="P1858" i="1"/>
  <c r="L1858" i="1"/>
  <c r="T1857" i="1"/>
  <c r="R1857" i="1"/>
  <c r="P1857" i="1"/>
  <c r="L1857" i="1"/>
  <c r="T1854" i="1"/>
  <c r="R1854" i="1"/>
  <c r="L1854" i="1"/>
  <c r="T1853" i="1"/>
  <c r="P1853" i="1"/>
  <c r="Q1853" i="1" s="1"/>
  <c r="L1853" i="1"/>
  <c r="T1852" i="1"/>
  <c r="R1852" i="1"/>
  <c r="P1852" i="1"/>
  <c r="L1852" i="1"/>
  <c r="T1851" i="1"/>
  <c r="R1851" i="1"/>
  <c r="P1851" i="1"/>
  <c r="L1851" i="1"/>
  <c r="T1849" i="1"/>
  <c r="R1849" i="1"/>
  <c r="P1849" i="1"/>
  <c r="L1849" i="1"/>
  <c r="T1846" i="1"/>
  <c r="R1846" i="1"/>
  <c r="L1846" i="1"/>
  <c r="T1845" i="1"/>
  <c r="R1845" i="1"/>
  <c r="P1845" i="1"/>
  <c r="K1845" i="1"/>
  <c r="L1845" i="1" s="1"/>
  <c r="T1844" i="1"/>
  <c r="R1844" i="1"/>
  <c r="P1844" i="1"/>
  <c r="K1844" i="1"/>
  <c r="L1844" i="1" s="1"/>
  <c r="T1843" i="1"/>
  <c r="R1843" i="1"/>
  <c r="P1843" i="1"/>
  <c r="K1843" i="1"/>
  <c r="L1843" i="1" s="1"/>
  <c r="T1842" i="1"/>
  <c r="R1842" i="1"/>
  <c r="P1842" i="1"/>
  <c r="K1842" i="1"/>
  <c r="L1842" i="1" s="1"/>
  <c r="T1841" i="1"/>
  <c r="R1841" i="1"/>
  <c r="P1841" i="1"/>
  <c r="K1841" i="1"/>
  <c r="L1841" i="1" s="1"/>
  <c r="S1840" i="1"/>
  <c r="T1840" i="1" s="1"/>
  <c r="R1840" i="1"/>
  <c r="P1840" i="1"/>
  <c r="K1840" i="1"/>
  <c r="L1840" i="1" s="1"/>
  <c r="T1837" i="1"/>
  <c r="R1837" i="1"/>
  <c r="L1837" i="1"/>
  <c r="P1836" i="1"/>
  <c r="J1836" i="1"/>
  <c r="T1833" i="1"/>
  <c r="R1833" i="1"/>
  <c r="L1833" i="1"/>
  <c r="T1832" i="1"/>
  <c r="R1832" i="1"/>
  <c r="L1832" i="1"/>
  <c r="T1831" i="1"/>
  <c r="R1831" i="1"/>
  <c r="P1831" i="1"/>
  <c r="L1831" i="1"/>
  <c r="T1828" i="1"/>
  <c r="R1828" i="1"/>
  <c r="L1828" i="1"/>
  <c r="P1827" i="1"/>
  <c r="J1827" i="1"/>
  <c r="L1827" i="1" s="1"/>
  <c r="T1824" i="1"/>
  <c r="T1823" i="1"/>
  <c r="P1823" i="1"/>
  <c r="L1823" i="1"/>
  <c r="P1822" i="1"/>
  <c r="J1822" i="1"/>
  <c r="T1822" i="1" s="1"/>
  <c r="T1819" i="1"/>
  <c r="T1818" i="1"/>
  <c r="P1818" i="1"/>
  <c r="L1818" i="1"/>
  <c r="P1817" i="1"/>
  <c r="J1817" i="1"/>
  <c r="T1817" i="1" s="1"/>
  <c r="T1814" i="1"/>
  <c r="P1813" i="1"/>
  <c r="J1813" i="1"/>
  <c r="T1810" i="1"/>
  <c r="P1809" i="1"/>
  <c r="J1809" i="1"/>
  <c r="P1806" i="1"/>
  <c r="J1806" i="1"/>
  <c r="T1806" i="1" s="1"/>
  <c r="T1803" i="1"/>
  <c r="P1803" i="1"/>
  <c r="L1803" i="1"/>
  <c r="T1802" i="1"/>
  <c r="P1802" i="1"/>
  <c r="L1802" i="1"/>
  <c r="P1801" i="1"/>
  <c r="J1801" i="1"/>
  <c r="R1801" i="1" s="1"/>
  <c r="P1800" i="1"/>
  <c r="J1800" i="1"/>
  <c r="L1800" i="1" s="1"/>
  <c r="T1797" i="1"/>
  <c r="P1797" i="1"/>
  <c r="L1797" i="1"/>
  <c r="P1796" i="1"/>
  <c r="J1796" i="1"/>
  <c r="R1796" i="1" s="1"/>
  <c r="T1793" i="1"/>
  <c r="P1793" i="1"/>
  <c r="L1793" i="1"/>
  <c r="P1792" i="1"/>
  <c r="J1792" i="1"/>
  <c r="L1792" i="1" s="1"/>
  <c r="P1791" i="1"/>
  <c r="J1791" i="1"/>
  <c r="L1791" i="1" s="1"/>
  <c r="T1788" i="1"/>
  <c r="P1788" i="1"/>
  <c r="L1788" i="1"/>
  <c r="P1787" i="1"/>
  <c r="J1787" i="1"/>
  <c r="T1787" i="1" s="1"/>
  <c r="P1786" i="1"/>
  <c r="J1786" i="1"/>
  <c r="T1786" i="1" s="1"/>
  <c r="P1785" i="1"/>
  <c r="J1785" i="1"/>
  <c r="P1784" i="1"/>
  <c r="J1784" i="1"/>
  <c r="P1783" i="1"/>
  <c r="J1783" i="1"/>
  <c r="R1783" i="1" s="1"/>
  <c r="T1781" i="1"/>
  <c r="R1781" i="1"/>
  <c r="P1781" i="1"/>
  <c r="L1781" i="1"/>
  <c r="T1780" i="1"/>
  <c r="R1780" i="1"/>
  <c r="P1780" i="1"/>
  <c r="L1780" i="1"/>
  <c r="T1777" i="1"/>
  <c r="R1777" i="1"/>
  <c r="L1777" i="1"/>
  <c r="P1776" i="1"/>
  <c r="J1776" i="1"/>
  <c r="L1776" i="1" s="1"/>
  <c r="P1773" i="1"/>
  <c r="J1773" i="1"/>
  <c r="L1773" i="1" s="1"/>
  <c r="P1772" i="1"/>
  <c r="J1772" i="1"/>
  <c r="T1772" i="1" s="1"/>
  <c r="P1771" i="1"/>
  <c r="J1771" i="1"/>
  <c r="T1771" i="1" s="1"/>
  <c r="P1770" i="1"/>
  <c r="J1770" i="1"/>
  <c r="R1770" i="1" s="1"/>
  <c r="R1768" i="1"/>
  <c r="Q1768" i="1"/>
  <c r="L1767" i="1"/>
  <c r="J1766" i="1"/>
  <c r="L1766" i="1" s="1"/>
  <c r="J1764" i="1"/>
  <c r="L1764" i="1" s="1"/>
  <c r="J1763" i="1"/>
  <c r="P1760" i="1"/>
  <c r="J1760" i="1"/>
  <c r="T1757" i="1"/>
  <c r="R1757" i="1"/>
  <c r="L1757" i="1"/>
  <c r="P1756" i="1"/>
  <c r="J1756" i="1"/>
  <c r="T1753" i="1"/>
  <c r="R1753" i="1"/>
  <c r="L1753" i="1"/>
  <c r="P1752" i="1"/>
  <c r="J1752" i="1"/>
  <c r="R1752" i="1" s="1"/>
  <c r="R1750" i="1"/>
  <c r="Q1750" i="1"/>
  <c r="K1750" i="1"/>
  <c r="T1749" i="1"/>
  <c r="P1748" i="1"/>
  <c r="J1747" i="1"/>
  <c r="J1746" i="1"/>
  <c r="T1746" i="1" s="1"/>
  <c r="R1744" i="1"/>
  <c r="Q1744" i="1"/>
  <c r="K1744" i="1"/>
  <c r="T1743" i="1"/>
  <c r="T1742" i="1"/>
  <c r="T1741" i="1"/>
  <c r="P1740" i="1"/>
  <c r="J1739" i="1"/>
  <c r="T1739" i="1" s="1"/>
  <c r="J1738" i="1"/>
  <c r="T1738" i="1" s="1"/>
  <c r="S1737" i="1"/>
  <c r="J1737" i="1"/>
  <c r="S1736" i="1"/>
  <c r="J1736" i="1"/>
  <c r="R1736" i="1" s="1"/>
  <c r="S1735" i="1"/>
  <c r="J1735" i="1"/>
  <c r="S1734" i="1"/>
  <c r="J1734" i="1"/>
  <c r="R1734" i="1" s="1"/>
  <c r="S1733" i="1"/>
  <c r="J1733" i="1"/>
  <c r="R1733" i="1" s="1"/>
  <c r="S1732" i="1"/>
  <c r="J1732" i="1"/>
  <c r="L1732" i="1" s="1"/>
  <c r="S1731" i="1"/>
  <c r="J1731" i="1"/>
  <c r="L1731" i="1" s="1"/>
  <c r="R1729" i="1"/>
  <c r="Q1729" i="1"/>
  <c r="K1729" i="1"/>
  <c r="P1728" i="1"/>
  <c r="J1727" i="1"/>
  <c r="R1727" i="1" s="1"/>
  <c r="T1724" i="1"/>
  <c r="R1724" i="1"/>
  <c r="P1724" i="1"/>
  <c r="L1724" i="1"/>
  <c r="T1723" i="1"/>
  <c r="R1723" i="1"/>
  <c r="P1723" i="1"/>
  <c r="L1723" i="1"/>
  <c r="T1722" i="1"/>
  <c r="R1722" i="1"/>
  <c r="P1722" i="1"/>
  <c r="L1722" i="1"/>
  <c r="T1719" i="1"/>
  <c r="R1719" i="1"/>
  <c r="L1719" i="1"/>
  <c r="P1718" i="1"/>
  <c r="J1718" i="1"/>
  <c r="L1718" i="1" s="1"/>
  <c r="P1717" i="1"/>
  <c r="J1717" i="1"/>
  <c r="T1717" i="1" s="1"/>
  <c r="T1714" i="1"/>
  <c r="R1714" i="1"/>
  <c r="P1714" i="1"/>
  <c r="L1714" i="1"/>
  <c r="P1713" i="1"/>
  <c r="J1713" i="1"/>
  <c r="T1710" i="1"/>
  <c r="P1710" i="1"/>
  <c r="L1710" i="1"/>
  <c r="P1709" i="1"/>
  <c r="J1709" i="1"/>
  <c r="R1709" i="1" s="1"/>
  <c r="T1706" i="1"/>
  <c r="P1706" i="1"/>
  <c r="L1706" i="1"/>
  <c r="P1705" i="1"/>
  <c r="J1705" i="1"/>
  <c r="T1705" i="1" s="1"/>
  <c r="P1704" i="1"/>
  <c r="J1704" i="1"/>
  <c r="T1701" i="1"/>
  <c r="P1701" i="1"/>
  <c r="L1701" i="1"/>
  <c r="T1700" i="1"/>
  <c r="P1700" i="1"/>
  <c r="L1700" i="1"/>
  <c r="P1699" i="1"/>
  <c r="J1699" i="1"/>
  <c r="R1699" i="1" s="1"/>
  <c r="P1698" i="1"/>
  <c r="J1698" i="1"/>
  <c r="T1695" i="1"/>
  <c r="P1695" i="1"/>
  <c r="L1695" i="1"/>
  <c r="P1694" i="1"/>
  <c r="J1694" i="1"/>
  <c r="L1694" i="1" s="1"/>
  <c r="P1693" i="1"/>
  <c r="J1693" i="1"/>
  <c r="L1693" i="1" s="1"/>
  <c r="T1690" i="1"/>
  <c r="R1690" i="1"/>
  <c r="L1690" i="1"/>
  <c r="P1689" i="1"/>
  <c r="J1689" i="1"/>
  <c r="T1689" i="1" s="1"/>
  <c r="P1688" i="1"/>
  <c r="J1688" i="1"/>
  <c r="P1687" i="1"/>
  <c r="J1687" i="1"/>
  <c r="L1687" i="1" s="1"/>
  <c r="T1684" i="1"/>
  <c r="R1684" i="1"/>
  <c r="L1684" i="1"/>
  <c r="P1683" i="1"/>
  <c r="J1683" i="1"/>
  <c r="T1680" i="1"/>
  <c r="L1680" i="1"/>
  <c r="J1679" i="1"/>
  <c r="L1679" i="1" s="1"/>
  <c r="P1676" i="1"/>
  <c r="J1676" i="1"/>
  <c r="P1673" i="1"/>
  <c r="J1673" i="1"/>
  <c r="P1672" i="1"/>
  <c r="J1672" i="1"/>
  <c r="T1669" i="1"/>
  <c r="P1669" i="1"/>
  <c r="L1669" i="1"/>
  <c r="P1668" i="1"/>
  <c r="J1668" i="1"/>
  <c r="L1668" i="1" s="1"/>
  <c r="T1667" i="1"/>
  <c r="P1667" i="1"/>
  <c r="L1667" i="1"/>
  <c r="P1666" i="1"/>
  <c r="J1666" i="1"/>
  <c r="P1665" i="1"/>
  <c r="J1665" i="1"/>
  <c r="R1665" i="1" s="1"/>
  <c r="T1662" i="1"/>
  <c r="R1662" i="1"/>
  <c r="L1662" i="1"/>
  <c r="P1661" i="1"/>
  <c r="J1661" i="1"/>
  <c r="R1661" i="1" s="1"/>
  <c r="T1658" i="1"/>
  <c r="R1658" i="1"/>
  <c r="L1658" i="1"/>
  <c r="P1657" i="1"/>
  <c r="J1657" i="1"/>
  <c r="T1654" i="1"/>
  <c r="R1654" i="1"/>
  <c r="L1654" i="1"/>
  <c r="T1653" i="1"/>
  <c r="L1653" i="1"/>
  <c r="P1652" i="1"/>
  <c r="J1652" i="1"/>
  <c r="T1652" i="1" s="1"/>
  <c r="P1651" i="1"/>
  <c r="J1651" i="1"/>
  <c r="T1651" i="1" s="1"/>
  <c r="P1650" i="1"/>
  <c r="J1650" i="1"/>
  <c r="T1647" i="1"/>
  <c r="R1647" i="1"/>
  <c r="L1647" i="1"/>
  <c r="P1646" i="1"/>
  <c r="J1646" i="1"/>
  <c r="R1646" i="1" s="1"/>
  <c r="T1643" i="1"/>
  <c r="R1643" i="1"/>
  <c r="L1643" i="1"/>
  <c r="P1642" i="1"/>
  <c r="J1642" i="1"/>
  <c r="T1639" i="1"/>
  <c r="R1639" i="1"/>
  <c r="L1639" i="1"/>
  <c r="T1638" i="1"/>
  <c r="R1638" i="1"/>
  <c r="L1638" i="1"/>
  <c r="T1637" i="1"/>
  <c r="R1637" i="1"/>
  <c r="P1637" i="1"/>
  <c r="L1637" i="1"/>
  <c r="P1635" i="1"/>
  <c r="J1635" i="1"/>
  <c r="L1635" i="1" s="1"/>
  <c r="P1634" i="1"/>
  <c r="J1634" i="1"/>
  <c r="L1634" i="1" s="1"/>
  <c r="P1633" i="1"/>
  <c r="J1633" i="1"/>
  <c r="L1633" i="1" s="1"/>
  <c r="P1632" i="1"/>
  <c r="J1632" i="1"/>
  <c r="T1632" i="1" s="1"/>
  <c r="P1631" i="1"/>
  <c r="J1631" i="1"/>
  <c r="L1631" i="1" s="1"/>
  <c r="T1628" i="1"/>
  <c r="P1628" i="1"/>
  <c r="L1628" i="1"/>
  <c r="P1627" i="1"/>
  <c r="J1627" i="1"/>
  <c r="T1625" i="1"/>
  <c r="S1625" i="1"/>
  <c r="J1624" i="1"/>
  <c r="T1622" i="1"/>
  <c r="S1622" i="1"/>
  <c r="T1621" i="1"/>
  <c r="L1621" i="1"/>
  <c r="J1620" i="1"/>
  <c r="J1619" i="1"/>
  <c r="L1619" i="1" s="1"/>
  <c r="J1618" i="1"/>
  <c r="L1618" i="1" s="1"/>
  <c r="T1615" i="1"/>
  <c r="P1614" i="1"/>
  <c r="J1614" i="1"/>
  <c r="T1614" i="1" s="1"/>
  <c r="P1613" i="1"/>
  <c r="J1613" i="1"/>
  <c r="P1612" i="1"/>
  <c r="J1612" i="1"/>
  <c r="P1611" i="1"/>
  <c r="J1611" i="1"/>
  <c r="R1611" i="1" s="1"/>
  <c r="P1610" i="1"/>
  <c r="J1610" i="1"/>
  <c r="T1610" i="1" s="1"/>
  <c r="P1609" i="1"/>
  <c r="J1609" i="1"/>
  <c r="P1608" i="1"/>
  <c r="J1608" i="1"/>
  <c r="P1607" i="1"/>
  <c r="J1607" i="1"/>
  <c r="P1604" i="1"/>
  <c r="J1604" i="1"/>
  <c r="R1604" i="1" s="1"/>
  <c r="T1601" i="1"/>
  <c r="R1601" i="1"/>
  <c r="P1600" i="1"/>
  <c r="J1600" i="1"/>
  <c r="T1600" i="1" s="1"/>
  <c r="P1599" i="1"/>
  <c r="J1599" i="1"/>
  <c r="L1599" i="1" s="1"/>
  <c r="P1598" i="1"/>
  <c r="J1598" i="1"/>
  <c r="L1598" i="1" s="1"/>
  <c r="P1597" i="1"/>
  <c r="J1597" i="1"/>
  <c r="L1597" i="1" s="1"/>
  <c r="T1595" i="1"/>
  <c r="T1594" i="1"/>
  <c r="R1594" i="1"/>
  <c r="P1594" i="1"/>
  <c r="L1594" i="1"/>
  <c r="P1593" i="1"/>
  <c r="J1593" i="1"/>
  <c r="P1587" i="1"/>
  <c r="J1587" i="1"/>
  <c r="T1585" i="1"/>
  <c r="P1585" i="1"/>
  <c r="L1585" i="1"/>
  <c r="P1584" i="1"/>
  <c r="J1584" i="1"/>
  <c r="P1582" i="1"/>
  <c r="J1582" i="1"/>
  <c r="L1582" i="1" s="1"/>
  <c r="P1581" i="1"/>
  <c r="J1581" i="1"/>
  <c r="L1581" i="1" s="1"/>
  <c r="S1578" i="1"/>
  <c r="T1578" i="1" s="1"/>
  <c r="P1578" i="1"/>
  <c r="L1578" i="1"/>
  <c r="P1577" i="1"/>
  <c r="J1577" i="1"/>
  <c r="P1576" i="1"/>
  <c r="J1576" i="1"/>
  <c r="L1576" i="1" s="1"/>
  <c r="T1575" i="1"/>
  <c r="R1575" i="1"/>
  <c r="P1575" i="1"/>
  <c r="L1575" i="1"/>
  <c r="R1573" i="1"/>
  <c r="T1572" i="1"/>
  <c r="R1572" i="1"/>
  <c r="P1572" i="1"/>
  <c r="L1572" i="1"/>
  <c r="P1571" i="1"/>
  <c r="J1571" i="1"/>
  <c r="T1568" i="1"/>
  <c r="L1568" i="1"/>
  <c r="T1567" i="1"/>
  <c r="P1567" i="1"/>
  <c r="Q1567" i="1" s="1"/>
  <c r="L1567" i="1"/>
  <c r="T1566" i="1"/>
  <c r="R1566" i="1"/>
  <c r="P1566" i="1"/>
  <c r="L1566" i="1"/>
  <c r="T1565" i="1"/>
  <c r="R1565" i="1"/>
  <c r="P1565" i="1"/>
  <c r="L1565" i="1"/>
  <c r="T1564" i="1"/>
  <c r="R1564" i="1"/>
  <c r="P1564" i="1"/>
  <c r="L1564" i="1"/>
  <c r="T1563" i="1"/>
  <c r="R1563" i="1"/>
  <c r="P1563" i="1"/>
  <c r="L1563" i="1"/>
  <c r="T1562" i="1"/>
  <c r="R1562" i="1"/>
  <c r="P1562" i="1"/>
  <c r="L1562" i="1"/>
  <c r="T1561" i="1"/>
  <c r="R1561" i="1"/>
  <c r="P1561" i="1"/>
  <c r="L1561" i="1"/>
  <c r="T1560" i="1"/>
  <c r="R1560" i="1"/>
  <c r="P1560" i="1"/>
  <c r="L1560" i="1"/>
  <c r="P1557" i="1"/>
  <c r="L1557" i="1"/>
  <c r="P1556" i="1"/>
  <c r="J1556" i="1"/>
  <c r="T1556" i="1" s="1"/>
  <c r="T1553" i="1"/>
  <c r="P1553" i="1"/>
  <c r="L1553" i="1"/>
  <c r="T1552" i="1"/>
  <c r="P1552" i="1"/>
  <c r="L1552" i="1"/>
  <c r="T1549" i="1"/>
  <c r="R1549" i="1"/>
  <c r="P1548" i="1"/>
  <c r="J1548" i="1"/>
  <c r="L1548" i="1" s="1"/>
  <c r="P1547" i="1"/>
  <c r="J1547" i="1"/>
  <c r="L1547" i="1" s="1"/>
  <c r="T1544" i="1"/>
  <c r="R1544" i="1"/>
  <c r="P1543" i="1"/>
  <c r="J1543" i="1"/>
  <c r="T1543" i="1" s="1"/>
  <c r="P1542" i="1"/>
  <c r="J1542" i="1"/>
  <c r="L1542" i="1" s="1"/>
  <c r="P1541" i="1"/>
  <c r="J1541" i="1"/>
  <c r="T1538" i="1"/>
  <c r="R1538" i="1"/>
  <c r="P1537" i="1"/>
  <c r="J1537" i="1"/>
  <c r="P1536" i="1"/>
  <c r="J1536" i="1"/>
  <c r="P1535" i="1"/>
  <c r="J1535" i="1"/>
  <c r="P1534" i="1"/>
  <c r="J1534" i="1"/>
  <c r="T1531" i="1"/>
  <c r="R1531" i="1"/>
  <c r="P1530" i="1"/>
  <c r="J1530" i="1"/>
  <c r="L1530" i="1" s="1"/>
  <c r="T1527" i="1"/>
  <c r="R1527" i="1"/>
  <c r="P1526" i="1"/>
  <c r="J1526" i="1"/>
  <c r="T1526" i="1" s="1"/>
  <c r="P1525" i="1"/>
  <c r="J1525" i="1"/>
  <c r="T1522" i="1"/>
  <c r="R1522" i="1"/>
  <c r="L1522" i="1"/>
  <c r="P1521" i="1"/>
  <c r="J1521" i="1"/>
  <c r="T1518" i="1"/>
  <c r="P1518" i="1"/>
  <c r="L1518" i="1"/>
  <c r="P1517" i="1"/>
  <c r="J1517" i="1"/>
  <c r="T1517" i="1" s="1"/>
  <c r="P1516" i="1"/>
  <c r="J1516" i="1"/>
  <c r="R1516" i="1" s="1"/>
  <c r="P1514" i="1"/>
  <c r="J1514" i="1"/>
  <c r="L1514" i="1" s="1"/>
  <c r="P1512" i="1"/>
  <c r="J1512" i="1"/>
  <c r="P1511" i="1"/>
  <c r="J1511" i="1"/>
  <c r="R1511" i="1" s="1"/>
  <c r="P1510" i="1"/>
  <c r="J1510" i="1"/>
  <c r="T1510" i="1" s="1"/>
  <c r="P1509" i="1"/>
  <c r="J1509" i="1"/>
  <c r="P1506" i="1"/>
  <c r="L1506" i="1"/>
  <c r="P1505" i="1"/>
  <c r="J1505" i="1"/>
  <c r="T1503" i="1"/>
  <c r="R1503" i="1"/>
  <c r="P1503" i="1"/>
  <c r="L1503" i="1"/>
  <c r="P1502" i="1"/>
  <c r="J1502" i="1"/>
  <c r="P1501" i="1"/>
  <c r="J1501" i="1"/>
  <c r="T1501" i="1" s="1"/>
  <c r="T1498" i="1"/>
  <c r="L1498" i="1"/>
  <c r="J1497" i="1"/>
  <c r="L1497" i="1" s="1"/>
  <c r="S1494" i="1"/>
  <c r="T1494" i="1" s="1"/>
  <c r="P1494" i="1"/>
  <c r="L1494" i="1"/>
  <c r="P1493" i="1"/>
  <c r="J1493" i="1"/>
  <c r="R1493" i="1" s="1"/>
  <c r="P1491" i="1"/>
  <c r="J1491" i="1"/>
  <c r="P1490" i="1"/>
  <c r="J1490" i="1"/>
  <c r="T1490" i="1" s="1"/>
  <c r="T1489" i="1"/>
  <c r="R1489" i="1"/>
  <c r="P1489" i="1"/>
  <c r="L1489" i="1"/>
  <c r="T1486" i="1"/>
  <c r="P1486" i="1"/>
  <c r="L1486" i="1"/>
  <c r="P1485" i="1"/>
  <c r="J1485" i="1"/>
  <c r="R1485" i="1" s="1"/>
  <c r="T1482" i="1"/>
  <c r="P1482" i="1"/>
  <c r="L1482" i="1"/>
  <c r="P1481" i="1"/>
  <c r="J1481" i="1"/>
  <c r="J1478" i="1"/>
  <c r="R1478" i="1" s="1"/>
  <c r="T1476" i="1"/>
  <c r="R1476" i="1"/>
  <c r="P1475" i="1"/>
  <c r="J1475" i="1"/>
  <c r="T1475" i="1" s="1"/>
  <c r="T1472" i="1"/>
  <c r="P1472" i="1"/>
  <c r="L1472" i="1"/>
  <c r="P1471" i="1"/>
  <c r="J1471" i="1"/>
  <c r="L1471" i="1" s="1"/>
  <c r="T1468" i="1"/>
  <c r="R1468" i="1"/>
  <c r="P1467" i="1"/>
  <c r="J1467" i="1"/>
  <c r="L1467" i="1" s="1"/>
  <c r="P1466" i="1"/>
  <c r="J1466" i="1"/>
  <c r="L1466" i="1" s="1"/>
  <c r="P1463" i="1"/>
  <c r="J1463" i="1"/>
  <c r="T1463" i="1" s="1"/>
  <c r="T1462" i="1"/>
  <c r="R1462" i="1"/>
  <c r="P1462" i="1"/>
  <c r="L1462" i="1"/>
  <c r="P1461" i="1"/>
  <c r="J1461" i="1"/>
  <c r="R1461" i="1" s="1"/>
  <c r="T1458" i="1"/>
  <c r="R1458" i="1"/>
  <c r="L1458" i="1"/>
  <c r="P1457" i="1"/>
  <c r="J1457" i="1"/>
  <c r="T1454" i="1"/>
  <c r="R1454" i="1"/>
  <c r="L1454" i="1"/>
  <c r="P1453" i="1"/>
  <c r="J1453" i="1"/>
  <c r="R1453" i="1" s="1"/>
  <c r="P1449" i="1"/>
  <c r="J1449" i="1"/>
  <c r="L1449" i="1" s="1"/>
  <c r="P1448" i="1"/>
  <c r="J1448" i="1"/>
  <c r="L1448" i="1" s="1"/>
  <c r="T1446" i="1"/>
  <c r="T1445" i="1"/>
  <c r="R1445" i="1"/>
  <c r="P1445" i="1"/>
  <c r="L1445" i="1"/>
  <c r="P1444" i="1"/>
  <c r="J1444" i="1"/>
  <c r="P1443" i="1"/>
  <c r="J1443" i="1"/>
  <c r="L1443" i="1" s="1"/>
  <c r="T1440" i="1"/>
  <c r="P1439" i="1"/>
  <c r="J1439" i="1"/>
  <c r="T1438" i="1"/>
  <c r="P1437" i="1"/>
  <c r="J1437" i="1"/>
  <c r="P1436" i="1"/>
  <c r="J1436" i="1"/>
  <c r="P1433" i="1"/>
  <c r="J1433" i="1"/>
  <c r="T1432" i="1"/>
  <c r="L1432" i="1"/>
  <c r="P1431" i="1"/>
  <c r="J1431" i="1"/>
  <c r="P1430" i="1"/>
  <c r="J1430" i="1"/>
  <c r="P1429" i="1"/>
  <c r="J1429" i="1"/>
  <c r="L1429" i="1" s="1"/>
  <c r="P1428" i="1"/>
  <c r="J1428" i="1"/>
  <c r="P1427" i="1"/>
  <c r="J1427" i="1"/>
  <c r="T1427" i="1" s="1"/>
  <c r="T1424" i="1"/>
  <c r="P1424" i="1"/>
  <c r="L1424" i="1"/>
  <c r="P1423" i="1"/>
  <c r="J1423" i="1"/>
  <c r="R1423" i="1" s="1"/>
  <c r="T1420" i="1"/>
  <c r="P1420" i="1"/>
  <c r="L1420" i="1"/>
  <c r="J1419" i="1"/>
  <c r="L1419" i="1" s="1"/>
  <c r="L1416" i="1"/>
  <c r="J1415" i="1"/>
  <c r="J1413" i="1"/>
  <c r="T1413" i="1" s="1"/>
  <c r="T1410" i="1"/>
  <c r="R1410" i="1"/>
  <c r="L1410" i="1"/>
  <c r="P1409" i="1"/>
  <c r="J1409" i="1"/>
  <c r="R1409" i="1" s="1"/>
  <c r="P1408" i="1"/>
  <c r="J1408" i="1"/>
  <c r="R1408" i="1" s="1"/>
  <c r="T1405" i="1"/>
  <c r="P1405" i="1"/>
  <c r="L1405" i="1"/>
  <c r="P1404" i="1"/>
  <c r="J1404" i="1"/>
  <c r="T1404" i="1" s="1"/>
  <c r="T1401" i="1"/>
  <c r="R1401" i="1"/>
  <c r="T1400" i="1"/>
  <c r="R1400" i="1"/>
  <c r="P1400" i="1"/>
  <c r="L1400" i="1"/>
  <c r="T1397" i="1"/>
  <c r="P1397" i="1"/>
  <c r="L1397" i="1"/>
  <c r="P1396" i="1"/>
  <c r="J1396" i="1"/>
  <c r="T1396" i="1" s="1"/>
  <c r="P1394" i="1"/>
  <c r="J1394" i="1"/>
  <c r="L1394" i="1" s="1"/>
  <c r="P1393" i="1"/>
  <c r="J1393" i="1"/>
  <c r="R1393" i="1" s="1"/>
  <c r="P1390" i="1"/>
  <c r="J1390" i="1"/>
  <c r="P1389" i="1"/>
  <c r="J1389" i="1"/>
  <c r="P1387" i="1"/>
  <c r="J1387" i="1"/>
  <c r="P1385" i="1"/>
  <c r="J1385" i="1"/>
  <c r="T1385" i="1" s="1"/>
  <c r="P1384" i="1"/>
  <c r="J1384" i="1"/>
  <c r="T1384" i="1" s="1"/>
  <c r="P1383" i="1"/>
  <c r="J1383" i="1"/>
  <c r="R1383" i="1" s="1"/>
  <c r="P1382" i="1"/>
  <c r="J1382" i="1"/>
  <c r="L1382" i="1" s="1"/>
  <c r="T1379" i="1"/>
  <c r="R1379" i="1"/>
  <c r="P1378" i="1"/>
  <c r="J1378" i="1"/>
  <c r="T1378" i="1" s="1"/>
  <c r="P1377" i="1"/>
  <c r="J1377" i="1"/>
  <c r="P1376" i="1"/>
  <c r="J1376" i="1"/>
  <c r="T1376" i="1" s="1"/>
  <c r="P1375" i="1"/>
  <c r="J1375" i="1"/>
  <c r="R1375" i="1" s="1"/>
  <c r="P1374" i="1"/>
  <c r="J1374" i="1"/>
  <c r="R1374" i="1" s="1"/>
  <c r="P1373" i="1"/>
  <c r="J1373" i="1"/>
  <c r="T1372" i="1"/>
  <c r="R1372" i="1"/>
  <c r="P1371" i="1"/>
  <c r="J1371" i="1"/>
  <c r="P1370" i="1"/>
  <c r="J1370" i="1"/>
  <c r="L1370" i="1" s="1"/>
  <c r="P1369" i="1"/>
  <c r="J1369" i="1"/>
  <c r="P1368" i="1"/>
  <c r="J1368" i="1"/>
  <c r="L1368" i="1" s="1"/>
  <c r="P1367" i="1"/>
  <c r="J1367" i="1"/>
  <c r="T1367" i="1" s="1"/>
  <c r="P1366" i="1"/>
  <c r="J1366" i="1"/>
  <c r="P1365" i="1"/>
  <c r="J1365" i="1"/>
  <c r="P1364" i="1"/>
  <c r="J1364" i="1"/>
  <c r="P1363" i="1"/>
  <c r="J1363" i="1"/>
  <c r="L1363" i="1" s="1"/>
  <c r="P1362" i="1"/>
  <c r="J1362" i="1"/>
  <c r="T1362" i="1" s="1"/>
  <c r="P1361" i="1"/>
  <c r="J1361" i="1"/>
  <c r="L1361" i="1" s="1"/>
  <c r="T1358" i="1"/>
  <c r="P1358" i="1"/>
  <c r="L1358" i="1"/>
  <c r="P1357" i="1"/>
  <c r="J1357" i="1"/>
  <c r="L1357" i="1" s="1"/>
  <c r="T1354" i="1"/>
  <c r="P1354" i="1"/>
  <c r="L1354" i="1"/>
  <c r="T1353" i="1"/>
  <c r="P1353" i="1"/>
  <c r="L1353" i="1"/>
  <c r="T1352" i="1"/>
  <c r="R1352" i="1"/>
  <c r="P1352" i="1"/>
  <c r="L1352" i="1"/>
  <c r="T1350" i="1"/>
  <c r="P1350" i="1"/>
  <c r="L1350" i="1"/>
  <c r="T1349" i="1"/>
  <c r="R1349" i="1"/>
  <c r="P1349" i="1"/>
  <c r="L1349" i="1"/>
  <c r="T1346" i="1"/>
  <c r="P1346" i="1"/>
  <c r="L1346" i="1"/>
  <c r="P1345" i="1"/>
  <c r="J1345" i="1"/>
  <c r="T1343" i="1"/>
  <c r="P1343" i="1"/>
  <c r="L1343" i="1"/>
  <c r="T1342" i="1"/>
  <c r="R1342" i="1"/>
  <c r="P1342" i="1"/>
  <c r="L1342" i="1"/>
  <c r="T1339" i="1"/>
  <c r="P1339" i="1"/>
  <c r="L1339" i="1"/>
  <c r="P1338" i="1"/>
  <c r="J1338" i="1"/>
  <c r="P1337" i="1"/>
  <c r="J1337" i="1"/>
  <c r="L1337" i="1" s="1"/>
  <c r="T1334" i="1"/>
  <c r="P1334" i="1"/>
  <c r="L1334" i="1"/>
  <c r="P1333" i="1"/>
  <c r="J1333" i="1"/>
  <c r="T1331" i="1"/>
  <c r="S1331" i="1"/>
  <c r="T1330" i="1"/>
  <c r="R1330" i="1"/>
  <c r="P1330" i="1"/>
  <c r="J1329" i="1"/>
  <c r="J1328" i="1"/>
  <c r="R1328" i="1" s="1"/>
  <c r="J1327" i="1"/>
  <c r="L1327" i="1" s="1"/>
  <c r="J1326" i="1"/>
  <c r="J1325" i="1"/>
  <c r="J1324" i="1"/>
  <c r="T1324" i="1" s="1"/>
  <c r="J1323" i="1"/>
  <c r="J1322" i="1"/>
  <c r="T1322" i="1" s="1"/>
  <c r="J1321" i="1"/>
  <c r="J1320" i="1"/>
  <c r="J1319" i="1"/>
  <c r="R1319" i="1" s="1"/>
  <c r="J1318" i="1"/>
  <c r="T1318" i="1" s="1"/>
  <c r="J1317" i="1"/>
  <c r="J1316" i="1"/>
  <c r="R1316" i="1" s="1"/>
  <c r="J1315" i="1"/>
  <c r="R1315" i="1" s="1"/>
  <c r="S1313" i="1"/>
  <c r="T1313" i="1" s="1"/>
  <c r="L1313" i="1"/>
  <c r="T1311" i="1"/>
  <c r="P1311" i="1"/>
  <c r="L1311" i="1"/>
  <c r="P1310" i="1"/>
  <c r="J1310" i="1"/>
  <c r="R1310" i="1" s="1"/>
  <c r="T1308" i="1"/>
  <c r="S1308" i="1"/>
  <c r="T1307" i="1"/>
  <c r="L1307" i="1"/>
  <c r="J1306" i="1"/>
  <c r="T1306" i="1" s="1"/>
  <c r="J1305" i="1"/>
  <c r="L1302" i="1"/>
  <c r="T1301" i="1"/>
  <c r="R1301" i="1"/>
  <c r="P1301" i="1"/>
  <c r="L1301" i="1"/>
  <c r="T1300" i="1"/>
  <c r="R1300" i="1"/>
  <c r="P1300" i="1"/>
  <c r="L1300" i="1"/>
  <c r="T1299" i="1"/>
  <c r="R1299" i="1"/>
  <c r="P1299" i="1"/>
  <c r="L1299" i="1"/>
  <c r="T1298" i="1"/>
  <c r="R1298" i="1"/>
  <c r="P1298" i="1"/>
  <c r="L1298" i="1"/>
  <c r="P1296" i="1"/>
  <c r="J1296" i="1"/>
  <c r="P1295" i="1"/>
  <c r="J1295" i="1"/>
  <c r="T1292" i="1"/>
  <c r="R1292" i="1"/>
  <c r="P1291" i="1"/>
  <c r="J1291" i="1"/>
  <c r="P1290" i="1"/>
  <c r="J1290" i="1"/>
  <c r="T1290" i="1" s="1"/>
  <c r="P1289" i="1"/>
  <c r="J1289" i="1"/>
  <c r="T1289" i="1" s="1"/>
  <c r="T1286" i="1"/>
  <c r="R1286" i="1"/>
  <c r="P1285" i="1"/>
  <c r="J1285" i="1"/>
  <c r="R1285" i="1" s="1"/>
  <c r="P1284" i="1"/>
  <c r="J1284" i="1"/>
  <c r="P1283" i="1"/>
  <c r="J1283" i="1"/>
  <c r="L1283" i="1" s="1"/>
  <c r="P1282" i="1"/>
  <c r="J1282" i="1"/>
  <c r="L1282" i="1" s="1"/>
  <c r="P1280" i="1"/>
  <c r="J1280" i="1"/>
  <c r="P1279" i="1"/>
  <c r="J1279" i="1"/>
  <c r="P1278" i="1"/>
  <c r="J1278" i="1"/>
  <c r="L1278" i="1" s="1"/>
  <c r="P1277" i="1"/>
  <c r="J1277" i="1"/>
  <c r="T1274" i="1"/>
  <c r="R1274" i="1"/>
  <c r="L1274" i="1"/>
  <c r="P1273" i="1"/>
  <c r="J1273" i="1"/>
  <c r="R1273" i="1" s="1"/>
  <c r="R1271" i="1"/>
  <c r="T1270" i="1"/>
  <c r="R1270" i="1"/>
  <c r="P1270" i="1"/>
  <c r="L1270" i="1"/>
  <c r="P1269" i="1"/>
  <c r="J1269" i="1"/>
  <c r="L1269" i="1" s="1"/>
  <c r="P1268" i="1"/>
  <c r="J1268" i="1"/>
  <c r="T1265" i="1"/>
  <c r="L1265" i="1"/>
  <c r="T1264" i="1"/>
  <c r="R1264" i="1"/>
  <c r="P1264" i="1"/>
  <c r="L1264" i="1"/>
  <c r="T1263" i="1"/>
  <c r="R1263" i="1"/>
  <c r="P1263" i="1"/>
  <c r="L1263" i="1"/>
  <c r="T1262" i="1"/>
  <c r="R1262" i="1"/>
  <c r="P1262" i="1"/>
  <c r="L1262" i="1"/>
  <c r="T1261" i="1"/>
  <c r="R1261" i="1"/>
  <c r="P1261" i="1"/>
  <c r="L1261" i="1"/>
  <c r="T1260" i="1"/>
  <c r="R1260" i="1"/>
  <c r="P1260" i="1"/>
  <c r="L1260" i="1"/>
  <c r="T1259" i="1"/>
  <c r="R1259" i="1"/>
  <c r="P1259" i="1"/>
  <c r="L1259" i="1"/>
  <c r="T1258" i="1"/>
  <c r="R1258" i="1"/>
  <c r="P1258" i="1"/>
  <c r="L1258" i="1"/>
  <c r="T1257" i="1"/>
  <c r="R1257" i="1"/>
  <c r="P1257" i="1"/>
  <c r="L1257" i="1"/>
  <c r="T1256" i="1"/>
  <c r="R1256" i="1"/>
  <c r="P1256" i="1"/>
  <c r="L1256" i="1"/>
  <c r="T1255" i="1"/>
  <c r="R1255" i="1"/>
  <c r="P1255" i="1"/>
  <c r="L1255" i="1"/>
  <c r="T1254" i="1"/>
  <c r="R1254" i="1"/>
  <c r="P1254" i="1"/>
  <c r="L1254" i="1"/>
  <c r="T1253" i="1"/>
  <c r="R1253" i="1"/>
  <c r="P1253" i="1"/>
  <c r="L1253" i="1"/>
  <c r="T1250" i="1"/>
  <c r="R1250" i="1"/>
  <c r="P1249" i="1"/>
  <c r="J1249" i="1"/>
  <c r="T1246" i="1"/>
  <c r="P1246" i="1"/>
  <c r="L1246" i="1"/>
  <c r="P1245" i="1"/>
  <c r="J1245" i="1"/>
  <c r="P1244" i="1"/>
  <c r="J1244" i="1"/>
  <c r="P1243" i="1"/>
  <c r="J1243" i="1"/>
  <c r="L1243" i="1" s="1"/>
  <c r="T1240" i="1"/>
  <c r="R1240" i="1"/>
  <c r="P1239" i="1"/>
  <c r="J1239" i="1"/>
  <c r="P1237" i="1"/>
  <c r="J1237" i="1"/>
  <c r="T1237" i="1" s="1"/>
  <c r="T1234" i="1"/>
  <c r="P1234" i="1"/>
  <c r="L1234" i="1"/>
  <c r="P1233" i="1"/>
  <c r="J1233" i="1"/>
  <c r="L1233" i="1" s="1"/>
  <c r="T1230" i="1"/>
  <c r="P1230" i="1"/>
  <c r="L1230" i="1"/>
  <c r="P1229" i="1"/>
  <c r="J1229" i="1"/>
  <c r="L1229" i="1" s="1"/>
  <c r="T1226" i="1"/>
  <c r="R1226" i="1"/>
  <c r="P1226" i="1"/>
  <c r="L1226" i="1"/>
  <c r="T1224" i="1"/>
  <c r="P1224" i="1"/>
  <c r="L1224" i="1"/>
  <c r="T1223" i="1"/>
  <c r="R1223" i="1"/>
  <c r="P1223" i="1"/>
  <c r="L1223" i="1"/>
  <c r="T1222" i="1"/>
  <c r="R1222" i="1"/>
  <c r="P1222" i="1"/>
  <c r="L1222" i="1"/>
  <c r="T1221" i="1"/>
  <c r="R1221" i="1"/>
  <c r="P1221" i="1"/>
  <c r="L1221" i="1"/>
  <c r="T1219" i="1"/>
  <c r="T1218" i="1"/>
  <c r="S1218" i="1"/>
  <c r="P1218" i="1"/>
  <c r="L1218" i="1"/>
  <c r="P1217" i="1"/>
  <c r="J1217" i="1"/>
  <c r="L1217" i="1" s="1"/>
  <c r="P1216" i="1"/>
  <c r="J1216" i="1"/>
  <c r="R1216" i="1" s="1"/>
  <c r="P1215" i="1"/>
  <c r="J1215" i="1"/>
  <c r="T1212" i="1"/>
  <c r="R1212" i="1"/>
  <c r="P1212" i="1"/>
  <c r="L1212" i="1"/>
  <c r="P1211" i="1"/>
  <c r="J1211" i="1"/>
  <c r="L1211" i="1" s="1"/>
  <c r="T1208" i="1"/>
  <c r="R1208" i="1"/>
  <c r="P1208" i="1"/>
  <c r="L1208" i="1"/>
  <c r="P1207" i="1"/>
  <c r="J1207" i="1"/>
  <c r="T1207" i="1" s="1"/>
  <c r="T1204" i="1"/>
  <c r="R1204" i="1"/>
  <c r="L1204" i="1"/>
  <c r="P1203" i="1"/>
  <c r="J1203" i="1"/>
  <c r="T1200" i="1"/>
  <c r="R1200" i="1"/>
  <c r="P1200" i="1"/>
  <c r="L1200" i="1"/>
  <c r="T1199" i="1"/>
  <c r="R1199" i="1"/>
  <c r="L1199" i="1"/>
  <c r="J1198" i="1"/>
  <c r="T1195" i="1"/>
  <c r="R1195" i="1"/>
  <c r="L1195" i="1"/>
  <c r="T1194" i="1"/>
  <c r="R1194" i="1"/>
  <c r="L1194" i="1"/>
  <c r="T1193" i="1"/>
  <c r="R1193" i="1"/>
  <c r="P1193" i="1"/>
  <c r="L1193" i="1"/>
  <c r="T1190" i="1"/>
  <c r="R1190" i="1"/>
  <c r="P1190" i="1"/>
  <c r="L1190" i="1"/>
  <c r="T1189" i="1"/>
  <c r="R1189" i="1"/>
  <c r="P1189" i="1"/>
  <c r="L1189" i="1"/>
  <c r="T1186" i="1"/>
  <c r="R1186" i="1"/>
  <c r="P1186" i="1"/>
  <c r="L1186" i="1"/>
  <c r="T1185" i="1"/>
  <c r="R1185" i="1"/>
  <c r="P1185" i="1"/>
  <c r="L1185" i="1"/>
  <c r="T1182" i="1"/>
  <c r="L1182" i="1"/>
  <c r="J1181" i="1"/>
  <c r="L1181" i="1" s="1"/>
  <c r="J1180" i="1"/>
  <c r="L1180" i="1" s="1"/>
  <c r="T1178" i="1"/>
  <c r="T1177" i="1"/>
  <c r="R1177" i="1"/>
  <c r="P1177" i="1"/>
  <c r="L1177" i="1"/>
  <c r="P1176" i="1"/>
  <c r="J1176" i="1"/>
  <c r="R1176" i="1" s="1"/>
  <c r="P1175" i="1"/>
  <c r="J1175" i="1"/>
  <c r="P1174" i="1"/>
  <c r="J1174" i="1"/>
  <c r="L1174" i="1" s="1"/>
  <c r="P1173" i="1"/>
  <c r="J1173" i="1"/>
  <c r="L1173" i="1" s="1"/>
  <c r="T1170" i="1"/>
  <c r="R1170" i="1"/>
  <c r="P1170" i="1"/>
  <c r="L1170" i="1"/>
  <c r="P1169" i="1"/>
  <c r="J1169" i="1"/>
  <c r="R1169" i="1" s="1"/>
  <c r="T1166" i="1"/>
  <c r="R1166" i="1"/>
  <c r="P1166" i="1"/>
  <c r="L1166" i="1"/>
  <c r="P1165" i="1"/>
  <c r="J1165" i="1"/>
  <c r="R1165" i="1" s="1"/>
  <c r="T1162" i="1"/>
  <c r="R1162" i="1"/>
  <c r="L1162" i="1"/>
  <c r="P1161" i="1"/>
  <c r="L1161" i="1"/>
  <c r="P1160" i="1"/>
  <c r="L1160" i="1"/>
  <c r="P1158" i="1"/>
  <c r="L1158" i="1"/>
  <c r="P1157" i="1"/>
  <c r="L1157" i="1"/>
  <c r="P1156" i="1"/>
  <c r="L1156" i="1"/>
  <c r="T1154" i="1"/>
  <c r="R1154" i="1"/>
  <c r="P1154" i="1"/>
  <c r="L1154" i="1"/>
  <c r="P1152" i="1"/>
  <c r="J1152" i="1"/>
  <c r="T1152" i="1" s="1"/>
  <c r="P1151" i="1"/>
  <c r="J1151" i="1"/>
  <c r="L1151" i="1" s="1"/>
  <c r="T1149" i="1"/>
  <c r="T1148" i="1"/>
  <c r="R1148" i="1"/>
  <c r="L1148" i="1"/>
  <c r="P1147" i="1"/>
  <c r="J1147" i="1"/>
  <c r="T1147" i="1" s="1"/>
  <c r="T1145" i="1"/>
  <c r="T1144" i="1"/>
  <c r="R1144" i="1"/>
  <c r="L1144" i="1"/>
  <c r="P1143" i="1"/>
  <c r="J1143" i="1"/>
  <c r="T1140" i="1"/>
  <c r="R1140" i="1"/>
  <c r="L1140" i="1"/>
  <c r="P1139" i="1"/>
  <c r="J1139" i="1"/>
  <c r="L1139" i="1" s="1"/>
  <c r="T1136" i="1"/>
  <c r="R1136" i="1"/>
  <c r="P1135" i="1"/>
  <c r="J1135" i="1"/>
  <c r="T1135" i="1" s="1"/>
  <c r="P1134" i="1"/>
  <c r="J1134" i="1"/>
  <c r="P1132" i="1"/>
  <c r="J1132" i="1"/>
  <c r="R1132" i="1" s="1"/>
  <c r="T1129" i="1"/>
  <c r="R1129" i="1"/>
  <c r="L1129" i="1"/>
  <c r="T1128" i="1"/>
  <c r="R1128" i="1"/>
  <c r="L1128" i="1"/>
  <c r="P1127" i="1"/>
  <c r="J1127" i="1"/>
  <c r="T1127" i="1" s="1"/>
  <c r="P1126" i="1"/>
  <c r="J1126" i="1"/>
  <c r="T1126" i="1" s="1"/>
  <c r="P1123" i="1"/>
  <c r="J1123" i="1"/>
  <c r="T1123" i="1" s="1"/>
  <c r="P1122" i="1"/>
  <c r="J1122" i="1"/>
  <c r="T1122" i="1" s="1"/>
  <c r="P1121" i="1"/>
  <c r="J1121" i="1"/>
  <c r="L1121" i="1" s="1"/>
  <c r="P1120" i="1"/>
  <c r="J1120" i="1"/>
  <c r="T1120" i="1" s="1"/>
  <c r="T1117" i="1"/>
  <c r="R1117" i="1"/>
  <c r="L1117" i="1"/>
  <c r="P1116" i="1"/>
  <c r="J1116" i="1"/>
  <c r="T1113" i="1"/>
  <c r="R1113" i="1"/>
  <c r="L1113" i="1"/>
  <c r="P1112" i="1"/>
  <c r="J1112" i="1"/>
  <c r="R1112" i="1" s="1"/>
  <c r="T1109" i="1"/>
  <c r="R1109" i="1"/>
  <c r="L1109" i="1"/>
  <c r="P1108" i="1"/>
  <c r="J1108" i="1"/>
  <c r="R1108" i="1" s="1"/>
  <c r="P1107" i="1"/>
  <c r="J1107" i="1"/>
  <c r="R1107" i="1" s="1"/>
  <c r="P1106" i="1"/>
  <c r="J1106" i="1"/>
  <c r="T1106" i="1" s="1"/>
  <c r="P1105" i="1"/>
  <c r="J1105" i="1"/>
  <c r="L1105" i="1" s="1"/>
  <c r="P1104" i="1"/>
  <c r="J1104" i="1"/>
  <c r="L1104" i="1" s="1"/>
  <c r="P1103" i="1"/>
  <c r="J1103" i="1"/>
  <c r="P1102" i="1"/>
  <c r="J1102" i="1"/>
  <c r="P1101" i="1"/>
  <c r="J1101" i="1"/>
  <c r="T1101" i="1" s="1"/>
  <c r="T1098" i="1"/>
  <c r="P1097" i="1"/>
  <c r="J1097" i="1"/>
  <c r="T1097" i="1" s="1"/>
  <c r="P1096" i="1"/>
  <c r="J1096" i="1"/>
  <c r="T1093" i="1"/>
  <c r="R1093" i="1"/>
  <c r="L1093" i="1"/>
  <c r="T1092" i="1"/>
  <c r="R1092" i="1"/>
  <c r="P1092" i="1"/>
  <c r="L1092" i="1"/>
  <c r="T1091" i="1"/>
  <c r="R1091" i="1"/>
  <c r="P1091" i="1"/>
  <c r="L1091" i="1"/>
  <c r="T1089" i="1"/>
  <c r="R1089" i="1"/>
  <c r="P1089" i="1"/>
  <c r="L1089" i="1"/>
  <c r="T1088" i="1"/>
  <c r="R1088" i="1"/>
  <c r="P1088" i="1"/>
  <c r="L1088" i="1"/>
  <c r="R1086" i="1"/>
  <c r="T1085" i="1"/>
  <c r="R1085" i="1"/>
  <c r="L1085" i="1"/>
  <c r="P1084" i="1"/>
  <c r="J1084" i="1"/>
  <c r="T1084" i="1" s="1"/>
  <c r="P1083" i="1"/>
  <c r="J1083" i="1"/>
  <c r="L1083" i="1" s="1"/>
  <c r="T1080" i="1"/>
  <c r="L1080" i="1"/>
  <c r="P1079" i="1"/>
  <c r="J1079" i="1"/>
  <c r="L1079" i="1" s="1"/>
  <c r="T1077" i="1"/>
  <c r="T1076" i="1"/>
  <c r="L1076" i="1"/>
  <c r="P1075" i="1"/>
  <c r="J1075" i="1"/>
  <c r="T1071" i="1"/>
  <c r="L1071" i="1"/>
  <c r="P1070" i="1"/>
  <c r="J1070" i="1"/>
  <c r="T1070" i="1" s="1"/>
  <c r="P1069" i="1"/>
  <c r="J1069" i="1"/>
  <c r="T1069" i="1" s="1"/>
  <c r="P1068" i="1"/>
  <c r="J1068" i="1"/>
  <c r="P1067" i="1"/>
  <c r="J1067" i="1"/>
  <c r="T1064" i="1"/>
  <c r="R1064" i="1"/>
  <c r="L1064" i="1"/>
  <c r="P1063" i="1"/>
  <c r="J1063" i="1"/>
  <c r="P1062" i="1"/>
  <c r="J1062" i="1"/>
  <c r="T1062" i="1" s="1"/>
  <c r="P1061" i="1"/>
  <c r="J1061" i="1"/>
  <c r="P1060" i="1"/>
  <c r="J1060" i="1"/>
  <c r="T1060" i="1" s="1"/>
  <c r="P1059" i="1"/>
  <c r="J1059" i="1"/>
  <c r="T1059" i="1" s="1"/>
  <c r="P1058" i="1"/>
  <c r="J1058" i="1"/>
  <c r="T1058" i="1" s="1"/>
  <c r="P1057" i="1"/>
  <c r="J1057" i="1"/>
  <c r="P1056" i="1"/>
  <c r="J1056" i="1"/>
  <c r="L1056" i="1" s="1"/>
  <c r="P1055" i="1"/>
  <c r="J1055" i="1"/>
  <c r="L1055" i="1" s="1"/>
  <c r="R1052" i="1"/>
  <c r="P1051" i="1"/>
  <c r="J1051" i="1"/>
  <c r="P1050" i="1"/>
  <c r="J1050" i="1"/>
  <c r="T1050" i="1" s="1"/>
  <c r="P1049" i="1"/>
  <c r="J1049" i="1"/>
  <c r="L1049" i="1" s="1"/>
  <c r="P1048" i="1"/>
  <c r="J1048" i="1"/>
  <c r="T1048" i="1" s="1"/>
  <c r="P1047" i="1"/>
  <c r="J1047" i="1"/>
  <c r="T1047" i="1" s="1"/>
  <c r="P1046" i="1"/>
  <c r="J1046" i="1"/>
  <c r="L1046" i="1" s="1"/>
  <c r="T1043" i="1"/>
  <c r="R1043" i="1"/>
  <c r="L1043" i="1"/>
  <c r="J1042" i="1"/>
  <c r="T1042" i="1" s="1"/>
  <c r="T1038" i="1"/>
  <c r="P1037" i="1"/>
  <c r="J1037" i="1"/>
  <c r="P1036" i="1"/>
  <c r="J1036" i="1"/>
  <c r="P1032" i="1"/>
  <c r="J1032" i="1"/>
  <c r="L1032" i="1" s="1"/>
  <c r="P1031" i="1"/>
  <c r="J1031" i="1"/>
  <c r="T1031" i="1" s="1"/>
  <c r="P1030" i="1"/>
  <c r="J1030" i="1"/>
  <c r="P1029" i="1"/>
  <c r="J1029" i="1"/>
  <c r="L1029" i="1" s="1"/>
  <c r="P1028" i="1"/>
  <c r="J1028" i="1"/>
  <c r="T1028" i="1" s="1"/>
  <c r="P1027" i="1"/>
  <c r="J1027" i="1"/>
  <c r="L1027" i="1" s="1"/>
  <c r="P1026" i="1"/>
  <c r="J1026" i="1"/>
  <c r="L1026" i="1" s="1"/>
  <c r="P1025" i="1"/>
  <c r="J1025" i="1"/>
  <c r="T1025" i="1" s="1"/>
  <c r="P1024" i="1"/>
  <c r="J1024" i="1"/>
  <c r="P1023" i="1"/>
  <c r="J1023" i="1"/>
  <c r="P1022" i="1"/>
  <c r="J1022" i="1"/>
  <c r="P1021" i="1"/>
  <c r="J1021" i="1"/>
  <c r="P1020" i="1"/>
  <c r="J1020" i="1"/>
  <c r="P1019" i="1"/>
  <c r="J1019" i="1"/>
  <c r="P1018" i="1"/>
  <c r="J1018" i="1"/>
  <c r="T1018" i="1" s="1"/>
  <c r="P1014" i="1"/>
  <c r="J1014" i="1"/>
  <c r="L1014" i="1" s="1"/>
  <c r="T1011" i="1"/>
  <c r="T1010" i="1"/>
  <c r="P1010" i="1"/>
  <c r="T1007" i="1"/>
  <c r="L1007" i="1"/>
  <c r="P1006" i="1"/>
  <c r="J1006" i="1"/>
  <c r="T1006" i="1" s="1"/>
  <c r="T1003" i="1"/>
  <c r="P1002" i="1"/>
  <c r="J1002" i="1"/>
  <c r="P1001" i="1"/>
  <c r="J1001" i="1"/>
  <c r="T1001" i="1" s="1"/>
  <c r="P997" i="1"/>
  <c r="J997" i="1"/>
  <c r="P996" i="1"/>
  <c r="J996" i="1"/>
  <c r="L996" i="1" s="1"/>
  <c r="P992" i="1"/>
  <c r="J992" i="1"/>
  <c r="T992" i="1" s="1"/>
  <c r="P991" i="1"/>
  <c r="J991" i="1"/>
  <c r="P990" i="1"/>
  <c r="J990" i="1"/>
  <c r="P989" i="1"/>
  <c r="J989" i="1"/>
  <c r="L989" i="1" s="1"/>
  <c r="T987" i="1"/>
  <c r="P986" i="1"/>
  <c r="J986" i="1"/>
  <c r="T986" i="1" s="1"/>
  <c r="P985" i="1"/>
  <c r="J985" i="1"/>
  <c r="P983" i="1"/>
  <c r="J983" i="1"/>
  <c r="T983" i="1" s="1"/>
  <c r="P982" i="1"/>
  <c r="J982" i="1"/>
  <c r="T982" i="1" s="1"/>
  <c r="P979" i="1"/>
  <c r="J979" i="1"/>
  <c r="T979" i="1" s="1"/>
  <c r="P978" i="1"/>
  <c r="J978" i="1"/>
  <c r="T978" i="1" s="1"/>
  <c r="P977" i="1"/>
  <c r="J977" i="1"/>
  <c r="T977" i="1" s="1"/>
  <c r="P976" i="1"/>
  <c r="J976" i="1"/>
  <c r="L976" i="1" s="1"/>
  <c r="P975" i="1"/>
  <c r="J975" i="1"/>
  <c r="L975" i="1" s="1"/>
  <c r="P974" i="1"/>
  <c r="J974" i="1"/>
  <c r="T974" i="1" s="1"/>
  <c r="P973" i="1"/>
  <c r="J973" i="1"/>
  <c r="T973" i="1" s="1"/>
  <c r="P972" i="1"/>
  <c r="J972" i="1"/>
  <c r="T972" i="1" s="1"/>
  <c r="T969" i="1"/>
  <c r="P969" i="1"/>
  <c r="L969" i="1"/>
  <c r="T968" i="1"/>
  <c r="P968" i="1"/>
  <c r="L968" i="1"/>
  <c r="T967" i="1"/>
  <c r="P967" i="1"/>
  <c r="L967" i="1"/>
  <c r="T965" i="1"/>
  <c r="P965" i="1"/>
  <c r="L965" i="1"/>
  <c r="T964" i="1"/>
  <c r="P964" i="1"/>
  <c r="Q964" i="1" s="1"/>
  <c r="L964" i="1"/>
  <c r="T963" i="1"/>
  <c r="P963" i="1"/>
  <c r="L963" i="1"/>
  <c r="T962" i="1"/>
  <c r="P962" i="1"/>
  <c r="L962" i="1"/>
  <c r="T961" i="1"/>
  <c r="P961" i="1"/>
  <c r="L961" i="1"/>
  <c r="T960" i="1"/>
  <c r="P960" i="1"/>
  <c r="L960" i="1"/>
  <c r="T959" i="1"/>
  <c r="P959" i="1"/>
  <c r="L959" i="1"/>
  <c r="T958" i="1"/>
  <c r="P958" i="1"/>
  <c r="Q958" i="1" s="1"/>
  <c r="L958" i="1"/>
  <c r="T957" i="1"/>
  <c r="P957" i="1"/>
  <c r="L957" i="1"/>
  <c r="T956" i="1"/>
  <c r="P956" i="1"/>
  <c r="L956" i="1"/>
  <c r="T955" i="1"/>
  <c r="P955" i="1"/>
  <c r="L955" i="1"/>
  <c r="T954" i="1"/>
  <c r="P954" i="1"/>
  <c r="L954" i="1"/>
  <c r="T952" i="1"/>
  <c r="P952" i="1"/>
  <c r="L952" i="1"/>
  <c r="T951" i="1"/>
  <c r="P951" i="1"/>
  <c r="L951" i="1"/>
  <c r="T950" i="1"/>
  <c r="P950" i="1"/>
  <c r="L950" i="1"/>
  <c r="T949" i="1"/>
  <c r="P949" i="1"/>
  <c r="L949" i="1"/>
  <c r="T946" i="1"/>
  <c r="P945" i="1"/>
  <c r="J945" i="1"/>
  <c r="T945" i="1" s="1"/>
  <c r="P944" i="1"/>
  <c r="J944" i="1"/>
  <c r="P943" i="1"/>
  <c r="J943" i="1"/>
  <c r="T943" i="1" s="1"/>
  <c r="P942" i="1"/>
  <c r="J942" i="1"/>
  <c r="T939" i="1"/>
  <c r="T938" i="1"/>
  <c r="P938" i="1"/>
  <c r="L938" i="1"/>
  <c r="S935" i="1"/>
  <c r="T935" i="1" s="1"/>
  <c r="L935" i="1"/>
  <c r="P934" i="1"/>
  <c r="J934" i="1"/>
  <c r="T934" i="1" s="1"/>
  <c r="T931" i="1"/>
  <c r="T930" i="1"/>
  <c r="P930" i="1"/>
  <c r="L930" i="1"/>
  <c r="T929" i="1"/>
  <c r="P929" i="1"/>
  <c r="L929" i="1"/>
  <c r="P926" i="1"/>
  <c r="J926" i="1"/>
  <c r="P925" i="1"/>
  <c r="J925" i="1"/>
  <c r="T924" i="1"/>
  <c r="L924" i="1"/>
  <c r="P923" i="1"/>
  <c r="J923" i="1"/>
  <c r="T923" i="1" s="1"/>
  <c r="L920" i="1"/>
  <c r="P919" i="1"/>
  <c r="J919" i="1"/>
  <c r="T919" i="1" s="1"/>
  <c r="P917" i="1"/>
  <c r="J917" i="1"/>
  <c r="T914" i="1"/>
  <c r="L914" i="1"/>
  <c r="P913" i="1"/>
  <c r="J913" i="1"/>
  <c r="P912" i="1"/>
  <c r="J912" i="1"/>
  <c r="P911" i="1"/>
  <c r="J911" i="1"/>
  <c r="L908" i="1"/>
  <c r="T907" i="1"/>
  <c r="L907" i="1"/>
  <c r="J906" i="1"/>
  <c r="T906" i="1" s="1"/>
  <c r="J905" i="1"/>
  <c r="L905" i="1" s="1"/>
  <c r="T902" i="1"/>
  <c r="L902" i="1"/>
  <c r="P901" i="1"/>
  <c r="J901" i="1"/>
  <c r="T898" i="1"/>
  <c r="P897" i="1"/>
  <c r="J897" i="1"/>
  <c r="L897" i="1" s="1"/>
  <c r="P896" i="1"/>
  <c r="J896" i="1"/>
  <c r="T893" i="1"/>
  <c r="L893" i="1"/>
  <c r="T892" i="1"/>
  <c r="P892" i="1"/>
  <c r="L892" i="1"/>
  <c r="T889" i="1"/>
  <c r="L889" i="1"/>
  <c r="P888" i="1"/>
  <c r="J888" i="1"/>
  <c r="L888" i="1" s="1"/>
  <c r="P885" i="1"/>
  <c r="J885" i="1"/>
  <c r="T884" i="1"/>
  <c r="L884" i="1"/>
  <c r="T883" i="1"/>
  <c r="P883" i="1"/>
  <c r="L883" i="1"/>
  <c r="P882" i="1"/>
  <c r="J882" i="1"/>
  <c r="L882" i="1" s="1"/>
  <c r="P881" i="1"/>
  <c r="J881" i="1"/>
  <c r="T878" i="1"/>
  <c r="P878" i="1"/>
  <c r="L878" i="1"/>
  <c r="T877" i="1"/>
  <c r="P877" i="1"/>
  <c r="Q877" i="1" s="1"/>
  <c r="L877" i="1"/>
  <c r="T876" i="1"/>
  <c r="P876" i="1"/>
  <c r="L876" i="1"/>
  <c r="T875" i="1"/>
  <c r="P875" i="1"/>
  <c r="L875" i="1"/>
  <c r="T873" i="1"/>
  <c r="P873" i="1"/>
  <c r="L873" i="1"/>
  <c r="T870" i="1"/>
  <c r="L870" i="1"/>
  <c r="P869" i="1"/>
  <c r="J869" i="1"/>
  <c r="T869" i="1" s="1"/>
  <c r="P867" i="1"/>
  <c r="J867" i="1"/>
  <c r="L867" i="1" s="1"/>
  <c r="T865" i="1"/>
  <c r="P864" i="1"/>
  <c r="J864" i="1"/>
  <c r="L864" i="1" s="1"/>
  <c r="P861" i="1"/>
  <c r="L861" i="1"/>
  <c r="P860" i="1"/>
  <c r="L860" i="1"/>
  <c r="J859" i="1"/>
  <c r="L859" i="1" s="1"/>
  <c r="J858" i="1"/>
  <c r="T858" i="1" s="1"/>
  <c r="J857" i="1"/>
  <c r="L857" i="1" s="1"/>
  <c r="J856" i="1"/>
  <c r="J855" i="1"/>
  <c r="T855" i="1" s="1"/>
  <c r="J854" i="1"/>
  <c r="J853" i="1"/>
  <c r="L853" i="1" s="1"/>
  <c r="P851" i="1"/>
  <c r="Q851" i="1" s="1"/>
  <c r="L851" i="1"/>
  <c r="T850" i="1"/>
  <c r="P850" i="1"/>
  <c r="L850" i="1"/>
  <c r="J849" i="1"/>
  <c r="T849" i="1" s="1"/>
  <c r="J848" i="1"/>
  <c r="L848" i="1" s="1"/>
  <c r="J847" i="1"/>
  <c r="J846" i="1"/>
  <c r="L846" i="1" s="1"/>
  <c r="T843" i="1"/>
  <c r="L843" i="1"/>
  <c r="P842" i="1"/>
  <c r="J842" i="1"/>
  <c r="L842" i="1" s="1"/>
  <c r="P841" i="1"/>
  <c r="J841" i="1"/>
  <c r="T841" i="1" s="1"/>
  <c r="L839" i="1"/>
  <c r="T838" i="1"/>
  <c r="L838" i="1"/>
  <c r="J837" i="1"/>
  <c r="T837" i="1" s="1"/>
  <c r="J836" i="1"/>
  <c r="T836" i="1" s="1"/>
  <c r="J835" i="1"/>
  <c r="T835" i="1" s="1"/>
  <c r="P832" i="1"/>
  <c r="P831" i="1"/>
  <c r="J831" i="1"/>
  <c r="T831" i="1" s="1"/>
  <c r="T830" i="1"/>
  <c r="P830" i="1"/>
  <c r="L830" i="1"/>
  <c r="P829" i="1"/>
  <c r="J829" i="1"/>
  <c r="T829" i="1" s="1"/>
  <c r="P828" i="1"/>
  <c r="J828" i="1"/>
  <c r="L828" i="1" s="1"/>
  <c r="P825" i="1"/>
  <c r="J825" i="1"/>
  <c r="L825" i="1" s="1"/>
  <c r="T824" i="1"/>
  <c r="L824" i="1"/>
  <c r="P823" i="1"/>
  <c r="J823" i="1"/>
  <c r="T823" i="1" s="1"/>
  <c r="P820" i="1"/>
  <c r="J820" i="1"/>
  <c r="L820" i="1" s="1"/>
  <c r="T818" i="1"/>
  <c r="P818" i="1"/>
  <c r="L818" i="1"/>
  <c r="P817" i="1"/>
  <c r="J817" i="1"/>
  <c r="P816" i="1"/>
  <c r="J816" i="1"/>
  <c r="T816" i="1" s="1"/>
  <c r="P815" i="1"/>
  <c r="J815" i="1"/>
  <c r="T815" i="1" s="1"/>
  <c r="P814" i="1"/>
  <c r="J814" i="1"/>
  <c r="P813" i="1"/>
  <c r="J813" i="1"/>
  <c r="T813" i="1" s="1"/>
  <c r="T810" i="1"/>
  <c r="P810" i="1"/>
  <c r="L810" i="1"/>
  <c r="P809" i="1"/>
  <c r="J809" i="1"/>
  <c r="T806" i="1"/>
  <c r="P806" i="1"/>
  <c r="L806" i="1"/>
  <c r="T805" i="1"/>
  <c r="P805" i="1"/>
  <c r="L805" i="1"/>
  <c r="T804" i="1"/>
  <c r="L804" i="1"/>
  <c r="T803" i="1"/>
  <c r="P803" i="1"/>
  <c r="L803" i="1"/>
  <c r="T802" i="1"/>
  <c r="P802" i="1"/>
  <c r="L802" i="1"/>
  <c r="T799" i="1"/>
  <c r="T798" i="1"/>
  <c r="P798" i="1"/>
  <c r="L798" i="1"/>
  <c r="T797" i="1"/>
  <c r="P797" i="1"/>
  <c r="L797" i="1"/>
  <c r="P793" i="1"/>
  <c r="J793" i="1"/>
  <c r="P792" i="1"/>
  <c r="J792" i="1"/>
  <c r="T792" i="1" s="1"/>
  <c r="P791" i="1"/>
  <c r="J791" i="1"/>
  <c r="T791" i="1" s="1"/>
  <c r="S788" i="1"/>
  <c r="P788" i="1"/>
  <c r="J788" i="1"/>
  <c r="L788" i="1" s="1"/>
  <c r="S787" i="1"/>
  <c r="P787" i="1"/>
  <c r="J787" i="1"/>
  <c r="L787" i="1" s="1"/>
  <c r="S786" i="1"/>
  <c r="P786" i="1"/>
  <c r="J786" i="1"/>
  <c r="P783" i="1"/>
  <c r="J783" i="1"/>
  <c r="L783" i="1" s="1"/>
  <c r="T780" i="1"/>
  <c r="L780" i="1"/>
  <c r="T779" i="1"/>
  <c r="P779" i="1"/>
  <c r="L779" i="1"/>
  <c r="T778" i="1"/>
  <c r="P778" i="1"/>
  <c r="L778" i="1"/>
  <c r="T777" i="1"/>
  <c r="L777" i="1"/>
  <c r="T776" i="1"/>
  <c r="P776" i="1"/>
  <c r="L776" i="1"/>
  <c r="T773" i="1"/>
  <c r="L773" i="1"/>
  <c r="P772" i="1"/>
  <c r="J772" i="1"/>
  <c r="T769" i="1"/>
  <c r="L769" i="1"/>
  <c r="P768" i="1"/>
  <c r="J768" i="1"/>
  <c r="L768" i="1" s="1"/>
  <c r="P764" i="1"/>
  <c r="J764" i="1"/>
  <c r="T764" i="1" s="1"/>
  <c r="P763" i="1"/>
  <c r="J763" i="1"/>
  <c r="T763" i="1" s="1"/>
  <c r="P761" i="1"/>
  <c r="J761" i="1"/>
  <c r="T761" i="1" s="1"/>
  <c r="P760" i="1"/>
  <c r="J760" i="1"/>
  <c r="L758" i="1"/>
  <c r="T756" i="1"/>
  <c r="L756" i="1"/>
  <c r="P755" i="1"/>
  <c r="J755" i="1"/>
  <c r="P754" i="1"/>
  <c r="J754" i="1"/>
  <c r="L754" i="1" s="1"/>
  <c r="P753" i="1"/>
  <c r="J753" i="1"/>
  <c r="T753" i="1" s="1"/>
  <c r="T750" i="1"/>
  <c r="L750" i="1"/>
  <c r="P749" i="1"/>
  <c r="J749" i="1"/>
  <c r="L746" i="1"/>
  <c r="P745" i="1"/>
  <c r="J745" i="1"/>
  <c r="T742" i="1"/>
  <c r="L742" i="1"/>
  <c r="P741" i="1"/>
  <c r="J741" i="1"/>
  <c r="T741" i="1" s="1"/>
  <c r="T738" i="1"/>
  <c r="L738" i="1"/>
  <c r="T737" i="1"/>
  <c r="P737" i="1"/>
  <c r="L737" i="1"/>
  <c r="T734" i="1"/>
  <c r="L734" i="1"/>
  <c r="P733" i="1"/>
  <c r="J733" i="1"/>
  <c r="T733" i="1" s="1"/>
  <c r="P729" i="1"/>
  <c r="J729" i="1"/>
  <c r="L729" i="1" s="1"/>
  <c r="P728" i="1"/>
  <c r="J728" i="1"/>
  <c r="T725" i="1"/>
  <c r="L725" i="1"/>
  <c r="P724" i="1"/>
  <c r="J724" i="1"/>
  <c r="T724" i="1" s="1"/>
  <c r="T721" i="1"/>
  <c r="P720" i="1"/>
  <c r="J720" i="1"/>
  <c r="P719" i="1"/>
  <c r="J719" i="1"/>
  <c r="L719" i="1" s="1"/>
  <c r="P718" i="1"/>
  <c r="J718" i="1"/>
  <c r="T718" i="1" s="1"/>
  <c r="P717" i="1"/>
  <c r="J717" i="1"/>
  <c r="P716" i="1"/>
  <c r="J716" i="1"/>
  <c r="T716" i="1" s="1"/>
  <c r="P715" i="1"/>
  <c r="J715" i="1"/>
  <c r="T712" i="1"/>
  <c r="L712" i="1"/>
  <c r="T711" i="1"/>
  <c r="L711" i="1"/>
  <c r="P710" i="1"/>
  <c r="J710" i="1"/>
  <c r="T710" i="1" s="1"/>
  <c r="T707" i="1"/>
  <c r="L707" i="1"/>
  <c r="P706" i="1"/>
  <c r="J706" i="1"/>
  <c r="T703" i="1"/>
  <c r="P702" i="1"/>
  <c r="J702" i="1"/>
  <c r="T702" i="1" s="1"/>
  <c r="T699" i="1"/>
  <c r="P698" i="1"/>
  <c r="J698" i="1"/>
  <c r="T698" i="1" s="1"/>
  <c r="J695" i="1"/>
  <c r="J694" i="1"/>
  <c r="T693" i="1"/>
  <c r="L693" i="1"/>
  <c r="P692" i="1"/>
  <c r="J692" i="1"/>
  <c r="T692" i="1" s="1"/>
  <c r="P691" i="1"/>
  <c r="J691" i="1"/>
  <c r="L691" i="1" s="1"/>
  <c r="T688" i="1"/>
  <c r="P687" i="1"/>
  <c r="J687" i="1"/>
  <c r="T687" i="1" s="1"/>
  <c r="P686" i="1"/>
  <c r="J686" i="1"/>
  <c r="T686" i="1" s="1"/>
  <c r="P683" i="1"/>
  <c r="J683" i="1"/>
  <c r="T683" i="1" s="1"/>
  <c r="T682" i="1"/>
  <c r="P681" i="1"/>
  <c r="J681" i="1"/>
  <c r="T681" i="1" s="1"/>
  <c r="P677" i="1"/>
  <c r="J677" i="1"/>
  <c r="T677" i="1" s="1"/>
  <c r="T674" i="1"/>
  <c r="P673" i="1"/>
  <c r="J673" i="1"/>
  <c r="T673" i="1" s="1"/>
  <c r="J672" i="1"/>
  <c r="T672" i="1" s="1"/>
  <c r="T669" i="1"/>
  <c r="K668" i="1"/>
  <c r="P668" i="1" s="1"/>
  <c r="J668" i="1"/>
  <c r="T668" i="1" s="1"/>
  <c r="P664" i="1"/>
  <c r="J664" i="1"/>
  <c r="T664" i="1" s="1"/>
  <c r="P663" i="1"/>
  <c r="J663" i="1"/>
  <c r="T663" i="1" s="1"/>
  <c r="T660" i="1"/>
  <c r="P659" i="1"/>
  <c r="J659" i="1"/>
  <c r="T659" i="1" s="1"/>
  <c r="P657" i="1"/>
  <c r="J657" i="1"/>
  <c r="T657" i="1" s="1"/>
  <c r="T654" i="1"/>
  <c r="T653" i="1"/>
  <c r="T650" i="1"/>
  <c r="P649" i="1"/>
  <c r="J649" i="1"/>
  <c r="T649" i="1" s="1"/>
  <c r="P648" i="1"/>
  <c r="J648" i="1"/>
  <c r="T648" i="1" s="1"/>
  <c r="T645" i="1"/>
  <c r="P644" i="1"/>
  <c r="J644" i="1"/>
  <c r="T644" i="1" s="1"/>
  <c r="P643" i="1"/>
  <c r="J643" i="1"/>
  <c r="T643" i="1" s="1"/>
  <c r="P642" i="1"/>
  <c r="J642" i="1"/>
  <c r="T642" i="1" s="1"/>
  <c r="T639" i="1"/>
  <c r="P638" i="1"/>
  <c r="J638" i="1"/>
  <c r="T638" i="1" s="1"/>
  <c r="P637" i="1"/>
  <c r="J637" i="1"/>
  <c r="T637" i="1" s="1"/>
  <c r="T634" i="1"/>
  <c r="P633" i="1"/>
  <c r="J633" i="1"/>
  <c r="T633" i="1" s="1"/>
  <c r="T631" i="1"/>
  <c r="J630" i="1"/>
  <c r="T630" i="1" s="1"/>
  <c r="T629" i="1"/>
  <c r="P628" i="1"/>
  <c r="J628" i="1"/>
  <c r="T628" i="1" s="1"/>
  <c r="S625" i="1"/>
  <c r="T625" i="1" s="1"/>
  <c r="P624" i="1"/>
  <c r="J624" i="1"/>
  <c r="T624" i="1" s="1"/>
  <c r="P623" i="1"/>
  <c r="J623" i="1"/>
  <c r="T623" i="1" s="1"/>
  <c r="P622" i="1"/>
  <c r="J622" i="1"/>
  <c r="T622" i="1" s="1"/>
  <c r="T620" i="1"/>
  <c r="P619" i="1"/>
  <c r="J619" i="1"/>
  <c r="T619" i="1" s="1"/>
  <c r="P618" i="1"/>
  <c r="J618" i="1"/>
  <c r="T618" i="1" s="1"/>
  <c r="P617" i="1"/>
  <c r="J617" i="1"/>
  <c r="T617" i="1" s="1"/>
  <c r="P616" i="1"/>
  <c r="J616" i="1"/>
  <c r="T616" i="1" s="1"/>
  <c r="P615" i="1"/>
  <c r="J615" i="1"/>
  <c r="T615" i="1" s="1"/>
  <c r="T613" i="1"/>
  <c r="P612" i="1"/>
  <c r="J612" i="1"/>
  <c r="T612" i="1" s="1"/>
  <c r="P611" i="1"/>
  <c r="J611" i="1"/>
  <c r="T611" i="1" s="1"/>
  <c r="P610" i="1"/>
  <c r="J610" i="1"/>
  <c r="T610" i="1" s="1"/>
  <c r="P609" i="1"/>
  <c r="J609" i="1"/>
  <c r="T609" i="1" s="1"/>
  <c r="P608" i="1"/>
  <c r="J608" i="1"/>
  <c r="T608" i="1" s="1"/>
  <c r="P607" i="1"/>
  <c r="J607" i="1"/>
  <c r="T607" i="1" s="1"/>
  <c r="P606" i="1"/>
  <c r="J606" i="1"/>
  <c r="T606" i="1" s="1"/>
  <c r="P605" i="1"/>
  <c r="J605" i="1"/>
  <c r="T605" i="1" s="1"/>
  <c r="P604" i="1"/>
  <c r="J604" i="1"/>
  <c r="T604" i="1" s="1"/>
  <c r="P603" i="1"/>
  <c r="J603" i="1"/>
  <c r="T603" i="1" s="1"/>
  <c r="P602" i="1"/>
  <c r="J602" i="1"/>
  <c r="T602" i="1" s="1"/>
  <c r="P601" i="1"/>
  <c r="J601" i="1"/>
  <c r="T601" i="1" s="1"/>
  <c r="T598" i="1"/>
  <c r="P597" i="1"/>
  <c r="J597" i="1"/>
  <c r="T597" i="1" s="1"/>
  <c r="P596" i="1"/>
  <c r="J596" i="1"/>
  <c r="T596" i="1" s="1"/>
  <c r="P595" i="1"/>
  <c r="J595" i="1"/>
  <c r="T595" i="1" s="1"/>
  <c r="P594" i="1"/>
  <c r="J594" i="1"/>
  <c r="T594" i="1" s="1"/>
  <c r="T591" i="1"/>
  <c r="P590" i="1"/>
  <c r="J590" i="1"/>
  <c r="T590" i="1" s="1"/>
  <c r="P589" i="1"/>
  <c r="J589" i="1"/>
  <c r="T589" i="1" s="1"/>
  <c r="T586" i="1"/>
  <c r="P585" i="1"/>
  <c r="J585" i="1"/>
  <c r="T585" i="1" s="1"/>
  <c r="P584" i="1"/>
  <c r="J584" i="1"/>
  <c r="T584" i="1" s="1"/>
  <c r="T581" i="1"/>
  <c r="P580" i="1"/>
  <c r="J580" i="1"/>
  <c r="T580" i="1" s="1"/>
  <c r="T577" i="1"/>
  <c r="P576" i="1"/>
  <c r="J576" i="1"/>
  <c r="T576" i="1" s="1"/>
  <c r="T573" i="1"/>
  <c r="P572" i="1"/>
  <c r="J572" i="1"/>
  <c r="T572" i="1" s="1"/>
  <c r="T569" i="1"/>
  <c r="P568" i="1"/>
  <c r="J568" i="1"/>
  <c r="T568" i="1" s="1"/>
  <c r="P567" i="1"/>
  <c r="J567" i="1"/>
  <c r="T567" i="1" s="1"/>
  <c r="P566" i="1"/>
  <c r="J566" i="1"/>
  <c r="T566" i="1" s="1"/>
  <c r="P562" i="1"/>
  <c r="J562" i="1"/>
  <c r="T562" i="1" s="1"/>
  <c r="S559" i="1"/>
  <c r="T559" i="1" s="1"/>
  <c r="P558" i="1"/>
  <c r="J558" i="1"/>
  <c r="T558" i="1" s="1"/>
  <c r="P557" i="1"/>
  <c r="J557" i="1"/>
  <c r="T557" i="1" s="1"/>
  <c r="P556" i="1"/>
  <c r="J556" i="1"/>
  <c r="T556" i="1" s="1"/>
  <c r="T553" i="1"/>
  <c r="P552" i="1"/>
  <c r="J552" i="1"/>
  <c r="T552" i="1" s="1"/>
  <c r="T549" i="1"/>
  <c r="P548" i="1"/>
  <c r="J548" i="1"/>
  <c r="T548" i="1" s="1"/>
  <c r="P544" i="1"/>
  <c r="J544" i="1"/>
  <c r="T544" i="1" s="1"/>
  <c r="T541" i="1"/>
  <c r="P540" i="1"/>
  <c r="J540" i="1"/>
  <c r="T540" i="1" s="1"/>
  <c r="T538" i="1"/>
  <c r="P537" i="1"/>
  <c r="J537" i="1"/>
  <c r="T537" i="1" s="1"/>
  <c r="P536" i="1"/>
  <c r="J536" i="1"/>
  <c r="T536" i="1" s="1"/>
  <c r="T533" i="1"/>
  <c r="T532" i="1"/>
  <c r="P531" i="1"/>
  <c r="J531" i="1"/>
  <c r="T531" i="1" s="1"/>
  <c r="P530" i="1"/>
  <c r="J530" i="1"/>
  <c r="T530" i="1" s="1"/>
  <c r="J528" i="1"/>
  <c r="T525" i="1"/>
  <c r="P524" i="1"/>
  <c r="J524" i="1"/>
  <c r="T524" i="1" s="1"/>
  <c r="P523" i="1"/>
  <c r="J523" i="1"/>
  <c r="T523" i="1" s="1"/>
  <c r="T518" i="1"/>
  <c r="J515" i="1"/>
  <c r="J514" i="1"/>
  <c r="U511" i="1"/>
  <c r="J511" i="1"/>
  <c r="T511" i="1" s="1"/>
  <c r="U510" i="1"/>
  <c r="J510" i="1"/>
  <c r="T510" i="1" s="1"/>
  <c r="T507" i="1"/>
  <c r="P506" i="1"/>
  <c r="J506" i="1"/>
  <c r="T506" i="1" s="1"/>
  <c r="T505" i="1"/>
  <c r="J504" i="1"/>
  <c r="T504" i="1" s="1"/>
  <c r="T502" i="1"/>
  <c r="T501" i="1"/>
  <c r="P500" i="1"/>
  <c r="K500" i="1"/>
  <c r="J500" i="1"/>
  <c r="T500" i="1" s="1"/>
  <c r="S497" i="1"/>
  <c r="T497" i="1" s="1"/>
  <c r="U496" i="1"/>
  <c r="T496" i="1"/>
  <c r="P496" i="1"/>
  <c r="U495" i="1"/>
  <c r="T495" i="1"/>
  <c r="P495" i="1"/>
  <c r="U494" i="1"/>
  <c r="T494" i="1"/>
  <c r="P494" i="1"/>
  <c r="J490" i="1"/>
  <c r="T490" i="1" s="1"/>
  <c r="J486" i="1"/>
  <c r="T486" i="1" s="1"/>
  <c r="J484" i="1"/>
  <c r="T484" i="1" s="1"/>
  <c r="J483" i="1"/>
  <c r="T483" i="1" s="1"/>
  <c r="J482" i="1"/>
  <c r="T482" i="1" s="1"/>
  <c r="T479" i="1"/>
  <c r="J478" i="1"/>
  <c r="T478" i="1" s="1"/>
  <c r="J477" i="1"/>
  <c r="T477" i="1" s="1"/>
  <c r="T474" i="1"/>
  <c r="J473" i="1"/>
  <c r="T473" i="1" s="1"/>
  <c r="J469" i="1"/>
  <c r="T469" i="1" s="1"/>
  <c r="T466" i="1"/>
  <c r="J465" i="1"/>
  <c r="T465" i="1" s="1"/>
  <c r="T462" i="1"/>
  <c r="P461" i="1"/>
  <c r="K461" i="1"/>
  <c r="J461" i="1"/>
  <c r="T461" i="1" s="1"/>
  <c r="P459" i="1"/>
  <c r="K459" i="1"/>
  <c r="J459" i="1"/>
  <c r="T459" i="1" s="1"/>
  <c r="P458" i="1"/>
  <c r="K458" i="1"/>
  <c r="J458" i="1"/>
  <c r="T458" i="1" s="1"/>
  <c r="P457" i="1"/>
  <c r="K457" i="1"/>
  <c r="J457" i="1"/>
  <c r="T457" i="1" s="1"/>
  <c r="P456" i="1"/>
  <c r="K456" i="1"/>
  <c r="J456" i="1"/>
  <c r="T456" i="1" s="1"/>
  <c r="T453" i="1"/>
  <c r="T452" i="1"/>
  <c r="P452" i="1"/>
  <c r="K452" i="1"/>
  <c r="T451" i="1"/>
  <c r="P451" i="1"/>
  <c r="K451" i="1"/>
  <c r="T448" i="1"/>
  <c r="J447" i="1"/>
  <c r="T447" i="1" s="1"/>
  <c r="J446" i="1"/>
  <c r="T446" i="1" s="1"/>
  <c r="J445" i="1"/>
  <c r="T445" i="1" s="1"/>
  <c r="J441" i="1"/>
  <c r="T441" i="1" s="1"/>
  <c r="T438" i="1"/>
  <c r="J437" i="1"/>
  <c r="T437" i="1" s="1"/>
  <c r="J433" i="1"/>
  <c r="T433" i="1" s="1"/>
  <c r="T430" i="1"/>
  <c r="J429" i="1"/>
  <c r="T429" i="1" s="1"/>
  <c r="T426" i="1"/>
  <c r="U425" i="1"/>
  <c r="P425" i="1"/>
  <c r="J425" i="1"/>
  <c r="T425" i="1" s="1"/>
  <c r="U424" i="1"/>
  <c r="P424" i="1"/>
  <c r="J424" i="1"/>
  <c r="T424" i="1" s="1"/>
  <c r="U423" i="1"/>
  <c r="P423" i="1"/>
  <c r="J423" i="1"/>
  <c r="T423" i="1" s="1"/>
  <c r="U422" i="1"/>
  <c r="P422" i="1"/>
  <c r="J422" i="1"/>
  <c r="T422" i="1" s="1"/>
  <c r="U421" i="1"/>
  <c r="P421" i="1"/>
  <c r="J421" i="1"/>
  <c r="T421" i="1" s="1"/>
  <c r="U420" i="1"/>
  <c r="P420" i="1"/>
  <c r="J420" i="1"/>
  <c r="T420" i="1" s="1"/>
  <c r="U419" i="1"/>
  <c r="P419" i="1"/>
  <c r="J419" i="1"/>
  <c r="T419" i="1" s="1"/>
  <c r="T416" i="1"/>
  <c r="U415" i="1"/>
  <c r="P415" i="1"/>
  <c r="J415" i="1"/>
  <c r="T415" i="1" s="1"/>
  <c r="U414" i="1"/>
  <c r="P414" i="1"/>
  <c r="J414" i="1"/>
  <c r="T414" i="1" s="1"/>
  <c r="U413" i="1"/>
  <c r="P413" i="1"/>
  <c r="J413" i="1"/>
  <c r="T413" i="1" s="1"/>
  <c r="U412" i="1"/>
  <c r="P412" i="1"/>
  <c r="J412" i="1"/>
  <c r="T412" i="1" s="1"/>
  <c r="S409" i="1"/>
  <c r="T409" i="1" s="1"/>
  <c r="T408" i="1"/>
  <c r="P408" i="1"/>
  <c r="T407" i="1"/>
  <c r="P407" i="1"/>
  <c r="T406" i="1"/>
  <c r="P406" i="1"/>
  <c r="T405" i="1"/>
  <c r="P405" i="1"/>
  <c r="T404" i="1"/>
  <c r="P404" i="1"/>
  <c r="T403" i="1"/>
  <c r="P403" i="1"/>
  <c r="T402" i="1"/>
  <c r="P402" i="1"/>
  <c r="T401" i="1"/>
  <c r="P401" i="1"/>
  <c r="T400" i="1"/>
  <c r="P400" i="1"/>
  <c r="T399" i="1"/>
  <c r="P399" i="1"/>
  <c r="J398" i="1"/>
  <c r="T398" i="1" s="1"/>
  <c r="J397" i="1"/>
  <c r="T397" i="1" s="1"/>
  <c r="J396" i="1"/>
  <c r="T396" i="1" s="1"/>
  <c r="J395" i="1"/>
  <c r="T395" i="1" s="1"/>
  <c r="J394" i="1"/>
  <c r="T394" i="1" s="1"/>
  <c r="T391" i="1"/>
  <c r="T390" i="1"/>
  <c r="T387" i="1"/>
  <c r="J386" i="1"/>
  <c r="T386" i="1" s="1"/>
  <c r="J383" i="1"/>
  <c r="T383" i="1" s="1"/>
  <c r="T382" i="1"/>
  <c r="J381" i="1"/>
  <c r="T381" i="1" s="1"/>
  <c r="J377" i="1"/>
  <c r="T377" i="1" s="1"/>
  <c r="J376" i="1"/>
  <c r="T376" i="1" s="1"/>
  <c r="T373" i="1"/>
  <c r="J372" i="1"/>
  <c r="T372" i="1" s="1"/>
  <c r="T369" i="1"/>
  <c r="T368" i="1"/>
  <c r="T365" i="1"/>
  <c r="T364" i="1"/>
  <c r="S363" i="1"/>
  <c r="T363" i="1" s="1"/>
  <c r="J362" i="1"/>
  <c r="T362" i="1" s="1"/>
  <c r="J361" i="1"/>
  <c r="T361" i="1" s="1"/>
  <c r="T358" i="1"/>
  <c r="J357" i="1"/>
  <c r="T357" i="1" s="1"/>
  <c r="T354" i="1"/>
  <c r="J353" i="1"/>
  <c r="T353" i="1" s="1"/>
  <c r="T350" i="1"/>
  <c r="T349" i="1"/>
  <c r="P349" i="1"/>
  <c r="T348" i="1"/>
  <c r="P348" i="1"/>
  <c r="T347" i="1"/>
  <c r="P347" i="1"/>
  <c r="T346" i="1"/>
  <c r="P346" i="1"/>
  <c r="T345" i="1"/>
  <c r="P345" i="1"/>
  <c r="T344" i="1"/>
  <c r="P344" i="1"/>
  <c r="T343" i="1"/>
  <c r="P343" i="1"/>
  <c r="T342" i="1"/>
  <c r="P342" i="1"/>
  <c r="S340" i="1"/>
  <c r="T340" i="1" s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3" i="1"/>
  <c r="J322" i="1"/>
  <c r="T322" i="1" s="1"/>
  <c r="J317" i="1"/>
  <c r="T317" i="1" s="1"/>
  <c r="T314" i="1"/>
  <c r="J309" i="1"/>
  <c r="J308" i="1"/>
  <c r="T308" i="1" s="1"/>
  <c r="T305" i="1"/>
  <c r="J304" i="1"/>
  <c r="T304" i="1" s="1"/>
  <c r="T301" i="1"/>
  <c r="J300" i="1"/>
  <c r="T300" i="1" s="1"/>
  <c r="J296" i="1"/>
  <c r="T296" i="1" s="1"/>
  <c r="J295" i="1"/>
  <c r="T295" i="1" s="1"/>
  <c r="T292" i="1"/>
  <c r="J291" i="1"/>
  <c r="T291" i="1" s="1"/>
  <c r="T288" i="1"/>
  <c r="P287" i="1"/>
  <c r="J287" i="1"/>
  <c r="T287" i="1" s="1"/>
  <c r="P285" i="1"/>
  <c r="J285" i="1"/>
  <c r="T285" i="1" s="1"/>
  <c r="T283" i="1"/>
  <c r="P283" i="1"/>
  <c r="T280" i="1"/>
  <c r="S280" i="1"/>
  <c r="J279" i="1"/>
  <c r="T279" i="1" s="1"/>
  <c r="T278" i="1"/>
  <c r="T275" i="1"/>
  <c r="J274" i="1"/>
  <c r="T274" i="1" s="1"/>
  <c r="J273" i="1"/>
  <c r="T273" i="1" s="1"/>
  <c r="T270" i="1"/>
  <c r="J269" i="1"/>
  <c r="T269" i="1" s="1"/>
  <c r="J268" i="1"/>
  <c r="T268" i="1" s="1"/>
  <c r="J266" i="1"/>
  <c r="T266" i="1" s="1"/>
  <c r="T263" i="1"/>
  <c r="P262" i="1"/>
  <c r="J262" i="1"/>
  <c r="T262" i="1" s="1"/>
  <c r="T259" i="1"/>
  <c r="P258" i="1"/>
  <c r="J258" i="1"/>
  <c r="T258" i="1" s="1"/>
  <c r="J255" i="1"/>
  <c r="T255" i="1" s="1"/>
  <c r="J254" i="1"/>
  <c r="T254" i="1" s="1"/>
  <c r="J253" i="1"/>
  <c r="T253" i="1" s="1"/>
  <c r="J249" i="1"/>
  <c r="T249" i="1" s="1"/>
  <c r="T246" i="1"/>
  <c r="T245" i="1"/>
  <c r="T244" i="1"/>
  <c r="T243" i="1"/>
  <c r="T242" i="1"/>
  <c r="T239" i="1"/>
  <c r="P238" i="1"/>
  <c r="J238" i="1"/>
  <c r="T238" i="1" s="1"/>
  <c r="P237" i="1"/>
  <c r="J237" i="1"/>
  <c r="T237" i="1" s="1"/>
  <c r="T234" i="1"/>
  <c r="T233" i="1"/>
  <c r="T232" i="1"/>
  <c r="T231" i="1"/>
  <c r="T230" i="1"/>
  <c r="T227" i="1"/>
  <c r="T226" i="1"/>
  <c r="T225" i="1"/>
  <c r="T224" i="1"/>
  <c r="T223" i="1"/>
  <c r="T220" i="1"/>
  <c r="J219" i="1"/>
  <c r="T219" i="1" s="1"/>
  <c r="J216" i="1"/>
  <c r="T216" i="1" s="1"/>
  <c r="J215" i="1"/>
  <c r="T215" i="1" s="1"/>
  <c r="T212" i="1"/>
  <c r="T211" i="1"/>
  <c r="P211" i="1"/>
  <c r="T210" i="1"/>
  <c r="P210" i="1"/>
  <c r="T209" i="1"/>
  <c r="P209" i="1"/>
  <c r="T208" i="1"/>
  <c r="P208" i="1"/>
  <c r="P207" i="1"/>
  <c r="P206" i="1"/>
  <c r="P205" i="1"/>
  <c r="P204" i="1"/>
  <c r="P203" i="1"/>
  <c r="P202" i="1"/>
  <c r="P201" i="1"/>
  <c r="P200" i="1"/>
  <c r="J196" i="1"/>
  <c r="T196" i="1" s="1"/>
  <c r="J195" i="1"/>
  <c r="T195" i="1" s="1"/>
  <c r="J191" i="1"/>
  <c r="T191" i="1" s="1"/>
  <c r="T188" i="1"/>
  <c r="P187" i="1"/>
  <c r="J187" i="1"/>
  <c r="T187" i="1" s="1"/>
  <c r="J185" i="1"/>
  <c r="T185" i="1" s="1"/>
  <c r="J184" i="1"/>
  <c r="T184" i="1" s="1"/>
  <c r="J183" i="1"/>
  <c r="T183" i="1" s="1"/>
  <c r="J182" i="1"/>
  <c r="T182" i="1" s="1"/>
  <c r="J181" i="1"/>
  <c r="T181" i="1" s="1"/>
  <c r="J180" i="1"/>
  <c r="T180" i="1" s="1"/>
  <c r="T177" i="1"/>
  <c r="J176" i="1"/>
  <c r="T176" i="1" s="1"/>
  <c r="T173" i="1"/>
  <c r="P172" i="1"/>
  <c r="J172" i="1"/>
  <c r="T172" i="1" s="1"/>
  <c r="T170" i="1"/>
  <c r="T168" i="1"/>
  <c r="J167" i="1"/>
  <c r="T167" i="1" s="1"/>
  <c r="T164" i="1"/>
  <c r="J163" i="1"/>
  <c r="T163" i="1" s="1"/>
  <c r="J162" i="1"/>
  <c r="T162" i="1" s="1"/>
  <c r="T159" i="1"/>
  <c r="J158" i="1"/>
  <c r="T158" i="1" s="1"/>
  <c r="J157" i="1"/>
  <c r="T157" i="1" s="1"/>
  <c r="T154" i="1"/>
  <c r="P153" i="1"/>
  <c r="J153" i="1"/>
  <c r="T153" i="1" s="1"/>
  <c r="T150" i="1"/>
  <c r="P149" i="1"/>
  <c r="J149" i="1"/>
  <c r="T149" i="1" s="1"/>
  <c r="T146" i="1"/>
  <c r="J145" i="1"/>
  <c r="T145" i="1" s="1"/>
  <c r="T142" i="1"/>
  <c r="P141" i="1"/>
  <c r="J141" i="1"/>
  <c r="T141" i="1" s="1"/>
  <c r="T138" i="1"/>
  <c r="J137" i="1"/>
  <c r="T137" i="1" s="1"/>
  <c r="J136" i="1"/>
  <c r="T136" i="1" s="1"/>
  <c r="T133" i="1"/>
  <c r="J132" i="1"/>
  <c r="T132" i="1" s="1"/>
  <c r="J128" i="1"/>
  <c r="T128" i="1" s="1"/>
  <c r="J126" i="1"/>
  <c r="T126" i="1" s="1"/>
  <c r="J125" i="1"/>
  <c r="T125" i="1" s="1"/>
  <c r="J124" i="1"/>
  <c r="T124" i="1" s="1"/>
  <c r="J123" i="1"/>
  <c r="T123" i="1" s="1"/>
  <c r="J122" i="1"/>
  <c r="T122" i="1" s="1"/>
  <c r="J121" i="1"/>
  <c r="T121" i="1" s="1"/>
  <c r="J120" i="1"/>
  <c r="T120" i="1" s="1"/>
  <c r="T117" i="1"/>
  <c r="P116" i="1"/>
  <c r="J116" i="1"/>
  <c r="T116" i="1" s="1"/>
  <c r="T113" i="1"/>
  <c r="P112" i="1"/>
  <c r="J112" i="1"/>
  <c r="T112" i="1" s="1"/>
  <c r="J108" i="1"/>
  <c r="T108" i="1" s="1"/>
  <c r="J107" i="1"/>
  <c r="T107" i="1" s="1"/>
  <c r="T104" i="1"/>
  <c r="J103" i="1"/>
  <c r="T103" i="1" s="1"/>
  <c r="J102" i="1"/>
  <c r="T102" i="1" s="1"/>
  <c r="T99" i="1"/>
  <c r="J98" i="1"/>
  <c r="T98" i="1" s="1"/>
  <c r="T95" i="1"/>
  <c r="J94" i="1"/>
  <c r="T94" i="1" s="1"/>
  <c r="J93" i="1"/>
  <c r="T93" i="1" s="1"/>
  <c r="J92" i="1"/>
  <c r="T92" i="1" s="1"/>
  <c r="J91" i="1"/>
  <c r="T91" i="1" s="1"/>
  <c r="J90" i="1"/>
  <c r="T90" i="1" s="1"/>
  <c r="T87" i="1"/>
  <c r="J86" i="1"/>
  <c r="T86" i="1" s="1"/>
  <c r="J82" i="1"/>
  <c r="T82" i="1" s="1"/>
  <c r="J81" i="1"/>
  <c r="T81" i="1" s="1"/>
  <c r="J78" i="1"/>
  <c r="T78" i="1" s="1"/>
  <c r="T75" i="1"/>
  <c r="J74" i="1"/>
  <c r="T74" i="1" s="1"/>
  <c r="J73" i="1"/>
  <c r="T73" i="1" s="1"/>
  <c r="J72" i="1"/>
  <c r="T72" i="1" s="1"/>
  <c r="T69" i="1"/>
  <c r="T68" i="1"/>
  <c r="T65" i="1"/>
  <c r="T58" i="1"/>
  <c r="T57" i="1"/>
  <c r="J56" i="1"/>
  <c r="T56" i="1" s="1"/>
  <c r="J53" i="1"/>
  <c r="T53" i="1" s="1"/>
  <c r="J52" i="1"/>
  <c r="T52" i="1" s="1"/>
  <c r="J48" i="1"/>
  <c r="T48" i="1" s="1"/>
  <c r="T45" i="1"/>
  <c r="J44" i="1"/>
  <c r="T44" i="1" s="1"/>
  <c r="J41" i="1"/>
  <c r="T41" i="1" s="1"/>
  <c r="J40" i="1"/>
  <c r="T40" i="1" s="1"/>
  <c r="J39" i="1"/>
  <c r="T39" i="1" s="1"/>
  <c r="J38" i="1"/>
  <c r="T38" i="1" s="1"/>
  <c r="J37" i="1"/>
  <c r="T37" i="1" s="1"/>
  <c r="J34" i="1"/>
  <c r="L34" i="1" s="1"/>
  <c r="J33" i="1"/>
  <c r="T33" i="1" s="1"/>
  <c r="J32" i="1"/>
  <c r="T32" i="1" s="1"/>
  <c r="J31" i="1"/>
  <c r="T31" i="1" s="1"/>
  <c r="T28" i="1"/>
  <c r="J27" i="1"/>
  <c r="T27" i="1" s="1"/>
  <c r="T24" i="1"/>
  <c r="J23" i="1"/>
  <c r="T23" i="1" s="1"/>
  <c r="K2" i="1"/>
  <c r="H8075" i="15" l="1"/>
  <c r="H7401" i="15"/>
  <c r="E5359" i="15"/>
  <c r="I10833" i="15"/>
  <c r="I5646" i="15"/>
  <c r="G6775" i="15"/>
  <c r="E7371" i="15"/>
  <c r="D8928" i="15"/>
  <c r="G8928" i="15" s="1"/>
  <c r="E7362" i="15"/>
  <c r="I8065" i="15"/>
  <c r="I8062" i="15"/>
  <c r="E8006" i="15"/>
  <c r="N8636" i="15"/>
  <c r="G6104" i="15"/>
  <c r="W3085" i="1"/>
  <c r="E11540" i="15"/>
  <c r="H7392" i="15"/>
  <c r="E9085" i="15"/>
  <c r="E11374" i="15"/>
  <c r="E10737" i="15"/>
  <c r="F8887" i="15"/>
  <c r="N8637" i="15"/>
  <c r="E6398" i="15"/>
  <c r="E7508" i="15"/>
  <c r="F8058" i="15"/>
  <c r="F8063" i="15"/>
  <c r="D8929" i="15"/>
  <c r="G8929" i="15" s="1"/>
  <c r="G8982" i="15"/>
  <c r="E9945" i="15"/>
  <c r="R6226" i="15"/>
  <c r="F6408" i="15"/>
  <c r="E11120" i="15"/>
  <c r="L7383" i="15"/>
  <c r="H9889" i="15"/>
  <c r="H5047" i="15"/>
  <c r="L7410" i="15"/>
  <c r="G7645" i="15"/>
  <c r="E11091" i="15"/>
  <c r="G7031" i="15"/>
  <c r="F8499" i="15"/>
  <c r="E7353" i="15"/>
  <c r="F8974" i="15"/>
  <c r="I8056" i="15"/>
  <c r="I4687" i="15"/>
  <c r="E11021" i="15"/>
  <c r="E11800" i="15"/>
  <c r="F5040" i="15"/>
  <c r="E7316" i="15"/>
  <c r="E7646" i="15"/>
  <c r="G8005" i="15"/>
  <c r="H8720" i="15"/>
  <c r="G6426" i="15"/>
  <c r="F6704" i="15"/>
  <c r="I8066" i="15"/>
  <c r="G8790" i="15"/>
  <c r="H9022" i="15"/>
  <c r="C11254" i="15"/>
  <c r="E6902" i="15"/>
  <c r="H5514" i="15"/>
  <c r="I5489" i="15"/>
  <c r="K6224" i="15"/>
  <c r="H5048" i="15"/>
  <c r="F8057" i="15"/>
  <c r="I8060" i="15"/>
  <c r="F8064" i="15"/>
  <c r="E10717" i="15"/>
  <c r="I7359" i="15"/>
  <c r="L7398" i="15"/>
  <c r="R6227" i="15"/>
  <c r="I7368" i="15"/>
  <c r="K6225" i="15"/>
  <c r="K6228" i="15"/>
  <c r="E7356" i="15"/>
  <c r="E7365" i="15"/>
  <c r="E7374" i="15"/>
  <c r="H7386" i="15"/>
  <c r="H7395" i="15"/>
  <c r="H7404" i="15"/>
  <c r="E8004" i="15"/>
  <c r="F8061" i="15"/>
  <c r="I7350" i="15"/>
  <c r="L7389" i="15"/>
  <c r="H8638" i="15"/>
  <c r="F8852" i="15"/>
  <c r="D8930" i="15"/>
  <c r="G8930" i="15" s="1"/>
  <c r="I7377" i="15"/>
  <c r="L7407" i="15"/>
  <c r="I8059" i="15"/>
  <c r="E10158" i="15"/>
  <c r="T3594" i="1"/>
  <c r="T1357" i="1"/>
  <c r="T4112" i="1"/>
  <c r="L2310" i="1"/>
  <c r="R1357" i="1"/>
  <c r="R2663" i="1"/>
  <c r="T1014" i="1"/>
  <c r="L2334" i="1"/>
  <c r="R1048" i="1"/>
  <c r="T1977" i="1"/>
  <c r="R2562" i="1"/>
  <c r="R2557" i="1"/>
  <c r="T2562" i="1"/>
  <c r="W3520" i="1"/>
  <c r="R1548" i="1"/>
  <c r="W2749" i="1"/>
  <c r="R3493" i="1"/>
  <c r="R3498" i="1"/>
  <c r="T1548" i="1"/>
  <c r="R2967" i="1"/>
  <c r="T2731" i="1"/>
  <c r="L3078" i="1"/>
  <c r="R1556" i="1"/>
  <c r="T3493" i="1"/>
  <c r="T3498" i="1"/>
  <c r="L1556" i="1"/>
  <c r="W2292" i="1"/>
  <c r="T1423" i="1"/>
  <c r="L2337" i="1"/>
  <c r="R2666" i="1"/>
  <c r="L2068" i="1"/>
  <c r="T3078" i="1"/>
  <c r="T3102" i="1"/>
  <c r="T1079" i="1"/>
  <c r="R2192" i="1"/>
  <c r="T2337" i="1"/>
  <c r="L4069" i="1"/>
  <c r="R4146" i="1"/>
  <c r="R1404" i="1"/>
  <c r="T2192" i="1"/>
  <c r="T2655" i="1"/>
  <c r="T4065" i="1"/>
  <c r="T4146" i="1"/>
  <c r="T3304" i="1"/>
  <c r="T2656" i="1"/>
  <c r="R4112" i="1"/>
  <c r="R4063" i="1"/>
  <c r="L1042" i="1"/>
  <c r="T2375" i="1"/>
  <c r="R1042" i="1"/>
  <c r="R1282" i="1"/>
  <c r="R2188" i="1"/>
  <c r="T853" i="1"/>
  <c r="T1282" i="1"/>
  <c r="R2144" i="1"/>
  <c r="T3075" i="1"/>
  <c r="T3138" i="1"/>
  <c r="L3417" i="1"/>
  <c r="L3665" i="1"/>
  <c r="L3685" i="1"/>
  <c r="L2316" i="1"/>
  <c r="L2338" i="1"/>
  <c r="T2926" i="1"/>
  <c r="R3421" i="1"/>
  <c r="L836" i="1"/>
  <c r="T2931" i="1"/>
  <c r="R3344" i="1"/>
  <c r="T3421" i="1"/>
  <c r="T3665" i="1"/>
  <c r="T3685" i="1"/>
  <c r="L3806" i="1"/>
  <c r="R3029" i="1"/>
  <c r="L1413" i="1"/>
  <c r="L1463" i="1"/>
  <c r="L1964" i="1"/>
  <c r="R1413" i="1"/>
  <c r="T1907" i="1"/>
  <c r="L1108" i="1"/>
  <c r="R1463" i="1"/>
  <c r="R1964" i="1"/>
  <c r="W2300" i="1"/>
  <c r="L4110" i="1"/>
  <c r="R1181" i="1"/>
  <c r="T1448" i="1"/>
  <c r="L1490" i="1"/>
  <c r="L1516" i="1"/>
  <c r="L837" i="1"/>
  <c r="T1516" i="1"/>
  <c r="R1817" i="1"/>
  <c r="L2042" i="1"/>
  <c r="R2065" i="1"/>
  <c r="R2397" i="1"/>
  <c r="R2407" i="1"/>
  <c r="T2846" i="1"/>
  <c r="T3029" i="1"/>
  <c r="R1475" i="1"/>
  <c r="R3258" i="1"/>
  <c r="W3361" i="1"/>
  <c r="T3806" i="1"/>
  <c r="T1665" i="1"/>
  <c r="L1709" i="1"/>
  <c r="L1977" i="1"/>
  <c r="R1981" i="1"/>
  <c r="T2042" i="1"/>
  <c r="R2075" i="1"/>
  <c r="L2318" i="1"/>
  <c r="T2355" i="1"/>
  <c r="L2454" i="1"/>
  <c r="R2468" i="1"/>
  <c r="T2520" i="1"/>
  <c r="R2753" i="1"/>
  <c r="T2835" i="1"/>
  <c r="W3865" i="1"/>
  <c r="T4104" i="1"/>
  <c r="T4108" i="1"/>
  <c r="T4170" i="1"/>
  <c r="T4225" i="1"/>
  <c r="R3075" i="1"/>
  <c r="R1151" i="1"/>
  <c r="R1448" i="1"/>
  <c r="R1972" i="1"/>
  <c r="T2188" i="1"/>
  <c r="L2335" i="1"/>
  <c r="T2434" i="1"/>
  <c r="L2968" i="1"/>
  <c r="L3243" i="1"/>
  <c r="T1151" i="1"/>
  <c r="T1269" i="1"/>
  <c r="R1443" i="1"/>
  <c r="L1752" i="1"/>
  <c r="L1878" i="1"/>
  <c r="L2144" i="1"/>
  <c r="T2431" i="1"/>
  <c r="R3389" i="1"/>
  <c r="R3417" i="1"/>
  <c r="R3722" i="1"/>
  <c r="T828" i="1"/>
  <c r="T846" i="1"/>
  <c r="T1443" i="1"/>
  <c r="R1909" i="1"/>
  <c r="R2846" i="1"/>
  <c r="L3205" i="1"/>
  <c r="T3344" i="1"/>
  <c r="R3425" i="1"/>
  <c r="T3848" i="1"/>
  <c r="T3877" i="1"/>
  <c r="L4104" i="1"/>
  <c r="L4108" i="1"/>
  <c r="T4110" i="1"/>
  <c r="L4225" i="1"/>
  <c r="L4229" i="1"/>
  <c r="L1176" i="1"/>
  <c r="L1510" i="1"/>
  <c r="W2312" i="1"/>
  <c r="L2753" i="1"/>
  <c r="R3008" i="1"/>
  <c r="L3073" i="1"/>
  <c r="R3205" i="1"/>
  <c r="T3571" i="1"/>
  <c r="W3994" i="1"/>
  <c r="T905" i="1"/>
  <c r="T1316" i="1"/>
  <c r="L1378" i="1"/>
  <c r="T1394" i="1"/>
  <c r="T2139" i="1"/>
  <c r="W2307" i="1"/>
  <c r="R2355" i="1"/>
  <c r="T2418" i="1"/>
  <c r="W2487" i="1"/>
  <c r="R2520" i="1"/>
  <c r="L2644" i="1"/>
  <c r="L2654" i="1"/>
  <c r="R2665" i="1"/>
  <c r="T3008" i="1"/>
  <c r="R3073" i="1"/>
  <c r="T3258" i="1"/>
  <c r="L3408" i="1"/>
  <c r="T3593" i="1"/>
  <c r="L2367" i="1"/>
  <c r="T2802" i="1"/>
  <c r="W4065" i="1"/>
  <c r="T2070" i="1"/>
  <c r="W2375" i="1"/>
  <c r="R2434" i="1"/>
  <c r="W2655" i="1"/>
  <c r="L2931" i="1"/>
  <c r="T1181" i="1"/>
  <c r="R1668" i="1"/>
  <c r="T2056" i="1"/>
  <c r="L1485" i="1"/>
  <c r="T1909" i="1"/>
  <c r="T3425" i="1"/>
  <c r="L1362" i="1"/>
  <c r="T2199" i="1"/>
  <c r="T3404" i="1"/>
  <c r="R3411" i="1"/>
  <c r="R3694" i="1"/>
  <c r="W3798" i="1"/>
  <c r="L1328" i="1"/>
  <c r="T1453" i="1"/>
  <c r="L718" i="1"/>
  <c r="R989" i="1"/>
  <c r="T1328" i="1"/>
  <c r="R1362" i="1"/>
  <c r="R1367" i="1"/>
  <c r="R1378" i="1"/>
  <c r="L1404" i="1"/>
  <c r="L1423" i="1"/>
  <c r="R1599" i="1"/>
  <c r="R1872" i="1"/>
  <c r="R2644" i="1"/>
  <c r="R3137" i="1"/>
  <c r="R3408" i="1"/>
  <c r="T3567" i="1"/>
  <c r="R3878" i="1"/>
  <c r="R1396" i="1"/>
  <c r="L1478" i="1"/>
  <c r="T1599" i="1"/>
  <c r="T1709" i="1"/>
  <c r="T1872" i="1"/>
  <c r="T2288" i="1"/>
  <c r="R2731" i="1"/>
  <c r="T3206" i="1"/>
  <c r="W3513" i="1"/>
  <c r="T3875" i="1"/>
  <c r="R4081" i="1"/>
  <c r="T4152" i="1"/>
  <c r="W4336" i="1"/>
  <c r="T1002" i="1"/>
  <c r="L1002" i="1"/>
  <c r="L2175" i="1"/>
  <c r="T2175" i="1"/>
  <c r="L3876" i="1"/>
  <c r="T2730" i="1"/>
  <c r="R2730" i="1"/>
  <c r="T1611" i="1"/>
  <c r="T2464" i="1"/>
  <c r="L2542" i="1"/>
  <c r="R2542" i="1"/>
  <c r="R3400" i="1"/>
  <c r="T3400" i="1"/>
  <c r="W3586" i="1"/>
  <c r="Q3586" i="1"/>
  <c r="L3774" i="1"/>
  <c r="L3784" i="1"/>
  <c r="T3784" i="1"/>
  <c r="T3814" i="1"/>
  <c r="R3814" i="1"/>
  <c r="L3814" i="1"/>
  <c r="L1511" i="1"/>
  <c r="L1652" i="1"/>
  <c r="L2629" i="1"/>
  <c r="R3876" i="1"/>
  <c r="L1107" i="1"/>
  <c r="L1325" i="1"/>
  <c r="T1325" i="1"/>
  <c r="W2701" i="1"/>
  <c r="R3355" i="1"/>
  <c r="R3490" i="1"/>
  <c r="T4087" i="1"/>
  <c r="R4087" i="1"/>
  <c r="T4294" i="1"/>
  <c r="R2629" i="1"/>
  <c r="L2778" i="1"/>
  <c r="T1112" i="1"/>
  <c r="L1318" i="1"/>
  <c r="T1646" i="1"/>
  <c r="L3005" i="1"/>
  <c r="L3207" i="1"/>
  <c r="R3312" i="1"/>
  <c r="T3345" i="1"/>
  <c r="R3345" i="1"/>
  <c r="R3440" i="1"/>
  <c r="T3440" i="1"/>
  <c r="T3452" i="1"/>
  <c r="R3840" i="1"/>
  <c r="T3852" i="1"/>
  <c r="T3916" i="1"/>
  <c r="R4259" i="1"/>
  <c r="T706" i="1"/>
  <c r="L706" i="1"/>
  <c r="T1026" i="1"/>
  <c r="L1059" i="1"/>
  <c r="R1059" i="1"/>
  <c r="T1107" i="1"/>
  <c r="T1169" i="1"/>
  <c r="T1310" i="1"/>
  <c r="R1318" i="1"/>
  <c r="R1521" i="1"/>
  <c r="T1521" i="1"/>
  <c r="T1734" i="1"/>
  <c r="R1881" i="1"/>
  <c r="L1881" i="1"/>
  <c r="T2608" i="1"/>
  <c r="R2608" i="1"/>
  <c r="T2611" i="1"/>
  <c r="R3005" i="1"/>
  <c r="R3044" i="1"/>
  <c r="T3044" i="1"/>
  <c r="L3345" i="1"/>
  <c r="L3440" i="1"/>
  <c r="R3772" i="1"/>
  <c r="T3840" i="1"/>
  <c r="L3869" i="1"/>
  <c r="T3975" i="1"/>
  <c r="T4036" i="1"/>
  <c r="T1032" i="1"/>
  <c r="R1634" i="1"/>
  <c r="T1634" i="1"/>
  <c r="T1868" i="1"/>
  <c r="L2067" i="1"/>
  <c r="L2356" i="1"/>
  <c r="T2356" i="1"/>
  <c r="L2580" i="1"/>
  <c r="L2608" i="1"/>
  <c r="W2614" i="1"/>
  <c r="R2660" i="1"/>
  <c r="L2961" i="1"/>
  <c r="R3207" i="1"/>
  <c r="T3313" i="1"/>
  <c r="R3313" i="1"/>
  <c r="T3772" i="1"/>
  <c r="R3972" i="1"/>
  <c r="L4008" i="1"/>
  <c r="L3180" i="1"/>
  <c r="R3180" i="1"/>
  <c r="L943" i="1"/>
  <c r="L1207" i="1"/>
  <c r="T820" i="1"/>
  <c r="L1324" i="1"/>
  <c r="L1536" i="1"/>
  <c r="T1536" i="1"/>
  <c r="L2027" i="1"/>
  <c r="T2027" i="1"/>
  <c r="R2175" i="1"/>
  <c r="L2401" i="1"/>
  <c r="R2401" i="1"/>
  <c r="T2401" i="1"/>
  <c r="L2730" i="1"/>
  <c r="R3079" i="1"/>
  <c r="T3518" i="1"/>
  <c r="L764" i="1"/>
  <c r="L815" i="1"/>
  <c r="T867" i="1"/>
  <c r="L1112" i="1"/>
  <c r="L1152" i="1"/>
  <c r="R1207" i="1"/>
  <c r="R1324" i="1"/>
  <c r="R1903" i="1"/>
  <c r="W2490" i="1"/>
  <c r="T2490" i="1"/>
  <c r="T3272" i="1"/>
  <c r="R3272" i="1"/>
  <c r="L3272" i="1"/>
  <c r="R3774" i="1"/>
  <c r="L4287" i="1"/>
  <c r="T4287" i="1"/>
  <c r="R1152" i="1"/>
  <c r="T1511" i="1"/>
  <c r="R1652" i="1"/>
  <c r="W2302" i="1"/>
  <c r="W3360" i="1"/>
  <c r="R3452" i="1"/>
  <c r="T3490" i="1"/>
  <c r="T2389" i="1"/>
  <c r="R2389" i="1"/>
  <c r="L2389" i="1"/>
  <c r="T2771" i="1"/>
  <c r="R2771" i="1"/>
  <c r="T2037" i="1"/>
  <c r="R2037" i="1"/>
  <c r="T2067" i="1"/>
  <c r="T2414" i="1"/>
  <c r="R2414" i="1"/>
  <c r="L2433" i="1"/>
  <c r="T2433" i="1"/>
  <c r="R2580" i="1"/>
  <c r="T2732" i="1"/>
  <c r="R2732" i="1"/>
  <c r="L3137" i="1"/>
  <c r="L3189" i="1"/>
  <c r="L3722" i="1"/>
  <c r="L3822" i="1"/>
  <c r="L3878" i="1"/>
  <c r="R4008" i="1"/>
  <c r="T2369" i="1"/>
  <c r="R2844" i="1"/>
  <c r="W3532" i="1"/>
  <c r="T3563" i="1"/>
  <c r="T857" i="1"/>
  <c r="T2317" i="1"/>
  <c r="T2363" i="1"/>
  <c r="W4100" i="1"/>
  <c r="T4100" i="1"/>
  <c r="R4294" i="1"/>
  <c r="L792" i="1"/>
  <c r="R1536" i="1"/>
  <c r="R2626" i="1"/>
  <c r="T2626" i="1"/>
  <c r="R3259" i="1"/>
  <c r="T3259" i="1"/>
  <c r="L4066" i="1"/>
  <c r="L4259" i="1"/>
  <c r="T715" i="1"/>
  <c r="L715" i="1"/>
  <c r="L1310" i="1"/>
  <c r="R1325" i="1"/>
  <c r="L1895" i="1"/>
  <c r="T1895" i="1"/>
  <c r="R1895" i="1"/>
  <c r="T2003" i="1"/>
  <c r="R2003" i="1"/>
  <c r="T2117" i="1"/>
  <c r="R2117" i="1"/>
  <c r="L2117" i="1"/>
  <c r="T2305" i="1"/>
  <c r="W2305" i="1"/>
  <c r="R2695" i="1"/>
  <c r="T3355" i="1"/>
  <c r="T4032" i="1"/>
  <c r="T4084" i="1"/>
  <c r="R4084" i="1"/>
  <c r="L4087" i="1"/>
  <c r="L4181" i="1"/>
  <c r="T4181" i="1"/>
  <c r="L1284" i="1"/>
  <c r="R1284" i="1"/>
  <c r="T1305" i="1"/>
  <c r="L1305" i="1"/>
  <c r="T2293" i="1"/>
  <c r="W2293" i="1"/>
  <c r="T3972" i="1"/>
  <c r="T989" i="1"/>
  <c r="R1305" i="1"/>
  <c r="R1321" i="1"/>
  <c r="T1321" i="1"/>
  <c r="L1321" i="1"/>
  <c r="L1453" i="1"/>
  <c r="L1461" i="1"/>
  <c r="L1475" i="1"/>
  <c r="L1817" i="1"/>
  <c r="L1023" i="1"/>
  <c r="T1023" i="1"/>
  <c r="T1279" i="1"/>
  <c r="R1279" i="1"/>
  <c r="T1284" i="1"/>
  <c r="L1396" i="1"/>
  <c r="T1619" i="1"/>
  <c r="R1619" i="1"/>
  <c r="R1827" i="1"/>
  <c r="T1827" i="1"/>
  <c r="T1984" i="1"/>
  <c r="R1984" i="1"/>
  <c r="L1984" i="1"/>
  <c r="L2037" i="1"/>
  <c r="R2139" i="1"/>
  <c r="T2266" i="1"/>
  <c r="R2266" i="1"/>
  <c r="L2266" i="1"/>
  <c r="T2354" i="1"/>
  <c r="R2354" i="1"/>
  <c r="L2414" i="1"/>
  <c r="L2732" i="1"/>
  <c r="L3102" i="1"/>
  <c r="R3404" i="1"/>
  <c r="L3411" i="1"/>
  <c r="T3434" i="1"/>
  <c r="R3434" i="1"/>
  <c r="R3593" i="1"/>
  <c r="T3596" i="1"/>
  <c r="T3736" i="1"/>
  <c r="T3759" i="1"/>
  <c r="R3759" i="1"/>
  <c r="L3759" i="1"/>
  <c r="T3818" i="1"/>
  <c r="R3818" i="1"/>
  <c r="R3822" i="1"/>
  <c r="L2361" i="1"/>
  <c r="R2622" i="1"/>
  <c r="L2726" i="1"/>
  <c r="W3010" i="1"/>
  <c r="L3069" i="1"/>
  <c r="L3438" i="1"/>
  <c r="L3773" i="1"/>
  <c r="L3780" i="1"/>
  <c r="W3915" i="1"/>
  <c r="R1490" i="1"/>
  <c r="L1665" i="1"/>
  <c r="L1733" i="1"/>
  <c r="R2014" i="1"/>
  <c r="T2298" i="1"/>
  <c r="W2303" i="1"/>
  <c r="W2361" i="1"/>
  <c r="T2397" i="1"/>
  <c r="R2454" i="1"/>
  <c r="T2463" i="1"/>
  <c r="R2538" i="1"/>
  <c r="T2542" i="1"/>
  <c r="T2622" i="1"/>
  <c r="L2630" i="1"/>
  <c r="L2633" i="1"/>
  <c r="L2717" i="1"/>
  <c r="R2726" i="1"/>
  <c r="L2802" i="1"/>
  <c r="R3069" i="1"/>
  <c r="L3206" i="1"/>
  <c r="T3243" i="1"/>
  <c r="T3389" i="1"/>
  <c r="R3733" i="1"/>
  <c r="L3870" i="1"/>
  <c r="L3875" i="1"/>
  <c r="L3877" i="1"/>
  <c r="L1689" i="1"/>
  <c r="L2035" i="1"/>
  <c r="T1176" i="1"/>
  <c r="T1485" i="1"/>
  <c r="R1689" i="1"/>
  <c r="R1738" i="1"/>
  <c r="R1746" i="1"/>
  <c r="T1752" i="1"/>
  <c r="T1878" i="1"/>
  <c r="L1981" i="1"/>
  <c r="R2035" i="1"/>
  <c r="T2068" i="1"/>
  <c r="L2324" i="1"/>
  <c r="T2339" i="1"/>
  <c r="T2538" i="1"/>
  <c r="L2557" i="1"/>
  <c r="T2665" i="1"/>
  <c r="W2920" i="1"/>
  <c r="L2926" i="1"/>
  <c r="R3438" i="1"/>
  <c r="T3733" i="1"/>
  <c r="R3773" i="1"/>
  <c r="T3780" i="1"/>
  <c r="R3839" i="1"/>
  <c r="L4081" i="1"/>
  <c r="R4157" i="1"/>
  <c r="L4170" i="1"/>
  <c r="L906" i="1"/>
  <c r="L977" i="1"/>
  <c r="L1018" i="1"/>
  <c r="T1108" i="1"/>
  <c r="L1237" i="1"/>
  <c r="T1668" i="1"/>
  <c r="L1738" i="1"/>
  <c r="L1746" i="1"/>
  <c r="L1907" i="1"/>
  <c r="T2075" i="1"/>
  <c r="R1237" i="1"/>
  <c r="R1269" i="1"/>
  <c r="R1394" i="1"/>
  <c r="T1733" i="1"/>
  <c r="R2056" i="1"/>
  <c r="T2324" i="1"/>
  <c r="T2630" i="1"/>
  <c r="R2633" i="1"/>
  <c r="T2717" i="1"/>
  <c r="T3839" i="1"/>
  <c r="T4157" i="1"/>
  <c r="T897" i="1"/>
  <c r="L919" i="1"/>
  <c r="L1147" i="1"/>
  <c r="T1165" i="1"/>
  <c r="R1327" i="1"/>
  <c r="T1327" i="1"/>
  <c r="R1597" i="1"/>
  <c r="T1597" i="1"/>
  <c r="T1864" i="1"/>
  <c r="R1864" i="1"/>
  <c r="L1864" i="1"/>
  <c r="L2218" i="1"/>
  <c r="T2218" i="1"/>
  <c r="R2218" i="1"/>
  <c r="R2537" i="1"/>
  <c r="T848" i="1"/>
  <c r="L944" i="1"/>
  <c r="T944" i="1"/>
  <c r="R997" i="1"/>
  <c r="T997" i="1"/>
  <c r="R1497" i="1"/>
  <c r="W2844" i="1"/>
  <c r="T2844" i="1"/>
  <c r="L3025" i="1"/>
  <c r="R3056" i="1"/>
  <c r="T3246" i="1"/>
  <c r="T3256" i="1"/>
  <c r="R3256" i="1"/>
  <c r="L3256" i="1"/>
  <c r="L3418" i="1"/>
  <c r="T3436" i="1"/>
  <c r="R3436" i="1"/>
  <c r="W3502" i="1"/>
  <c r="R3508" i="1"/>
  <c r="L760" i="1"/>
  <c r="T760" i="1"/>
  <c r="T1497" i="1"/>
  <c r="R1543" i="1"/>
  <c r="R1930" i="1"/>
  <c r="R1937" i="1"/>
  <c r="R2548" i="1"/>
  <c r="T3056" i="1"/>
  <c r="L3074" i="1"/>
  <c r="T3074" i="1"/>
  <c r="R3074" i="1"/>
  <c r="L3436" i="1"/>
  <c r="T3508" i="1"/>
  <c r="W3515" i="1"/>
  <c r="T3515" i="1"/>
  <c r="T888" i="1"/>
  <c r="L983" i="1"/>
  <c r="R1049" i="1"/>
  <c r="T1049" i="1"/>
  <c r="T1057" i="1"/>
  <c r="L1057" i="1"/>
  <c r="R1057" i="1"/>
  <c r="L1097" i="1"/>
  <c r="T1333" i="1"/>
  <c r="R1333" i="1"/>
  <c r="L1333" i="1"/>
  <c r="L1537" i="1"/>
  <c r="T1537" i="1"/>
  <c r="L1673" i="1"/>
  <c r="T1673" i="1"/>
  <c r="R1764" i="1"/>
  <c r="T1764" i="1"/>
  <c r="T2081" i="1"/>
  <c r="R2187" i="1"/>
  <c r="T2187" i="1"/>
  <c r="R3025" i="1"/>
  <c r="R3418" i="1"/>
  <c r="W4143" i="1"/>
  <c r="T4143" i="1"/>
  <c r="T787" i="1"/>
  <c r="T882" i="1"/>
  <c r="R991" i="1"/>
  <c r="T991" i="1"/>
  <c r="L1390" i="1"/>
  <c r="R1390" i="1"/>
  <c r="T1390" i="1"/>
  <c r="R1673" i="1"/>
  <c r="L1543" i="1"/>
  <c r="L1937" i="1"/>
  <c r="W2296" i="1"/>
  <c r="W2301" i="1"/>
  <c r="R2315" i="1"/>
  <c r="W2323" i="1"/>
  <c r="T2323" i="1"/>
  <c r="L2745" i="1"/>
  <c r="T2745" i="1"/>
  <c r="T3195" i="1"/>
  <c r="R1731" i="1"/>
  <c r="L1876" i="1"/>
  <c r="R1876" i="1"/>
  <c r="L1930" i="1"/>
  <c r="T1967" i="1"/>
  <c r="R1967" i="1"/>
  <c r="L1967" i="1"/>
  <c r="T2306" i="1"/>
  <c r="L2548" i="1"/>
  <c r="R3077" i="1"/>
  <c r="T3077" i="1"/>
  <c r="L3077" i="1"/>
  <c r="L3779" i="1"/>
  <c r="T3779" i="1"/>
  <c r="R3779" i="1"/>
  <c r="T2022" i="1"/>
  <c r="R2022" i="1"/>
  <c r="T2459" i="1"/>
  <c r="R2459" i="1"/>
  <c r="L3342" i="1"/>
  <c r="T3342" i="1"/>
  <c r="L1165" i="1"/>
  <c r="L1869" i="1"/>
  <c r="L911" i="1"/>
  <c r="T911" i="1"/>
  <c r="T2676" i="1"/>
  <c r="R2676" i="1"/>
  <c r="W4071" i="1"/>
  <c r="T4071" i="1"/>
  <c r="T859" i="1"/>
  <c r="L869" i="1"/>
  <c r="L991" i="1"/>
  <c r="R1147" i="1"/>
  <c r="R1249" i="1"/>
  <c r="T1249" i="1"/>
  <c r="L1322" i="1"/>
  <c r="L1383" i="1"/>
  <c r="R1587" i="1"/>
  <c r="T1587" i="1"/>
  <c r="T1735" i="1"/>
  <c r="R1735" i="1"/>
  <c r="T1813" i="1"/>
  <c r="L1813" i="1"/>
  <c r="R1813" i="1"/>
  <c r="L1982" i="1"/>
  <c r="T1982" i="1"/>
  <c r="R1982" i="1"/>
  <c r="R2518" i="1"/>
  <c r="W2518" i="1"/>
  <c r="L2631" i="1"/>
  <c r="T2631" i="1"/>
  <c r="R2631" i="1"/>
  <c r="L2676" i="1"/>
  <c r="L2781" i="1"/>
  <c r="R2781" i="1"/>
  <c r="L763" i="1"/>
  <c r="L973" i="1"/>
  <c r="L1126" i="1"/>
  <c r="L1132" i="1"/>
  <c r="L1249" i="1"/>
  <c r="R1322" i="1"/>
  <c r="L1534" i="1"/>
  <c r="T1534" i="1"/>
  <c r="R1534" i="1"/>
  <c r="L1587" i="1"/>
  <c r="L1735" i="1"/>
  <c r="R2058" i="1"/>
  <c r="T2058" i="1"/>
  <c r="R2078" i="1"/>
  <c r="T2078" i="1"/>
  <c r="L2078" i="1"/>
  <c r="Q2518" i="1"/>
  <c r="R3734" i="1"/>
  <c r="T3734" i="1"/>
  <c r="L3999" i="1"/>
  <c r="T3999" i="1"/>
  <c r="R3999" i="1"/>
  <c r="L978" i="1"/>
  <c r="R1083" i="1"/>
  <c r="T1083" i="1"/>
  <c r="T1383" i="1"/>
  <c r="R1429" i="1"/>
  <c r="T1437" i="1"/>
  <c r="L1437" i="1"/>
  <c r="R1437" i="1"/>
  <c r="T1581" i="1"/>
  <c r="R1581" i="1"/>
  <c r="T1635" i="1"/>
  <c r="R1635" i="1"/>
  <c r="T1650" i="1"/>
  <c r="L1650" i="1"/>
  <c r="R1650" i="1"/>
  <c r="R1718" i="1"/>
  <c r="L1972" i="1"/>
  <c r="T2052" i="1"/>
  <c r="R2052" i="1"/>
  <c r="L2058" i="1"/>
  <c r="L2513" i="1"/>
  <c r="R2963" i="1"/>
  <c r="T2969" i="1"/>
  <c r="L3003" i="1"/>
  <c r="T3003" i="1"/>
  <c r="R3003" i="1"/>
  <c r="L3734" i="1"/>
  <c r="L1373" i="1"/>
  <c r="R1373" i="1"/>
  <c r="T1373" i="1"/>
  <c r="R1415" i="1"/>
  <c r="T1415" i="1"/>
  <c r="T1430" i="1"/>
  <c r="R1430" i="1"/>
  <c r="L1430" i="1"/>
  <c r="T4158" i="1"/>
  <c r="R4158" i="1"/>
  <c r="L854" i="1"/>
  <c r="T854" i="1"/>
  <c r="L934" i="1"/>
  <c r="L1024" i="1"/>
  <c r="T1024" i="1"/>
  <c r="T1363" i="1"/>
  <c r="R1363" i="1"/>
  <c r="T1368" i="1"/>
  <c r="R1368" i="1"/>
  <c r="L1415" i="1"/>
  <c r="T1885" i="1"/>
  <c r="L1885" i="1"/>
  <c r="R1885" i="1"/>
  <c r="L2165" i="1"/>
  <c r="T2165" i="1"/>
  <c r="T2505" i="1"/>
  <c r="R2505" i="1"/>
  <c r="L2561" i="1"/>
  <c r="R2561" i="1"/>
  <c r="T2576" i="1"/>
  <c r="R2576" i="1"/>
  <c r="L2576" i="1"/>
  <c r="L2604" i="1"/>
  <c r="R2604" i="1"/>
  <c r="T2604" i="1"/>
  <c r="T2754" i="1"/>
  <c r="R2754" i="1"/>
  <c r="T2774" i="1"/>
  <c r="L2774" i="1"/>
  <c r="R2774" i="1"/>
  <c r="L3185" i="1"/>
  <c r="R3348" i="1"/>
  <c r="L3348" i="1"/>
  <c r="L3519" i="1"/>
  <c r="T3519" i="1"/>
  <c r="L4158" i="1"/>
  <c r="T3443" i="1"/>
  <c r="R3443" i="1"/>
  <c r="L1409" i="1"/>
  <c r="T1409" i="1"/>
  <c r="T1419" i="1"/>
  <c r="R1419" i="1"/>
  <c r="T1505" i="1"/>
  <c r="L1505" i="1"/>
  <c r="R1505" i="1"/>
  <c r="T1571" i="1"/>
  <c r="L1571" i="1"/>
  <c r="R1571" i="1"/>
  <c r="R2165" i="1"/>
  <c r="T2541" i="1"/>
  <c r="R2541" i="1"/>
  <c r="R2745" i="1"/>
  <c r="L3181" i="1"/>
  <c r="L997" i="1"/>
  <c r="L816" i="1"/>
  <c r="R1126" i="1"/>
  <c r="T1132" i="1"/>
  <c r="T1429" i="1"/>
  <c r="R1631" i="1"/>
  <c r="T1631" i="1"/>
  <c r="T1718" i="1"/>
  <c r="T1770" i="1"/>
  <c r="L1770" i="1"/>
  <c r="L1890" i="1"/>
  <c r="T1890" i="1"/>
  <c r="R1890" i="1"/>
  <c r="L1960" i="1"/>
  <c r="T1960" i="1"/>
  <c r="T2174" i="1"/>
  <c r="R2174" i="1"/>
  <c r="L2174" i="1"/>
  <c r="T2333" i="1"/>
  <c r="R2333" i="1"/>
  <c r="T2377" i="1"/>
  <c r="K2377" i="1"/>
  <c r="P2377" i="1" s="1"/>
  <c r="T2509" i="1"/>
  <c r="R2509" i="1"/>
  <c r="W2963" i="1"/>
  <c r="T2963" i="1"/>
  <c r="T4194" i="1"/>
  <c r="W4194" i="1"/>
  <c r="T2008" i="1"/>
  <c r="L2008" i="1"/>
  <c r="T2170" i="1"/>
  <c r="R2170" i="1"/>
  <c r="L2427" i="1"/>
  <c r="T2452" i="1"/>
  <c r="R2452" i="1"/>
  <c r="R2584" i="1"/>
  <c r="T2584" i="1"/>
  <c r="T2781" i="1"/>
  <c r="R2948" i="1"/>
  <c r="T2948" i="1"/>
  <c r="T3348" i="1"/>
  <c r="L3386" i="1"/>
  <c r="L3423" i="1"/>
  <c r="T3423" i="1"/>
  <c r="R3423" i="1"/>
  <c r="L4131" i="1"/>
  <c r="T4156" i="1"/>
  <c r="L4156" i="1"/>
  <c r="R4156" i="1"/>
  <c r="T788" i="1"/>
  <c r="R2059" i="1"/>
  <c r="L2059" i="1"/>
  <c r="T2419" i="1"/>
  <c r="L2419" i="1"/>
  <c r="L2452" i="1"/>
  <c r="R2501" i="1"/>
  <c r="L2535" i="1"/>
  <c r="L2584" i="1"/>
  <c r="L2948" i="1"/>
  <c r="L4064" i="1"/>
  <c r="T4069" i="1"/>
  <c r="Q4144" i="1"/>
  <c r="T4151" i="1"/>
  <c r="T4195" i="1"/>
  <c r="T4229" i="1"/>
  <c r="L4269" i="1"/>
  <c r="T34" i="1"/>
  <c r="L1020" i="1"/>
  <c r="T1020" i="1"/>
  <c r="T1029" i="1"/>
  <c r="L1047" i="1"/>
  <c r="L1101" i="1"/>
  <c r="L1122" i="1"/>
  <c r="L1289" i="1"/>
  <c r="L1319" i="1"/>
  <c r="L1427" i="1"/>
  <c r="R1687" i="1"/>
  <c r="L2016" i="1"/>
  <c r="T2016" i="1"/>
  <c r="R2143" i="1"/>
  <c r="T2501" i="1"/>
  <c r="T2658" i="1"/>
  <c r="T2778" i="1"/>
  <c r="T2967" i="1"/>
  <c r="W2967" i="1"/>
  <c r="L3365" i="1"/>
  <c r="R3386" i="1"/>
  <c r="L3765" i="1"/>
  <c r="W3792" i="1"/>
  <c r="W3854" i="1"/>
  <c r="T3854" i="1"/>
  <c r="T4113" i="1"/>
  <c r="R4113" i="1"/>
  <c r="T4131" i="1"/>
  <c r="R4248" i="1"/>
  <c r="R4296" i="1"/>
  <c r="T4296" i="1"/>
  <c r="L710" i="1"/>
  <c r="T719" i="1"/>
  <c r="T783" i="1"/>
  <c r="L1001" i="1"/>
  <c r="R1211" i="1"/>
  <c r="T1319" i="1"/>
  <c r="L1385" i="1"/>
  <c r="L1509" i="1"/>
  <c r="T1509" i="1"/>
  <c r="R1541" i="1"/>
  <c r="L1541" i="1"/>
  <c r="R1582" i="1"/>
  <c r="R1598" i="1"/>
  <c r="R1679" i="1"/>
  <c r="T1766" i="1"/>
  <c r="R1913" i="1"/>
  <c r="T2041" i="1"/>
  <c r="L2041" i="1"/>
  <c r="T2047" i="1"/>
  <c r="R2047" i="1"/>
  <c r="T2059" i="1"/>
  <c r="T2252" i="1"/>
  <c r="R2252" i="1"/>
  <c r="L2353" i="1"/>
  <c r="T2353" i="1"/>
  <c r="R2419" i="1"/>
  <c r="L2515" i="1"/>
  <c r="R2515" i="1"/>
  <c r="L2618" i="1"/>
  <c r="T2627" i="1"/>
  <c r="L2627" i="1"/>
  <c r="L2649" i="1"/>
  <c r="L2725" i="1"/>
  <c r="W2728" i="1"/>
  <c r="R2804" i="1"/>
  <c r="T2804" i="1"/>
  <c r="W2961" i="1"/>
  <c r="T2961" i="1"/>
  <c r="T3382" i="1"/>
  <c r="R3382" i="1"/>
  <c r="L3595" i="1"/>
  <c r="T3595" i="1"/>
  <c r="R3595" i="1"/>
  <c r="T3777" i="1"/>
  <c r="L849" i="1"/>
  <c r="T2224" i="1"/>
  <c r="L2224" i="1"/>
  <c r="T2367" i="1"/>
  <c r="T2411" i="1"/>
  <c r="R2411" i="1"/>
  <c r="T2736" i="1"/>
  <c r="R2736" i="1"/>
  <c r="T2813" i="1"/>
  <c r="R2813" i="1"/>
  <c r="L741" i="1"/>
  <c r="T1876" i="1"/>
  <c r="L2772" i="1"/>
  <c r="L716" i="1"/>
  <c r="L791" i="1"/>
  <c r="L1084" i="1"/>
  <c r="R1278" i="1"/>
  <c r="L1315" i="1"/>
  <c r="L1874" i="1"/>
  <c r="T2105" i="1"/>
  <c r="T2143" i="1"/>
  <c r="T2427" i="1"/>
  <c r="T2563" i="1"/>
  <c r="R2563" i="1"/>
  <c r="L2563" i="1"/>
  <c r="L2656" i="1"/>
  <c r="L2965" i="1"/>
  <c r="L4113" i="1"/>
  <c r="T4248" i="1"/>
  <c r="T4258" i="1"/>
  <c r="T4269" i="1"/>
  <c r="L4296" i="1"/>
  <c r="L761" i="1"/>
  <c r="T768" i="1"/>
  <c r="T864" i="1"/>
  <c r="L923" i="1"/>
  <c r="L972" i="1"/>
  <c r="T975" i="1"/>
  <c r="R1047" i="1"/>
  <c r="L1058" i="1"/>
  <c r="L1069" i="1"/>
  <c r="R1101" i="1"/>
  <c r="T1105" i="1"/>
  <c r="R1122" i="1"/>
  <c r="L1169" i="1"/>
  <c r="T1211" i="1"/>
  <c r="L1273" i="1"/>
  <c r="T1273" i="1"/>
  <c r="T1278" i="1"/>
  <c r="R1289" i="1"/>
  <c r="T1315" i="1"/>
  <c r="L1375" i="1"/>
  <c r="R1427" i="1"/>
  <c r="L1521" i="1"/>
  <c r="R1526" i="1"/>
  <c r="T1582" i="1"/>
  <c r="T1598" i="1"/>
  <c r="L1604" i="1"/>
  <c r="L1611" i="1"/>
  <c r="R1651" i="1"/>
  <c r="T1679" i="1"/>
  <c r="L1727" i="1"/>
  <c r="L1736" i="1"/>
  <c r="R1772" i="1"/>
  <c r="R1791" i="1"/>
  <c r="T1880" i="1"/>
  <c r="R1928" i="1"/>
  <c r="T1939" i="1"/>
  <c r="R1988" i="1"/>
  <c r="T2030" i="1"/>
  <c r="R2030" i="1"/>
  <c r="L2047" i="1"/>
  <c r="L2131" i="1"/>
  <c r="R2131" i="1"/>
  <c r="L2252" i="1"/>
  <c r="T2425" i="1"/>
  <c r="R2425" i="1"/>
  <c r="T2499" i="1"/>
  <c r="R2499" i="1"/>
  <c r="R2502" i="1"/>
  <c r="T2502" i="1"/>
  <c r="L2502" i="1"/>
  <c r="L2636" i="1"/>
  <c r="R2659" i="1"/>
  <c r="L2659" i="1"/>
  <c r="R2725" i="1"/>
  <c r="T2772" i="1"/>
  <c r="T2800" i="1"/>
  <c r="R2800" i="1"/>
  <c r="L2804" i="1"/>
  <c r="R3365" i="1"/>
  <c r="L3382" i="1"/>
  <c r="R3583" i="1"/>
  <c r="L3737" i="1"/>
  <c r="R3765" i="1"/>
  <c r="T3789" i="1"/>
  <c r="W3987" i="1"/>
  <c r="W4031" i="1"/>
  <c r="T4031" i="1"/>
  <c r="R2183" i="1"/>
  <c r="L2183" i="1"/>
  <c r="T2537" i="1"/>
  <c r="L2544" i="1"/>
  <c r="T2544" i="1"/>
  <c r="R2544" i="1"/>
  <c r="R3474" i="1"/>
  <c r="T3474" i="1"/>
  <c r="L1699" i="1"/>
  <c r="L2170" i="1"/>
  <c r="T1374" i="1"/>
  <c r="L1526" i="1"/>
  <c r="L1772" i="1"/>
  <c r="T1796" i="1"/>
  <c r="L1880" i="1"/>
  <c r="R1880" i="1"/>
  <c r="L1928" i="1"/>
  <c r="W2367" i="1"/>
  <c r="L2411" i="1"/>
  <c r="L2662" i="1"/>
  <c r="L2736" i="1"/>
  <c r="L2782" i="1"/>
  <c r="R3664" i="1"/>
  <c r="T3664" i="1"/>
  <c r="L3664" i="1"/>
  <c r="T1687" i="1"/>
  <c r="T1699" i="1"/>
  <c r="T1980" i="1"/>
  <c r="L1980" i="1"/>
  <c r="T754" i="1"/>
  <c r="L896" i="1"/>
  <c r="T896" i="1"/>
  <c r="R1084" i="1"/>
  <c r="R1135" i="1"/>
  <c r="R1174" i="1"/>
  <c r="R1229" i="1"/>
  <c r="T1370" i="1"/>
  <c r="R1385" i="1"/>
  <c r="R1509" i="1"/>
  <c r="T1541" i="1"/>
  <c r="R1694" i="1"/>
  <c r="T1727" i="1"/>
  <c r="T1736" i="1"/>
  <c r="L1786" i="1"/>
  <c r="R1786" i="1"/>
  <c r="T1791" i="1"/>
  <c r="R1806" i="1"/>
  <c r="L1806" i="1"/>
  <c r="R1980" i="1"/>
  <c r="T1988" i="1"/>
  <c r="L2026" i="1"/>
  <c r="T2026" i="1"/>
  <c r="T2036" i="1"/>
  <c r="L2036" i="1"/>
  <c r="R2041" i="1"/>
  <c r="R2353" i="1"/>
  <c r="P2369" i="1"/>
  <c r="L2369" i="1"/>
  <c r="R2395" i="1"/>
  <c r="T2395" i="1"/>
  <c r="L2420" i="1"/>
  <c r="T2420" i="1"/>
  <c r="R2618" i="1"/>
  <c r="R2627" i="1"/>
  <c r="R2649" i="1"/>
  <c r="R2656" i="1"/>
  <c r="L2780" i="1"/>
  <c r="R2780" i="1"/>
  <c r="R3729" i="1"/>
  <c r="W4096" i="1"/>
  <c r="T4096" i="1"/>
  <c r="T2233" i="1"/>
  <c r="R2233" i="1"/>
  <c r="K2371" i="1"/>
  <c r="T2371" i="1"/>
  <c r="T2589" i="1"/>
  <c r="R2589" i="1"/>
  <c r="T2609" i="1"/>
  <c r="R2609" i="1"/>
  <c r="L2609" i="1"/>
  <c r="R2755" i="1"/>
  <c r="T2755" i="1"/>
  <c r="L2755" i="1"/>
  <c r="L2785" i="1"/>
  <c r="R2785" i="1"/>
  <c r="R2957" i="1"/>
  <c r="L2957" i="1"/>
  <c r="R3095" i="1"/>
  <c r="T3095" i="1"/>
  <c r="T3196" i="1"/>
  <c r="R3196" i="1"/>
  <c r="L3196" i="1"/>
  <c r="L3406" i="1"/>
  <c r="T3406" i="1"/>
  <c r="T4171" i="1"/>
  <c r="R4171" i="1"/>
  <c r="L4171" i="1"/>
  <c r="R1444" i="1"/>
  <c r="T1444" i="1"/>
  <c r="T1576" i="1"/>
  <c r="R1576" i="1"/>
  <c r="R1614" i="1"/>
  <c r="L1614" i="1"/>
  <c r="T1731" i="1"/>
  <c r="R1747" i="1"/>
  <c r="L1747" i="1"/>
  <c r="R1979" i="1"/>
  <c r="T1979" i="1"/>
  <c r="R1449" i="1"/>
  <c r="R1766" i="1"/>
  <c r="R2008" i="1"/>
  <c r="T2166" i="1"/>
  <c r="R2166" i="1"/>
  <c r="L2813" i="1"/>
  <c r="T729" i="1"/>
  <c r="T825" i="1"/>
  <c r="T842" i="1"/>
  <c r="L979" i="1"/>
  <c r="R1105" i="1"/>
  <c r="L1135" i="1"/>
  <c r="T1449" i="1"/>
  <c r="R1058" i="1"/>
  <c r="T1174" i="1"/>
  <c r="T1229" i="1"/>
  <c r="L1316" i="1"/>
  <c r="T1375" i="1"/>
  <c r="L1408" i="1"/>
  <c r="T1408" i="1"/>
  <c r="T1604" i="1"/>
  <c r="T1666" i="1"/>
  <c r="L1666" i="1"/>
  <c r="T1694" i="1"/>
  <c r="T1874" i="1"/>
  <c r="T1929" i="1"/>
  <c r="L1929" i="1"/>
  <c r="L1989" i="1"/>
  <c r="R1989" i="1"/>
  <c r="L1998" i="1"/>
  <c r="T1998" i="1"/>
  <c r="T2179" i="1"/>
  <c r="W2462" i="1"/>
  <c r="T2462" i="1"/>
  <c r="T2636" i="1"/>
  <c r="T2757" i="1"/>
  <c r="R2757" i="1"/>
  <c r="T3308" i="1"/>
  <c r="R3308" i="1"/>
  <c r="L3308" i="1"/>
  <c r="R3354" i="1"/>
  <c r="L3354" i="1"/>
  <c r="L3584" i="1"/>
  <c r="T3584" i="1"/>
  <c r="T3629" i="1"/>
  <c r="R3629" i="1"/>
  <c r="T3729" i="1"/>
  <c r="T3737" i="1"/>
  <c r="R3882" i="1"/>
  <c r="L3882" i="1"/>
  <c r="T1792" i="1"/>
  <c r="R1792" i="1"/>
  <c r="R1800" i="1"/>
  <c r="T1800" i="1"/>
  <c r="T2270" i="1"/>
  <c r="R2270" i="1"/>
  <c r="T2299" i="1"/>
  <c r="W2299" i="1"/>
  <c r="T2334" i="1"/>
  <c r="T2666" i="1"/>
  <c r="W2666" i="1"/>
  <c r="T2824" i="1"/>
  <c r="R2824" i="1"/>
  <c r="R3535" i="1"/>
  <c r="T3535" i="1"/>
  <c r="L3535" i="1"/>
  <c r="T4111" i="1"/>
  <c r="R4111" i="1"/>
  <c r="W2612" i="1"/>
  <c r="T2612" i="1"/>
  <c r="T2780" i="1"/>
  <c r="L2809" i="1"/>
  <c r="T2809" i="1"/>
  <c r="T2819" i="1"/>
  <c r="R2819" i="1"/>
  <c r="T3004" i="1"/>
  <c r="R3004" i="1"/>
  <c r="L3004" i="1"/>
  <c r="R3166" i="1"/>
  <c r="T3166" i="1"/>
  <c r="T3407" i="1"/>
  <c r="R3407" i="1"/>
  <c r="L3407" i="1"/>
  <c r="T3432" i="1"/>
  <c r="R3432" i="1"/>
  <c r="W3631" i="1"/>
  <c r="T3667" i="1"/>
  <c r="R3667" i="1"/>
  <c r="W3920" i="1"/>
  <c r="T3920" i="1"/>
  <c r="T4249" i="1"/>
  <c r="R4249" i="1"/>
  <c r="L4254" i="1"/>
  <c r="R4254" i="1"/>
  <c r="R2632" i="1"/>
  <c r="L2632" i="1"/>
  <c r="T2965" i="1"/>
  <c r="T3277" i="1"/>
  <c r="R3277" i="1"/>
  <c r="L3486" i="1"/>
  <c r="T3486" i="1"/>
  <c r="R3506" i="1"/>
  <c r="T3506" i="1"/>
  <c r="R3531" i="1"/>
  <c r="T3531" i="1"/>
  <c r="L3531" i="1"/>
  <c r="T4109" i="1"/>
  <c r="R4109" i="1"/>
  <c r="T2773" i="1"/>
  <c r="L2773" i="1"/>
  <c r="L3124" i="1"/>
  <c r="R3124" i="1"/>
  <c r="L3349" i="1"/>
  <c r="R3349" i="1"/>
  <c r="T3764" i="1"/>
  <c r="L3764" i="1"/>
  <c r="R4089" i="1"/>
  <c r="T4089" i="1"/>
  <c r="R4270" i="1"/>
  <c r="T4270" i="1"/>
  <c r="R2248" i="1"/>
  <c r="T2248" i="1"/>
  <c r="T2297" i="1"/>
  <c r="W2297" i="1"/>
  <c r="T2535" i="1"/>
  <c r="T3751" i="1"/>
  <c r="W3751" i="1"/>
  <c r="T4132" i="1"/>
  <c r="L4132" i="1"/>
  <c r="T4232" i="1"/>
  <c r="T2275" i="1"/>
  <c r="W2275" i="1"/>
  <c r="T2515" i="1"/>
  <c r="W2535" i="1"/>
  <c r="L2549" i="1"/>
  <c r="R2690" i="1"/>
  <c r="L2690" i="1"/>
  <c r="T2782" i="1"/>
  <c r="T2785" i="1"/>
  <c r="W2906" i="1"/>
  <c r="T2968" i="1"/>
  <c r="L2988" i="1"/>
  <c r="R2988" i="1"/>
  <c r="T3227" i="1"/>
  <c r="L3259" i="1"/>
  <c r="L3304" i="1"/>
  <c r="L3312" i="1"/>
  <c r="L3736" i="1"/>
  <c r="L3848" i="1"/>
  <c r="T3860" i="1"/>
  <c r="T3948" i="1"/>
  <c r="L4007" i="1"/>
  <c r="L4065" i="1"/>
  <c r="R4065" i="1"/>
  <c r="W4232" i="1"/>
  <c r="T1732" i="1"/>
  <c r="L1771" i="1"/>
  <c r="R1771" i="1"/>
  <c r="T1783" i="1"/>
  <c r="L1783" i="1"/>
  <c r="W2276" i="1"/>
  <c r="W2321" i="1"/>
  <c r="T2343" i="1"/>
  <c r="R2418" i="1"/>
  <c r="R2433" i="1"/>
  <c r="L2468" i="1"/>
  <c r="R2477" i="1"/>
  <c r="T2477" i="1"/>
  <c r="T2662" i="1"/>
  <c r="T2690" i="1"/>
  <c r="L2771" i="1"/>
  <c r="R2949" i="1"/>
  <c r="T2949" i="1"/>
  <c r="L3138" i="1"/>
  <c r="W3247" i="1"/>
  <c r="T3317" i="1"/>
  <c r="R3317" i="1"/>
  <c r="T3350" i="1"/>
  <c r="T3364" i="1"/>
  <c r="L3400" i="1"/>
  <c r="R3594" i="1"/>
  <c r="W3635" i="1"/>
  <c r="T3655" i="1"/>
  <c r="R3784" i="1"/>
  <c r="T3968" i="1"/>
  <c r="R3968" i="1"/>
  <c r="R4132" i="1"/>
  <c r="R4250" i="1"/>
  <c r="T4250" i="1"/>
  <c r="T1869" i="1"/>
  <c r="T3352" i="1"/>
  <c r="W3891" i="1"/>
  <c r="L4140" i="1"/>
  <c r="R1433" i="1"/>
  <c r="T1433" i="1"/>
  <c r="T1215" i="1"/>
  <c r="R1215" i="1"/>
  <c r="L1215" i="1"/>
  <c r="T1371" i="1"/>
  <c r="R1371" i="1"/>
  <c r="L1371" i="1"/>
  <c r="R1512" i="1"/>
  <c r="L1512" i="1"/>
  <c r="T1512" i="1"/>
  <c r="W2516" i="1"/>
  <c r="T2516" i="1"/>
  <c r="T2987" i="1"/>
  <c r="R2987" i="1"/>
  <c r="L2987" i="1"/>
  <c r="L3340" i="1"/>
  <c r="T3340" i="1"/>
  <c r="R3340" i="1"/>
  <c r="T1203" i="1"/>
  <c r="R1203" i="1"/>
  <c r="L1203" i="1"/>
  <c r="L749" i="1"/>
  <c r="T749" i="1"/>
  <c r="R1683" i="1"/>
  <c r="T1683" i="1"/>
  <c r="L1760" i="1"/>
  <c r="T1760" i="1"/>
  <c r="R1760" i="1"/>
  <c r="L829" i="1"/>
  <c r="T728" i="1"/>
  <c r="L728" i="1"/>
  <c r="T942" i="1"/>
  <c r="L942" i="1"/>
  <c r="T1244" i="1"/>
  <c r="R1244" i="1"/>
  <c r="L1244" i="1"/>
  <c r="L1676" i="1"/>
  <c r="T1676" i="1"/>
  <c r="R1676" i="1"/>
  <c r="T1983" i="1"/>
  <c r="R1983" i="1"/>
  <c r="L3049" i="1"/>
  <c r="R3049" i="1"/>
  <c r="T3049" i="1"/>
  <c r="L3457" i="1"/>
  <c r="T3457" i="1"/>
  <c r="R3457" i="1"/>
  <c r="L855" i="1"/>
  <c r="T1584" i="1"/>
  <c r="R1584" i="1"/>
  <c r="L1584" i="1"/>
  <c r="R1879" i="1"/>
  <c r="L1879" i="1"/>
  <c r="T1879" i="1"/>
  <c r="T2274" i="1"/>
  <c r="W2274" i="1"/>
  <c r="L2340" i="1"/>
  <c r="T1968" i="1"/>
  <c r="R1968" i="1"/>
  <c r="W2337" i="1"/>
  <c r="R2590" i="1"/>
  <c r="T2590" i="1"/>
  <c r="T2814" i="1"/>
  <c r="R2814" i="1"/>
  <c r="L2814" i="1"/>
  <c r="T2964" i="1"/>
  <c r="R2964" i="1"/>
  <c r="L2964" i="1"/>
  <c r="T1280" i="1"/>
  <c r="R1280" i="1"/>
  <c r="L1280" i="1"/>
  <c r="L1387" i="1"/>
  <c r="R1387" i="1"/>
  <c r="T1387" i="1"/>
  <c r="L1683" i="1"/>
  <c r="L945" i="1"/>
  <c r="L1028" i="1"/>
  <c r="T1277" i="1"/>
  <c r="R1277" i="1"/>
  <c r="T1320" i="1"/>
  <c r="R1320" i="1"/>
  <c r="L1320" i="1"/>
  <c r="R1535" i="1"/>
  <c r="T1535" i="1"/>
  <c r="R1990" i="1"/>
  <c r="T1990" i="1"/>
  <c r="L1990" i="1"/>
  <c r="T2881" i="1"/>
  <c r="L2881" i="1"/>
  <c r="L2927" i="1"/>
  <c r="T2927" i="1"/>
  <c r="T1618" i="1"/>
  <c r="R1618" i="1"/>
  <c r="T1986" i="1"/>
  <c r="R1986" i="1"/>
  <c r="L1986" i="1"/>
  <c r="R2947" i="1"/>
  <c r="T2947" i="1"/>
  <c r="L2947" i="1"/>
  <c r="L813" i="1"/>
  <c r="T817" i="1"/>
  <c r="L817" i="1"/>
  <c r="R1060" i="1"/>
  <c r="L1060" i="1"/>
  <c r="T1067" i="1"/>
  <c r="L1067" i="1"/>
  <c r="T1457" i="1"/>
  <c r="R1457" i="1"/>
  <c r="L1457" i="1"/>
  <c r="L2021" i="1"/>
  <c r="T2021" i="1"/>
  <c r="R2021" i="1"/>
  <c r="T2045" i="1"/>
  <c r="R2045" i="1"/>
  <c r="L2045" i="1"/>
  <c r="T2877" i="1"/>
  <c r="L2877" i="1"/>
  <c r="R2877" i="1"/>
  <c r="T3125" i="1"/>
  <c r="R3125" i="1"/>
  <c r="L3125" i="1"/>
  <c r="R1593" i="1"/>
  <c r="T1593" i="1"/>
  <c r="L1593" i="1"/>
  <c r="T1609" i="1"/>
  <c r="R1609" i="1"/>
  <c r="R1698" i="1"/>
  <c r="T1698" i="1"/>
  <c r="L1698" i="1"/>
  <c r="R2015" i="1"/>
  <c r="T2015" i="1"/>
  <c r="L2015" i="1"/>
  <c r="T2365" i="1"/>
  <c r="K2365" i="1"/>
  <c r="L2657" i="1"/>
  <c r="R2657" i="1"/>
  <c r="R4345" i="1"/>
  <c r="L4345" i="1"/>
  <c r="L1393" i="1"/>
  <c r="T1393" i="1"/>
  <c r="T1693" i="1"/>
  <c r="R1693" i="1"/>
  <c r="T2818" i="1"/>
  <c r="R2818" i="1"/>
  <c r="Q2826" i="1"/>
  <c r="T3742" i="1"/>
  <c r="L3742" i="1"/>
  <c r="T3867" i="1"/>
  <c r="R3867" i="1"/>
  <c r="L3867" i="1"/>
  <c r="L835" i="1"/>
  <c r="T1502" i="1"/>
  <c r="R1502" i="1"/>
  <c r="L1502" i="1"/>
  <c r="T1688" i="1"/>
  <c r="R1688" i="1"/>
  <c r="R1973" i="1"/>
  <c r="L1973" i="1"/>
  <c r="T1973" i="1"/>
  <c r="T3550" i="1"/>
  <c r="R3550" i="1"/>
  <c r="L3550" i="1"/>
  <c r="R3750" i="1"/>
  <c r="L3750" i="1"/>
  <c r="T3750" i="1"/>
  <c r="R3778" i="1"/>
  <c r="T3778" i="1"/>
  <c r="L3778" i="1"/>
  <c r="L1688" i="1"/>
  <c r="T2009" i="1"/>
  <c r="L2009" i="1"/>
  <c r="R2009" i="1"/>
  <c r="R2071" i="1"/>
  <c r="T2071" i="1"/>
  <c r="L2653" i="1"/>
  <c r="R2653" i="1"/>
  <c r="T2653" i="1"/>
  <c r="Q3510" i="1"/>
  <c r="W3510" i="1"/>
  <c r="R1143" i="1"/>
  <c r="L1143" i="1"/>
  <c r="T1143" i="1"/>
  <c r="L823" i="1"/>
  <c r="T1036" i="1"/>
  <c r="L1036" i="1"/>
  <c r="T881" i="1"/>
  <c r="L881" i="1"/>
  <c r="L917" i="1"/>
  <c r="T917" i="1"/>
  <c r="T1245" i="1"/>
  <c r="R1245" i="1"/>
  <c r="L1245" i="1"/>
  <c r="L1295" i="1"/>
  <c r="T1295" i="1"/>
  <c r="R1295" i="1"/>
  <c r="L1612" i="1"/>
  <c r="R1612" i="1"/>
  <c r="T1612" i="1"/>
  <c r="T1657" i="1"/>
  <c r="R1657" i="1"/>
  <c r="L1657" i="1"/>
  <c r="L755" i="1"/>
  <c r="T755" i="1"/>
  <c r="L1433" i="1"/>
  <c r="L1609" i="1"/>
  <c r="T1116" i="1"/>
  <c r="R1116" i="1"/>
  <c r="L1116" i="1"/>
  <c r="L2494" i="1"/>
  <c r="R2494" i="1"/>
  <c r="T2494" i="1"/>
  <c r="T3684" i="1"/>
  <c r="L3684" i="1"/>
  <c r="R3684" i="1"/>
  <c r="L4172" i="1"/>
  <c r="T4172" i="1"/>
  <c r="R4172" i="1"/>
  <c r="L974" i="1"/>
  <c r="R2060" i="1"/>
  <c r="T2060" i="1"/>
  <c r="T4101" i="1"/>
  <c r="W4101" i="1"/>
  <c r="L2060" i="1"/>
  <c r="L2590" i="1"/>
  <c r="T2714" i="1"/>
  <c r="L2714" i="1"/>
  <c r="R2714" i="1"/>
  <c r="T3484" i="1"/>
  <c r="R3484" i="1"/>
  <c r="L3484" i="1"/>
  <c r="L1070" i="1"/>
  <c r="T1096" i="1"/>
  <c r="L1096" i="1"/>
  <c r="L2680" i="1"/>
  <c r="T2680" i="1"/>
  <c r="L1277" i="1"/>
  <c r="L1535" i="1"/>
  <c r="R2044" i="1"/>
  <c r="T2044" i="1"/>
  <c r="L2044" i="1"/>
  <c r="W2692" i="1"/>
  <c r="Q2692" i="1"/>
  <c r="L3479" i="1"/>
  <c r="T3479" i="1"/>
  <c r="R3479" i="1"/>
  <c r="T786" i="1"/>
  <c r="L786" i="1"/>
  <c r="L1021" i="1"/>
  <c r="T1021" i="1"/>
  <c r="R1439" i="1"/>
  <c r="L1439" i="1"/>
  <c r="T1439" i="1"/>
  <c r="R1978" i="1"/>
  <c r="T1978" i="1"/>
  <c r="L1978" i="1"/>
  <c r="L2208" i="1"/>
  <c r="T2208" i="1"/>
  <c r="R2208" i="1"/>
  <c r="R2220" i="1"/>
  <c r="L2220" i="1"/>
  <c r="T2220" i="1"/>
  <c r="T2402" i="1"/>
  <c r="R2402" i="1"/>
  <c r="L2402" i="1"/>
  <c r="L2667" i="1"/>
  <c r="R2667" i="1"/>
  <c r="T2970" i="1"/>
  <c r="W2970" i="1"/>
  <c r="T3036" i="1"/>
  <c r="R3036" i="1"/>
  <c r="T1061" i="1"/>
  <c r="R1061" i="1"/>
  <c r="L1061" i="1"/>
  <c r="T2225" i="1"/>
  <c r="L2225" i="1"/>
  <c r="R2225" i="1"/>
  <c r="R2600" i="1"/>
  <c r="T2600" i="1"/>
  <c r="L2600" i="1"/>
  <c r="T3641" i="1"/>
  <c r="L3641" i="1"/>
  <c r="R3641" i="1"/>
  <c r="T3838" i="1"/>
  <c r="R3838" i="1"/>
  <c r="L3838" i="1"/>
  <c r="T4330" i="1"/>
  <c r="L4330" i="1"/>
  <c r="T2314" i="1"/>
  <c r="L2314" i="1"/>
  <c r="R2314" i="1"/>
  <c r="T2659" i="1"/>
  <c r="W2659" i="1"/>
  <c r="T2079" i="1"/>
  <c r="R2079" i="1"/>
  <c r="L2079" i="1"/>
  <c r="L2244" i="1"/>
  <c r="R990" i="1"/>
  <c r="L990" i="1"/>
  <c r="T1624" i="1"/>
  <c r="R1624" i="1"/>
  <c r="L1624" i="1"/>
  <c r="L3143" i="1"/>
  <c r="R3143" i="1"/>
  <c r="T3143" i="1"/>
  <c r="T1037" i="1"/>
  <c r="L1037" i="1"/>
  <c r="R3570" i="1"/>
  <c r="T3570" i="1"/>
  <c r="L3570" i="1"/>
  <c r="T814" i="1"/>
  <c r="L814" i="1"/>
  <c r="T1317" i="1"/>
  <c r="R1317" i="1"/>
  <c r="L1317" i="1"/>
  <c r="T1329" i="1"/>
  <c r="R1329" i="1"/>
  <c r="L1329" i="1"/>
  <c r="T1389" i="1"/>
  <c r="R1389" i="1"/>
  <c r="L1739" i="1"/>
  <c r="R1784" i="1"/>
  <c r="L1784" i="1"/>
  <c r="L1822" i="1"/>
  <c r="R2004" i="1"/>
  <c r="L2004" i="1"/>
  <c r="R2028" i="1"/>
  <c r="T2028" i="1"/>
  <c r="T2569" i="1"/>
  <c r="L2569" i="1"/>
  <c r="L31" i="1"/>
  <c r="T691" i="1"/>
  <c r="T772" i="1"/>
  <c r="L772" i="1"/>
  <c r="T925" i="1"/>
  <c r="L925" i="1"/>
  <c r="T1022" i="1"/>
  <c r="L1022" i="1"/>
  <c r="T1030" i="1"/>
  <c r="L1030" i="1"/>
  <c r="T1055" i="1"/>
  <c r="L1062" i="1"/>
  <c r="T1068" i="1"/>
  <c r="L1068" i="1"/>
  <c r="L1127" i="1"/>
  <c r="T1198" i="1"/>
  <c r="R1198" i="1"/>
  <c r="L1198" i="1"/>
  <c r="T1216" i="1"/>
  <c r="T1268" i="1"/>
  <c r="R1268" i="1"/>
  <c r="L1268" i="1"/>
  <c r="R1306" i="1"/>
  <c r="R1337" i="1"/>
  <c r="T1337" i="1"/>
  <c r="R1365" i="1"/>
  <c r="L1365" i="1"/>
  <c r="L1376" i="1"/>
  <c r="R1384" i="1"/>
  <c r="L1389" i="1"/>
  <c r="R1471" i="1"/>
  <c r="R1517" i="1"/>
  <c r="L1610" i="1"/>
  <c r="T1613" i="1"/>
  <c r="R1613" i="1"/>
  <c r="L1613" i="1"/>
  <c r="R1627" i="1"/>
  <c r="L1627" i="1"/>
  <c r="L1661" i="1"/>
  <c r="R1739" i="1"/>
  <c r="T1836" i="1"/>
  <c r="R1836" i="1"/>
  <c r="L1836" i="1"/>
  <c r="L1966" i="1"/>
  <c r="T1970" i="1"/>
  <c r="R1970" i="1"/>
  <c r="L1994" i="1"/>
  <c r="R2010" i="1"/>
  <c r="T2010" i="1"/>
  <c r="L2010" i="1"/>
  <c r="L2028" i="1"/>
  <c r="T2034" i="1"/>
  <c r="R2034" i="1"/>
  <c r="L2053" i="1"/>
  <c r="R2064" i="1"/>
  <c r="T2064" i="1"/>
  <c r="L2064" i="1"/>
  <c r="R2080" i="1"/>
  <c r="T2080" i="1"/>
  <c r="L2080" i="1"/>
  <c r="L2182" i="1"/>
  <c r="L2240" i="1"/>
  <c r="T2244" i="1"/>
  <c r="R2336" i="1"/>
  <c r="L2336" i="1"/>
  <c r="K2379" i="1"/>
  <c r="T2379" i="1"/>
  <c r="T2413" i="1"/>
  <c r="R2413" i="1"/>
  <c r="L2413" i="1"/>
  <c r="L2432" i="1"/>
  <c r="T2453" i="1"/>
  <c r="R2514" i="1"/>
  <c r="R2569" i="1"/>
  <c r="R2672" i="1"/>
  <c r="L2839" i="1"/>
  <c r="R2839" i="1"/>
  <c r="W2846" i="1"/>
  <c r="L2960" i="1"/>
  <c r="R2960" i="1"/>
  <c r="R2962" i="1"/>
  <c r="R3017" i="1"/>
  <c r="T3017" i="1"/>
  <c r="L3017" i="1"/>
  <c r="L3070" i="1"/>
  <c r="R3070" i="1"/>
  <c r="T3194" i="1"/>
  <c r="L3194" i="1"/>
  <c r="T3310" i="1"/>
  <c r="L3310" i="1"/>
  <c r="L3810" i="1"/>
  <c r="T3810" i="1"/>
  <c r="R3810" i="1"/>
  <c r="T3868" i="1"/>
  <c r="W3868" i="1"/>
  <c r="L4009" i="1"/>
  <c r="T4063" i="1"/>
  <c r="R4076" i="1"/>
  <c r="L4076" i="1"/>
  <c r="T856" i="1"/>
  <c r="L856" i="1"/>
  <c r="T1364" i="1"/>
  <c r="R1364" i="1"/>
  <c r="L1364" i="1"/>
  <c r="L1384" i="1"/>
  <c r="L1517" i="1"/>
  <c r="R1717" i="1"/>
  <c r="L1717" i="1"/>
  <c r="T901" i="1"/>
  <c r="L901" i="1"/>
  <c r="T1471" i="1"/>
  <c r="T1784" i="1"/>
  <c r="R1822" i="1"/>
  <c r="L1974" i="1"/>
  <c r="T1974" i="1"/>
  <c r="R1974" i="1"/>
  <c r="T2004" i="1"/>
  <c r="R2206" i="1"/>
  <c r="J2227" i="1"/>
  <c r="K2227" i="1" s="1"/>
  <c r="W2227" i="1" s="1"/>
  <c r="T2240" i="1"/>
  <c r="R3871" i="1"/>
  <c r="L4072" i="1"/>
  <c r="R4072" i="1"/>
  <c r="T809" i="1"/>
  <c r="L809" i="1"/>
  <c r="L1120" i="1"/>
  <c r="R1127" i="1"/>
  <c r="R1376" i="1"/>
  <c r="T1491" i="1"/>
  <c r="R1491" i="1"/>
  <c r="L1491" i="1"/>
  <c r="R1610" i="1"/>
  <c r="R1672" i="1"/>
  <c r="T1672" i="1"/>
  <c r="L1672" i="1"/>
  <c r="T1785" i="1"/>
  <c r="R1785" i="1"/>
  <c r="T1935" i="1"/>
  <c r="R1935" i="1"/>
  <c r="L1935" i="1"/>
  <c r="R1994" i="1"/>
  <c r="T2182" i="1"/>
  <c r="T2196" i="1"/>
  <c r="L2497" i="1"/>
  <c r="R2598" i="1"/>
  <c r="T2598" i="1"/>
  <c r="T2660" i="1"/>
  <c r="W2660" i="1"/>
  <c r="R2741" i="1"/>
  <c r="L2741" i="1"/>
  <c r="L2845" i="1"/>
  <c r="T3189" i="1"/>
  <c r="L3416" i="1"/>
  <c r="T3416" i="1"/>
  <c r="T3437" i="1"/>
  <c r="R3437" i="1"/>
  <c r="L3437" i="1"/>
  <c r="T4009" i="1"/>
  <c r="T4076" i="1"/>
  <c r="L724" i="1"/>
  <c r="L831" i="1"/>
  <c r="T847" i="1"/>
  <c r="L847" i="1"/>
  <c r="T1019" i="1"/>
  <c r="L1019" i="1"/>
  <c r="L1031" i="1"/>
  <c r="T1063" i="1"/>
  <c r="R1063" i="1"/>
  <c r="L1063" i="1"/>
  <c r="L1123" i="1"/>
  <c r="T1134" i="1"/>
  <c r="R1134" i="1"/>
  <c r="L1291" i="1"/>
  <c r="T1291" i="1"/>
  <c r="R1291" i="1"/>
  <c r="T1338" i="1"/>
  <c r="R1338" i="1"/>
  <c r="L1338" i="1"/>
  <c r="T1345" i="1"/>
  <c r="R1345" i="1"/>
  <c r="L1345" i="1"/>
  <c r="T1366" i="1"/>
  <c r="R1366" i="1"/>
  <c r="T1428" i="1"/>
  <c r="L1428" i="1"/>
  <c r="L1431" i="1"/>
  <c r="T1431" i="1"/>
  <c r="R1431" i="1"/>
  <c r="T1461" i="1"/>
  <c r="R1466" i="1"/>
  <c r="T1481" i="1"/>
  <c r="R1481" i="1"/>
  <c r="R1510" i="1"/>
  <c r="R1547" i="1"/>
  <c r="L1620" i="1"/>
  <c r="R1620" i="1"/>
  <c r="T1661" i="1"/>
  <c r="R1666" i="1"/>
  <c r="T1713" i="1"/>
  <c r="L1713" i="1"/>
  <c r="R1773" i="1"/>
  <c r="L1785" i="1"/>
  <c r="L1801" i="1"/>
  <c r="R1929" i="1"/>
  <c r="T2020" i="1"/>
  <c r="R2020" i="1"/>
  <c r="T2077" i="1"/>
  <c r="L2077" i="1"/>
  <c r="L2135" i="1"/>
  <c r="W2304" i="1"/>
  <c r="T2315" i="1"/>
  <c r="W2318" i="1"/>
  <c r="T2318" i="1"/>
  <c r="R2406" i="1"/>
  <c r="T2406" i="1"/>
  <c r="T2432" i="1"/>
  <c r="R2549" i="1"/>
  <c r="T2593" i="1"/>
  <c r="L2598" i="1"/>
  <c r="T2663" i="1"/>
  <c r="W2663" i="1"/>
  <c r="T2770" i="1"/>
  <c r="R2770" i="1"/>
  <c r="L2835" i="1"/>
  <c r="R2953" i="1"/>
  <c r="T2953" i="1"/>
  <c r="T2957" i="1"/>
  <c r="W2957" i="1"/>
  <c r="T3002" i="1"/>
  <c r="R3002" i="1"/>
  <c r="L3002" i="1"/>
  <c r="L3044" i="1"/>
  <c r="R3181" i="1"/>
  <c r="R3185" i="1"/>
  <c r="L3353" i="1"/>
  <c r="T3353" i="1"/>
  <c r="R3353" i="1"/>
  <c r="T3367" i="1"/>
  <c r="L3367" i="1"/>
  <c r="R3367" i="1"/>
  <c r="W3953" i="1"/>
  <c r="T3964" i="1"/>
  <c r="R3964" i="1"/>
  <c r="T4007" i="1"/>
  <c r="T4072" i="1"/>
  <c r="R4085" i="1"/>
  <c r="L4085" i="1"/>
  <c r="T4085" i="1"/>
  <c r="W4294" i="1"/>
  <c r="R1106" i="1"/>
  <c r="L1106" i="1"/>
  <c r="R1530" i="1"/>
  <c r="T1530" i="1"/>
  <c r="T1870" i="1"/>
  <c r="R1870" i="1"/>
  <c r="L1870" i="1"/>
  <c r="T1881" i="1"/>
  <c r="T1239" i="1"/>
  <c r="R1239" i="1"/>
  <c r="L1239" i="1"/>
  <c r="R1632" i="1"/>
  <c r="L1632" i="1"/>
  <c r="T2286" i="1"/>
  <c r="R2286" i="1"/>
  <c r="T2513" i="1"/>
  <c r="T2657" i="1"/>
  <c r="T4231" i="1"/>
  <c r="R4231" i="1"/>
  <c r="T720" i="1"/>
  <c r="L720" i="1"/>
  <c r="T990" i="1"/>
  <c r="R1055" i="1"/>
  <c r="R1103" i="1"/>
  <c r="L1103" i="1"/>
  <c r="L1290" i="1"/>
  <c r="L1296" i="1"/>
  <c r="T1296" i="1"/>
  <c r="L1306" i="1"/>
  <c r="R1877" i="1"/>
  <c r="L1877" i="1"/>
  <c r="T2335" i="1"/>
  <c r="R2453" i="1"/>
  <c r="T2574" i="1"/>
  <c r="R2574" i="1"/>
  <c r="L2574" i="1"/>
  <c r="W2657" i="1"/>
  <c r="W2962" i="1"/>
  <c r="T2962" i="1"/>
  <c r="L2997" i="1"/>
  <c r="R2997" i="1"/>
  <c r="T2997" i="1"/>
  <c r="T3197" i="1"/>
  <c r="L3197" i="1"/>
  <c r="R3197" i="1"/>
  <c r="R3412" i="1"/>
  <c r="L3412" i="1"/>
  <c r="R3475" i="1"/>
  <c r="T3475" i="1"/>
  <c r="L3475" i="1"/>
  <c r="L683" i="1"/>
  <c r="L858" i="1"/>
  <c r="L1006" i="1"/>
  <c r="L1050" i="1"/>
  <c r="R1175" i="1"/>
  <c r="L1175" i="1"/>
  <c r="T1285" i="1"/>
  <c r="T1365" i="1"/>
  <c r="T1903" i="1"/>
  <c r="T2029" i="1"/>
  <c r="R2029" i="1"/>
  <c r="L2048" i="1"/>
  <c r="T2048" i="1"/>
  <c r="T2053" i="1"/>
  <c r="L2114" i="1"/>
  <c r="R2332" i="1"/>
  <c r="L2332" i="1"/>
  <c r="W2960" i="1"/>
  <c r="T2960" i="1"/>
  <c r="T4318" i="1"/>
  <c r="L4318" i="1"/>
  <c r="R4318" i="1"/>
  <c r="T793" i="1"/>
  <c r="L793" i="1"/>
  <c r="T912" i="1"/>
  <c r="L912" i="1"/>
  <c r="T885" i="1"/>
  <c r="L885" i="1"/>
  <c r="R1050" i="1"/>
  <c r="T1175" i="1"/>
  <c r="R1542" i="1"/>
  <c r="T1547" i="1"/>
  <c r="R1600" i="1"/>
  <c r="L1600" i="1"/>
  <c r="T1620" i="1"/>
  <c r="R1737" i="1"/>
  <c r="L1737" i="1"/>
  <c r="T1773" i="1"/>
  <c r="L2020" i="1"/>
  <c r="R2048" i="1"/>
  <c r="T2109" i="1"/>
  <c r="R2109" i="1"/>
  <c r="R2114" i="1"/>
  <c r="T2261" i="1"/>
  <c r="R2261" i="1"/>
  <c r="L2261" i="1"/>
  <c r="T2328" i="1"/>
  <c r="L2328" i="1"/>
  <c r="W2332" i="1"/>
  <c r="T2332" i="1"/>
  <c r="L2343" i="1"/>
  <c r="T2390" i="1"/>
  <c r="R2390" i="1"/>
  <c r="L2390" i="1"/>
  <c r="R2469" i="1"/>
  <c r="T2469" i="1"/>
  <c r="L2469" i="1"/>
  <c r="T2497" i="1"/>
  <c r="R2634" i="1"/>
  <c r="L2634" i="1"/>
  <c r="T2634" i="1"/>
  <c r="T2664" i="1"/>
  <c r="R2664" i="1"/>
  <c r="L2664" i="1"/>
  <c r="R2713" i="1"/>
  <c r="L2713" i="1"/>
  <c r="T2741" i="1"/>
  <c r="W2747" i="1"/>
  <c r="Q2747" i="1"/>
  <c r="L2958" i="1"/>
  <c r="T2958" i="1"/>
  <c r="R2958" i="1"/>
  <c r="L3276" i="1"/>
  <c r="T3276" i="1"/>
  <c r="R3276" i="1"/>
  <c r="T3311" i="1"/>
  <c r="R3311" i="1"/>
  <c r="L3311" i="1"/>
  <c r="R3416" i="1"/>
  <c r="T3505" i="1"/>
  <c r="R3505" i="1"/>
  <c r="L3505" i="1"/>
  <c r="R3754" i="1"/>
  <c r="T3754" i="1"/>
  <c r="L3754" i="1"/>
  <c r="L3964" i="1"/>
  <c r="L4067" i="1"/>
  <c r="R4067" i="1"/>
  <c r="T4067" i="1"/>
  <c r="T4263" i="1"/>
  <c r="R4263" i="1"/>
  <c r="L4263" i="1"/>
  <c r="T1102" i="1"/>
  <c r="R1102" i="1"/>
  <c r="L1102" i="1"/>
  <c r="T1361" i="1"/>
  <c r="R1361" i="1"/>
  <c r="R1787" i="1"/>
  <c r="L1787" i="1"/>
  <c r="T1938" i="1"/>
  <c r="R1938" i="1"/>
  <c r="L1938" i="1"/>
  <c r="T2412" i="1"/>
  <c r="R2412" i="1"/>
  <c r="L2412" i="1"/>
  <c r="L1025" i="1"/>
  <c r="L1216" i="1"/>
  <c r="W2324" i="1"/>
  <c r="T2457" i="1"/>
  <c r="R2457" i="1"/>
  <c r="T2536" i="1"/>
  <c r="R2536" i="1"/>
  <c r="R2564" i="1"/>
  <c r="L2564" i="1"/>
  <c r="R2628" i="1"/>
  <c r="T2628" i="1"/>
  <c r="L2628" i="1"/>
  <c r="L2672" i="1"/>
  <c r="R2698" i="1"/>
  <c r="L2698" i="1"/>
  <c r="T2698" i="1"/>
  <c r="T2959" i="1"/>
  <c r="T3296" i="1"/>
  <c r="W3296" i="1"/>
  <c r="T3351" i="1"/>
  <c r="W3351" i="1"/>
  <c r="T985" i="1"/>
  <c r="L985" i="1"/>
  <c r="L1285" i="1"/>
  <c r="T1704" i="1"/>
  <c r="R1704" i="1"/>
  <c r="L1704" i="1"/>
  <c r="T1763" i="1"/>
  <c r="R1763" i="1"/>
  <c r="J1768" i="1"/>
  <c r="L1763" i="1"/>
  <c r="T2310" i="1"/>
  <c r="W2310" i="1"/>
  <c r="L2536" i="1"/>
  <c r="T2564" i="1"/>
  <c r="W2968" i="1"/>
  <c r="T3415" i="1"/>
  <c r="L3415" i="1"/>
  <c r="R3415" i="1"/>
  <c r="R3424" i="1"/>
  <c r="T3424" i="1"/>
  <c r="T3439" i="1"/>
  <c r="R3439" i="1"/>
  <c r="L3628" i="1"/>
  <c r="T3628" i="1"/>
  <c r="R3628" i="1"/>
  <c r="T4080" i="1"/>
  <c r="L4080" i="1"/>
  <c r="R4080" i="1"/>
  <c r="L4231" i="1"/>
  <c r="R4330" i="1"/>
  <c r="T717" i="1"/>
  <c r="L717" i="1"/>
  <c r="T1056" i="1"/>
  <c r="R1056" i="1"/>
  <c r="T1103" i="1"/>
  <c r="T1139" i="1"/>
  <c r="R1139" i="1"/>
  <c r="R1290" i="1"/>
  <c r="R1296" i="1"/>
  <c r="T1369" i="1"/>
  <c r="R1369" i="1"/>
  <c r="L1369" i="1"/>
  <c r="T1382" i="1"/>
  <c r="R1382" i="1"/>
  <c r="T1633" i="1"/>
  <c r="R1633" i="1"/>
  <c r="R1705" i="1"/>
  <c r="L1705" i="1"/>
  <c r="L2202" i="1"/>
  <c r="T2202" i="1"/>
  <c r="L2363" i="1"/>
  <c r="W2363" i="1"/>
  <c r="P2363" i="1"/>
  <c r="T2394" i="1"/>
  <c r="R2394" i="1"/>
  <c r="L2394" i="1"/>
  <c r="R2443" i="1"/>
  <c r="T2443" i="1"/>
  <c r="T2514" i="1"/>
  <c r="W2514" i="1"/>
  <c r="T2565" i="1"/>
  <c r="L2565" i="1"/>
  <c r="R3098" i="1"/>
  <c r="T3098" i="1"/>
  <c r="L3338" i="1"/>
  <c r="T3338" i="1"/>
  <c r="R3338" i="1"/>
  <c r="W3346" i="1"/>
  <c r="T3346" i="1"/>
  <c r="L692" i="1"/>
  <c r="L733" i="1"/>
  <c r="T926" i="1"/>
  <c r="L926" i="1"/>
  <c r="L986" i="1"/>
  <c r="R1062" i="1"/>
  <c r="T1283" i="1"/>
  <c r="R1283" i="1"/>
  <c r="T1326" i="1"/>
  <c r="R1326" i="1"/>
  <c r="L1326" i="1"/>
  <c r="R1607" i="1"/>
  <c r="L1607" i="1"/>
  <c r="T1627" i="1"/>
  <c r="R1966" i="1"/>
  <c r="T2206" i="1"/>
  <c r="L2443" i="1"/>
  <c r="L2458" i="1"/>
  <c r="T2458" i="1"/>
  <c r="R2458" i="1"/>
  <c r="R2593" i="1"/>
  <c r="T3012" i="1"/>
  <c r="R3012" i="1"/>
  <c r="L3012" i="1"/>
  <c r="L3098" i="1"/>
  <c r="R3194" i="1"/>
  <c r="R3310" i="1"/>
  <c r="W3919" i="1"/>
  <c r="L32" i="1"/>
  <c r="L753" i="1"/>
  <c r="T976" i="1"/>
  <c r="R1120" i="1"/>
  <c r="L1134" i="1"/>
  <c r="R1243" i="1"/>
  <c r="L1279" i="1"/>
  <c r="L1366" i="1"/>
  <c r="L1374" i="1"/>
  <c r="T1377" i="1"/>
  <c r="R1377" i="1"/>
  <c r="L1377" i="1"/>
  <c r="T1466" i="1"/>
  <c r="L1481" i="1"/>
  <c r="L1493" i="1"/>
  <c r="T1493" i="1"/>
  <c r="T1607" i="1"/>
  <c r="L1796" i="1"/>
  <c r="L841" i="1"/>
  <c r="T913" i="1"/>
  <c r="L913" i="1"/>
  <c r="L982" i="1"/>
  <c r="R992" i="1"/>
  <c r="L992" i="1"/>
  <c r="T1027" i="1"/>
  <c r="L1048" i="1"/>
  <c r="R1123" i="1"/>
  <c r="T1243" i="1"/>
  <c r="R1370" i="1"/>
  <c r="R1428" i="1"/>
  <c r="L1444" i="1"/>
  <c r="R1501" i="1"/>
  <c r="L1501" i="1"/>
  <c r="R1537" i="1"/>
  <c r="T1542" i="1"/>
  <c r="T1577" i="1"/>
  <c r="R1577" i="1"/>
  <c r="L1577" i="1"/>
  <c r="L1646" i="1"/>
  <c r="L1651" i="1"/>
  <c r="R1713" i="1"/>
  <c r="L1734" i="1"/>
  <c r="T1737" i="1"/>
  <c r="T1776" i="1"/>
  <c r="R1776" i="1"/>
  <c r="T1801" i="1"/>
  <c r="T1809" i="1"/>
  <c r="R1809" i="1"/>
  <c r="L1809" i="1"/>
  <c r="R1873" i="1"/>
  <c r="T1873" i="1"/>
  <c r="L1891" i="1"/>
  <c r="R1891" i="1"/>
  <c r="J1905" i="1"/>
  <c r="K1905" i="1" s="1"/>
  <c r="T1985" i="1"/>
  <c r="L1985" i="1"/>
  <c r="L2014" i="1"/>
  <c r="R2077" i="1"/>
  <c r="L2082" i="1"/>
  <c r="T2082" i="1"/>
  <c r="L2109" i="1"/>
  <c r="R2135" i="1"/>
  <c r="R2288" i="1"/>
  <c r="R2328" i="1"/>
  <c r="W2339" i="1"/>
  <c r="R2426" i="1"/>
  <c r="T2426" i="1"/>
  <c r="L2426" i="1"/>
  <c r="R2594" i="1"/>
  <c r="T2594" i="1"/>
  <c r="L2594" i="1"/>
  <c r="W2613" i="1"/>
  <c r="T2613" i="1"/>
  <c r="L2695" i="1"/>
  <c r="Q2842" i="1"/>
  <c r="W2842" i="1"/>
  <c r="T2845" i="1"/>
  <c r="T3413" i="1"/>
  <c r="R3413" i="1"/>
  <c r="L3413" i="1"/>
  <c r="R3558" i="1"/>
  <c r="L3558" i="1"/>
  <c r="T3558" i="1"/>
  <c r="L3723" i="1"/>
  <c r="T3723" i="1"/>
  <c r="W3869" i="1"/>
  <c r="T3869" i="1"/>
  <c r="W4038" i="1"/>
  <c r="T4038" i="1"/>
  <c r="T1051" i="1"/>
  <c r="R1051" i="1"/>
  <c r="L1051" i="1"/>
  <c r="T1075" i="1"/>
  <c r="L1075" i="1"/>
  <c r="T1121" i="1"/>
  <c r="R1121" i="1"/>
  <c r="T1233" i="1"/>
  <c r="R1233" i="1"/>
  <c r="T1467" i="1"/>
  <c r="R1467" i="1"/>
  <c r="T1514" i="1"/>
  <c r="R1514" i="1"/>
  <c r="R1525" i="1"/>
  <c r="T1525" i="1"/>
  <c r="L1525" i="1"/>
  <c r="R1868" i="1"/>
  <c r="L1868" i="1"/>
  <c r="T1899" i="1"/>
  <c r="R1899" i="1"/>
  <c r="K2373" i="1"/>
  <c r="T2373" i="1"/>
  <c r="R2500" i="1"/>
  <c r="T2500" i="1"/>
  <c r="L2500" i="1"/>
  <c r="R2588" i="1"/>
  <c r="T2588" i="1"/>
  <c r="L2588" i="1"/>
  <c r="T2667" i="1"/>
  <c r="T2922" i="1"/>
  <c r="W2922" i="1"/>
  <c r="T3032" i="1"/>
  <c r="R3032" i="1"/>
  <c r="T3410" i="1"/>
  <c r="L3410" i="1"/>
  <c r="T3623" i="1"/>
  <c r="R3623" i="1"/>
  <c r="T745" i="1"/>
  <c r="L745" i="1"/>
  <c r="T1046" i="1"/>
  <c r="R1046" i="1"/>
  <c r="T1180" i="1"/>
  <c r="R1180" i="1"/>
  <c r="T1217" i="1"/>
  <c r="R1217" i="1"/>
  <c r="T1323" i="1"/>
  <c r="R1323" i="1"/>
  <c r="L1323" i="1"/>
  <c r="L1436" i="1"/>
  <c r="T1436" i="1"/>
  <c r="R1732" i="1"/>
  <c r="T1747" i="1"/>
  <c r="T2055" i="1"/>
  <c r="R2055" i="1"/>
  <c r="L2055" i="1"/>
  <c r="T2396" i="1"/>
  <c r="R2396" i="1"/>
  <c r="L2396" i="1"/>
  <c r="R2543" i="1"/>
  <c r="T2543" i="1"/>
  <c r="T2547" i="1"/>
  <c r="L2547" i="1"/>
  <c r="R2547" i="1"/>
  <c r="L2635" i="1"/>
  <c r="T2635" i="1"/>
  <c r="R2635" i="1"/>
  <c r="L2668" i="1"/>
  <c r="R2668" i="1"/>
  <c r="T2784" i="1"/>
  <c r="R2784" i="1"/>
  <c r="T3076" i="1"/>
  <c r="L3076" i="1"/>
  <c r="R3164" i="1"/>
  <c r="T3164" i="1"/>
  <c r="L3164" i="1"/>
  <c r="R3396" i="1"/>
  <c r="T3396" i="1"/>
  <c r="T3405" i="1"/>
  <c r="R3405" i="1"/>
  <c r="L3405" i="1"/>
  <c r="R3410" i="1"/>
  <c r="T3578" i="1"/>
  <c r="W3578" i="1"/>
  <c r="L4295" i="1"/>
  <c r="R4295" i="1"/>
  <c r="T3823" i="1"/>
  <c r="R3823" i="1"/>
  <c r="T4246" i="1"/>
  <c r="W4246" i="1"/>
  <c r="T996" i="1"/>
  <c r="R996" i="1"/>
  <c r="T1104" i="1"/>
  <c r="R1104" i="1"/>
  <c r="T1173" i="1"/>
  <c r="R1173" i="1"/>
  <c r="R1436" i="1"/>
  <c r="T1608" i="1"/>
  <c r="R1608" i="1"/>
  <c r="L1608" i="1"/>
  <c r="T1642" i="1"/>
  <c r="R1642" i="1"/>
  <c r="L1642" i="1"/>
  <c r="T1756" i="1"/>
  <c r="R1756" i="1"/>
  <c r="L1756" i="1"/>
  <c r="R1875" i="1"/>
  <c r="T1875" i="1"/>
  <c r="T1877" i="1"/>
  <c r="R2070" i="1"/>
  <c r="R2224" i="1"/>
  <c r="T2278" i="1"/>
  <c r="R2278" i="1"/>
  <c r="L2278" i="1"/>
  <c r="T2336" i="1"/>
  <c r="W2336" i="1"/>
  <c r="L2516" i="1"/>
  <c r="R2516" i="1"/>
  <c r="R2655" i="1"/>
  <c r="T2873" i="1"/>
  <c r="L2873" i="1"/>
  <c r="R2873" i="1"/>
  <c r="T2966" i="1"/>
  <c r="L2966" i="1"/>
  <c r="T3079" i="1"/>
  <c r="R3123" i="1"/>
  <c r="L3123" i="1"/>
  <c r="T3343" i="1"/>
  <c r="R3343" i="1"/>
  <c r="T3530" i="1"/>
  <c r="R3530" i="1"/>
  <c r="L3530" i="1"/>
  <c r="L3823" i="1"/>
  <c r="T4255" i="1"/>
  <c r="R4255" i="1"/>
  <c r="L4255" i="1"/>
  <c r="L2207" i="1"/>
  <c r="L2237" i="1"/>
  <c r="L2256" i="1"/>
  <c r="L2260" i="1"/>
  <c r="L2282" i="1"/>
  <c r="T2316" i="1"/>
  <c r="T2338" i="1"/>
  <c r="T2340" i="1"/>
  <c r="L2357" i="1"/>
  <c r="R2357" i="1"/>
  <c r="L2375" i="1"/>
  <c r="L2424" i="1"/>
  <c r="L2498" i="1"/>
  <c r="L2599" i="1"/>
  <c r="L2648" i="1"/>
  <c r="L2658" i="1"/>
  <c r="T2694" i="1"/>
  <c r="L2694" i="1"/>
  <c r="W2702" i="1"/>
  <c r="W2781" i="1"/>
  <c r="R2808" i="1"/>
  <c r="T2808" i="1"/>
  <c r="L2860" i="1"/>
  <c r="L2969" i="1"/>
  <c r="L3128" i="1"/>
  <c r="T3295" i="1"/>
  <c r="W3295" i="1"/>
  <c r="L3347" i="1"/>
  <c r="L3352" i="1"/>
  <c r="T3435" i="1"/>
  <c r="R3435" i="1"/>
  <c r="L3435" i="1"/>
  <c r="R3507" i="1"/>
  <c r="L3572" i="1"/>
  <c r="T3680" i="1"/>
  <c r="L3680" i="1"/>
  <c r="R3680" i="1"/>
  <c r="T3795" i="1"/>
  <c r="W3802" i="1"/>
  <c r="W3857" i="1"/>
  <c r="W3996" i="1"/>
  <c r="T3996" i="1"/>
  <c r="T4239" i="1"/>
  <c r="R4239" i="1"/>
  <c r="T4353" i="1"/>
  <c r="R4353" i="1"/>
  <c r="L4353" i="1"/>
  <c r="T2823" i="1"/>
  <c r="R2823" i="1"/>
  <c r="T2850" i="1"/>
  <c r="L2850" i="1"/>
  <c r="R2928" i="1"/>
  <c r="L2928" i="1"/>
  <c r="L3041" i="1"/>
  <c r="R3041" i="1"/>
  <c r="T3072" i="1"/>
  <c r="L3072" i="1"/>
  <c r="L3320" i="1"/>
  <c r="R3320" i="1"/>
  <c r="R3637" i="1"/>
  <c r="T3637" i="1"/>
  <c r="Q3696" i="1"/>
  <c r="W3696" i="1"/>
  <c r="T4088" i="1"/>
  <c r="R4088" i="1"/>
  <c r="T4326" i="1"/>
  <c r="L4326" i="1"/>
  <c r="R2237" i="1"/>
  <c r="T2668" i="1"/>
  <c r="R2850" i="1"/>
  <c r="T2913" i="1"/>
  <c r="L2913" i="1"/>
  <c r="T2928" i="1"/>
  <c r="L2992" i="1"/>
  <c r="T2992" i="1"/>
  <c r="R3006" i="1"/>
  <c r="L3006" i="1"/>
  <c r="W3250" i="1"/>
  <c r="T3250" i="1"/>
  <c r="T3320" i="1"/>
  <c r="T3414" i="1"/>
  <c r="L3414" i="1"/>
  <c r="T3507" i="1"/>
  <c r="T3698" i="1"/>
  <c r="R3698" i="1"/>
  <c r="L3698" i="1"/>
  <c r="R3807" i="1"/>
  <c r="T3807" i="1"/>
  <c r="L4068" i="1"/>
  <c r="T4068" i="1"/>
  <c r="T4251" i="1"/>
  <c r="R4251" i="1"/>
  <c r="T4314" i="1"/>
  <c r="L4314" i="1"/>
  <c r="R4314" i="1"/>
  <c r="R4326" i="1"/>
  <c r="R2207" i="1"/>
  <c r="R2256" i="1"/>
  <c r="T2424" i="1"/>
  <c r="T2498" i="1"/>
  <c r="R2860" i="1"/>
  <c r="R3128" i="1"/>
  <c r="T3366" i="1"/>
  <c r="L3366" i="1"/>
  <c r="R3366" i="1"/>
  <c r="T3572" i="1"/>
  <c r="L3592" i="1"/>
  <c r="T3592" i="1"/>
  <c r="R3592" i="1"/>
  <c r="T3725" i="1"/>
  <c r="L3725" i="1"/>
  <c r="T4013" i="1"/>
  <c r="R4013" i="1"/>
  <c r="L4013" i="1"/>
  <c r="W4070" i="1"/>
  <c r="T4070" i="1"/>
  <c r="T4147" i="1"/>
  <c r="R4147" i="1"/>
  <c r="R4244" i="1"/>
  <c r="L4244" i="1"/>
  <c r="T4244" i="1"/>
  <c r="L33" i="1"/>
  <c r="R2260" i="1"/>
  <c r="R2282" i="1"/>
  <c r="R2599" i="1"/>
  <c r="R2648" i="1"/>
  <c r="R2716" i="1"/>
  <c r="L2716" i="1"/>
  <c r="R3201" i="1"/>
  <c r="L3201" i="1"/>
  <c r="T3201" i="1"/>
  <c r="L1367" i="1"/>
  <c r="L1913" i="1"/>
  <c r="L1939" i="1"/>
  <c r="L2003" i="1"/>
  <c r="R2016" i="1"/>
  <c r="L2065" i="1"/>
  <c r="R2081" i="1"/>
  <c r="R2105" i="1"/>
  <c r="R2317" i="1"/>
  <c r="L2339" i="1"/>
  <c r="T2361" i="1"/>
  <c r="L2407" i="1"/>
  <c r="R2420" i="1"/>
  <c r="R2431" i="1"/>
  <c r="L2477" i="1"/>
  <c r="T2654" i="1"/>
  <c r="T2756" i="1"/>
  <c r="R2756" i="1"/>
  <c r="T2789" i="1"/>
  <c r="L2789" i="1"/>
  <c r="T2885" i="1"/>
  <c r="L2885" i="1"/>
  <c r="R2913" i="1"/>
  <c r="R2959" i="1"/>
  <c r="L2959" i="1"/>
  <c r="R2992" i="1"/>
  <c r="T3120" i="1"/>
  <c r="R3342" i="1"/>
  <c r="T3347" i="1"/>
  <c r="L3350" i="1"/>
  <c r="L3387" i="1"/>
  <c r="T3387" i="1"/>
  <c r="R3387" i="1"/>
  <c r="R3414" i="1"/>
  <c r="T3644" i="1"/>
  <c r="L3644" i="1"/>
  <c r="R4068" i="1"/>
  <c r="L4071" i="1"/>
  <c r="R4071" i="1"/>
  <c r="L4147" i="1"/>
  <c r="T4349" i="1"/>
  <c r="L4349" i="1"/>
  <c r="J2326" i="1"/>
  <c r="K2326" i="1" s="1"/>
  <c r="W2326" i="1" s="1"/>
  <c r="R2323" i="1"/>
  <c r="R2970" i="1"/>
  <c r="L2970" i="1"/>
  <c r="L3037" i="1"/>
  <c r="R3037" i="1"/>
  <c r="T3341" i="1"/>
  <c r="R3341" i="1"/>
  <c r="L3346" i="1"/>
  <c r="R3346" i="1"/>
  <c r="L3456" i="1"/>
  <c r="T3456" i="1"/>
  <c r="R3485" i="1"/>
  <c r="L3485" i="1"/>
  <c r="T3573" i="1"/>
  <c r="L3573" i="1"/>
  <c r="R3573" i="1"/>
  <c r="T3620" i="1"/>
  <c r="R3620" i="1"/>
  <c r="L3620" i="1"/>
  <c r="W3890" i="1"/>
  <c r="T3890" i="1"/>
  <c r="W4164" i="1"/>
  <c r="T4164" i="1"/>
  <c r="L3379" i="1"/>
  <c r="T3379" i="1"/>
  <c r="R3379" i="1"/>
  <c r="T3409" i="1"/>
  <c r="L3409" i="1"/>
  <c r="T3433" i="1"/>
  <c r="R3433" i="1"/>
  <c r="T3461" i="1"/>
  <c r="L3461" i="1"/>
  <c r="R3480" i="1"/>
  <c r="L3480" i="1"/>
  <c r="T3480" i="1"/>
  <c r="T3659" i="1"/>
  <c r="L3659" i="1"/>
  <c r="L3769" i="1"/>
  <c r="R3769" i="1"/>
  <c r="T3769" i="1"/>
  <c r="T3870" i="1"/>
  <c r="W3870" i="1"/>
  <c r="L4155" i="1"/>
  <c r="T4155" i="1"/>
  <c r="R4155" i="1"/>
  <c r="L4221" i="1"/>
  <c r="T4221" i="1"/>
  <c r="R4221" i="1"/>
  <c r="T4240" i="1"/>
  <c r="L4240" i="1"/>
  <c r="R4240" i="1"/>
  <c r="R3007" i="1"/>
  <c r="T3007" i="1"/>
  <c r="R3190" i="1"/>
  <c r="T3190" i="1"/>
  <c r="T3309" i="1"/>
  <c r="L3309" i="1"/>
  <c r="R3309" i="1"/>
  <c r="T3339" i="1"/>
  <c r="L3339" i="1"/>
  <c r="R3368" i="1"/>
  <c r="T3368" i="1"/>
  <c r="T3372" i="1"/>
  <c r="W3372" i="1"/>
  <c r="R3409" i="1"/>
  <c r="R3426" i="1"/>
  <c r="T3426" i="1"/>
  <c r="L3426" i="1"/>
  <c r="R3461" i="1"/>
  <c r="T3562" i="1"/>
  <c r="L3562" i="1"/>
  <c r="R3574" i="1"/>
  <c r="L3574" i="1"/>
  <c r="R3659" i="1"/>
  <c r="T3844" i="1"/>
  <c r="R3844" i="1"/>
  <c r="L3844" i="1"/>
  <c r="R4070" i="1"/>
  <c r="L4070" i="1"/>
  <c r="R4091" i="1"/>
  <c r="T4091" i="1"/>
  <c r="R4130" i="1"/>
  <c r="T4130" i="1"/>
  <c r="T4140" i="1"/>
  <c r="T4167" i="1"/>
  <c r="R4167" i="1"/>
  <c r="T3071" i="1"/>
  <c r="L3071" i="1"/>
  <c r="R3167" i="1"/>
  <c r="L3167" i="1"/>
  <c r="R4126" i="1"/>
  <c r="L4126" i="1"/>
  <c r="T4266" i="1"/>
  <c r="L4266" i="1"/>
  <c r="T3624" i="1"/>
  <c r="R3624" i="1"/>
  <c r="R3633" i="1"/>
  <c r="L3633" i="1"/>
  <c r="T4046" i="1"/>
  <c r="R4046" i="1"/>
  <c r="T4086" i="1"/>
  <c r="R4086" i="1"/>
  <c r="L4142" i="1"/>
  <c r="R4142" i="1"/>
  <c r="T3211" i="1"/>
  <c r="L3211" i="1"/>
  <c r="R3257" i="1"/>
  <c r="L3257" i="1"/>
  <c r="R3351" i="1"/>
  <c r="L3351" i="1"/>
  <c r="T3741" i="1"/>
  <c r="L3741" i="1"/>
  <c r="R3886" i="1"/>
  <c r="T3886" i="1"/>
  <c r="T4168" i="1"/>
  <c r="R4168" i="1"/>
  <c r="R4271" i="1"/>
  <c r="L4271" i="1"/>
  <c r="R3497" i="1"/>
  <c r="L3497" i="1"/>
  <c r="T3871" i="1"/>
  <c r="T4066" i="1"/>
  <c r="L4217" i="1"/>
  <c r="T4217" i="1"/>
  <c r="R4232" i="1"/>
  <c r="L4232" i="1"/>
  <c r="L3165" i="1"/>
  <c r="L3195" i="1"/>
  <c r="L3393" i="1"/>
  <c r="L3419" i="1"/>
  <c r="L3422" i="1"/>
  <c r="L3476" i="1"/>
  <c r="L3518" i="1"/>
  <c r="L3563" i="1"/>
  <c r="L3567" i="1"/>
  <c r="L3571" i="1"/>
  <c r="L3583" i="1"/>
  <c r="L3655" i="1"/>
  <c r="L3694" i="1"/>
  <c r="L3724" i="1"/>
  <c r="R3751" i="1"/>
  <c r="L3751" i="1"/>
  <c r="L3777" i="1"/>
  <c r="L3868" i="1"/>
  <c r="W3871" i="1"/>
  <c r="T4064" i="1"/>
  <c r="W4064" i="1"/>
  <c r="W4066" i="1"/>
  <c r="L4186" i="1"/>
  <c r="L4250" i="1"/>
  <c r="L4258" i="1"/>
  <c r="L4270" i="1"/>
  <c r="L4313" i="1"/>
  <c r="L4331" i="1"/>
  <c r="T3165" i="1"/>
  <c r="T3180" i="1"/>
  <c r="T3316" i="1"/>
  <c r="R3316" i="1"/>
  <c r="T3349" i="1"/>
  <c r="W3349" i="1"/>
  <c r="R3364" i="1"/>
  <c r="T3393" i="1"/>
  <c r="R3419" i="1"/>
  <c r="T3422" i="1"/>
  <c r="T3476" i="1"/>
  <c r="R3596" i="1"/>
  <c r="R3724" i="1"/>
  <c r="T4169" i="1"/>
  <c r="R4169" i="1"/>
  <c r="T4186" i="1"/>
  <c r="T4254" i="1"/>
  <c r="T4295" i="1"/>
  <c r="T4313" i="1"/>
  <c r="R4331" i="1"/>
  <c r="B12" i="18"/>
  <c r="B13" i="18"/>
  <c r="C14" i="18"/>
  <c r="C15" i="18"/>
  <c r="B15" i="18"/>
  <c r="B14" i="18"/>
  <c r="AF54" i="9"/>
  <c r="AF56" i="9" s="1"/>
  <c r="B6" i="18"/>
  <c r="E8" i="13"/>
  <c r="C22" i="13"/>
  <c r="B7" i="18"/>
  <c r="B8" i="18"/>
  <c r="C9" i="18"/>
  <c r="J17" i="13"/>
  <c r="F31" i="13" s="1"/>
  <c r="E9" i="6"/>
  <c r="E11" i="13"/>
  <c r="E18" i="18"/>
  <c r="J29" i="12"/>
  <c r="W2377" i="1" l="1"/>
  <c r="L2377" i="1"/>
  <c r="W2371" i="1"/>
  <c r="P2371" i="1"/>
  <c r="L2371" i="1"/>
  <c r="W2373" i="1"/>
  <c r="L2373" i="1"/>
  <c r="P2373" i="1"/>
  <c r="P2365" i="1"/>
  <c r="L2365" i="1"/>
  <c r="W2365" i="1"/>
  <c r="W2379" i="1"/>
  <c r="P2379" i="1"/>
  <c r="L2379" i="1"/>
  <c r="P4342" i="1" l="1"/>
  <c r="L4342" i="1"/>
  <c r="W43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  <author>a.hamada</author>
  </authors>
  <commentList>
    <comment ref="K27" authorId="0" shapeId="0" xr:uid="{9A9C09F4-ED55-4760-A44A-284ADF950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31" authorId="0" shapeId="0" xr:uid="{DEEED9CF-6F3A-4768-A2B7-37DBB771BA9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1" authorId="1" shapeId="0" xr:uid="{E00C9978-CD75-42CE-B79B-B772653582A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2" authorId="0" shapeId="0" xr:uid="{6D53F80D-DC03-481A-9C16-1CA4ED56379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2" authorId="1" shapeId="0" xr:uid="{EC6C29A2-ECEF-4753-B21D-053A4EF0AB9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3" authorId="0" shapeId="0" xr:uid="{8507105B-19BF-4FCE-BF92-E5AABAC194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3" authorId="1" shapeId="0" xr:uid="{956E229D-F64C-4299-BFAE-2B71D640C1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4" authorId="0" shapeId="0" xr:uid="{906CBFD2-59E4-498F-B6BB-EEAB2958516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4" authorId="1" shapeId="0" xr:uid="{7BCA0906-DD16-4CFC-8F4D-9E630B9C61C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7" authorId="1" shapeId="0" xr:uid="{BB144D7D-88B2-4B0D-AB05-BC5D9AF71D1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8" authorId="1" shapeId="0" xr:uid="{35291A71-32C9-416D-AAC4-112F0E77A1B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9" authorId="1" shapeId="0" xr:uid="{2ED3492E-93D9-49CF-A05E-DFC4D6B2F0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0" authorId="1" shapeId="0" xr:uid="{1248958C-7FED-4043-B2F4-306DE5E37AD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1" authorId="1" shapeId="0" xr:uid="{31498DA2-091C-4CA4-8ABC-64D5700985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4" authorId="0" shapeId="0" xr:uid="{41CA9543-070B-42A5-9A45-8B0CA9EEC5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Black単価で計算</t>
        </r>
      </text>
    </comment>
    <comment ref="Q44" authorId="1" shapeId="0" xr:uid="{E2AB061D-A870-44DB-BCAB-DB536AD8306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52" authorId="0" shapeId="0" xr:uid="{4CABAF1A-76B6-40B4-92CC-C51E8FF9F3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53" authorId="0" shapeId="0" xr:uid="{C458DA41-73E7-44DF-8AC8-FEE35433B8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Q61" authorId="1" shapeId="0" xr:uid="{20D60A55-0970-440D-BCEB-F111C364AD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62" authorId="1" shapeId="0" xr:uid="{40ADCAB0-0B3E-4ED9-AB41-E6D4AE63AB5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63" authorId="1" shapeId="0" xr:uid="{A6A578EA-40D0-4267-91C4-E340067A5A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64" authorId="1" shapeId="0" xr:uid="{A4C87C69-8D02-4A5D-AF54-7B503A3B235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68" authorId="1" shapeId="0" xr:uid="{88BA372F-6194-4BFF-B868-7D525AF5250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2783</t>
        </r>
      </text>
    </comment>
    <comment ref="K68" authorId="0" shapeId="0" xr:uid="{DE1BDFAC-C34A-4B08-97E2-E6C137F3E5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レート100 
20%</t>
        </r>
      </text>
    </comment>
    <comment ref="Q68" authorId="0" shapeId="0" xr:uid="{1A013CCA-AC2A-43C0-A10E-2F77FD7FC5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通常: 790 ÷ 0.9 ÷ 90= USD 9.75 /m 
今回、Brad のcommission 4% を支払うと赤になるので、回避する為に7% に下げて請求。顧客total USD4900.48 - Brad Commission USD 196.02-Handling Fee 20 = Osaka→ NY のtotalが USD 4684.46以下である必要があるので、USD 4684.46 ÷ 496 = USD 9.44/m = 7% </t>
        </r>
      </text>
    </comment>
    <comment ref="K69" authorId="0" shapeId="0" xr:uid="{C085B718-C610-436E-A01B-2CAE79F399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K72" authorId="1" shapeId="0" xr:uid="{4F37B825-1DEE-4D43-B001-AB9A8885633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73" authorId="1" shapeId="0" xr:uid="{6BB04A24-8176-4A9F-88E1-E7F1A632C4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74" authorId="1" shapeId="0" xr:uid="{914F1FAD-E78F-4380-A7A2-DE800866C64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J78" authorId="1" shapeId="0" xr:uid="{DD1BDDE8-EBC1-4485-8AFB-46DBAF14F74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300yds = abt 274m </t>
        </r>
      </text>
    </comment>
    <comment ref="K78" authorId="0" shapeId="0" xr:uid="{DA5FB799-5456-4D90-A972-8B1A78FE7B12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オフ白+1反アップ50/m </t>
        </r>
      </text>
    </comment>
    <comment ref="Q81" authorId="1" shapeId="0" xr:uid="{484C09EF-4337-49BC-BCDC-B942E9F145C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82" authorId="1" shapeId="0" xr:uid="{0DCD64A5-C819-4460-AD63-64242662CF9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86" authorId="0" shapeId="0" xr:uid="{AC3D4C4E-9C4B-408C-B69A-DACC7AE02F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Black単価で計算</t>
        </r>
      </text>
    </comment>
    <comment ref="Q86" authorId="1" shapeId="0" xr:uid="{6F1D801A-4052-4E34-8209-4FB30C1418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95" authorId="1" shapeId="0" xr:uid="{355E17AC-0701-4A5D-9504-70D8DAECB0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Q107" authorId="1" shapeId="0" xr:uid="{EBEE6A54-BC88-470F-93A7-D57AC535F7D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08" authorId="1" shapeId="0" xr:uid="{42DA0F96-3E90-44D3-AEE1-B449FFC5B1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12" authorId="1" shapeId="0" xr:uid="{7029090A-F568-4F62-94D6-54452AAA077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29" authorId="1" shapeId="0" xr:uid="{29AF002D-28C5-4768-94C1-E5DBF6A40CD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Q132" authorId="1" shapeId="0" xr:uid="{824192E7-83CB-4241-83DA-A9930C700D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36" authorId="0" shapeId="0" xr:uid="{CAA81680-CBAE-4FD6-9308-056A6865576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136" authorId="1" shapeId="0" xr:uid="{A345235B-87C7-4229-AC45-BF55F8E317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37" authorId="0" shapeId="0" xr:uid="{DFA8AB6B-3B18-4046-B88E-4AFD6C315B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137" authorId="1" shapeId="0" xr:uid="{D65ADDB8-74A1-418E-9031-A6E5863DD4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41" authorId="1" shapeId="0" xr:uid="{80973508-4847-4A62-AA92-4D4E385B4B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45" authorId="1" shapeId="0" xr:uid="{A1BFDB68-D399-47F2-B24C-BFBED20474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49" authorId="1" shapeId="0" xr:uid="{7A445669-2EA3-4F27-9E1A-4B08423DA4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62" authorId="0" shapeId="0" xr:uid="{C086B6B8-E74D-4996-8B72-5AB0C9413C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162" authorId="1" shapeId="0" xr:uid="{7ACC34B0-C374-4635-8DEB-93FFB8D6F8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63" authorId="0" shapeId="0" xr:uid="{A2FFD846-7D38-46F6-B767-FF6D4F47A5E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163" authorId="1" shapeId="0" xr:uid="{DCDCEA67-06C0-4F73-A3F6-99218C314C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67" authorId="0" shapeId="0" xr:uid="{61AD6A4D-631D-4B73-B281-D79197AAE6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167" authorId="1" shapeId="0" xr:uid="{D028EA7E-C6C9-46D8-8220-3C347A82880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76" authorId="1" shapeId="0" xr:uid="{4E69708D-F43D-4A19-97D9-E7E2D603A12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Q180" authorId="1" shapeId="0" xr:uid="{7AEDFDA8-6ED6-4D5F-8476-B2C145663C1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1" authorId="1" shapeId="0" xr:uid="{E1FBF8CC-9F80-4385-BAA1-496A3BF42D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2" authorId="1" shapeId="0" xr:uid="{F7ED0D17-7867-4542-8B28-75C01BE24B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3" authorId="1" shapeId="0" xr:uid="{36282263-67B2-4A7D-8AB0-88EEFCFDBED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4" authorId="1" shapeId="0" xr:uid="{F97EAF96-0D76-4EDD-B5CB-2A69E1CC331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5" authorId="1" shapeId="0" xr:uid="{760F2135-67B9-4081-9A90-82AFC11F6A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87" authorId="1" shapeId="0" xr:uid="{AB75F1E8-4029-42CC-9F18-0689CF9672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92" authorId="1" shapeId="0" xr:uid="{FE17AF9F-B75E-4F6F-A515-4EAB93A412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Q195" authorId="1" shapeId="0" xr:uid="{4D7585BE-63CF-4A63-B9F5-4C8BC908AC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96" authorId="1" shapeId="0" xr:uid="{AB5706A5-4E45-4087-A239-DFD4C2916E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15" authorId="0" shapeId="0" xr:uid="{F6241FBD-2694-4BB5-8723-5BA4F571004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15" authorId="1" shapeId="0" xr:uid="{7200380F-5F7F-4D36-9069-D6629D9AF4B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16" authorId="0" shapeId="0" xr:uid="{1C11A177-79FF-4CDD-960A-D5838AFD74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16" authorId="1" shapeId="0" xr:uid="{33F70FBF-F6D1-4EE6-9873-6D9F94A173C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49" authorId="1" shapeId="0" xr:uid="{236B1CE2-DC74-4A7C-8A75-8BFD001B54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53" authorId="0" shapeId="0" xr:uid="{082AF4A5-A08F-480F-8D13-C234727A45B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K254" authorId="0" shapeId="0" xr:uid="{C9DCEA06-DA9D-445F-888B-91FC969250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K255" authorId="0" shapeId="0" xr:uid="{63B71341-A7A8-47AF-A0DB-055B986760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Q258" authorId="1" shapeId="0" xr:uid="{9F26D404-606B-4A08-A3D1-0696415899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66" authorId="1" shapeId="0" xr:uid="{214999EA-88B3-44C6-AD1A-2143805E485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68" authorId="1" shapeId="0" xr:uid="{5CE8E6B5-11D9-40F6-9D11-7EB08D1C128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69" authorId="1" shapeId="0" xr:uid="{5DD6EC9C-1B0D-47B6-928D-B1DDFBF9B2A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73" authorId="0" shapeId="0" xr:uid="{D83C7FDA-A662-4614-902D-86E9D9922CA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73" authorId="1" shapeId="0" xr:uid="{D43039C2-BD76-45A2-9E12-300263128D6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74" authorId="0" shapeId="0" xr:uid="{99FF66B2-6614-405B-ACF0-C5284DC85F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74" authorId="1" shapeId="0" xr:uid="{AD65AD8F-5BF6-4106-B30D-20C6BD038F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78" authorId="0" shapeId="0" xr:uid="{1925F181-B3FD-47FF-97D7-0305BBD960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78" authorId="1" shapeId="0" xr:uid="{EE120D9C-BDE2-4EEE-85ED-A2157A17B4C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79" authorId="0" shapeId="0" xr:uid="{AF9F492F-B9C2-49B4-B504-75541549885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279" authorId="1" shapeId="0" xr:uid="{C3E10221-AEE1-4B11-8480-4F2ACB5A3C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85" authorId="1" shapeId="0" xr:uid="{D6B62E06-35F8-4096-B046-078B877F455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287" authorId="1" shapeId="0" xr:uid="{D2EC570C-A085-4636-9DD9-86DFC6F0A99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291" authorId="1" shapeId="0" xr:uid="{775EE577-2A0D-4284-8060-67DA565C675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297" authorId="1" shapeId="0" xr:uid="{EAC6788E-ADFA-4DC2-A2CC-CFE7D46767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K300" authorId="1" shapeId="0" xr:uid="{346D7FB2-C9B1-4350-B8E7-A453E65396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304" authorId="0" shapeId="0" xr:uid="{304E76FA-0DC3-4377-A814-5E75DE03D8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04" authorId="1" shapeId="0" xr:uid="{BE4AA775-C2EA-40B3-AA5F-E3719AF426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08" authorId="1" shapeId="0" xr:uid="{1BA7DCCA-5C5E-401F-B966-678E0599B17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09" authorId="1" shapeId="0" xr:uid="{08995420-AEC3-4E1B-B1DF-8790C4B8929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S315" authorId="0" shapeId="0" xr:uid="{FB60766D-1756-41C3-A2F5-F000543136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住所変更手数料込</t>
        </r>
      </text>
    </comment>
    <comment ref="T315" authorId="0" shapeId="0" xr:uid="{50B7838C-9B0F-4DAF-B999-AD38CF999C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住所変更手数料込</t>
        </r>
      </text>
    </comment>
    <comment ref="E317" authorId="0" shapeId="0" xr:uid="{92D2AECF-641E-4DFC-9DF5-1E03E3B441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2977 </t>
        </r>
      </text>
    </comment>
    <comment ref="K317" authorId="0" shapeId="0" xr:uid="{9423CD1A-CAAF-4EBE-99F8-721FE1D464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4.73/m (25%)  
FedEx 145 + HF 20 + Insurance 30 = USD 195 
USD 195 ÷ 232m = USD 0.84/m
EXW 4.73 + 0.84 = CIF HK USD 5.57/m</t>
        </r>
      </text>
    </comment>
    <comment ref="Q317" authorId="0" shapeId="0" xr:uid="{1710CCD9-A560-4357-B9DC-F626ED0DEF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大阪15%, NY 10%</t>
        </r>
      </text>
    </comment>
    <comment ref="K318" authorId="1" shapeId="0" xr:uid="{595D6B8C-484A-4D0F-B17A-94A38E09F89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319" authorId="1" shapeId="0" xr:uid="{198E8F65-8BA8-4862-B9A3-38124A2B907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320" authorId="1" shapeId="0" xr:uid="{C8997C69-459E-44A1-B5FD-28F512A50A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357" authorId="1" shapeId="0" xr:uid="{C7FF8248-5968-42D0-A345-5E4BFA3D7C6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Q376" authorId="1" shapeId="0" xr:uid="{430C2073-B398-4ED0-8AF8-0D4061D16BD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377" authorId="1" shapeId="0" xr:uid="{F2E21830-C275-43D2-B153-0731D94FDDD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81" authorId="0" shapeId="0" xr:uid="{6B994E0A-A261-4E45-8077-5A323F429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81" authorId="1" shapeId="0" xr:uid="{FD72E381-5E0C-4F74-B06E-72420DB214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83" authorId="0" shapeId="0" xr:uid="{0412D0A5-4440-4757-9C2E-2B067271617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83" authorId="1" shapeId="0" xr:uid="{F9FA75A8-49F1-4E37-9D0D-7F2FF75EB5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86" authorId="0" shapeId="0" xr:uid="{5A3DCCFD-85B5-4791-A154-076A188EDC8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Black単価で計算</t>
        </r>
      </text>
    </comment>
    <comment ref="Q386" authorId="1" shapeId="0" xr:uid="{B2BD4B2F-7B2B-4179-BEA8-42EBA2C76A0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0" authorId="0" shapeId="0" xr:uid="{2C16FAD9-CC31-4235-815F-94118A99E33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Q390" authorId="0" shapeId="0" xr:uid="{3FAE80EA-8DCE-4AF9-9AAF-8711AB7CC2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K394" authorId="0" shapeId="0" xr:uid="{298B4936-2D8D-4EF8-A583-0312DC087B0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94" authorId="1" shapeId="0" xr:uid="{5C83090A-D1C1-4A39-9D2F-BBC138F7D5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5" authorId="0" shapeId="0" xr:uid="{01758CF9-D585-4E98-97EE-7D66B329902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95" authorId="1" shapeId="0" xr:uid="{4FF72A4B-EFDD-4359-9871-EBFC985B20E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6" authorId="0" shapeId="0" xr:uid="{C63157B9-BDEB-4873-9931-7F64BD6EC3F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96" authorId="1" shapeId="0" xr:uid="{99F0BAC7-CFEF-4BC4-9C99-2AAA33D7E1A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7" authorId="0" shapeId="0" xr:uid="{76950595-7705-46AA-936B-2DB091778CA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 単価で計算</t>
        </r>
      </text>
    </comment>
    <comment ref="Q397" authorId="1" shapeId="0" xr:uid="{02A6DBFF-6A77-45C3-A933-BA021A7D60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8" authorId="0" shapeId="0" xr:uid="{2ECE33C1-2672-4361-A265-57B75D1273B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398" authorId="1" shapeId="0" xr:uid="{2B4F57A5-736A-45F2-968B-8E8449479BA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399" authorId="0" shapeId="0" xr:uid="{DBEEF9D9-6EEA-4CAF-956C-B517AFEF2A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399" authorId="1" shapeId="0" xr:uid="{6F02527D-2E3F-4283-A332-F66B44D81E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0" authorId="0" shapeId="0" xr:uid="{6EC89255-2C09-48CB-8A09-CFA1718B85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0" authorId="1" shapeId="0" xr:uid="{C957FE78-E2D1-4317-A636-03E92E44679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1" authorId="0" shapeId="0" xr:uid="{EB2D424D-B63C-4275-B874-8A6B667E33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1" authorId="1" shapeId="0" xr:uid="{F10C5604-EAF7-4817-811C-97B51C7B0A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2" authorId="0" shapeId="0" xr:uid="{4B8CAF54-D791-4BCC-B131-3F59F0148A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2" authorId="1" shapeId="0" xr:uid="{CD25AC14-AE12-4089-8E1B-3D644A899D6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3" authorId="0" shapeId="0" xr:uid="{389EFF9C-8F56-413D-B1A2-1B0AECCDF25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3" authorId="1" shapeId="0" xr:uid="{A4AF8293-9269-4063-8290-4FC8690E92C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4" authorId="0" shapeId="0" xr:uid="{B1A2A05A-6D70-42E5-BB5A-F000816D59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4" authorId="1" shapeId="0" xr:uid="{AA05756E-0C00-4326-91C2-3D7A72D1316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5" authorId="0" shapeId="0" xr:uid="{7F5F9628-4591-4CEE-B862-AF135E12636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5" authorId="1" shapeId="0" xr:uid="{5EC4E350-E467-4EB3-A1FD-2D4F1863543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6" authorId="0" shapeId="0" xr:uid="{D2B7B64E-035E-4E8D-A7BB-BA6ED59371E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6" authorId="1" shapeId="0" xr:uid="{F56B110A-C022-4110-8DD8-F6E357FF12F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7" authorId="0" shapeId="0" xr:uid="{B2767EB9-387D-468B-8E6B-99EFB93B36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7" authorId="1" shapeId="0" xr:uid="{E2F22F5E-D7D1-4F24-A80B-28ECECE6547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08" authorId="0" shapeId="0" xr:uid="{6F303D16-A56B-4EEC-823A-F897ADD320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Q408" authorId="1" shapeId="0" xr:uid="{4F560455-5590-42DA-95DF-FC59090D959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12" authorId="0" shapeId="0" xr:uid="{1F88A2F0-CB2C-47D2-9794-E55977BB7E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12" authorId="1" shapeId="0" xr:uid="{DED0E78F-C25D-40F4-B941-FD3245C9BC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13" authorId="0" shapeId="0" xr:uid="{233ECFE9-6289-438D-A3CC-2E70550CE4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13" authorId="1" shapeId="0" xr:uid="{C2FAF586-95C8-4EF8-91C3-0B6E70225F5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14" authorId="0" shapeId="0" xr:uid="{C661AC9C-48A3-4839-A988-E4793E9727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14" authorId="1" shapeId="0" xr:uid="{18284FEA-4F60-42E9-8FDC-14595C44670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15" authorId="0" shapeId="0" xr:uid="{BF1C1AC5-BE94-4CDC-B2DA-F841C89D16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15" authorId="1" shapeId="0" xr:uid="{5C4F3E02-7DB3-4960-BC7F-C9A72D99D1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19" authorId="0" shapeId="0" xr:uid="{53BEA3B7-3FB5-4FAE-8FF4-CFFF164A116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19" authorId="1" shapeId="0" xr:uid="{77A54BC5-38B5-4EF9-ADCD-5C72714D733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0" authorId="0" shapeId="0" xr:uid="{3A0A51DC-ACD8-4980-89CD-CB4AFF69332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20" authorId="1" shapeId="0" xr:uid="{F9910019-030C-4193-9C60-7858E80E608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1" authorId="0" shapeId="0" xr:uid="{346C5730-24C8-49D5-8CED-EA4958A2F32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21" authorId="1" shapeId="0" xr:uid="{CC0161E5-D3F1-4CE4-9E4D-B8CC453ED2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2" authorId="0" shapeId="0" xr:uid="{E67FBFE6-A85E-4459-9F8A-C726B56201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22" authorId="1" shapeId="0" xr:uid="{058B6AF6-905D-48D3-ADBE-78559862C41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3" authorId="0" shapeId="0" xr:uid="{5219FAB9-8F81-4BBB-ACE3-EA30901BDF8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23" authorId="1" shapeId="0" xr:uid="{D0A960BC-86F8-4C35-A3A5-AEB98B32EA6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4" authorId="0" shapeId="0" xr:uid="{1093FD87-B877-4BB8-99BF-98B9C87D02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424" authorId="1" shapeId="0" xr:uid="{BB819B13-342F-4109-8EE3-7B9C4FCB44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25" authorId="0" shapeId="0" xr:uid="{3F5B4BFB-6638-4F12-B08A-D6AB2EB51AE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30% 
染色代込みの単価で計算</t>
        </r>
      </text>
    </comment>
    <comment ref="Q425" authorId="1" shapeId="0" xr:uid="{CD5EC768-1A91-4965-AA58-3F7E49EABE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20%
レート90円固定</t>
        </r>
      </text>
    </comment>
    <comment ref="K429" authorId="1" shapeId="0" xr:uid="{8F289F96-DADF-4E66-AE4D-A7739B7EFC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437" authorId="1" shapeId="0" xr:uid="{2D6DAA55-43F1-465B-8269-ECE8BA7F6D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Q441" authorId="1" shapeId="0" xr:uid="{5041C0B8-4CFD-4432-A792-A5FB2C3BF6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448" authorId="1" shapeId="0" xr:uid="{3629C50F-1919-49DF-8851-73D5172C289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Q465" authorId="1" shapeId="0" xr:uid="{529220F6-5330-441E-8054-53390ACDF9F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69" authorId="1" shapeId="0" xr:uid="{205AD243-0CF5-4A89-895B-4E14AC5B6BA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477" authorId="1" shapeId="0" xr:uid="{A6501396-0BF0-4D94-93AA-F16D5779F4A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PI＃3151</t>
        </r>
      </text>
    </comment>
    <comment ref="K477" authorId="0" shapeId="0" xr:uid="{1F66FE85-33E1-4034-9FA5-6D56A2119A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K478" authorId="0" shapeId="0" xr:uid="{66CF3BE2-3951-469E-A736-E78C6B40E9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K480" authorId="0" shapeId="0" xr:uid="{BE6FB5B0-212F-49AB-A937-7380501017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Handling Fee 込</t>
        </r>
      </text>
    </comment>
    <comment ref="Q482" authorId="1" shapeId="0" xr:uid="{543AC2C5-4976-43E6-918A-6CD041BC37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83" authorId="1" shapeId="0" xr:uid="{AAA37C1D-5E95-4623-A64B-ACD5A3F1D04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84" authorId="1" shapeId="0" xr:uid="{ACE8F06F-B928-46DF-A47E-67499FF3D77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486" authorId="1" shapeId="0" xr:uid="{56817F23-0F85-4C47-808F-2F99112ABE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505" authorId="1" shapeId="0" xr:uid="{8DBC45C9-4D34-456B-80F9-C4F628EEDD4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NYのみ請求</t>
        </r>
      </text>
    </comment>
    <comment ref="K507" authorId="1" shapeId="0" xr:uid="{4D16C24E-472D-4995-B2E1-7AD41FE7AA7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510" authorId="0" shapeId="0" xr:uid="{DA7D9706-B4EB-4B88-8719-54CFA6E1A5F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510" authorId="1" shapeId="0" xr:uid="{A69285CB-D880-40E1-997A-50C7435B0AB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511" authorId="0" shapeId="0" xr:uid="{54B18DA7-CC64-4A7D-AA99-96C0CBDC3F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511" authorId="1" shapeId="0" xr:uid="{D9C17619-76D1-4DC5-945E-DD49D2F2D0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514" authorId="0" shapeId="0" xr:uid="{26A96B5F-B473-4960-AF7B-1500E76833D6}">
      <text>
        <r>
          <rPr>
            <b/>
            <sz val="9"/>
            <color indexed="81"/>
            <rFont val="MS P ゴシック"/>
            <family val="3"/>
            <charset val="128"/>
          </rPr>
          <t>chiba:
顧客単価 x 0.9 で、Brad のcommission 分カバー</t>
        </r>
      </text>
    </comment>
    <comment ref="K518" authorId="0" shapeId="0" xr:uid="{7ACA68AD-3F67-414C-A92E-E35210597FD2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FedEx 142.36 + HF 20 + Insurance 30 = USD 192.36 
USD 195 ÷ 232m = USD 0.84/m
EXW 4.73 + 0.84 = CIF HK USD 5.57/m</t>
        </r>
      </text>
    </comment>
    <comment ref="Q518" authorId="0" shapeId="0" xr:uid="{822773BB-5DC3-4028-9362-5F739EC097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大阪15%, NY 10%</t>
        </r>
      </text>
    </comment>
    <comment ref="K519" authorId="1" shapeId="0" xr:uid="{F2819855-DA81-496E-BCE4-CE278C7D012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520" authorId="1" shapeId="0" xr:uid="{6F62B9AD-C700-4166-BCD3-3C250CAD1B6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521" authorId="1" shapeId="0" xr:uid="{7098BAE5-DEAC-42FF-A028-49FD5A2DFB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530" authorId="1" shapeId="0" xr:uid="{428FAF92-4112-4E1C-9C6C-A83C5E288F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531" authorId="1" shapeId="0" xr:uid="{B62B9E4A-6C91-4160-BE22-03B89B4CC8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534" authorId="1" shapeId="0" xr:uid="{76B041B9-4767-43A2-8962-AC6760A1A5D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メンコ USD 17込
</t>
        </r>
      </text>
    </comment>
    <comment ref="K545" authorId="1" shapeId="0" xr:uid="{CAE0FC0E-F034-4FB9-BE4E-FF4E607F123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Q545" authorId="1" shapeId="0" xr:uid="{0C4D76D0-F671-4158-8352-764ABC94D2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552" authorId="0" shapeId="0" xr:uid="{D91BC6A3-5A61-43A5-87E1-7E0BF52012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K566" authorId="1" shapeId="0" xr:uid="{A6BEFF24-62DE-47A1-8170-267EFCF1F80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567" authorId="1" shapeId="0" xr:uid="{4E9DB304-4A24-4FC9-A5DD-2FDB7BF3475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568" authorId="1" shapeId="0" xr:uid="{B9DC9CA4-C8D8-422A-A587-E3D4D8946D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S572" authorId="0" shapeId="0" xr:uid="{320C66E7-DE28-400A-8ACD-752921D566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黒単価</t>
        </r>
      </text>
    </comment>
    <comment ref="K576" authorId="0" shapeId="0" xr:uid="{84D75772-1B56-48D6-A299-885F0B74FA3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H604" authorId="1" shapeId="0" xr:uid="{C7C5CD3B-6F55-4C63-A04D-DC8594C2519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12m small roll </t>
        </r>
      </text>
    </comment>
    <comment ref="H612" authorId="1" shapeId="0" xr:uid="{3A5AA9DA-9A9D-4BE3-95CC-DDF1A200C70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15m small roll </t>
        </r>
      </text>
    </comment>
    <comment ref="H619" authorId="1" shapeId="0" xr:uid="{2EB5E646-CCCD-488C-A689-AE8B2CD558D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18m small roll </t>
        </r>
      </text>
    </comment>
    <comment ref="E628" authorId="1" shapeId="0" xr:uid="{0563C328-FC00-4BE6-AE6A-5746FB83E5D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3345</t>
        </r>
      </text>
    </comment>
    <comment ref="E630" authorId="1" shapeId="0" xr:uid="{AEF5DF63-7ED6-40B8-82BF-2262F5AB7CE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3345</t>
        </r>
      </text>
    </comment>
    <comment ref="K633" authorId="0" shapeId="0" xr:uid="{AFA84480-90DB-4A95-A625-D281C11606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657" authorId="1" shapeId="0" xr:uid="{340125D3-4276-431E-8C1D-205048BED1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659" authorId="1" shapeId="0" xr:uid="{F9B2C608-372F-4709-BB4D-BF217BB28F9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663" authorId="1" shapeId="0" xr:uid="{B38AD0D8-2410-486D-8E70-9188A8F114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3363</t>
        </r>
      </text>
    </comment>
    <comment ref="P668" authorId="1" shapeId="0" xr:uid="{B33E76A7-DB8D-49F8-B4BA-D58824F4911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672" authorId="0" shapeId="0" xr:uid="{D0D6B88C-E0B9-4EB7-BD18-6D323C4CD3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672" authorId="1" shapeId="0" xr:uid="{6EAAD760-3969-45F8-9F73-613940A0BB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673" authorId="0" shapeId="0" xr:uid="{F9C1BDE1-0657-4473-BA0C-843AD83AE6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K674" authorId="1" shapeId="0" xr:uid="{E1924992-3F54-4AF8-BA0C-2CDCDB9431E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675" authorId="0" shapeId="0" xr:uid="{F2DB5059-67EF-439D-8D78-71D5B5F1E8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Handling Fee 込</t>
        </r>
      </text>
    </comment>
    <comment ref="K681" authorId="0" shapeId="0" xr:uid="{30D82515-BEBE-4EB2-87C5-454359D2A6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K683" authorId="0" shapeId="0" xr:uid="{A78564C2-5084-4D68-8FCB-452F7F3086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K710" authorId="1" shapeId="0" xr:uid="{C11A73C7-516F-4170-A7F2-DAE4D9AC838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K713" authorId="0" shapeId="0" xr:uid="{95A9A61C-7D4C-42B5-AE63-D07EC0E514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メンコ付け替え費用含む</t>
        </r>
      </text>
    </comment>
    <comment ref="K730" authorId="1" shapeId="0" xr:uid="{92FBAD21-BD85-4D3E-A4F0-133C41C545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730" authorId="1" shapeId="0" xr:uid="{290D085F-9643-430D-8D56-EF83A18B2CF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C740" authorId="1" shapeId="0" xr:uid="{405792CF-9CA8-4D84-BF35-9C3E90BA3B5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PO received on 25th Aug, 2021
</t>
        </r>
      </text>
    </comment>
    <comment ref="E741" authorId="1" shapeId="0" xr:uid="{405188E7-182C-4BF7-984C-1481178E72C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3461</t>
        </r>
      </text>
    </comment>
    <comment ref="K765" authorId="1" shapeId="0" xr:uid="{7036CE0D-09EA-4139-A022-EBBC9B823AF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765" authorId="1" shapeId="0" xr:uid="{4768AAD8-4B37-4547-B6F9-61DB4BCCCD7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J776" authorId="0" shapeId="0" xr:uid="{618AA9A3-6B24-4718-88EE-EF855DBD35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15m piece + 45m piece （別々に出荷した為）
</t>
        </r>
      </text>
    </comment>
    <comment ref="S783" authorId="0" shapeId="0" xr:uid="{B66C8D73-3E42-473A-B4BE-6CBF29C771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社内在庫より出荷</t>
        </r>
      </text>
    </comment>
    <comment ref="K786" authorId="1" shapeId="0" xr:uid="{C473C213-0B61-4676-90FB-AD4AA2DA88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黒単価に合わせて計算</t>
        </r>
      </text>
    </comment>
    <comment ref="K787" authorId="1" shapeId="0" xr:uid="{804EDDBE-F04F-4514-BE33-FD5548CBE4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黒単価に合わせて計算</t>
        </r>
      </text>
    </comment>
    <comment ref="S793" authorId="1" shapeId="0" xr:uid="{934F8772-0CA1-47B0-B27D-AD530E2073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1,180m/color バルク単価</t>
        </r>
      </text>
    </comment>
    <comment ref="K794" authorId="1" shapeId="0" xr:uid="{29834151-52E2-4D73-809F-916B7C2D649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794" authorId="1" shapeId="0" xr:uid="{DC2D815B-3154-4D91-9E80-5A373379640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S798" authorId="1" shapeId="0" xr:uid="{6A81D3BB-2691-4552-B7C3-BADAFAF6C34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1,180m/color バルク単価</t>
        </r>
      </text>
    </comment>
    <comment ref="K799" authorId="1" shapeId="0" xr:uid="{C3DB812E-0D83-47E1-96C2-6B563E644A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799" authorId="1" shapeId="0" xr:uid="{A68C0698-1274-4B7D-98A8-AB30EF1F051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J823" authorId="1" shapeId="0" xr:uid="{F2EE547F-DD86-4066-A3EA-3841DC28EA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1600yds = 1463.04m </t>
        </r>
      </text>
    </comment>
    <comment ref="J825" authorId="1" shapeId="0" xr:uid="{B17A0A77-2160-4569-A026-31E84622888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1600yds = 1463.04m </t>
        </r>
      </text>
    </comment>
    <comment ref="E835" authorId="1" shapeId="0" xr:uid="{F8F5F2CA-8405-427C-8A43-119012D2635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3574</t>
        </r>
      </text>
    </comment>
    <comment ref="K835" authorId="0" shapeId="0" xr:uid="{CE588A78-3D9F-4EFD-B6B2-6559A124AF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835" authorId="1" shapeId="0" xr:uid="{7A5E44A5-7D85-40AC-90F9-B66B1D68543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836" authorId="0" shapeId="0" xr:uid="{2855002D-F797-4AAE-ABFD-8E0DD8C107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836" authorId="1" shapeId="0" xr:uid="{66508F29-399C-4E48-AE78-B22ACE2A0C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837" authorId="0" shapeId="0" xr:uid="{D779B7E3-4EF7-40C7-8A44-C82437A5D7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837" authorId="1" shapeId="0" xr:uid="{288DFD3C-1E26-4B7E-9041-A508F564DC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838" authorId="1" shapeId="0" xr:uid="{77C6FE0C-483B-4E28-9E77-12B39EE632E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839" authorId="0" shapeId="0" xr:uid="{82AD511C-DE7E-4C38-9533-19891EB057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Handling Fee 込</t>
        </r>
      </text>
    </comment>
    <comment ref="E846" authorId="0" shapeId="0" xr:uid="{5607EF81-4195-41D3-A9C6-7E3FD05A92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3616</t>
        </r>
      </text>
    </comment>
    <comment ref="K846" authorId="0" shapeId="0" xr:uid="{01717DCE-D46A-4CA0-8B07-079B3313E154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46" authorId="0" shapeId="0" xr:uid="{DEB86FDE-DF7B-4518-AF72-DAF7B7C6406D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E847" authorId="0" shapeId="0" xr:uid="{868987DC-AF88-43B1-99D1-D273054B8D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3616</t>
        </r>
      </text>
    </comment>
    <comment ref="K847" authorId="0" shapeId="0" xr:uid="{1E59867F-74E8-45D3-856F-BCE677384473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47" authorId="0" shapeId="0" xr:uid="{FCB0659C-2CAC-495F-AC6E-7C26A97DCB3A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E848" authorId="0" shapeId="0" xr:uid="{84357FC2-C387-4B91-910E-E25705F16A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3616</t>
        </r>
      </text>
    </comment>
    <comment ref="K848" authorId="0" shapeId="0" xr:uid="{D175808D-F489-4D1E-B598-C0460A7DBE74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48" authorId="0" shapeId="0" xr:uid="{C064D71C-BC1B-46C1-A45C-BB431479CC14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E849" authorId="0" shapeId="0" xr:uid="{AFAEE887-79EA-46AE-8E4F-47B12AFD86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3616</t>
        </r>
      </text>
    </comment>
    <comment ref="K849" authorId="0" shapeId="0" xr:uid="{DBDE7E89-4A46-4BAB-8B9D-F910EDA2F27A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49" authorId="0" shapeId="0" xr:uid="{F9D10D1C-2E94-44A4-89CE-B2D0566854D5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K850" authorId="1" shapeId="0" xr:uid="{CF2AB056-35DA-48AF-AB74-E087CE0C57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51" authorId="1" shapeId="0" xr:uid="{27F633BF-B215-4966-BEB3-F215F7FFD18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52" authorId="1" shapeId="0" xr:uid="{44325ECD-A9FE-44B5-9086-06032663B1F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53" authorId="0" shapeId="0" xr:uid="{D6E240EC-990B-4AC8-A8C7-1D07BD417E9E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3" authorId="0" shapeId="0" xr:uid="{E01A22AE-4676-40FB-967E-C7F507BEBF15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K854" authorId="0" shapeId="0" xr:uid="{78CA4E71-CAEA-402C-B173-10FF27243353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4" authorId="0" shapeId="0" xr:uid="{E33200D5-B959-4395-AF52-D62B53F9FA2E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4" authorId="1" shapeId="0" xr:uid="{53869E82-C11E-4AAB-B2F9-7779A1F5DFC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55" authorId="0" shapeId="0" xr:uid="{D1F2B661-9913-4723-AE08-3BBCA7F9CE45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5" authorId="0" shapeId="0" xr:uid="{64CEB2C1-74D6-47FD-B40A-58A36DA7AFFF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5" authorId="1" shapeId="0" xr:uid="{5496B141-6293-4337-964B-B3B9CEC4BB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56" authorId="0" shapeId="0" xr:uid="{AA693275-8C66-4DEF-97DB-AEF540D9C818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6" authorId="0" shapeId="0" xr:uid="{3F7FB448-9DCE-4C35-B9DF-81CAEABB82A2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6" authorId="1" shapeId="0" xr:uid="{E448EB0D-D0A7-418C-81CB-80507440710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57" authorId="0" shapeId="0" xr:uid="{3E789B1B-2575-491D-A259-72E407D9C5BA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7" authorId="0" shapeId="0" xr:uid="{3E0A9684-4A3D-45EB-9ACD-AB349E11AB62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7" authorId="1" shapeId="0" xr:uid="{6C8A9834-43C3-401B-ADF5-7AB260750A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58" authorId="0" shapeId="0" xr:uid="{951B28C9-0AF5-4679-BA42-C00AE2E408BA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8" authorId="0" shapeId="0" xr:uid="{2AEA286E-46CF-4F25-8152-E90C858C11FB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8" authorId="1" shapeId="0" xr:uid="{60883D21-6A40-4C5D-B03E-06D6B7A100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59" authorId="0" shapeId="0" xr:uid="{1ED3040C-1337-401B-9BD5-36EDD6F6D78A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Q859" authorId="0" shapeId="0" xr:uid="{8EA8C2D2-54A5-46A7-81AC-336BD6A7A407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S859" authorId="1" shapeId="0" xr:uid="{41EEECC5-05BA-4108-8EA5-34CA14F23BB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別注バルク単価　\270/m (580m/color)</t>
        </r>
      </text>
    </comment>
    <comment ref="K860" authorId="1" shapeId="0" xr:uid="{546F9357-0A50-4AA4-A4FA-777A72A1E56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61" authorId="1" shapeId="0" xr:uid="{798023AB-0C92-4217-9309-AF83F3935E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62" authorId="1" shapeId="0" xr:uid="{E6B44A33-EFAE-4237-8C42-25EA7F62D5C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864" authorId="0" shapeId="0" xr:uid="{2F35D7F2-1BE3-46A7-8114-2449A5C7948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Q867" authorId="1" shapeId="0" xr:uid="{0BED259E-8D20-4F7D-B0FF-086044A357F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869" authorId="1" shapeId="0" xr:uid="{AFB4DB6D-A704-470D-9784-64A1A1DBC0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873" authorId="1" shapeId="0" xr:uid="{EC637CB1-1166-47F5-BF1D-FD7222B4B8F4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873" authorId="1" shapeId="0" xr:uid="{466F09AF-4CAD-4143-AD21-6771E87391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873" authorId="1" shapeId="0" xr:uid="{C69D4AFD-4C27-4DF7-8F7C-AFEE89680CF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K884" authorId="0" shapeId="0" xr:uid="{F6BEE4AD-558C-42A2-9715-97A140F315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
</t>
        </r>
      </text>
    </comment>
    <comment ref="Q884" authorId="0" shapeId="0" xr:uid="{F4AE0492-F18B-4756-B6F9-A4477A6F5D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E892" authorId="0" shapeId="0" xr:uid="{2619C3FF-2E74-4FDB-A159-60456E9C59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INV # 3628</t>
        </r>
      </text>
    </comment>
    <comment ref="K892" authorId="0" shapeId="0" xr:uid="{2C6F51F7-77C8-4E2B-BA1C-8F7DDE0ECA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次回より値上げ</t>
        </r>
      </text>
    </comment>
    <comment ref="K898" authorId="1" shapeId="0" xr:uid="{3616F9A2-C836-4C5B-BFF2-7EBEE1E6CAA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898" authorId="1" shapeId="0" xr:uid="{6232DA91-29FC-4AF8-8668-BAB53E8E4DC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905" authorId="0" shapeId="0" xr:uid="{2DEDBB9B-8760-4383-9FA1-7C6CAF2E38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3666
</t>
        </r>
      </text>
    </comment>
    <comment ref="K905" authorId="0" shapeId="0" xr:uid="{81699D8F-EB4A-49B7-BFE9-3D652DB6B1E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3.34/m 
EXW 3.34 + 1.12/m = C&amp;F HK USD
4.46/m
カット代 USD 12 + IFC USD 20 + courier USD 100 = abt USD 140÷125 </t>
        </r>
      </text>
    </comment>
    <comment ref="Q905" authorId="0" shapeId="0" xr:uid="{DE4CC26B-D9A8-4DAD-8244-950092FDD0DE}">
      <text>
        <r>
          <rPr>
            <b/>
            <sz val="9"/>
            <color indexed="81"/>
            <rFont val="MS P ゴシック"/>
            <family val="3"/>
            <charset val="128"/>
          </rPr>
          <t>chiba
EXW 3.34 x 0.94</t>
        </r>
      </text>
    </comment>
    <comment ref="K906" authorId="0" shapeId="0" xr:uid="{1B6266E5-7476-42C2-BDAA-F626B74A53D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3.34/m 
EXW 3.34 + 1.12/m = C&amp;F HK USD
4.46/m
カット代 USD 12 + IFC USD 20 + courier USD 100 = abt USD 140÷125 </t>
        </r>
      </text>
    </comment>
    <comment ref="Q906" authorId="0" shapeId="0" xr:uid="{BF444F80-9FD3-4990-A68A-7DEA79E634D7}">
      <text>
        <r>
          <rPr>
            <b/>
            <sz val="9"/>
            <color indexed="81"/>
            <rFont val="MS P ゴシック"/>
            <family val="3"/>
            <charset val="128"/>
          </rPr>
          <t>chiba
EXW 3.34 x 0.94</t>
        </r>
      </text>
    </comment>
    <comment ref="K907" authorId="1" shapeId="0" xr:uid="{2B41E24F-D034-469F-9779-796EB788930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908" authorId="1" shapeId="0" xr:uid="{D051D74C-7181-4C49-B5A9-01B7EAE211C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909" authorId="1" shapeId="0" xr:uid="{272C6860-C1E3-4B0D-826E-7D68BBD6A1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Q919" authorId="1" shapeId="0" xr:uid="{2ADEF08E-1C86-46E2-A273-1C87E8772AF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T935" authorId="0" shapeId="0" xr:uid="{8E993861-CEDB-44B7-BB4E-6C8D4B32CF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実長計測料1000円+
運賃1000円</t>
        </r>
      </text>
    </comment>
    <comment ref="E949" authorId="1" shapeId="0" xr:uid="{700DD793-BB75-4F29-8DCE-894637A7D50E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49" authorId="1" shapeId="0" xr:uid="{B0BD04C3-5AA2-4D97-B7A3-21273CA4456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49" authorId="1" shapeId="0" xr:uid="{316A5CF6-2224-4A89-BC5F-6F561AB8EB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</t>
        </r>
      </text>
    </comment>
    <comment ref="E950" authorId="1" shapeId="0" xr:uid="{4F2838EB-AD6A-449C-87EE-C908102183D7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50" authorId="1" shapeId="0" xr:uid="{24B832C0-3AFE-4DC1-9433-9ED30A290EB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50" authorId="1" shapeId="0" xr:uid="{6D205D68-05DA-4B5E-9FD9-908B49E087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</t>
        </r>
      </text>
    </comment>
    <comment ref="E951" authorId="1" shapeId="0" xr:uid="{BF261816-16A9-41A5-A6DD-A6445F3F8A3B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51" authorId="1" shapeId="0" xr:uid="{049573DA-A7C0-49B3-A1C5-851B2825E7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51" authorId="1" shapeId="0" xr:uid="{2817821B-AA59-4716-B052-93B9481C80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E952" authorId="1" shapeId="0" xr:uid="{6712CF3F-4DDA-4F37-88AC-797A1FB12028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52" authorId="1" shapeId="0" xr:uid="{B2C16D1E-373F-48F5-8108-7038FA521D5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52" authorId="1" shapeId="0" xr:uid="{47F7047A-64C8-48EB-851E-7CE50F3E04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</t>
        </r>
      </text>
    </comment>
    <comment ref="K965" authorId="1" shapeId="0" xr:uid="{EDB46C39-C4C3-4624-8446-B1D724C6D70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965" authorId="1" shapeId="0" xr:uid="{6845D8CE-6512-4441-A228-8C20C92F02F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E967" authorId="1" shapeId="0" xr:uid="{7393BDA9-323E-4808-872E-B869ED060ADA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67" authorId="1" shapeId="0" xr:uid="{B31F7729-E738-47D3-ACBC-2836962A261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67" authorId="1" shapeId="0" xr:uid="{D1A53EF5-162D-498B-AD82-04AAE0215D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</t>
        </r>
      </text>
    </comment>
    <comment ref="E968" authorId="1" shapeId="0" xr:uid="{AF526F9A-A689-4200-B526-105686B0D67E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K968" authorId="1" shapeId="0" xr:uid="{4BCBF328-8B11-4F1B-B395-2DE90273BF8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S968" authorId="1" shapeId="0" xr:uid="{4F7D4A44-5D88-4EA7-B0FF-229BBA2795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</t>
        </r>
      </text>
    </comment>
    <comment ref="K969" authorId="1" shapeId="0" xr:uid="{DFB58C36-AD7D-4B9D-AE9F-E5AD1CAC80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969" authorId="1" shapeId="0" xr:uid="{2274DB22-0D77-4751-9FFC-AFE5929AC04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E972" authorId="1" shapeId="0" xr:uid="{64FF8DFB-E6FA-414E-BFDF-71EEFCCE7C3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3751 for 1st shipment </t>
        </r>
      </text>
    </comment>
    <comment ref="E977" authorId="1" shapeId="0" xr:uid="{3A4808AE-06C7-4E77-9CBB-AA4C2372A8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白メンコする場合は、30円/反</t>
        </r>
      </text>
    </comment>
    <comment ref="K987" authorId="1" shapeId="0" xr:uid="{1E7C6549-9EB3-4F23-B3C6-7A3AB46C6C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987" authorId="1" shapeId="0" xr:uid="{7A631669-CFA1-40F7-B6F8-948AB1CF3D2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993" authorId="1" shapeId="0" xr:uid="{DA6CC3BD-7E26-45C3-A0E0-DDF2D0577DC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993" authorId="1" shapeId="0" xr:uid="{AA759C66-C17F-4BE5-B460-6FDB00190AC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998" authorId="1" shapeId="0" xr:uid="{A20B8923-91DB-4539-93C2-E3E52666874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998" authorId="1" shapeId="0" xr:uid="{D74B110E-A3B2-4EC2-9B8E-75DB692D86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S1014" authorId="0" shapeId="0" xr:uid="{32F75735-B24B-49F1-8BF3-4498801B08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旧単価980円で計算
新価格880
</t>
        </r>
      </text>
    </comment>
    <comment ref="K1015" authorId="1" shapeId="0" xr:uid="{7DE87BED-4455-45DE-AEFD-091BF7F913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015" authorId="1" shapeId="0" xr:uid="{00A6B408-C7BD-45EF-A085-5F712F22F59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033" authorId="1" shapeId="0" xr:uid="{9B16084D-74E4-4BC0-9C2F-A7C3245EF78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033" authorId="1" shapeId="0" xr:uid="{ACEF2E71-D332-4EED-92AE-73F9B1E8BBF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042" authorId="0" shapeId="0" xr:uid="{E8D261DE-0FF1-4D32-ABB2-F07724066B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3829</t>
        </r>
      </text>
    </comment>
    <comment ref="K1042" authorId="0" shapeId="0" xr:uid="{3589F2D3-9C01-4DE5-9431-9D89DFB77D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0.74/m 
</t>
        </r>
      </text>
    </comment>
    <comment ref="P1042" authorId="1" shapeId="0" xr:uid="{FB25F01C-DF28-4B19-8061-79CDFC2CBD5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1043" authorId="1" shapeId="0" xr:uid="{24394BE8-A7BD-40D8-A903-299AC2EB2E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044" authorId="0" shapeId="0" xr:uid="{B87B6C04-63B6-4F5F-82C3-E9ECF1A6F7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0.74/m 
Handling Fee 込</t>
        </r>
      </text>
    </comment>
    <comment ref="K1075" authorId="0" shapeId="0" xr:uid="{4A46444D-F4B9-4A6B-898B-4366BA6405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083" authorId="0" shapeId="0" xr:uid="{DC9DD68D-085B-4427-BBAF-7AE0565E5E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3820 </t>
        </r>
      </text>
    </comment>
    <comment ref="K1088" authorId="0" shapeId="0" xr:uid="{14D6396A-4C8F-4137-99B9-76B308A118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1.47</t>
        </r>
      </text>
    </comment>
    <comment ref="S1088" authorId="0" shapeId="0" xr:uid="{7657E426-99BC-40CC-8D46-98FB54DC80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通常79</t>
        </r>
      </text>
    </comment>
    <comment ref="K1089" authorId="0" shapeId="0" xr:uid="{10AE1E3B-FCE2-4694-88C9-839CF99670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1.89</t>
        </r>
      </text>
    </comment>
    <comment ref="S1089" authorId="0" shapeId="0" xr:uid="{F927726F-21E9-4D70-BBE6-5A289241B2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通常102
</t>
        </r>
      </text>
    </comment>
    <comment ref="K1091" authorId="0" shapeId="0" xr:uid="{E26FC2E3-6A8C-45EB-91A6-8EF94A5AC8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1.78</t>
        </r>
      </text>
    </comment>
    <comment ref="S1091" authorId="0" shapeId="0" xr:uid="{9F3D3A12-847D-4F63-B6AD-B5E1DD62DB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通常96
</t>
        </r>
      </text>
    </comment>
    <comment ref="K1092" authorId="0" shapeId="0" xr:uid="{DF8C55C6-DD3C-4E22-BAD8-C20287D37F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2.41</t>
        </r>
      </text>
    </comment>
    <comment ref="S1092" authorId="0" shapeId="0" xr:uid="{A9C62EEA-775E-48F9-B996-16606A7CBE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通常130
</t>
        </r>
      </text>
    </comment>
    <comment ref="K1098" authorId="1" shapeId="0" xr:uid="{45EA2C7B-2346-42E1-AA4B-C9D686EFFC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098" authorId="1" shapeId="0" xr:uid="{9A94C502-9D20-4279-B01F-36B31B0C24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136" authorId="1" shapeId="0" xr:uid="{F8FB1F82-0ADA-4724-9349-36BBC20F38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136" authorId="1" shapeId="0" xr:uid="{44845C1B-D09A-42FF-BFA7-85D089B38EC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143" authorId="0" shapeId="0" xr:uid="{1DA1FD28-5848-4905-A482-913771C0EB9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K1147" authorId="0" shapeId="0" xr:uid="{7F60F68B-6E5F-4FAC-9A57-BB40CFFD34B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S1154" authorId="0" shapeId="0" xr:uid="{976910A7-F704-454A-8D7A-6AB6137AF6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サンプル代一式 10000円</t>
        </r>
      </text>
    </comment>
    <comment ref="Q1165" authorId="1" shapeId="0" xr:uid="{0279F058-41E0-49AA-88B2-6EB90BF4B2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E1180" authorId="0" shapeId="0" xr:uid="{30E43845-CBF9-4ACF-9FA1-D40BB5EC8B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3959</t>
        </r>
      </text>
    </comment>
    <comment ref="K1180" authorId="0" shapeId="0" xr:uid="{5757D497-9464-468F-8CB1-03C3A23986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1180" authorId="1" shapeId="0" xr:uid="{E0ED784A-A9E5-4E2B-AA9A-46D19C0F51C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1181" authorId="0" shapeId="0" xr:uid="{08CBCD25-C75A-4FD3-8AD0-88DF1960B9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1181" authorId="1" shapeId="0" xr:uid="{D2D2F004-C545-4A05-81C7-2FAA994B0D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1182" authorId="1" shapeId="0" xr:uid="{393AB284-DF35-411E-9CB1-BE8BB04F6B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183" authorId="0" shapeId="0" xr:uid="{4493A01D-DB63-40D0-84B8-50163A3871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Q1183" authorId="1" shapeId="0" xr:uid="{5E7142E7-348D-43DC-B8FC-51B33A5BDA9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UPS 保険も含む</t>
        </r>
      </text>
    </comment>
    <comment ref="E1185" authorId="0" shapeId="0" xr:uid="{70741765-1A1C-4F0F-82C4-9796288FE6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3985</t>
        </r>
      </text>
    </comment>
    <comment ref="K1185" authorId="0" shapeId="0" xr:uid="{699753CC-10E9-49D5-A10C-5DC1AD6F46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S1185" authorId="0" shapeId="0" xr:uid="{339B5069-F1A4-4E35-B813-D231719C30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先染黒特価</t>
        </r>
      </text>
    </comment>
    <comment ref="K1186" authorId="0" shapeId="0" xr:uid="{CD4056F3-70AD-44DA-BDC6-402907121D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S1186" authorId="0" shapeId="0" xr:uid="{63565AF3-E2BE-4CDE-80D6-7A068FF919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通常82
特価</t>
        </r>
      </text>
    </comment>
    <comment ref="K1187" authorId="0" shapeId="0" xr:uid="{4494EC35-0EE2-4BB9-B760-3C4201B579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 銀行手数料で引かれるので、NY には請求なし</t>
        </r>
      </text>
    </comment>
    <comment ref="K1189" authorId="0" shapeId="0" xr:uid="{5AB8A5D8-CD84-4001-B96A-49E7C3A081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N1189" authorId="0" shapeId="0" xr:uid="{FB5D6673-3063-4A76-92D7-BA023A94920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商品は2022年9月28日までSF で保管期限</t>
        </r>
      </text>
    </comment>
    <comment ref="S1189" authorId="0" shapeId="0" xr:uid="{F14F0BCF-9560-4815-930E-FF3FB9D92E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先染黒特価</t>
        </r>
      </text>
    </comment>
    <comment ref="K1190" authorId="0" shapeId="0" xr:uid="{B3C0DBDE-43F2-46F5-A25B-86EBAC0BCB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N1190" authorId="0" shapeId="0" xr:uid="{4D562244-2081-450F-AC5C-DD2A19324C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商品は2022年9月28日までSF で保管期限</t>
        </r>
      </text>
    </comment>
    <comment ref="S1190" authorId="0" shapeId="0" xr:uid="{7C26C2FB-975C-4D7A-8761-EDF9A2A29D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通常82
特価</t>
        </r>
      </text>
    </comment>
    <comment ref="N1191" authorId="0" shapeId="0" xr:uid="{C2FE3E99-151B-4562-A253-4DE7AF9961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商品は2022年9月28日までSF で保管期限</t>
        </r>
      </text>
    </comment>
    <comment ref="K1198" authorId="0" shapeId="0" xr:uid="{9DD31FEF-EDEB-40B9-B1FD-282ACEFB9EE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4.73/m (25%)  
</t>
        </r>
      </text>
    </comment>
    <comment ref="Q1198" authorId="0" shapeId="0" xr:uid="{3630AF87-3F46-4E79-BB1E-362BA3A23747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Q1205" authorId="0" shapeId="0" xr:uid="{31A7DDB3-861D-46D4-A968-1F7EE7E4E9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1240" authorId="1" shapeId="0" xr:uid="{3AFC9618-F827-48A2-9EEC-6E4DE26D312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240" authorId="1" shapeId="0" xr:uid="{61C67AE8-84CE-4E78-97E3-61B7883314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286" authorId="1" shapeId="0" xr:uid="{A107411B-AD80-4E92-B6C0-EDE757608DB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286" authorId="1" shapeId="0" xr:uid="{75F73230-8423-4C74-9E97-59596C79C36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292" authorId="1" shapeId="0" xr:uid="{C1497291-B2C5-4542-8211-A55C208D20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292" authorId="1" shapeId="0" xr:uid="{EB7F637C-84E8-4717-AEA7-60DDE41EE2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305" authorId="1" shapeId="0" xr:uid="{E4298456-0C92-446F-BAFF-E2D63BD9D1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4105</t>
        </r>
      </text>
    </comment>
    <comment ref="K1305" authorId="0" shapeId="0" xr:uid="{08B48E78-4DB1-4AC5-B95C-DD044AF780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1305" authorId="1" shapeId="0" xr:uid="{8E5DACA9-3930-441A-ADC0-F043F8B1A8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1306" authorId="0" shapeId="0" xr:uid="{FE47CC92-FE1F-4997-8631-8DE3713B92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P1306" authorId="1" shapeId="0" xr:uid="{A11BFED3-55FB-4FBA-9541-0F941AF8852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0.45 に対して</t>
        </r>
      </text>
    </comment>
    <comment ref="K1307" authorId="1" shapeId="0" xr:uid="{FDCC6794-9AFE-4F58-A015-EFB7DCE60CB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308" authorId="0" shapeId="0" xr:uid="{B0265792-4A3B-4CF0-AA53-CB2ADB3CFB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Q1308" authorId="1" shapeId="0" xr:uid="{0A511531-FCD8-4E93-B94B-60F80A5E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UPS 保険も含む
</t>
        </r>
      </text>
    </comment>
    <comment ref="R1308" authorId="1" shapeId="0" xr:uid="{0202578E-DF19-46B8-A346-834C30E78A9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UPS 保険も含む
</t>
        </r>
      </text>
    </comment>
    <comment ref="E1315" authorId="0" shapeId="0" xr:uid="{370F3B3A-2C89-4BC3-AFFD-D4AE4391BE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4218</t>
        </r>
      </text>
    </comment>
    <comment ref="K1315" authorId="0" shapeId="0" xr:uid="{1B222A07-1336-44FA-BF77-C25FF1D91490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15" authorId="0" shapeId="0" xr:uid="{6DFF4271-2B50-4AD1-99C2-47A38CCE0BB3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15" authorId="0" shapeId="0" xr:uid="{CAB9EFB9-F4EA-46F5-BF5F-8AE45FF97C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16" authorId="0" shapeId="0" xr:uid="{F21B8B3B-FC31-481D-83C6-2E8347D0439C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16" authorId="0" shapeId="0" xr:uid="{001779DF-D0DE-4283-AF1B-DC194EF45989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16" authorId="0" shapeId="0" xr:uid="{58048439-2CA0-438E-AD48-F2E2EA553D7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17" authorId="0" shapeId="0" xr:uid="{D04C234D-ECA5-4DF5-AE66-C271273F6FBF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17" authorId="0" shapeId="0" xr:uid="{74A2637A-818A-4B9D-B95E-22D40CA389D6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17" authorId="0" shapeId="0" xr:uid="{54339949-0E4F-41B1-9B0E-A0B0C732FD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18" authorId="0" shapeId="0" xr:uid="{E2AA653E-EFBD-4A17-A5AA-3AD9A52CB015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18" authorId="0" shapeId="0" xr:uid="{EA7F1914-7132-44E9-8603-C7E614FECAFB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18" authorId="0" shapeId="0" xr:uid="{7F0CFBC0-EF5C-46DA-B9FA-96FDAD4E98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19" authorId="0" shapeId="0" xr:uid="{CAADB066-8AB0-43CC-A477-EC6BB0CCE14A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19" authorId="0" shapeId="0" xr:uid="{78F5999A-9615-4E8C-B252-FC1938E2F017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19" authorId="0" shapeId="0" xr:uid="{75DD2B6A-B09B-4FD0-8768-A9410B407A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0" authorId="0" shapeId="0" xr:uid="{6F7B452D-E845-4680-B835-95B3611DFCC6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0" authorId="0" shapeId="0" xr:uid="{F75E0C0C-2E21-4AC9-842B-0CE106381D1B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0" authorId="0" shapeId="0" xr:uid="{C5E347AE-FC99-44FE-A5A6-25A363DEAA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1" authorId="0" shapeId="0" xr:uid="{29092702-E91F-4343-88EB-13F1E14618FE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1" authorId="0" shapeId="0" xr:uid="{3CCA004E-EDA3-4514-BDAE-9DE735097826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1" authorId="0" shapeId="0" xr:uid="{01324F10-3436-4006-9DF1-EF982E0FA0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2" authorId="0" shapeId="0" xr:uid="{B3980E9F-83CF-49A6-B8C9-7624B715C230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2" authorId="0" shapeId="0" xr:uid="{3F55F9E7-A33F-4C7F-9E89-29B1ACF645A8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2" authorId="0" shapeId="0" xr:uid="{D58ACBCF-FA36-4885-9676-744C803656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3" authorId="0" shapeId="0" xr:uid="{A9FC8727-4932-47A1-85F0-E53D5C23113F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3" authorId="0" shapeId="0" xr:uid="{28EFB4C0-19D6-4311-93B1-17331621C62E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3" authorId="0" shapeId="0" xr:uid="{FE39C1F7-E199-421E-9BAD-C527179795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4" authorId="0" shapeId="0" xr:uid="{0441B6A6-F444-4DE5-A3A5-C230C701ACC1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4" authorId="0" shapeId="0" xr:uid="{4DFF8C0F-E5F2-4C48-91B5-3A86B6F1BF6F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4" authorId="0" shapeId="0" xr:uid="{9879C15F-5712-4FAF-9E9F-F783116836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5" authorId="0" shapeId="0" xr:uid="{A8C0D891-CD47-4CA7-91B5-BA0A49380FB7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5" authorId="0" shapeId="0" xr:uid="{E31FA29A-8652-45BD-BEBC-DF97568E215C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5" authorId="0" shapeId="0" xr:uid="{DDA85733-C9F3-4559-BEB9-3B69B76B89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6" authorId="0" shapeId="0" xr:uid="{B57C03BA-0DA1-456F-B7CD-C2799488C405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6" authorId="0" shapeId="0" xr:uid="{49E305A0-A92B-4093-851E-48712D2FB9E3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6" authorId="0" shapeId="0" xr:uid="{E2442064-B60F-44F9-9857-5C9840E85C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7" authorId="0" shapeId="0" xr:uid="{60E44CBA-DE88-4935-9258-82E86247F7EC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7" authorId="0" shapeId="0" xr:uid="{0B16E0B9-7A15-43EB-8A2E-D2731F330E57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7" authorId="0" shapeId="0" xr:uid="{BDEACE96-0CB7-4D71-9BD1-5027E94D2E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8" authorId="0" shapeId="0" xr:uid="{4FB678B2-1125-4517-8009-D2A1BD478E2F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8" authorId="0" shapeId="0" xr:uid="{9193FCFC-FC40-439D-80B8-7301EA41C11F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8" authorId="0" shapeId="0" xr:uid="{2D346040-6752-4445-AE8A-F7245472A7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29" authorId="0" shapeId="0" xr:uid="{2312F141-D141-4219-8531-BB0287EDC3B4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通常単価360円/m
今回一括生産・アソートで特価300円/m  
EXW 5.00 + 0.50/m = CIF Shenzhen USD 5.50/m</t>
        </r>
      </text>
    </comment>
    <comment ref="Q1329" authorId="0" shapeId="0" xr:uid="{CBECC6E3-BFA0-4DF3-ACAE-FD2AED3A909C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S1329" authorId="0" shapeId="0" xr:uid="{728A6E47-CBD7-4666-BB1D-73F25109CD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USD 5.00/m 通常単価360円/m
今回一括生産・アソートで特価300円/m  
EXW 5.00 + 0.50/m = CIF Shenzhen USD 5.50/m</t>
        </r>
      </text>
    </comment>
    <comment ref="K1330" authorId="0" shapeId="0" xr:uid="{CDED04BF-E3EC-4A8D-B305-B463E5B911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CIF 単価に入れ込んでいる</t>
        </r>
      </text>
    </comment>
    <comment ref="K1331" authorId="0" shapeId="0" xr:uid="{DB5487C8-6DD7-4184-9B69-BFB0DA9235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0.49/m  
C&amp;F HK Price  USD 0.67/m 
</t>
        </r>
      </text>
    </comment>
    <comment ref="Q1331" authorId="1" shapeId="0" xr:uid="{0C7AE4FB-DDAF-422E-948B-B70012D0BEA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 保険も含む(保険前川さん）
I/F charge も入れてUSD 1661</t>
        </r>
      </text>
    </comment>
    <comment ref="K1372" authorId="1" shapeId="0" xr:uid="{F1F8E878-10FF-4DEA-8FBB-D8D231BC06E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372" authorId="1" shapeId="0" xr:uid="{F9C5BD0F-A9E8-467B-BAB2-24CC58ABAD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379" authorId="1" shapeId="0" xr:uid="{8E86AE2E-2344-4646-AE44-88517C9B2E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379" authorId="1" shapeId="0" xr:uid="{D4BF751F-06D8-4812-88C0-B50030495C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400" authorId="0" shapeId="0" xr:uid="{0AC66191-A4BE-41C6-9339-C685A6333E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特価 &amp; discount  
14％
レート90</t>
        </r>
      </text>
    </comment>
    <comment ref="Q1400" authorId="0" shapeId="0" xr:uid="{07A97FEE-1A68-45AA-B1FE-D431D775C7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特価 &amp; discount  
14％
レート90</t>
        </r>
      </text>
    </comment>
    <comment ref="K1401" authorId="1" shapeId="0" xr:uid="{6C080931-3D51-4077-9E7A-A49D73B0A01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E1413" authorId="1" shapeId="0" xr:uid="{0FC2A44F-E1AC-4341-8387-E46169FD3A1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4105-2</t>
        </r>
      </text>
    </comment>
    <comment ref="K1413" authorId="0" shapeId="0" xr:uid="{5B6E0272-C847-4854-A3A8-83BFDB1384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P1413" authorId="1" shapeId="0" xr:uid="{602BF3C7-8E49-4474-8484-D03CA62C2BC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USD 4.26 に対して</t>
        </r>
      </text>
    </comment>
    <comment ref="K1415" authorId="0" shapeId="0" xr:uid="{EE051D6C-A883-43DF-9EDB-B5707F5AEE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P1415" authorId="1" shapeId="0" xr:uid="{BF293DDA-88CC-45B9-9FF2-7460C4C832F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USD 4.26 に対して</t>
        </r>
      </text>
    </comment>
    <comment ref="K1416" authorId="1" shapeId="0" xr:uid="{E798F5BE-744D-41CE-BBDF-E98277A5C6C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417" authorId="0" shapeId="0" xr:uid="{CD908163-ED5C-4079-AC97-A55A3E72C7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Q1417" authorId="1" shapeId="0" xr:uid="{D0A552DE-2154-4A1F-8397-2CB2A64933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UPS 保険も含む
</t>
        </r>
      </text>
    </comment>
    <comment ref="S1417" authorId="0" shapeId="0" xr:uid="{B53974F8-669F-46A8-9AE1-A6381EC4F9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他とまとめて出荷</t>
        </r>
      </text>
    </comment>
    <comment ref="T1417" authorId="0" shapeId="0" xr:uid="{4B08730C-D25C-4C71-8EE4-0C87322399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他とまとめて出荷</t>
        </r>
      </text>
    </comment>
    <comment ref="E1419" authorId="0" shapeId="0" xr:uid="{B7F6FE25-D5D6-4FFC-849A-D74E820247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4105-3</t>
        </r>
      </text>
    </comment>
    <comment ref="K1419" authorId="0" shapeId="0" xr:uid="{B5444B80-7C81-45AA-8576-825F8C05CE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0.66/m + 0.23  
CIF HK Price  USD 0.89/m  
→PI# 4105 &amp;　4105-2と同送の場合のみ適用</t>
        </r>
      </text>
    </comment>
    <comment ref="P1419" authorId="1" shapeId="0" xr:uid="{3C83816A-CAF9-4F2D-8E3B-46EC399D1F6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USD 0.66 に対して</t>
        </r>
      </text>
    </comment>
    <comment ref="K1420" authorId="1" shapeId="0" xr:uid="{F6202227-58DB-486A-B3FD-7C74AFE1D59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421" authorId="0" shapeId="0" xr:uid="{9F207DC8-4711-4BFB-B162-5D784CF0A8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0.66/m + 0.23  
CIF HK Price  USD 0.89/m  
→PI# 4105 &amp;　4105-2と同送の場合のみ適用</t>
        </r>
      </text>
    </comment>
    <comment ref="Q1421" authorId="0" shapeId="0" xr:uid="{783F66D5-69F6-48AE-9E2F-114D5D8621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0.66/m + 0.23  
CIF HK Price  USD 0.89/m  
→PI# 4105 &amp;　4105-2と同送の場合のみ適用
HF も含む</t>
        </r>
      </text>
    </comment>
    <comment ref="R1421" authorId="0" shapeId="0" xr:uid="{124787C8-F864-4130-AA09-61DD954E02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0.66/m + 0.23  
CIF HK Price  USD 0.89/m  
→PI# 4105 &amp;　4105-2と同送の場合のみ適用
HF も含む</t>
        </r>
      </text>
    </comment>
    <comment ref="S1421" authorId="0" shapeId="0" xr:uid="{F5B556B2-FE4C-4EEF-A85F-E4795006BA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他とまとめて出荷</t>
        </r>
      </text>
    </comment>
    <comment ref="T1421" authorId="0" shapeId="0" xr:uid="{12ADC9FB-54CF-45D4-9E92-25293B0EE6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他とまとめて出荷</t>
        </r>
      </text>
    </comment>
    <comment ref="Q1466" authorId="1" shapeId="0" xr:uid="{939EC878-5608-44B4-AD3D-59D478BE475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Q1467" authorId="1" shapeId="0" xr:uid="{5CB7D905-8715-4932-A3B8-79A2AC1054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476" authorId="1" shapeId="0" xr:uid="{AF32986E-2562-4C92-BA6A-C9D92FAEF65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476" authorId="1" shapeId="0" xr:uid="{0C8116AA-DA4C-4A92-9E22-7DF53FA865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497" authorId="0" shapeId="0" xr:uid="{DF32829E-7B9E-4512-BE2F-F9AC16C045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0.99/m 
</t>
        </r>
      </text>
    </comment>
    <comment ref="P1497" authorId="1" shapeId="0" xr:uid="{5E770B3F-8FBA-41AB-AB9D-FFC951F589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498" authorId="1" shapeId="0" xr:uid="{56FDE7E1-909D-45C4-9C3C-62339452C0F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499" authorId="0" shapeId="0" xr:uid="{4B8D0791-3A95-4A5C-8565-03FD2ED9E8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0.99/m 
</t>
        </r>
      </text>
    </comment>
    <comment ref="K1501" authorId="0" shapeId="0" xr:uid="{4604C7C8-5345-459A-8984-2392C3DD87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SICに関しては下記
利率40% 
レート 120円</t>
        </r>
      </text>
    </comment>
    <comment ref="K1502" authorId="0" shapeId="0" xr:uid="{172BA48F-F1F2-4CFB-80FF-AE1E4EC28A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</t>
        </r>
      </text>
    </comment>
    <comment ref="K1503" authorId="0" shapeId="0" xr:uid="{216459A4-5347-4D7E-A1E9-764F3B9FB7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
Regular USD 3.13 x 1.5倍 = サンプルプライス</t>
        </r>
      </text>
    </comment>
    <comment ref="Q1503" authorId="0" shapeId="0" xr:uid="{DBE92425-6C0B-423E-8DE2-FCCAC97D29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Regular 顧客単価USD 3.13 x 1.5倍 = サンプルプライス</t>
        </r>
      </text>
    </comment>
    <comment ref="S1503" authorId="0" shapeId="0" xr:uid="{2C14B5D8-8908-4AE0-A620-7BB278A8A4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Regular単価225 x 1.5倍 = サンプルプライス</t>
        </r>
      </text>
    </comment>
    <comment ref="E1521" authorId="1" shapeId="0" xr:uid="{1899C762-6D25-497D-AC42-982AF1105C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4293</t>
        </r>
      </text>
    </comment>
    <comment ref="Q1521" authorId="1" shapeId="0" xr:uid="{E7847467-4784-40FC-89DA-2BA2CD87CD1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K1527" authorId="1" shapeId="0" xr:uid="{C0434446-A444-4133-B3EB-1B72DA8151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527" authorId="1" shapeId="0" xr:uid="{86493110-6A8C-4947-83BB-3A93119525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530" authorId="0" shapeId="0" xr:uid="{83F0B19A-70EC-4FE8-8589-03F666A425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30" authorId="0" shapeId="0" xr:uid="{975E9FE5-D8F1-41AA-9F6D-6159DC083F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1531" authorId="1" shapeId="0" xr:uid="{9AEF3064-5D69-4300-BBB2-C0D37AB091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531" authorId="1" shapeId="0" xr:uid="{33AFF80A-2864-439D-8A7D-3CE56A45440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534" authorId="0" shapeId="0" xr:uid="{FD504729-3C63-492E-BE04-CE1B15FC93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34" authorId="0" shapeId="0" xr:uid="{DED64DAA-4002-458B-8CC3-FD1887F2336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35" authorId="0" shapeId="0" xr:uid="{116A6D86-A326-488A-84A9-6B397278E7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35" authorId="0" shapeId="0" xr:uid="{C0018D5E-A4BB-441B-843F-4FF7D8DA2B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36" authorId="0" shapeId="0" xr:uid="{11B56689-3DA1-460A-B573-75FA1EB7FA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36" authorId="0" shapeId="0" xr:uid="{8E67E2EB-5234-48A2-95F5-A86188DB5C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37" authorId="0" shapeId="0" xr:uid="{4DA4823B-8820-4675-B783-4FE5659F45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37" authorId="0" shapeId="0" xr:uid="{9D0B83FA-DD13-4E8C-A202-076F9DDB02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1538" authorId="1" shapeId="0" xr:uid="{87689AC6-1E16-4EF7-B577-ACCF39C7437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538" authorId="1" shapeId="0" xr:uid="{792544DA-5B96-466F-A630-C88C0AB328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541" authorId="0" shapeId="0" xr:uid="{F0A5B943-0E1C-4380-8805-ABE86A62DB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41" authorId="0" shapeId="0" xr:uid="{DA558C57-298D-4600-AD84-CCE7772814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42" authorId="0" shapeId="0" xr:uid="{8F5141EF-1E7B-4D25-BAAD-5E3236818F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42" authorId="0" shapeId="0" xr:uid="{FD1D564C-9501-4487-81FD-4609889311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43" authorId="0" shapeId="0" xr:uid="{D94F82B1-B083-4FCC-B85C-38EAADB132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43" authorId="0" shapeId="0" xr:uid="{677B61FC-ED3E-4D05-9BF4-7B5B44125E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1544" authorId="1" shapeId="0" xr:uid="{00CE7B2F-BC69-410E-8BD1-C26FBE6713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544" authorId="1" shapeId="0" xr:uid="{2369AED3-0991-4E5D-9247-5125BF9D05D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1547" authorId="0" shapeId="0" xr:uid="{1B430E12-2267-4F97-B418-5FE9021238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47" authorId="0" shapeId="0" xr:uid="{3AD9F6F9-ED13-46CD-8B36-3F795E5D8E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1548" authorId="0" shapeId="0" xr:uid="{557F7F7B-BA4B-4A57-86A7-EFA56C42A7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1548" authorId="0" shapeId="0" xr:uid="{0F039A0C-0961-4F39-B1F0-74D03F5C8A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1549" authorId="1" shapeId="0" xr:uid="{4E4AD3DF-AEE0-4602-8131-0C293C9285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549" authorId="1" shapeId="0" xr:uid="{2B469987-B7F5-4016-84D8-812E557113C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V1551" authorId="0" shapeId="0" xr:uid="{FA36AEE6-4B32-4276-AC82-E83903C01C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K1552" authorId="0" shapeId="0" xr:uid="{EA0F6E63-5E09-4DBB-8BF0-19CC04F402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K1556" authorId="0" shapeId="0" xr:uid="{B6437125-2661-48FA-A6B1-EEF8FA4BC8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K1560" authorId="0" shapeId="0" xr:uid="{0F6209A2-5F40-491C-89FB-90E0C0BA5F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61" authorId="0" shapeId="0" xr:uid="{5FF6157A-68AD-4A44-8626-ABD640D25C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1562" authorId="0" shapeId="0" xr:uid="{55CBC2F5-AE1C-4AD3-8892-A4AC0B2D54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63" authorId="0" shapeId="0" xr:uid="{09D44A2E-7214-4A35-ABFB-D0AEF5C7F3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64" authorId="0" shapeId="0" xr:uid="{35DF593D-DB2D-4046-B8E0-56DECFFFE9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65" authorId="0" shapeId="0" xr:uid="{A4A343CC-E1BE-4E71-8707-44D0565485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66" authorId="0" shapeId="0" xr:uid="{70873F0B-6B87-4C29-9091-F657362E54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71" authorId="0" shapeId="0" xr:uid="{039B7985-1CA5-4412-8286-A3E5CA68B9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1575" authorId="0" shapeId="0" xr:uid="{3AB7517D-5A4A-4919-9EA2-7716FE4270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房カット無し
Fringe uncut </t>
        </r>
      </text>
    </comment>
    <comment ref="K1575" authorId="0" shapeId="0" xr:uid="{818B57FA-97BF-4F18-91BC-B1CE721A15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76" authorId="0" shapeId="0" xr:uid="{73F5BE4E-64FE-4B29-A25D-F4657596C6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577" authorId="0" shapeId="0" xr:uid="{017D3C7E-9AF9-4D1C-A226-E5BCEFC100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T1578" authorId="0" shapeId="0" xr:uid="{EBD4787D-B93E-47A3-A0F6-5C8A521C85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OL 900円</t>
        </r>
      </text>
    </comment>
    <comment ref="E1584" authorId="0" shapeId="0" xr:uid="{DDB85859-C8A2-4499-B696-38197F5315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4474</t>
        </r>
      </text>
    </comment>
    <comment ref="E1587" authorId="0" shapeId="0" xr:uid="{8D0E980B-27AC-433A-9CAE-6D0DAFAB6D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4484</t>
        </r>
      </text>
    </comment>
    <comment ref="E1590" authorId="0" shapeId="0" xr:uid="{67F25A04-3E8D-4E60-9964-517AE97209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4426</t>
        </r>
      </text>
    </comment>
    <comment ref="S1597" authorId="0" shapeId="0" xr:uid="{FB1E22E2-1DC0-4B30-81AC-746717FDD9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別注品番
4反/col の場合のアップチャージ単価</t>
        </r>
      </text>
    </comment>
    <comment ref="S1598" authorId="0" shapeId="0" xr:uid="{D718887E-91C0-48CC-B02F-4E61B81EE1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別注品番
4反/col の場合のアップチャージ単価</t>
        </r>
      </text>
    </comment>
    <comment ref="S1599" authorId="0" shapeId="0" xr:uid="{C2D065E5-6C5E-4009-B71C-68C1B266E9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別注品番
4反/col の場合のアップチャージ単価</t>
        </r>
      </text>
    </comment>
    <comment ref="S1600" authorId="0" shapeId="0" xr:uid="{FFB70834-74B1-4FB2-8CF4-381E50C17C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別注品番
4反/col の場合のアップチャージ単価</t>
        </r>
      </text>
    </comment>
    <comment ref="K1601" authorId="1" shapeId="0" xr:uid="{4A19BA20-627C-43EA-B70D-78575A5232C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601" authorId="1" shapeId="0" xr:uid="{F049896E-F065-41C8-B788-5C2BDB7E1D5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R1601" authorId="0" shapeId="0" xr:uid="{D8155DDA-D013-419A-A1ED-58D1244429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運賃として請求</t>
        </r>
      </text>
    </comment>
    <comment ref="K1615" authorId="1" shapeId="0" xr:uid="{02F14131-22C0-47E6-A0B0-D43630C0162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615" authorId="1" shapeId="0" xr:uid="{87A0A4C6-F0FC-473D-9E67-F7D6C5C50EA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618" authorId="0" shapeId="0" xr:uid="{4C2FA537-6570-4914-A93B-A9028DA9B1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CIF HK Price  USD 0.61/m 
</t>
        </r>
      </text>
    </comment>
    <comment ref="P1618" authorId="1" shapeId="0" xr:uid="{DC106834-F1E4-4164-8012-4AB7C715278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619" authorId="0" shapeId="0" xr:uid="{38DE28F7-187E-4B28-B9E8-CF57313079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P1619" authorId="1" shapeId="0" xr:uid="{5D717300-12E2-4038-B7E1-729E9E5BAD6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620" authorId="0" shapeId="0" xr:uid="{DAD3EC89-7B9A-403B-BB8C-C28A517847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P1620" authorId="1" shapeId="0" xr:uid="{141DA537-4EDB-48E9-86D9-DCCE357259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621" authorId="1" shapeId="0" xr:uid="{36A35BFA-D742-4E7F-B317-FB4DD5395A4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622" authorId="0" shapeId="0" xr:uid="{51814358-A6AD-4522-B53E-2EE9515870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Q1622" authorId="0" shapeId="0" xr:uid="{4E7CA235-74EA-4A4D-8A70-F6D7074DAE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R1622" authorId="0" shapeId="0" xr:uid="{FF2091CA-CA02-439B-B916-6F9858D190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S1622" authorId="0" shapeId="0" xr:uid="{A72F6EE6-B84D-49EF-909B-4A26007CDA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T1622" authorId="0" shapeId="0" xr:uid="{3CAD5EE0-32F3-445C-BE68-177B39BA3E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K1624" authorId="0" shapeId="0" xr:uid="{463DFB8A-B9F2-459E-88FA-3F63DA9D5F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4.26/m(55%, 120レート）  + 0.35  
CIF HK Price  USD 4.61/m 
</t>
        </r>
      </text>
    </comment>
    <comment ref="P1624" authorId="1" shapeId="0" xr:uid="{D1441B47-F00E-4426-80D6-C81162ED986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USD 4.26 に対して</t>
        </r>
      </text>
    </comment>
    <comment ref="K1625" authorId="0" shapeId="0" xr:uid="{12405ACC-1D35-4354-BAA4-7167415D32B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</t>
        </r>
        <r>
          <rPr>
            <sz val="9"/>
            <color indexed="81"/>
            <rFont val="MS P ゴシック"/>
            <family val="3"/>
            <charset val="128"/>
          </rPr>
          <t xml:space="preserve">TI-1140:$0.35x300m=$105
</t>
        </r>
      </text>
    </comment>
    <comment ref="Q1625" authorId="0" shapeId="0" xr:uid="{BF58B960-6B86-4B39-9B02-52FF41D35E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</t>
        </r>
        <r>
          <rPr>
            <sz val="9"/>
            <color indexed="81"/>
            <rFont val="MS P ゴシック"/>
            <family val="3"/>
            <charset val="128"/>
          </rPr>
          <t xml:space="preserve">TI-1140:$0.35x300m=$105
</t>
        </r>
      </text>
    </comment>
    <comment ref="R1625" authorId="0" shapeId="0" xr:uid="{F594E8CF-C72B-417F-A86F-F7B978E307C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</t>
        </r>
        <r>
          <rPr>
            <sz val="9"/>
            <color indexed="81"/>
            <rFont val="MS P ゴシック"/>
            <family val="3"/>
            <charset val="128"/>
          </rPr>
          <t xml:space="preserve">TI-1140:$0.35x300m=$105
</t>
        </r>
      </text>
    </comment>
    <comment ref="S1625" authorId="0" shapeId="0" xr:uid="{CB1E1505-FFB2-43E8-A643-C8272D4AB1B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</t>
        </r>
        <r>
          <rPr>
            <sz val="9"/>
            <color indexed="81"/>
            <rFont val="MS P ゴシック"/>
            <family val="3"/>
            <charset val="128"/>
          </rPr>
          <t xml:space="preserve">TI-1140:$0.35x300m=$105
</t>
        </r>
      </text>
    </comment>
    <comment ref="T1625" authorId="0" shapeId="0" xr:uid="{E0020FB0-6D25-4531-AEBB-AC1F98C7F24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</t>
        </r>
        <r>
          <rPr>
            <sz val="9"/>
            <color indexed="81"/>
            <rFont val="MS P ゴシック"/>
            <family val="3"/>
            <charset val="128"/>
          </rPr>
          <t xml:space="preserve">TI-1140:$0.35x300m=$105
</t>
        </r>
      </text>
    </comment>
    <comment ref="K1631" authorId="0" shapeId="0" xr:uid="{9974C58E-5589-4403-8F2B-923522BE51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K1632" authorId="0" shapeId="0" xr:uid="{89C5544C-AC24-4220-8586-4F32F1A31B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K1633" authorId="0" shapeId="0" xr:uid="{83F243D7-7AEA-400B-A44E-65708E7A82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K1634" authorId="0" shapeId="0" xr:uid="{E74A91FF-C546-4866-A55B-DF730232AC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K1635" authorId="0" shapeId="0" xr:uid="{91D7E8F6-01D2-480A-98C4-6C65CC42D2D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K1637" authorId="0" shapeId="0" xr:uid="{673DF6C1-FC5A-430E-B7C6-65F509E6ED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K1642" authorId="1" shapeId="0" xr:uid="{E5D0361B-7D46-4273-9F32-B903C342AF8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K1650" authorId="0" shapeId="0" xr:uid="{EFBC7BAF-2A32-4D1C-AD7B-91D0FDF42E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梱包代20円on</t>
        </r>
      </text>
    </comment>
    <comment ref="K1651" authorId="0" shapeId="0" xr:uid="{CF774906-F0A4-48B5-97AF-6957F9FA6D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梱包代20円on</t>
        </r>
      </text>
    </comment>
    <comment ref="K1652" authorId="0" shapeId="0" xr:uid="{6FE3FB03-4999-4696-846B-8A15189606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梱包代20円on</t>
        </r>
      </text>
    </comment>
    <comment ref="K1661" authorId="1" shapeId="0" xr:uid="{3033B2DE-6C50-4517-927C-3E3116B44F8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E1676" authorId="1" shapeId="0" xr:uid="{5CB5FC54-C4C2-4E00-AEB8-B789A636AD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4453</t>
        </r>
      </text>
    </comment>
    <comment ref="K1679" authorId="0" shapeId="0" xr:uid="{E7C786DF-F78F-4014-BFCF-7EAEF06A55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C&amp;F HK Price  USD 0.76/m 
</t>
        </r>
      </text>
    </comment>
    <comment ref="P1679" authorId="1" shapeId="0" xr:uid="{C1CEFCE9-6942-425B-AA8F-4473A5C2699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680" authorId="1" shapeId="0" xr:uid="{1824DA2B-DE5E-45DD-8BCA-8BD46EC610B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Q1680" authorId="1" shapeId="0" xr:uid="{93D6CC8C-6C96-4DE6-8C2C-B44FAC3BFF5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681" authorId="0" shapeId="0" xr:uid="{18DDB10F-069F-41CF-94FB-A52B66CF31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$0.27x300m=$81
</t>
        </r>
      </text>
    </comment>
    <comment ref="Q1681" authorId="0" shapeId="0" xr:uid="{669BA2F5-841F-4E80-8022-A1B49C00EB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$0.27x300m=$81
</t>
        </r>
      </text>
    </comment>
    <comment ref="R1681" authorId="0" shapeId="0" xr:uid="{70548BCF-AD50-4D91-8BDD-CDAC47269D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$0.27x300m=$81
</t>
        </r>
      </text>
    </comment>
    <comment ref="S1681" authorId="0" shapeId="0" xr:uid="{8B6F0860-F004-434B-A020-39BA1FDCCF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$0.27x300m=$81
</t>
        </r>
      </text>
    </comment>
    <comment ref="T1681" authorId="0" shapeId="0" xr:uid="{71780403-10BB-4669-9A65-73541A384A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$0.27x300m=$81
</t>
        </r>
      </text>
    </comment>
    <comment ref="E1683" authorId="1" shapeId="0" xr:uid="{F2C2B636-2C49-4C13-9401-E65518B13D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K1693" authorId="0" shapeId="0" xr:uid="{5589A688-458C-412C-AB52-5C0A56CD91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K1694" authorId="0" shapeId="0" xr:uid="{D69A5ACB-680B-47EA-9655-731CC95DCB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K1698" authorId="0" shapeId="0" xr:uid="{13C95EC5-FC58-4B99-BC5D-B2AA2CB204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699" authorId="0" shapeId="0" xr:uid="{134BD2B9-8891-4A5E-AC23-E827A67890A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722" authorId="0" shapeId="0" xr:uid="{4784DD94-14BC-456B-8697-B21CCA6C44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S1722" authorId="1" shapeId="0" xr:uid="{227889AC-F410-4F0A-B681-DF0B42A5609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梱包賃：10円→品質不良による値下げ：商品代1,640円+ 梱包賃：10円 </t>
        </r>
      </text>
    </comment>
    <comment ref="K1723" authorId="0" shapeId="0" xr:uid="{18F42623-9A1D-4E95-8704-5B9429FF18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S1723" authorId="1" shapeId="0" xr:uid="{983B745A-3A9B-4C54-B4C8-E39DEECBE6B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梱包賃：10円→品質不良による値下げ：商品代1,640円+ 梱包賃：10円 </t>
        </r>
      </text>
    </comment>
    <comment ref="K1724" authorId="0" shapeId="0" xr:uid="{DEFA18A6-1E66-4C49-B470-93F904D75A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S1724" authorId="1" shapeId="0" xr:uid="{820B8620-7BAB-4BBF-8347-CE21457F35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梱包賃：10円→品質不良による値下げ：商品代1,640円+ 梱包賃：10円 </t>
        </r>
      </text>
    </comment>
    <comment ref="K1727" authorId="0" shapeId="0" xr:uid="{D1499B88-A7F8-4CEC-BE95-0CCED6E476A1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→÷0.6÷120
EXW  5.00/m + 0.84/m = CIF HK USD 5.84/m</t>
        </r>
      </text>
    </comment>
    <comment ref="Q1727" authorId="0" shapeId="0" xr:uid="{7C26615F-4EB6-41B8-800F-B9D1CBC62632}">
      <text>
        <r>
          <rPr>
            <b/>
            <sz val="9"/>
            <color indexed="81"/>
            <rFont val="MS P ゴシック"/>
            <family val="3"/>
            <charset val="128"/>
          </rPr>
          <t>chiba
EXW 5.00 x 0.94</t>
        </r>
      </text>
    </comment>
    <comment ref="K1728" authorId="1" shapeId="0" xr:uid="{6749D597-E730-4576-8FEC-7218DC04FC0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1728" authorId="0" shapeId="0" xr:uid="{363C740C-A71C-48D4-9816-90F84A6963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1729" authorId="1" shapeId="0" xr:uid="{97038EAF-BF99-48AD-BF4A-7367F8E3D8D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K1731" authorId="0" shapeId="0" xr:uid="{AFBE4602-CC85-4C68-9974-B8AEA0DD5E8F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1" authorId="0" shapeId="0" xr:uid="{544CF627-CF64-4D80-BBD5-0509BBCEB1A8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1" authorId="1" shapeId="0" xr:uid="{E9BA1BF1-9243-4E55-8FD5-253C5320137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2" authorId="0" shapeId="0" xr:uid="{E6A1A8F2-0514-48FA-89A7-3F9200E9B376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2" authorId="0" shapeId="0" xr:uid="{A3C00B06-3A0F-4B95-89A9-C7DC6DBABECD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2" authorId="1" shapeId="0" xr:uid="{9E32AF67-50EA-47E1-BE34-47E114CB6B9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3" authorId="0" shapeId="0" xr:uid="{EEBA7993-47D4-49CC-803D-CA3F6A79394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3" authorId="0" shapeId="0" xr:uid="{4D2BF661-5D17-423E-94D0-B62276C0A6AD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3" authorId="1" shapeId="0" xr:uid="{19377C8F-4132-4060-9200-C2BB88AA206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4" authorId="0" shapeId="0" xr:uid="{E5BF7215-8877-4D1A-B746-AD5CB03E7257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4" authorId="0" shapeId="0" xr:uid="{41566A3C-E17E-45A8-AA1B-D144B00C231C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4" authorId="1" shapeId="0" xr:uid="{28EEF6C1-499C-4032-ABC9-252A80FAA6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5" authorId="0" shapeId="0" xr:uid="{812E92F1-3E0E-445F-B40B-498755868E0D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5" authorId="0" shapeId="0" xr:uid="{85C355C6-A9AB-432C-A26C-E12592ACC76C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5" authorId="1" shapeId="0" xr:uid="{D11E7438-18CF-43D9-8DF0-5F114A291A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6" authorId="0" shapeId="0" xr:uid="{59EA3425-BFE4-4D3C-818B-0C7303416111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6" authorId="0" shapeId="0" xr:uid="{FE2CB7EF-2820-44EE-B342-FCF08EC54E6E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6" authorId="1" shapeId="0" xr:uid="{0F3297DE-6452-4817-B023-0AB2F10784F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7" authorId="0" shapeId="0" xr:uid="{680D5A29-A999-4B43-8B3F-12A34A633481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7" authorId="0" shapeId="0" xr:uid="{A3B8819E-2098-4C92-95A5-CCCE36BADE45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S1737" authorId="1" shapeId="0" xr:uid="{5A97B1EE-EE2F-49BD-A843-E21CE79AE9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#2440 通常280円 + 梱包代15 = 295
</t>
        </r>
      </text>
    </comment>
    <comment ref="K1738" authorId="0" shapeId="0" xr:uid="{B54C5A70-67C4-48E6-931A-E52FCA4D4119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8" authorId="0" shapeId="0" xr:uid="{724D4127-B7B7-4FDD-B386-714D6DE49543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1739" authorId="0" shapeId="0" xr:uid="{8AD85692-2722-4500-94A6-73398EA4D4B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39" authorId="0" shapeId="0" xr:uid="{582C2F48-8994-42A5-B5D4-F314C3B75BDA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1740" authorId="1" shapeId="0" xr:uid="{C51E05A7-2DED-47B4-BEB6-ED272F1DAF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1740" authorId="0" shapeId="0" xr:uid="{BFBB8137-A396-479E-B499-D2BC8EBB40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1741" authorId="0" shapeId="0" xr:uid="{BC22C0C8-AFB0-4308-B6F4-161D59A7C50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1" authorId="0" shapeId="0" xr:uid="{6D1718CB-22B0-46A1-9E95-335015F511CD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R1741" authorId="0" shapeId="0" xr:uid="{001834F8-7810-4975-ADF7-F5350D34B41E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K1742" authorId="0" shapeId="0" xr:uid="{5E0AAA5F-02FD-454A-AB06-EBBBF5FC12A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2" authorId="0" shapeId="0" xr:uid="{819A9D03-51C7-4B8D-BE33-BB0237941ED1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R1742" authorId="0" shapeId="0" xr:uid="{4D674BEF-64C4-433B-A054-67D8A36C594D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K1743" authorId="0" shapeId="0" xr:uid="{A8EFED9A-A0AC-4263-81F9-806000C7E605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3" authorId="0" shapeId="0" xr:uid="{DFDD152C-13DC-441F-AD62-466E5A558C3D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R1743" authorId="0" shapeId="0" xr:uid="{E2BF8B43-605F-4CA6-BC18-237191897FF9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K1744" authorId="1" shapeId="0" xr:uid="{C65DED20-BD54-46A7-B4BA-024DAECE468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Q1744" authorId="1" shapeId="0" xr:uid="{AE5E9639-C154-4F91-B0DE-366FADE5295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R1744" authorId="1" shapeId="0" xr:uid="{F84C0D74-1987-47AB-9F30-A2E7641044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E1746" authorId="0" shapeId="0" xr:uid="{157395BC-A3EF-4860-8389-8E854F4F1B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4750</t>
        </r>
      </text>
    </comment>
    <comment ref="K1746" authorId="0" shapeId="0" xr:uid="{99447194-DF0E-4E44-9B0B-C07CA69584E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6" authorId="0" shapeId="0" xr:uid="{56E25E1D-DBF1-424C-9DD5-92A69320FB11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1747" authorId="0" shapeId="0" xr:uid="{BF5B3C68-F1E0-44E6-8AF2-DD20376E2AF1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7" authorId="0" shapeId="0" xr:uid="{97C4A0D0-AA70-4242-94D3-50CEF54F5D15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1748" authorId="1" shapeId="0" xr:uid="{030B27A2-ACE3-4113-AE91-2C4D92CD2E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1748" authorId="0" shapeId="0" xr:uid="{AB476AD3-7C91-48D3-9717-C275AFC3E5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1749" authorId="0" shapeId="0" xr:uid="{EF1B15B5-2024-41DA-AE9E-3B50C0FF3ED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1749" authorId="0" shapeId="0" xr:uid="{3B49EF22-2E38-4090-8044-47ECEB8B5BC1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R1749" authorId="0" shapeId="0" xr:uid="{4A60E91D-723C-479E-87A2-40ABB761EC02}">
      <text>
        <r>
          <rPr>
            <b/>
            <sz val="9"/>
            <color indexed="81"/>
            <rFont val="MS P ゴシック"/>
            <family val="3"/>
            <charset val="128"/>
          </rPr>
          <t>chiba
EXW 4.73x 0.94</t>
        </r>
      </text>
    </comment>
    <comment ref="K1750" authorId="1" shapeId="0" xr:uid="{7B94067C-F9B2-4E99-9329-58F458C5D68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Q1750" authorId="1" shapeId="0" xr:uid="{5FD993F6-97E6-4549-9FD1-875135430F6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R1750" authorId="1" shapeId="0" xr:uid="{6BF1CC53-D12C-4C0E-961A-625A07F3209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K1756" authorId="1" shapeId="0" xr:uid="{D5236060-C575-44D5-AB30-B98962534A6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E1760" authorId="0" shapeId="0" xr:uid="{3D26B92D-9208-4F0C-9BC8-285A1754AB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4662</t>
        </r>
      </text>
    </comment>
    <comment ref="E1763" authorId="0" shapeId="0" xr:uid="{CC3554DF-BAF4-4824-80FC-27A9812D02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4643</t>
        </r>
      </text>
    </comment>
    <comment ref="K1763" authorId="0" shapeId="0" xr:uid="{BEC01EDD-B4AA-4E05-8385-D783C11F8C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CIF HK Price  USD 0.62/m 
</t>
        </r>
      </text>
    </comment>
    <comment ref="P1763" authorId="1" shapeId="0" xr:uid="{347B297C-2194-4B34-9E08-707066135D5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764" authorId="0" shapeId="0" xr:uid="{DD0B615E-CDDD-4653-848D-3C4385CE6F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P1764" authorId="1" shapeId="0" xr:uid="{D9FDA2DA-A958-4396-9B81-6397B360F00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0.25 に対して</t>
        </r>
      </text>
    </comment>
    <comment ref="K1766" authorId="0" shapeId="0" xr:uid="{CA87EE2E-6316-463B-8F1E-2E1151DDFD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0.79/m(55%, 120レート）  
CIF HK Price  USD 0.92/m 
</t>
        </r>
      </text>
    </comment>
    <comment ref="P1766" authorId="1" shapeId="0" xr:uid="{879391E2-547C-44CC-957B-F1A55885DE0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0.79 に対して</t>
        </r>
      </text>
    </comment>
    <comment ref="K1767" authorId="1" shapeId="0" xr:uid="{B718CDAB-9425-4BC6-882A-4AA456D31C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768" authorId="0" shapeId="0" xr:uid="{767BC8BF-B49F-4971-AE30-49F99E9B27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5291/8mm:$0.13x1000m=$130
5291/6mm:$0.15x350m=$52.5
3806/38mm:$0.13x210m=$27.3
</t>
        </r>
      </text>
    </comment>
    <comment ref="Q1768" authorId="0" shapeId="0" xr:uid="{773828C8-53BB-4D80-A6E4-21394603F5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5291/8mm:$0.13x1000m=$130
5291/6mm:$0.15x350m=$52.5
3806/38mm:$0.13x210m=$27.3
</t>
        </r>
      </text>
    </comment>
    <comment ref="R1768" authorId="0" shapeId="0" xr:uid="{7A186964-2E5F-44BB-9926-C09A7EAAAD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5291/8mm:$0.13x1000m=$130
5291/6mm:$0.15x350m=$52.5
3806/38mm:$0.13x210m=$27.3
</t>
        </r>
      </text>
    </comment>
    <comment ref="K1770" authorId="0" shapeId="0" xr:uid="{011660BC-291D-47EA-B118-E6730DE1EE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771" authorId="0" shapeId="0" xr:uid="{C8CEADD3-A9C0-47C6-A063-9181E7D665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772" authorId="0" shapeId="0" xr:uid="{789EF1C4-AF18-4551-A867-3728A28006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773" authorId="0" shapeId="0" xr:uid="{B46F22E0-A0D0-496C-8D08-73F549FA86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1796" authorId="0" shapeId="0" xr:uid="{F03FC7EE-3A48-4C25-A4E0-9E20142DD4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60%
120円</t>
        </r>
      </text>
    </comment>
    <comment ref="E1806" authorId="0" shapeId="0" xr:uid="{FFAEE230-D536-4F54-956F-63F775E165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4644</t>
        </r>
      </text>
    </comment>
    <comment ref="E1809" authorId="0" shapeId="0" xr:uid="{F85B3444-6954-4CCD-8F43-037CF04353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4644</t>
        </r>
      </text>
    </comment>
    <comment ref="L1810" authorId="0" shapeId="0" xr:uid="{4C3AE74E-02E0-49B0-A2DE-ECC6EBE49F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大阪負担</t>
        </r>
      </text>
    </comment>
    <comment ref="E1813" authorId="0" shapeId="0" xr:uid="{DDDA81A1-291B-4955-AF6C-48641EDF90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4659</t>
        </r>
      </text>
    </comment>
    <comment ref="L1814" authorId="0" shapeId="0" xr:uid="{F83C648E-8580-44BF-B719-FBAC8FA2B8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大阪負担</t>
        </r>
      </text>
    </comment>
    <comment ref="K1817" authorId="0" shapeId="0" xr:uid="{BDC22DA1-EA8C-4842-A8E8-9CDDD3B573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L1819" authorId="0" shapeId="0" xr:uid="{E19D6E5C-E046-4C9B-B094-9AA719091F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大阪負担</t>
        </r>
      </text>
    </comment>
    <comment ref="K1822" authorId="0" shapeId="0" xr:uid="{5B4397DB-27D4-4E7E-A2D6-72BA6D3155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L1824" authorId="0" shapeId="0" xr:uid="{4DF344FE-684E-4D1E-8424-EE5B7A3522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大阪負担</t>
        </r>
      </text>
    </comment>
    <comment ref="K1827" authorId="1" shapeId="0" xr:uid="{560C4D75-8459-43ED-B202-293D8B3996F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K1840" authorId="0" shapeId="0" xr:uid="{0FA1D17D-A6A3-4123-A6C6-DA065E267D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0" authorId="0" shapeId="0" xr:uid="{B4FD8FE0-FAE3-493D-A1B5-C7B3953A31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1" authorId="0" shapeId="0" xr:uid="{F19D90D8-F667-4121-A724-4CC87C3697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1" authorId="0" shapeId="0" xr:uid="{F01D6ED5-E773-4CBA-9126-E9E4EEE47F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2" authorId="0" shapeId="0" xr:uid="{32949411-CAC2-445E-9409-6DC2D4C51B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2" authorId="0" shapeId="0" xr:uid="{60CD9BC3-62A0-4681-94C9-08E2BD4460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3" authorId="0" shapeId="0" xr:uid="{C53D563E-8DFC-491D-980C-F15A9BF1699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3" authorId="0" shapeId="0" xr:uid="{290F8B7A-243E-4462-B2D8-52112B66FC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4" authorId="0" shapeId="0" xr:uid="{A18897AA-DB91-47CD-9244-FD380C99FB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4" authorId="0" shapeId="0" xr:uid="{698DB0CD-2E0A-498C-83D5-7DBBBE4AE4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5" authorId="0" shapeId="0" xr:uid="{7336F80D-C34A-43C1-849D-B913C6DB98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1845" authorId="0" shapeId="0" xr:uid="{CF633FEE-FF77-4CEB-983B-04543669D5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1849" authorId="0" shapeId="0" xr:uid="{B15D31CA-60E3-4B50-943F-980DE7D3BB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51" authorId="0" shapeId="0" xr:uid="{CAAF9D2F-3B27-4183-B8F6-667173E68E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52" authorId="0" shapeId="0" xr:uid="{128FB49C-58FC-4229-8E57-10D4D17F0A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57" authorId="0" shapeId="0" xr:uid="{1904561B-B0C6-4562-9BE9-193097A69D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58" authorId="0" shapeId="0" xr:uid="{D25E8D41-B082-40CF-A8A3-6A9510FEE2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59" authorId="0" shapeId="0" xr:uid="{476E9061-C282-468C-8DC8-7B9F311AD0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S1868" authorId="0" shapeId="0" xr:uid="{0AB2DFF0-9E47-4295-9B0F-962989BCD2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69" authorId="0" shapeId="0" xr:uid="{E17805A8-EFDE-4483-975A-3ECAC0A10E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2" authorId="0" shapeId="0" xr:uid="{F6937925-D5D1-4484-BB52-102036360A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3" authorId="0" shapeId="0" xr:uid="{70C8EDE8-A8DE-4F7D-B8EF-3AB21C70DB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4" authorId="0" shapeId="0" xr:uid="{028A0E4B-4314-4D91-BEA6-CC9DA51B5F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5" authorId="0" shapeId="0" xr:uid="{A7DE37B8-5DAA-4EA4-9617-81E36CCC2C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6" authorId="0" shapeId="0" xr:uid="{5027FD75-08DF-4A7E-A8E8-CB4DD364A9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7" authorId="0" shapeId="0" xr:uid="{A8990630-FE74-49C2-8E87-5061EBCF9A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8" authorId="0" shapeId="0" xr:uid="{098B3F00-64B3-4FF7-9940-966D0B5D26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79" authorId="0" shapeId="0" xr:uid="{7AF1288F-4E02-4DF5-8A92-0C9E692A58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80" authorId="0" shapeId="0" xr:uid="{EE5A3683-1AA3-4E0C-8B11-C4F9C3EE4C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S1881" authorId="0" shapeId="0" xr:uid="{58C5A41E-65B4-48A3-8992-FFDA3CB734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K1882" authorId="1" shapeId="0" xr:uid="{28460716-0B34-4B8B-8A90-9177332427E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1882" authorId="1" shapeId="0" xr:uid="{2942C4C4-C9BE-4DAC-936A-C4A9DE1C342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1885" authorId="0" shapeId="0" xr:uid="{F60CEF8B-D6C8-4FDA-BDF8-7220805566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87" authorId="0" shapeId="0" xr:uid="{08A3EB1D-45A2-4F74-BF82-90AE454C78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120</t>
        </r>
      </text>
    </comment>
    <comment ref="S1887" authorId="0" shapeId="0" xr:uid="{63856116-5A60-40C2-A767-ED60B6BBD9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通常210円
Coach 不使用社内在庫から</t>
        </r>
      </text>
    </comment>
    <comment ref="K1888" authorId="0" shapeId="0" xr:uid="{CD1C1903-9F81-4ACC-9EB1-4134C34EB3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120</t>
        </r>
      </text>
    </comment>
    <comment ref="S1888" authorId="0" shapeId="0" xr:uid="{3E5C0A4D-C3B0-44C9-AB1F-6DF549D7C6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通常210円 + 染め 70
Coach 不使用社内在庫から</t>
        </r>
      </text>
    </comment>
    <comment ref="K1890" authorId="0" shapeId="0" xr:uid="{546FC913-C635-4D98-9E20-8A169D28D7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S1890" authorId="0" shapeId="0" xr:uid="{ED51EBE2-F19A-41D2-9C1E-20C7736570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社内在庫単価</t>
        </r>
      </text>
    </comment>
    <comment ref="K1891" authorId="0" shapeId="0" xr:uid="{2CAF1674-D97E-4D0C-89BD-99C2C9524E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S1891" authorId="0" shapeId="0" xr:uid="{5E02A635-4D8E-4DDF-8AD0-DD3DAFD31D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社内在庫単価</t>
        </r>
      </text>
    </comment>
    <comment ref="K1895" authorId="0" shapeId="0" xr:uid="{FFAD9346-4584-4CD7-912F-C1DF77D945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899" authorId="0" shapeId="0" xr:uid="{08F33F01-738C-4920-9B68-9553115653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約60% 
120
</t>
        </r>
      </text>
    </comment>
    <comment ref="E1903" authorId="0" shapeId="0" xr:uid="{C3B16134-BEF8-4EEF-8D73-60536539F1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4708</t>
        </r>
      </text>
    </comment>
    <comment ref="K1903" authorId="0" shapeId="0" xr:uid="{CFFBD8FC-AA62-4133-8859-511EA4A34E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0.74/m 
</t>
        </r>
      </text>
    </comment>
    <comment ref="P1903" authorId="1" shapeId="0" xr:uid="{498B4B1A-939D-4168-81AD-95B2B004D6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1904" authorId="1" shapeId="0" xr:uid="{C63321CF-6200-4CE3-8C89-8EB0D47EB44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1907" authorId="0" shapeId="0" xr:uid="{C874817F-4192-4D6E-946B-EA82F0ECE0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V1908" authorId="0" shapeId="0" xr:uid="{5A4D44AF-36CA-4350-AE9A-245DEC1711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レート見直し
2022/6/21～</t>
        </r>
      </text>
    </comment>
    <comment ref="K1909" authorId="0" shapeId="0" xr:uid="{4DC1E7E3-0AFE-4741-ADBD-7BE5864013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17" authorId="0" shapeId="0" xr:uid="{7C30DC12-7161-40EE-A868-414337586F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18" authorId="0" shapeId="0" xr:uid="{85CB6CE7-FC11-4312-9622-BAA89B19A9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19" authorId="0" shapeId="0" xr:uid="{AB899661-D4E1-46E3-A81D-04900E96F8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23" authorId="0" shapeId="0" xr:uid="{4D9BD8C5-FD62-4815-8B36-4092979269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24" authorId="0" shapeId="0" xr:uid="{805CD1B2-2E10-4092-8E84-327C071C14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25" authorId="0" shapeId="0" xr:uid="{7D579EF2-5CDC-4288-8B10-AB341967B8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35" authorId="0" shapeId="0" xr:uid="{2D716E51-11DD-491F-B9EB-40FAD9241B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K1937" authorId="0" shapeId="0" xr:uid="{9FD48D2E-BD35-4B72-A61A-9B65A13C72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K1938" authorId="0" shapeId="0" xr:uid="{66A791DC-B2EC-4767-B58E-BE66293024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39" authorId="0" shapeId="0" xr:uid="{0BC04715-F07C-4866-8B51-F705CD01A9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1943" authorId="1" shapeId="0" xr:uid="{2DD4B406-1090-42A8-980F-7ADBC8EC9B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JAPAN
</t>
        </r>
      </text>
    </comment>
    <comment ref="K1946" authorId="1" shapeId="0" xr:uid="{B4E7473E-ADD0-46B9-B495-FA1169F4478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47" authorId="1" shapeId="0" xr:uid="{F2789F69-B6A2-46C7-8D66-AA7BD5B90F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48" authorId="1" shapeId="0" xr:uid="{B16AE35D-D6C9-4811-898B-A2B407924CF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49" authorId="1" shapeId="0" xr:uid="{66295B10-9457-4E62-A260-3A49761F2A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51" authorId="1" shapeId="0" xr:uid="{180BC701-D20C-4CE0-B70A-B83F0E3A92E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52" authorId="1" shapeId="0" xr:uid="{D337D9B3-D4F3-46CA-9C8C-5C2D85ACB7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55" authorId="1" shapeId="0" xr:uid="{0059F10A-D71D-4E38-AE84-EE37AB75E1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57" authorId="1" shapeId="0" xr:uid="{9216FF73-3292-463E-BC97-83420518F05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1960" authorId="0" shapeId="0" xr:uid="{D40D01AB-0B42-4FCE-B9D3-31E77D27A3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54%（max border範囲内  ÷0.46) 
レート120</t>
        </r>
      </text>
    </comment>
    <comment ref="E1964" authorId="0" shapeId="0" xr:uid="{7699C974-A2BD-4973-A0F8-DF22CEA8C9E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KKF2225
D/# 2</t>
        </r>
      </text>
    </comment>
    <comment ref="K1964" authorId="0" shapeId="0" xr:uid="{A5CFD1C5-4A0E-48B1-819D-21257CC00AFD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66" authorId="0" shapeId="0" xr:uid="{4C5772BC-0F13-4D55-9725-2E55F53C9D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K1966" authorId="0" shapeId="0" xr:uid="{FB246862-1DFD-4CB0-B21C-D90FEF44C26B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67" authorId="0" shapeId="0" xr:uid="{53901B66-136E-47D2-8B14-406B0EA719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K1967" authorId="0" shapeId="0" xr:uid="{4DAF3322-BD58-4B98-A24B-840A7B6D8597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68" authorId="0" shapeId="0" xr:uid="{37FB9852-DA17-4D51-8BBD-6C62198F03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K1968" authorId="0" shapeId="0" xr:uid="{E3E72CA1-4944-4D87-9411-934ACFE38A4C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70" authorId="0" shapeId="0" xr:uid="{9CCADBE1-3297-4A1E-9012-1681835448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
D/# 1
</t>
        </r>
      </text>
    </comment>
    <comment ref="K1970" authorId="0" shapeId="0" xr:uid="{71CB27BC-92BF-4E0F-949C-968A36DD44F7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72" authorId="0" shapeId="0" xr:uid="{6FC61F6B-D964-4362-A16A-D4004A9CCB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3
</t>
        </r>
      </text>
    </comment>
    <comment ref="K1972" authorId="0" shapeId="0" xr:uid="{5E02DEC6-0252-483E-A2A2-CB3EC757AD81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73" authorId="0" shapeId="0" xr:uid="{20F66F53-B5A8-46BE-8574-BD463B494C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K1973" authorId="0" shapeId="0" xr:uid="{8EB67A9F-6D82-4DD0-9EA8-9B883152CC07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1974" authorId="0" shapeId="0" xr:uid="{5650BC2D-4980-4455-B2D6-67B8680168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K1974" authorId="0" shapeId="0" xr:uid="{271A8F4B-2B91-4A8E-99A2-53227DAAF9FF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L1991" authorId="0" shapeId="0" xr:uid="{A1117D0D-62A7-44FE-A99C-072181C7A1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大阪負担</t>
        </r>
      </text>
    </comment>
    <comment ref="K1998" authorId="1" shapeId="0" xr:uid="{5897D88C-5CF5-4A21-83BF-975A5471A8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20% 
115円
</t>
        </r>
      </text>
    </comment>
    <comment ref="S1998" authorId="1" shapeId="0" xr:uid="{0D1885EB-2040-4683-9A12-E2EA034D11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BK / 1反単価 or 在庫カットの場合の単価</t>
        </r>
      </text>
    </comment>
    <comment ref="K2005" authorId="1" shapeId="0" xr:uid="{B1268744-0BF5-4436-B83F-B757A1CE28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05" authorId="1" shapeId="0" xr:uid="{8090E2BC-3892-4CB5-83D9-260AE74C92A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008" authorId="0" shapeId="0" xr:uid="{0885814B-F366-4E0D-B209-8483C90FBB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08" authorId="0" shapeId="0" xr:uid="{778F5419-5453-4264-B745-690F21038A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09" authorId="0" shapeId="0" xr:uid="{22B5A6FC-8C2A-4CF7-80DE-B41D8B9FB9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09" authorId="0" shapeId="0" xr:uid="{BDAB0CBC-B310-4A46-9085-897179105F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10" authorId="0" shapeId="0" xr:uid="{DDA134F2-66F6-43B5-B7F5-C9DC7F8D19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10" authorId="0" shapeId="0" xr:uid="{5493EF80-902A-433B-85E1-F49515ADD5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011" authorId="1" shapeId="0" xr:uid="{D7D6DF81-8A93-401C-AEFE-52513BB158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11" authorId="1" shapeId="0" xr:uid="{E062E39A-9959-47CA-8010-0D8F33FE58C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014" authorId="0" shapeId="0" xr:uid="{3912A6D6-C650-4123-ACC4-FB49EFD460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14" authorId="0" shapeId="0" xr:uid="{C57F12B3-5C84-4C98-A3DB-5727834573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15" authorId="0" shapeId="0" xr:uid="{8E5EAE61-BA1D-4E44-A181-DE7253961D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15" authorId="0" shapeId="0" xr:uid="{06F4DDDD-2BCF-4ECD-AC9D-B60F4E1FDB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16" authorId="0" shapeId="0" xr:uid="{4491C8F1-9A3F-495B-B59A-713D37779B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16" authorId="0" shapeId="0" xr:uid="{D47D9EEF-97D0-473F-81BF-545FCFF35B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017" authorId="1" shapeId="0" xr:uid="{1EDB6319-4264-4172-A10D-ABBFA7FE5C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17" authorId="1" shapeId="0" xr:uid="{4E2C1048-A427-404E-9177-B0C0BD902D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020" authorId="0" shapeId="0" xr:uid="{664665D6-B87B-476A-ADF6-8A5FF98800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0" authorId="0" shapeId="0" xr:uid="{12881645-89DD-4407-B43E-9A8EE2B94D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21" authorId="0" shapeId="0" xr:uid="{358F3F97-16D1-43CF-AD28-9936C28106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1" authorId="0" shapeId="0" xr:uid="{BCF3D2C1-A0EE-4550-8F93-675DD52FDF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22" authorId="0" shapeId="0" xr:uid="{CC922B07-06ED-4094-AA8E-6D508A8C17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2" authorId="0" shapeId="0" xr:uid="{D4C9961F-A6E2-4B96-B2E2-DA98A4709E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023" authorId="1" shapeId="0" xr:uid="{866F516C-EF98-46E7-A3ED-957B8BDCC8E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23" authorId="1" shapeId="0" xr:uid="{49EE8E6F-48A2-450E-8827-DAE36BA5D7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026" authorId="0" shapeId="0" xr:uid="{9E22F73E-23FB-4301-BDC9-73E9737A55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6" authorId="0" shapeId="0" xr:uid="{C605244D-B914-4424-BCE5-5FDE092427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27" authorId="0" shapeId="0" xr:uid="{73A28845-4C6A-4240-A0E3-0BBA0C95F4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7" authorId="0" shapeId="0" xr:uid="{8F6D37D7-6311-4526-8C37-385FA152CE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28" authorId="0" shapeId="0" xr:uid="{02BA2EE9-384B-45AB-9F1F-58B2FC8F4F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8" authorId="0" shapeId="0" xr:uid="{B3EB5F82-802A-4DBC-8DC7-9F071E380B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29" authorId="0" shapeId="0" xr:uid="{5A10B7A4-F913-423E-B558-75309C2B3E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29" authorId="0" shapeId="0" xr:uid="{0B0D170B-CE00-4AD2-AFC0-4C9EAD3C4C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30" authorId="0" shapeId="0" xr:uid="{0BD8FF07-D36A-4214-8C5D-3325049960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30" authorId="0" shapeId="0" xr:uid="{DECF31DA-406A-4755-8FB9-BC4ADE1026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031" authorId="1" shapeId="0" xr:uid="{91B21E8E-FF36-44CA-B87B-E1299FBC6AA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31" authorId="1" shapeId="0" xr:uid="{EAED5022-4699-4E8E-94AE-9CD30A5DB7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034" authorId="0" shapeId="0" xr:uid="{6401BD41-E317-4424-B5A2-44D8E4A4CC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34" authorId="0" shapeId="0" xr:uid="{B32D07FE-A185-4B78-B3DD-4C0B279354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35" authorId="0" shapeId="0" xr:uid="{01B6131F-9D35-4E53-A114-58F5D3CFA6A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35" authorId="0" shapeId="0" xr:uid="{D932289A-83B1-480E-8E78-7B68E04B62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36" authorId="0" shapeId="0" xr:uid="{880EF5CE-385F-4CDE-879C-FBB55D5F21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36" authorId="0" shapeId="0" xr:uid="{03328AE2-8260-42F3-9C5B-2A4F1D7904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037" authorId="0" shapeId="0" xr:uid="{DF520562-314F-49BF-9519-7B6EE8FE60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037" authorId="0" shapeId="0" xr:uid="{2662D9C4-6100-47B6-8A33-7E09A3754B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038" authorId="1" shapeId="0" xr:uid="{60BA493E-C652-4AA9-AEA2-2CCE5CE469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38" authorId="1" shapeId="0" xr:uid="{9F7D03D1-876C-40E8-A7EE-096AFFFAF33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049" authorId="1" shapeId="0" xr:uid="{121F2120-EE5C-46FB-996D-98659FF7A8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49" authorId="1" shapeId="0" xr:uid="{80524816-8D0F-4FF6-8F2D-04420CB56F9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061" authorId="1" shapeId="0" xr:uid="{AE092A2C-17E9-4704-BDA4-FB7D8CD6CA5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61" authorId="1" shapeId="0" xr:uid="{32037EB9-C289-41DD-8C9F-B4B9219928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072" authorId="1" shapeId="0" xr:uid="{66668B48-9E75-44B9-8FCF-C67271BE395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72" authorId="1" shapeId="0" xr:uid="{300DF52D-F1B9-4B12-B40D-7AE0FFED092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083" authorId="1" shapeId="0" xr:uid="{4864D0B6-1176-4A0D-9E43-54CAA9E083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083" authorId="1" shapeId="0" xr:uid="{7CF81C48-92D9-4AA8-92CA-60D8457C84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P2086" authorId="0" shapeId="0" xr:uid="{AA91BF29-E631-483F-8A3C-5DF2A8149A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S2086" authorId="0" shapeId="0" xr:uid="{61C94724-7707-4CF9-AE1B-C4C69E2315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small rollなので、カット代なし</t>
        </r>
      </text>
    </comment>
    <comment ref="K2087" authorId="0" shapeId="0" xr:uid="{56735C7B-CA0B-4C52-872F-4A463DD6EE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2087" authorId="0" shapeId="0" xr:uid="{1AEDC683-B014-4679-B644-515EF4BA00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2088" authorId="0" shapeId="0" xr:uid="{2A859195-6FAE-420A-BA08-14AE604704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2088" authorId="0" shapeId="0" xr:uid="{619EFA95-958B-4B3B-A9BA-5FB669A47D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2089" authorId="0" shapeId="0" xr:uid="{FF8E5211-16E0-470A-81D4-477BF67135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2089" authorId="0" shapeId="0" xr:uid="{8E3CB7C3-F4C3-480C-B956-C7BCC5D5AE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2090" authorId="0" shapeId="0" xr:uid="{C586AD97-3A0D-49DD-AACC-69E6102FFC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2090" authorId="0" shapeId="0" xr:uid="{E7A04BBE-9EF2-4936-9003-1A07E142B3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2094" authorId="0" shapeId="0" xr:uid="{8D579BC7-F75B-4065-BD40-A880F8100D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096" authorId="0" shapeId="0" xr:uid="{6B6AC51C-A5D8-4C9B-A958-871D4DD8FE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01" authorId="0" shapeId="0" xr:uid="{C5675C5F-CF77-4B2F-B3A1-F4390AB5AF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105" authorId="0" shapeId="0" xr:uid="{44607BF0-F8ED-4C92-B55D-7E72C186E2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109" authorId="0" shapeId="0" xr:uid="{5B9084D2-D088-4779-8412-65B743E77C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113" authorId="0" shapeId="0" xr:uid="{E11D816F-3D21-4915-81C2-34F77A5FF3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レート120</t>
        </r>
      </text>
    </comment>
    <comment ref="K2114" authorId="0" shapeId="0" xr:uid="{FBD2B091-74C2-441C-8F41-EDFE04C4CC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2115" authorId="0" shapeId="0" xr:uid="{D7B1DA55-4EC6-4ED6-BAFA-0C6A7254D8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房カット無し
Fringe uncut </t>
        </r>
      </text>
    </comment>
    <comment ref="K2115" authorId="0" shapeId="0" xr:uid="{964D4B4B-554B-48C1-92AE-5D1829B8F6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T2118" authorId="0" shapeId="0" xr:uid="{D325003A-E480-440C-BD89-B7BE36AB2F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OL 900円</t>
        </r>
      </text>
    </comment>
    <comment ref="K2121" authorId="0" shapeId="0" xr:uid="{04C30FAB-2C64-4FA3-8235-79CD1D80B8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K2122" authorId="0" shapeId="0" xr:uid="{E96F7CA7-24C8-453B-BC12-D638AFEE3F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K2123" authorId="0" shapeId="0" xr:uid="{32FADD64-814D-4426-9013-3C5E6373C2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K2125" authorId="0" shapeId="0" xr:uid="{70CC454B-5FAD-47F1-9F83-085E809253ED}">
      <text>
        <r>
          <rPr>
            <b/>
            <sz val="9"/>
            <color indexed="81"/>
            <rFont val="MS P ゴシック"/>
            <family val="3"/>
            <charset val="128"/>
          </rPr>
          <t>chiba:
通常単価 USD 1.15/m
サンプル2倍単価</t>
        </r>
      </text>
    </comment>
    <comment ref="S2125" authorId="0" shapeId="0" xr:uid="{2EDA8FA0-AD63-4979-B414-1709026802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62/m
サンプル1.5倍単価</t>
        </r>
      </text>
    </comment>
    <comment ref="K2127" authorId="0" shapeId="0" xr:uid="{8F971740-2481-4F6B-86C2-20EB8072AD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1.89/m
サンプル2倍単価</t>
        </r>
      </text>
    </comment>
    <comment ref="S2127" authorId="0" shapeId="0" xr:uid="{25B70EAB-2798-4568-986A-D76B05478F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102/m
サンプル1.5倍単価</t>
        </r>
      </text>
    </comment>
    <comment ref="K2149" authorId="0" shapeId="0" xr:uid="{8F89253C-1353-4382-91F1-DD8DFE8309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2" authorId="0" shapeId="0" xr:uid="{ADB41368-CD66-4A9B-945B-F54829279B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3" authorId="0" shapeId="0" xr:uid="{7A90921E-4C5E-4600-9E55-7379203245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4" authorId="0" shapeId="0" xr:uid="{859C8115-3B2D-4306-BED5-8C06E08D85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5" authorId="0" shapeId="0" xr:uid="{30D6D8FA-EA2D-402F-BFBF-CCC4C663D7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6" authorId="0" shapeId="0" xr:uid="{9CF150A3-19ED-4D8D-B593-6ED50A1DAC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7" authorId="0" shapeId="0" xr:uid="{57C25AFA-FAF0-446F-9128-04590AAE12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8" authorId="0" shapeId="0" xr:uid="{6B9FFC9D-7542-482C-A79A-49FE7CED44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59" authorId="0" shapeId="0" xr:uid="{E83DFD46-910C-4A06-88B2-72BF29F13E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60" authorId="0" shapeId="0" xr:uid="{B22DDB70-B745-4DF5-96B6-DC420D1BA7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61" authorId="0" shapeId="0" xr:uid="{425F3C12-C232-4CD9-A4A5-8C5D094409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62" authorId="0" shapeId="0" xr:uid="{19E2A59D-6C58-4904-8F5E-9FF52FBFD7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K2170" authorId="0" shapeId="0" xr:uid="{7BAA03A2-C4DD-40C4-8DA6-11EC299BDE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S2170" authorId="0" shapeId="0" xr:uid="{67F95297-A2A6-4594-B954-6EDF86E70C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社内在庫単価</t>
        </r>
      </text>
    </comment>
    <comment ref="E2174" authorId="1" shapeId="0" xr:uid="{6C021ADB-FFF2-43E7-A83D-AC14C3F47B4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5019</t>
        </r>
      </text>
    </comment>
    <comment ref="K2174" authorId="0" shapeId="0" xr:uid="{4E28D438-BF02-47BF-8AE6-39EF330D58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60%
120円</t>
        </r>
      </text>
    </comment>
    <comment ref="K2175" authorId="0" shapeId="0" xr:uid="{4C153E7A-680E-4064-B545-D836EA3F1E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60%
120円</t>
        </r>
      </text>
    </comment>
    <comment ref="K2179" authorId="0" shapeId="0" xr:uid="{58C37FA4-BD6B-4E70-B18E-630CF57A48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約40% 
120
</t>
        </r>
      </text>
    </comment>
    <comment ref="S2179" authorId="0" shapeId="0" xr:uid="{76056691-176A-4A8D-A7CD-2045467DE2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運賃600円</t>
        </r>
      </text>
    </comment>
    <comment ref="E2182" authorId="0" shapeId="0" xr:uid="{33C59231-CEAD-4CFC-A77F-BC14AA9A57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4935
</t>
        </r>
      </text>
    </comment>
    <comment ref="K2182" authorId="0" shapeId="0" xr:uid="{6F794A9D-DE0B-4F3E-82F1-1FDFB917CA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0.74/m 
</t>
        </r>
      </text>
    </comment>
    <comment ref="P2182" authorId="1" shapeId="0" xr:uid="{70FF8F30-5F43-4145-B7B9-DD1BF4CD72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E2183" authorId="0" shapeId="0" xr:uid="{1098D004-A09C-4F83-8475-5952E4A5C2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4935
</t>
        </r>
      </text>
    </comment>
    <comment ref="K2183" authorId="0" shapeId="0" xr:uid="{31A88D94-D14A-487F-B9E9-D52223A399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P2183" authorId="1" shapeId="0" xr:uid="{505CC98A-8CAD-4B14-A7B6-F50BBA9720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0.25 に対して</t>
        </r>
      </text>
    </comment>
    <comment ref="K2184" authorId="1" shapeId="0" xr:uid="{02169E81-930F-4FB8-BD1F-C4F54F9985D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196" authorId="1" shapeId="0" xr:uid="{F03EEC4E-4939-4F8D-944A-65E61F5D148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196" authorId="1" shapeId="0" xr:uid="{C62E4AFF-0AC3-401C-99CC-0F724F873C3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E2199" authorId="1" shapeId="0" xr:uid="{78C173CD-EB5D-4FE3-9970-D8B08C6960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199" authorId="1" shapeId="0" xr:uid="{C4BB1665-72D2-42EA-B4F7-620DB00B501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E2206" authorId="0" shapeId="0" xr:uid="{A67C1064-4130-40E4-A482-399C3244C5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4961</t>
        </r>
      </text>
    </comment>
    <comment ref="K2212" authorId="0" shapeId="0" xr:uid="{7E21F7EB-FF3C-4254-8D60-958EB73C6F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K2213" authorId="0" shapeId="0" xr:uid="{81E8333C-CC0D-4D69-BCF6-285DC33E6E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E2224" authorId="0" shapeId="0" xr:uid="{C06113F7-9414-460D-B261-37C9AC06D6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5018</t>
        </r>
      </text>
    </comment>
    <comment ref="K2224" authorId="0" shapeId="0" xr:uid="{470FFE69-5D3A-4787-83D4-AFDE8E27ABF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Q2224" authorId="0" shapeId="0" xr:uid="{EDD05F77-50F4-4915-B9D8-6E3D41CBDA46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2225" authorId="0" shapeId="0" xr:uid="{8FADAE74-32D7-4612-B3B3-8A0A5265957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Q2225" authorId="0" shapeId="0" xr:uid="{29EC2CBA-3D44-4C81-93DF-40A20EBC049D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2227" authorId="1" shapeId="0" xr:uid="{F9C425ED-9378-46AA-B840-1D9794ECE5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Q2227" authorId="1" shapeId="0" xr:uid="{4D21323C-3C60-485A-B816-09792310AE5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R2227" authorId="1" shapeId="0" xr:uid="{B021E2AC-1C81-41F3-B786-D61C8247A03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K2229" authorId="0" shapeId="0" xr:uid="{38FCB562-18C3-4989-9BF7-1CED510EA3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E2233" authorId="0" shapeId="0" xr:uid="{A862079F-AFA2-43A6-B9CE-F39BF1E1B0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5017</t>
        </r>
      </text>
    </comment>
    <comment ref="K2233" authorId="0" shapeId="0" xr:uid="{5565B5CD-CBDD-4EE7-9D60-D3A4261C66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P2233" authorId="1" shapeId="0" xr:uid="{2BAAD769-137D-4517-B137-A3282DBEFF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0.25 に対して</t>
        </r>
      </text>
    </comment>
    <comment ref="K2234" authorId="1" shapeId="0" xr:uid="{E5B1DBDE-BEE8-4C88-B71B-987F8DDF546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237" authorId="1" shapeId="0" xr:uid="{AF03CEA4-DFAE-4894-A55B-B3D346B1FEC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5000</t>
        </r>
      </text>
    </comment>
    <comment ref="K2237" authorId="0" shapeId="0" xr:uid="{F959A12B-165A-4DE5-981D-A4C0E0DD2A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C&amp;F HK Price  USD 0.77/m 
</t>
        </r>
      </text>
    </comment>
    <comment ref="P2237" authorId="1" shapeId="0" xr:uid="{4ABDE77E-F965-48CA-98C9-4F1D4B9EBD6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2238" authorId="1" shapeId="0" xr:uid="{5D350138-B16B-46F9-8007-D2993AE4EC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240" authorId="1" shapeId="0" xr:uid="{8D0D700C-ED46-4969-972F-D274C9E48E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5000-2</t>
        </r>
      </text>
    </comment>
    <comment ref="K2240" authorId="1" shapeId="0" xr:uid="{0652C4D2-B653-4B5C-B6E8-F946C42C1F9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1.63約50% 120円
C&amp;F HK USD 2.13</t>
        </r>
      </text>
    </comment>
    <comment ref="P2240" authorId="1" shapeId="0" xr:uid="{3817FA2F-80BC-467C-9AC6-87E11A66F7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1.63 に対して</t>
        </r>
      </text>
    </comment>
    <comment ref="K2249" authorId="1" shapeId="0" xr:uid="{028103D6-DBD6-423D-95F2-924872C1C7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249" authorId="1" shapeId="0" xr:uid="{17EEE6D8-2EED-4B50-985E-CDCFE1CACA7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266" authorId="0" shapeId="0" xr:uid="{96642FC7-E090-4A91-8B7C-D1A4ABB0096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0.85/m 
</t>
        </r>
      </text>
    </comment>
    <comment ref="P2266" authorId="1" shapeId="0" xr:uid="{243E6043-60A0-4016-B1E9-E2E2C00D8AC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2267" authorId="1" shapeId="0" xr:uid="{77F20E66-B7CA-4B44-B8E8-07E5A4B5570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2274" authorId="0" shapeId="0" xr:uid="{67B5113A-83AC-4F8B-BF09-92D27C8DAE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55%（max border  ÷0.45) 
レート120→USD2.21/m
EXW  2.21/m + 0.1/m = CIF HK USD 2.31/m</t>
        </r>
      </text>
    </comment>
    <comment ref="P2274" authorId="1" shapeId="0" xr:uid="{E5D240CF-0AF1-4911-B50E-F3F33D6F37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2.21 に対して</t>
        </r>
      </text>
    </comment>
    <comment ref="K2275" authorId="0" shapeId="0" xr:uid="{81085CC7-BFFD-46DC-85C0-E242D0E4D9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55%（max border  ÷0.45) 
レート120→USD2.21/m
EXW  2.21/m + 0.1/m = CIF HK USD 2.31/m</t>
        </r>
      </text>
    </comment>
    <comment ref="P2275" authorId="1" shapeId="0" xr:uid="{651B4A8C-8923-4E74-904A-9C53ABB4C9D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2.21 に対して</t>
        </r>
      </text>
    </comment>
    <comment ref="K2276" authorId="1" shapeId="0" xr:uid="{1BF1E85C-11A9-45A8-B180-660CD8F9935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Q2276" authorId="1" shapeId="0" xr:uid="{FC6D6B96-4D8C-467C-8DFB-DA8D017D57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R2276" authorId="1" shapeId="0" xr:uid="{F7E78EA1-060E-48B8-A7E6-1E50DB6682C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K2278" authorId="0" shapeId="0" xr:uid="{C7B2C6DA-3091-436A-B330-0D55885691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前前回単価と合わせる
</t>
        </r>
      </text>
    </comment>
    <comment ref="K2283" authorId="1" shapeId="0" xr:uid="{F775E35D-EC7F-4E10-BA9B-AD46431E29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283" authorId="1" shapeId="0" xr:uid="{A32F9C26-5638-4B77-AB7E-75C79F2EA7F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292" authorId="1" shapeId="0" xr:uid="{2A6E6467-85B3-439B-9B0C-021C32F6984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292" authorId="1" shapeId="0" xr:uid="{45711018-BCAF-455F-808F-E4899B5F6B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2293" authorId="1" shapeId="0" xr:uid="{20FB0BE3-DC4C-4E8B-9E94-F494C159172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2296" authorId="1" shapeId="0" xr:uid="{4BED6609-6FBA-436D-9767-AE542B6D46E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K2297" authorId="1" shapeId="0" xr:uid="{FB872DEF-3DD3-40BE-810A-A9D0ADFDA48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298" authorId="1" shapeId="0" xr:uid="{74C6CB21-8F3E-45BE-BBB9-A1AA3FA13F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298" authorId="1" shapeId="0" xr:uid="{9DDE19C3-F3B2-4C8F-B236-B4F324D8652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299" authorId="1" shapeId="0" xr:uid="{54A16CD3-FBF9-4634-B963-9E022E01B6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299" authorId="1" shapeId="0" xr:uid="{FF603D2A-CE97-47A7-BCF5-FF09D44A99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0" authorId="1" shapeId="0" xr:uid="{77EF4C50-D6CD-490D-A64D-205A7B53640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0" authorId="1" shapeId="0" xr:uid="{4902B76E-C2AE-4351-89BD-AB5FA5CAC40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1" authorId="1" shapeId="0" xr:uid="{4A52678E-D1F0-446F-806D-48482B6BD0F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1" authorId="1" shapeId="0" xr:uid="{3143AEBD-A483-4A34-AA5E-B10A4795B1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2" authorId="1" shapeId="0" xr:uid="{AAE57BBD-4DA5-40E5-903C-5A9E0856A9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2" authorId="1" shapeId="0" xr:uid="{1AE731DD-F64D-4E81-A8D1-D22974590D6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3" authorId="1" shapeId="0" xr:uid="{306A8985-4068-4D73-A504-3237B24838D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3" authorId="1" shapeId="0" xr:uid="{28380CA0-5B5E-4DF3-890B-5A9F665977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4" authorId="1" shapeId="0" xr:uid="{95B49674-9A9E-462B-A591-D231D39275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4" authorId="1" shapeId="0" xr:uid="{E903D9D4-C543-4849-B34B-5CFFB247D2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5" authorId="1" shapeId="0" xr:uid="{DF4D8614-5991-436C-A355-75BA2E97A5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5" authorId="1" shapeId="0" xr:uid="{98C02DE4-40EF-4A80-83B6-4267BE3E9ED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6" authorId="1" shapeId="0" xr:uid="{5A457D53-6DC9-473B-B45E-87F8ABAEE1C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6" authorId="1" shapeId="0" xr:uid="{5F89D2D5-3DB7-4B16-8EBD-7CB3248435A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07" authorId="1" shapeId="0" xr:uid="{D2EC82C5-22E5-4459-BF01-DB90610337B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307" authorId="1" shapeId="0" xr:uid="{DDBA203B-60A8-4299-A597-F515A0C541A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310" authorId="0" shapeId="0" xr:uid="{2EFE0FFE-5983-4F39-BEFB-4F593979FF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5229
</t>
        </r>
      </text>
    </comment>
    <comment ref="K2310" authorId="0" shapeId="0" xr:uid="{02D4E61F-4A25-4C19-9228-B2DFC0AF952B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0" authorId="0" shapeId="0" xr:uid="{D17B1D89-656F-4D92-AC61-0283DBDE9265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0" authorId="0" shapeId="0" xr:uid="{2DFF4971-396D-4C77-99A4-97F1DB0C58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◇#2440RE
　20反以上時：@320/m
輸出梱包費用15円含む</t>
        </r>
      </text>
    </comment>
    <comment ref="K2311" authorId="1" shapeId="0" xr:uid="{F8142C4D-4602-4825-9261-D9C6F12B112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311" authorId="0" shapeId="0" xr:uid="{14159A59-E0EE-449B-8BE9-91DEE35FD9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2312" authorId="1" shapeId="0" xr:uid="{543AAA69-3DD2-44FF-8121-51F933114CE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Q2312" authorId="1" shapeId="0" xr:uid="{3B5AC522-A3E0-412F-BB0A-D521A87DD13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R2312" authorId="1" shapeId="0" xr:uid="{3E977EFC-9C27-45C4-941D-6932E699B9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E2314" authorId="0" shapeId="0" xr:uid="{4E2B1DDF-A46F-4A80-91B1-620FECA46E0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5167</t>
        </r>
      </text>
    </comment>
    <comment ref="K2314" authorId="0" shapeId="0" xr:uid="{080AB25E-D1D4-4667-A8D8-52D39D2FC643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4" authorId="0" shapeId="0" xr:uid="{F6576854-489C-438E-94CB-D7BABAADF5A8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4" authorId="0" shapeId="0" xr:uid="{3194CEB8-A49B-4E0C-8C5A-803F8846AA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15" authorId="0" shapeId="0" xr:uid="{6C06077F-8F5D-4B6B-A900-4695E6B6AA5A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5" authorId="0" shapeId="0" xr:uid="{6422EBBB-B14D-48AD-8E52-DCC61C5D8A7B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5" authorId="0" shapeId="0" xr:uid="{CD7BE33E-D496-43A9-BDEB-D185C64787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16" authorId="0" shapeId="0" xr:uid="{278E0DB7-8547-43FF-A1A7-8ED3C0A87E0E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6" authorId="0" shapeId="0" xr:uid="{9557AB13-38AF-4AC9-B8E4-6114A858E65A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6" authorId="0" shapeId="0" xr:uid="{33A198D7-DE62-47B6-8ACC-0AA650370A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17" authorId="0" shapeId="0" xr:uid="{80EF9359-8116-4326-ABA5-69731914CD7E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7" authorId="0" shapeId="0" xr:uid="{7AE7078C-2DBB-46D0-92DF-F73ADE111F6B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7" authorId="0" shapeId="0" xr:uid="{927B1313-30A6-4F2F-8EB1-7E5B9E2C08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18" authorId="0" shapeId="0" xr:uid="{CF6437C8-33FA-41FF-83C4-27A6A764B42E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318" authorId="0" shapeId="0" xr:uid="{089317CF-B171-4804-9504-144F8A885901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318" authorId="0" shapeId="0" xr:uid="{303F35C9-C9FC-42DD-9589-4045439D35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19" authorId="1" shapeId="0" xr:uid="{76CE32F1-884E-4602-8F79-22D5D04E056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319" authorId="0" shapeId="0" xr:uid="{7A4D7BE0-B01B-4BAD-88EB-0AADFC505E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2320" authorId="1" shapeId="0" xr:uid="{0FAFD5B0-6138-4750-9C53-DCE22E42D6D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320" authorId="0" shapeId="0" xr:uid="{1E5D9840-07C4-49C6-88D7-D5F75B20F4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2321" authorId="1" shapeId="0" xr:uid="{89455725-32AA-4032-B1D6-9DD7BCD997B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Q2321" authorId="1" shapeId="0" xr:uid="{163A9220-A5A5-44AB-8AE6-4BE8EB76E07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R2321" authorId="1" shapeId="0" xr:uid="{187F51C3-30DC-4FD4-A735-7B8A96002BE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E2323" authorId="0" shapeId="0" xr:uid="{FF400AF4-BC70-41D1-B20E-5DD471C06F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5167</t>
        </r>
      </text>
    </comment>
    <comment ref="K2323" authorId="0" shapeId="0" xr:uid="{79E66AC1-2335-4F2D-A644-A1351C87EE4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2323" authorId="0" shapeId="0" xr:uid="{AF4FD02E-B18E-4C11-B99F-D8C83710E4A2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2323" authorId="0" shapeId="0" xr:uid="{F90175C0-46DE-4559-A08F-5BA2B579C3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24" authorId="0" shapeId="0" xr:uid="{FBE6467E-4E97-4EDA-ADE3-3B96D10991C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2324" authorId="0" shapeId="0" xr:uid="{A84B4A91-D399-4D6A-BF67-94F03B279A32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2324" authorId="0" shapeId="0" xr:uid="{113F4C24-B5B9-4208-89C1-B0DEB072217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26" authorId="1" shapeId="0" xr:uid="{B29A47FE-6222-4E08-9611-0033350A254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Q2326" authorId="1" shapeId="0" xr:uid="{8B5758C2-3609-44D5-A8A3-9780DDD3BC9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R2326" authorId="1" shapeId="0" xr:uid="{EC02B88E-908A-4CF9-921E-73F84FAF06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</t>
        </r>
      </text>
    </comment>
    <comment ref="E2328" authorId="0" shapeId="0" xr:uid="{47D92640-30CA-48E4-9711-DE58912F4C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5117</t>
        </r>
      </text>
    </comment>
    <comment ref="K2328" authorId="0" shapeId="0" xr:uid="{2939927E-42EA-4945-801A-71B35AE330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0.85/m 
</t>
        </r>
      </text>
    </comment>
    <comment ref="P2328" authorId="1" shapeId="0" xr:uid="{01C9CD9E-19A6-4B66-9302-7AAA97E7A52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2329" authorId="1" shapeId="0" xr:uid="{64D83F50-A88E-4AB8-8E2C-CB248C4192E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S2332" authorId="0" shapeId="0" xr:uid="{2B7162C7-F066-4690-AC71-3BC7A609EE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3" authorId="0" shapeId="0" xr:uid="{5E3FD961-A2B3-43A6-9FAA-84481268B0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4" authorId="0" shapeId="0" xr:uid="{3D026A20-B860-43F5-86BB-00E7C716DC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5" authorId="0" shapeId="0" xr:uid="{CBB9A940-0BA1-4A59-A06A-A662C08962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6" authorId="0" shapeId="0" xr:uid="{79D144E0-F89E-4A9C-B7FC-B02AB6D8DA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7" authorId="0" shapeId="0" xr:uid="{62D642DF-56D1-42D6-BFBB-14EDB87E5A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8" authorId="0" shapeId="0" xr:uid="{019B0E90-95F2-4A7E-B6E8-50395C651F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39" authorId="0" shapeId="0" xr:uid="{186025D0-04BB-42F5-AF96-48D8C8B45A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S2340" authorId="0" shapeId="0" xr:uid="{88891698-B9E4-4AE1-B618-B4E5305CC0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輸出梱包費用15円含む</t>
        </r>
      </text>
    </comment>
    <comment ref="K2341" authorId="1" shapeId="0" xr:uid="{63CBCC85-B7B9-443B-94BC-E421A066901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341" authorId="1" shapeId="0" xr:uid="{2C08FF68-7B33-4CC4-B813-BC699175104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382" authorId="0" shapeId="0" xr:uid="{EEFC4F86-8A61-43F2-9839-19F59C4C00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383" authorId="0" shapeId="0" xr:uid="{6B3CD4AB-6C9C-4CD6-B479-2863342500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384" authorId="0" shapeId="0" xr:uid="{2A223920-54BF-450C-A2A4-5036CE7874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385" authorId="0" shapeId="0" xr:uid="{08CD704E-006A-4338-A7E9-7650305AEB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386" authorId="0" shapeId="0" xr:uid="{CA42E4FD-A120-4AE5-AE4F-E4B25E47E4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389" authorId="0" shapeId="0" xr:uid="{F568DC2D-F696-44BC-8161-6B615DA503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K2390" authorId="0" shapeId="0" xr:uid="{3F38E56B-861B-4F5F-A6EA-2DD4CD002B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K2394" authorId="0" shapeId="0" xr:uid="{80728B2B-3EC0-45AB-AEA6-AE2882E33C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395" authorId="0" shapeId="0" xr:uid="{F7CC928F-B37E-4A47-8B57-34E5F6A378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396" authorId="0" shapeId="0" xr:uid="{5D66CF78-F07D-4025-AEE1-D161DCADA9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397" authorId="0" shapeId="0" xr:uid="{66168310-CCAC-49E5-8AD9-75DC9F5DF1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2401" authorId="0" shapeId="0" xr:uid="{536791DF-AA85-4659-83D4-0760D9A06F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01" authorId="0" shapeId="0" xr:uid="{A83E7F9B-9D6C-488D-A406-D106B407CB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02" authorId="0" shapeId="0" xr:uid="{451A97F7-DB7F-460F-82A5-1AE97041D9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02" authorId="0" shapeId="0" xr:uid="{8DEF97F0-E3BD-4C0F-AA48-E1AA74DC1B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03" authorId="1" shapeId="0" xr:uid="{64D005A0-990B-4D2F-B256-DEAB10A6311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03" authorId="1" shapeId="0" xr:uid="{9BB68D5C-C34D-44B4-9E50-27C8469D013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406" authorId="0" shapeId="0" xr:uid="{C21235BB-B793-4AE6-A6E1-5F3F315111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06" authorId="0" shapeId="0" xr:uid="{1ABD9541-7C20-4542-A493-A9F4A1CF0B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07" authorId="0" shapeId="0" xr:uid="{4BEEC8A3-40C2-414C-815B-5FED8146FB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07" authorId="0" shapeId="0" xr:uid="{9B765EAB-2307-4D55-83B7-904B5F9712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08" authorId="1" shapeId="0" xr:uid="{66E8574D-92F0-4599-A586-E87433BA0F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08" authorId="1" shapeId="0" xr:uid="{5E228D3B-290C-437F-9C9A-3B487AD7698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411" authorId="0" shapeId="0" xr:uid="{408CD3BF-A032-47A0-8921-ED6F7F975B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1" authorId="0" shapeId="0" xr:uid="{05B658EC-C653-4499-8AFA-93492AF1F9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12" authorId="0" shapeId="0" xr:uid="{A302C8F9-5856-4D80-A95E-31465572BB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2" authorId="0" shapeId="0" xr:uid="{D164B8C2-0CF1-4C68-BCF7-02B12DFA5B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13" authorId="0" shapeId="0" xr:uid="{0CDFF126-3766-47A2-8F5B-94E8C5BC1E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3" authorId="0" shapeId="0" xr:uid="{BBFECAD4-2FE1-454C-BE69-AF321ABBAE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14" authorId="0" shapeId="0" xr:uid="{4C31C244-4244-41EB-8B68-1AF05E03AA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4" authorId="0" shapeId="0" xr:uid="{16DDB3A2-C918-4EB5-AFF5-0003739E4C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15" authorId="1" shapeId="0" xr:uid="{AC1DAD89-B6E2-44FB-8CF4-7E4792F932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15" authorId="1" shapeId="0" xr:uid="{6755313C-0A15-495D-982D-2C15F483D3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418" authorId="0" shapeId="0" xr:uid="{03E45708-A728-4E44-BAD2-5439A5B868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8" authorId="0" shapeId="0" xr:uid="{DF689148-E6BB-4634-8EED-7AA5110C5F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19" authorId="0" shapeId="0" xr:uid="{6B9A7A6B-9226-45B6-A590-F6DEAF089E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19" authorId="0" shapeId="0" xr:uid="{22976676-6993-4064-AC83-DF2E4EAA2D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20" authorId="0" shapeId="0" xr:uid="{CFB1FD36-5151-4D28-AA4B-2A4808429C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20" authorId="0" shapeId="0" xr:uid="{3FE44160-81AC-42F7-AE82-10A5129B1E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21" authorId="1" shapeId="0" xr:uid="{0A1C7B36-A375-4F08-BCD9-5F5F28AB62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21" authorId="1" shapeId="0" xr:uid="{8027FA45-C31A-4E6B-BCBC-0BDA2EA8DB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424" authorId="0" shapeId="0" xr:uid="{3B2D0350-176F-4B18-80DB-24349FA9BA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24" authorId="0" shapeId="0" xr:uid="{48549753-7D95-4344-B6A0-CA179F7F37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25" authorId="0" shapeId="0" xr:uid="{54C463D3-BD09-4A77-AFB3-0E3B05DE28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25" authorId="0" shapeId="0" xr:uid="{95AC1CBA-5D0E-4769-88A9-A48B071359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26" authorId="0" shapeId="0" xr:uid="{D7C0F98E-AC6C-46B2-AC01-3AEDE9C7E6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26" authorId="0" shapeId="0" xr:uid="{888583F3-828D-4D7A-BC5C-B931D69BA0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27" authorId="0" shapeId="0" xr:uid="{AAA8806C-2971-4212-AB30-FDE0AEDF60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27" authorId="0" shapeId="0" xr:uid="{42B4F511-8FDE-4C80-914E-66ABA032FA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28" authorId="1" shapeId="0" xr:uid="{BA9AE9B3-A32B-40DB-94DF-8E0B2F80CB7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28" authorId="1" shapeId="0" xr:uid="{3BFF38F8-F6E4-423A-A15B-8006D336ED0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431" authorId="0" shapeId="0" xr:uid="{364998D5-6326-4647-90E7-FFD5D06B0F9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31" authorId="0" shapeId="0" xr:uid="{1A248A7B-38B1-47B0-BA6F-1EB3914CBA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32" authorId="0" shapeId="0" xr:uid="{8C7DA5D6-CEA0-4F95-9A9C-D226E7275F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32" authorId="0" shapeId="0" xr:uid="{DC3303C0-2102-4E8F-A53C-43CCFCA4E9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33" authorId="0" shapeId="0" xr:uid="{F89C5347-7C13-4257-841A-D20967A5A8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33" authorId="0" shapeId="0" xr:uid="{BB8A7056-022F-46BC-86A7-C0767183A0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434" authorId="0" shapeId="0" xr:uid="{C78DE6CA-8956-441F-9A42-872CC2885A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2434" authorId="0" shapeId="0" xr:uid="{D9951888-4C46-4990-AAA6-F98D8DE24C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435" authorId="1" shapeId="0" xr:uid="{0E6233B5-DCDB-416B-9F0D-E2002E419C3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35" authorId="1" shapeId="0" xr:uid="{9628FC78-11BF-410A-9609-2D5FF9956F0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438" authorId="0" shapeId="0" xr:uid="{C8586D74-9E5F-4108-8A80-5271E82C67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120円
</t>
        </r>
      </text>
    </comment>
    <comment ref="E2443" authorId="0" shapeId="0" xr:uid="{C3612DFF-8F14-4491-A71A-3AE65DF2A4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S2443" authorId="0" shapeId="0" xr:uid="{6CEB1F8A-24F8-4718-93D3-2DEC5486FA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870円 + カット代300円
</t>
        </r>
      </text>
    </comment>
    <comment ref="K2448" authorId="0" shapeId="0" xr:uid="{C920A661-319B-4BB7-A388-CE5DD8E338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120円
</t>
        </r>
      </text>
    </comment>
    <comment ref="E2452" authorId="0" shapeId="0" xr:uid="{EF95C9A1-CB85-46C8-8852-62C763584B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K2452" authorId="0" shapeId="0" xr:uid="{5E5BA9CF-66B6-4015-A643-09F4C2DA5C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S2452" authorId="0" shapeId="0" xr:uid="{8904DE19-0B01-45DB-B132-29CFF535A9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
</t>
        </r>
      </text>
    </comment>
    <comment ref="E2453" authorId="0" shapeId="0" xr:uid="{BC9F0DC7-3CCA-4383-A33B-25AF769249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K2453" authorId="0" shapeId="0" xr:uid="{F7D4C2EC-C73E-4EDE-AA29-D7CE81F6A5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S2453" authorId="0" shapeId="0" xr:uid="{B5D11B24-F1CF-4B12-806D-51F9D12241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
</t>
        </r>
      </text>
    </comment>
    <comment ref="E2454" authorId="0" shapeId="0" xr:uid="{8D20FA0F-99BE-491B-8143-AA9E80F0F3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K2454" authorId="0" shapeId="0" xr:uid="{9A36A605-1B89-49D2-90F8-9ED972FAE5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S2454" authorId="0" shapeId="0" xr:uid="{958C1E39-AB4F-48C3-BD40-7D07C96A80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
</t>
        </r>
      </text>
    </comment>
    <comment ref="E2457" authorId="0" shapeId="0" xr:uid="{11BF68C1-7688-4D08-B3DF-8928C2BB36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457" authorId="0" shapeId="0" xr:uid="{1E64150A-4FB9-408D-9EAE-5DA84CDCA5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梱包費用+20円の金額に合わせて顧客単価</t>
        </r>
      </text>
    </comment>
    <comment ref="S2457" authorId="0" shapeId="0" xr:uid="{504A2B10-D434-4D1F-90D6-68F36C4F7DB3}">
      <text>
        <r>
          <rPr>
            <sz val="9"/>
            <color indexed="81"/>
            <rFont val="MS P ゴシック"/>
            <family val="3"/>
            <charset val="128"/>
          </rPr>
          <t xml:space="preserve">梱包費用+20円の金額に合わせて顧客単価
</t>
        </r>
      </text>
    </comment>
    <comment ref="E2458" authorId="0" shapeId="0" xr:uid="{87B67F76-8332-4876-9639-3EA6A804ED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458" authorId="0" shapeId="0" xr:uid="{F0E50B4C-B3AA-44B1-8F3F-35FFC99A77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梱包費用+20円の金額に合わせて顧客単価</t>
        </r>
      </text>
    </comment>
    <comment ref="S2458" authorId="0" shapeId="0" xr:uid="{46EEBB2F-F95E-42B9-A8AE-DC59698EC28B}">
      <text>
        <r>
          <rPr>
            <sz val="9"/>
            <color indexed="81"/>
            <rFont val="MS P ゴシック"/>
            <family val="3"/>
            <charset val="128"/>
          </rPr>
          <t xml:space="preserve">梱包費用+20円の金額に合わせて顧客単価
</t>
        </r>
      </text>
    </comment>
    <comment ref="E2459" authorId="0" shapeId="0" xr:uid="{0B6B1804-D501-4C65-AF56-4A4B979692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459" authorId="0" shapeId="0" xr:uid="{41A4E808-C267-41BC-AF1C-6C7CD833A4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梱包費用+20円の金額に合わせて顧客単価</t>
        </r>
      </text>
    </comment>
    <comment ref="S2459" authorId="0" shapeId="0" xr:uid="{ECE55E53-947A-4ACF-8BB8-082B241932D6}">
      <text>
        <r>
          <rPr>
            <sz val="9"/>
            <color indexed="81"/>
            <rFont val="MS P ゴシック"/>
            <family val="3"/>
            <charset val="128"/>
          </rPr>
          <t xml:space="preserve">梱包費用+20円の金額に合わせて顧客単価
</t>
        </r>
      </text>
    </comment>
    <comment ref="K2462" authorId="0" shapeId="0" xr:uid="{EE16420C-7E52-43BE-B9EC-E189079837A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7.5/m 
サンプル単価 x1.5
</t>
        </r>
      </text>
    </comment>
    <comment ref="K2463" authorId="0" shapeId="0" xr:uid="{30591B73-CC24-4FFE-BFF5-FE5D408245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7.5/m 
サンプル単価 x1.5
</t>
        </r>
      </text>
    </comment>
    <comment ref="K2464" authorId="0" shapeId="0" xr:uid="{0E1DA314-FE64-4F08-96B4-F4681E7853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7.5/m 
サンプル単価 x1.5
</t>
        </r>
      </text>
    </comment>
    <comment ref="E2468" authorId="0" shapeId="0" xr:uid="{8C00960E-62D0-40E9-B814-BA50C0FC61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5237 </t>
        </r>
      </text>
    </comment>
    <comment ref="K2473" authorId="0" shapeId="0" xr:uid="{55A124EE-B2A8-4452-B5F7-F7A7A4522E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M2477" authorId="1" shapeId="0" xr:uid="{EF612AF6-D9C7-410E-BE5E-3AD3186A21C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キバタ原産国</t>
        </r>
      </text>
    </comment>
    <comment ref="K2481" authorId="0" shapeId="0" xr:uid="{BD060C06-AF4B-4967-A1EE-91B8D194842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Vendor にはEXW USD 5.07/m →÷0.65(35%)÷120に基づいた EXW Price で出している
</t>
        </r>
      </text>
    </comment>
    <comment ref="K2482" authorId="0" shapeId="0" xr:uid="{AFAA2753-21A6-4127-9505-80B2DF2A2EF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Vendor にはEXW USD 5.07/m →÷0.65(35%)÷120に基づいた EXW Price で出している
</t>
        </r>
      </text>
    </comment>
    <comment ref="K2483" authorId="0" shapeId="0" xr:uid="{C0CA8CD9-4D76-4A73-95E7-AF23E72F5E3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Vendor にはEXW USD 5.07/m →÷0.65(35%)÷120に基づいた EXW Price で出している
</t>
        </r>
      </text>
    </comment>
    <comment ref="K2485" authorId="0" shapeId="0" xr:uid="{0F597BFA-6293-4969-89A4-F1D486A7037A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490" authorId="0" shapeId="0" xr:uid="{63299D7E-43EF-4754-913D-1C7E04E7BD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7.5/m 
サンプル単価 x1.5
</t>
        </r>
      </text>
    </comment>
    <comment ref="E2494" authorId="0" shapeId="0" xr:uid="{418F7F66-FA1C-4FA0-9AFE-6F699DA603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5268</t>
        </r>
      </text>
    </comment>
    <comment ref="K2495" authorId="1" shapeId="0" xr:uid="{A32817FE-1C55-4502-956C-50A8160FD93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495" authorId="1" shapeId="0" xr:uid="{4E6D750B-BD40-425E-85E1-25CCA80D9F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497" authorId="0" shapeId="0" xr:uid="{CFF39F7C-250F-4DAF-906C-90218581B7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498" authorId="0" shapeId="0" xr:uid="{A13FE7C0-E015-485C-BD14-BB294AAE06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499" authorId="0" shapeId="0" xr:uid="{3233A4F0-0432-4C2B-81B9-C0A7AB2084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500" authorId="0" shapeId="0" xr:uid="{EDE1AA4B-79F1-4EB6-826F-5AAD781E1A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501" authorId="0" shapeId="0" xr:uid="{F9B0F83C-6297-48C5-B678-DF135896EB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502" authorId="0" shapeId="0" xr:uid="{8487706E-DAA0-4938-BE00-A762758B78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新単価で28% 120
</t>
        </r>
      </text>
    </comment>
    <comment ref="K2505" authorId="0" shapeId="0" xr:uid="{CB97F4A6-C36D-4B32-95E1-005ED5522C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509" authorId="0" shapeId="0" xr:uid="{108AC6B0-F667-4ED4-A669-AE061BE8CF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115円
</t>
        </r>
      </text>
    </comment>
    <comment ref="E2513" authorId="0" shapeId="0" xr:uid="{4588A83D-E914-4467-8CEA-89173D07B1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5360</t>
        </r>
      </text>
    </comment>
    <comment ref="K2513" authorId="0" shapeId="0" xr:uid="{274DA0FE-C91A-47F8-A5D9-0394E41B1E31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13" authorId="0" shapeId="0" xr:uid="{7314014F-C341-4785-B037-A8871EA28116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513" authorId="0" shapeId="0" xr:uid="{4B426B05-561E-404B-902B-FCDA7538FA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◆#2440RE
　抜取：＠380/m
　10反：＠370/m
　20反：@ 320/m
輸出梱包費用15円含む</t>
        </r>
      </text>
    </comment>
    <comment ref="E2514" authorId="0" shapeId="0" xr:uid="{C8EF107D-8C7C-481C-A703-FB3B0E933C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5360</t>
        </r>
      </text>
    </comment>
    <comment ref="K2514" authorId="0" shapeId="0" xr:uid="{07C8037D-5EC7-4355-942B-D31883B99CD7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14" authorId="0" shapeId="0" xr:uid="{F25B4027-DF1C-4812-AF3F-7F681B6024BD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514" authorId="0" shapeId="0" xr:uid="{48A2EAB9-50BF-466A-9EFB-0793A04014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◆#2440RE
　抜取：＠380/m
　10反：＠370/m
　20反：@ 320/m
輸出梱包費用15円含む</t>
        </r>
      </text>
    </comment>
    <comment ref="E2515" authorId="0" shapeId="0" xr:uid="{D92D50C7-EE87-4C3A-B182-F80A4E88B2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5360</t>
        </r>
      </text>
    </comment>
    <comment ref="K2515" authorId="0" shapeId="0" xr:uid="{0754765A-2839-450E-8546-9A7CE0A90D24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15" authorId="0" shapeId="0" xr:uid="{53867373-E5A6-4D72-A498-11A57C72D4BF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515" authorId="0" shapeId="0" xr:uid="{0B4D7B6C-FFC1-4668-B683-9EF48EBF9E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◆#2440RE
　抜取：＠380/m
　10反：＠370/m
　20反：@ 320/m
輸出梱包費用15円含む</t>
        </r>
      </text>
    </comment>
    <comment ref="E2516" authorId="0" shapeId="0" xr:uid="{23EF7F35-2EE6-40E6-91AD-D8EC6543A6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5360</t>
        </r>
      </text>
    </comment>
    <comment ref="K2516" authorId="0" shapeId="0" xr:uid="{C298795C-974F-4BF2-BD03-79924288416E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16" authorId="0" shapeId="0" xr:uid="{F503FAB9-9AA2-47E2-B5CE-4DB0F1124E4E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S2516" authorId="0" shapeId="0" xr:uid="{A195DA36-40D9-42D2-A8E5-E893C3AC15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◆#2440RE
　抜取：＠380/m
　10反：＠370/m
　20反：@ 320/m
輸出梱包費用15円含む</t>
        </r>
      </text>
    </comment>
    <comment ref="K2517" authorId="1" shapeId="0" xr:uid="{FA81BE7C-7272-4571-9BCA-FCDE51F3E09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517" authorId="0" shapeId="0" xr:uid="{648B6D29-CC2F-4FFE-AD71-0CF229EEDF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2520" authorId="0" shapeId="0" xr:uid="{8A04EBEF-0348-48F2-8102-A0214C3DE5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2530" authorId="0" shapeId="0" xr:uid="{9BAC6A91-B06A-4746-84C3-FEF1996EF8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J2530" authorId="0" shapeId="0" xr:uid="{C0D9519F-0254-4B69-9FF2-64384A1427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カット残・カット代不要</t>
        </r>
      </text>
    </comment>
    <comment ref="K2535" authorId="0" shapeId="0" xr:uid="{2B82821E-DBFF-4BAF-BFF5-D2E5A68A68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S2535" authorId="0" shapeId="0" xr:uid="{7FF2C547-7C5B-4DEB-93E7-C5CE7AB6F4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事前キバタ検品費用
20円/m 
</t>
        </r>
      </text>
    </comment>
    <comment ref="K2536" authorId="0" shapeId="0" xr:uid="{A3CDDC60-3848-4385-B39F-3089486F35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S2536" authorId="0" shapeId="0" xr:uid="{2428F05E-61E5-4CEB-BB21-6FE4878306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事前キバタ検品費用
20円/m 
</t>
        </r>
      </text>
    </comment>
    <comment ref="K2537" authorId="0" shapeId="0" xr:uid="{2A5FA90D-578E-4B96-B292-5E1ADDE06A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S2537" authorId="0" shapeId="0" xr:uid="{245D8B9D-C9AD-42ED-B9E1-C0BCE9D88E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事前キバタ検品費用
20円/m 
</t>
        </r>
      </text>
    </comment>
    <comment ref="K2538" authorId="0" shapeId="0" xr:uid="{026D87E0-422A-4248-9409-0EC769069C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S2538" authorId="0" shapeId="0" xr:uid="{8E3BC3ED-F5D1-4EC0-9824-6F71B63C36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事前キバタ検品費用
20円/m 
</t>
        </r>
      </text>
    </comment>
    <comment ref="E2541" authorId="0" shapeId="0" xr:uid="{6A5F20F5-92C6-4895-A04A-D0C454FD3E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541" authorId="0" shapeId="0" xr:uid="{EF1A3A59-263E-4900-91DF-3396F2BB39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梱包費用+20円の金額に合わせて顧客単価</t>
        </r>
      </text>
    </comment>
    <comment ref="S2541" authorId="0" shapeId="0" xr:uid="{45762707-7205-47A7-8AB4-1A100D4993B0}">
      <text>
        <r>
          <rPr>
            <sz val="9"/>
            <color indexed="81"/>
            <rFont val="MS P ゴシック"/>
            <family val="3"/>
            <charset val="128"/>
          </rPr>
          <t xml:space="preserve">梱包費用+20円の金額に合わせて顧客単価
</t>
        </r>
      </text>
    </comment>
    <comment ref="E2542" authorId="0" shapeId="0" xr:uid="{65BD2A14-05E3-4BB8-A81B-1BCF57C0CF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542" authorId="0" shapeId="0" xr:uid="{469B22ED-8FB8-4A9A-9588-9286058F29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梱包費用+20円の金額に合わせて顧客単価</t>
        </r>
      </text>
    </comment>
    <comment ref="S2542" authorId="0" shapeId="0" xr:uid="{9581341C-4806-4E8A-A25A-7F71A4FFFE4E}">
      <text>
        <r>
          <rPr>
            <sz val="9"/>
            <color indexed="81"/>
            <rFont val="MS P ゴシック"/>
            <family val="3"/>
            <charset val="128"/>
          </rPr>
          <t xml:space="preserve">梱包費用+20円の金額に合わせて顧客単価
</t>
        </r>
      </text>
    </comment>
    <comment ref="E2543" authorId="0" shapeId="0" xr:uid="{C6BA67F7-5E24-4059-ADC5-E226DF51FC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543" authorId="0" shapeId="0" xr:uid="{E2D4CA23-5524-4351-ADB7-7C8A6EAADB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120円
</t>
        </r>
      </text>
    </comment>
    <comment ref="S2543" authorId="0" shapeId="0" xr:uid="{D9EC1381-2960-4428-8CDC-4F397E02F69C}">
      <text>
        <r>
          <rPr>
            <sz val="9"/>
            <color indexed="81"/>
            <rFont val="MS P ゴシック"/>
            <family val="3"/>
            <charset val="128"/>
          </rPr>
          <t xml:space="preserve">DTM sample roll price
</t>
        </r>
      </text>
    </comment>
    <comment ref="E2544" authorId="0" shapeId="0" xr:uid="{F6BEB5D0-D5FE-4836-8DCD-CBC0A571FB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K2544" authorId="0" shapeId="0" xr:uid="{88DD1A89-7847-4677-B2A1-AF2C664694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120円
</t>
        </r>
      </text>
    </comment>
    <comment ref="S2544" authorId="0" shapeId="0" xr:uid="{98D98042-FBA5-4C38-BF9B-FACED4ECAF7B}">
      <text>
        <r>
          <rPr>
            <sz val="9"/>
            <color indexed="81"/>
            <rFont val="MS P ゴシック"/>
            <family val="3"/>
            <charset val="128"/>
          </rPr>
          <t xml:space="preserve">DTM sample roll price
</t>
        </r>
      </text>
    </comment>
    <comment ref="E2553" authorId="0" shapeId="0" xr:uid="{E9B2856F-0B25-4114-8517-D0DF93237E7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J2553" authorId="0" shapeId="0" xr:uid="{CD889060-0503-4085-A845-CFB45258AD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カット残・カット代不要</t>
        </r>
      </text>
    </comment>
    <comment ref="E2561" authorId="0" shapeId="0" xr:uid="{E7CA3D8F-8F8A-44A3-B393-86F8BBEAFF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5353
</t>
        </r>
      </text>
    </comment>
    <comment ref="K2561" authorId="0" shapeId="0" xr:uid="{4DF46EAE-D0AA-44F2-8260-6773D6F2FD23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→÷0.63(37%)÷120
EXW  5.07/m + 0.77/m = CIF HK USD 5.84/m</t>
        </r>
      </text>
    </comment>
    <comment ref="Q2561" authorId="0" shapeId="0" xr:uid="{8C2D6D5B-AAAD-4F39-B655-2AF0F54EEFF5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K2562" authorId="0" shapeId="0" xr:uid="{D6BA898A-1459-415E-BBAE-D43DD33841DF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62" authorId="0" shapeId="0" xr:uid="{99AFCE5F-DC9E-435B-A0E0-2AA5FC2DD303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K2563" authorId="0" shapeId="0" xr:uid="{07698442-EBEE-4C21-897C-53E2577BCF4F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63" authorId="0" shapeId="0" xr:uid="{57672D10-88A1-4D42-AD52-454598422F65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K2564" authorId="0" shapeId="0" xr:uid="{2FF7EC28-AF22-405E-8A31-D06E092B54FF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64" authorId="0" shapeId="0" xr:uid="{83EE0C6B-001A-4593-A700-905AFCE6A09A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K2565" authorId="0" shapeId="0" xr:uid="{246EE532-5A7B-482D-8126-D8F6154F78CF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Q2565" authorId="0" shapeId="0" xr:uid="{1C7C12C9-3E9B-4F46-BF09-9653A748908B}">
      <text>
        <r>
          <rPr>
            <b/>
            <sz val="9"/>
            <color indexed="81"/>
            <rFont val="MS P ゴシック"/>
            <family val="3"/>
            <charset val="128"/>
          </rPr>
          <t>chiba
EXW 5.07 x 0.94</t>
        </r>
      </text>
    </comment>
    <comment ref="K2566" authorId="1" shapeId="0" xr:uid="{07B7255A-E6E0-4F03-B598-2953E300529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566" authorId="0" shapeId="0" xr:uid="{3C000EE8-5216-4171-8A9D-C6A8E79632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2567" authorId="1" shapeId="0" xr:uid="{4B1F71C0-E081-45D3-8FE5-EC6BAAEC9DF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FedExが53,230円、
UPSが55,397円
→IF charge 含んで57397円で計算
</t>
        </r>
      </text>
    </comment>
    <comment ref="E2569" authorId="0" shapeId="0" xr:uid="{0B174789-57C3-4FA2-93AF-F7184AB89E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5415</t>
        </r>
      </text>
    </comment>
    <comment ref="K2569" authorId="0" shapeId="0" xr:uid="{D6BF7CEF-A2C1-42F2-90FE-54E6550518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0.47/m 
</t>
        </r>
      </text>
    </comment>
    <comment ref="P2569" authorId="1" shapeId="0" xr:uid="{25711CCD-52C3-4A94-8808-148FE28053E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570" authorId="1" shapeId="0" xr:uid="{91526834-D81A-4B09-B04F-C3E197E3274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584" authorId="0" shapeId="0" xr:uid="{3FA55F18-42B4-4E7A-939E-B33444A7E8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5414</t>
        </r>
      </text>
    </comment>
    <comment ref="G2584" authorId="1" shapeId="0" xr:uid="{1CD588E1-6B7A-42EE-BBC6-8FC4F45775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K2584" authorId="0" shapeId="0" xr:uid="{FBF68FEC-5DF0-4EC8-A2D7-4BFED00B2C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0.82/m  
C&amp;F HK Price  USD 1.01/m 
</t>
        </r>
      </text>
    </comment>
    <comment ref="P2584" authorId="1" shapeId="0" xr:uid="{E3B2318B-EE2E-478E-BC17-9DE6B9C260D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0.82 に対して</t>
        </r>
      </text>
    </comment>
    <comment ref="E2598" authorId="0" shapeId="0" xr:uid="{E2FD63AC-C6B7-46ED-92A9-5B853BE44D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5341</t>
        </r>
      </text>
    </comment>
    <comment ref="E2622" authorId="0" shapeId="0" xr:uid="{8F0C80D9-5352-4069-81F9-411DC49BBEE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5491
</t>
        </r>
      </text>
    </comment>
    <comment ref="K2622" authorId="0" shapeId="0" xr:uid="{D2FBDD03-6AE8-430D-BFEB-B032143E51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2622" authorId="1" shapeId="0" xr:uid="{39338B4B-CEF4-4B97-AAFA-D988724F10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623" authorId="1" shapeId="0" xr:uid="{671AB52F-B72C-4B78-BD90-F6F32D7A659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2648" authorId="0" shapeId="0" xr:uid="{B25A99A1-52D3-4E54-AC41-64E3DF60C3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649" authorId="0" shapeId="0" xr:uid="{190E8687-B255-4883-B91C-3FBDD20F22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2684" authorId="0" shapeId="0" xr:uid="{1468A40D-9181-4382-98B6-7FEE53030C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5569</t>
        </r>
      </text>
    </comment>
    <comment ref="E2690" authorId="0" shapeId="0" xr:uid="{3E6600F9-2793-4383-B007-C2986E09A4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5561</t>
        </r>
      </text>
    </comment>
    <comment ref="K2690" authorId="0" shapeId="0" xr:uid="{D8EAB6C8-E0E9-44CA-BAFD-D53BACF5AB5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2690" authorId="0" shapeId="0" xr:uid="{02064C5C-C667-4CDB-AD50-582E6F870DA4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2690" authorId="0" shapeId="0" xr:uid="{FDCB8FB6-0E47-4A17-AF39-80344AD6D7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今回は輸出梱包費用15円なし</t>
        </r>
      </text>
    </comment>
    <comment ref="K2691" authorId="1" shapeId="0" xr:uid="{334102F7-1F5C-4A9F-974E-210ED15DB2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2691" authorId="0" shapeId="0" xr:uid="{10E1C9E8-5534-45D1-8A28-562110BEA7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E2694" authorId="0" shapeId="0" xr:uid="{5AF914BB-A8B0-488C-A545-D30331BD34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5579</t>
        </r>
      </text>
    </comment>
    <comment ref="E2698" authorId="1" shapeId="0" xr:uid="{8C7FBDA1-9493-41BE-8257-F863E860695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PI# 5618</t>
        </r>
      </text>
    </comment>
    <comment ref="K2698" authorId="1" shapeId="0" xr:uid="{D51F2520-1305-486D-A86D-D9480F5453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S2701" authorId="1" shapeId="0" xr:uid="{7A97F1E6-94BA-4A52-AD84-96B734F6984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顧客単価は1,850円+ 梱包賃：10円=1860で計算 </t>
        </r>
      </text>
    </comment>
    <comment ref="S2702" authorId="1" shapeId="0" xr:uid="{6C576142-E969-4DAB-B1CA-8BD43F10C83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顧客単価は1,850円+ 梱包賃：10円=1860で計算 </t>
        </r>
      </text>
    </comment>
    <comment ref="E2725" authorId="0" shapeId="0" xr:uid="{BB477E52-6DAA-4FC7-AB0A-8A0C223FFD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5616</t>
        </r>
      </text>
    </comment>
    <comment ref="K2725" authorId="0" shapeId="0" xr:uid="{CEE020AA-F365-4897-8542-0B7E8FA38C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2725" authorId="1" shapeId="0" xr:uid="{04B927C8-C963-4CB2-8F64-4026206B831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726" authorId="0" shapeId="0" xr:uid="{71350220-B0C6-44A0-9C24-E97BF42F62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2726" authorId="1" shapeId="0" xr:uid="{6B97A294-B1F7-4C8B-8653-2283F1EA257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727" authorId="1" shapeId="0" xr:uid="{E3F0013A-B0B4-4446-8771-E17A6CE80E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745" authorId="0" shapeId="0" xr:uid="{267F604F-E6C5-40A3-9CFA-6BD8E874DC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5662</t>
        </r>
      </text>
    </comment>
    <comment ref="K2745" authorId="0" shapeId="0" xr:uid="{805C72B4-E886-46FF-AB6A-F8D2A44164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Price : USD 0.27/m(55%, 120レート）  
C&amp;F HK Price  USD 0.47/m 
</t>
        </r>
      </text>
    </comment>
    <comment ref="P2745" authorId="1" shapeId="0" xr:uid="{D8EC4926-9F3B-4063-AE60-D77035ED427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746" authorId="1" shapeId="0" xr:uid="{CBD09B00-A519-4FCD-967C-1208218A538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749" authorId="1" shapeId="0" xr:uid="{EE8B43CE-8DB2-4092-BADB-A789BC41149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K2749" authorId="1" shapeId="0" xr:uid="{C138F32A-AA47-4614-A05E-111912DE60C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K2786" authorId="1" shapeId="0" xr:uid="{0B536C2D-D219-4696-9AB8-BA7B0DCCC7B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786" authorId="1" shapeId="0" xr:uid="{038E8DF4-3839-4BAE-B9D3-CA61E04C86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2793" authorId="0" shapeId="0" xr:uid="{D53692FF-9526-4A72-B025-6E55019ADDBF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794" authorId="0" shapeId="0" xr:uid="{C0A020E7-A1A6-43B7-8A5E-7F47E35C609B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795" authorId="0" shapeId="0" xr:uid="{E8D88A9A-EE62-4F6F-B442-9D0F8DF9382E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S2808" authorId="1" shapeId="0" xr:uid="{6E259A36-BA07-4D46-A8C7-7267C32C3B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顧客単価はメタリック単価128円をベースに計算</t>
        </r>
      </text>
    </comment>
    <comment ref="S2809" authorId="1" shapeId="0" xr:uid="{791380CA-1A13-410D-868D-DF3288B365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顧客単価はメタリック単価128円をベースに計算</t>
        </r>
      </text>
    </comment>
    <comment ref="K2813" authorId="0" shapeId="0" xr:uid="{434958AD-5FE8-4799-B271-D17E0DACA0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2814" authorId="0" shapeId="0" xr:uid="{ECA99401-CD71-465D-9F52-A638A0E8152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2823" authorId="0" shapeId="0" xr:uid="{01FFF2C2-2A36-44AC-A2BE-E4D36F1E6C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5805</t>
        </r>
      </text>
    </comment>
    <comment ref="K2823" authorId="0" shapeId="0" xr:uid="{873AA8DC-3BA9-4F19-A251-222CD64DEC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2823" authorId="1" shapeId="0" xr:uid="{32C9D670-38B0-47D4-85E6-7631E20C9B2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824" authorId="0" shapeId="0" xr:uid="{A3EF510E-367A-4D38-BF59-642C7FBA8E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2824" authorId="1" shapeId="0" xr:uid="{D54BC68B-E339-4CDB-B1B7-585E18BAEF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2825" authorId="1" shapeId="0" xr:uid="{C6BE0698-AE8F-463A-B2FC-D9BD7E234B9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2832" authorId="1" shapeId="0" xr:uid="{7F2CA240-AA87-4053-9B28-D5402D28565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</t>
        </r>
      </text>
    </comment>
    <comment ref="K2832" authorId="1" shapeId="0" xr:uid="{0C87A8F1-A8CD-4FEC-B468-00C413FA148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839" authorId="0" shapeId="0" xr:uid="{836F189B-514A-4A80-B2CA-07C4B29EFB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5828</t>
        </r>
      </text>
    </comment>
    <comment ref="K2839" authorId="0" shapeId="0" xr:uid="{B6BFF380-BA5B-4402-8A25-7DA5366142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0.54/m  
C&amp;F HK Price  USD 0.90/m 
</t>
        </r>
      </text>
    </comment>
    <comment ref="P2839" authorId="1" shapeId="0" xr:uid="{1122C75F-5539-48F7-9387-8116858026A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0.54 に対して</t>
        </r>
      </text>
    </comment>
    <comment ref="S2839" authorId="0" shapeId="0" xr:uid="{C32BF69A-ABBC-4987-B75F-8CC572ECA7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キナリ単価
カラー単価28.8 
カラー単価で計算</t>
        </r>
      </text>
    </comment>
    <comment ref="K2840" authorId="1" shapeId="0" xr:uid="{B0A3287B-34C8-4ABC-AAC2-EA88E66D65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2847" authorId="1" shapeId="0" xr:uid="{CE540685-723A-4831-B88A-2F06AF8BEA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847" authorId="1" shapeId="0" xr:uid="{6A331FAA-510F-4ED1-8D4E-9519AD6E1C9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850" authorId="0" shapeId="0" xr:uid="{B636D7E9-6739-4992-90F2-A867BD48CC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5834</t>
        </r>
      </text>
    </comment>
    <comment ref="E2854" authorId="0" shapeId="0" xr:uid="{86EC5B61-5563-4ADC-8F52-3E19FB26B5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2855" authorId="0" shapeId="0" xr:uid="{AAE1A408-E3A2-4551-AF6E-C380D22875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K2855" authorId="0" shapeId="0" xr:uid="{B904B26F-9ADB-455E-AE17-A2E7A35BFA2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P2855" authorId="0" shapeId="0" xr:uid="{C54D75E2-2C7A-4D1F-9C81-3C5E991870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Q2855" authorId="0" shapeId="0" xr:uid="{82EB9F4F-89FB-48CB-980A-1B7A0ABB8F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E2856" authorId="0" shapeId="0" xr:uid="{CEAEA2F9-E5B2-43C1-8BDF-FBCDEDD1B6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K2856" authorId="0" shapeId="0" xr:uid="{9FD49D00-B464-4D79-A87E-53DE79FDB9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P2856" authorId="0" shapeId="0" xr:uid="{EEA198CE-9FED-4715-A1BE-1E0A971992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Q2856" authorId="0" shapeId="0" xr:uid="{F4F9A2CE-0A34-4218-8E9C-60544A15DE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色が合っていないので、先方への請求なし</t>
        </r>
      </text>
    </comment>
    <comment ref="E2857" authorId="0" shapeId="0" xr:uid="{6BA1EE40-E6BC-46E3-AE17-DC8DE44A5A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K2860" authorId="0" shapeId="0" xr:uid="{5A56E38E-CE26-47D2-A2A8-D4EB730024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U2860" authorId="1" shapeId="0" xr:uid="{5DBDD86A-38FE-46A5-A291-B9B909B7A72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2024/2/13～新単価</t>
        </r>
      </text>
    </comment>
    <comment ref="K2864" authorId="0" shapeId="0" xr:uid="{37839519-3092-4286-AEEB-AF7FA54AE3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865" authorId="0" shapeId="0" xr:uid="{4A8908C3-BB9F-4A1E-B60D-7865A091B3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866" authorId="0" shapeId="0" xr:uid="{AADF4BE7-7B72-49AE-89A4-BBA3A13F64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867" authorId="0" shapeId="0" xr:uid="{AE2A5C1A-8082-4B18-AE82-05FEBDDF23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868" authorId="0" shapeId="0" xr:uid="{58C627C5-D34A-4BF0-8581-434899EE9D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2873" authorId="0" shapeId="0" xr:uid="{4E0CB824-9DE5-4414-95AD-EEB07133AE4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K2881" authorId="0" shapeId="0" xr:uid="{6F7D2CDC-F97D-41AD-849B-E8FCDBB9B3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2892" authorId="0" shapeId="0" xr:uid="{779614ED-DBF3-4A87-A839-41E2CB143D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井上リボン intimate book </t>
        </r>
      </text>
    </comment>
    <comment ref="K2896" authorId="0" shapeId="0" xr:uid="{6ABBF4D3-F390-4B10-88AA-F8C7A35E2109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901" authorId="0" shapeId="0" xr:uid="{FB579C8B-D2EB-452D-B7E0-958EC1023BC5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2906" authorId="0" shapeId="0" xr:uid="{424CA01A-0363-4700-AF9F-A3A44357B3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K2920" authorId="0" shapeId="0" xr:uid="{EE8C444F-7BA8-4947-AC91-BA02523106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通常1.63 x　1.5</t>
        </r>
      </text>
    </comment>
    <comment ref="K2922" authorId="0" shapeId="0" xr:uid="{86E11822-02CA-4505-B197-2D9B3A6D9E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通常1.78 x　1.5</t>
        </r>
      </text>
    </comment>
    <comment ref="S2922" authorId="0" shapeId="0" xr:uid="{0383E10F-1FA0-47BA-BA0D-5DFF5DBC4A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通常96
</t>
        </r>
      </text>
    </comment>
    <comment ref="E2926" authorId="0" shapeId="0" xr:uid="{0816812C-2BF2-4FE9-921E-474D64B27B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2927" authorId="0" shapeId="0" xr:uid="{95EB0B85-32BB-46F9-93B3-BBB94B2295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2928" authorId="0" shapeId="0" xr:uid="{692E450B-E9E2-46B0-A8D3-AE133722AE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2953" authorId="0" shapeId="0" xr:uid="{AA468C1C-345E-4219-B88B-31E89F98BF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6000</t>
        </r>
      </text>
    </comment>
    <comment ref="G2953" authorId="1" shapeId="0" xr:uid="{221462AE-2320-45A1-BFB3-5A1A0B025CE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K2953" authorId="0" shapeId="0" xr:uid="{7AB59D75-467C-46C3-91B9-DA07C85726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0.82/m  
C&amp;F HK Price  USD 1.01/m 
</t>
        </r>
      </text>
    </comment>
    <comment ref="P2953" authorId="1" shapeId="0" xr:uid="{B0752411-B3BE-4E64-8DCC-FDE0A8CEE3F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0.82 に対して</t>
        </r>
      </text>
    </comment>
    <comment ref="K2971" authorId="1" shapeId="0" xr:uid="{A8568AE1-5D68-47A8-9CF3-E3D5E5E2A8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2971" authorId="1" shapeId="0" xr:uid="{8392544C-E031-4852-AD59-E0812B32AA8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2974" authorId="0" shapeId="0" xr:uid="{48840306-F84E-46CB-A99C-C67D08B83F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5985 </t>
        </r>
      </text>
    </comment>
    <comment ref="K2981" authorId="0" shapeId="0" xr:uid="{E289BF62-4E68-48B7-A73D-1C868218CBAC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982" authorId="0" shapeId="0" xr:uid="{0AC53496-394C-4565-A35A-D76C5306D77F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2992" authorId="0" shapeId="0" xr:uid="{7FCE623D-3CB5-4488-A39C-3ED3781E74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002" authorId="0" shapeId="0" xr:uid="{DF6DDC09-239D-4735-B552-1CD3A9FD1D44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2" authorId="0" shapeId="0" xr:uid="{8B50E251-3583-4155-ACDB-D2598F52D914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2" authorId="0" shapeId="0" xr:uid="{7996896C-E417-469E-A13C-69667C7F11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03" authorId="0" shapeId="0" xr:uid="{5E7AED00-C772-467E-9BB5-6E56A886D5FE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3" authorId="0" shapeId="0" xr:uid="{5C1888C7-7F5B-4EFA-9EFA-E0BC25319572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3" authorId="0" shapeId="0" xr:uid="{3C1BEE64-04C5-4D2B-BD23-F0EC05E4D2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4" authorId="0" shapeId="0" xr:uid="{F73A329C-8273-4C9A-9CCF-715C30F107DB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4" authorId="0" shapeId="0" xr:uid="{BD96CB70-DD63-44D9-B628-329FA3C4965F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4" authorId="0" shapeId="0" xr:uid="{1B2F22E0-F815-4B31-AFAF-19F5B5F7BF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5" authorId="0" shapeId="0" xr:uid="{A46D056E-0DA2-4550-AF5B-0334A59E9F72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5" authorId="0" shapeId="0" xr:uid="{99D7D774-FAE1-4B4F-BDCC-0D36236ADC7D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5" authorId="0" shapeId="0" xr:uid="{629EB403-C9E3-4CB8-BB6E-4D35AB85D3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6" authorId="0" shapeId="0" xr:uid="{5E1650F0-48FB-4608-B3CE-80CAE9D28079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6" authorId="0" shapeId="0" xr:uid="{50E7E8CC-713A-424E-9060-0E6AB2631EB3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6" authorId="0" shapeId="0" xr:uid="{C62EE716-8F72-45AD-B7C6-47A701F44B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7" authorId="0" shapeId="0" xr:uid="{EF8BF259-9EEA-4056-A333-6AE906F7670D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7" authorId="0" shapeId="0" xr:uid="{B605D7A4-4036-45F8-A3FE-708D3DF37D75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7" authorId="0" shapeId="0" xr:uid="{1B21DFCC-2C3F-4A2D-B911-F65BEBBB21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8" authorId="0" shapeId="0" xr:uid="{03A7B605-0640-4CE2-AC34-7998850A668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08" authorId="0" shapeId="0" xr:uid="{5AEFE628-CF98-496A-BB9E-CF0569F074EC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08" authorId="0" shapeId="0" xr:uid="{9F9EB2C6-219B-4724-8143-ABADB8F5AE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バルク特価
今回輸出梱包費用30円なし</t>
        </r>
      </text>
    </comment>
    <comment ref="K3009" authorId="1" shapeId="0" xr:uid="{7B7427E5-8A53-4C7B-9749-B1E8A0C4E8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009" authorId="0" shapeId="0" xr:uid="{B756AF72-38D3-456E-9E46-9BD49F09EF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J3021" authorId="0" shapeId="0" xr:uid="{CC3C252C-C3F0-4501-AC31-9BA5A8A771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</t>
        </r>
      </text>
    </comment>
    <comment ref="K3036" authorId="0" shapeId="0" xr:uid="{323A41D8-FF42-4CBA-9278-1F311A2D70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037" authorId="0" shapeId="0" xr:uid="{A016BB94-CAF3-4BED-B3D5-C5D43AB203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041" authorId="0" shapeId="0" xr:uid="{22FBD06B-C295-47EE-B931-B6140B820F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CIF China Price  USD 1.21/m (CIF +0.17)</t>
        </r>
      </text>
    </comment>
    <comment ref="P3041" authorId="0" shapeId="0" xr:uid="{480DB8F5-D32E-4423-BB7A-CD0A2F6B62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1.04に対して
</t>
        </r>
      </text>
    </comment>
    <comment ref="K3069" authorId="0" shapeId="0" xr:uid="{EA859A6D-23E2-4370-89E3-C7D17EBBECBA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69" authorId="0" shapeId="0" xr:uid="{EE5B98E3-508C-49C9-8D3D-5C782FF5CCFF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69" authorId="0" shapeId="0" xr:uid="{2CF95202-851E-4B31-ABF9-952FC9A3D6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0" authorId="0" shapeId="0" xr:uid="{698C4086-978E-479C-852C-68A85A7E4DDD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0" authorId="0" shapeId="0" xr:uid="{E8E40E12-D088-4BB8-931F-60537ED70F83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0" authorId="0" shapeId="0" xr:uid="{532B06F9-1DAA-4552-9550-6ED2039494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1" authorId="0" shapeId="0" xr:uid="{32D760A6-2752-42A8-B986-6107A5656BD9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1" authorId="0" shapeId="0" xr:uid="{CEEE1121-1ED2-49D4-8835-C1C77CDDAADA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1" authorId="0" shapeId="0" xr:uid="{17BF7A93-B6D8-45B7-8858-D2544678A6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2" authorId="0" shapeId="0" xr:uid="{C1411B79-3426-4B39-A883-5F7567F60F7B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2" authorId="0" shapeId="0" xr:uid="{0C4FCFA7-99D6-45A8-BFAE-F9BFCC7262B3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2" authorId="0" shapeId="0" xr:uid="{EDC769E9-0750-4CBE-AEB0-4C91759496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3" authorId="0" shapeId="0" xr:uid="{FCC735F2-FE29-45D5-B26F-1C1CEEFA6609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3" authorId="0" shapeId="0" xr:uid="{73A437A2-309A-4690-A330-0FE7A7C019FE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3" authorId="0" shapeId="0" xr:uid="{9C01EB01-DE71-4421-88E7-A9DE9E1E0A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4" authorId="0" shapeId="0" xr:uid="{59266309-D029-4A73-9028-9BEFEE2788F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4" authorId="0" shapeId="0" xr:uid="{BA237E1C-2964-4E50-8B9F-2332B4EB068C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4" authorId="0" shapeId="0" xr:uid="{E32DFFDE-E878-433D-BE1B-3770D37398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5" authorId="0" shapeId="0" xr:uid="{9B3E5073-E24D-4613-ABEE-360BF55EDDDA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5" authorId="0" shapeId="0" xr:uid="{73E99D32-7132-4EE7-9B95-7C67080DA53D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5" authorId="0" shapeId="0" xr:uid="{D1111424-A9E7-4D15-8E46-D4121E1419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6" authorId="0" shapeId="0" xr:uid="{4F558D48-DE7E-4076-8026-34B7A0CB47D1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6" authorId="0" shapeId="0" xr:uid="{38AD844B-8D4A-43C6-AE4F-DEE3E476E7AB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6" authorId="0" shapeId="0" xr:uid="{A0047E4C-EA3C-4FF2-8C98-60FBDFE44E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7" authorId="0" shapeId="0" xr:uid="{695F3A49-B58E-40F5-AB40-04682D15A26B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7" authorId="0" shapeId="0" xr:uid="{D3F1CDC3-5D60-4064-A831-BE99CA576C14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7" authorId="0" shapeId="0" xr:uid="{73A6AE45-9CC5-4EFB-8CC9-176017E3CB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8" authorId="0" shapeId="0" xr:uid="{716402E7-7352-4266-AF2E-BD7CBC40A40B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8" authorId="0" shapeId="0" xr:uid="{9CC33ADA-C4C6-4174-A530-E781626D50FE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8" authorId="0" shapeId="0" xr:uid="{5C91FC3D-2746-4F1C-86E0-E50937F8E6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79" authorId="0" shapeId="0" xr:uid="{3DF766C1-D498-42A0-930A-814A206A5E9F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Q3079" authorId="0" shapeId="0" xr:uid="{E711C77A-A70F-4F2B-BDBE-ED37AF617F26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079" authorId="0" shapeId="0" xr:uid="{3A457C7D-4CE1-44A8-914B-4EBD7D206C9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081" authorId="1" shapeId="0" xr:uid="{DA6479FB-D54E-487D-9D26-57134B20AA1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081" authorId="0" shapeId="0" xr:uid="{0FF0756D-0BF8-4B96-8E8E-FE6D5F93F4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3082" authorId="1" shapeId="0" xr:uid="{3271015C-98A8-425C-BFB0-3CBCEE42932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082" authorId="0" shapeId="0" xr:uid="{8340111D-AF4A-4B9C-A636-1C0B512DCE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3083" authorId="1" shapeId="0" xr:uid="{7AC919A5-0333-4626-BC8F-0A90A8EABAC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083" authorId="0" shapeId="0" xr:uid="{C05C75B1-F2FA-4651-AE38-18C4D91F70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3084" authorId="1" shapeId="0" xr:uid="{7030EDDC-2871-4F32-9397-2A4C59BD119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084" authorId="0" shapeId="0" xr:uid="{15475D6F-0CE8-4E3A-A112-524F5CFBB6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単価に含んでいる</t>
        </r>
      </text>
    </comment>
    <comment ref="K3087" authorId="0" shapeId="0" xr:uid="{6403E92D-F289-4D02-89D0-44C4D470FC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088" authorId="0" shapeId="0" xr:uid="{83C2DEA1-79B8-430B-BBF4-9D9A1B1C25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089" authorId="0" shapeId="0" xr:uid="{50DC5959-64C6-42F9-A283-29E10D3EAD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090" authorId="0" shapeId="0" xr:uid="{9ECF97D5-8773-4CA7-80EC-4531A887B8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095" authorId="0" shapeId="0" xr:uid="{8E565B1B-770B-4E53-B35E-BAF0F34D59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P3095" authorId="0" shapeId="0" xr:uid="{A61FB2E7-EA52-4A9A-99F1-E26FCE3965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1.04に対して
</t>
        </r>
      </text>
    </comment>
    <comment ref="E3098" authorId="0" shapeId="0" xr:uid="{A36B3F19-5DA3-4AA8-9653-F3AB56DF2C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6146</t>
        </r>
      </text>
    </comment>
    <comment ref="K3106" authorId="0" shapeId="0" xr:uid="{815E409E-756B-473C-ABD9-A5207F5BAD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107" authorId="0" shapeId="0" xr:uid="{29CE1E1D-4537-4FB3-8230-504E668FF3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108" authorId="0" shapeId="0" xr:uid="{7884757B-E256-4895-87E6-E6FCBF52B2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109" authorId="0" shapeId="0" xr:uid="{95ED19D9-08C1-4315-95A5-EB5F8AAF0D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3110" authorId="0" shapeId="0" xr:uid="{C9225863-9B3E-45CA-8EC2-BE54316AFF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3118" authorId="0" shapeId="0" xr:uid="{9EA2FDDC-C75A-4C37-8DD0-EAE129D6815C}">
      <text>
        <r>
          <rPr>
            <b/>
            <sz val="9"/>
            <color indexed="81"/>
            <rFont val="MS P ゴシック"/>
            <family val="3"/>
            <charset val="128"/>
          </rPr>
          <t>chiba:
KKF 8720 D#1</t>
        </r>
      </text>
    </comment>
    <comment ref="E3119" authorId="0" shapeId="0" xr:uid="{265A9E23-0DDE-4EEE-866D-45C55C72B83E}">
      <text>
        <r>
          <rPr>
            <b/>
            <sz val="9"/>
            <color indexed="81"/>
            <rFont val="MS P ゴシック"/>
            <family val="3"/>
            <charset val="128"/>
          </rPr>
          <t>chiba:
KKF 8720 D#2</t>
        </r>
      </text>
    </comment>
    <comment ref="S3120" authorId="0" shapeId="0" xr:uid="{5D3F412F-6DE8-4982-9E86-91F7F10272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1000 x 2
</t>
        </r>
      </text>
    </comment>
    <comment ref="K3123" authorId="0" shapeId="0" xr:uid="{934EE54B-56C8-49E2-BC29-566752BDEC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K3125" authorId="0" shapeId="0" xr:uid="{0CB41655-2488-4B8C-9F5E-8DAD5EA49E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K3160" authorId="0" shapeId="0" xr:uid="{CF37B628-97DF-4AB0-BF0C-5DB98D2C3C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</t>
        </r>
      </text>
    </comment>
    <comment ref="K3166" authorId="0" shapeId="0" xr:uid="{989CAB15-DB04-409D-A7AB-CB535E1C9D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K3180" authorId="0" shapeId="0" xr:uid="{BE0AFB13-556B-40C3-9BB9-14C64968E3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181" authorId="0" shapeId="0" xr:uid="{0555AD57-F6F4-4CD5-AB08-B888540274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3189" authorId="0" shapeId="0" xr:uid="{5399F178-D2BF-4BF2-8EDC-E2D8CDD540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# 6276</t>
        </r>
      </text>
    </comment>
    <comment ref="K3189" authorId="0" shapeId="0" xr:uid="{7B56F467-D4B6-4B82-9988-9BDA7FE4B7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189" authorId="1" shapeId="0" xr:uid="{C4164004-CE23-4A05-8254-67C3B07E28E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190" authorId="0" shapeId="0" xr:uid="{E838FDD2-3F5A-45CE-A12F-83193A122C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190" authorId="1" shapeId="0" xr:uid="{A0910FDD-DEFC-4C28-AF66-6F5E21CD335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191" authorId="1" shapeId="0" xr:uid="{FDC02CB9-1B58-4936-8618-8CFFFA5A903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3201" authorId="0" shapeId="0" xr:uid="{8672B12F-BDEB-45D3-AE4D-F48527E75C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P3201" authorId="0" shapeId="0" xr:uid="{38BF5B59-F23F-42C2-B131-0EF5373802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1.04に対して
</t>
        </r>
      </text>
    </comment>
    <comment ref="E3246" authorId="0" shapeId="0" xr:uid="{FD906A5C-4E2B-4E25-ABA1-EC0526AF3D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3247" authorId="0" shapeId="0" xr:uid="{2C4F393C-B70A-4217-AF63-2B189A5986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3250" authorId="0" shapeId="0" xr:uid="{D0527253-2F52-4279-BDD9-5AAD27DC22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6362 </t>
        </r>
      </text>
    </comment>
    <comment ref="E3256" authorId="0" shapeId="0" xr:uid="{739868C7-E709-43B3-B935-5E950FAD1B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6362 </t>
        </r>
      </text>
    </comment>
    <comment ref="K3256" authorId="0" shapeId="0" xr:uid="{EFD89E03-E244-423C-BAFC-5E2B57A15743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3257" authorId="0" shapeId="0" xr:uid="{F515ED4B-2164-46B4-9905-BAC2F3A45606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3258" authorId="0" shapeId="0" xr:uid="{D6BD998E-512C-41A0-AAFF-AC39C7EFD924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K3259" authorId="0" shapeId="0" xr:uid="{D39F61C6-1B79-4120-AA8C-F04E0CC62D60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295" authorId="0" shapeId="0" xr:uid="{11C2041D-F636-4E08-838E-DD03A4F284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PI.6424
</t>
        </r>
      </text>
    </comment>
    <comment ref="E3308" authorId="0" shapeId="0" xr:uid="{AEB15E44-6139-486E-A698-909CEB5075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6446</t>
        </r>
      </text>
    </comment>
    <comment ref="K3316" authorId="0" shapeId="0" xr:uid="{C784C5C7-0D8E-4EF5-99BF-A8209FF70B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P3316" authorId="0" shapeId="0" xr:uid="{F7D2C299-77B0-4CF5-AE75-EB0E0FB15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FOB Price : USD 4.26/mに対して</t>
        </r>
      </text>
    </comment>
    <comment ref="K3317" authorId="0" shapeId="0" xr:uid="{1DA5DD02-C909-408E-9236-56F689A3375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P3317" authorId="0" shapeId="0" xr:uid="{16648ACE-35C5-471F-A593-AC8ABDFF29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FOB Price : USD 4.26/mに対して</t>
        </r>
      </text>
    </comment>
    <comment ref="E3346" authorId="0" shapeId="0" xr:uid="{276FF780-D16A-4955-BF1F-C00193D67D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46" authorId="0" shapeId="0" xr:uid="{E917A553-6906-42B3-A9E2-D08292E0DA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47" authorId="0" shapeId="0" xr:uid="{99C36DE6-E46C-4EB8-ACE1-9D6F17D3BC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47" authorId="0" shapeId="0" xr:uid="{7A1F96BF-83EA-409C-BF03-A7345B4B5F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48" authorId="0" shapeId="0" xr:uid="{301CD58C-08D4-4F0F-973B-A2F81E1CF9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48" authorId="0" shapeId="0" xr:uid="{023973CD-53BF-44CD-AC2B-4CE8C6A3E5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49" authorId="0" shapeId="0" xr:uid="{1C7EDC6D-5CA6-4E0A-B5CC-5AC74A4000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49" authorId="0" shapeId="0" xr:uid="{66889C4E-9C0F-45EF-B76D-22EA152B44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50" authorId="0" shapeId="0" xr:uid="{6E8D06C9-5471-4C5A-A702-B44525577B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50" authorId="0" shapeId="0" xr:uid="{FF132014-4262-453E-8FDD-611EFDC6AD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51" authorId="0" shapeId="0" xr:uid="{BD4752EC-D2CB-4FF7-9979-CD8B2C9651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51" authorId="0" shapeId="0" xr:uid="{0F7BD8A6-B3F2-4DB2-BB39-48B68121A7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52" authorId="0" shapeId="0" xr:uid="{82939F52-116D-4C7F-8192-FE7999C3AE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52" authorId="0" shapeId="0" xr:uid="{53C261B0-D853-4121-8CE4-9992E3D20A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E3353" authorId="0" shapeId="0" xr:uid="{10D9C1E9-8E30-4772-8F9E-0B930388B4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S3353" authorId="0" shapeId="0" xr:uid="{32076B40-AC68-411B-8A84-83309398C7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 + 輸出梱包代+30円/m
</t>
        </r>
      </text>
    </comment>
    <comment ref="K3356" authorId="1" shapeId="0" xr:uid="{263454E8-C523-41F7-885A-5E0241ECC1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356" authorId="1" shapeId="0" xr:uid="{CAF5A395-D0AC-44C5-A80B-757102CD1E3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3357" authorId="1" shapeId="0" xr:uid="{5C4E1606-A4F4-4B24-B9CE-9BD376B14CB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357" authorId="1" shapeId="0" xr:uid="{1E7792B6-D0AD-4F1D-8CDE-CC324DB668F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3360" authorId="0" shapeId="0" xr:uid="{78D11B67-210B-4C41-916E-64D605A3B3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3361" authorId="0" shapeId="0" xr:uid="{0BA1BCC3-B302-4CCD-A7C8-D9B6FFF44E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K3369" authorId="1" shapeId="0" xr:uid="{2BE1722C-1D94-4875-928A-7D287B2BDB1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369" authorId="1" shapeId="0" xr:uid="{47F4CA98-DE64-4519-99FB-394343509DA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3372" authorId="0" shapeId="0" xr:uid="{8AA09E07-6651-44A7-BC7D-A3F0A586DD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G3372" authorId="0" shapeId="0" xr:uid="{53F48ADD-237A-45E4-8D1A-0A9E5B7DF9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E3374" authorId="0" shapeId="0" xr:uid="{A83C78F3-68C7-43E5-BF94-163B29EC628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G3374" authorId="0" shapeId="0" xr:uid="{0E315A23-BC5F-4C4B-B902-F7DEAF801C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E3375" authorId="0" shapeId="0" xr:uid="{88C3FC78-3DB1-48BC-B5A7-95EC2C4A2C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G3375" authorId="0" shapeId="0" xr:uid="{98BA5431-CAC1-4BEF-87A0-3F624FAF2B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E3376" authorId="0" shapeId="0" xr:uid="{DA75F94C-7D47-44C0-B1F3-21D1170D46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G3376" authorId="0" shapeId="0" xr:uid="{96E75695-8E3E-49F1-98A1-470CC69E3C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Black=黒</t>
        </r>
      </text>
    </comment>
    <comment ref="E3378" authorId="0" shapeId="0" xr:uid="{259C8A88-F49A-422E-A3C4-FB838F0A76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G3378" authorId="0" shapeId="0" xr:uid="{5CBF825F-A3CD-4A84-AF7E-14DEC30D2F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E3379" authorId="0" shapeId="0" xr:uid="{F0EB22F1-F00C-4B96-ACCC-B400A00078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無償サンプルで経理には提出済</t>
        </r>
      </text>
    </comment>
    <comment ref="G3379" authorId="0" shapeId="0" xr:uid="{31E91C65-4645-4799-A916-EAA8ABF984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K3382" authorId="0" shapeId="0" xr:uid="{8E9F97C8-CF5D-4B46-A939-681AF1EF6E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P3382" authorId="0" shapeId="0" xr:uid="{689574CE-18C2-4C8A-8C5D-89D84371F0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1.04に対して
</t>
        </r>
      </text>
    </comment>
    <comment ref="K3390" authorId="1" shapeId="0" xr:uid="{A3BE4569-BAE6-4DD7-9459-D5334A60A1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390" authorId="1" shapeId="0" xr:uid="{CD1BA74D-1289-409D-A4E5-D3FD5987A8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3397" authorId="1" shapeId="0" xr:uid="{A0FB7760-E824-4443-ADC3-BB737894300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397" authorId="1" shapeId="0" xr:uid="{32526772-1ADF-4F14-A24F-6666CC6E2BF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G3400" authorId="1" shapeId="0" xr:uid="{A34D7B0F-9309-45DD-9687-76A1FB0508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E3404" authorId="0" shapeId="0" xr:uid="{E45562E1-62CC-4BD1-9544-FE1DE11A33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6402</t>
        </r>
      </text>
    </comment>
    <comment ref="E3437" authorId="0" shapeId="0" xr:uid="{30DDA119-D91F-4773-B6C0-517936B93A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社内在庫より</t>
        </r>
      </text>
    </comment>
    <comment ref="K3458" authorId="1" shapeId="0" xr:uid="{CAE79D0F-24DE-4650-8A69-71C41399557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3458" authorId="1" shapeId="0" xr:uid="{D5E17DE2-9FB5-4B9D-B4CE-ADACC3A9751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3493" authorId="0" shapeId="0" xr:uid="{C2C284D0-5DC0-4CF0-81F1-04AE81193A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497" authorId="0" shapeId="0" xr:uid="{5EACFC98-DF9C-4B85-BE74-3BCB1AC828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498" authorId="0" shapeId="0" xr:uid="{8B5ABE1D-5ABC-444B-A1AC-3F7A903F7B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3505" authorId="0" shapeId="0" xr:uid="{C77619DA-068F-4E51-AEC8-4997139ABA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6546</t>
        </r>
      </text>
    </comment>
    <comment ref="K3505" authorId="0" shapeId="0" xr:uid="{7843EC3A-F800-444F-838B-68446D7C4C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505" authorId="1" shapeId="0" xr:uid="{2600A610-C83B-498E-9D23-8FB0D488DE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506" authorId="0" shapeId="0" xr:uid="{2FC57E02-D6B1-4017-8951-EAE17700A1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506" authorId="1" shapeId="0" xr:uid="{D50F2B2E-9117-4F1F-9FA2-7719C6ACEC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507" authorId="0" shapeId="0" xr:uid="{1B1A6B71-ACE8-45E6-B0CE-263FFB6289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P3507" authorId="1" shapeId="0" xr:uid="{358059DB-4F4A-4AC6-BD21-5314902719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0.15 に対して</t>
        </r>
      </text>
    </comment>
    <comment ref="K3508" authorId="0" shapeId="0" xr:uid="{025AAAB7-4A23-4F7E-A5E5-68E2D895C5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P3508" authorId="1" shapeId="0" xr:uid="{8FDD2FF6-F8F4-44AF-9943-816536641E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0.15 に対して</t>
        </r>
      </text>
    </comment>
    <comment ref="K3509" authorId="1" shapeId="0" xr:uid="{0170D125-2CF6-49D9-B035-225C1ACA72F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3512" authorId="0" shapeId="0" xr:uid="{66174E1A-14EB-42C4-B965-A6B448C875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G3512" authorId="0" shapeId="0" xr:uid="{F3F7C30F-89CF-4215-9A89-DCE86F719D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E3513" authorId="0" shapeId="0" xr:uid="{7B4B0800-953F-4BE7-B4F0-BCD03DDB2C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G3513" authorId="0" shapeId="0" xr:uid="{31167357-48B4-4983-9263-C4064F706C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S3513" authorId="0" shapeId="0" xr:uid="{BF251A5F-DAAC-4F18-AD47-284A06665CBD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E3514" authorId="0" shapeId="0" xr:uid="{76529972-B5B2-4C2A-A2D0-CDE7176472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G3514" authorId="0" shapeId="0" xr:uid="{5CDD8068-8C4D-49F9-8800-B6372718E6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Black=黒</t>
        </r>
      </text>
    </comment>
    <comment ref="E3515" authorId="0" shapeId="0" xr:uid="{B67D654D-F7B3-41CF-92B2-EDAE905174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G3515" authorId="0" shapeId="0" xr:uid="{82A993AB-4F8C-4B53-B5A8-1D46DC5337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S3515" authorId="0" shapeId="0" xr:uid="{3B58A589-C89A-4B98-BFCC-642951C1C903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E3518" authorId="0" shapeId="0" xr:uid="{270FFFED-4B69-4040-9A5C-1E737ADD72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経理には無償サンプルで提出・最終使用方法確定次第、経理に報告</t>
        </r>
      </text>
    </comment>
    <comment ref="S3524" authorId="0" shapeId="0" xr:uid="{A5F48EE4-3B87-4FFC-8281-3AE2B80DDC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=105+90に合わせて計算</t>
        </r>
      </text>
    </comment>
    <comment ref="K3558" authorId="0" shapeId="0" xr:uid="{EAD4A3CE-2A21-4DE3-A612-B69F10230C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0.39/m
C&amp;F : +0.34/m
USD 0.73/m</t>
        </r>
      </text>
    </comment>
    <comment ref="P3558" authorId="0" shapeId="0" xr:uid="{44FDA5FC-A18A-4F20-8F16-567F34749F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$ 0.39に対して</t>
        </r>
      </text>
    </comment>
    <comment ref="E3562" authorId="0" shapeId="0" xr:uid="{0ED94AD5-D012-41C7-8C44-A369DE32A4A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6578</t>
        </r>
      </text>
    </comment>
    <comment ref="S3567" authorId="0" shapeId="0" xr:uid="{E5AC3BE9-A0A1-495F-8C54-C28C4452EC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着分在庫全て引き取りなので、カット代不要</t>
        </r>
      </text>
    </comment>
    <comment ref="K3570" authorId="0" shapeId="0" xr:uid="{380E0A24-5DF8-43F0-9810-AAE8294477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71" authorId="0" shapeId="0" xr:uid="{4B8CE941-51A2-4CA0-A15D-A41A111AEE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72" authorId="0" shapeId="0" xr:uid="{DA64CF8E-3860-48BE-AB8A-81A1600F43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73" authorId="0" shapeId="0" xr:uid="{27AD09D1-ECE0-4892-B2B1-0B5356FB62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74" authorId="0" shapeId="0" xr:uid="{EF54D8D9-02C6-44EB-98FA-CDD5D4A174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E3578" authorId="0" shapeId="0" xr:uid="{DF658083-4B9C-4C0F-B68F-FCAE43D06E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6741</t>
        </r>
      </text>
    </comment>
    <comment ref="K3578" authorId="0" shapeId="0" xr:uid="{D93CF4BD-A200-4A5E-A24B-1888E7E2A9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クーリエ運賃：EXW $ 2.39→約 3,000円 + 3000円 = 6000円÷120÷200m = + USD 0.25/m →CIF HK</t>
        </r>
      </text>
    </comment>
    <comment ref="P3578" authorId="0" shapeId="0" xr:uid="{B63F9804-FB7E-400B-ADB3-B4B696FCDB2E}">
      <text>
        <r>
          <rPr>
            <b/>
            <sz val="9"/>
            <color indexed="81"/>
            <rFont val="MS P ゴシック"/>
            <family val="3"/>
            <charset val="128"/>
          </rPr>
          <t>chiba:
EXW $ 2.39に対して</t>
        </r>
      </text>
    </comment>
    <comment ref="S3581" authorId="0" shapeId="0" xr:uid="{026195AF-2925-4C18-A0A7-6F3AC400F2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UPS保険料含む</t>
        </r>
      </text>
    </comment>
    <comment ref="T3581" authorId="0" shapeId="0" xr:uid="{5965D2B1-9ADB-46A2-8391-C5EC1CF236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UPS保険料含む</t>
        </r>
      </text>
    </comment>
    <comment ref="K3583" authorId="0" shapeId="0" xr:uid="{1A3734C1-6BE2-4439-9EC2-0E9D66A470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P3583" authorId="1" shapeId="0" xr:uid="{D51F4CE5-A373-457B-ABA1-7AF7EAF296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0.15 に対して</t>
        </r>
      </text>
    </comment>
    <comment ref="K3584" authorId="0" shapeId="0" xr:uid="{8C39AFAD-574A-40A4-B3E0-047DDA3B52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P3584" authorId="1" shapeId="0" xr:uid="{9128AD6E-97B3-47C9-92EF-4AF0458008D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0.15 に対して</t>
        </r>
      </text>
    </comment>
    <comment ref="K3585" authorId="1" shapeId="0" xr:uid="{FF112838-E8AE-4155-B26A-0E53D18CB6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3592" authorId="0" shapeId="0" xr:uid="{DA8363A4-5011-4FE8-B75E-2474EB2E11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93" authorId="0" shapeId="0" xr:uid="{A7F462C4-6B44-433B-B2FC-EFB5D6F40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94" authorId="0" shapeId="0" xr:uid="{FEC54E03-14E0-44E1-BB54-C543434995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95" authorId="0" shapeId="0" xr:uid="{9D922F44-5AF2-4999-94DE-1C7476CD99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596" authorId="0" shapeId="0" xr:uid="{43A86880-FDC8-488D-9E12-EDAA75C452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E3600" authorId="0" shapeId="0" xr:uid="{013C55B1-309A-4527-84EA-F17B944FBE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601" authorId="0" shapeId="0" xr:uid="{E47AA37B-A6EE-487C-A0B8-9933C3CD23A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602" authorId="0" shapeId="0" xr:uid="{DE3625B2-82F4-49D9-9789-0D1B401274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603" authorId="0" shapeId="0" xr:uid="{9157C089-3B6F-4D71-ABB8-8A4077CAFB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605" authorId="0" shapeId="0" xr:uid="{048B75EA-E07E-4394-8BDB-91B57ABD06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606" authorId="0" shapeId="0" xr:uid="{EF8F5FEA-3E06-4A53-9D82-DE4B645B1C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607" authorId="0" shapeId="0" xr:uid="{3126D782-C144-4A1F-BE75-72B1E8EC00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609" authorId="0" shapeId="0" xr:uid="{7098F8DB-704F-4DF0-B306-EF59B957A4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610" authorId="0" shapeId="0" xr:uid="{D2CD6A63-5774-4912-B081-98A3F888C0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611" authorId="0" shapeId="0" xr:uid="{8970FF8A-662F-4FC7-81C9-EDB88FD70F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613" authorId="0" shapeId="0" xr:uid="{EFC6ECEA-240E-4A44-B915-423EAFCFDD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614" authorId="0" shapeId="0" xr:uid="{ACF2456A-A91C-4C7F-B27E-46B8A14552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615" authorId="0" shapeId="0" xr:uid="{0B7B74B3-934B-428B-A9D6-E8F3C7A2E4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620" authorId="2" shapeId="0" xr:uid="{214A9CC0-6A67-4469-9C9B-37C36C6B8F1C}">
      <text>
        <r>
          <rPr>
            <b/>
            <sz val="9"/>
            <color indexed="81"/>
            <rFont val="MS P ゴシック"/>
            <family val="3"/>
            <charset val="128"/>
          </rPr>
          <t>a.hamada:
PI# 6728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3623" authorId="0" shapeId="0" xr:uid="{965369B7-B44C-47D0-A0FA-FBEC9C8F88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624" authorId="0" shapeId="0" xr:uid="{95972192-F5EF-45E6-A2E1-9EDB142C00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K3628" authorId="0" shapeId="0" xr:uid="{0EFB5104-5DF5-4CEC-AA4D-FC0A7DFABFCD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C&amp;F HK USD 5.53/m</t>
        </r>
      </text>
    </comment>
    <comment ref="Q3628" authorId="0" shapeId="0" xr:uid="{55F29D23-C3DA-4FDF-AF46-2375ABACEBC1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628" authorId="0" shapeId="0" xr:uid="{B229172F-18C8-498B-A5AA-C745C38CCC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629" authorId="0" shapeId="0" xr:uid="{15FA6C78-7D35-4BA5-AFF3-9DA2A34A753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C&amp;F HK USD 5.53/m</t>
        </r>
      </text>
    </comment>
    <comment ref="Q3629" authorId="0" shapeId="0" xr:uid="{AAC1667E-1BC4-499F-98E0-9EBDCB3CF24D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S3629" authorId="0" shapeId="0" xr:uid="{ADE4F86E-0ECE-4EDC-9242-31D6FA3C4B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S3631" authorId="0" shapeId="0" xr:uid="{A0DC273D-FD41-44C9-96FA-C259B70F5C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サンコロナ国内運賃2500円</t>
        </r>
      </text>
    </comment>
    <comment ref="E3633" authorId="0" shapeId="0" xr:uid="{2BF9FC5B-A3BD-4EF7-AFBE-F1D8754781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6727</t>
        </r>
      </text>
    </comment>
    <comment ref="K3633" authorId="0" shapeId="0" xr:uid="{353F24C6-EBDD-4A82-BE82-5F01F6E4E238}">
      <text>
        <r>
          <rPr>
            <b/>
            <sz val="9"/>
            <color indexed="81"/>
            <rFont val="MS P ゴシック"/>
            <family val="3"/>
            <charset val="128"/>
          </rPr>
          <t>chiba:
EXW USD 9.07/m →別注色1反単価
870円÷0.8÷120 EXW  9.07/m + 1.48/m = C&amp;F HK USD 10.55/m</t>
        </r>
      </text>
    </comment>
    <comment ref="Q3633" authorId="0" shapeId="0" xr:uid="{7CD23EC7-6FCF-42BF-B96D-2F8CF174A48F}">
      <text>
        <r>
          <rPr>
            <b/>
            <sz val="9"/>
            <color indexed="81"/>
            <rFont val="MS P ゴシック"/>
            <family val="3"/>
            <charset val="128"/>
          </rPr>
          <t>chiba
EXW 9.07x 0.94</t>
        </r>
      </text>
    </comment>
    <comment ref="S3633" authorId="0" shapeId="0" xr:uid="{4D8B3AB3-F68F-480C-9EE1-29000FFF3C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今回は輸出梱包費用30円なし</t>
        </r>
      </text>
    </comment>
    <comment ref="K3634" authorId="1" shapeId="0" xr:uid="{7CA48A30-E5DD-47E9-B7C7-64AD70B86C7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L3634" authorId="1" shapeId="0" xr:uid="{C3B5DD08-8A51-4C3D-9352-8E2A0823EE7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Q3634" authorId="1" shapeId="0" xr:uid="{C463A708-AF70-4F07-A05B-43A0330335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R3634" authorId="1" shapeId="0" xr:uid="{7358FA00-4A4B-4FDB-B53C-19EB34F8B3F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K3637" authorId="0" shapeId="0" xr:uid="{FFB334FE-61BE-46A8-8E51-9F38942F22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E3641" authorId="0" shapeId="0" xr:uid="{AB377608-F569-446F-B2FF-E4FFEF75E7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6687</t>
        </r>
      </text>
    </comment>
    <comment ref="E3644" authorId="0" shapeId="0" xr:uid="{38F126C2-0EEB-4225-A44D-26022C5F99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6804</t>
        </r>
      </text>
    </comment>
    <comment ref="E3647" authorId="0" shapeId="0" xr:uid="{FF9BB436-B989-467C-8582-6BFA7FBB7E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PI#6764
 </t>
        </r>
      </text>
    </comment>
    <comment ref="G3647" authorId="0" shapeId="0" xr:uid="{AE0E4BD6-601C-4806-8C86-C45D79BF13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S3647" authorId="0" shapeId="0" xr:uid="{2CDDA9AC-FE10-4283-9A57-B905656CC2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5775mベースのバルク特価
通常：425円</t>
        </r>
      </text>
    </comment>
    <comment ref="E3659" authorId="0" shapeId="0" xr:uid="{BBA48FA7-B44D-4225-8DAB-433254587B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6718
</t>
        </r>
      </text>
    </comment>
    <comment ref="Q3661" authorId="0" shapeId="0" xr:uid="{11DC9F3D-8645-45D6-8F61-BDE92DC78D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NYへの請求なし
</t>
        </r>
      </text>
    </comment>
    <comment ref="E3671" authorId="0" shapeId="0" xr:uid="{B1C26143-2035-45FB-87AC-4431941DFE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6722</t>
        </r>
      </text>
    </comment>
    <comment ref="E3684" authorId="2" shapeId="0" xr:uid="{B3564208-0FF2-4B1F-B1C7-A0650AA48482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 6751</t>
        </r>
      </text>
    </comment>
    <comment ref="L3686" authorId="0" shapeId="0" xr:uid="{8F9B9445-52D7-4F4A-BE0E-D76D088B53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Q3686" authorId="0" shapeId="0" xr:uid="{CF5E21FE-DDB8-49A6-8B92-CECAFD3191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R3686" authorId="0" shapeId="0" xr:uid="{B8056973-25B8-4110-AAEE-A8EA8C2D89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E3694" authorId="0" shapeId="0" xr:uid="{969EB68E-F373-44FB-95EB-A7C1126350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PI#6750</t>
        </r>
      </text>
    </comment>
    <comment ref="K3694" authorId="0" shapeId="0" xr:uid="{E157BA35-287D-45D7-BAE6-164203ECD2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694" authorId="1" shapeId="0" xr:uid="{14D9EB23-B179-4528-8DAA-B972B729829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695" authorId="1" shapeId="0" xr:uid="{3D070BFC-F157-4004-9398-4C96461FC12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K3698" authorId="0" shapeId="0" xr:uid="{3B872E89-FFA7-4F96-8948-B1CBCD7664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L3699" authorId="0" shapeId="0" xr:uid="{727319DB-0117-4A94-A363-2C1BF8E019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顧客への請求なし</t>
        </r>
      </text>
    </comment>
    <comment ref="Q3699" authorId="0" shapeId="0" xr:uid="{599CDFBF-F450-4EEE-96AF-275F1DDAF5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顧客への請求なし</t>
        </r>
      </text>
    </comment>
    <comment ref="R3699" authorId="0" shapeId="0" xr:uid="{49141AC0-3FB2-49EC-8B64-962E7312C2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顧客への請求なし</t>
        </r>
      </text>
    </comment>
    <comment ref="E3702" authorId="0" shapeId="0" xr:uid="{A5E56488-E0B2-4838-B19A-F997158D5B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6797</t>
        </r>
      </text>
    </comment>
    <comment ref="K3709" authorId="0" shapeId="0" xr:uid="{24D54FA2-202A-4002-AABF-B81D2B3874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we will waive</t>
        </r>
      </text>
    </comment>
    <comment ref="L3709" authorId="0" shapeId="0" xr:uid="{509C8F52-524F-49B1-A421-8785DCF4B7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we will waive</t>
        </r>
      </text>
    </comment>
    <comment ref="E3733" authorId="2" shapeId="0" xr:uid="{DC5E56E6-834C-4EC3-A4ED-9C9F12028435}">
      <text>
        <r>
          <rPr>
            <b/>
            <sz val="14"/>
            <color indexed="81"/>
            <rFont val="MS P ゴシック"/>
            <family val="3"/>
            <charset val="128"/>
          </rPr>
          <t>PI/INV# 6847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3734" authorId="2" shapeId="0" xr:uid="{B4487F40-216F-4818-B8AD-3A92A46FC66A}">
      <text>
        <r>
          <rPr>
            <b/>
            <sz val="14"/>
            <color indexed="81"/>
            <rFont val="MS P ゴシック"/>
            <family val="3"/>
            <charset val="128"/>
          </rPr>
          <t>PI/INV# 6847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3736" authorId="2" shapeId="0" xr:uid="{F0ABDF88-A4F6-4B93-ADB1-6FC66084B3DB}">
      <text>
        <r>
          <rPr>
            <b/>
            <sz val="14"/>
            <color indexed="81"/>
            <rFont val="MS P ゴシック"/>
            <family val="3"/>
            <charset val="128"/>
          </rPr>
          <t>PI/INV# 6847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3737" authorId="2" shapeId="0" xr:uid="{CF0B9B0D-9E9F-49F0-86EC-0221CB6F167D}">
      <text>
        <r>
          <rPr>
            <b/>
            <sz val="14"/>
            <color indexed="81"/>
            <rFont val="MS P ゴシック"/>
            <family val="3"/>
            <charset val="128"/>
          </rPr>
          <t>PI/INV# 6847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3750" authorId="0" shapeId="0" xr:uid="{D8BEC8D2-1C22-47C4-99F4-C15B661D5BE7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CIF HK USD 5.53/m</t>
        </r>
      </text>
    </comment>
    <comment ref="Q3750" authorId="0" shapeId="0" xr:uid="{B992613D-80B9-416D-AE00-8CC962747645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K3751" authorId="0" shapeId="0" xr:uid="{8E8E5C41-0E48-4CE1-9717-54EC377C9EE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CIF HK USD 5.53/m</t>
        </r>
      </text>
    </comment>
    <comment ref="Q3751" authorId="0" shapeId="0" xr:uid="{ECADB41B-D1CE-4442-98C8-641BF9773272}">
      <text>
        <r>
          <rPr>
            <b/>
            <sz val="9"/>
            <color indexed="81"/>
            <rFont val="MS P ゴシック"/>
            <family val="3"/>
            <charset val="128"/>
          </rPr>
          <t>chiba
EXW 4.38x 0.94</t>
        </r>
      </text>
    </comment>
    <comment ref="E3754" authorId="0" shapeId="0" xr:uid="{3F807176-CCDB-4493-A338-0D5D459675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6888</t>
        </r>
      </text>
    </comment>
    <comment ref="Q3756" authorId="0" shapeId="0" xr:uid="{FC6CD0F9-F421-4A55-A1AA-8711F1F5891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NYへの請求なし
</t>
        </r>
      </text>
    </comment>
    <comment ref="E3759" authorId="2" shapeId="0" xr:uid="{180943FD-1618-4012-A9E6-49AF6BD363A7}">
      <text>
        <r>
          <rPr>
            <sz val="16"/>
            <color indexed="81"/>
            <rFont val="MS P ゴシック"/>
            <family val="3"/>
            <charset val="128"/>
          </rPr>
          <t>PI# 6901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3761" authorId="0" shapeId="0" xr:uid="{B931F6C4-70EE-4633-A237-C4F4FB4EF4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Q3761" authorId="0" shapeId="0" xr:uid="{B7BAF977-B8D7-4E09-8265-ACD165DEFB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R3761" authorId="0" shapeId="0" xr:uid="{5D0D457B-4E38-4709-B865-8C4553ACDC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S3761" authorId="2" shapeId="0" xr:uid="{397F42BE-7DC8-4364-8BEA-724983A8AED6}">
      <text>
        <r>
          <rPr>
            <b/>
            <sz val="9"/>
            <color indexed="81"/>
            <rFont val="MS P ゴシック"/>
            <family val="3"/>
            <charset val="128"/>
          </rPr>
          <t>白メンコ付け替え依頼忘れの為</t>
        </r>
      </text>
    </comment>
    <comment ref="K3764" authorId="0" shapeId="0" xr:uid="{0A7AAC2B-6B4B-41FE-BDA0-8F5A7FADD5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
次回より0.34/m
</t>
        </r>
      </text>
    </comment>
    <comment ref="K3765" authorId="0" shapeId="0" xr:uid="{68974801-3DB5-4F5F-8809-9B0F0E09B6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H3770" authorId="2" shapeId="0" xr:uid="{B359D79E-317F-45AF-B8FB-411F7919873D}">
      <text>
        <r>
          <rPr>
            <b/>
            <sz val="11"/>
            <color indexed="81"/>
            <rFont val="MS P ゴシック"/>
            <family val="3"/>
            <charset val="128"/>
          </rPr>
          <t>出荷漏れの為、SF acctで出荷</t>
        </r>
      </text>
    </comment>
    <comment ref="K3784" authorId="0" shapeId="0" xr:uid="{03918C07-F338-42DE-B1D8-2F1F90FF5A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3788" authorId="0" shapeId="0" xr:uid="{73892FE8-EB49-49A6-ACE6-A6E8BAB480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789" authorId="0" shapeId="0" xr:uid="{BB63BCE6-4ECC-4D67-B3BE-2ED202442D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791" authorId="0" shapeId="0" xr:uid="{383BE527-7B54-4D89-9E5F-F9F174B539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792" authorId="0" shapeId="0" xr:uid="{9463D2DC-68FE-449B-9B6D-4956F10540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794" authorId="0" shapeId="0" xr:uid="{026FC09E-BE9B-4505-BCDC-86FD2BB4E5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795" authorId="0" shapeId="0" xr:uid="{85CA9D2A-3698-426D-92E2-223AB56ABA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797" authorId="0" shapeId="0" xr:uid="{EC4D6493-CE60-4C97-A7EC-8309E3B238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798" authorId="0" shapeId="0" xr:uid="{E590FD1B-236A-4AA0-BEA4-7A14418D20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J3802" authorId="0" shapeId="0" xr:uid="{626FB742-C014-4556-8A6E-B615E603DF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368yds</t>
        </r>
      </text>
    </comment>
    <comment ref="K3806" authorId="0" shapeId="0" xr:uid="{A7AC6075-F137-4161-A074-A9F38DB295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807" authorId="0" shapeId="0" xr:uid="{3A138E4A-853E-45F7-8271-2C5A5353AD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K3810" authorId="0" shapeId="0" xr:uid="{564C5CFB-505E-4083-855F-6E8CB1CBC3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L3811" authorId="0" shapeId="0" xr:uid="{9CA8630C-449D-4D11-94EA-E1E40AE366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</t>
        </r>
      </text>
    </comment>
    <comment ref="E3822" authorId="2" shapeId="0" xr:uid="{65969CEA-C48E-4F31-BF15-E2CD6A7598BE}">
      <text>
        <r>
          <rPr>
            <b/>
            <sz val="14"/>
            <color indexed="81"/>
            <rFont val="MS P ゴシック"/>
            <family val="3"/>
            <charset val="128"/>
          </rPr>
          <t>PI#6973</t>
        </r>
      </text>
    </comment>
    <comment ref="K3822" authorId="0" shapeId="0" xr:uid="{DB5F6A38-0CFC-476E-99A2-6A3631739D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822" authorId="1" shapeId="0" xr:uid="{35C9E57A-908E-4D49-B055-C767410BBC9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E3823" authorId="2" shapeId="0" xr:uid="{02D6449B-4A57-48CE-80A5-772857076331}">
      <text>
        <r>
          <rPr>
            <b/>
            <sz val="14"/>
            <color indexed="81"/>
            <rFont val="MS P ゴシック"/>
            <family val="3"/>
            <charset val="128"/>
          </rPr>
          <t>PI#6973</t>
        </r>
      </text>
    </comment>
    <comment ref="K3823" authorId="0" shapeId="0" xr:uid="{721B4BC1-C278-43C1-95A3-6BE4E51B7B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3823" authorId="1" shapeId="0" xr:uid="{F6423365-3884-4D6D-90A2-5A7E26E8840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3824" authorId="1" shapeId="0" xr:uid="{29643C5E-A2CB-4A98-9E09-D4EC2E3467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3838" authorId="0" shapeId="0" xr:uid="{8CF40813-15CB-4B22-906B-671F1772E2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6993</t>
        </r>
      </text>
    </comment>
    <comment ref="S3838" authorId="0" shapeId="0" xr:uid="{90F66033-FD37-4E40-991F-FC549780D5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2025年5月より96円</t>
        </r>
      </text>
    </comment>
    <comment ref="S3839" authorId="0" shapeId="0" xr:uid="{B53BC1C5-CFD9-47B3-9DBB-A567881A2E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2025年5月より96円</t>
        </r>
      </text>
    </comment>
    <comment ref="S3840" authorId="0" shapeId="0" xr:uid="{D0E99DAD-0932-41AB-833A-EDBDE261B9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2025年5月より96円</t>
        </r>
      </text>
    </comment>
    <comment ref="L3841" authorId="0" shapeId="0" xr:uid="{E8F16CD5-E4E6-423D-B348-24F035D251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Q3841" authorId="0" shapeId="0" xr:uid="{15EA16B7-0772-406A-B965-F97FD2E9E8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R3841" authorId="0" shapeId="0" xr:uid="{CD905820-5908-4D99-9CB9-B58B123035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請求なし
</t>
        </r>
      </text>
    </comment>
    <comment ref="E3848" authorId="2" shapeId="0" xr:uid="{3F777E8C-2396-4CA9-84B4-8ECD8E9BFBA0}">
      <text>
        <r>
          <rPr>
            <b/>
            <sz val="16"/>
            <color indexed="81"/>
            <rFont val="MS P ゴシック"/>
            <family val="3"/>
            <charset val="128"/>
          </rPr>
          <t>PI#7002</t>
        </r>
      </text>
    </comment>
    <comment ref="E3852" authorId="0" shapeId="0" xr:uid="{B52F09A5-DD00-4284-BDA9-96534515D8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854" authorId="0" shapeId="0" xr:uid="{8C3DC6C9-DCA1-4FBF-B3CB-292DCB2D9B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856" authorId="0" shapeId="0" xr:uid="{476497B4-0424-4909-8EF1-6A95934127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L3856" authorId="0" shapeId="0" xr:uid="{60AE08EB-8201-4E30-9E88-49EE1559F7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SF負担</t>
        </r>
      </text>
    </comment>
    <comment ref="Q3856" authorId="0" shapeId="0" xr:uid="{5FAF468B-B7F4-4A45-923F-96DC33C6B8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SF負担</t>
        </r>
      </text>
    </comment>
    <comment ref="R3856" authorId="0" shapeId="0" xr:uid="{8B84CCC1-D8A9-4C80-864E-7FB3924B78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SF負担</t>
        </r>
      </text>
    </comment>
    <comment ref="E3857" authorId="0" shapeId="0" xr:uid="{550B0AFD-2C6A-499F-9B62-9C72598C9D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859" authorId="0" shapeId="0" xr:uid="{3E7F8623-90E7-4403-AA98-E536727A69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L3859" authorId="0" shapeId="0" xr:uid="{0CA18581-EEAF-4A77-A4DC-2327C521EC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二渡さん負担
</t>
        </r>
      </text>
    </comment>
    <comment ref="Q3859" authorId="0" shapeId="0" xr:uid="{1409CF3D-CF27-4C1B-AABD-B582FB5EDA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二渡さん負担
</t>
        </r>
      </text>
    </comment>
    <comment ref="R3859" authorId="0" shapeId="0" xr:uid="{31582301-9149-49D3-ADB0-6FA64FC045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二渡さん負担
</t>
        </r>
      </text>
    </comment>
    <comment ref="S3859" authorId="0" shapeId="0" xr:uid="{5450B2B8-6394-405B-AD7B-9F1DA7A5A2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二渡さん負担
</t>
        </r>
      </text>
    </comment>
    <comment ref="T3859" authorId="0" shapeId="0" xr:uid="{6495A70E-144F-4D24-A1AE-2D646CE9CAA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二渡さん負担
</t>
        </r>
      </text>
    </comment>
    <comment ref="E3860" authorId="0" shapeId="0" xr:uid="{BEAF7916-8C8E-4031-BFD5-576AB3AD7C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863" authorId="0" shapeId="0" xr:uid="{20E3DD91-2438-4BAD-9E91-83C67D9018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7020</t>
        </r>
      </text>
    </comment>
    <comment ref="K3863" authorId="0" shapeId="0" xr:uid="{B9E7FFFD-BE0E-4D7B-A1F4-F59221B10429}">
      <text>
        <r>
          <rPr>
            <b/>
            <sz val="9"/>
            <color indexed="81"/>
            <rFont val="MS P ゴシック"/>
            <family val="3"/>
            <charset val="128"/>
          </rPr>
          <t>chiba:
在庫限りディスカウントプライス EXW Price : $2.72 + Insurance &amp; Frieght $0.2/m</t>
        </r>
      </text>
    </comment>
    <comment ref="P3863" authorId="0" shapeId="0" xr:uid="{CB443984-2F4B-41EB-B6C0-6C5A8BA0C9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Price : $2.72 に合わせて</t>
        </r>
      </text>
    </comment>
    <comment ref="S3863" authorId="0" shapeId="0" xr:uid="{E266B92B-26FD-470D-BBDE-A301215A61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通常210円 + 染め 70
Coach 不使用社内在庫から</t>
        </r>
      </text>
    </comment>
    <comment ref="K3864" authorId="0" shapeId="0" xr:uid="{4945DDEF-CD29-4652-9685-62DFDDD517F8}">
      <text>
        <r>
          <rPr>
            <b/>
            <sz val="9"/>
            <color indexed="81"/>
            <rFont val="MS P ゴシック"/>
            <family val="3"/>
            <charset val="128"/>
          </rPr>
          <t>chiba:
在庫限りディスカウントプライス EXW Price : $2.72 + Insurance &amp; Frieght $0.2/m</t>
        </r>
      </text>
    </comment>
    <comment ref="P3864" authorId="0" shapeId="0" xr:uid="{8947F6CF-FEC2-4A1E-B02A-DE51F2345D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Price : $2.72 に合わせて</t>
        </r>
      </text>
    </comment>
    <comment ref="S3864" authorId="0" shapeId="0" xr:uid="{A10F75B4-24FD-4945-A7DD-07EB1893E5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通常210円 + 染め 70
Coach 不使用社内在庫からレース使用するので、染色代のみ</t>
        </r>
      </text>
    </comment>
    <comment ref="S3865" authorId="2" shapeId="0" xr:uid="{DD7B38F7-C310-47D5-9BE9-0B1BB493378F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UPS運賃のみ：JPY 24866</t>
        </r>
      </text>
    </comment>
    <comment ref="T3865" authorId="2" shapeId="0" xr:uid="{AA3ACDB2-55F2-4592-9255-9FE6E2EDE52F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UPS運賃のみ：JPY 24866</t>
        </r>
      </text>
    </comment>
    <comment ref="E3875" authorId="0" shapeId="0" xr:uid="{42A34B89-C4EC-4666-B91E-8407A0A1F4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3876" authorId="0" shapeId="0" xr:uid="{179EFF86-8680-4736-A6BA-A29F5F7C5C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3877" authorId="0" shapeId="0" xr:uid="{B97D82B2-2524-4DC1-B93C-1A2EAA9E47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3878" authorId="0" shapeId="0" xr:uid="{980BC46C-B2CD-4CBB-AC8F-E132FA6DAB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3882" authorId="2" shapeId="0" xr:uid="{F3BD0667-99DE-4ADE-8870-8A69DE7680AC}">
      <text>
        <r>
          <rPr>
            <b/>
            <sz val="12"/>
            <color indexed="81"/>
            <rFont val="MS P ゴシック"/>
            <family val="3"/>
            <charset val="128"/>
          </rPr>
          <t>a.hamada:</t>
        </r>
        <r>
          <rPr>
            <sz val="12"/>
            <color indexed="81"/>
            <rFont val="MS P ゴシック"/>
            <family val="3"/>
            <charset val="128"/>
          </rPr>
          <t xml:space="preserve">
PI# 7031→NET12DAYS</t>
        </r>
      </text>
    </comment>
    <comment ref="G3882" authorId="1" shapeId="0" xr:uid="{289CBD37-3AD5-48B5-A6DD-467879B1BA6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E3890" authorId="0" shapeId="0" xr:uid="{067FB665-A077-44D3-8603-9959B967CC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7116</t>
        </r>
      </text>
    </comment>
    <comment ref="S3897" authorId="0" shapeId="0" xr:uid="{64B63697-4D92-405F-B0B4-D2D33A845B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Buck Mason 向け &amp; シーズンSS26 に限り（サンプル・バルク共に）、特価160円</t>
        </r>
      </text>
    </comment>
    <comment ref="E3902" authorId="0" shapeId="0" xr:uid="{B3400E82-F57E-403C-BD90-5B872AD478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03" authorId="0" shapeId="0" xr:uid="{D4937338-6962-40D1-81EF-EDA9CF9E38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04" authorId="0" shapeId="0" xr:uid="{23372412-C84F-42C4-9778-292953D8F5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05" authorId="0" shapeId="0" xr:uid="{043D1B8C-FEB9-40A0-AFFD-1002D10EDE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06" authorId="0" shapeId="0" xr:uid="{284585B6-25FA-420C-98EC-BDC3A3BFF0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07" authorId="0" shapeId="0" xr:uid="{527E4DFF-E6AA-4E05-A5D0-C778160FC7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10" authorId="0" shapeId="0" xr:uid="{1994F7AF-B55C-40C0-91F2-823BD7A46B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911" authorId="0" shapeId="0" xr:uid="{4BD5DBFD-5F29-4F79-9D87-DB3E298F7F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912" authorId="0" shapeId="0" xr:uid="{493B2A7A-962B-43AE-AA29-E789C93466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914" authorId="0" shapeId="0" xr:uid="{8C608088-EA26-4135-8A3F-D4B685F0AA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915" authorId="0" shapeId="0" xr:uid="{DF45B58D-B6D9-46E7-A9F0-A99E2F12CF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916" authorId="0" shapeId="0" xr:uid="{8DD96A44-6A93-4683-B6E6-F595954AC4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918" authorId="0" shapeId="0" xr:uid="{5D7624FF-8316-45B3-BBE6-17D0C2CF44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919" authorId="0" shapeId="0" xr:uid="{0EA574E4-D217-4B6B-9EBE-EB50970FD6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920" authorId="0" shapeId="0" xr:uid="{D4CDBF63-5C16-4615-A6CD-F333C9BA77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T3921" authorId="0" shapeId="0" xr:uid="{A1EFE47E-4CDE-42C2-931B-BDD44DD6EA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 6セットの代わりに4セットのみ。先方には3セットのみ請求・1セットはSF 大阪負担</t>
        </r>
      </text>
    </comment>
    <comment ref="L3922" authorId="0" shapeId="0" xr:uid="{69A27075-8AEC-455E-8F91-5492786EEAD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Q3922" authorId="0" shapeId="0" xr:uid="{0D923429-2B29-49FF-B9B0-B84E7C96A5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R3922" authorId="0" shapeId="0" xr:uid="{077B8184-CDE2-410B-B06F-3AC5E11365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大阪負担</t>
        </r>
      </text>
    </comment>
    <comment ref="T3922" authorId="0" shapeId="0" xr:uid="{C31B2211-9B69-4D78-894C-FD6E587578C1}">
      <text>
        <r>
          <rPr>
            <b/>
            <sz val="9"/>
            <color indexed="81"/>
            <rFont val="MS P ゴシック"/>
            <family val="3"/>
            <charset val="128"/>
          </rPr>
          <t>chiba:
一括染色 6セットの代わりに4セットのみ。先方には3セットのみ請求・1セットはSF 大阪負担</t>
        </r>
        <r>
          <rPr>
            <sz val="9"/>
            <color indexed="81"/>
            <rFont val="MS P ゴシック"/>
            <family val="3"/>
            <charset val="128"/>
          </rPr>
          <t xml:space="preserve"> </t>
        </r>
      </text>
    </comment>
    <comment ref="E3936" authorId="0" shapeId="0" xr:uid="{5919C282-92E6-468C-BF74-28865FE544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S3936" authorId="0" shapeId="0" xr:uid="{29FA234B-41E3-42E7-B69F-1C3B71F72D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レースが残っていたので、二渡さんからはサービス</t>
        </r>
      </text>
    </comment>
    <comment ref="E3937" authorId="0" shapeId="0" xr:uid="{3AA23F1B-A1DA-4C0F-BA62-380567525C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38" authorId="0" shapeId="0" xr:uid="{E6CA1819-CC31-452C-BB44-3BB55EC11A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E3942" authorId="0" shapeId="0" xr:uid="{79ED72B0-F37D-4E1B-A9F6-096E706B74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L3942" authorId="0" shapeId="0" xr:uid="{AAE5DA90-5CA1-4AAC-8E77-F449CB8756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顧客にはサービスと連絡</t>
        </r>
      </text>
    </comment>
    <comment ref="S3942" authorId="0" shapeId="0" xr:uid="{3E569F2A-017D-4092-A275-FD9A3E58518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レースが残っていたので、二渡さんからはサービス</t>
        </r>
      </text>
    </comment>
    <comment ref="E3943" authorId="0" shapeId="0" xr:uid="{E43AA012-918A-474E-95D9-ECEA85694F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E3944" authorId="0" shapeId="0" xr:uid="{A973E049-0969-4A81-B12D-06327925B8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T3945" authorId="0" shapeId="0" xr:uid="{AA95F9A8-B669-4275-BD7A-185FBE9D459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 6セットの代わりに4セットのみ。先方には3セットのみ請求・1セットはSF 大阪負担</t>
        </r>
      </text>
    </comment>
    <comment ref="E3947" authorId="0" shapeId="0" xr:uid="{F22EA455-E28A-48C3-98CB-9E5D6793D9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L3947" authorId="0" shapeId="0" xr:uid="{9CF22CBA-6B0D-467D-9EBD-2568AFD367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顧客にはサービスと連絡</t>
        </r>
      </text>
    </comment>
    <comment ref="S3947" authorId="0" shapeId="0" xr:uid="{4A10ECAC-E1DC-4E82-903B-10858C1F06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レースが残っていたので、二渡さんからはサービス</t>
        </r>
      </text>
    </comment>
    <comment ref="E3948" authorId="0" shapeId="0" xr:uid="{6BBBB026-FE14-4749-A33F-0EAA092125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E3949" authorId="0" shapeId="0" xr:uid="{04105FC2-EA61-4818-A352-2765DCE99E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T3950" authorId="0" shapeId="0" xr:uid="{04CF7EAD-D953-4E41-82EB-D6A004CB4F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 6セットの代わりに4セットのみ。先方には3セットのみ請求・1セットはSF 大阪負担</t>
        </r>
      </text>
    </comment>
    <comment ref="E3952" authorId="0" shapeId="0" xr:uid="{503C41E0-B2B4-484E-A6C1-AB95960AE4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L3952" authorId="0" shapeId="0" xr:uid="{BEB840F7-733D-474F-B282-E73DAD39FD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顧客にはサービスと連絡</t>
        </r>
      </text>
    </comment>
    <comment ref="S3952" authorId="0" shapeId="0" xr:uid="{9DF482D1-0D88-4577-9F7F-62C067EE9C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レースが残っていたので、二渡さんからはサービス</t>
        </r>
      </text>
    </comment>
    <comment ref="E3953" authorId="0" shapeId="0" xr:uid="{EAA64282-EE1E-4A01-800A-7D396D1776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E3954" authorId="0" shapeId="0" xr:uid="{8E91FAB7-42B6-46E0-8791-0E4A36FEB2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T3955" authorId="0" shapeId="0" xr:uid="{63C29773-E94B-4B1B-9F2B-5BCE203BB0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 6セットの代わりに4セットのみ。先方には3セットのみ請求・1セットはSF 大阪負担</t>
        </r>
      </text>
    </comment>
    <comment ref="K3964" authorId="0" shapeId="0" xr:uid="{AB621082-67A7-4667-90E5-C33E0A84A8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3972" authorId="2" shapeId="0" xr:uid="{E566F270-0F03-4F89-BA6C-2E0A3E19A920}">
      <text>
        <r>
          <rPr>
            <b/>
            <sz val="16"/>
            <color indexed="81"/>
            <rFont val="MS P ゴシック"/>
            <family val="3"/>
            <charset val="128"/>
          </rPr>
          <t>PI#7241</t>
        </r>
      </text>
    </comment>
    <comment ref="N3993" authorId="0" shapeId="0" xr:uid="{829A765F-00C9-4443-987C-6789EF6552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Osaka 保管分 until 2025/4/16 
invoice date 2025/10/16</t>
        </r>
      </text>
    </comment>
    <comment ref="S3994" authorId="0" shapeId="0" xr:uid="{5A0B495A-02FE-4246-900A-8320ECF662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染色代90円込み</t>
        </r>
      </text>
    </comment>
    <comment ref="N3995" authorId="0" shapeId="0" xr:uid="{88081B2B-17F6-42D2-A335-76AA03B430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Osaka 保管分 until 2025/4/16 
invoice date 2025/10/16</t>
        </r>
      </text>
    </comment>
    <comment ref="S3996" authorId="0" shapeId="0" xr:uid="{9DF21AD9-9926-461F-BD5C-832C392578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染色代80円込み</t>
        </r>
      </text>
    </comment>
    <comment ref="E3999" authorId="0" shapeId="0" xr:uid="{A9471EA1-AE0C-4ADB-9BDC-D1624A0A94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7275</t>
        </r>
      </text>
    </comment>
    <comment ref="E4013" authorId="0" shapeId="0" xr:uid="{2ABF1155-46BC-4411-A094-5A89605DB9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7329</t>
        </r>
      </text>
    </comment>
    <comment ref="S4014" authorId="2" shapeId="0" xr:uid="{548A0503-A98E-4AA9-B335-54DA16D4E56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PI/INV#7275R分、US$1200未払いの為、送料分をPI/INV#7329Rにまわす</t>
        </r>
      </text>
    </comment>
    <comment ref="S4023" authorId="0" shapeId="0" xr:uid="{B3C892C1-67AB-495C-B1D1-5A6CAC4BFE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</t>
        </r>
      </text>
    </comment>
    <comment ref="E4036" authorId="0" shapeId="0" xr:uid="{E463148A-D8C8-44D9-A782-9E0A5D664B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S4036" authorId="0" shapeId="0" xr:uid="{B806B1E9-1C4A-497B-9DB6-8B737BAADC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今回から染色代80円に値上げ。顧客単価は据え置き</t>
        </r>
      </text>
    </comment>
    <comment ref="Q4037" authorId="0" shapeId="0" xr:uid="{61326E0E-357A-4A16-94B9-30B3F71EE0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NYへの請求なし
</t>
        </r>
      </text>
    </comment>
    <comment ref="E4038" authorId="0" shapeId="0" xr:uid="{0448FCCC-7FBF-43B7-B99F-D7E68E1A78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S4038" authorId="0" shapeId="0" xr:uid="{77F24670-F967-4CC3-8069-95ADBA1B5F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今回から染色代80円に値上げ。顧客単価は据え置き</t>
        </r>
      </text>
    </comment>
    <comment ref="E4046" authorId="0" shapeId="0" xr:uid="{98E945E2-8EA6-4562-9E88-BDE7F442B8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7392</t>
        </r>
      </text>
    </comment>
    <comment ref="E4063" authorId="0" shapeId="0" xr:uid="{FDD7710F-5F5D-4583-803E-9FB0A5446C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# 7440</t>
        </r>
      </text>
    </comment>
    <comment ref="E4080" authorId="0" shapeId="0" xr:uid="{328778AB-C1D3-434D-AFB8-91369D32D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7471</t>
        </r>
      </text>
    </comment>
    <comment ref="E4096" authorId="0" shapeId="0" xr:uid="{A184B577-3E1F-49E1-BE7F-90F629081C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E4099" authorId="0" shapeId="0" xr:uid="{6D5CD88E-5F00-4A59-B368-E85730D41F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E4100" authorId="0" shapeId="0" xr:uid="{02FA629C-D229-42D9-9837-64B4A8D609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E4101" authorId="0" shapeId="0" xr:uid="{FE267C65-6D1B-44CD-BC6A-870763BC56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E4104" authorId="0" shapeId="0" xr:uid="{DBD26742-3F56-4483-9B2D-EB788EC037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7484</t>
        </r>
      </text>
    </comment>
    <comment ref="K4114" authorId="1" shapeId="0" xr:uid="{1FB3A4BA-0761-441F-BDAE-81251103283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4114" authorId="1" shapeId="0" xr:uid="{8AAB1348-B2D0-476B-AF04-E0E5CAF6938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E4136" authorId="0" shapeId="0" xr:uid="{D1D3EF02-2ACE-4489-B161-4758914000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Yvonne</t>
        </r>
      </text>
    </comment>
    <comment ref="S4136" authorId="0" shapeId="0" xr:uid="{F92C5356-37BB-4B8C-804B-BB1C2A6288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</t>
        </r>
      </text>
    </comment>
    <comment ref="E4140" authorId="0" shapeId="0" xr:uid="{2BAC7210-8C1D-474D-BA52-70F8BA9A82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7536</t>
        </r>
      </text>
    </comment>
    <comment ref="K4140" authorId="0" shapeId="0" xr:uid="{26B76179-CA6C-407D-8E93-1D52234FE5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0.75/m(55%, 120レート）  
C&amp;F HK Price  USD 1.10/m 
</t>
        </r>
      </text>
    </comment>
    <comment ref="P4140" authorId="1" shapeId="0" xr:uid="{DE3BB259-6A00-4568-A1F5-7985992E158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0.75 に対して</t>
        </r>
      </text>
    </comment>
    <comment ref="K4142" authorId="0" shapeId="0" xr:uid="{83BB209C-F4A9-4BF2-AB31-835442B317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P4142" authorId="1" shapeId="0" xr:uid="{BDED370D-3124-4277-B489-4ABD114491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4143" authorId="1" shapeId="0" xr:uid="{4CC61D1A-3E2B-4352-8721-2FD0ED13F3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E4151" authorId="2" shapeId="0" xr:uid="{C1817A3D-FB1A-4107-A969-2D097A82C8ED}">
      <text>
        <r>
          <rPr>
            <b/>
            <sz val="11"/>
            <color indexed="81"/>
            <rFont val="MS P ゴシック"/>
            <family val="3"/>
            <charset val="128"/>
          </rPr>
          <t>PI-7681</t>
        </r>
      </text>
    </comment>
    <comment ref="S4151" authorId="0" shapeId="0" xr:uid="{E4C86179-C4B5-40BA-9628-D7D1F908B9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Buck Mason 向け &amp; シーズンSS26 に限り（サンプル・バルク共に）、特価160円</t>
        </r>
      </text>
    </comment>
    <comment ref="S4152" authorId="0" shapeId="0" xr:uid="{7E0E0077-DEB4-44DA-85DB-EEA0BF754E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Buck Mason 向け &amp; シーズンSS26 に限り（サンプル・バルク共に）、特価160円</t>
        </r>
      </text>
    </comment>
    <comment ref="S4164" authorId="0" shapeId="0" xr:uid="{17BD3286-85C6-4F2F-BD40-BBA66712E4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2400円はFWL サンプル代
</t>
        </r>
      </text>
    </comment>
    <comment ref="K4167" authorId="0" shapeId="0" xr:uid="{4F9282B9-420A-4B44-8B12-79C630F6EC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68" authorId="0" shapeId="0" xr:uid="{17C1EB39-0543-4AB0-9E21-7944DD1E22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69" authorId="0" shapeId="0" xr:uid="{12B33D9C-3666-416C-8E42-864CA8A398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70" authorId="0" shapeId="0" xr:uid="{3315221B-7D39-4410-A12C-F12DF0C963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71" authorId="0" shapeId="0" xr:uid="{8AD8C65F-5DF5-4C73-86F9-5B1CA498D3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72" authorId="0" shapeId="0" xr:uid="{46E68F9B-86BA-4028-A5DC-7AF44B4262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次回より$ 1.07/m</t>
        </r>
      </text>
    </comment>
    <comment ref="K4181" authorId="0" shapeId="0" xr:uid="{2F5847B5-2552-4E40-A5F7-12402BA180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高いので35%利益で対応
</t>
        </r>
      </text>
    </comment>
    <comment ref="K4225" authorId="0" shapeId="0" xr:uid="{B71B3BA0-2007-4562-BD8D-4531E7CB6F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次回より$0.30/m</t>
        </r>
      </text>
    </comment>
    <comment ref="E4229" authorId="0" shapeId="0" xr:uid="{1002C78D-3FD3-4F31-A5D5-AA937CB53E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7676</t>
        </r>
      </text>
    </comment>
    <comment ref="S4274" authorId="0" shapeId="0" xr:uid="{0F5AB34F-4E21-4204-8F71-2365C2E522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S4277" authorId="0" shapeId="0" xr:uid="{578E8E12-7539-4B70-97A6-F65FA65795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S4278" authorId="0" shapeId="0" xr:uid="{3D1A3489-7C8E-4880-87C1-6A6BD7FAFE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S4279" authorId="0" shapeId="0" xr:uid="{100595D4-B6AE-4874-A324-B7C775873E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S4280" authorId="0" shapeId="0" xr:uid="{9220F29A-B6C8-40CD-BE52-9C3E2F411A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S4281" authorId="0" shapeId="0" xr:uid="{E6AECB58-59D5-4547-88BD-48EC4D3B6C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K4282" authorId="0" shapeId="0" xr:uid="{4543BD8C-FB9F-439E-B0D8-F20516C902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先方・SF USA への請求なし</t>
        </r>
      </text>
    </comment>
    <comment ref="T4282" authorId="0" shapeId="0" xr:uid="{0D28CD14-E3CA-4D8C-A104-AA4FE6D715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SF Osaka 負担</t>
        </r>
      </text>
    </comment>
    <comment ref="E4284" authorId="0" shapeId="0" xr:uid="{0AAC2AB5-EF6F-4054-A66E-BB93695C07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7733 1/20入金済</t>
        </r>
      </text>
    </comment>
    <comment ref="S4284" authorId="0" shapeId="0" xr:uid="{08E99322-20CB-452D-8B2D-C1CFECC872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2025年9/1より＠220/ｍ
→特価210/m</t>
        </r>
      </text>
    </comment>
    <comment ref="E4294" authorId="0" shapeId="0" xr:uid="{D2BD33C0-3EC6-45E3-AB66-E5878F574E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7748</t>
        </r>
      </text>
    </comment>
    <comment ref="S4294" authorId="0" shapeId="0" xr:uid="{B158F25B-A182-41E4-8516-2357BC3062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白メンコ付け替え35円/反込み</t>
        </r>
      </text>
    </comment>
    <comment ref="E4306" authorId="0" shapeId="0" xr:uid="{1028C9A2-E44A-4CC1-BF96-3DE79939A6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7749　1/20入金済</t>
        </r>
      </text>
    </comment>
    <comment ref="E4309" authorId="0" shapeId="0" xr:uid="{81EF5D05-9E42-4280-AE32-D3FA388B8C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7761</t>
        </r>
      </text>
    </comment>
    <comment ref="E4318" authorId="0" shapeId="0" xr:uid="{F06C49BD-AB38-44DB-8E30-EA4C700C21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7762</t>
        </r>
      </text>
    </comment>
    <comment ref="S4322" authorId="0" shapeId="0" xr:uid="{757F66E2-AA8C-4960-AA41-6A6B2DC87F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2026年3月～130円</t>
        </r>
      </text>
    </comment>
    <comment ref="S4333" authorId="0" shapeId="0" xr:uid="{0BD47D00-175D-4747-B83A-814C125195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2026年3月～374</t>
        </r>
      </text>
    </comment>
    <comment ref="S4334" authorId="0" shapeId="0" xr:uid="{E6350FB9-9101-4EA1-BDB5-7394CE134A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2026年3月～374</t>
        </r>
      </text>
    </comment>
    <comment ref="E4339" authorId="0" shapeId="0" xr:uid="{64DE86AD-BA67-4528-9335-1A71CF253B7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企画ドロップ・請求はあり</t>
        </r>
      </text>
    </comment>
    <comment ref="E4345" authorId="0" shapeId="0" xr:uid="{20C5B848-C9AE-4B73-99FF-85114F6220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7798</t>
        </r>
      </text>
    </comment>
    <comment ref="S4362" authorId="0" shapeId="0" xr:uid="{F03CC3D4-AE33-4F3F-94EB-C5536E9CE2E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3/1- 229円</t>
        </r>
      </text>
    </comment>
    <comment ref="S4363" authorId="0" shapeId="0" xr:uid="{72507A07-35FD-4FE7-85A0-F3A0C36527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3/1- 196円</t>
        </r>
      </text>
    </comment>
    <comment ref="S4376" authorId="0" shapeId="0" xr:uid="{D364F4CB-FA10-437A-AD7A-D258C3EA85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3/1～318</t>
        </r>
      </text>
    </comment>
    <comment ref="S4380" authorId="0" shapeId="0" xr:uid="{A31F769E-F3F8-4F7E-BC27-2834131F75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3/1- 83円</t>
        </r>
      </text>
    </comment>
    <comment ref="K4388" authorId="0" shapeId="0" xr:uid="{83AEDC60-433E-42B6-9280-4EFFBFAEC3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今回より$0.30/m</t>
        </r>
      </text>
    </comment>
    <comment ref="E4413" authorId="0" shapeId="0" xr:uid="{122E5C3D-3645-4B24-A0FC-49F2373D2B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8030</t>
        </r>
      </text>
    </comment>
    <comment ref="K4413" authorId="0" shapeId="0" xr:uid="{8C4D5BEC-39E4-4152-B03D-FF4D6E2BCD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0.62/m 
</t>
        </r>
      </text>
    </comment>
    <comment ref="P4413" authorId="1" shapeId="0" xr:uid="{B8D4276B-074D-4B49-A867-D4144BF59FC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0.27 に対して</t>
        </r>
      </text>
    </comment>
    <comment ref="K4414" authorId="1" shapeId="0" xr:uid="{1F9008E4-C27D-4E33-BA7B-BC1B43F12B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</authors>
  <commentList>
    <comment ref="E255" authorId="0" shapeId="0" xr:uid="{348C1892-BD94-4888-9680-786DC5B54D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256" authorId="0" shapeId="0" xr:uid="{0C0E074B-5E12-4013-9607-B7C7E03635B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257" authorId="0" shapeId="0" xr:uid="{6C21DC3B-0E36-4F1D-A184-762F8ADDF31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266" authorId="0" shapeId="0" xr:uid="{FC9F5F7E-7B39-4D9A-96CA-31D47A6FA71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E355" authorId="0" shapeId="0" xr:uid="{A41D5016-53E5-4433-8FF7-F9B95795A8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 95
</t>
        </r>
      </text>
    </comment>
    <comment ref="E363" authorId="0" shapeId="0" xr:uid="{3A02E00D-887B-4407-B333-169B8BDBB53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D381" authorId="0" shapeId="0" xr:uid="{12F0B997-A361-4766-80E9-2E85F22252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E402" authorId="0" shapeId="0" xr:uid="{D85DDEF1-EC33-4862-84F4-8D5A51AAFD5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染色代込みに合わせて計算
</t>
        </r>
      </text>
    </comment>
    <comment ref="D420" authorId="0" shapeId="0" xr:uid="{13DEDA09-B262-467C-90F0-F74C718D7D5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サンプル単価 x2 で提出</t>
        </r>
      </text>
    </comment>
    <comment ref="D421" authorId="0" shapeId="0" xr:uid="{603CB058-9DAC-4FC4-AD46-FA4B1259CA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サンプル単価 x2 で提出</t>
        </r>
      </text>
    </comment>
    <comment ref="D435" authorId="0" shapeId="0" xr:uid="{076829CD-BF0C-4F73-A3E9-648D71690D6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B445" authorId="0" shapeId="0" xr:uid="{43F21436-150F-4766-8FA1-C2189DFF1BE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KUT-9978 = KK8867 PFD
PFD が無いので、今回# KKF88767 / Col. 11 で対応（色目は同じ・帯電防止したもの）
</t>
        </r>
      </text>
    </comment>
    <comment ref="E525" authorId="0" shapeId="0" xr:uid="{1A906212-8C0F-447D-8D25-F51A883086E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25282-19 ￥134 に合わせて計算</t>
        </r>
      </text>
    </comment>
    <comment ref="E555" authorId="0" shapeId="0" xr:uid="{48E29CFB-110A-47CD-92B7-B00DBE75447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556" authorId="0" shapeId="0" xr:uid="{CA60D50A-3661-4B0A-A91C-0A3585945D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D612" authorId="0" shapeId="0" xr:uid="{3C525EE9-905D-411F-9EB1-3B203252CF5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0.77/m
</t>
        </r>
      </text>
    </comment>
    <comment ref="D613" authorId="0" shapeId="0" xr:uid="{A117E24C-9B30-4692-A41D-98EC6BC2CA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0.77/m
</t>
        </r>
      </text>
    </comment>
    <comment ref="D614" authorId="0" shapeId="0" xr:uid="{8F453802-B679-4236-AAE2-FAB9E5F3E6F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0.77/m
</t>
        </r>
      </text>
    </comment>
    <comment ref="D615" authorId="0" shapeId="0" xr:uid="{B6454543-59EA-436C-8906-059918CD8B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0.77/m
</t>
        </r>
      </text>
    </comment>
    <comment ref="D616" authorId="0" shapeId="0" xr:uid="{33082284-7D08-40FF-9C27-7BEC0254C1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0.92/m
</t>
        </r>
      </text>
    </comment>
    <comment ref="D617" authorId="0" shapeId="0" xr:uid="{9F303A68-C619-4C21-8EDA-4DCF33C07CD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0.92/m
</t>
        </r>
      </text>
    </comment>
    <comment ref="D618" authorId="0" shapeId="0" xr:uid="{CD23AA44-C778-4AB4-83EB-59D6A80D8BE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0.92/m
</t>
        </r>
      </text>
    </comment>
    <comment ref="D619" authorId="0" shapeId="0" xr:uid="{3D08F186-2586-43EE-A226-95DAD65BB4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通常単価：USD 0.92/m
</t>
        </r>
      </text>
    </comment>
    <comment ref="E673" authorId="0" shapeId="0" xr:uid="{793266E2-2560-4651-A700-43FB6941F508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674" authorId="0" shapeId="0" xr:uid="{6DEFCE66-A00C-46E1-8108-623C981BCC11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769" authorId="0" shapeId="0" xr:uid="{F3816B74-1603-4E88-AFE9-B240E65FA33F}">
      <text>
        <r>
          <rPr>
            <b/>
            <sz val="9"/>
            <color indexed="81"/>
            <rFont val="ＭＳ Ｐゴシック"/>
            <family val="3"/>
            <charset val="128"/>
          </rPr>
          <t>chiba:
Black の単価に合わせて計算</t>
        </r>
      </text>
    </comment>
    <comment ref="E770" authorId="0" shapeId="0" xr:uid="{7F839983-82EB-427D-A0EF-1552A07AAD43}">
      <text>
        <r>
          <rPr>
            <b/>
            <sz val="9"/>
            <color indexed="81"/>
            <rFont val="ＭＳ Ｐゴシック"/>
            <family val="3"/>
            <charset val="128"/>
          </rPr>
          <t>chiba:
Black の単価に合わせて計算</t>
        </r>
      </text>
    </comment>
    <comment ref="D776" authorId="0" shapeId="0" xr:uid="{4F6ECCAD-445D-49D9-A191-8E84D79D7FE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2000 yds = abt 1829m</t>
        </r>
      </text>
    </comment>
    <comment ref="D784" authorId="0" shapeId="0" xr:uid="{1B3C351D-D915-4D06-AE68-2F1971E689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2000 yds = abt 1829m</t>
        </r>
      </text>
    </comment>
    <comment ref="E819" authorId="0" shapeId="0" xr:uid="{F8FB7B6A-2A5E-42C5-8CE8-D3EDEB99CD7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77" authorId="0" shapeId="0" xr:uid="{93361DD5-5A93-4C0B-83C7-1CAA14D59C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78" authorId="0" shapeId="0" xr:uid="{4DB00CAD-4508-4531-A4CC-F0975D582B4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79" authorId="0" shapeId="0" xr:uid="{A649F194-5885-4821-9822-B1734C37EC6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0" authorId="0" shapeId="0" xr:uid="{2E282FD9-9DB5-406F-8C7B-646458B3826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1" authorId="0" shapeId="0" xr:uid="{F63EC15C-EB0D-4806-87E4-F401DD96A05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2" authorId="0" shapeId="0" xr:uid="{AE4283C2-5B3E-487D-BE33-0872ECC6F80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3" authorId="0" shapeId="0" xr:uid="{00E60BD9-D21E-4756-A474-1303E0827F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Black単価で計算</t>
        </r>
      </text>
    </comment>
    <comment ref="E884" authorId="0" shapeId="0" xr:uid="{37A4166A-14C8-4965-87B4-7367B27FD15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5" authorId="0" shapeId="0" xr:uid="{26E24C78-E1FF-4FF0-BCE5-B79573F0673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6" authorId="0" shapeId="0" xr:uid="{610F086D-381D-4438-94A4-80312E2D0DD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88" authorId="0" shapeId="0" xr:uid="{74CBA3A4-D085-4CC0-B077-8FFB90375E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890" authorId="0" shapeId="0" xr:uid="{5B092F02-8849-4A75-B3FB-ED51DFBF176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57" authorId="0" shapeId="0" xr:uid="{3C59374C-9AEC-462F-BC0F-39D79633B1F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57" authorId="0" shapeId="0" xr:uid="{65781876-138A-4350-91A0-20C403CB452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58" authorId="0" shapeId="0" xr:uid="{BD14F419-345C-402E-8CFF-B653C4E9B86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58" authorId="0" shapeId="0" xr:uid="{D0B055D9-3908-495A-8F38-14D146366A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59" authorId="0" shapeId="0" xr:uid="{EB7D5154-08CC-42AC-8EA7-06B35528672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59" authorId="0" shapeId="0" xr:uid="{AA887A00-5B22-4582-B5B5-4C6001926FB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0" authorId="0" shapeId="0" xr:uid="{0231EED3-BA0E-4128-9E1C-3B0BCC3A7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0" authorId="0" shapeId="0" xr:uid="{90FAA93C-6F8E-4FC7-972F-B1EE8A3C0D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1" authorId="0" shapeId="0" xr:uid="{55DFA94C-D8AC-4031-A431-43C3F9F667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1" authorId="0" shapeId="0" xr:uid="{F7B3E3D5-580F-4A3D-B4C8-59B4D76A6B6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2" authorId="0" shapeId="0" xr:uid="{84017002-F27F-493C-9FF3-16A35BA6A59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2" authorId="0" shapeId="0" xr:uid="{A0843225-2284-40F6-974E-CE9C226C657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3" authorId="0" shapeId="0" xr:uid="{B4ADEA69-B3E2-47F0-8B80-7F45FB21633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3" authorId="0" shapeId="0" xr:uid="{DFBFE790-FAD8-4B19-81D4-3E061788AF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4" authorId="0" shapeId="0" xr:uid="{4056A699-51AD-4697-BEC7-1345580706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4" authorId="0" shapeId="0" xr:uid="{7ED51E98-2737-40E4-9A44-6DF8268966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5" authorId="0" shapeId="0" xr:uid="{73FD6C44-151A-4EBD-A1D1-8D74F7EAC55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7" authorId="0" shapeId="0" xr:uid="{8CA9B55D-AFB5-45CE-B72B-738184158E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7" authorId="0" shapeId="0" xr:uid="{8BEDECEA-0601-4B14-BC07-1301BE79EA7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8" authorId="0" shapeId="0" xr:uid="{2C849FCA-7592-4756-AC58-1DB2948D17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8" authorId="0" shapeId="0" xr:uid="{71CB47F5-D054-442A-AF6E-11A5E7438E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69" authorId="0" shapeId="0" xr:uid="{3E7FA7F6-45EB-429D-B146-0C828B7ACA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69" authorId="0" shapeId="0" xr:uid="{DE60246F-181C-4564-A7B4-BC8AAB9F32D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0" authorId="0" shapeId="0" xr:uid="{11B4AC93-A83B-48E9-A557-2CDF66F39C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0" authorId="0" shapeId="0" xr:uid="{451B6BBD-88A3-47AD-8656-80D314C585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1" authorId="0" shapeId="0" xr:uid="{739E668A-98FF-4315-B0F4-41D12CD70E7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1" authorId="0" shapeId="0" xr:uid="{028E8B6A-C0AA-4C50-81F9-AF4BDE7475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2" authorId="0" shapeId="0" xr:uid="{B8EC8B00-20CF-44AB-8B1B-1ED9C89AF25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4" authorId="0" shapeId="0" xr:uid="{1734FA64-A06F-4C1A-8A7E-1C33FFAFCF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4" authorId="0" shapeId="0" xr:uid="{A06E77CA-D253-491B-83B7-B8673242D1E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5" authorId="0" shapeId="0" xr:uid="{FD1BDB73-28BD-47C0-8256-E7D0BD38A11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5" authorId="0" shapeId="0" xr:uid="{843CDC19-2793-482C-831A-93528BB5B20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6" authorId="0" shapeId="0" xr:uid="{64499057-D84F-4445-9C08-B1543CFB233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6" authorId="0" shapeId="0" xr:uid="{A75FA72E-3D00-4439-A037-034EE6FFA88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7" authorId="0" shapeId="0" xr:uid="{0A6C2AB4-2C88-43AC-BBEB-1C6F20C4D4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7" authorId="0" shapeId="0" xr:uid="{CA657496-7464-4DEE-A1A6-AA83ECD4C3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8" authorId="0" shapeId="0" xr:uid="{D7157A92-EF53-4430-9EC9-4E5AEB57C4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8" authorId="0" shapeId="0" xr:uid="{A0B64F0B-9CFD-491B-9EE5-E2DC6A72F0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79" authorId="0" shapeId="0" xr:uid="{7AE10EBB-42AF-4716-9F6A-757C9B671B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79" authorId="0" shapeId="0" xr:uid="{0D005268-3305-412E-A5B6-3F3A9246A20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80" authorId="0" shapeId="0" xr:uid="{AB2E4C60-7DE8-4DC0-85F8-3279FED65B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80" authorId="0" shapeId="0" xr:uid="{3B7E92D1-C489-44E0-9489-4B2AE4FEF48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81" authorId="0" shapeId="0" xr:uid="{6768B79E-8723-44D7-A249-B728AB58DD5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81" authorId="0" shapeId="0" xr:uid="{547D7AED-136D-4E8E-92ED-42D786BB8AA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982" authorId="0" shapeId="0" xr:uid="{7DDD09D4-AE57-4F11-A109-D21F631A36F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86" authorId="0" shapeId="0" xr:uid="{D6C45CAA-AEE5-4678-9E16-6B47E6DE49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2000 yds = abt 1829m</t>
        </r>
      </text>
    </comment>
    <comment ref="D996" authorId="0" shapeId="0" xr:uid="{CD586621-51F5-40C9-A4C4-CC63E0FB70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97" authorId="0" shapeId="0" xr:uid="{8E05761B-E47B-4780-8C03-25631C43CC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98" authorId="0" shapeId="0" xr:uid="{C2452DF2-AC14-4118-84AD-42C5D02DBED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999" authorId="0" shapeId="0" xr:uid="{B416711C-60BC-4AB7-B844-3B9C66F76A2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0" authorId="0" shapeId="0" xr:uid="{3273A311-A78E-4F66-9ED4-EF2FC3F9C19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1" authorId="0" shapeId="0" xr:uid="{6D444045-804D-403E-B997-F8DBEA9A80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2" authorId="0" shapeId="0" xr:uid="{325D1476-A2DF-4D2D-A578-B0C7ED73C46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5" authorId="0" shapeId="0" xr:uid="{0E1058D3-7998-4C44-BB35-C71A5F08795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6" authorId="0" shapeId="0" xr:uid="{D01FCC85-C68D-481B-8105-8A4F7EE1A8C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7" authorId="0" shapeId="0" xr:uid="{5E8903ED-0FBA-4EAE-87AC-E063567199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8" authorId="0" shapeId="0" xr:uid="{5B4B1C6C-AAA6-425C-9D1D-38FDF0E9F1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09" authorId="0" shapeId="0" xr:uid="{20B95611-0D46-414F-959A-8AC0E2DCF8F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2" authorId="0" shapeId="0" xr:uid="{D2E386F4-63D4-4E96-9C42-36ADC12AA2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3" authorId="0" shapeId="0" xr:uid="{742426E6-2A76-4C6B-9213-DD64BD94537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4" authorId="0" shapeId="0" xr:uid="{A89405A3-EC90-4195-8622-57B0F8AFC6C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5" authorId="0" shapeId="0" xr:uid="{74570C2E-D98F-4C52-9F78-0A47FF1BCC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6" authorId="0" shapeId="0" xr:uid="{636180E6-B793-442A-BDFA-EBB4BCAAED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7" authorId="0" shapeId="0" xr:uid="{95728F58-07FC-4771-BD48-8BB098CBFFF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18" authorId="0" shapeId="0" xr:uid="{877C5D47-52A9-49F6-93B1-7CBB4EA3DF6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1" authorId="0" shapeId="0" xr:uid="{7C6F3FA8-E7FC-4C00-B791-8DFC647FF2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2" authorId="0" shapeId="0" xr:uid="{D6459C6A-884E-47DC-9A25-428AA237488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3" authorId="0" shapeId="0" xr:uid="{9C3AE7E9-FD2B-4D4D-B01A-2C0CE1FF79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4" authorId="0" shapeId="0" xr:uid="{9E93F8FC-191C-4943-BE35-CED451BD83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5" authorId="0" shapeId="0" xr:uid="{1FD37B54-6FBD-47BC-B092-941AA74B952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6" authorId="0" shapeId="0" xr:uid="{03C2129B-1621-46A7-B4E8-A127D0C3422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29" authorId="0" shapeId="0" xr:uid="{8B8C62EE-E186-4B8F-884B-8D1104C6C0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0" authorId="0" shapeId="0" xr:uid="{2FA671EE-8C11-451A-AF97-AE1A685834B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1" authorId="0" shapeId="0" xr:uid="{C208A6D6-7A95-4E16-B913-E5E355230C9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2" authorId="0" shapeId="0" xr:uid="{E81CE4DE-1E44-4139-9EFC-29E57F7296B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3" authorId="0" shapeId="0" xr:uid="{56C780A9-6DD1-47E5-BD67-65E90C3909B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4" authorId="0" shapeId="0" xr:uid="{603A8BD5-A86E-4419-84D0-134AC713D0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7" authorId="0" shapeId="0" xr:uid="{1B329D85-5D32-4BCB-ADE5-2EBB8DA508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8" authorId="0" shapeId="0" xr:uid="{DF4813CC-FCCD-4298-9431-E53A74623CC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39" authorId="0" shapeId="0" xr:uid="{AF0C370B-BB3C-4BC4-B6AD-F829B2F5344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40" authorId="0" shapeId="0" xr:uid="{C0B832C4-DFCA-4A39-A56C-F70C562117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41" authorId="0" shapeId="0" xr:uid="{68682E2D-DA20-4C61-B33B-0EB95D96FD1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42" authorId="0" shapeId="0" xr:uid="{4FDEAAD0-C3B7-449C-9BC2-F835D0D4793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45" authorId="0" shapeId="0" xr:uid="{0224AE00-8147-407F-B683-8600EA68417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46" authorId="0" shapeId="0" xr:uid="{0BF735F7-1DB2-4BE0-8DC7-744540093B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47" authorId="0" shapeId="0" xr:uid="{9780D31E-5365-4CC2-9930-406F4342B9B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48" authorId="0" shapeId="0" xr:uid="{3006B300-C5F8-4E45-9179-FE4C65F532F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49" authorId="0" shapeId="0" xr:uid="{B03B1C0D-D547-428D-A01E-80E9D25FBC9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50" authorId="0" shapeId="0" xr:uid="{90074DDA-349B-4D19-BCCB-D8D568A1A97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064" authorId="0" shapeId="0" xr:uid="{2726DF0A-A367-40CA-BB43-9A1C538E57F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65" authorId="0" shapeId="0" xr:uid="{6578F041-B337-491A-9D25-64A585B3D2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66" authorId="0" shapeId="0" xr:uid="{D768E0E3-C48F-4612-B310-A3B7A427FA0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67" authorId="0" shapeId="0" xr:uid="{18ADE1FD-54A4-48FC-A8F3-58B1186621E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68" authorId="0" shapeId="0" xr:uid="{D8D163F1-4BDE-41C2-9623-BB08A22CA9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69" authorId="0" shapeId="0" xr:uid="{765EB995-6FC3-49AE-9F64-D197D39BB58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0" authorId="0" shapeId="0" xr:uid="{D96DE37E-3825-47A3-80E8-9B5AB86980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4" authorId="0" shapeId="0" xr:uid="{6AF04365-5BA6-4C17-81EA-535F4DC6DB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5" authorId="0" shapeId="0" xr:uid="{F2925BD1-759D-4DB5-8CA0-9B3D625AB6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6" authorId="0" shapeId="0" xr:uid="{FC41F078-24A3-4DC7-82D1-B8E49C782F4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7" authorId="0" shapeId="0" xr:uid="{9F112E24-7B51-43D2-9C22-E40199FCA54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78" authorId="0" shapeId="0" xr:uid="{B8663BE8-9A1E-493A-B995-3F2D6A2EEAD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1" authorId="0" shapeId="0" xr:uid="{D6396881-3778-4F24-851B-05C6E6B58D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2" authorId="0" shapeId="0" xr:uid="{A579681C-3E38-4A90-B87A-230FE8C75BF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3" authorId="0" shapeId="0" xr:uid="{20B60A35-3684-4A66-9C20-43E825B6C2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4" authorId="0" shapeId="0" xr:uid="{431994FE-B573-4368-8BFD-F82FC93DCA5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5" authorId="0" shapeId="0" xr:uid="{0671071A-484D-4DF9-8187-6B434CEA3B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6" authorId="0" shapeId="0" xr:uid="{53816814-6A62-4733-A6A0-3A77556E526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87" authorId="0" shapeId="0" xr:uid="{9BC06003-460B-4235-B73B-3AF657BF16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90" authorId="0" shapeId="0" xr:uid="{9F5D44BD-825D-4D21-AD50-0B2D020FE2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98" authorId="0" shapeId="0" xr:uid="{2ADA3DDC-867C-44AB-9C99-8E5044AE36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099" authorId="0" shapeId="0" xr:uid="{CDF5662F-8AA1-40CD-B5BA-6C4F18E2567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0" authorId="0" shapeId="0" xr:uid="{5D84AFAA-7EC9-40FE-9A6A-C2FE5F89BEB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1" authorId="0" shapeId="0" xr:uid="{EB131BD1-629D-4F94-B082-0B5BD0D2E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2" authorId="0" shapeId="0" xr:uid="{F92AC481-534C-4EF3-89C2-46715AD48A1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3" authorId="0" shapeId="0" xr:uid="{D218F910-50E2-4EED-91DD-39CC96ED51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6" authorId="0" shapeId="0" xr:uid="{275D33EA-A668-4504-B20F-D948790DE06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7" authorId="0" shapeId="0" xr:uid="{C1B240FD-95A8-4727-A3AE-2D95F5AD51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8" authorId="0" shapeId="0" xr:uid="{5D0A3F90-3183-44C4-9DE3-331111E831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09" authorId="0" shapeId="0" xr:uid="{1A083B98-686D-4797-8934-5505189EC7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10" authorId="0" shapeId="0" xr:uid="{6F10C081-5F43-4722-88D2-1C9A855D298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11" authorId="0" shapeId="0" xr:uid="{6BD00D71-8148-460E-ACC6-A74FFAF4C0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14" authorId="0" shapeId="0" xr:uid="{4F3FEEE9-6A72-4B7B-A46D-017836C13C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15" authorId="0" shapeId="0" xr:uid="{716A9C9A-BB42-4FFE-8327-2909EE1FCA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16" authorId="0" shapeId="0" xr:uid="{518FDEAF-744E-437C-93AC-2FAD6B203DC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17" authorId="0" shapeId="0" xr:uid="{8F11858A-ECE1-46BA-8597-5B31D399E52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18" authorId="0" shapeId="0" xr:uid="{76B88AE1-22B8-4512-861D-8304C4ECC82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19" authorId="0" shapeId="0" xr:uid="{B69DA3FC-D856-4E5E-A619-72FDFA391E6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23" authorId="0" shapeId="0" xr:uid="{C488A0D8-2CC8-47DD-A328-FA86750A74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124" authorId="0" shapeId="0" xr:uid="{83110643-B2D8-4517-B5DE-9989D8BC85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D1125" authorId="0" shapeId="0" xr:uid="{343CB94B-BA33-408E-B9B5-51DE03D4C0C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140" authorId="0" shapeId="0" xr:uid="{2CC51C89-3976-44B7-B979-FF129AF9D1F9}">
      <text>
        <r>
          <rPr>
            <b/>
            <sz val="9"/>
            <color indexed="81"/>
            <rFont val="ＭＳ Ｐゴシック"/>
            <family val="3"/>
            <charset val="128"/>
          </rPr>
          <t>chiba:
Black単価に合わせて計算</t>
        </r>
      </text>
    </comment>
    <comment ref="E1141" authorId="0" shapeId="0" xr:uid="{1C72C4BE-3490-425B-8921-E0C67BF348A2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E1142" authorId="0" shapeId="0" xr:uid="{19C3328A-8860-4E1A-8B49-7A6F6CDE06CC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E1155" authorId="0" shapeId="0" xr:uid="{62F57B35-9DB5-4B20-973C-2C71B1DFCCB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レート90</t>
        </r>
      </text>
    </comment>
    <comment ref="E1162" authorId="0" shapeId="0" xr:uid="{ABAE8ADE-E81A-46FE-8286-9F7B234AEC3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25282-19 ￥134 に合わせて計算</t>
        </r>
      </text>
    </comment>
    <comment ref="D1167" authorId="0" shapeId="0" xr:uid="{AF36D3C2-DD83-40C2-958D-98B17680931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1反染め単価に合わせて計算</t>
        </r>
      </text>
    </comment>
    <comment ref="F1180" authorId="0" shapeId="0" xr:uid="{DEB6FF99-9068-4C2D-B7E2-29F27A6A5F36}">
      <text>
        <r>
          <rPr>
            <b/>
            <sz val="9"/>
            <color indexed="81"/>
            <rFont val="ＭＳ Ｐゴシック"/>
            <family val="3"/>
            <charset val="128"/>
          </rPr>
          <t>chiba:
Black単価に合わせて計算</t>
        </r>
      </text>
    </comment>
    <comment ref="F1181" authorId="0" shapeId="0" xr:uid="{35FA349A-D964-4496-9F9F-F4B93547E5FA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F1182" authorId="0" shapeId="0" xr:uid="{8B9F096B-7B78-4684-B3AF-F6399100C56D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F1183" authorId="0" shapeId="0" xr:uid="{1528B9CB-876F-4AFB-A998-1187CDD5BA4A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F1184" authorId="0" shapeId="0" xr:uid="{B6500AFD-4EDD-4F07-BD6C-5E19C84D1D24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F1185" authorId="0" shapeId="0" xr:uid="{F63F5CC5-3042-434F-87D0-66C3818F035D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F1186" authorId="0" shapeId="0" xr:uid="{89B27321-9600-4593-9EFA-FD6986C89403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</t>
        </r>
      </text>
    </comment>
    <comment ref="D1227" authorId="0" shapeId="0" xr:uid="{F000F8BD-8993-46A3-8D90-5BDEC3B7953A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D1231" authorId="0" shapeId="0" xr:uid="{EBF4AC00-78FA-4A6B-AAEC-E862F6A15469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1231" authorId="0" shapeId="0" xr:uid="{B702E650-90B9-4765-94E4-72A2C31F07F2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D1232" authorId="0" shapeId="0" xr:uid="{0F05ADED-1F61-4C05-AF19-B6A42880522D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1232" authorId="0" shapeId="0" xr:uid="{8B06A9FD-420B-40A8-8506-8D23D8B86460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1233" authorId="0" shapeId="0" xr:uid="{A0F37A0E-45E6-4AA2-A3BD-6A6406506770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D1237" authorId="0" shapeId="0" xr:uid="{D3DC2524-461C-4783-A3CD-0A05F9CEBEE7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D1238" authorId="0" shapeId="0" xr:uid="{A2EE48D4-E58F-4E8F-BD45-C5E76DFAD7C2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I1315" authorId="0" shapeId="0" xr:uid="{7AABC1AC-F355-4BCF-9A56-8C6194DC6B4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I1316" authorId="0" shapeId="0" xr:uid="{70260285-827D-4DF4-AC19-507419D22D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I1317" authorId="0" shapeId="0" xr:uid="{2847C1CC-D915-4C6C-8209-9B29C7DF61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374" authorId="0" shapeId="0" xr:uid="{FD505781-162B-4F9F-9FF1-E00B1865261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75" authorId="0" shapeId="0" xr:uid="{90269E91-DD05-4592-817E-39EFAA165E9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76" authorId="0" shapeId="0" xr:uid="{9F02D57A-DCD3-4EAC-A322-59271E201E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77" authorId="0" shapeId="0" xr:uid="{2063EC9B-D60F-4ACB-AD07-236C1870FE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78" authorId="0" shapeId="0" xr:uid="{8F984C05-1B22-462B-9009-B35847D0787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79" authorId="0" shapeId="0" xr:uid="{7B9AC0B3-9921-4C9A-B2BE-FD91231FC56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80" authorId="0" shapeId="0" xr:uid="{405509AD-7770-435C-BB96-5889B7A1F3F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81" authorId="0" shapeId="0" xr:uid="{54F869F7-017F-412B-A250-CEF1976BB3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83" authorId="0" shapeId="0" xr:uid="{F691551E-B2BD-44B0-AE5B-0D50EC319DB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384" authorId="0" shapeId="0" xr:uid="{5AE9B0C6-A7EB-4C5F-B2D9-03985556AC0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385" authorId="0" shapeId="0" xr:uid="{DB7B8DED-F31D-4B0E-9E68-B1432BD012A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387" authorId="0" shapeId="0" xr:uid="{8AC148FE-0750-4DCF-8771-8B9F6DBF72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88" authorId="0" shapeId="0" xr:uid="{31BCD8A6-48B5-4A91-8E89-303093082A7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89" authorId="0" shapeId="0" xr:uid="{9C797EF9-0D39-48A2-AEB0-7D7FB1B0726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0" authorId="0" shapeId="0" xr:uid="{1F57D145-19E2-4724-BD97-52765269912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1" authorId="0" shapeId="0" xr:uid="{56AFA143-0DEF-4927-AF8D-F305260BEB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2" authorId="0" shapeId="0" xr:uid="{F842175C-5D6F-4614-9FF8-D0CDD6287D2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4" authorId="0" shapeId="0" xr:uid="{588E0D37-81F1-4D3E-9D9F-96BD649972B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5" authorId="0" shapeId="0" xr:uid="{0D947827-AC6D-48C5-9557-F7F6B37ACC8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6" authorId="0" shapeId="0" xr:uid="{2C2F7731-561C-41FF-92F1-BC2B838EDC3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7" authorId="0" shapeId="0" xr:uid="{2C827EC1-D123-4F57-8ECF-E601F96C0C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98" authorId="0" shapeId="0" xr:uid="{CD6AF88F-7F7C-48E8-93F6-47C380CC52F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0" authorId="0" shapeId="0" xr:uid="{0A78ED04-49A3-4FAB-9216-B2604C3B53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1" authorId="0" shapeId="0" xr:uid="{D97A6929-0281-420B-82AC-4CA60824745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2" authorId="0" shapeId="0" xr:uid="{CD407276-AF37-40D1-B7E4-4FD9CDE6C7D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3" authorId="0" shapeId="0" xr:uid="{EE1095DD-3A96-4959-B022-17A8ACD19D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4" authorId="0" shapeId="0" xr:uid="{2A5550AF-66F0-4FC5-BCAA-E63A6619D9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5" authorId="0" shapeId="0" xr:uid="{DA6388E8-1162-46E7-9FFC-DB828F87D34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6" authorId="0" shapeId="0" xr:uid="{FB350924-A80D-479B-9D14-B815134B45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8" authorId="0" shapeId="0" xr:uid="{F3A4F30D-9B1F-43EA-A6E7-3DE14A86113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09" authorId="0" shapeId="0" xr:uid="{12A140D6-4861-4DD8-B4EE-BEC585F23E7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10" authorId="0" shapeId="0" xr:uid="{1D186191-CA14-4249-8915-61FCA59174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11" authorId="0" shapeId="0" xr:uid="{FD292668-80A2-4D08-B2A3-163E5103C4E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28" authorId="0" shapeId="0" xr:uid="{9218A3D4-9470-41A6-A9A8-F06C22FF465C}">
      <text>
        <r>
          <rPr>
            <b/>
            <sz val="9"/>
            <color indexed="81"/>
            <rFont val="ＭＳ Ｐゴシック"/>
            <family val="3"/>
            <charset val="128"/>
          </rPr>
          <t>chiba:
オフ白+1反アップ50/m + 染色代500/m</t>
        </r>
      </text>
    </comment>
    <comment ref="E1429" authorId="0" shapeId="0" xr:uid="{C4F2C678-4D8A-4E4E-9B1F-8DB8F615579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36" authorId="0" shapeId="0" xr:uid="{6AB20B39-7457-4DC5-ADF2-16CAF7B13E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37" authorId="0" shapeId="0" xr:uid="{02D9F3DD-43AF-4BA3-A84C-8E39BB13F8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38" authorId="0" shapeId="0" xr:uid="{344CF3C6-8A58-4799-AEC6-7D31C65533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39" authorId="0" shapeId="0" xr:uid="{79A7A7C8-643F-457F-BAC2-531EFD2772C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40" authorId="0" shapeId="0" xr:uid="{ECC2FFB0-C90A-43CA-A17B-84EFE0C3E9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41" authorId="0" shapeId="0" xr:uid="{CB71932B-37BB-41F7-AC3B-F4500702345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42" authorId="0" shapeId="0" xr:uid="{7D9DEA87-3225-44C6-8B09-EE25277F0B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43" authorId="0" shapeId="0" xr:uid="{F18374F2-233F-4093-856D-640F611AE4A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45" authorId="0" shapeId="0" xr:uid="{1CE5FD40-63FD-4BA0-9C57-20886D7A19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446" authorId="0" shapeId="0" xr:uid="{573722F5-9F43-4026-B572-85339ED6687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447" authorId="0" shapeId="0" xr:uid="{CCDB8080-0604-4885-8B51-43E652206F7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449" authorId="0" shapeId="0" xr:uid="{99C618AE-DF8B-4A51-914A-1934819150C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0" authorId="0" shapeId="0" xr:uid="{D223DAC1-5F2E-4FA2-B643-B09D2410540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1" authorId="0" shapeId="0" xr:uid="{6F072BD1-8838-4606-890E-59D5D1EA4D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2" authorId="0" shapeId="0" xr:uid="{7245D777-8ECE-4312-BBC9-15E155AE640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3" authorId="0" shapeId="0" xr:uid="{CC90D1FD-6ADD-4AF6-9204-2A33BA1ECE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4" authorId="0" shapeId="0" xr:uid="{52CBB806-821C-43D5-BE4D-7A735E62387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6" authorId="0" shapeId="0" xr:uid="{D58DC1D1-2A54-4B66-B7FA-F42B9A47FE7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7" authorId="0" shapeId="0" xr:uid="{5E2024A6-9C80-4736-BF87-CF500C2E6D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8" authorId="0" shapeId="0" xr:uid="{1609146B-7600-4700-895D-5A296AAEF5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59" authorId="0" shapeId="0" xr:uid="{19431889-E056-4A6A-BDBD-79DAA46108F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0" authorId="0" shapeId="0" xr:uid="{1073B275-2AE9-4459-A9D4-CC2380B15DE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2" authorId="0" shapeId="0" xr:uid="{1DF87A29-E217-4D0B-8CAB-8BBB1D9DDD2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3" authorId="0" shapeId="0" xr:uid="{0F86138E-C253-4004-9A69-EAD7277DD21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4" authorId="0" shapeId="0" xr:uid="{17B5EEBB-1888-4B91-B07F-86457EFBBFF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5" authorId="0" shapeId="0" xr:uid="{58A9BAEA-E1BB-4335-AB0F-47D538642DE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6" authorId="0" shapeId="0" xr:uid="{3EB29CCB-E5A2-43BF-AB25-392145792AB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7" authorId="0" shapeId="0" xr:uid="{BE98837D-3E46-4F51-B93D-2240E40805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68" authorId="0" shapeId="0" xr:uid="{3211914D-F7DD-4B38-A35E-5ADD1ACA85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0" authorId="0" shapeId="0" xr:uid="{75FF2605-2017-4F0B-91F5-E13BE9A116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1" authorId="0" shapeId="0" xr:uid="{16215E07-CBA7-4004-9D29-90D111493CF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2" authorId="0" shapeId="0" xr:uid="{4B8AC492-3F9D-42B5-ABC9-012A621FCD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3" authorId="0" shapeId="0" xr:uid="{EA07AB84-BCDE-4E0D-BD83-FF730BCBE1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5" authorId="0" shapeId="0" xr:uid="{034D7D99-4C52-4DD9-AB2F-F519937F306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6" authorId="0" shapeId="0" xr:uid="{BDD051DF-DB6B-4FED-8D4B-A48C6F017B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7" authorId="0" shapeId="0" xr:uid="{8B29F132-528A-4DC6-B909-16621DF14C3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8" authorId="0" shapeId="0" xr:uid="{680CB457-8945-4C89-AC72-6752A18DBC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79" authorId="0" shapeId="0" xr:uid="{6704B6CA-9387-48EB-B644-FCF49DCC05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80" authorId="0" shapeId="0" xr:uid="{7375669B-D056-4033-B895-B20B7AFA23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81" authorId="0" shapeId="0" xr:uid="{272D3A20-7C60-4386-A265-50D3ABDB694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82" authorId="0" shapeId="0" xr:uid="{F07E3B5A-2862-46F9-8B7D-308C89E3346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2" authorId="0" shapeId="0" xr:uid="{9B462165-04E8-45E3-81D0-EFB180F42CB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3" authorId="0" shapeId="0" xr:uid="{4F6FA296-27A6-4562-BB84-BB4F0F0318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4" authorId="0" shapeId="0" xr:uid="{996E7E89-CCAC-4AE0-BDE5-C33C59BDF1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5" authorId="0" shapeId="0" xr:uid="{DA239317-F476-4BF4-8EF5-1C99C7EC5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6" authorId="0" shapeId="0" xr:uid="{144ECEFE-F270-41A5-B846-AC6A654F317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7" authorId="0" shapeId="0" xr:uid="{406727B8-FC9C-4C7E-9399-55FD238F44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8" authorId="0" shapeId="0" xr:uid="{EF789E35-8E7C-4E09-8E8C-43D03C051D4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499" authorId="0" shapeId="0" xr:uid="{40054AF3-9972-4A9B-B376-F057EF4AB0F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01" authorId="0" shapeId="0" xr:uid="{7A0F98C0-5638-4801-A140-C59576284E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502" authorId="0" shapeId="0" xr:uid="{8EFF3B4D-6EED-44E4-B711-517B74DEC0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503" authorId="0" shapeId="0" xr:uid="{7ADED4A5-8C94-434C-9811-1DBB2D0E010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E1505" authorId="0" shapeId="0" xr:uid="{6015CFDC-E29C-4171-A7FF-F8E55875D28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06" authorId="0" shapeId="0" xr:uid="{21E964A1-3549-4E09-A25E-18060FF7B23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07" authorId="0" shapeId="0" xr:uid="{28C502F3-BD02-47D9-828A-E271ABB4F7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08" authorId="0" shapeId="0" xr:uid="{2CEA9CC4-3152-480B-BAF2-7961A793336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09" authorId="0" shapeId="0" xr:uid="{CC147749-9EFE-408F-B8A9-0DBC7EB408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0" authorId="0" shapeId="0" xr:uid="{0DCAA1A4-04B2-4C8F-BD9D-DAA95E2C8C0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2" authorId="0" shapeId="0" xr:uid="{C6003F95-A9D0-4800-8F19-203CD245162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3" authorId="0" shapeId="0" xr:uid="{89C4CC94-D5AF-4AF7-B01F-869866D3D9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4" authorId="0" shapeId="0" xr:uid="{A5A749C4-6D9D-4636-8CAC-316FCBB416A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5" authorId="0" shapeId="0" xr:uid="{FF7C2E61-44A1-4B98-B1DF-3D9A23851A9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6" authorId="0" shapeId="0" xr:uid="{496131A9-9495-496D-B360-CEDE179291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8" authorId="0" shapeId="0" xr:uid="{FE8EFEC1-45FE-452C-807F-B45AD358241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19" authorId="0" shapeId="0" xr:uid="{6E2F3F20-ED58-4B40-A5BD-576E18D080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0" authorId="0" shapeId="0" xr:uid="{759D0F03-4D4F-4311-B861-3D1263DE7D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1" authorId="0" shapeId="0" xr:uid="{DDDEFF2F-6D81-4183-9EEC-8E9ECF12779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2" authorId="0" shapeId="0" xr:uid="{3DD1B032-A5FF-401E-8040-402CF36A58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3" authorId="0" shapeId="0" xr:uid="{7A5F24C8-DF7F-4328-A7B2-F90901ECFF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4" authorId="0" shapeId="0" xr:uid="{7274ADCB-CC67-4D78-882A-798439BBEEA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6" authorId="0" shapeId="0" xr:uid="{0FCC4337-1D1F-45E7-BB97-2E6B274F73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7" authorId="0" shapeId="0" xr:uid="{43523B67-F0D9-4653-94B4-346F8F506AC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8" authorId="0" shapeId="0" xr:uid="{95E7295D-73DF-4035-AC44-71F3CF72B07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29" authorId="0" shapeId="0" xr:uid="{D0A9484F-9D31-4CE6-A7E4-1CBD1BE159C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1" authorId="0" shapeId="0" xr:uid="{02330BE7-8974-4665-B46A-97C2A3DBC71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2" authorId="0" shapeId="0" xr:uid="{4E027704-9449-4618-A223-7DB6D534853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3" authorId="0" shapeId="0" xr:uid="{140F6674-C424-4E42-B7E8-C608C2740A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4" authorId="0" shapeId="0" xr:uid="{5B8C176A-A674-4782-9EAD-49FB874DA66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5" authorId="0" shapeId="0" xr:uid="{0EA59C29-E480-4AA8-9FD3-B289DF428AC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6" authorId="0" shapeId="0" xr:uid="{CB4E32DA-02C0-4ECE-8B27-7266A9637F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7" authorId="0" shapeId="0" xr:uid="{90041E37-29F4-4BA1-B000-43383CD8826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38" authorId="0" shapeId="0" xr:uid="{D598C2AD-04C3-49CC-B99C-A1549187F0E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543" authorId="0" shapeId="0" xr:uid="{7379B80B-4199-4BA8-BD0C-380E1A63D0D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
350m 以上はバルク単価</t>
        </r>
      </text>
    </comment>
    <comment ref="E1544" authorId="0" shapeId="0" xr:uid="{264C7A53-DFF7-4BD9-A25A-F133EE14B2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1545" authorId="0" shapeId="0" xr:uid="{43EBBFF0-5864-44D3-B4BC-CC2604FE163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
350m 以上はバルク単価</t>
        </r>
      </text>
    </comment>
    <comment ref="F1548" authorId="1" shapeId="0" xr:uid="{549702B6-C8CE-4F38-984A-24B27786F66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レート95
</t>
        </r>
      </text>
    </comment>
    <comment ref="B1556" authorId="1" shapeId="0" xr:uid="{B413E47C-3F69-4E35-A19F-C3778F86CD8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黄色7/18出荷分</t>
        </r>
      </text>
    </comment>
    <comment ref="A1613" authorId="1" shapeId="0" xr:uid="{02775F02-8686-4061-A42F-F5D0FF60F8D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S-9779</t>
        </r>
      </text>
    </comment>
    <comment ref="A1614" authorId="1" shapeId="0" xr:uid="{B647736C-A82D-47FA-905C-FEF3C43CBFA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OAL-190716</t>
        </r>
      </text>
    </comment>
    <comment ref="A1615" authorId="1" shapeId="0" xr:uid="{A1386B6E-2971-4A22-BABE-FD48E8BDA6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OAL-190716</t>
        </r>
      </text>
    </comment>
    <comment ref="A1616" authorId="1" shapeId="0" xr:uid="{8538D22F-6259-48EB-836F-98BB45A24E6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OAL-190716</t>
        </r>
      </text>
    </comment>
    <comment ref="A1617" authorId="1" shapeId="0" xr:uid="{DB57623B-0FE5-46B8-B597-A3F36B71F3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OAL-190716</t>
        </r>
      </text>
    </comment>
    <comment ref="A1619" authorId="1" shapeId="0" xr:uid="{D6F599E7-4145-4E89-94AF-86661E58B42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OAL-190718
</t>
        </r>
      </text>
    </comment>
    <comment ref="A1620" authorId="1" shapeId="0" xr:uid="{A6CD87DB-5B1C-410B-81E3-2D9CCB92965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OAL-190718
</t>
        </r>
      </text>
    </comment>
    <comment ref="A1621" authorId="1" shapeId="0" xr:uid="{F10E4AF6-050A-460F-88E2-512E7DA9E30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OAL-190718
</t>
        </r>
      </text>
    </comment>
    <comment ref="F1631" authorId="0" shapeId="0" xr:uid="{250B69CE-85FC-4179-841C-AF7A08C22B0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オフ白+1反アップ50/m </t>
        </r>
      </text>
    </comment>
    <comment ref="F1632" authorId="0" shapeId="0" xr:uid="{F785999B-BC2E-4555-93F0-28226BEC6DC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647" authorId="0" shapeId="0" xr:uid="{A397E6BE-4525-4249-8B94-BD80B75628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 </t>
        </r>
      </text>
    </comment>
    <comment ref="E1651" authorId="0" shapeId="0" xr:uid="{1911E0D8-04A0-42ED-A18E-C1D16A4EB62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1652" authorId="0" shapeId="0" xr:uid="{2BE639D9-0FEA-4A6F-B946-082B78E721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D1662" authorId="0" shapeId="0" xr:uid="{D5545AA5-FBE4-454E-8DD7-D5D10BF502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1737" authorId="0" shapeId="0" xr:uid="{A86FB3D1-9909-4205-AFA7-8C4D4EEFF0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1738" authorId="0" shapeId="0" xr:uid="{99804FFC-82C9-46F6-BF98-BF37A259AC6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D1761" authorId="0" shapeId="0" xr:uid="{5B838EA2-D2CC-43E8-AEC1-B5D55DCFA2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D1762" authorId="0" shapeId="0" xr:uid="{CD635C59-19A6-4DBE-947F-88BD8D483C9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D1763" authorId="0" shapeId="0" xr:uid="{A69B3E2E-71E2-4B4D-9090-2241B98B9C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D1764" authorId="0" shapeId="0" xr:uid="{84A362A8-A153-4C35-8A4D-BCFB11C56D4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69" authorId="0" shapeId="0" xr:uid="{D8F761CE-D693-40D5-AEB8-5EAF792D1F5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0" authorId="0" shapeId="0" xr:uid="{89F601BE-FE7D-47E4-A75C-9066CF05B8E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1" authorId="0" shapeId="0" xr:uid="{658C9C11-6780-498D-8165-2881B0B277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2" authorId="0" shapeId="0" xr:uid="{1EAE89BF-EBD1-4EC4-A2A0-3124D9C9E22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5" authorId="0" shapeId="0" xr:uid="{413C0D39-FAB3-4252-A42F-FC1B6033718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6" authorId="0" shapeId="0" xr:uid="{90B8481D-B503-43A0-BDEA-B2B9ED19FA0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7" authorId="0" shapeId="0" xr:uid="{E095EB79-5262-42BD-8429-4FB76F03FF7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E1778" authorId="0" shapeId="0" xr:uid="{6DF2A456-D695-4B9A-84F1-662FB452048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 </t>
        </r>
      </text>
    </comment>
    <comment ref="D1813" authorId="0" shapeId="0" xr:uid="{669F29A3-14AD-46C6-9AF5-25A1F73E930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D1814" authorId="0" shapeId="0" xr:uid="{8C3223C9-5D3E-4ACC-A595-8A2330493A5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1855" authorId="0" shapeId="0" xr:uid="{D75ACAD4-C920-4CCA-BD32-3BDCB2F35179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1856" authorId="0" shapeId="0" xr:uid="{0BA01305-56E1-4F19-AA31-12AE05960E5B}">
      <text>
        <r>
          <rPr>
            <b/>
            <sz val="9"/>
            <color indexed="81"/>
            <rFont val="ＭＳ Ｐゴシック"/>
            <family val="3"/>
            <charset val="128"/>
          </rPr>
          <t>chiba:
染色込み単価に合わせて計算</t>
        </r>
      </text>
    </comment>
    <comment ref="E2074" authorId="0" shapeId="0" xr:uid="{2CBBA77C-4D73-4CD9-8B44-1E962B0EE79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075" authorId="0" shapeId="0" xr:uid="{0B335637-39C3-471E-A420-6963888C74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D2152" authorId="0" shapeId="0" xr:uid="{37C79EFF-7CE7-4C51-95AD-C09975D195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166" authorId="0" shapeId="0" xr:uid="{3CE83434-24E2-4977-A318-6B9508EF804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E2179" authorId="0" shapeId="0" xr:uid="{41873145-4B1F-4530-AA91-B5839DD62C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レート90</t>
        </r>
      </text>
    </comment>
    <comment ref="E2188" authorId="0" shapeId="0" xr:uid="{F6EF9DDD-2E1B-48DB-BD75-43550556EB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Correct price USD 0.42/m
間違いでUSD 0.30/m なので、客・NY 10% ずつ</t>
        </r>
      </text>
    </comment>
    <comment ref="E2189" authorId="0" shapeId="0" xr:uid="{B5D7DBC6-4C20-4B6D-BA15-A2EE8F3BF8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Correct price USD 0.42/m
間違いでUSD 0.30/m なので、客・NY 10% ずつ</t>
        </r>
      </text>
    </comment>
    <comment ref="E2190" authorId="0" shapeId="0" xr:uid="{6527E6FD-907B-47C3-B38E-EEBA122026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Correct price USD 0.42/m
間違いでUSD 0.30/m なので、客・NY 10% ずつ</t>
        </r>
      </text>
    </comment>
    <comment ref="E2191" authorId="0" shapeId="0" xr:uid="{840E045D-3339-4811-980B-CB1268E495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Correct price USD 0.42/m
間違いでUSD 0.30/m なので、客・NY 10% ずつ</t>
        </r>
      </text>
    </comment>
    <comment ref="E2195" authorId="0" shapeId="0" xr:uid="{3D5A09EE-F789-4674-BA07-A4806C75A8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196" authorId="0" shapeId="0" xr:uid="{5F4EFBF4-0EAD-4471-9268-3FA8E724FDA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202" authorId="0" shapeId="0" xr:uid="{C74D5500-FB32-4DFE-8C05-EF874DADAB2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203" authorId="0" shapeId="0" xr:uid="{1D503910-5739-443D-ADFE-B4F3DBE4F9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204" authorId="0" shapeId="0" xr:uid="{B1D0BD2B-84D9-485B-97F8-3FA3A102660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D2306" authorId="0" shapeId="0" xr:uid="{EB0C7C12-E545-450A-8264-C9C5C7FD09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312" authorId="0" shapeId="0" xr:uid="{60123DC2-245C-4395-B9DC-98F7645E003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313" authorId="0" shapeId="0" xr:uid="{7401F08B-3873-4363-AC45-F34AC99DE7B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D2328" authorId="0" shapeId="0" xr:uid="{E6275BF1-F4C9-4D4E-BD15-F14DE19F2D1C}">
      <text>
        <r>
          <rPr>
            <b/>
            <sz val="9"/>
            <color indexed="81"/>
            <rFont val="ＭＳ Ｐゴシック"/>
            <family val="3"/>
            <charset val="128"/>
          </rPr>
          <t>chiba:
染色代込み単価に合わせて計算</t>
        </r>
      </text>
    </comment>
    <comment ref="E2336" authorId="0" shapeId="0" xr:uid="{3A4F5FAB-C089-4600-B5D6-BC1311E40A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337" authorId="0" shapeId="0" xr:uid="{7FBF98A8-2959-4A74-8F67-22F22744130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レート￥95くらい</t>
        </r>
      </text>
    </comment>
    <comment ref="E2402" authorId="0" shapeId="0" xr:uid="{0369FFB0-DEAE-413C-BD01-56ED5C86BB7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レート95
</t>
        </r>
      </text>
    </comment>
    <comment ref="E2409" authorId="0" shapeId="0" xr:uid="{8411BB4F-6B7F-4E78-AD84-B9CB79CCC3EB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</t>
        </r>
        <r>
          <rPr>
            <sz val="9"/>
            <color indexed="81"/>
            <rFont val="ＭＳ Ｐゴシック"/>
            <family val="3"/>
            <charset val="128"/>
          </rPr>
          <t xml:space="preserve">レート￥90
</t>
        </r>
      </text>
    </comment>
    <comment ref="E2463" authorId="0" shapeId="0" xr:uid="{B2214287-9B1C-43F5-9394-9E2159E3A6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2464" authorId="0" shapeId="0" xr:uid="{AB4876CC-D543-4446-B8C0-0996CB2923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2465" authorId="0" shapeId="0" xr:uid="{07A0FE77-F5FD-4E49-8522-0D4718778E1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2570" authorId="0" shapeId="0" xr:uid="{ECE74597-FB8D-410E-A551-5C5115C47D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0.40/m  
CIF HK Price  USD 0.63/m 
</t>
        </r>
      </text>
    </comment>
    <comment ref="A2594" authorId="1" shapeId="0" xr:uid="{BA8F0CFE-8B3B-42AE-898E-140DBEF71E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2525</t>
        </r>
      </text>
    </comment>
    <comment ref="A2596" authorId="1" shapeId="0" xr:uid="{6516D66E-09FA-4A7A-9044-79AC625E81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S-1374</t>
        </r>
      </text>
    </comment>
    <comment ref="D2736" authorId="0" shapeId="0" xr:uid="{2AF57F6F-D97C-4F95-963B-78D886313C8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レート￥90
</t>
        </r>
      </text>
    </comment>
    <comment ref="D2737" authorId="0" shapeId="0" xr:uid="{9894D140-2CEA-42B4-BF47-8DA9A9DF795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レート￥90
</t>
        </r>
      </text>
    </comment>
    <comment ref="D2738" authorId="0" shapeId="0" xr:uid="{04578D36-7F24-4FA1-982C-E0ED090F3E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レート￥90
</t>
        </r>
      </text>
    </comment>
    <comment ref="D2739" authorId="0" shapeId="0" xr:uid="{82664B6F-1BDC-44D9-9DF6-BFB8853F230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レート￥90
</t>
        </r>
      </text>
    </comment>
    <comment ref="D2740" authorId="0" shapeId="0" xr:uid="{C728C53F-FE53-4FB7-A901-461B1212B4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レート￥90
</t>
        </r>
      </text>
    </comment>
    <comment ref="F2852" authorId="0" shapeId="0" xr:uid="{BB2A034D-370C-46AE-93BA-B81E00F902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0.40/m  
CIF HK Price  USD 0.63/m 
</t>
        </r>
      </text>
    </comment>
    <comment ref="D2864" authorId="0" shapeId="0" xr:uid="{60E60847-3709-4FC9-A121-71C0023C81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2865" authorId="0" shapeId="0" xr:uid="{D7902953-1271-42AF-846F-9159C84C07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2866" authorId="0" shapeId="0" xr:uid="{02042B84-F323-4F4D-A7F0-30419EFDC58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2871" authorId="0" shapeId="0" xr:uid="{3BAC07D4-2C6F-48E6-92D5-7409F1B15D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2890" authorId="0" shapeId="0" xr:uid="{4A841533-0158-493D-B82A-DE00AB6788F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D2891" authorId="0" shapeId="0" xr:uid="{7289FA0A-386E-4CE2-9930-0E1976D2D93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</t>
        </r>
      </text>
    </comment>
    <comment ref="D2933" authorId="0" shapeId="0" xr:uid="{086093F0-1FD1-4C3E-81B7-165F95727A15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</t>
        </r>
        <r>
          <rPr>
            <sz val="9"/>
            <color indexed="81"/>
            <rFont val="ＭＳ Ｐゴシック"/>
            <family val="3"/>
            <charset val="128"/>
          </rPr>
          <t xml:space="preserve">レート￥90
</t>
        </r>
      </text>
    </comment>
    <comment ref="D2934" authorId="0" shapeId="0" xr:uid="{A633643D-B2A2-4F31-8BF0-B6A9F2A5DFD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</t>
        </r>
        <r>
          <rPr>
            <sz val="9"/>
            <color indexed="81"/>
            <rFont val="ＭＳ Ｐゴシック"/>
            <family val="3"/>
            <charset val="128"/>
          </rPr>
          <t xml:space="preserve">レート￥90
</t>
        </r>
      </text>
    </comment>
    <comment ref="G2964" authorId="0" shapeId="0" xr:uid="{B279AD77-9324-413C-A3A2-63181F82D12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レート90</t>
        </r>
      </text>
    </comment>
    <comment ref="G2965" authorId="0" shapeId="0" xr:uid="{CEFAB1CA-A3F2-40F1-92F3-E566913E5E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レート90</t>
        </r>
      </text>
    </comment>
    <comment ref="C2979" authorId="1" shapeId="0" xr:uid="{3356FDB9-BB0A-4EC3-853A-5016CB5620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2525</t>
        </r>
      </text>
    </comment>
    <comment ref="C2981" authorId="1" shapeId="0" xr:uid="{3F406F41-07CA-4913-9B26-D3554284C1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2576</t>
        </r>
      </text>
    </comment>
    <comment ref="M2983" authorId="1" shapeId="0" xr:uid="{5E4D5201-3FBC-4E55-9773-23E6ACEC04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レート90円固定</t>
        </r>
      </text>
    </comment>
    <comment ref="C3055" authorId="1" shapeId="0" xr:uid="{2A6E9F36-9132-4B4B-A21A-0DA0F277E18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1600yds = 1463.04m </t>
        </r>
      </text>
    </comment>
    <comment ref="D3068" authorId="0" shapeId="0" xr:uid="{6AA5E8B8-575E-4FBB-84D5-DD934224D8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次回よりUSD 4.45 /m </t>
        </r>
      </text>
    </comment>
    <comment ref="D3069" authorId="0" shapeId="0" xr:uid="{27AA6312-07EF-4714-AD72-22B14A2F5B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次回よりUSD 9.31/m</t>
        </r>
      </text>
    </comment>
    <comment ref="D3070" authorId="0" shapeId="0" xr:uid="{43229FA1-5653-4715-847B-5196C10249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次回よりUSD 3.34/m</t>
        </r>
      </text>
    </comment>
    <comment ref="E3094" authorId="0" shapeId="0" xr:uid="{7CA89107-8E47-4B69-B493-3525FE33F93A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オフ白+1反アップ50/m </t>
        </r>
      </text>
    </comment>
    <comment ref="E3136" authorId="0" shapeId="0" xr:uid="{DC05C9B4-4B25-4898-ACCF-062C94FA8B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次回よりUSD 4.45 /m </t>
        </r>
      </text>
    </comment>
    <comment ref="E3137" authorId="0" shapeId="0" xr:uid="{C95338F6-A031-47F2-9421-8EEB2D8A0C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次回よりUSD 4.45 /m </t>
        </r>
      </text>
    </comment>
    <comment ref="D3156" authorId="0" shapeId="0" xr:uid="{CCAF2BE4-EB83-4E67-93C8-E08C88550D3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157" authorId="0" shapeId="0" xr:uid="{40D39B2D-55BC-4072-BEFD-45E2DC0DED0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163" authorId="0" shapeId="0" xr:uid="{08B26C50-F4BA-4113-B429-57C11C8CF10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</t>
        </r>
        <r>
          <rPr>
            <sz val="9"/>
            <color indexed="81"/>
            <rFont val="ＭＳ Ｐゴシック"/>
            <family val="3"/>
            <charset val="128"/>
          </rPr>
          <t xml:space="preserve">EXW JAPAN : USD 4.45 
Freight : 1.67 /m 
C&amp;F HK : USD 6.12
</t>
        </r>
      </text>
    </comment>
    <comment ref="D3167" authorId="0" shapeId="0" xr:uid="{4F152621-3382-4655-942F-62C94B64B97B}">
      <text>
        <r>
          <rPr>
            <b/>
            <sz val="9"/>
            <color indexed="81"/>
            <rFont val="ＭＳ Ｐゴシック"/>
            <family val="3"/>
            <charset val="128"/>
          </rPr>
          <t>chiba:
バルク単価</t>
        </r>
        <r>
          <rPr>
            <sz val="9"/>
            <color indexed="81"/>
            <rFont val="ＭＳ Ｐゴシック"/>
            <family val="3"/>
            <charset val="128"/>
          </rPr>
          <t xml:space="preserve">EXW JAPAN : USD 3.75/m 
Freight : 0.36 /m
Insurance : USD 0.05/m 
 CIF HK : USD 4.16/m
</t>
        </r>
      </text>
    </comment>
    <comment ref="D3168" authorId="0" shapeId="0" xr:uid="{31763AE5-B47E-456E-B760-E656899A434A}">
      <text>
        <r>
          <rPr>
            <b/>
            <sz val="9"/>
            <color indexed="81"/>
            <rFont val="ＭＳ Ｐゴシック"/>
            <family val="3"/>
            <charset val="128"/>
          </rPr>
          <t>chiba:
バルク単価</t>
        </r>
        <r>
          <rPr>
            <sz val="9"/>
            <color indexed="81"/>
            <rFont val="ＭＳ Ｐゴシック"/>
            <family val="3"/>
            <charset val="128"/>
          </rPr>
          <t xml:space="preserve">EXW JAPAN : USD 3.75/m 
Freight : 0.36 /m
Insurance : USD 0.05/m 
 CIF HK : USD 4.16/m
</t>
        </r>
      </text>
    </comment>
    <comment ref="E3172" authorId="0" shapeId="0" xr:uid="{DA541EA0-B857-494E-9FA9-8B6D6EFC50C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3190" authorId="0" shapeId="0" xr:uid="{603AE2CD-AA0A-46C9-952F-F61A8197BEC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3191" authorId="0" shapeId="0" xr:uid="{9C0D8CEE-F113-48B3-AFDF-266CBEC123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3206" authorId="0" shapeId="0" xr:uid="{B8CC02A4-40A5-4692-A384-737674D0E26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3207" authorId="0" shapeId="0" xr:uid="{F250466F-AE22-47B1-BCCF-3A195D10E57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211" authorId="0" shapeId="0" xr:uid="{64917300-F479-4F2E-9619-DCB6119036C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D3212" authorId="0" shapeId="0" xr:uid="{758C19CD-2B7C-459D-BC05-F3453268A3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E3241" authorId="1" shapeId="0" xr:uid="{14E9F33A-79FF-4972-A8A9-A36AC47D071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D3245" authorId="1" shapeId="0" xr:uid="{2219B362-D63F-4EDC-A940-08E818D24D7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300yds = abt 274m </t>
        </r>
      </text>
    </comment>
    <comment ref="E3245" authorId="0" shapeId="0" xr:uid="{3539394B-F10D-4D28-B898-960D8BE8DF37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
オフ白+1反アップ50/m </t>
        </r>
      </text>
    </comment>
    <comment ref="F3270" authorId="1" shapeId="0" xr:uid="{72585185-2522-46EB-900B-4AE32D94875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F3271" authorId="1" shapeId="0" xr:uid="{69D99393-3370-4D9F-B71A-2072EEA2D6B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F3272" authorId="1" shapeId="0" xr:uid="{9A682782-86C6-4B00-8D08-A071FE359F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次回からUSD 0.58
</t>
        </r>
      </text>
    </comment>
    <comment ref="D3279" authorId="0" shapeId="0" xr:uid="{30C6682D-EDAA-4BD3-BB7D-02C707A874B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280" authorId="0" shapeId="0" xr:uid="{FE51108C-98E5-41B7-8E24-39F1B402D9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281" authorId="0" shapeId="0" xr:uid="{9B4018D8-0237-41BD-8A23-45A8783B051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282" authorId="0" shapeId="0" xr:uid="{92E57485-517C-407A-8465-0F0658D4A0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359" authorId="0" shapeId="0" xr:uid="{727AEBE5-2A09-483F-BFFC-615143A6CFF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360" authorId="0" shapeId="0" xr:uid="{A294E417-65BB-4FD1-8AB4-8D4D5EB7373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361" authorId="0" shapeId="0" xr:uid="{9E5FFDFC-17E3-418B-B713-198611EB2F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362" authorId="0" shapeId="0" xr:uid="{E888368E-6819-4B7D-88EA-956BFCE72AB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400" authorId="0" shapeId="0" xr:uid="{ECEC826C-D634-4041-9671-F9A02CED7E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401" authorId="0" shapeId="0" xr:uid="{F8617A02-52E7-4063-870A-3C813025802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480" authorId="0" shapeId="0" xr:uid="{13C7E778-E8BB-478C-B179-EF9BF830B7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D3481" authorId="0" shapeId="0" xr:uid="{4E6C7AB0-D08A-4648-90F6-40266370EB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D3501" authorId="0" shapeId="0" xr:uid="{9487ABA7-BFD6-444D-8E4C-D31095DF64D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
レート100 </t>
        </r>
      </text>
    </comment>
    <comment ref="D3502" authorId="0" shapeId="0" xr:uid="{343CD017-311A-45A5-A496-9BB2CE877C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D3503" authorId="0" shapeId="0" xr:uid="{103BDB5A-816A-44E2-B7B9-F8035DF8BA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オフ白特価545 </t>
        </r>
      </text>
    </comment>
    <comment ref="D3516" authorId="0" shapeId="0" xr:uid="{E8DE643D-048E-4954-B7E6-B9C2E7271A7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517" authorId="0" shapeId="0" xr:uid="{6B297B40-EE39-40AA-947C-572C162838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3703" authorId="0" shapeId="0" xr:uid="{B2CBE88B-CE99-4F83-9152-FD694B868A7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3704" authorId="0" shapeId="0" xr:uid="{DEF5C144-D9C1-409D-8B9E-006B883BC07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3708" authorId="0" shapeId="0" xr:uid="{386DE740-9021-4F8B-AF2F-963737C01A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Black単価で計算</t>
        </r>
      </text>
    </comment>
    <comment ref="C3714" authorId="0" shapeId="0" xr:uid="{07ADEB64-FE7F-4768-9ACD-473C251AC0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15" authorId="0" shapeId="0" xr:uid="{3677E146-B6A5-4B9A-98DC-618776A219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16" authorId="0" shapeId="0" xr:uid="{B5BA16D4-955C-4137-8A22-C82A7DBE624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17" authorId="0" shapeId="0" xr:uid="{DA707BC4-26AF-44F1-95DF-3B595157F9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 単価で計算</t>
        </r>
      </text>
    </comment>
    <comment ref="C3718" authorId="0" shapeId="0" xr:uid="{D1EF441A-8BD4-4F8D-AD8A-59A73EB982C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 単価で計算</t>
        </r>
      </text>
    </comment>
    <comment ref="C3719" authorId="0" shapeId="0" xr:uid="{B2164F33-EBD6-42C4-AD07-DF652965464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0" authorId="0" shapeId="0" xr:uid="{E4556D3C-C8A1-49B5-94EB-A5190152102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1" authorId="0" shapeId="0" xr:uid="{E7BF5D21-CD38-46D8-942C-AC507D3DA33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2" authorId="0" shapeId="0" xr:uid="{FEC7A9B5-AD25-4008-9631-3EAC2AEE6D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3" authorId="0" shapeId="0" xr:uid="{FE05AF6D-FD69-4EE7-8D6E-0F76F90B763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4" authorId="0" shapeId="0" xr:uid="{7F92FCED-912A-4B06-9F09-E4C89BAACD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5" authorId="0" shapeId="0" xr:uid="{2EC87491-EDC2-4F3B-A8E0-5F9D41DD296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6" authorId="0" shapeId="0" xr:uid="{CC3BAF85-411F-4F27-AC43-EF3AEEFEAB2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7" authorId="0" shapeId="0" xr:uid="{8EA27B31-E9FD-49E9-AAF3-42ACE254BF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28" authorId="0" shapeId="0" xr:uid="{52E686BB-72F8-4E91-983E-13435B1D19E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オフ白単価
</t>
        </r>
      </text>
    </comment>
    <comment ref="C3758" authorId="0" shapeId="0" xr:uid="{D77248BA-EC0B-47D6-9334-3EC5ED95F24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59" authorId="0" shapeId="0" xr:uid="{9A8913CE-D219-496F-80CF-54C2CE191A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60" authorId="0" shapeId="0" xr:uid="{5D7B6CE3-2AB5-4974-93B4-D1AE8B62F14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3761" authorId="0" shapeId="0" xr:uid="{1DB055FA-34EC-42D6-9CFC-07FF59B734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879" authorId="0" shapeId="0" xr:uid="{34790305-035C-4CDA-9086-E790072EC3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949" authorId="0" shapeId="0" xr:uid="{CD8CCF20-1FA8-46D6-A887-8294CD751FC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3950" authorId="0" shapeId="0" xr:uid="{C7825441-80C8-41C9-835E-7F411203356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3989" authorId="0" shapeId="0" xr:uid="{419E776B-791A-41EF-92C0-83E45602160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4069" authorId="1" shapeId="0" xr:uid="{2FD1BA58-EA2C-4F92-86FA-4A0A80EC137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12m small roll </t>
        </r>
      </text>
    </comment>
    <comment ref="C4077" authorId="1" shapeId="0" xr:uid="{314B9C27-4E73-4EEB-8FC7-ED200D6DD74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15m small roll </t>
        </r>
      </text>
    </comment>
    <comment ref="C4086" authorId="1" shapeId="0" xr:uid="{AB5CE2EB-59B3-4983-B016-146A0DF8220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18m small roll </t>
        </r>
      </text>
    </comment>
    <comment ref="F4106" authorId="0" shapeId="0" xr:uid="{B37B2631-F764-4793-AC1B-DF826D6A168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4122" authorId="0" shapeId="0" xr:uid="{43D68994-D82C-4F15-AD71-6C8ED833C0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C4150" authorId="1" shapeId="0" xr:uid="{D6135F9D-254C-4228-90D7-9C192FE5070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12m small roll </t>
        </r>
      </text>
    </comment>
    <comment ref="C4158" authorId="1" shapeId="0" xr:uid="{303BFADE-49A7-418A-9354-809DDD39AF1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15m small roll </t>
        </r>
      </text>
    </comment>
    <comment ref="C4164" authorId="1" shapeId="0" xr:uid="{69C23FE5-AFBD-473A-93C7-9880937DD15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18m small roll </t>
        </r>
      </text>
    </comment>
    <comment ref="I4206" authorId="0" shapeId="0" xr:uid="{53A6C716-9035-429D-B272-AB08ABE796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I4207" authorId="0" shapeId="0" xr:uid="{5880375C-28B9-467F-8D54-16347545E5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0.45/m  
C&amp;F HK Price  USD 0.63/m 
</t>
        </r>
      </text>
    </comment>
    <comment ref="G4231" authorId="0" shapeId="0" xr:uid="{AFCB560A-EF35-4BC8-976C-2BE0E19F2C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4232" authorId="0" shapeId="0" xr:uid="{00EA843F-069A-4B0D-B57C-F1541BBA2C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4367" authorId="1" shapeId="0" xr:uid="{F1F49734-D1DD-4614-A577-DC90508E4BA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1500yds = 1371.6m </t>
        </r>
      </text>
    </comment>
    <comment ref="G4392" authorId="1" shapeId="0" xr:uid="{79D837FB-62F9-4AB0-B0B0-15AD11A5294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1600yds = 1463.04m </t>
        </r>
      </text>
    </comment>
    <comment ref="G4393" authorId="1" shapeId="0" xr:uid="{6E9725E0-10FA-4CC3-A223-A5F190D347C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1600yds = 1463.04m </t>
        </r>
      </text>
    </comment>
    <comment ref="F4410" authorId="0" shapeId="0" xr:uid="{E150A2E9-33E0-4526-B078-2682A530F956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F4411" authorId="0" shapeId="0" xr:uid="{D3E34215-2855-4E1E-88E7-6D43FDC88586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F4412" authorId="0" shapeId="0" xr:uid="{46E3002C-4A26-4CBB-9738-A985487A3BAC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F4414" authorId="0" shapeId="0" xr:uid="{E5F57BDE-EFBF-4609-9A80-01C7480C8B63}">
      <text>
        <r>
          <rPr>
            <b/>
            <sz val="9"/>
            <color indexed="81"/>
            <rFont val="MS P ゴシック"/>
            <family val="3"/>
            <charset val="128"/>
          </rPr>
          <t>chiba:
EXW USD 4.73/m (25%)  
EXW 4.73 + 0.84/m = CIF HK USD 5.57/m</t>
        </r>
      </text>
    </comment>
    <comment ref="F4415" authorId="0" shapeId="0" xr:uid="{BB5D7689-D7E0-45CD-979F-8E245E781A2F}">
      <text>
        <r>
          <rPr>
            <b/>
            <sz val="9"/>
            <color indexed="81"/>
            <rFont val="MS P ゴシック"/>
            <family val="3"/>
            <charset val="128"/>
          </rPr>
          <t>chiba:
別注バルク単価（580m/col) EXW USD 4.00/m (25%)  
EXW 4.00 + 1.57/m = CIF HK USD 5.57/m</t>
        </r>
      </text>
    </comment>
    <comment ref="A4535" authorId="1" shapeId="0" xr:uid="{E364F681-78EC-448A-9ED0-AFE320569549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35" authorId="1" shapeId="0" xr:uid="{129F85B9-BCB1-43F7-9E2B-A206199F33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L4535" authorId="1" shapeId="0" xr:uid="{A97B2E9F-1D88-4624-90B3-A79A890FDCD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A4536" authorId="1" shapeId="0" xr:uid="{63EF43D2-B80A-46A0-AA9A-06FE2E70265B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36" authorId="1" shapeId="0" xr:uid="{7FB7F1AE-E49F-4515-888A-39626E519A1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L4536" authorId="1" shapeId="0" xr:uid="{01AFDE15-2413-4404-9E7B-80EF551FBC0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A4537" authorId="1" shapeId="0" xr:uid="{B2282C24-C948-4073-B0E2-B7C42B4B507B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37" authorId="1" shapeId="0" xr:uid="{A7AB1697-C64F-4BDB-B5B3-DD28995D8CC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L4537" authorId="1" shapeId="0" xr:uid="{BB9B9F74-0565-464B-8ED7-F7E4DAA182B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A4538" authorId="1" shapeId="0" xr:uid="{3583532A-AE35-4D8E-948C-2A9ED622CE82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38" authorId="1" shapeId="0" xr:uid="{412A1EC1-069E-4961-9463-FD7BFCB9EE6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L4538" authorId="1" shapeId="0" xr:uid="{41ABA484-3723-487A-A863-7B8B063F2D0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</t>
        </r>
      </text>
    </comment>
    <comment ref="B4548" authorId="1" shapeId="0" xr:uid="{77C40319-10B3-4272-9146-FD5D5226C981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F4548" authorId="1" shapeId="0" xr:uid="{0130F461-6FB5-4236-8E78-B799409DB89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B4549" authorId="1" shapeId="0" xr:uid="{6D74E105-A393-48D7-8E94-9EF837BA7DF5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F4549" authorId="1" shapeId="0" xr:uid="{BB918FAF-0885-4857-A757-D602EAA194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B4550" authorId="1" shapeId="0" xr:uid="{34574C56-7F15-49B1-A371-AB2A2CD7B60C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F4550" authorId="1" shapeId="0" xr:uid="{72B26267-DBEC-4633-8096-A076F580BF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B4551" authorId="1" shapeId="0" xr:uid="{A9A41C16-E57F-4A56-AFB1-98A3E18DD568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F4551" authorId="1" shapeId="0" xr:uid="{7B6062FD-C23F-4B6F-B217-B76A91D5A91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562" authorId="1" shapeId="0" xr:uid="{C2F101B3-3E47-4174-B436-BFBB7A3FE292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62" authorId="1" shapeId="0" xr:uid="{7C739194-BBA2-48BF-A129-E7FC5F3A1A5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563" authorId="1" shapeId="0" xr:uid="{7AA95CD6-7B93-4EC4-A3CD-5B8505B79057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63" authorId="1" shapeId="0" xr:uid="{540BBBFC-0C9D-4263-991E-478E0367594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564" authorId="1" shapeId="0" xr:uid="{7E903CF6-BFA0-420A-B983-7C3728DB2E90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64" authorId="1" shapeId="0" xr:uid="{E6A26E88-FD0A-4899-8FBD-3F0A3B7561A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565" authorId="1" shapeId="0" xr:uid="{49CFC323-0786-426E-B2F3-DB519B80B7B2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565" authorId="1" shapeId="0" xr:uid="{8FE0B282-8247-4401-8D6B-84652738F5C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23" authorId="1" shapeId="0" xr:uid="{2E62C6CA-8560-4C73-AE25-B1C49D8A09C9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23" authorId="1" shapeId="0" xr:uid="{1459F1F3-E850-43CA-8202-6DAACD70C84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24" authorId="1" shapeId="0" xr:uid="{FC8459C9-A6E9-40FF-968B-FBA7757A53FD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24" authorId="1" shapeId="0" xr:uid="{E48E4EC6-E123-4678-8605-2047A0CF315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25" authorId="1" shapeId="0" xr:uid="{9F7F6166-5D17-4807-81FD-BD10BAF37CAA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25" authorId="1" shapeId="0" xr:uid="{5B3940F0-630C-4429-8023-054F4F73EE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26" authorId="1" shapeId="0" xr:uid="{8472D0D0-8B56-483F-BB28-6ECDF86BB4C0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26" authorId="1" shapeId="0" xr:uid="{DF497C4A-5410-4433-8A50-69E2EFA7FB2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G4639" authorId="1" shapeId="0" xr:uid="{D763B324-CEA8-474F-A8AC-BF53C4C5FD4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A4641" authorId="1" shapeId="0" xr:uid="{03BD768D-AE4C-413E-BBB8-D25ADE4AC6C7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41" authorId="1" shapeId="0" xr:uid="{6C5BE7B2-A516-4587-A895-D39796ED50A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42" authorId="1" shapeId="0" xr:uid="{1BB93109-5DE8-4419-AB75-6C98D130295A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G4642" authorId="1" shapeId="0" xr:uid="{21E02A8D-1F44-46A6-8547-675C389F858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46" authorId="1" shapeId="0" xr:uid="{B184EC0B-BCE1-4C9A-B1B5-F74035BCFA96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46" authorId="1" shapeId="0" xr:uid="{E67A1CA6-FB7E-412E-B6DA-E164BA9ADFD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47" authorId="1" shapeId="0" xr:uid="{4C4C68D0-7F3D-4AB6-ABCF-572B56A38F70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47" authorId="1" shapeId="0" xr:uid="{99ABA71A-E0FF-498A-A6B0-2126F28B24F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48" authorId="1" shapeId="0" xr:uid="{F0CE6D35-B8E8-4C3F-B0FF-C5419B46EBFA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48" authorId="1" shapeId="0" xr:uid="{DFF164F4-04A2-4018-ACD4-9CB2427B4F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49" authorId="1" shapeId="0" xr:uid="{5912BAB6-29D3-4603-98E9-7A0DE293561A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49" authorId="1" shapeId="0" xr:uid="{F069CC3E-5629-4EC4-9F24-536897D00AA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67" authorId="1" shapeId="0" xr:uid="{C1253327-8929-416D-BA38-030B8C084291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67" authorId="1" shapeId="0" xr:uid="{BBF0813C-61BB-412D-85A3-2F4150D3A76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A4668" authorId="1" shapeId="0" xr:uid="{2B0D8A45-9E87-4090-8D76-5AA45A3C83CE}">
      <text>
        <r>
          <rPr>
            <b/>
            <sz val="9"/>
            <color indexed="81"/>
            <rFont val="MS P ゴシック"/>
            <family val="3"/>
            <charset val="128"/>
          </rPr>
          <t>sunfashion
平チップの向き統一</t>
        </r>
      </text>
    </comment>
    <comment ref="E4668" authorId="1" shapeId="0" xr:uid="{1C52853A-848F-4E82-9713-8239B9B4BA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チップの表裏の向きを揃える場合は113.5 + 12 = 125.5/pc÷0.6 ÷90 = USD 2.33/pc</t>
        </r>
      </text>
    </comment>
    <comment ref="F4729" authorId="0" shapeId="0" xr:uid="{8BB50472-FB8E-439B-B16B-EB7E9ED673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4759" authorId="0" shapeId="0" xr:uid="{1F0D599B-C9E9-4EA1-B808-45E8140573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1.47</t>
        </r>
      </text>
    </comment>
    <comment ref="E4760" authorId="0" shapeId="0" xr:uid="{AE2206BA-38D3-40F6-92D1-C2D4FF70D4A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1.89</t>
        </r>
      </text>
    </comment>
    <comment ref="E4761" authorId="0" shapeId="0" xr:uid="{4A08A82C-0D0D-4C85-A204-2FBD31B3A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1.78</t>
        </r>
      </text>
    </comment>
    <comment ref="E4762" authorId="0" shapeId="0" xr:uid="{CF2B069E-620B-4DBF-BE89-FA404E45F3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通常USD 2.41</t>
        </r>
      </text>
    </comment>
    <comment ref="F4827" authorId="0" shapeId="0" xr:uid="{09760E8D-0A15-40AD-B522-C56E3E71123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4839" authorId="0" shapeId="0" xr:uid="{7D60F492-6073-4B62-8A8A-C1B41F37B66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4972" authorId="0" shapeId="0" xr:uid="{8363DC41-1EC0-47E6-865D-3C8ADC630FC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4.73/m (25%)  
</t>
        </r>
      </text>
    </comment>
    <comment ref="B5043" authorId="0" shapeId="0" xr:uid="{EE92C3DA-267A-423A-8095-DA743521599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18600m 分 PI # 3985</t>
        </r>
      </text>
    </comment>
    <comment ref="E5043" authorId="0" shapeId="0" xr:uid="{A08F4F00-7231-4ADB-A628-78B65B8880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3" authorId="0" shapeId="0" xr:uid="{5E7A169A-8E43-4656-9FEE-954BD41EFC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先染黒特価</t>
        </r>
      </text>
    </comment>
    <comment ref="E5044" authorId="0" shapeId="0" xr:uid="{1C1F230D-CF05-4875-8D78-3F3126D830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4" authorId="0" shapeId="0" xr:uid="{891C2084-8DF2-48FD-969C-A763EA3382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通常82
特価</t>
        </r>
      </text>
    </comment>
    <comment ref="B5045" authorId="0" shapeId="0" xr:uid="{89EDBFC6-B91D-4528-81DF-312EFBEE3F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18600m 分 PI # 3985</t>
        </r>
      </text>
    </comment>
    <comment ref="E5045" authorId="0" shapeId="0" xr:uid="{7FC171A8-FC9C-48A4-BC81-5653D61F8B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5" authorId="0" shapeId="0" xr:uid="{A6A305CD-FD5A-49A7-9C46-9B46122509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先染黒特価</t>
        </r>
      </text>
    </comment>
    <comment ref="E5046" authorId="0" shapeId="0" xr:uid="{C0BA7B3C-4888-4783-BD2A-0F0D62BB43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6" authorId="0" shapeId="0" xr:uid="{045238E7-9C38-4EA5-9E53-06D9AAE1B0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通常82
特価</t>
        </r>
      </text>
    </comment>
    <comment ref="B5047" authorId="0" shapeId="0" xr:uid="{DA6CAE41-EA4A-4217-AE63-12F75A7A3A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18600m 分 PI # 3985</t>
        </r>
      </text>
    </comment>
    <comment ref="E5047" authorId="0" shapeId="0" xr:uid="{49FB66C1-25D5-4595-8F1E-BF9B8DFC92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7" authorId="0" shapeId="0" xr:uid="{65ADB67D-C68C-428C-A5D0-F8CB0F0E50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先染黒特価</t>
        </r>
      </text>
    </comment>
    <comment ref="E5048" authorId="0" shapeId="0" xr:uid="{CD447252-35E2-4BB3-99A0-BE126A917C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G5048" authorId="0" shapeId="0" xr:uid="{B309189D-4134-4404-B509-B45FFBDD36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通常82
特価</t>
        </r>
      </text>
    </comment>
    <comment ref="D5051" authorId="0" shapeId="0" xr:uid="{9F7E496D-D36F-40D4-95D9-975D882DC75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4.73/m (25%)  
</t>
        </r>
      </text>
    </comment>
    <comment ref="J5051" authorId="0" shapeId="0" xr:uid="{A54203C4-7926-4974-BE53-19721B626E0B}">
      <text>
        <r>
          <rPr>
            <b/>
            <sz val="9"/>
            <color indexed="81"/>
            <rFont val="MS P ゴシック"/>
            <family val="3"/>
            <charset val="128"/>
          </rPr>
          <t>chiba
EXW 4.73 x 0.94</t>
        </r>
      </text>
    </comment>
    <comment ref="D5357" authorId="0" shapeId="0" xr:uid="{232499C5-A69E-47DE-8677-EEACC3B8E2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D5358" authorId="0" shapeId="0" xr:uid="{78F4F9B0-EAF1-4402-BACA-291B84EA02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通常1.52 
特価</t>
        </r>
      </text>
    </comment>
    <comment ref="H5683" authorId="0" shapeId="0" xr:uid="{FBDD8E13-AA1A-4E54-A026-0576596AA1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SICに関しては下記
利率40% 
レート 120円</t>
        </r>
      </text>
    </comment>
    <comment ref="H5684" authorId="0" shapeId="0" xr:uid="{13FD468A-013F-43D9-9A85-3848681E56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</t>
        </r>
      </text>
    </comment>
    <comment ref="H5685" authorId="0" shapeId="0" xr:uid="{F8CA600C-F7EB-43C0-82E0-E6310D898C5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</t>
        </r>
      </text>
    </comment>
    <comment ref="G5693" authorId="0" shapeId="0" xr:uid="{DB8E2397-0D47-40BA-8258-3CBA76ABB3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SICに関しては下記
利率40% 
レート 120円</t>
        </r>
      </text>
    </comment>
    <comment ref="G5694" authorId="0" shapeId="0" xr:uid="{4ABAD623-258E-40AB-A497-08B9595758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</t>
        </r>
      </text>
    </comment>
    <comment ref="G5695" authorId="0" shapeId="0" xr:uid="{D871CB78-20E3-4EBC-B767-7D31AB4103F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これに関しては下記
利率40% 
レート 120円
Regular USD 3.13 x 1.5倍 = サンプルプライス</t>
        </r>
      </text>
    </comment>
    <comment ref="F5772" authorId="0" shapeId="0" xr:uid="{E005E28D-C2C1-4141-B205-E6A29C43C9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5775" authorId="0" shapeId="0" xr:uid="{F0EC86C8-F392-4DF4-8323-72143F77ED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F5781" authorId="0" shapeId="0" xr:uid="{BFFCDED8-0C93-49E5-A49F-2DD5DF25A1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5782" authorId="0" shapeId="0" xr:uid="{E1647881-4AB1-45CA-8B0E-985C8803A4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F5783" authorId="0" shapeId="0" xr:uid="{E1D5DAB5-56EF-4FE0-A85B-CA735E387F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5784" authorId="0" shapeId="0" xr:uid="{21847424-8E5E-4100-875E-3B033BCC43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5785" authorId="0" shapeId="0" xr:uid="{A917C84D-4CA8-439D-95A8-61C02D673B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5786" authorId="0" shapeId="0" xr:uid="{701E4A38-75F8-44B1-97E4-AE39F1A4E2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5787" authorId="0" shapeId="0" xr:uid="{47BFDFF3-40E4-4F67-A529-A9E44701E8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5796" authorId="0" shapeId="0" xr:uid="{F119128E-2F2F-4DB0-B66B-825F654466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D5806" authorId="0" shapeId="0" xr:uid="{D6F2956E-8B18-4CE5-9F67-208BCC3F41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D5807" authorId="0" shapeId="0" xr:uid="{53CAE517-F0BD-4B35-90B7-C11665C810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D5808" authorId="0" shapeId="0" xr:uid="{1860936F-6563-4D07-BE99-16DA49FAFE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H5926" authorId="0" shapeId="0" xr:uid="{C17B8171-FA9D-47DF-8FB3-02607A52E9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CIF HK Price  USD 0.61/m 
</t>
        </r>
      </text>
    </comment>
    <comment ref="H5927" authorId="0" shapeId="0" xr:uid="{351124F0-11E1-4F53-8559-3CDF27D1A5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H5928" authorId="0" shapeId="0" xr:uid="{773CACC5-4C49-455E-B81E-86A0BF757A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H5929" authorId="0" shapeId="0" xr:uid="{5F887768-E611-440F-9389-5812BFF33A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5291/8mm:$0.12x650m=$78
5291/6mm:$0.15x4,050m=$607.5
</t>
        </r>
      </text>
    </comment>
    <comment ref="H5931" authorId="0" shapeId="0" xr:uid="{03B28AA3-A51E-4312-8859-A71A1795D4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4.26/m(55%, 120レート）  + 0.35  
CIF HK Price  USD 4.61/m 
</t>
        </r>
      </text>
    </comment>
    <comment ref="D5940" authorId="0" shapeId="0" xr:uid="{B9B2E79E-D761-41A2-A064-9299A6E32E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レート125</t>
        </r>
      </text>
    </comment>
    <comment ref="D5941" authorId="0" shapeId="0" xr:uid="{2C99E13E-2D51-44B1-B14C-A4A3954ED7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レート125</t>
        </r>
      </text>
    </comment>
    <comment ref="D5942" authorId="0" shapeId="0" xr:uid="{A47EDCC5-4B32-4058-B3A3-15471FE3A2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レート125</t>
        </r>
      </text>
    </comment>
    <comment ref="D5943" authorId="0" shapeId="0" xr:uid="{2B02028F-08C9-4CF3-8AC5-A48FB369F6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レート125</t>
        </r>
      </text>
    </comment>
    <comment ref="D5944" authorId="0" shapeId="0" xr:uid="{47B9A86D-7844-4AD7-85D3-D683E751C12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レート125</t>
        </r>
      </text>
    </comment>
    <comment ref="E5974" authorId="0" shapeId="0" xr:uid="{8ABD1D40-5EED-438B-9604-7B2EA93E21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E5975" authorId="0" shapeId="0" xr:uid="{722CCF59-16B5-42C7-84E7-9C9E766C18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E5976" authorId="0" shapeId="0" xr:uid="{6554B4BD-DD0E-4665-ADFB-F7587CE35E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E5977" authorId="0" shapeId="0" xr:uid="{F0A63C01-BEAD-4F04-B4D4-542C1D3F82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E5978" authorId="0" shapeId="0" xr:uid="{B91CFA8B-7C30-4E90-9F6D-303312D728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36%（max border  ÷0.64) 
レート120</t>
        </r>
      </text>
    </comment>
    <comment ref="E5980" authorId="0" shapeId="0" xr:uid="{EEAD6657-0B59-4A03-AD58-0F6B17A192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E6014" authorId="0" shapeId="0" xr:uid="{1C97EDFC-E86A-41CD-AA17-A6CAB555E0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梱包代20円on</t>
        </r>
      </text>
    </comment>
    <comment ref="B6041" authorId="0" shapeId="0" xr:uid="{A918AE82-B5B2-4C00-9248-5BA279AE6B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6045" authorId="1" shapeId="0" xr:uid="{09D899F1-EE3F-424B-BD7B-4E1EBF993B1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KKF4004</t>
        </r>
      </text>
    </comment>
    <comment ref="G6059" authorId="0" shapeId="0" xr:uid="{2D64EEBB-AE96-45AA-8D29-FEAE05AB4D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G6060" authorId="0" shapeId="0" xr:uid="{206FAF92-00A8-4D02-9AA2-9D5C58C497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
</t>
        </r>
      </text>
    </comment>
    <comment ref="F6072" authorId="0" shapeId="0" xr:uid="{7E4B95AC-EAC3-457D-8919-1412C5C9BE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F6073" authorId="0" shapeId="0" xr:uid="{383DFE61-B26F-4D9C-A1E9-070C4A8196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E6079" authorId="0" shapeId="0" xr:uid="{D5D6526F-D928-409D-9D46-DFDBB0DB03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E6080" authorId="0" shapeId="0" xr:uid="{A08FAF95-329C-4080-88E0-943DF005CB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B6100" authorId="0" shapeId="0" xr:uid="{44A6F522-26DC-4988-8B9F-5195D24EBD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101" authorId="0" shapeId="0" xr:uid="{C61166CF-2693-4C7D-B21C-73ED9D9119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102" authorId="0" shapeId="0" xr:uid="{3BFB4DA1-31C3-4CD8-BDBE-ABE45884F2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103" authorId="0" shapeId="0" xr:uid="{B1F0C5A2-BFFC-4F9E-8A04-EF439F9744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104" authorId="0" shapeId="0" xr:uid="{19FCCBD8-E2AF-410A-BCAF-7BA86E1C39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D6143" authorId="0" shapeId="0" xr:uid="{C2110362-1EB5-4AD6-B7C1-17160696C4D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D6144" authorId="0" shapeId="0" xr:uid="{39D4AD41-357D-4DDF-B6BB-CBDC8BABE2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D6145" authorId="0" shapeId="0" xr:uid="{2086CF0E-0EA2-40AB-80F5-2AC867A575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F6148" authorId="0" shapeId="0" xr:uid="{0D72F614-6047-449E-9D42-E9EA1801AA3B}">
      <text>
        <r>
          <rPr>
            <b/>
            <sz val="9"/>
            <color indexed="81"/>
            <rFont val="MS P ゴシック"/>
            <family val="3"/>
            <charset val="128"/>
          </rPr>
          <t>chiba:
EXW USD 4.87/m →÷0.6÷120
(通常単価360円/m)
EXW 4.87+ 0.70/m = CIF HK USD 5.57/m</t>
        </r>
      </text>
    </comment>
    <comment ref="G6157" authorId="1" shapeId="0" xr:uid="{A7510EDA-EEB6-4D2B-8F3E-1A6705A0CC7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G6188" authorId="0" shapeId="0" xr:uid="{3E954479-BEC0-4601-A512-C25964CA786D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→÷0.6÷120
(通常単価360円/m)
EXW  5.07/m + 0.63/m = CIF HK USD 5.70/m</t>
        </r>
      </text>
    </comment>
    <comment ref="G6189" authorId="0" shapeId="0" xr:uid="{8DFA1AAD-27CB-4077-A4DB-3434C8DBE765}">
      <text>
        <r>
          <rPr>
            <b/>
            <sz val="9"/>
            <color indexed="81"/>
            <rFont val="MS P ゴシック"/>
            <family val="3"/>
            <charset val="128"/>
          </rPr>
          <t>chiba:
EXW USD 8.27/m →÷0.6÷120
(通常単価360円/m)
EXW  8.27/m + 0.63/m = CIF HK USD 8.90/m</t>
        </r>
      </text>
    </comment>
    <comment ref="G6190" authorId="0" shapeId="0" xr:uid="{2510260B-5CB5-4A98-9611-D3B8A0AE6C4E}">
      <text>
        <r>
          <rPr>
            <b/>
            <sz val="9"/>
            <color indexed="81"/>
            <rFont val="MS P ゴシック"/>
            <family val="3"/>
            <charset val="128"/>
          </rPr>
          <t>chiba:
EXW USD 5.21/m →÷0.6÷120
(通常単価360円/m)
EXW  5.21/m + 0.63/m = CIF HK USD 5.84/m</t>
        </r>
      </text>
    </comment>
    <comment ref="G6193" authorId="0" shapeId="0" xr:uid="{A9D977A5-8B2D-421C-A1E5-55CC2466B0BF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194" authorId="0" shapeId="0" xr:uid="{B0CF0383-F5A1-4414-AE7B-0456608BD384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195" authorId="0" shapeId="0" xr:uid="{779073C9-9FB9-483B-9612-14EAC5C16ED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199" authorId="0" shapeId="0" xr:uid="{4DD95F99-F2A5-456C-8504-47A6906552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G6200" authorId="0" shapeId="0" xr:uid="{57C5380C-AFD5-4F48-A63E-A8833E6655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G6201" authorId="0" shapeId="0" xr:uid="{13D620F2-C718-4480-82E5-9CB424AACF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G6202" authorId="0" shapeId="0" xr:uid="{9ACB94EB-F200-45F6-9CAD-1692FD60A52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G6203" authorId="0" shapeId="0" xr:uid="{9AFF188A-08F3-4E75-976E-FE67D960FD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G6211" authorId="0" shapeId="0" xr:uid="{97E04B67-0C79-4F6B-B250-BA5F7C999B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CIF HK Price  USD 0.62/m 
</t>
        </r>
      </text>
    </comment>
    <comment ref="G6212" authorId="0" shapeId="0" xr:uid="{B3B28117-C644-4E8E-8B68-A0528F6118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G6213" authorId="0" shapeId="0" xr:uid="{6B78FA18-8B7A-4DA5-8BE9-8F1C19D862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0.79/m(55%, 120レート）  
CIF HK Price  USD 0.92/m 
</t>
        </r>
      </text>
    </comment>
    <comment ref="H6259" authorId="0" shapeId="0" xr:uid="{980E9347-BBF4-4775-B1C1-5209C70E9E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60%
120円</t>
        </r>
      </text>
    </comment>
    <comment ref="G6276" authorId="1" shapeId="0" xr:uid="{A506AAD7-F97E-4933-AC3F-4C14EA5EC42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髙島旧単価での単価据え置き</t>
        </r>
      </text>
    </comment>
    <comment ref="G6292" authorId="1" shapeId="0" xr:uid="{DD31057E-EF12-48F7-9686-00308B1185D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G6294" authorId="0" shapeId="0" xr:uid="{EAD40F64-3B97-40A2-B5AF-1E5CECE05600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295" authorId="0" shapeId="0" xr:uid="{CA7158D0-0A0E-4CC7-AA0E-A65F12AC8ED6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296" authorId="0" shapeId="0" xr:uid="{07560ED8-7B0B-4BB0-B7E7-60448E418196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297" authorId="0" shapeId="0" xr:uid="{D7B7E743-8CD7-480B-B768-FB4D925D258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298" authorId="0" shapeId="0" xr:uid="{54D07F54-5CAD-4623-BCE4-6B0C71E71994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G6299" authorId="1" shapeId="0" xr:uid="{976BBC4E-0D92-4A12-95F7-A720907B1E2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G6301" authorId="0" shapeId="0" xr:uid="{5294C701-F3B5-4A0B-9F00-9D941B5B764B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H6304" authorId="1" shapeId="0" xr:uid="{02FF1062-D6A9-49EE-AA88-64E888C2BC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H6306" authorId="0" shapeId="0" xr:uid="{B0736BEA-7CEB-4B20-9188-183C3B3370A3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→÷0.6÷120
EXW  4.10/m + 0.84/m = CIF HK USD 5.84/m</t>
        </r>
      </text>
    </comment>
    <comment ref="H6307" authorId="1" shapeId="0" xr:uid="{C74853D3-A682-45EC-8E5A-EC4C11CAAC2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H6309" authorId="0" shapeId="0" xr:uid="{7A023BA7-1D29-4296-92E5-A7C01F77D71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H6310" authorId="0" shapeId="0" xr:uid="{28F5DC8C-E04C-4968-985F-B1AFD7B16C4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H6311" authorId="0" shapeId="0" xr:uid="{23B44181-2780-4989-B268-DD85E987EBA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H6312" authorId="1" shapeId="0" xr:uid="{A08ADFDD-59B5-4264-892E-AA83A963768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estimate
FedExが54,982円、
UPSが65,820円
→IF charge 含んで70000円で計算
</t>
        </r>
      </text>
    </comment>
    <comment ref="H6314" authorId="0" shapeId="0" xr:uid="{F7940EE4-05CF-480F-837F-42D927D354C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6374" authorId="1" shapeId="0" xr:uid="{1CAEEB49-DF4A-49D5-B766-AB0606915E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1000m条件　
改定価格\1,680→￥1,650（2023年3月末迄）</t>
        </r>
      </text>
    </comment>
    <comment ref="E6375" authorId="1" shapeId="0" xr:uid="{BE492125-34C6-4C57-8DFD-2A71CBB383C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1000m条件　
改定価格\1,680→￥1,650（2023年3月末迄）</t>
        </r>
      </text>
    </comment>
    <comment ref="D6391" authorId="0" shapeId="0" xr:uid="{2E5DD380-AE60-4D6F-9919-8BF413B6D8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392" authorId="0" shapeId="0" xr:uid="{F8BB2EFC-990E-4F8B-8458-DFE61CAE56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393" authorId="0" shapeId="0" xr:uid="{3D16FFF3-132E-4838-81E5-523461B2BE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394" authorId="0" shapeId="0" xr:uid="{BF910918-1C21-466E-9EE6-EADE8BC90F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395" authorId="0" shapeId="0" xr:uid="{8EC2FE9B-68EF-42F8-A7CD-0DE4702B50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396" authorId="0" shapeId="0" xr:uid="{1E11C5C9-B55F-4489-B1FD-FB480DC6AD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E6403" authorId="0" shapeId="0" xr:uid="{3CE695AF-E836-43E1-9187-377EAB4AAA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404" authorId="0" shapeId="0" xr:uid="{BCBAD9E7-340E-4A35-81AD-E9EFFD3E21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405" authorId="0" shapeId="0" xr:uid="{28BE4879-EBDB-4580-8857-568448F591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B6423" authorId="0" shapeId="0" xr:uid="{C6814217-7B27-4CB9-8BA6-50F2D3ED38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424" authorId="0" shapeId="0" xr:uid="{8BA94720-60B5-4596-AE8D-A80CF8E91F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425" authorId="0" shapeId="0" xr:uid="{A82476DF-4CC9-4952-8F93-5BE3335490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426" authorId="0" shapeId="0" xr:uid="{FFBAFD2F-289D-4D45-85E2-915120CA46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G6497" authorId="0" shapeId="0" xr:uid="{7F32C2BC-27E1-43E9-9540-824F6A560A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6499" authorId="0" shapeId="0" xr:uid="{A4ECA014-7153-44ED-8D70-7248CCACE1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120</t>
        </r>
      </text>
    </comment>
    <comment ref="G6500" authorId="0" shapeId="0" xr:uid="{C510B190-1DCB-4A56-BB22-6191E1CB02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120</t>
        </r>
      </text>
    </comment>
    <comment ref="G6502" authorId="0" shapeId="0" xr:uid="{8BA031A6-C234-4C97-A530-D7A8C0A075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G6503" authorId="0" shapeId="0" xr:uid="{77E90B57-388A-4702-84FF-5E2A850AE9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E6519" authorId="0" shapeId="0" xr:uid="{DCA930C2-D202-4BE6-A856-FF8B97F08E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21" authorId="0" shapeId="0" xr:uid="{34A7C077-2273-4E06-8680-00577A29AD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22" authorId="0" shapeId="0" xr:uid="{32E8422F-531F-408A-B46A-B31BCEF225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27" authorId="0" shapeId="0" xr:uid="{9B8BD55E-1F91-4691-B080-85CA9D7CBE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28" authorId="0" shapeId="0" xr:uid="{0B6B4FBA-3CC9-45CD-8109-97E4DBB5BF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29" authorId="0" shapeId="0" xr:uid="{6C37D47B-BEEA-4D7D-B603-D5B1ECE4C9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H6536" authorId="0" shapeId="0" xr:uid="{A140E500-7542-48D9-80E7-1FD0711A27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0.74/m 
</t>
        </r>
      </text>
    </comment>
    <comment ref="H6541" authorId="0" shapeId="0" xr:uid="{6AF2946B-D0C0-41BA-BDDB-B2B3C52DE9A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約60% 
120
</t>
        </r>
      </text>
    </comment>
    <comment ref="H6552" authorId="0" shapeId="0" xr:uid="{AD653301-F89F-44E4-9983-CB0D2DD1E4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H6553" authorId="0" shapeId="0" xr:uid="{6F811F56-B74D-43D9-8A89-820ABA7CC8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63" authorId="0" shapeId="0" xr:uid="{C599AB8F-2F39-4353-9573-7882BE9BC0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64" authorId="0" shapeId="0" xr:uid="{736CE42D-C907-4ED8-897E-C4CF9341AC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6565" authorId="0" shapeId="0" xr:uid="{C1361C62-6BD6-4160-B54F-4BC12764C8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6605" authorId="0" shapeId="0" xr:uid="{987D11C4-7D1A-4991-9237-ADDB89E029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F6606" authorId="0" shapeId="0" xr:uid="{1CB2ACBC-D408-4095-AEEE-750362338A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6607" authorId="0" shapeId="0" xr:uid="{1724C2D1-AC29-4B86-85E3-303B75A904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6611" authorId="0" shapeId="0" xr:uid="{9E817D9B-7FB2-44FD-8E3E-82368FB188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D6615" authorId="1" shapeId="0" xr:uid="{BEDF1DDB-85DF-41F0-BA31-3A882CFA7EE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Thailand</t>
        </r>
      </text>
    </comment>
    <comment ref="F6620" authorId="0" shapeId="0" xr:uid="{017EEC48-1626-4FFF-AF65-1D9C2C939B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F6623" authorId="0" shapeId="0" xr:uid="{DA0EA7B4-5444-4BA8-8616-DD6357F6077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レート120</t>
        </r>
      </text>
    </comment>
    <comment ref="F6624" authorId="0" shapeId="0" xr:uid="{14EA090C-6C6D-4A03-BE10-1484C5844C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6625" authorId="0" shapeId="0" xr:uid="{95BA4E31-CF16-4FA4-9C39-7E5F61D539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D6642" authorId="1" shapeId="0" xr:uid="{A5FA3FC1-A714-4914-A89D-BF68419EB98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D6643" authorId="1" shapeId="0" xr:uid="{C118FD1B-8C29-49A9-983F-14B2F4719E6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D6644" authorId="1" shapeId="0" xr:uid="{A2FBEC2C-CD8E-404B-AF6B-F87CC887672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D6645" authorId="1" shapeId="0" xr:uid="{4BC7485A-BB07-49CB-8B63-5C621EFBA6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A6679" authorId="0" shapeId="0" xr:uid="{FF3D4082-4766-483D-8BBE-717C5F6169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KKF2225
D/# 2</t>
        </r>
      </text>
    </comment>
    <comment ref="A6680" authorId="0" shapeId="0" xr:uid="{ECA381B7-E61D-445B-8E2A-37FB09E3CE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A6681" authorId="0" shapeId="0" xr:uid="{9880DEB0-31A5-49E9-83EF-7EAFF25BE6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A6682" authorId="0" shapeId="0" xr:uid="{348C1E7C-4A85-4150-B94C-A5F5F80AED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A6683" authorId="0" shapeId="0" xr:uid="{92854767-249A-4630-AF81-7471FD793C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
D/# 1
</t>
        </r>
      </text>
    </comment>
    <comment ref="A6684" authorId="0" shapeId="0" xr:uid="{BFEECB7B-8640-414C-B45F-832BD5B54A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3
</t>
        </r>
      </text>
    </comment>
    <comment ref="A6685" authorId="0" shapeId="0" xr:uid="{9AB43766-AB86-412E-B445-165713ECA6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A6686" authorId="0" shapeId="0" xr:uid="{CBE7F7C5-A1EF-4CBD-9724-E161636ED4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A6690" authorId="0" shapeId="0" xr:uid="{A1294828-8B08-4F70-B5D0-34645C99C1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KKF2225
D/# 2</t>
        </r>
      </text>
    </comment>
    <comment ref="E6690" authorId="0" shapeId="0" xr:uid="{620EB51E-F869-4BB0-B079-C173485AFE1E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693" authorId="0" shapeId="0" xr:uid="{9DA2E2B3-2B69-43F9-BBB6-F7093D3EE6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E6693" authorId="0" shapeId="0" xr:uid="{DCE3773E-7643-4247-BB4E-F3D9BB5DBB61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694" authorId="0" shapeId="0" xr:uid="{47B56AEE-32F3-4777-84AC-6E0B8718DA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E6694" authorId="0" shapeId="0" xr:uid="{381E16B3-CEC6-4C09-A893-FA2BF6270FEE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695" authorId="0" shapeId="0" xr:uid="{2ADC1DBB-A384-43FF-9133-6645EB5622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E6695" authorId="0" shapeId="0" xr:uid="{968832D4-B628-46E7-8081-DA89F195F003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698" authorId="0" shapeId="0" xr:uid="{212203B8-F082-4FDB-BE55-ED7FB0CF4D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
D/# 1
</t>
        </r>
      </text>
    </comment>
    <comment ref="E6698" authorId="0" shapeId="0" xr:uid="{104D781E-3B45-47AE-9E2F-32C8E6443494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01" authorId="0" shapeId="0" xr:uid="{8B05CA1C-85F4-48FF-A2A4-65AE9BAF2D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3
</t>
        </r>
      </text>
    </comment>
    <comment ref="E6701" authorId="0" shapeId="0" xr:uid="{45A92A27-48B8-4B01-9AE6-880527EEB2F7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02" authorId="0" shapeId="0" xr:uid="{6420C171-B9DC-4006-A156-4B0E62FE2C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E6702" authorId="0" shapeId="0" xr:uid="{42054C46-A938-4E66-84E3-E5095EB1F181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03" authorId="0" shapeId="0" xr:uid="{4CA770EC-B4EC-4BEE-8E48-6CED7290BD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E6703" authorId="0" shapeId="0" xr:uid="{D92573A2-EDA0-4529-A968-D68006712696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E6708" authorId="0" shapeId="0" xr:uid="{7FBDD5A4-B227-4426-BA25-18A5C62376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54%（max border範囲内  ÷0.46) 
レート120</t>
        </r>
      </text>
    </comment>
    <comment ref="A6758" authorId="0" shapeId="0" xr:uid="{2FE5EF08-9A43-4C1E-9F29-98E882A14D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KKF2225
D/# 2</t>
        </r>
      </text>
    </comment>
    <comment ref="D6758" authorId="0" shapeId="0" xr:uid="{925D077A-27FE-4875-AC8C-0AF8F4B56434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0" authorId="0" shapeId="0" xr:uid="{480FEA4A-730D-419F-94A5-42E81A0ECC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D6760" authorId="0" shapeId="0" xr:uid="{AC90B79E-CD41-4899-9B40-9B19C5E28BCC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1" authorId="0" shapeId="0" xr:uid="{F1F6FD1D-67DE-4C0D-8702-C11A151BB3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D6761" authorId="0" shapeId="0" xr:uid="{66C09CB6-901A-4ADE-A8FD-64101B1DF03E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2" authorId="0" shapeId="0" xr:uid="{B241470A-BCE3-4781-8531-14BEF5090B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KKF2226 
D/# 1
</t>
        </r>
      </text>
    </comment>
    <comment ref="D6762" authorId="0" shapeId="0" xr:uid="{057A5E96-FA83-4B89-A10D-ADAB149FC626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4" authorId="0" shapeId="0" xr:uid="{33BFA3C6-2597-45BC-A22A-8F9DEBCF79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
D/# 1
</t>
        </r>
      </text>
    </comment>
    <comment ref="D6764" authorId="0" shapeId="0" xr:uid="{2393B82A-A740-468F-950E-F0CFE35A9849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6" authorId="0" shapeId="0" xr:uid="{011193AC-04DE-4E63-A97B-2D7BC023E8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3
</t>
        </r>
      </text>
    </comment>
    <comment ref="D6766" authorId="0" shapeId="0" xr:uid="{3E69C85E-AF48-47DD-86FD-5B0A82504662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7" authorId="0" shapeId="0" xr:uid="{037FBDC9-15C1-448C-BE66-2D5C8837CD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D6767" authorId="0" shapeId="0" xr:uid="{05DC5B31-D9C2-44F7-9617-A9DC659C8F6C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A6768" authorId="0" shapeId="0" xr:uid="{85BFAC66-EF1E-42CA-AFB9-F0026238A0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KKF8869
D/# 1
</t>
        </r>
      </text>
    </comment>
    <comment ref="D6768" authorId="0" shapeId="0" xr:uid="{64662823-5EB0-4521-85C5-34F9CC1E3C14}">
      <text>
        <r>
          <rPr>
            <b/>
            <sz val="9"/>
            <color indexed="81"/>
            <rFont val="MS P ゴシック"/>
            <family val="3"/>
            <charset val="128"/>
          </rPr>
          <t>20% 
120
梱包代として20円on して計算</t>
        </r>
      </text>
    </comment>
    <comment ref="B6773" authorId="0" shapeId="0" xr:uid="{28146FFC-F19F-426A-9DBC-C596CBC45D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774" authorId="0" shapeId="0" xr:uid="{8A4DF5C6-D8C2-48DF-996A-A0C7140D5A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6775" authorId="0" shapeId="0" xr:uid="{F4B60972-9149-41AF-BD3A-D4179A7CB7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6830" authorId="0" shapeId="0" xr:uid="{E91DB4AA-6817-421B-9F17-B5DD8A0563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E6831" authorId="0" shapeId="0" xr:uid="{0074B7B4-3CA1-48B1-9B3A-B2CA5AB86B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E6832" authorId="0" shapeId="0" xr:uid="{E76BA66D-9FDC-475B-849B-FB6C571B96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元々18%  $17.58 
レート120
梱包代10円
→品質問題により（起毛間 が足りない）10% 値引き</t>
        </r>
      </text>
    </comment>
    <comment ref="B6859" authorId="0" shapeId="0" xr:uid="{EAB97CDE-B9FD-4CCF-B599-C82D220907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6859" authorId="0" shapeId="0" xr:uid="{4CD9C9D0-63C6-43DD-BE89-F5A6FF0AE4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B6860" authorId="0" shapeId="0" xr:uid="{A22BBFD7-C6B5-4BB6-9FC1-E16241322E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6860" authorId="0" shapeId="0" xr:uid="{DFC2FC6B-5B6A-4735-9096-F4D9F55019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B6861" authorId="0" shapeId="0" xr:uid="{9CCEF9EE-CB96-4C50-B601-165B7F7894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6861" authorId="0" shapeId="0" xr:uid="{705E1219-732D-4963-BC28-3AEF296061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B6862" authorId="0" shapeId="0" xr:uid="{71CE4973-5481-4BF1-B1F2-6F238951B2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6862" authorId="0" shapeId="0" xr:uid="{70D047AD-63C3-4D3A-9C20-1B254C99CC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B6863" authorId="0" shapeId="0" xr:uid="{483E7485-30D0-4CA0-922F-1E7FDE90D1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Q6863" authorId="0" shapeId="0" xr:uid="{7A52FA35-F1C2-4225-9103-A73BDD7378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D6897" authorId="0" shapeId="0" xr:uid="{DC11F009-2BB1-4A48-8C58-FA1A811F5F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898" authorId="0" shapeId="0" xr:uid="{23063173-F9B5-4333-B1D7-674E5BBA30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899" authorId="0" shapeId="0" xr:uid="{DF19528C-4023-4B79-AA1F-DA00C45879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D6900" authorId="0" shapeId="0" xr:uid="{9FA076A9-9593-489A-98D4-C7573CBD1E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E6966" authorId="1" shapeId="0" xr:uid="{297E1AAA-0D74-4FF8-A074-AD780D861FF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E6968" authorId="1" shapeId="0" xr:uid="{AFEC656B-2A80-4980-BEC1-6910FA0C6F0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E6981" authorId="0" shapeId="0" xr:uid="{FA749C81-CAAE-4373-9C99-098FEB5C2B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E6983" authorId="0" shapeId="0" xr:uid="{41D92943-CEA3-4296-A4F1-575EE10E11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25% 
120円
</t>
        </r>
      </text>
    </comment>
    <comment ref="H6992" authorId="0" shapeId="0" xr:uid="{9458F334-00BF-4267-901F-E5959DDA23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7002" authorId="0" shapeId="0" xr:uid="{18F7CCB2-D582-42E5-AF25-FE0BAE48746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レート120</t>
        </r>
      </text>
    </comment>
    <comment ref="F7003" authorId="0" shapeId="0" xr:uid="{820E9D88-E7AA-4028-A193-FD2F9A35F8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7004" authorId="0" shapeId="0" xr:uid="{5EF382C8-78C9-4728-9A2B-14F34EB878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房カット無し
Fringe uncut </t>
        </r>
      </text>
    </comment>
    <comment ref="F7004" authorId="0" shapeId="0" xr:uid="{EEEEA95E-8870-440D-9908-CA98D86604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7017" authorId="0" shapeId="0" xr:uid="{8E83EC70-2FA0-4CD9-B027-C561CB9C63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18" authorId="0" shapeId="0" xr:uid="{A854B247-A55A-44E2-BF48-0FF38B5469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19" authorId="0" shapeId="0" xr:uid="{07BEB880-11EF-4DB5-99EF-85C8A36D58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20" authorId="0" shapeId="0" xr:uid="{BD664C89-65E8-42DB-BF90-071F08356A85}">
      <text>
        <r>
          <rPr>
            <b/>
            <sz val="9"/>
            <color indexed="81"/>
            <rFont val="MS P ゴシック"/>
            <family val="3"/>
            <charset val="128"/>
          </rPr>
          <t>chiba:
通常単価 USD 1.15/m
サンプル2倍単価</t>
        </r>
      </text>
    </comment>
    <comment ref="F7021" authorId="0" shapeId="0" xr:uid="{36AE3DE9-5B08-4D66-A883-E5E6D2D87B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1.47/m
サンプル2倍単価</t>
        </r>
      </text>
    </comment>
    <comment ref="F7025" authorId="0" shapeId="0" xr:uid="{A1ABB279-6C7B-446F-9667-86F66586B7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26" authorId="0" shapeId="0" xr:uid="{6E7717FC-23C7-4DC0-9AC6-6E39F604CD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27" authorId="0" shapeId="0" xr:uid="{AC6BA3BB-E96B-4595-B381-3021B68E9FF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45% (÷0.55) 
レート120</t>
        </r>
      </text>
    </comment>
    <comment ref="F7028" authorId="0" shapeId="0" xr:uid="{B170172D-B7F0-4F59-B3C4-859BC8890DB5}">
      <text>
        <r>
          <rPr>
            <b/>
            <sz val="9"/>
            <color indexed="81"/>
            <rFont val="MS P ゴシック"/>
            <family val="3"/>
            <charset val="128"/>
          </rPr>
          <t>chiba:
通常単価 USD 1.15/m
サンプル2倍単価</t>
        </r>
      </text>
    </comment>
    <comment ref="F7029" authorId="0" shapeId="0" xr:uid="{9A8C5645-10FE-44D9-82E4-4D8B97BB285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 USD 1.89/m
サンプル2倍単価</t>
        </r>
      </text>
    </comment>
    <comment ref="D7048" authorId="0" shapeId="0" xr:uid="{AD2B0D8E-8B93-409A-B0EA-16CF340BC5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550yds = 502.92m </t>
        </r>
      </text>
    </comment>
    <comment ref="E7053" authorId="0" shapeId="0" xr:uid="{8487D14B-C398-454D-A2C3-1E47323113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E7054" authorId="0" shapeId="0" xr:uid="{E707DA82-C025-4739-8039-2AAAD2A159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H7067" authorId="0" shapeId="0" xr:uid="{9D046032-FBF3-426B-84F7-014053C46D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旧単価に合わせる</t>
        </r>
      </text>
    </comment>
    <comment ref="B7075" authorId="0" shapeId="0" xr:uid="{173933C7-9E91-4562-9AB2-94647015E3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
</t>
        </r>
      </text>
    </comment>
    <comment ref="H7075" authorId="0" shapeId="0" xr:uid="{8F642030-33B8-4CCA-8212-4722E63EF2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0.74/m 
</t>
        </r>
      </text>
    </comment>
    <comment ref="B7076" authorId="0" shapeId="0" xr:uid="{771DCBF5-1611-4916-B410-0BF5DB7B94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
</t>
        </r>
      </text>
    </comment>
    <comment ref="H7076" authorId="0" shapeId="0" xr:uid="{971B3027-4601-4D81-AC98-CE5147A414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F7090" authorId="0" shapeId="0" xr:uid="{A368DF72-8889-4164-8427-B0DF8ABA363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F7091" authorId="0" shapeId="0" xr:uid="{D17FDEDD-1B8F-4A97-B2B2-0983FD24FB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40%（max border  ÷0.60) 
レート120</t>
        </r>
      </text>
    </comment>
    <comment ref="G7117" authorId="0" shapeId="0" xr:uid="{A76C7E6D-F931-46EB-88C5-DC0D21F684A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G7118" authorId="0" shapeId="0" xr:uid="{E00AD861-B240-47E8-A60F-A915E634913C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G7121" authorId="0" shapeId="0" xr:uid="{3C7C72F5-C81A-4137-A783-7C5775AA12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C&amp;F HK Price  USD 0.77/m 
</t>
        </r>
      </text>
    </comment>
    <comment ref="G7124" authorId="0" shapeId="0" xr:uid="{DD81C73A-EFDB-46BF-A465-109934E4C9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0.25/m(55%, 120レート）  
CIF HK Price  USD 0.40/m 
</t>
        </r>
      </text>
    </comment>
    <comment ref="G7142" authorId="0" shapeId="0" xr:uid="{0E0F6DD8-E80D-4CFA-8848-B252D50128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C&amp;F HK Price  USD 0.77/m 
</t>
        </r>
      </text>
    </comment>
    <comment ref="G7143" authorId="0" shapeId="0" xr:uid="{82786B8C-0908-4CCB-9F03-7D899D64683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0.49/m(55%, 120レート）  
C&amp;F HK Price  USD 0.77/m 
</t>
        </r>
      </text>
    </comment>
    <comment ref="G7144" authorId="1" shapeId="0" xr:uid="{67451CC1-D0D1-4EBE-AC39-EE8B77BDF05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1.63約50% 120円
C&amp;F HK USD 2.13</t>
        </r>
      </text>
    </comment>
    <comment ref="B7161" authorId="0" shapeId="0" xr:uid="{692CC9FA-6FD8-4401-8BE0-7B3CDF183E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162" authorId="0" shapeId="0" xr:uid="{D246DFA8-C96E-41FE-AE87-F79861C504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163" authorId="0" shapeId="0" xr:uid="{596BB823-C6F7-4876-9CC4-557E3E7073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G7172" authorId="0" shapeId="0" xr:uid="{423F4C0B-0D87-4741-A8D9-209A9E228E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0.84/m 
</t>
        </r>
      </text>
    </comment>
    <comment ref="D7184" authorId="0" shapeId="0" xr:uid="{8F5EA33D-1A86-4AA4-879B-3CD41D9F67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55%（max border  ÷0.45) 
レート120→USD2.21/m
EXW  2.21/m + 0.1/m = CIF HK USD 2.31/m</t>
        </r>
      </text>
    </comment>
    <comment ref="D7185" authorId="0" shapeId="0" xr:uid="{81EA934D-78AD-4195-A632-D9C8AFA3D3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55%（max border  ÷0.45) 
レート120→USD2.21/m
EXW  2.21/m + 0.1/m = CIF HK USD 2.31/m</t>
        </r>
      </text>
    </comment>
    <comment ref="G7189" authorId="0" shapeId="0" xr:uid="{AC770D57-6C3B-4449-B063-9B96D9B982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前前回単価と合わせる
</t>
        </r>
      </text>
    </comment>
    <comment ref="B7237" authorId="1" shapeId="0" xr:uid="{4B78FECB-FF3F-451F-B016-8510DFE201B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A7238" authorId="1" shapeId="0" xr:uid="{0F8E5B9B-957F-4456-8AE2-77E654990A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B7238" authorId="1" shapeId="0" xr:uid="{D3362A8E-FD89-4C7B-B101-ED31735DAE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G7244" authorId="0" shapeId="0" xr:uid="{1D6C87C7-C208-4281-AA15-8DF54AA0AF6C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245" authorId="0" shapeId="0" xr:uid="{EAF29BFD-A1C2-4103-AAD6-E0EEFE145034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246" authorId="0" shapeId="0" xr:uid="{2C4D9985-EF76-407C-AE91-22FF5A86F51C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247" authorId="0" shapeId="0" xr:uid="{005F0A34-8A3B-457F-9C7D-FD42176D30B9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248" authorId="0" shapeId="0" xr:uid="{3B964C00-7324-4FCF-97CA-C5FD5FA59EF4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252" authorId="0" shapeId="0" xr:uid="{B5A1B747-807E-495B-9491-85927B8F2CB5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→÷0.6÷120
(通常単価360円/m)
EXW  5.07/m + 0.63/m = CIF HK USD 5.70/m</t>
        </r>
      </text>
    </comment>
    <comment ref="G7253" authorId="0" shapeId="0" xr:uid="{64E0346A-F279-4B42-86F4-4F88CD071353}">
      <text>
        <r>
          <rPr>
            <b/>
            <sz val="9"/>
            <color indexed="81"/>
            <rFont val="MS P ゴシック"/>
            <family val="3"/>
            <charset val="128"/>
          </rPr>
          <t>chiba:
EXW USD 8.27/m →÷0.6÷120
(通常単価360円/m)
EXW  8.27/m + 0.63/m = CIF HK USD 8.90/m</t>
        </r>
      </text>
    </comment>
    <comment ref="G7282" authorId="0" shapeId="0" xr:uid="{F2ED2367-134D-4FBC-84AC-BF24A7FE26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0.85/m 
</t>
        </r>
      </text>
    </comment>
    <comment ref="E7433" authorId="0" shapeId="0" xr:uid="{A7357D71-98A7-4828-BA76-B7E17B9421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7434" authorId="0" shapeId="0" xr:uid="{17112DC7-81BF-478C-ADE7-5F6C0CF485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7435" authorId="0" shapeId="0" xr:uid="{1A4C7F31-6945-45EA-9E55-DBC6C668B2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7436" authorId="0" shapeId="0" xr:uid="{16543B10-03E2-4061-9E0B-A40D7B2659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7437" authorId="0" shapeId="0" xr:uid="{060A5455-A7AC-4F6E-BFCB-24CB0BC3A1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7441" authorId="0" shapeId="0" xr:uid="{8E20A27F-D61B-40B7-90C6-513F535970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F7442" authorId="0" shapeId="0" xr:uid="{DD087980-03AB-4353-9AC4-AA870C29AA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G7456" authorId="0" shapeId="0" xr:uid="{35705EB4-6C87-4063-8CE4-A767EF396E29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梱包15円→今回梱包なし
EXW  4.38/m + 0.63/m = CIF HK USD 5.01/m</t>
        </r>
      </text>
    </comment>
    <comment ref="G7457" authorId="0" shapeId="0" xr:uid="{A23247F4-06FD-4AB7-A352-B9853823D5D7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梱包15円→今回梱包なし
EXW  4.38/m + 0.63/m = CIF HK USD 5.01/m</t>
        </r>
      </text>
    </comment>
    <comment ref="D7462" authorId="0" shapeId="0" xr:uid="{631CFD56-2D26-46D0-AE35-9623CE324C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D7463" authorId="0" shapeId="0" xr:uid="{70C6740C-D9E8-446A-8E77-C13057AF55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D7464" authorId="0" shapeId="0" xr:uid="{BB875F24-85E9-44DF-BCCA-8B2FDB3E5F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D7468" authorId="0" shapeId="0" xr:uid="{8B0F6A8B-C220-49BA-AC4D-C14F1676BD4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</t>
        </r>
      </text>
    </comment>
    <comment ref="B7473" authorId="0" shapeId="0" xr:uid="{666951A8-A0F5-4876-B1F4-93F86177C1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475" authorId="0" shapeId="0" xr:uid="{C9A4195C-3143-4AA9-A580-56EE350E97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477" authorId="0" shapeId="0" xr:uid="{A3E53907-DE2E-4897-B280-1D7F3A5980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479" authorId="0" shapeId="0" xr:uid="{40C18CDD-FCD1-4A41-93F2-0EFA497329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481" authorId="0" shapeId="0" xr:uid="{E800ED82-3AEE-4C08-AEA0-74EEDDD3F4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7483" authorId="0" shapeId="0" xr:uid="{75F5EAB4-9BA8-4DF0-B073-443E9AF818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7486" authorId="0" shapeId="0" xr:uid="{A4E723A0-1293-4E23-9A82-DAFFA3D23F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487" authorId="0" shapeId="0" xr:uid="{FFE6D0DE-23DA-4B8F-B07D-A6092A13E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488" authorId="0" shapeId="0" xr:uid="{4D52D287-DAD7-4AFF-BA70-A79640866E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D7505" authorId="0" shapeId="0" xr:uid="{63A2ACD4-9D2D-44AF-AF8D-353DA61293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120円
</t>
        </r>
      </text>
    </comment>
    <comment ref="B7562" authorId="1" shapeId="0" xr:uid="{CC4F7234-7540-49E9-8555-B1F15627E48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B7563" authorId="1" shapeId="0" xr:uid="{EB57A4D4-1158-4C70-B28D-85AE112C84B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B7564" authorId="1" shapeId="0" xr:uid="{9DB49A63-6924-4583-B549-CB686987DF8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B7565" authorId="1" shapeId="0" xr:uid="{9E3849F3-4B5E-4C0E-9CC9-158EB72552B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B7566" authorId="1" shapeId="0" xr:uid="{F8E0263C-09B6-439E-9702-B5ABCF42D8F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D7604" authorId="0" shapeId="0" xr:uid="{F6515B24-2835-4C46-9CD1-6BFE9F36C9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120円
</t>
        </r>
      </text>
    </comment>
    <comment ref="A7618" authorId="1" shapeId="0" xr:uid="{6BA45802-93D8-431D-AA2A-B0B8C300720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19" authorId="1" shapeId="0" xr:uid="{4AAC860E-4B47-45AD-B4DA-8EB65226A50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0" authorId="1" shapeId="0" xr:uid="{9EB60BB7-718A-4C28-A423-FB68833F425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1" authorId="1" shapeId="0" xr:uid="{3A7207C2-499E-4C8A-9248-7F8A1A219B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2" authorId="1" shapeId="0" xr:uid="{3D4C6038-453A-4DAC-9662-38DF448FD2A1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3" authorId="1" shapeId="0" xr:uid="{B6314BB3-92FF-4186-A4F1-E8D3A22197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4" authorId="1" shapeId="0" xr:uid="{A89A9B2B-7801-40D9-AC6B-8F07EDBED03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A7629" authorId="0" shapeId="0" xr:uid="{734211A2-4661-44F3-83A1-0B398D0F33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E7629" authorId="0" shapeId="0" xr:uid="{C2DCFB74-5EB3-4DD0-A622-E97DAC9B60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870円 +　梱包費用+20円の金額に合わせて顧客単価
</t>
        </r>
      </text>
    </comment>
    <comment ref="A7630" authorId="0" shapeId="0" xr:uid="{E529D369-C080-40FE-B981-28F96C5C82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E7630" authorId="0" shapeId="0" xr:uid="{8464B48E-2D87-4829-9E5F-291958B2E4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A7631" authorId="0" shapeId="0" xr:uid="{352FAA88-947C-448B-8788-286CEE2536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E7631" authorId="0" shapeId="0" xr:uid="{31262E26-8661-4737-8764-992657F1E5C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A7634" authorId="0" shapeId="0" xr:uid="{37BCBB6E-BFA4-4F24-8FD6-6B41ACCDBB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
</t>
        </r>
      </text>
    </comment>
    <comment ref="A7635" authorId="0" shapeId="0" xr:uid="{F940CC9F-5C89-4B19-AE38-B2D2A168A8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
</t>
        </r>
      </text>
    </comment>
    <comment ref="A7638" authorId="0" shapeId="0" xr:uid="{2D1775CC-E674-44CF-B201-D03D638FFBA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G7638" authorId="0" shapeId="0" xr:uid="{000E3FC8-DF8A-4044-91D0-9A624D0404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870円 +　梱包費用+20円の金額に合わせて顧客単価
</t>
        </r>
      </text>
    </comment>
    <comment ref="A7639" authorId="0" shapeId="0" xr:uid="{112DF020-A195-46EC-BDA7-932AB01719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G7639" authorId="0" shapeId="0" xr:uid="{070499ED-3A60-4FF2-A659-E3952A4BA9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A7640" authorId="0" shapeId="0" xr:uid="{A68F3D4E-71F3-44E4-A05B-BA8E640998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G7640" authorId="0" shapeId="0" xr:uid="{C6A11186-3B4F-4BC2-8993-D7D51C4F27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別注サンプル単価
1700円 +　梱包費用+20円の金額に合わせて顧客単価</t>
        </r>
      </text>
    </comment>
    <comment ref="F7735" authorId="0" shapeId="0" xr:uid="{A4912E2F-4437-4568-A80F-B2DEBD99259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Vendor にはEXW USD 5.07/m →÷0.65(35%)÷120に基づいたCIF Price で出している
</t>
        </r>
      </text>
    </comment>
    <comment ref="F7736" authorId="0" shapeId="0" xr:uid="{C28E3348-F837-4FFB-AD6E-0FDF5BA8D43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Vendor にはEXW USD 5.07/m →÷0.65(35%)÷120に基づいたCIF Price で出している
</t>
        </r>
      </text>
    </comment>
    <comment ref="F7737" authorId="0" shapeId="0" xr:uid="{6FAC366D-1D17-45D6-BA48-C389CB67BDA3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に基づいたCIF Price で出している</t>
        </r>
      </text>
    </comment>
    <comment ref="G7764" authorId="0" shapeId="0" xr:uid="{1C77DB77-745E-4A5B-8BBD-5DB6F43D1E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F7801" authorId="0" shapeId="0" xr:uid="{76148D70-1E69-4624-84D2-D17554DA5A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
115円
</t>
        </r>
      </text>
    </comment>
    <comment ref="G7806" authorId="0" shapeId="0" xr:uid="{8B507629-776B-4133-9E91-F9BA6779AFE1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→÷0.65(35%)÷120
EXW  5.07/m + 0.77/m = CIF HK USD 5.84/m</t>
        </r>
      </text>
    </comment>
    <comment ref="G7836" authorId="0" shapeId="0" xr:uid="{0EC89E92-896D-40B5-8518-0EE09954EF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A7858" authorId="0" shapeId="0" xr:uid="{4E6FA95C-C1B0-46CC-BCE4-E3F0A68835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59" authorId="0" shapeId="0" xr:uid="{ABF76DA2-2AD9-4754-9CA7-5AD3F25798C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60" authorId="0" shapeId="0" xr:uid="{2368195D-63E7-4FDF-8A99-D2EBA3BF01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61" authorId="0" shapeId="0" xr:uid="{CF404981-77F2-4796-92B9-8B15751653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62" authorId="0" shapeId="0" xr:uid="{420D987F-1EDB-44FD-A4F1-61D73C9454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63" authorId="0" shapeId="0" xr:uid="{9F1A6FEC-831D-4D4E-A4F0-2D114CD647B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7864" authorId="0" shapeId="0" xr:uid="{037A62CF-79F2-44A6-B539-4BE169FFCB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C7864" authorId="0" shapeId="0" xr:uid="{77EDBEC4-267A-4B4D-B7F8-8A7B7AD2C5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梱包費用30円up で</t>
        </r>
      </text>
    </comment>
    <comment ref="C7868" authorId="0" shapeId="0" xr:uid="{65283B68-C8CA-4819-AA91-8728786995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350yds
</t>
        </r>
      </text>
    </comment>
    <comment ref="A7871" authorId="0" shapeId="0" xr:uid="{AB888C70-1AA5-4633-989F-DB4F476F2A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872" authorId="0" shapeId="0" xr:uid="{C4A7CA61-C48B-461F-A4EF-3F17F81140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873" authorId="0" shapeId="0" xr:uid="{9447579D-C8D7-4B77-8DE0-9EBA5CA5DC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874" authorId="0" shapeId="0" xr:uid="{C158D104-3099-44F8-A31A-3597AF5363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A7875" authorId="0" shapeId="0" xr:uid="{6A31DFB5-18AF-4B24-8875-680F38D4E7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KKF3066
</t>
        </r>
      </text>
    </comment>
    <comment ref="G7913" authorId="0" shapeId="0" xr:uid="{5169BCCB-0419-41F4-8DCB-6C55F2A2CC9E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+ 0.62/m = CIF HK USD 5.00/m</t>
        </r>
      </text>
    </comment>
    <comment ref="E7916" authorId="0" shapeId="0" xr:uid="{4735F2D1-F7D4-4083-AD49-89CA2AED0F83}">
      <text>
        <r>
          <rPr>
            <b/>
            <sz val="9"/>
            <color indexed="81"/>
            <rFont val="MS P ゴシック"/>
            <family val="3"/>
            <charset val="128"/>
          </rPr>
          <t>chiba:
EXW USD 5.07/m →÷0.63(37%)÷120
EXW  5.07/m + 0.77/m = CIF HK USD 5.84/m</t>
        </r>
      </text>
    </comment>
    <comment ref="G7920" authorId="0" shapeId="0" xr:uid="{8FB368B6-8C24-42EA-93AD-CCFB6B1746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CIF HK Price  USD 0.47/m 
</t>
        </r>
      </text>
    </comment>
    <comment ref="F7925" authorId="1" shapeId="0" xr:uid="{E32045B7-8FD2-4C9E-8FD6-35ECFAC7CA4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G7928" authorId="0" shapeId="0" xr:uid="{FF554766-93E8-4492-BA5D-3B3544E5D0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0.82/m  
C&amp;F HK Price  USD 1.01/m 
</t>
        </r>
      </text>
    </comment>
    <comment ref="F8079" authorId="0" shapeId="0" xr:uid="{5BC309B8-B7FC-4F80-8AFE-1962FBE3B5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F8080" authorId="0" shapeId="0" xr:uid="{D633C3CD-2EFB-474A-A49D-D40368AA39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G8131" authorId="0" shapeId="0" xr:uid="{03957945-2358-4BC3-8BBE-EF9CBC30B072}">
      <text>
        <r>
          <rPr>
            <b/>
            <sz val="9"/>
            <color indexed="81"/>
            <rFont val="MS P ゴシック"/>
            <family val="3"/>
            <charset val="128"/>
          </rPr>
          <t>chiba:
EXW USD 5.00/m →380円÷0.64 (abt 36%) ÷120
EXW  5.00/m + 0.84/m = CIF HK USD 5.84/m</t>
        </r>
      </text>
    </comment>
    <comment ref="G8172" authorId="0" shapeId="0" xr:uid="{48D708C7-CFB7-4BDE-BBD0-6EC5B3413431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8185" authorId="0" shapeId="0" xr:uid="{25EE6DA6-DCC7-430A-A69A-406B1AF853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社内在庫残りはこれで提案</t>
        </r>
      </text>
    </comment>
    <comment ref="G8218" authorId="0" shapeId="0" xr:uid="{57EFCD9F-5A65-4EEC-BFA4-07CA5D4B57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8219" authorId="0" shapeId="0" xr:uid="{71DDE666-DBAA-4E3A-94C4-B2B560E3BE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F8223" authorId="0" shapeId="0" xr:uid="{380F046E-433B-489C-B1EB-CFA47C56CE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通常285 (メタリックで見積もり）</t>
        </r>
      </text>
    </comment>
    <comment ref="G8231" authorId="0" shapeId="0" xr:uid="{1A518653-2171-44D1-A5D5-26A4C81A0E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通常285 (メタリックで見積もり）</t>
        </r>
      </text>
    </comment>
    <comment ref="F8242" authorId="0" shapeId="0" xr:uid="{CBE987B6-2B36-403A-B9F3-E2B25CFF2B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通常191 (メタリックで見積もり）</t>
        </r>
      </text>
    </comment>
    <comment ref="F8257" authorId="0" shapeId="0" xr:uid="{B9F3D73E-DEC7-4C5D-B15C-4CBE8374EE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0.47/m 
</t>
        </r>
      </text>
    </comment>
    <comment ref="A8264" authorId="0" shapeId="0" xr:uid="{4A3125B9-5061-474E-8FD1-2744676B96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KKF2404</t>
        </r>
      </text>
    </comment>
    <comment ref="A8277" authorId="0" shapeId="0" xr:uid="{0079DFE0-60FC-43C1-940D-8196CE5CFD6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8278" authorId="0" shapeId="0" xr:uid="{D07A976C-4CFA-4CFE-9C3A-04A53ABED2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8283" authorId="1" shapeId="0" xr:uid="{2BE42BCD-72E7-450B-A403-08DAF659350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</t>
        </r>
      </text>
    </comment>
    <comment ref="D8283" authorId="1" shapeId="0" xr:uid="{AF6B984B-EDC5-482D-BDE3-7A19E79311D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FOB 
</t>
        </r>
      </text>
    </comment>
    <comment ref="G8327" authorId="0" shapeId="0" xr:uid="{4AC54FD0-E62F-44F6-BBFA-FD96F8E1D16A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28" authorId="0" shapeId="0" xr:uid="{714E921A-6774-4D65-8645-A04B46A9113B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29" authorId="0" shapeId="0" xr:uid="{F6477F8B-22E1-43B6-B7F5-44E4DC9B6958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30" authorId="0" shapeId="0" xr:uid="{DC1E16EF-8DD0-4175-9071-EDE05D7DC3A2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31" authorId="0" shapeId="0" xr:uid="{7CD2D002-F6BB-42D4-A542-3FEA41C64D0B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32" authorId="0" shapeId="0" xr:uid="{D22129B7-25AB-4EFE-BB59-A8AAF0A02ADA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33" authorId="0" shapeId="0" xr:uid="{C4B3003E-9C6F-476D-BC66-99BD36F2E5A0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梱包30円
に基づいたEXW Price で出している</t>
        </r>
      </text>
    </comment>
    <comment ref="G8392" authorId="0" shapeId="0" xr:uid="{B1766830-CEF0-4E5F-9B71-0EF7BE82E7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G8393" authorId="0" shapeId="0" xr:uid="{6377E02C-5EC3-400C-BCE5-B918EA5D43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G8399" authorId="0" shapeId="0" xr:uid="{897CE799-7044-4705-A35A-0F39C3A841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8400" authorId="0" shapeId="0" xr:uid="{49A76B1E-6CD4-470F-A521-E801BEF454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8414" authorId="0" shapeId="0" xr:uid="{3B5AB818-ED7A-47E2-9DC1-2F24A8FE35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0.54/m  
C&amp;F HK Price  USD 0.90/m 
</t>
        </r>
      </text>
    </comment>
    <comment ref="A8419" authorId="0" shapeId="0" xr:uid="{B4F83668-DC45-4E36-A974-44068E9A8E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0" authorId="0" shapeId="0" xr:uid="{EB4AE919-09F0-40F7-B17E-9391702BAC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1" authorId="0" shapeId="0" xr:uid="{B79E9318-CBAE-421F-841E-FC54BCA0AD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2" authorId="0" shapeId="0" xr:uid="{929E1304-B646-4F0B-AB2E-D2F401B86A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3" authorId="0" shapeId="0" xr:uid="{1C29ABB1-DB63-423D-9315-4977C6CE74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4" authorId="0" shapeId="0" xr:uid="{E9796702-397B-493F-A87A-01F6F79CD0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5" authorId="0" shapeId="0" xr:uid="{14AD31D5-3836-42FC-BF49-D305A18B8F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26" authorId="0" shapeId="0" xr:uid="{9FE8A498-2B05-44F6-A08D-752F3DB968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0" authorId="0" shapeId="0" xr:uid="{5ED1C4F2-85E4-40A8-969C-4C0CBB1F57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1" authorId="0" shapeId="0" xr:uid="{E8188EA0-878F-45DE-A16F-F9750C641D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2" authorId="0" shapeId="0" xr:uid="{E9FFB7D4-2517-48CE-B702-A844E11D47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3" authorId="0" shapeId="0" xr:uid="{A5B9372A-9110-4F9C-B50A-DE81872078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4" authorId="0" shapeId="0" xr:uid="{078DA4C8-2C25-4132-9001-FC53377106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5" authorId="0" shapeId="0" xr:uid="{39E65FCF-D851-4A42-A948-2807C71DF4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6" authorId="0" shapeId="0" xr:uid="{C7477389-3654-40A7-AF21-4B0EEF7D5B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7" authorId="0" shapeId="0" xr:uid="{23855A11-9FF8-4A91-8CC8-FA4D8433D8D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8" authorId="0" shapeId="0" xr:uid="{9013B028-E150-452C-8F51-EC7E32FD5C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439" authorId="0" shapeId="0" xr:uid="{89F86E1D-88CF-4427-854A-96EBBC2B3D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H8460" authorId="0" shapeId="0" xr:uid="{5B79BA96-F035-4A3C-8E8C-B4219FD44B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H8461" authorId="0" shapeId="0" xr:uid="{829C9E50-B397-4D7F-AC11-ABEFC9F5568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8469" authorId="0" shapeId="0" xr:uid="{7C97603C-77FE-4A6D-8074-D4649A23EE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55%（max border  ÷0.45) 
レート120</t>
        </r>
      </text>
    </comment>
    <comment ref="E8474" authorId="0" shapeId="0" xr:uid="{8F1F5829-2A9E-48BF-AF49-2B37C8FD37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475" authorId="0" shapeId="0" xr:uid="{3A8F7731-04BF-4010-91E1-D2EA2DCF4A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8486" authorId="0" shapeId="0" xr:uid="{F34F9116-8EC8-4C22-BC49-AC3718E529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E8492" authorId="0" shapeId="0" xr:uid="{AA55CF0C-7627-4307-B203-F9BBD2EB84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493" authorId="0" shapeId="0" xr:uid="{AC174908-C9CD-44BF-8F81-88A2E3AC0B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494" authorId="0" shapeId="0" xr:uid="{75C4191A-25CE-4BED-B901-3C7B568E51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495" authorId="0" shapeId="0" xr:uid="{FD5DDA62-1610-43F2-844B-A1F777A36C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496" authorId="0" shapeId="0" xr:uid="{C737D701-755F-472F-9F52-2F84E6F1D4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8522" authorId="0" shapeId="0" xr:uid="{13006310-C95D-448A-A135-42EEAF1B13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E8560" authorId="0" shapeId="0" xr:uid="{EB1B4A1A-457F-4703-B194-4FEAE0DDF6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通常1.63 x　1.5</t>
        </r>
      </text>
    </comment>
    <comment ref="E8561" authorId="0" shapeId="0" xr:uid="{515F7534-E232-4A01-BA6C-57817DB145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通常1.78 x　1.5</t>
        </r>
      </text>
    </comment>
    <comment ref="A8636" authorId="0" shapeId="0" xr:uid="{082AEA72-BE8D-4C5E-88D3-8CB2618DC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37" authorId="0" shapeId="0" xr:uid="{A83D366C-834E-497C-A51F-2FAA130E78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38" authorId="0" shapeId="0" xr:uid="{5E1D8256-5463-48DD-AEF6-669878802C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42" authorId="0" shapeId="0" xr:uid="{C3DFEBCB-84C9-48EA-910C-3888BFC4C5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43" authorId="0" shapeId="0" xr:uid="{4DE0298A-A66F-4373-A127-C81E021B978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44" authorId="0" shapeId="0" xr:uid="{83D6C200-1CB1-435F-9BF6-E82CC55F8D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F8649" authorId="0" shapeId="0" xr:uid="{28766606-B496-4D6B-A4DC-592DC6A98A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通常112 (メタリックで見積もり）</t>
        </r>
      </text>
    </comment>
    <comment ref="A8652" authorId="0" shapeId="0" xr:uid="{33D7F184-C933-40F9-B392-A2DB203DE7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53" authorId="0" shapeId="0" xr:uid="{9C640D3F-E5DD-413E-A87D-7F8ADB66A5A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54" authorId="0" shapeId="0" xr:uid="{A6EDE423-6D7D-4110-A598-A1857F573B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8671" authorId="0" shapeId="0" xr:uid="{4E2E73F2-583E-419C-BF87-C7E411B4D99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5414</t>
        </r>
      </text>
    </comment>
    <comment ref="C8671" authorId="1" shapeId="0" xr:uid="{69CF2FBA-27D0-4727-BDB8-512CD513DF6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G8671" authorId="0" shapeId="0" xr:uid="{BD6EBC90-B38B-4076-B10D-5BE1980DE4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0.82/m  
C&amp;F HK Price  USD 1.01/m 
</t>
        </r>
      </text>
    </comment>
    <comment ref="E8677" authorId="0" shapeId="0" xr:uid="{B0375C80-2C4C-4227-AB6D-816511138982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8678" authorId="0" shapeId="0" xr:uid="{5A6ACB74-0FC1-4CB0-8D2E-77B5F17E3254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G8725" authorId="0" shapeId="0" xr:uid="{453F6865-675A-4D4E-9085-7674492D317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726" authorId="0" shapeId="0" xr:uid="{17514058-70EC-4B3C-B102-DB8FD256622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783" authorId="0" shapeId="0" xr:uid="{2661B0F4-928E-425D-8B9F-0B91798646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CIF China Price  USD 1.21/m (CIF +0.17)</t>
        </r>
      </text>
    </comment>
    <comment ref="G8801" authorId="0" shapeId="0" xr:uid="{6E408AAA-6F21-4864-9478-CAF9669B2E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1.50/m  
CIF China Price  USD 1.92/m (CIF +0.42)</t>
        </r>
      </text>
    </comment>
    <comment ref="G8802" authorId="0" shapeId="0" xr:uid="{F7118AA7-A5EA-45AE-B9E1-01B084FD3A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1.50/m  
CIF China Price  USD 1.73/m (CIF +0.23)</t>
        </r>
      </text>
    </comment>
    <comment ref="G8803" authorId="0" shapeId="0" xr:uid="{BE5E1883-308F-4955-A61C-31A844BB5B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1.50/m  
CIF China Price  USD 1.70/m (CIF +0.20)</t>
        </r>
      </text>
    </comment>
    <comment ref="G8823" authorId="0" shapeId="0" xr:uid="{CC5A3599-DF9C-4BB6-AB6C-FF1BE3220E0A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824" authorId="0" shapeId="0" xr:uid="{9C5FDAE3-3BBB-478D-8409-ABEE33928A3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825" authorId="0" shapeId="0" xr:uid="{40A7721A-019A-41F0-9BD3-C447EDE2D762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F8836" authorId="0" shapeId="0" xr:uid="{E74C76B9-FE40-46E8-93BA-4091870325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8837" authorId="0" shapeId="0" xr:uid="{61AB7812-5ACA-4593-9091-5845AB7BDA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8838" authorId="0" shapeId="0" xr:uid="{979F62B9-54C2-4D5B-8D20-15D7806A9C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F8839" authorId="0" shapeId="0" xr:uid="{4E882D78-A904-4C7A-B122-F92381FC0D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46" authorId="0" shapeId="0" xr:uid="{3F5A92AC-DA56-41E2-ADBC-2F7D7D5226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47" authorId="0" shapeId="0" xr:uid="{D5A74FFA-15B7-4A5B-81FD-E514525F744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48" authorId="0" shapeId="0" xr:uid="{8720EF54-DEFD-4658-8AF3-E07DA7DFBB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49" authorId="0" shapeId="0" xr:uid="{D6C5A787-7FA4-44A1-AD21-93C14A546E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8855" authorId="0" shapeId="0" xr:uid="{4EEACEBA-6A5B-4485-8C26-1C7CC6B7AE94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856" authorId="0" shapeId="0" xr:uid="{5AED2F49-C953-41F8-831A-FC25F9F54FAE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857" authorId="0" shapeId="0" xr:uid="{96B139CE-A926-42A4-AE57-140D03C8509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G8862" authorId="0" shapeId="0" xr:uid="{59D8BCE6-EB7B-4A8E-BD59-C3CF924F5E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1.63/m (CIF +0.59)</t>
        </r>
      </text>
    </comment>
    <comment ref="G8863" authorId="0" shapeId="0" xr:uid="{C20BF77A-D143-46C3-B4D7-5F00347CCD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1.63/m (CIF +0.59)</t>
        </r>
      </text>
    </comment>
    <comment ref="G8867" authorId="0" shapeId="0" xr:uid="{48AC8281-1307-44A4-8092-E68DA61BE7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E8880" authorId="0" shapeId="0" xr:uid="{5DF4E26B-97D1-483B-817C-4B479E9A47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81" authorId="0" shapeId="0" xr:uid="{47BEA144-5839-49C7-9E49-E4997C65FA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82" authorId="0" shapeId="0" xr:uid="{4D4D3CD6-E697-420E-AD0F-5C22BE325E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83" authorId="0" shapeId="0" xr:uid="{0D364871-6B7D-4C38-9395-8066A90482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E8884" authorId="0" shapeId="0" xr:uid="{287C671F-B221-41F1-954C-B14490D63E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8892" authorId="0" shapeId="0" xr:uid="{052B055B-1BE8-4021-853F-43BAA01AE4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3" authorId="0" shapeId="0" xr:uid="{CC0850E3-3D2C-4A58-9F0A-4DE32C3F0E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4" authorId="0" shapeId="0" xr:uid="{492694D0-562E-4E4D-8542-123947F503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5" authorId="0" shapeId="0" xr:uid="{9FD8C012-4D90-4ECC-ADFC-691C9A1766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6" authorId="0" shapeId="0" xr:uid="{F9420FD8-E7AC-44B2-B92D-E9898F977F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7" authorId="0" shapeId="0" xr:uid="{052E29B3-129F-408F-9031-D65FF9E721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8" authorId="0" shapeId="0" xr:uid="{7F324CB6-BD40-4F88-AC0A-65AA96C499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899" authorId="0" shapeId="0" xr:uid="{A3DD8C1E-46BA-4A14-AF7E-7ECDEE86A4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900" authorId="0" shapeId="0" xr:uid="{1809CC78-B68C-4404-B6D1-CACE82BB9A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901" authorId="0" shapeId="0" xr:uid="{06B83EFD-B850-44E4-A698-1A855D1339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  D#1</t>
        </r>
      </text>
    </comment>
    <comment ref="A8928" authorId="0" shapeId="0" xr:uid="{DD69896C-779B-49A1-8C82-EA20EF83162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 3 在庫限り廃番
</t>
        </r>
      </text>
    </comment>
    <comment ref="A8929" authorId="0" shapeId="0" xr:uid="{A166ABDC-8714-456D-B0EC-4D22152F21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 1
</t>
        </r>
      </text>
    </comment>
    <comment ref="A8930" authorId="0" shapeId="0" xr:uid="{44EAED1D-7956-4D93-896B-810989B78ED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 2
</t>
        </r>
      </text>
    </comment>
    <comment ref="A8934" authorId="0" shapeId="0" xr:uid="{C7243417-AC95-4072-BBB2-02917A0C33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 1&amp;2
</t>
        </r>
      </text>
    </comment>
    <comment ref="E8956" authorId="0" shapeId="0" xr:uid="{EE9B3C8F-FEAC-4B28-A662-A6795390A4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E8958" authorId="0" shapeId="0" xr:uid="{64F9AFEA-70E6-4F59-AA5C-15D7A5D7EC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A8967" authorId="0" shapeId="0" xr:uid="{8527C0FE-864A-4D1F-9ED5-878FAE9355C4}">
      <text>
        <r>
          <rPr>
            <b/>
            <sz val="9"/>
            <color indexed="81"/>
            <rFont val="MS P ゴシック"/>
            <family val="3"/>
            <charset val="128"/>
          </rPr>
          <t>chiba:
KKF 8720 D#1</t>
        </r>
      </text>
    </comment>
    <comment ref="A8968" authorId="0" shapeId="0" xr:uid="{F831B49D-28FB-4006-A9EF-0674EF866E20}">
      <text>
        <r>
          <rPr>
            <b/>
            <sz val="9"/>
            <color indexed="81"/>
            <rFont val="MS P ゴシック"/>
            <family val="3"/>
            <charset val="128"/>
          </rPr>
          <t>chiba:
KKF 8720 D#2</t>
        </r>
      </text>
    </comment>
    <comment ref="A8969" authorId="0" shapeId="0" xr:uid="{55B0FFC3-D3DD-47CC-B2BD-108E07FF7178}">
      <text>
        <r>
          <rPr>
            <b/>
            <sz val="9"/>
            <color indexed="81"/>
            <rFont val="MS P ゴシック"/>
            <family val="3"/>
            <charset val="128"/>
          </rPr>
          <t>chiba:
KKF 8720 D#3</t>
        </r>
      </text>
    </comment>
    <comment ref="A8970" authorId="0" shapeId="0" xr:uid="{B5F22036-C815-461B-A858-4FBA3E1AB1EF}">
      <text>
        <r>
          <rPr>
            <b/>
            <sz val="9"/>
            <color indexed="81"/>
            <rFont val="MS P ゴシック"/>
            <family val="3"/>
            <charset val="128"/>
          </rPr>
          <t>chiba:
KKF 8720 D#1</t>
        </r>
      </text>
    </comment>
    <comment ref="A8971" authorId="0" shapeId="0" xr:uid="{3B643B34-33E6-44F1-8FBB-FCBD93C7E595}">
      <text>
        <r>
          <rPr>
            <b/>
            <sz val="9"/>
            <color indexed="81"/>
            <rFont val="MS P ゴシック"/>
            <family val="3"/>
            <charset val="128"/>
          </rPr>
          <t>chiba:
KKF 8720 D#2</t>
        </r>
      </text>
    </comment>
    <comment ref="A8972" authorId="0" shapeId="0" xr:uid="{A85F2438-D21A-4C31-B3E9-81FCFF94B05B}">
      <text>
        <r>
          <rPr>
            <b/>
            <sz val="9"/>
            <color indexed="81"/>
            <rFont val="MS P ゴシック"/>
            <family val="3"/>
            <charset val="128"/>
          </rPr>
          <t>chiba:
KKF 8720 D#3</t>
        </r>
      </text>
    </comment>
    <comment ref="D9083" authorId="0" shapeId="0" xr:uid="{5F90D678-8C2A-4FD4-B3F5-D4E00524E9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一括染色</t>
        </r>
      </text>
    </comment>
    <comment ref="F9092" authorId="0" shapeId="0" xr:uid="{B05BDEFD-6028-456C-B914-FB8F851B12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A9106" authorId="0" shapeId="0" xr:uid="{14BCDF33-77A7-42C2-8F08-419005B5F2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工場色番は"生地（染色無）"だが、分かりやすいようにMill's Off とする</t>
        </r>
      </text>
    </comment>
    <comment ref="A9107" authorId="0" shapeId="0" xr:uid="{FB0E66F8-154A-4DB4-8F4C-8971CAB2E9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工場色番は"生地（染色無）"だが、分かりやすいようにMill's Off とする</t>
        </r>
      </text>
    </comment>
    <comment ref="G9122" authorId="0" shapeId="0" xr:uid="{8D0FE4F7-4727-4E1D-B16D-1F57DA4DA7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9123" authorId="0" shapeId="0" xr:uid="{702707D5-EC72-41C6-AC86-B809EF7A1C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9211" authorId="0" shapeId="0" xr:uid="{535809B9-5F6B-4D64-8E75-CF252E4357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H9431" authorId="0" shapeId="0" xr:uid="{A1ABB142-CF4E-4D0D-8E9F-8B87FEAFC11F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H9432" authorId="0" shapeId="0" xr:uid="{92F4ED42-E19A-4642-A301-2E6F6C71567F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H9433" authorId="0" shapeId="0" xr:uid="{52E1652E-4D20-4A77-BA09-55A579E57E53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H9434" authorId="0" shapeId="0" xr:uid="{B4C35DDA-50A0-408B-AAD4-DF743EEDE965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B9440" authorId="0" shapeId="0" xr:uid="{30683F48-4B59-41B0-9361-68ED3EA654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B9441" authorId="0" shapeId="0" xr:uid="{913016E3-2888-4FF2-B993-E115E749E7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F9446" authorId="0" shapeId="0" xr:uid="{6FC84112-2E18-4DF7-8983-EF4F3D9542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通常106</t>
        </r>
      </text>
    </comment>
    <comment ref="F9447" authorId="0" shapeId="0" xr:uid="{D4C6E49A-0055-487C-A1D7-078E7CAC0C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通常149
</t>
        </r>
      </text>
    </comment>
    <comment ref="F9448" authorId="0" shapeId="0" xr:uid="{01A75511-1AEF-4B56-9D56-46052C60A7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通常187</t>
        </r>
      </text>
    </comment>
    <comment ref="D9645" authorId="0" shapeId="0" xr:uid="{F3783488-EBCB-4BD6-9FAA-3254269FE4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前回単価に合わせてる</t>
        </r>
      </text>
    </comment>
    <comment ref="G9719" authorId="0" shapeId="0" xr:uid="{864D9B21-B585-4361-B592-6DF9D9D166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G9720" authorId="0" shapeId="0" xr:uid="{022D2960-A8C7-4419-8037-E3BB1C95C1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chiba:FOB Price : USD 4.26/m + 0.35  
CIF HK Price  USD 4.61/m 
</t>
        </r>
      </text>
    </comment>
    <comment ref="B9746" authorId="0" shapeId="0" xr:uid="{90254337-5297-4475-928F-B825DE3B3D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9752" authorId="0" shapeId="0" xr:uid="{E292CA6E-F546-474B-A73B-FE14AA5189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A9753" authorId="0" shapeId="0" xr:uid="{B4BABF70-5970-4209-8A7C-BCBFF9CB6D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KKF2327CD-W
</t>
        </r>
      </text>
    </comment>
    <comment ref="G9775" authorId="0" shapeId="0" xr:uid="{47171A3D-0CFE-4110-90A6-53D9335AFE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1.04/m  
C&amp;F China Price  USD 2.02/m (C&amp;F +0.98)</t>
        </r>
      </text>
    </comment>
    <comment ref="C9780" authorId="1" shapeId="0" xr:uid="{EF4CED2B-4518-4C7E-AA51-3EEC6A03B43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Lab-dip : Option A is approved</t>
        </r>
      </text>
    </comment>
    <comment ref="A9786" authorId="0" shapeId="0" xr:uid="{EA6C75D5-1A2A-4F6A-A927-038F68A460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786" authorId="0" shapeId="0" xr:uid="{55D44309-6F41-4415-85FA-032D436FE8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787" authorId="0" shapeId="0" xr:uid="{A51BE775-81DE-4E6B-95F3-D34C08CD38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787" authorId="0" shapeId="0" xr:uid="{3F083551-87FF-47B7-81D9-C0BE3E381E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797" authorId="0" shapeId="0" xr:uid="{4908E2E5-F673-43F3-A12C-A3D74EC10B7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797" authorId="0" shapeId="0" xr:uid="{289BA162-2FBB-4C55-8BEF-2832F1FD6A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800" authorId="0" shapeId="0" xr:uid="{C4F2FBC2-E97A-40ED-882E-C3C12BDCFF0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800" authorId="0" shapeId="0" xr:uid="{DE3ACF8C-9FD1-436F-A6F8-2DF85521B9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26" authorId="0" shapeId="0" xr:uid="{91FEABD9-CF17-4B33-A48E-4C4FDA12039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26" authorId="0" shapeId="0" xr:uid="{CF37D37B-CD3E-432D-B279-1E12DC19A4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</t>
        </r>
      </text>
    </comment>
    <comment ref="A9937" authorId="0" shapeId="0" xr:uid="{E703EC4E-5878-45AB-A332-1AC70760DB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37" authorId="0" shapeId="0" xr:uid="{01C4748C-1CEA-456F-A161-7A87F04808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38" authorId="0" shapeId="0" xr:uid="{128BF9D0-2BB6-4F60-966F-FE5DFCBEAE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38" authorId="0" shapeId="0" xr:uid="{54D6DB9B-1BC5-4934-9436-D498F92872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40" authorId="0" shapeId="0" xr:uid="{F9B0FEDB-8603-4F84-B21E-DA6359D869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40" authorId="0" shapeId="0" xr:uid="{9B3C29A2-0EF0-42C6-AC9A-1F88DCAE60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Black=黒</t>
        </r>
      </text>
    </comment>
    <comment ref="A9941" authorId="0" shapeId="0" xr:uid="{3595637C-472E-458A-B6C3-957381C8E5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41" authorId="0" shapeId="0" xr:uid="{A791520B-6E07-456B-A183-1C2AC98B27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44" authorId="0" shapeId="0" xr:uid="{6641BB60-F302-4496-8CDC-8A9F43B41D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44" authorId="0" shapeId="0" xr:uid="{C5B9B29E-85CB-42ED-8302-3C122FFA8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45" authorId="0" shapeId="0" xr:uid="{2B51EF2F-4155-4889-954E-934F67D873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9945" authorId="0" shapeId="0" xr:uid="{97CDB4D2-23B2-46BF-8C6C-8546A19B6C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F9963" authorId="0" shapeId="0" xr:uid="{11ACB63F-61A8-44F0-BD68-1834C28E62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F9964" authorId="0" shapeId="0" xr:uid="{D2E56996-CA68-4D66-885C-2E5ED703E4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Brad price list に合わせた単価
50%（÷0.50) 
レート120</t>
        </r>
      </text>
    </comment>
    <comment ref="A9982" authorId="0" shapeId="0" xr:uid="{D81CA920-D9C5-4918-9505-0AF875A6D7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FWL-21293のリボン通し企画 
 </t>
        </r>
      </text>
    </comment>
    <comment ref="A9983" authorId="0" shapeId="0" xr:uid="{D1BEC8A7-CF0F-4184-BAF4-295EDDDE2E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FWL-21293のリボン通し企画 
 </t>
        </r>
      </text>
    </comment>
    <comment ref="A9989" authorId="0" shapeId="0" xr:uid="{79A72D66-4DCD-417F-9DD0-61C245371D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FWL-21293のリボン通し企画 
 </t>
        </r>
      </text>
    </comment>
    <comment ref="A9990" authorId="0" shapeId="0" xr:uid="{96BE05DD-0277-4760-BF3A-F36919ED7F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FWL-21293のリボン通し企画 
 </t>
        </r>
      </text>
    </comment>
    <comment ref="A9996" authorId="0" shapeId="0" xr:uid="{C77A129E-BBCD-4688-9FD7-3415F4F3D9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
 </t>
        </r>
      </text>
    </comment>
    <comment ref="B9996" authorId="0" shapeId="0" xr:uid="{125FA247-1290-4508-AB93-F729C757D3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9997" authorId="0" shapeId="0" xr:uid="{C51C4396-3C41-47EE-AA4B-0A9EA2EB6E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
 </t>
        </r>
      </text>
    </comment>
    <comment ref="B9997" authorId="0" shapeId="0" xr:uid="{1F540300-39BA-4B61-BB1A-BEFD87D670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10053" authorId="0" shapeId="0" xr:uid="{8B774CC5-DF5B-4B75-AD30-0837F7FE117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10053" authorId="0" shapeId="0" xr:uid="{1375EA5E-AB56-486A-B2E7-899DE85C04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</t>
        </r>
      </text>
    </comment>
    <comment ref="B10085" authorId="0" shapeId="0" xr:uid="{D0DC41FE-F96D-4DB5-BA6B-8B292ED795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B10086" authorId="0" shapeId="0" xr:uid="{314A20A5-6F43-42D2-A8E7-55F1708AE5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G10132" authorId="0" shapeId="0" xr:uid="{57EC7797-5EA7-4740-BD02-1C933A9042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10133" authorId="0" shapeId="0" xr:uid="{F6C742AF-4951-4278-A43E-72F454F6B2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10134" authorId="0" shapeId="0" xr:uid="{E2FEF0BF-DC4D-465D-B614-2D1096D724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G10135" authorId="0" shapeId="0" xr:uid="{DF4DACF8-618A-48AA-8339-659BB05AF0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C&amp;F HK Price  USD 0.20/m 
</t>
        </r>
      </text>
    </comment>
    <comment ref="A10139" authorId="0" shapeId="0" xr:uid="{DB6C134B-0080-430E-A422-23619FFE8B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39" authorId="0" shapeId="0" xr:uid="{79FE281D-BCE7-4B4C-9335-BD4AE1A491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10140" authorId="0" shapeId="0" xr:uid="{B0D94A21-C74B-499D-ADBE-8472F7E22C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40" authorId="0" shapeId="0" xr:uid="{D4A30609-DE28-4273-AEC9-D4AB4969C1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D10140" authorId="0" shapeId="0" xr:uid="{ED56140B-8EAC-4BDC-8C67-189FAA583753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L10140" authorId="0" shapeId="0" xr:uid="{6E5484B1-F12A-4E75-9482-23FB9B305A88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A10141" authorId="0" shapeId="0" xr:uid="{04AB7644-423B-4411-B254-949F476F89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41" authorId="0" shapeId="0" xr:uid="{9A0A2E31-DFB1-459B-9DA5-110F8D5D914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Black=黒</t>
        </r>
      </text>
    </comment>
    <comment ref="A10142" authorId="0" shapeId="0" xr:uid="{8518857B-A6CE-452B-80AF-233DEA6E7C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42" authorId="0" shapeId="0" xr:uid="{D581FEC9-88D6-4E4A-A7FC-9DD5A28872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D10142" authorId="0" shapeId="0" xr:uid="{992990E6-9C39-4860-B6A4-8FA5D63AC352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L10142" authorId="0" shapeId="0" xr:uid="{A1E50834-51FB-49F7-A2D8-BB439C32D9E3}">
      <text>
        <r>
          <rPr>
            <b/>
            <sz val="9"/>
            <color indexed="81"/>
            <rFont val="MS P ゴシック"/>
            <family val="3"/>
            <charset val="128"/>
          </rPr>
          <t>chiba
髙島リボン→二渡レースへの送料800円含む</t>
        </r>
      </text>
    </comment>
    <comment ref="A10150" authorId="0" shapeId="0" xr:uid="{4DE6FAF1-1C04-4807-8CB3-DBA4BE5F6A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50" authorId="0" shapeId="0" xr:uid="{49D61408-5D26-46CF-B899-6A33B43EE7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10151" authorId="0" shapeId="0" xr:uid="{00BDC65F-FFE3-4B81-94E3-B639A31D126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51" authorId="0" shapeId="0" xr:uid="{BDF08573-5EB9-4E96-9304-8291A5EBD0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10152" authorId="0" shapeId="0" xr:uid="{1F85A77E-E2E2-4164-AF67-E5C35698E6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52" authorId="0" shapeId="0" xr:uid="{2E693AB9-9854-46DD-93C6-7DC86718E3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Black=黒</t>
        </r>
      </text>
    </comment>
    <comment ref="A10153" authorId="0" shapeId="0" xr:uid="{9EC8D51A-1041-4147-97F9-177C06C6A00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元柄 FWL-21106のリボン通し企画 </t>
        </r>
      </text>
    </comment>
    <comment ref="B10153" authorId="0" shapeId="0" xr:uid="{344F47CA-B4CF-41FC-A5F0-59910A3A7D9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G10229" authorId="0" shapeId="0" xr:uid="{102E7923-A652-4EC1-A6AE-1D40ED5715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EXW JAPAN USD 0.39/m
C&amp;F : +0.34/m
USD 0.73/m</t>
        </r>
      </text>
    </comment>
    <comment ref="B10235" authorId="0" shapeId="0" xr:uid="{1933359E-69C7-4663-824C-2F14401BBB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36" authorId="0" shapeId="0" xr:uid="{2968A01B-DB5E-4D84-8029-AAC3AA12F5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37" authorId="0" shapeId="0" xr:uid="{C3376322-3308-4463-8AB9-C038ED4413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38" authorId="0" shapeId="0" xr:uid="{77680068-6D6E-4EB7-9CF6-2665815B9A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39" authorId="0" shapeId="0" xr:uid="{FC3EB212-DA2F-4435-91CB-FC47DB2698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40" authorId="0" shapeId="0" xr:uid="{0831C17A-7F98-4892-8F9D-C2257025BB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41" authorId="0" shapeId="0" xr:uid="{050FB007-2356-49C6-9801-620CF4CF50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242" authorId="0" shapeId="0" xr:uid="{F37877D2-6D0F-4BB8-A5C1-60E41736A1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G10248" authorId="1" shapeId="0" xr:uid="{A36F3796-1F6C-4433-9445-078488D2136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D10293" authorId="0" shapeId="0" xr:uid="{42F3A49C-0F7A-4382-A24A-14E620C766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D10294" authorId="0" shapeId="0" xr:uid="{97A2C52A-8430-46A2-988E-DEFA3EE356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D10295" authorId="0" shapeId="0" xr:uid="{7D7634D8-F76D-4E8B-9C1B-55DB87C768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D10296" authorId="0" shapeId="0" xr:uid="{AC4944C7-ADF5-461D-BA6D-8DD46B4572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D10297" authorId="0" shapeId="0" xr:uid="{8AD31DF7-7941-49AE-B509-D48077283C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A10372" authorId="0" shapeId="0" xr:uid="{5AB5A025-5CE9-4AB8-9E60-817D51B34A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73" authorId="0" shapeId="0" xr:uid="{652C8511-3AE8-4DC9-B1D1-5FD7BED3A8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74" authorId="0" shapeId="0" xr:uid="{17B179E9-07C1-4EC5-838C-F5A8453786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75" authorId="0" shapeId="0" xr:uid="{CE2600C9-3BE8-4F73-ABB2-3785A85EEF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78" authorId="0" shapeId="0" xr:uid="{B9EB3409-2CC0-4F3B-8C10-5F9106C0B1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379" authorId="0" shapeId="0" xr:uid="{98CB9871-A307-49C7-9721-C7A4EC6EF0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380" authorId="0" shapeId="0" xr:uid="{CA3CBCC2-6D1B-4136-8E0E-A2E81279FF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382" authorId="0" shapeId="0" xr:uid="{61446078-8E31-41E8-A799-792F862456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383" authorId="0" shapeId="0" xr:uid="{FBE80D12-BE06-429B-8955-8DDCAAE995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384" authorId="0" shapeId="0" xr:uid="{825BBE3B-B0EF-486A-89B3-8297DB04E43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386" authorId="0" shapeId="0" xr:uid="{B8F6CC38-A739-461D-BF8B-6A59A566917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387" authorId="0" shapeId="0" xr:uid="{F391E8F9-B7BF-4F14-8D85-AE9C53D36D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388" authorId="0" shapeId="0" xr:uid="{FB11E577-55F3-465E-843F-D844114AA37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394" authorId="0" shapeId="0" xr:uid="{5E219C3A-DDC8-460D-B27A-4FD0CF2CF7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95" authorId="0" shapeId="0" xr:uid="{1CB196DE-3942-4904-8020-D125B0F683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96" authorId="0" shapeId="0" xr:uid="{AB356998-B3F1-4CE3-971C-10E9EA6262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97" authorId="0" shapeId="0" xr:uid="{46FF3A23-B875-4BD3-9EE9-6CB3C4D717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399" authorId="0" shapeId="0" xr:uid="{6D617A91-E096-4093-89DD-BE0E9CEDFB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00" authorId="0" shapeId="0" xr:uid="{E2B48BF6-E7C7-4247-A011-3A37DE494E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01" authorId="0" shapeId="0" xr:uid="{7EC004E3-90BA-48C7-A9BB-F916A12AE6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03" authorId="0" shapeId="0" xr:uid="{0B37EDA7-C1D7-4623-99A3-440D53EE8D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404" authorId="0" shapeId="0" xr:uid="{92313C16-F299-41B8-959A-1D2BF2CE9E7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405" authorId="0" shapeId="0" xr:uid="{CC3DD3B0-8134-4A48-BCF6-F38BC9E174F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407" authorId="0" shapeId="0" xr:uid="{617E1145-F584-4417-869F-94D06D7C78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08" authorId="0" shapeId="0" xr:uid="{1C857FC6-DC43-40EC-A72E-20B266328C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09" authorId="0" shapeId="0" xr:uid="{2BA80295-1AEC-4E38-8F53-8C5DC42E8C5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22" authorId="0" shapeId="0" xr:uid="{0055E798-B960-4A9C-9AC8-CA75F7C4F4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423" authorId="0" shapeId="0" xr:uid="{F82BB499-7155-413E-BD21-01713BCA8D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424" authorId="0" shapeId="0" xr:uid="{E3B1CB94-7B97-4488-883C-C3F1214A31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425" authorId="0" shapeId="0" xr:uid="{12F91E6D-2D0F-4505-87F6-D2717DBFF4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</t>
        </r>
      </text>
    </comment>
    <comment ref="A10428" authorId="0" shapeId="0" xr:uid="{A8B8475E-886A-4EAA-981B-550D179798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29" authorId="0" shapeId="0" xr:uid="{5646E1A8-6D10-48BE-A77D-65CA25F480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30" authorId="0" shapeId="0" xr:uid="{5EBA5A36-D008-4051-955C-FDA1F784BE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 </t>
        </r>
      </text>
    </comment>
    <comment ref="A10432" authorId="0" shapeId="0" xr:uid="{620F51B5-AD3B-4448-82A7-000145FD55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33" authorId="0" shapeId="0" xr:uid="{C60A2200-B1B8-4AC5-BB28-E2B0C28BD3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34" authorId="0" shapeId="0" xr:uid="{69C92E6C-6132-4F91-A9B0-8AC8E256759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</t>
        </r>
      </text>
    </comment>
    <comment ref="A10436" authorId="0" shapeId="0" xr:uid="{8EC42C91-B0B6-4585-B4FD-B294ED4AB8B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437" authorId="0" shapeId="0" xr:uid="{949D19A6-D623-410C-BCAB-70911CD261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A10438" authorId="0" shapeId="0" xr:uid="{9E3B49C1-63C5-4D2D-A75F-B7A7613B34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</t>
        </r>
      </text>
    </comment>
    <comment ref="G10468" authorId="0" shapeId="0" xr:uid="{56AEF98D-2A16-4DE6-AF1A-B9984756F421}">
      <text>
        <r>
          <rPr>
            <b/>
            <sz val="9"/>
            <color indexed="81"/>
            <rFont val="MS P ゴシック"/>
            <family val="3"/>
            <charset val="128"/>
          </rPr>
          <t>chiba:
EXW USD 9.07/m →別注色1反単価
870円÷0.8÷120 EXW  9.07/m + 1.48/m = C&amp;F HK USD 10.55/m</t>
        </r>
      </text>
    </comment>
    <comment ref="G10469" authorId="1" shapeId="0" xr:uid="{73961E78-A12B-4BAE-BEC1-6FEB009624E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G10472" authorId="0" shapeId="0" xr:uid="{DDD8F791-8862-440D-9621-0470267060B4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C&amp;F HK USD 5.53/m</t>
        </r>
      </text>
    </comment>
    <comment ref="G10473" authorId="0" shapeId="0" xr:uid="{A09F6093-B9DC-4781-930F-EEB59BC9EFC6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
EXW  4.38/m + 1.15/m = C&amp;F HK USD 5.53/m</t>
        </r>
      </text>
    </comment>
    <comment ref="A10491" authorId="0" shapeId="0" xr:uid="{7B70D9C1-CB25-4E69-8EFA-793A0A77F5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FWL-3131s with wider ribbon holes version 別注</t>
        </r>
      </text>
    </comment>
    <comment ref="A10492" authorId="0" shapeId="0" xr:uid="{D31D45B5-87BE-4A26-B25C-D86B395055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FWL-3131s with wider ribbon holes version 別注</t>
        </r>
      </text>
    </comment>
    <comment ref="A10497" authorId="0" shapeId="0" xr:uid="{FB15F6FE-08C3-41B2-A99E-6A516E833E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FWL-24441のcustom design version
 </t>
        </r>
      </text>
    </comment>
    <comment ref="B10497" authorId="0" shapeId="0" xr:uid="{9F771471-B4BE-4C63-95D1-DCED0ECB84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ポリ糸帳　KINBA SPUN
# Greige =生地</t>
        </r>
      </text>
    </comment>
    <comment ref="A10536" authorId="0" shapeId="0" xr:uid="{EBC6EC93-72A1-4D87-978E-B3B5F77FA6F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537" authorId="0" shapeId="0" xr:uid="{41D6F68B-C301-4914-9794-EDB127B38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539" authorId="0" shapeId="0" xr:uid="{7ADF5860-9D78-456A-8DD9-ECF89A4B48C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540" authorId="0" shapeId="0" xr:uid="{6EAF2ED7-734E-47A9-9DE8-58F91633CE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542" authorId="0" shapeId="0" xr:uid="{5CEAEE8B-9C3D-4F9B-9491-08EC3A719E5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543" authorId="0" shapeId="0" xr:uid="{72F42C46-78BB-4C51-A87B-5A709FA726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G10602" authorId="0" shapeId="0" xr:uid="{15A4D5C3-9203-4DE7-B087-76942083CB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A10670" authorId="0" shapeId="0" xr:uid="{C56627AC-8AD6-4A95-A4A2-5D44C3C14E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D/#1 &amp; 2
</t>
        </r>
      </text>
    </comment>
    <comment ref="A10671" authorId="0" shapeId="0" xr:uid="{7B9ABE62-80FB-44E1-A5A7-5989C72ACB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KKF8720 D/#1 &amp; 2
</t>
        </r>
      </text>
    </comment>
    <comment ref="B10675" authorId="0" shapeId="0" xr:uid="{29577E6A-A1FA-42C3-8774-0F4DB23D82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76" authorId="0" shapeId="0" xr:uid="{15DDBC34-2282-4FF6-8424-8D786A875B3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77" authorId="0" shapeId="0" xr:uid="{5EE90C98-6365-4E8C-8491-9CF85757FA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78" authorId="0" shapeId="0" xr:uid="{D40F52C8-5437-4E58-B827-2858F95CEC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79" authorId="0" shapeId="0" xr:uid="{BDF233BE-E601-4FA8-88C5-5F09993B24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80" authorId="0" shapeId="0" xr:uid="{D9D27524-1F27-4F4A-A89F-D471525249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81" authorId="0" shapeId="0" xr:uid="{80781201-02A4-4CDB-BD6F-6F1F0DEF8F9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682" authorId="0" shapeId="0" xr:uid="{3F6E7D82-9D0C-47AD-91A8-6DAEEB2EF5D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0706" authorId="0" shapeId="0" xr:uid="{EFFCFB46-2FA9-4C8D-B05D-4269FDB63D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707" authorId="0" shapeId="0" xr:uid="{65BD6B9D-C894-4072-8A3C-11B62714FA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709" authorId="0" shapeId="0" xr:uid="{84E1FB01-CDCE-495B-B24B-FEB70D1062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710" authorId="0" shapeId="0" xr:uid="{C25325DF-5ADA-494B-9A92-6C30380C9E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712" authorId="0" shapeId="0" xr:uid="{3347E77B-5653-4757-B1E6-99287F94A3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713" authorId="0" shapeId="0" xr:uid="{92D0DD7B-03A5-4256-8F8D-480C68DA10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715" authorId="0" shapeId="0" xr:uid="{C7A7F1A2-1843-4FD1-B559-0A742660C7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716" authorId="0" shapeId="0" xr:uid="{E587A100-F4F5-475C-843F-AD7723E43B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717" authorId="0" shapeId="0" xr:uid="{19E5629B-AAF2-45A5-8363-6B198B0E6C1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722" authorId="0" shapeId="0" xr:uid="{B4F7300A-2E58-4924-8394-A08482D785D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723" authorId="0" shapeId="0" xr:uid="{2579BD0E-F8F1-4CA6-BC05-E27EBDAD78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726" authorId="0" shapeId="0" xr:uid="{2B1989EF-EE7E-4453-B7F7-51525C63E3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727" authorId="0" shapeId="0" xr:uid="{3D726B08-C206-4B97-8070-3FB06938AC5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730" authorId="0" shapeId="0" xr:uid="{06309633-69B1-469F-92DF-D64702D80B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731" authorId="0" shapeId="0" xr:uid="{9AE24835-506D-46CB-B96B-0A7D41993F6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734" authorId="0" shapeId="0" xr:uid="{88FBEEA8-1B4B-4129-9C25-E49C5EDA3C9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735" authorId="0" shapeId="0" xr:uid="{242B50CE-8F35-445C-9939-4CF412F7A1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C10741" authorId="0" shapeId="0" xr:uid="{44FC3869-3265-4879-A7D7-5E15147A7A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368yds</t>
        </r>
      </text>
    </comment>
    <comment ref="G10754" authorId="0" shapeId="0" xr:uid="{733DF763-FE46-4A07-9909-5E4DF29758A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0.15/m(55%, 120レート）  
CIF HK Price  USD 0.49/m 
運賃約 3000円 + 保険 3000円</t>
        </r>
      </text>
    </comment>
    <comment ref="E10775" authorId="0" shapeId="0" xr:uid="{55EC79EE-D861-470F-81CD-EB12251B94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本来は191円に値上げだが、Buck Masonの今回オーダーに限り160円/m  </t>
        </r>
      </text>
    </comment>
    <comment ref="F10791" authorId="0" shapeId="0" xr:uid="{3B09EB18-9F4E-44F9-B363-E25DB02E79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F10792" authorId="0" shapeId="0" xr:uid="{AADCEE7D-4DAD-46A7-A3AF-3035024C63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G10822" authorId="0" shapeId="0" xr:uid="{4B5DAA2F-98A5-4A16-A36C-C009AC9F4D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10823" authorId="0" shapeId="0" xr:uid="{E46E98D5-F56C-4713-857F-0EEBAB71630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E10827" authorId="0" shapeId="0" xr:uid="{A8745233-1828-4617-9118-5689BF435B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本来は191円に値上げだが、Buck Masonの今回オーダーに限り160円/m  </t>
        </r>
      </text>
    </comment>
    <comment ref="F10891" authorId="0" shapeId="0" xr:uid="{279F826A-27BA-4067-9A78-2C2372992A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F10892" authorId="0" shapeId="0" xr:uid="{EC0DF5A7-675C-4BB8-BB7C-7DC3E4591F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前回単価に合わせて計算</t>
        </r>
      </text>
    </comment>
    <comment ref="B10901" authorId="0" shapeId="0" xr:uid="{CD77EAA6-2465-4BFD-852A-4422A75BF0A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2" authorId="0" shapeId="0" xr:uid="{B84883B4-47A6-4555-9AC5-72BFC9DD97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3" authorId="0" shapeId="0" xr:uid="{7530EF30-43E1-42FF-B1BC-16FDD698BD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4" authorId="0" shapeId="0" xr:uid="{05212E34-7D7E-4E9B-87D8-7EA0ACD55A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5" authorId="0" shapeId="0" xr:uid="{5EDEC993-8795-40FF-BDEB-BA4E7AA192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6" authorId="0" shapeId="0" xr:uid="{85A1BFA4-3715-4CEF-B2D5-E43973F47FD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7" authorId="0" shapeId="0" xr:uid="{8C49CF97-D6F7-4E4A-8A51-223DFD475B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B10908" authorId="0" shapeId="0" xr:uid="{B5EEABF0-E1AA-47FA-8EE7-E29516730B6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0919" authorId="0" shapeId="0" xr:uid="{677FB9CE-4EB1-4DF0-BF43-6F8DA833C07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921" authorId="0" shapeId="0" xr:uid="{BE876D5C-66AE-495B-9373-FA1695A29C9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923" authorId="0" shapeId="0" xr:uid="{1B01DFC7-14FB-4C1A-A70D-21B61310292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924" authorId="0" shapeId="0" xr:uid="{721C4112-EA08-4F65-A7BE-F90C9D776E6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926" authorId="0" shapeId="0" xr:uid="{1E8FF0F1-340C-4B0E-8219-AACC4D3363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927" authorId="0" shapeId="0" xr:uid="{82C02D06-99EA-4939-983A-455F473DBA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939" authorId="0" shapeId="0" xr:uid="{5DCF1BE9-DED4-42A9-883F-B22ED8E38F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F10939" authorId="0" shapeId="0" xr:uid="{90FE0BAB-64D8-4864-85F7-3C616E1E3A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特価№92935s＠125→＠123</t>
        </r>
      </text>
    </comment>
    <comment ref="A10942" authorId="0" shapeId="0" xr:uid="{E84DEA61-406E-4F0D-B15A-3720B922C0A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0945" authorId="0" shapeId="0" xr:uid="{2471CC8D-8FDD-4503-8B64-1253BAA3BD7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946" authorId="0" shapeId="0" xr:uid="{E1758FA2-3B88-4CE5-941B-5123713F015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0949" authorId="0" shapeId="0" xr:uid="{4A3E0B82-6A9C-48C9-A8AF-7740BD59C1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950" authorId="0" shapeId="0" xr:uid="{97CCE0CF-1960-4A8B-9340-FA0C257D5E5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0996" authorId="0" shapeId="0" xr:uid="{820325EF-CE02-418D-97DC-9C75D48ED02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997" authorId="0" shapeId="0" xr:uid="{6BB55AE7-590D-4455-85F8-C92D9AD9EF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998" authorId="0" shapeId="0" xr:uid="{0E5A5574-1981-49F3-99A1-21CFF9C6BD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0999" authorId="0" shapeId="0" xr:uid="{E739A376-A3F4-43F9-83E4-76756A0299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00" authorId="0" shapeId="0" xr:uid="{A6809A7E-B1D5-462A-9628-291CD773C5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01" authorId="0" shapeId="0" xr:uid="{580A13B1-ADAA-4002-836C-C5B60003F3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4" authorId="0" shapeId="0" xr:uid="{1A3B3C72-515E-45B8-8115-6F50C6D16B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5" authorId="0" shapeId="0" xr:uid="{239A8465-E02E-4136-BA10-744728B281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6" authorId="0" shapeId="0" xr:uid="{0248D0FC-2056-473D-A629-79AD33FCF7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7" authorId="0" shapeId="0" xr:uid="{147055E2-75EA-4968-9671-09EB1DD136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8" authorId="0" shapeId="0" xr:uid="{34ECDA42-9178-4D70-9900-08490453F0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19" authorId="0" shapeId="0" xr:uid="{A5551F23-DB89-44CA-ABE0-A83C6A7C9C8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37" authorId="0" shapeId="0" xr:uid="{701361E1-AE54-4E06-A30B-94160C827BB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38" authorId="0" shapeId="0" xr:uid="{F73B461B-9A0E-4327-867F-4D4F1409DA9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39" authorId="0" shapeId="0" xr:uid="{B638C682-4F8B-49AB-977D-CE8C276DEEF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40" authorId="0" shapeId="0" xr:uid="{74EE9614-BD19-4466-AECA-E7C2B231DC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41" authorId="0" shapeId="0" xr:uid="{E7C15AD7-8FF0-4864-99A6-67561BA57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42" authorId="0" shapeId="0" xr:uid="{F7ED41A3-54A6-4124-ABD7-2FF260A62EE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44" authorId="0" shapeId="0" xr:uid="{8F90DC67-E835-4AD7-9FAD-EB761D4EDD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45" authorId="0" shapeId="0" xr:uid="{0CF06F47-E087-4E23-9B4D-04900C07453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46" authorId="0" shapeId="0" xr:uid="{7A646C06-03BE-47D5-92B0-D63A41B834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48" authorId="0" shapeId="0" xr:uid="{BC4320D9-C154-4754-9B7F-097EAB0D1BD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49" authorId="0" shapeId="0" xr:uid="{CFD50477-473A-4F77-9F44-9CE6A7517B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50" authorId="0" shapeId="0" xr:uid="{659EC0A2-5AFF-4C7D-AC3C-79914EF562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52" authorId="0" shapeId="0" xr:uid="{A7739523-5028-4099-A9BB-A95C0E3111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53" authorId="0" shapeId="0" xr:uid="{18D82CB5-95CA-4DEA-90AD-6FA4CE5425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54" authorId="0" shapeId="0" xr:uid="{833E0F05-DC38-4262-888B-58418189EB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69" authorId="0" shapeId="0" xr:uid="{3FD128BD-97A6-4ADC-AFA8-88F603AECB8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0" authorId="0" shapeId="0" xr:uid="{E9A58405-F57A-4CC4-90BA-F237AFCC8F8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1" authorId="0" shapeId="0" xr:uid="{223690A9-583A-4A49-AC10-92E662D7B8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2" authorId="0" shapeId="0" xr:uid="{3C3293C7-C485-40DA-A530-797BF10D7C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3" authorId="0" shapeId="0" xr:uid="{E6099B80-C22D-47D2-B57B-7942E79FBF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4" authorId="0" shapeId="0" xr:uid="{C3D94700-0A01-4E00-A508-D63724EC96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076" authorId="0" shapeId="0" xr:uid="{6CC903F5-F194-4463-82A1-4E732059AE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77" authorId="0" shapeId="0" xr:uid="{E840A00A-A27C-458A-8742-3339E05E8A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78" authorId="0" shapeId="0" xr:uid="{AF4A274F-2B93-4A91-9BC3-E6655EC20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081" authorId="0" shapeId="0" xr:uid="{62AF9E1C-231C-4356-ACCB-ACE2130E8B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82" authorId="0" shapeId="0" xr:uid="{10ABE471-EE86-43BC-8E0A-B89CE5B6626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83" authorId="0" shapeId="0" xr:uid="{87F9C993-E15D-4B8D-BFA6-A2A6FD50601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086" authorId="0" shapeId="0" xr:uid="{F50F031B-5B88-4384-B210-73E677CB6E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87" authorId="0" shapeId="0" xr:uid="{D86E3F05-DE9B-46E2-AE91-E7554EF711A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88" authorId="0" shapeId="0" xr:uid="{4E0BF6AD-5C8D-4160-A053-364C9D51041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096" authorId="0" shapeId="0" xr:uid="{B6F1DB02-9EC5-4DFF-8B39-D3697EA8B63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7116</t>
        </r>
      </text>
    </comment>
    <comment ref="A11116" authorId="0" shapeId="0" xr:uid="{E983639D-1A54-4D3C-BF4C-7C0556FFB5B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117" authorId="0" shapeId="0" xr:uid="{6ECB7287-2A21-4F2D-91BF-83774118CC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118" authorId="0" shapeId="0" xr:uid="{183CE6E7-1633-4384-B021-F3281ECA006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124" authorId="0" shapeId="0" xr:uid="{8A4516DF-C3AF-4F5A-B349-FB490C50B3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125" authorId="0" shapeId="0" xr:uid="{F1363D92-C3A1-4E9B-AAA8-3313031553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FWL-41179s→ FWL-41179s  as Inset lace </t>
        </r>
      </text>
    </comment>
    <comment ref="A11128" authorId="0" shapeId="0" xr:uid="{E029ED26-7379-4B55-B0EF-615C9BCFF8C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129" authorId="0" shapeId="0" xr:uid="{504EE98A-9083-46CD-A411-694AB4191E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FWL-41046s→FWL-41046s as Inset lace</t>
        </r>
      </text>
    </comment>
    <comment ref="A11132" authorId="0" shapeId="0" xr:uid="{088C635F-83DC-4DBB-A354-F3E532694D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A11133" authorId="0" shapeId="0" xr:uid="{A02A1B05-51BD-449E-A265-E7B86A58E62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 FWL-41163s→ FWL-41163s as Inset lace</t>
        </r>
      </text>
    </comment>
    <comment ref="F11174" authorId="0" shapeId="0" xr:uid="{16E042EF-4BDF-49E3-8ECE-6859694379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染色代90円込み</t>
        </r>
      </text>
    </comment>
    <comment ref="F11176" authorId="0" shapeId="0" xr:uid="{D9FF6AFC-0D63-446C-B91C-B15E7D6D96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染色代80円込み</t>
        </r>
      </text>
    </comment>
    <comment ref="G11310" authorId="0" shapeId="0" xr:uid="{C88D9CBE-AE1B-4DA4-9409-DD7F261592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11311" authorId="0" shapeId="0" xr:uid="{D3B1D848-0B17-4774-B0EB-7BDBD5EF32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A11321" authorId="0" shapeId="0" xr:uid="{0040DCE5-59F8-48B5-81C8-3E035B1149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Custom development based on FWL-3131s↓FWL-3131s with wider ribbon holes </t>
        </r>
      </text>
    </comment>
    <comment ref="A11344" authorId="0" shapeId="0" xr:uid="{21E9F3A0-E6B1-422C-A0E9-0CDE057D69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FWL-71680 ( 100% Silk ) - 1 1/8" same as original width</t>
        </r>
      </text>
    </comment>
    <comment ref="A11345" authorId="0" shapeId="0" xr:uid="{6FC8CFAC-02A5-472D-943E-4CB6C215E5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FWL-71680 ( 100% Silk ) - 1 1/8" same as original width</t>
        </r>
      </text>
    </comment>
    <comment ref="E11345" authorId="0" shapeId="0" xr:uid="{51FB45AE-9C5A-4EA6-9FEE-3A2B75F0B6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染色代90円込み</t>
        </r>
      </text>
    </comment>
    <comment ref="A11346" authorId="0" shapeId="0" xr:uid="{4D2F97B6-73D1-442A-ADC3-441824EBBD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FWL-71680 ( 100% Silk ) - 3/4" </t>
        </r>
      </text>
    </comment>
    <comment ref="A11347" authorId="0" shapeId="0" xr:uid="{E644E38A-1C14-484A-80B0-B79C58F6FC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FWL-71680 ( 100% Silk ) - 3/4" </t>
        </r>
      </text>
    </comment>
    <comment ref="E11347" authorId="0" shapeId="0" xr:uid="{7A79DCF3-9409-4EAA-86E2-A682536D6A6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染色代80円込み</t>
        </r>
      </text>
    </comment>
    <comment ref="A11469" authorId="0" shapeId="0" xr:uid="{23CA6EB9-B6A0-42F7-9FD5-D3754E9FE9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0" authorId="0" shapeId="0" xr:uid="{481537E3-9112-427F-ADEA-4FA6DB205B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1" authorId="0" shapeId="0" xr:uid="{6E97BCC7-B6C9-4A2A-B5F9-8B726A7AC35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2" authorId="0" shapeId="0" xr:uid="{D3E46686-6ADD-4336-AFAB-5E28CA0CA0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3" authorId="0" shapeId="0" xr:uid="{214EFF14-F200-472D-A5B6-8AB6FBF36F6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8" authorId="0" shapeId="0" xr:uid="{57BF6B9D-945A-4E1E-B612-BDEDED4D79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79" authorId="0" shapeId="0" xr:uid="{5BDE8448-E3B7-44AA-8A6A-361D8DAFEDA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80" authorId="0" shapeId="0" xr:uid="{2ACCC03B-187C-4828-AB0F-6ABB6D4B6B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81" authorId="0" shapeId="0" xr:uid="{CFA11602-2227-4125-9081-92CD754D90B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482" authorId="0" shapeId="0" xr:uid="{FDFD462C-15D3-4EF8-8954-B95FAA9A881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
</t>
        </r>
      </text>
    </comment>
    <comment ref="A11519" authorId="0" shapeId="0" xr:uid="{91D09EF5-DF09-4BAD-8E4B-B887998E0AB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A11525" authorId="0" shapeId="0" xr:uid="{0AF2878B-93EA-4308-AF0C-AE256A223A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A11526" authorId="0" shapeId="0" xr:uid="{0E3A2F1E-6F75-4971-9AAF-61FA61F215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A11527" authorId="0" shapeId="0" xr:uid="{E3572F46-5329-4B36-9D0C-A9DD7CAEBE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KKC5530</t>
        </r>
      </text>
    </comment>
    <comment ref="G11581" authorId="0" shapeId="0" xr:uid="{B77D988F-78AD-49F9-93A5-12184C83D1A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0.51/m 
</t>
        </r>
      </text>
    </comment>
    <comment ref="G11582" authorId="0" shapeId="0" xr:uid="{CBB1D2BD-9B85-4BC9-8AD3-CB7FE62D3C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0.75/m(55%, 120レート）  
C&amp;F HK Price  USD 1.10/m 
</t>
        </r>
      </text>
    </comment>
    <comment ref="L11594" authorId="0" shapeId="0" xr:uid="{CF7F624A-DCCE-4641-B7B8-58254E40B02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Buck Mason 向け &amp; シーズンSS26 に限り（サンプル・バルク共に）、特価160円</t>
        </r>
      </text>
    </comment>
    <comment ref="L11595" authorId="0" shapeId="0" xr:uid="{271E7A59-1AB3-4920-9B60-3567B786BD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Buck Mason 向け &amp; シーズンSS26 に限り（サンプル・バルク共に）、特価160円</t>
        </r>
      </text>
    </comment>
    <comment ref="A11787" authorId="0" shapeId="0" xr:uid="{02396DF9-5D1B-4D80-B780-099020F938C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KKF8867 D/#1
</t>
        </r>
      </text>
    </comment>
    <comment ref="A11788" authorId="0" shapeId="0" xr:uid="{7563BE56-78ED-4223-92F2-00FD241CEED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KKF8867 D/#1</t>
        </r>
      </text>
    </comment>
    <comment ref="A11931" authorId="0" shapeId="0" xr:uid="{8B0DCEC5-B89B-4626-981F-7EFB3BB7271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KKF2317 D/#1
</t>
        </r>
      </text>
    </comment>
    <comment ref="A11932" authorId="0" shapeId="0" xr:uid="{03DB7962-659C-42FA-BCD3-3EEF5B6217D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A12107" authorId="0" shapeId="0" xr:uid="{D951FE86-9005-4311-8219-A6C4784AE59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(=FWL-23283 + 1/4” to non-scallop edge) </t>
        </r>
      </text>
    </comment>
    <comment ref="A12125" authorId="0" shapeId="0" xr:uid="{1E8E681B-491A-4F10-85FF-FA35FFD8B5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(=FWL-23808 + 1/4” to both sides) </t>
        </r>
      </text>
    </comment>
    <comment ref="A12126" authorId="0" shapeId="0" xr:uid="{28E4A7DC-1526-49A4-9E05-D414B3FFFB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(=FWL-24596+1/4” to non-scallop edge)</t>
        </r>
      </text>
    </comment>
    <comment ref="A12205" authorId="0" shapeId="0" xr:uid="{E05A5B23-E861-4F1D-B08B-BCE8931B0E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FWL-71680 ( 100% Silk ) - 3/4"</t>
        </r>
      </text>
    </comment>
    <comment ref="G12222" authorId="0" shapeId="0" xr:uid="{6012F6C1-8AAD-4ABE-9E44-0C5C0FB6DCD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0.27/m(55%, 120レート）  
C&amp;F HK Price  USD 0.62/m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</authors>
  <commentList>
    <comment ref="E24" authorId="0" shapeId="0" xr:uid="{00000000-0006-0000-0600-000001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R24" authorId="0" shapeId="0" xr:uid="{00000000-0006-0000-0600-000002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5" authorId="0" shapeId="0" xr:uid="{00000000-0006-0000-0600-000003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R25" authorId="0" shapeId="0" xr:uid="{00000000-0006-0000-0600-000004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E26" authorId="0" shapeId="0" xr:uid="{00000000-0006-0000-0600-000005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R26" authorId="0" shapeId="0" xr:uid="{00000000-0006-0000-0600-000006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20反以上バルク単価
(輸出梱包費15円込み）</t>
        </r>
      </text>
    </comment>
    <comment ref="K28" authorId="0" shapeId="0" xr:uid="{00000000-0006-0000-0600-000007000000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Q28" authorId="0" shapeId="0" xr:uid="{00000000-0006-0000-0600-000008000000}">
      <text>
        <r>
          <rPr>
            <b/>
            <sz val="9"/>
            <color indexed="81"/>
            <rFont val="MS P ゴシック"/>
            <family val="3"/>
            <charset val="128"/>
          </rPr>
          <t>chiba
EXW 4.10x 0.94</t>
        </r>
      </text>
    </comment>
    <comment ref="K30" authorId="0" shapeId="0" xr:uid="{00000000-0006-0000-0600-000009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31" authorId="0" shapeId="0" xr:uid="{00000000-0006-0000-0600-00000A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32" authorId="0" shapeId="0" xr:uid="{00000000-0006-0000-0600-00000B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33" authorId="0" shapeId="0" xr:uid="{00000000-0006-0000-0600-00000C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 
レート120
</t>
        </r>
      </text>
    </comment>
    <comment ref="K35" authorId="0" shapeId="0" xr:uid="{00000000-0006-0000-0600-00000D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35" authorId="0" shapeId="0" xr:uid="{00000000-0006-0000-0600-00000E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36" authorId="0" shapeId="0" xr:uid="{00000000-0006-0000-0600-00000F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36" authorId="0" shapeId="0" xr:uid="{00000000-0006-0000-0600-000010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37" authorId="0" shapeId="0" xr:uid="{00000000-0006-0000-0600-000011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37" authorId="0" shapeId="0" xr:uid="{00000000-0006-0000-0600-000012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38" authorId="0" shapeId="0" xr:uid="{00000000-0006-0000-0600-000013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38" authorId="0" shapeId="0" xr:uid="{00000000-0006-0000-0600-000014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39" authorId="0" shapeId="0" xr:uid="{00000000-0006-0000-0600-000015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39" authorId="0" shapeId="0" xr:uid="{00000000-0006-0000-0600-000016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40" authorId="0" shapeId="0" xr:uid="{00000000-0006-0000-0600-000017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カット代 3ドル/m含む
新単価で20% 120</t>
        </r>
      </text>
    </comment>
    <comment ref="P40" authorId="0" shapeId="0" xr:uid="{00000000-0006-0000-0600-000018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通常単価（カット代除く）に対して x 0.94 </t>
        </r>
      </text>
    </comment>
    <comment ref="K42" authorId="0" shapeId="0" xr:uid="{00000000-0006-0000-0600-000019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44" authorId="0" shapeId="0" xr:uid="{00000000-0006-0000-0600-00001A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45" authorId="0" shapeId="0" xr:uid="{00000000-0006-0000-0600-00001B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50" authorId="0" shapeId="0" xr:uid="{00000000-0006-0000-0600-00001C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51" authorId="0" shapeId="0" xr:uid="{00000000-0006-0000-0600-00001D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K52" authorId="0" shapeId="0" xr:uid="{00000000-0006-0000-0600-00001E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R61" authorId="0" shapeId="0" xr:uid="{00000000-0006-0000-0600-00001F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2" authorId="0" shapeId="0" xr:uid="{00000000-0006-0000-0600-000020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3" authorId="0" shapeId="0" xr:uid="{00000000-0006-0000-0600-000021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4" authorId="0" shapeId="0" xr:uid="{00000000-0006-0000-0600-000022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5" authorId="0" shapeId="0" xr:uid="{00000000-0006-0000-0600-000023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6" authorId="0" shapeId="0" xr:uid="{00000000-0006-0000-0600-000024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7" authorId="0" shapeId="0" xr:uid="{00000000-0006-0000-0600-000025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8" authorId="0" shapeId="0" xr:uid="{00000000-0006-0000-0600-000026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69" authorId="0" shapeId="0" xr:uid="{00000000-0006-0000-0600-000027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70" authorId="0" shapeId="0" xr:uid="{00000000-0006-0000-0600-000028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71" authorId="0" shapeId="0" xr:uid="{00000000-0006-0000-0600-000029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R72" authorId="0" shapeId="0" xr:uid="{00000000-0006-0000-0600-00002A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輸出梱包15円込み</t>
        </r>
      </text>
    </comment>
    <comment ref="K73" authorId="1" shapeId="0" xr:uid="{00000000-0006-0000-0600-00002B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大阪負担</t>
        </r>
      </text>
    </comment>
    <comment ref="Q73" authorId="1" shapeId="0" xr:uid="{00000000-0006-0000-0600-00002C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顧客・NYどちらも請求なし
大負担</t>
        </r>
      </text>
    </comment>
    <comment ref="K75" authorId="0" shapeId="0" xr:uid="{00000000-0006-0000-0600-00002D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約60% 
120
</t>
        </r>
      </text>
    </comment>
    <comment ref="E79" authorId="0" shapeId="0" xr:uid="{00000000-0006-0000-0600-00002E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4708</t>
        </r>
      </text>
    </comment>
    <comment ref="K79" authorId="0" shapeId="0" xr:uid="{00000000-0006-0000-0600-00002F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chiba:EXW Price : USD 0.49/m  
C&amp;F HK Price  USD 0.74/m 
</t>
        </r>
      </text>
    </comment>
    <comment ref="P79" authorId="1" shapeId="0" xr:uid="{00000000-0006-0000-0600-000030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0.49 に対して</t>
        </r>
      </text>
    </comment>
    <comment ref="K80" authorId="1" shapeId="0" xr:uid="{00000000-0006-0000-0600-000031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Freight Fee に含む</t>
        </r>
      </text>
    </comment>
    <comment ref="J88" authorId="0" shapeId="0" xr:uid="{00000000-0006-0000-0600-000032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Q88" authorId="1" shapeId="0" xr:uid="{00000000-0006-0000-0600-000033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</t>
        </r>
      </text>
    </comment>
    <comment ref="J89" authorId="0" shapeId="0" xr:uid="{00000000-0006-0000-0600-000034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Q89" authorId="1" shapeId="0" xr:uid="{00000000-0006-0000-0600-000035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</t>
        </r>
      </text>
    </comment>
    <comment ref="J90" authorId="0" shapeId="0" xr:uid="{00000000-0006-0000-0600-0000360000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バルク単価
18% 
レート120
梱包代10円</t>
        </r>
      </text>
    </comment>
    <comment ref="Q90" authorId="1" shapeId="0" xr:uid="{00000000-0006-0000-0600-00003700000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商品代1,720円+ 梱包賃：10円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H88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H89" authorId="0" shapeId="0" xr:uid="{00000000-0006-0000-07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A192" authorId="0" shapeId="0" xr:uid="{E35DB64B-A1BD-4795-B6B9-81E8460C7B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3" authorId="0" shapeId="0" xr:uid="{758849D0-3ADD-4A8D-ACF1-C9691F262E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4" authorId="0" shapeId="0" xr:uid="{38A5EACE-549A-47ED-A346-8E5BE77A1B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5" authorId="0" shapeId="0" xr:uid="{085FE251-674F-44E1-8E5D-BFF8502122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6" authorId="0" shapeId="0" xr:uid="{6AABCB56-D37C-4BC8-AB80-D86EB8E424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7" authorId="0" shapeId="0" xr:uid="{108ADC0A-9459-45F3-AB7A-E98F794F3AC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8" authorId="0" shapeId="0" xr:uid="{1681A2FB-BEBF-4DA8-9FD0-70F19560B4B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199" authorId="0" shapeId="0" xr:uid="{E2E689A2-F4A4-4A61-A065-732325306C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0" authorId="0" shapeId="0" xr:uid="{83B57509-18C3-4445-AF23-08DE24D62E1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1" authorId="0" shapeId="0" xr:uid="{FCBC9B8C-A1C1-4607-8247-925184AB1F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4" authorId="0" shapeId="0" xr:uid="{D05127D1-11F8-476C-9C92-9DF90517542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5" authorId="0" shapeId="0" xr:uid="{EB32A7CD-7790-4AC1-8C64-ABF2759024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6" authorId="0" shapeId="0" xr:uid="{463BA57A-EEC0-4C33-97D8-F1E442798A2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7" authorId="0" shapeId="0" xr:uid="{9E0D5D5C-6447-4EA8-8571-C5E9377FDA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8" authorId="0" shapeId="0" xr:uid="{D84C9560-1015-4273-93E4-B8C04A509B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09" authorId="0" shapeId="0" xr:uid="{0935D792-492B-483F-A833-322E3402DB8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0" authorId="0" shapeId="0" xr:uid="{906EFF0E-ADFA-4983-B72D-F9F89BAA2B3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1" authorId="0" shapeId="0" xr:uid="{B2DC498A-0E43-4559-9F69-E534E85097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2" authorId="0" shapeId="0" xr:uid="{907D21E2-1817-4507-B77E-79F0C503E6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3" authorId="0" shapeId="0" xr:uid="{C49923EA-2C6E-4DC8-BA82-07436C38CCE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4" authorId="0" shapeId="0" xr:uid="{AA5FCFB7-4623-465C-ABC5-83DBAF89372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5" authorId="0" shapeId="0" xr:uid="{1E98A12B-50FD-492D-B3C2-B13583C1E17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6" authorId="0" shapeId="0" xr:uid="{C4FD1966-5C18-46D9-A139-BB35AA07253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7" authorId="0" shapeId="0" xr:uid="{ED96A5AA-D439-4DB8-BD51-6D18FD0C25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8" authorId="0" shapeId="0" xr:uid="{C7D3EF49-7B13-4E10-BE94-673DE18E98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19" authorId="0" shapeId="0" xr:uid="{C3632237-7045-4075-982B-AC2C14733A1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0" authorId="0" shapeId="0" xr:uid="{68683DBC-DF1E-4C8E-81E8-F0008138DC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1" authorId="0" shapeId="0" xr:uid="{61C7E866-1414-4C64-963D-7D7CB807C6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6" authorId="0" shapeId="0" xr:uid="{2F6EFA1B-B9E9-47B5-BA2B-442127324E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7" authorId="0" shapeId="0" xr:uid="{85839FF1-DFEA-4B25-926D-E1A5D9C3E2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8" authorId="0" shapeId="0" xr:uid="{89FF9589-6DE6-49D1-BCDE-D94973E255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29" authorId="0" shapeId="0" xr:uid="{B28D5F30-9373-4C49-BF22-9E387959F2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0" authorId="0" shapeId="0" xr:uid="{82009BE5-F712-4600-89A7-7FC2D608DD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1" authorId="0" shapeId="0" xr:uid="{C02A89AD-7512-4275-85FC-2323DE7B3D4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2" authorId="0" shapeId="0" xr:uid="{14BE6DD5-6DF9-4AA9-B4B0-8908CBFAD5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3" authorId="0" shapeId="0" xr:uid="{6F7D0CC3-6AF8-4B2A-A2E5-59250985B75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4" authorId="0" shapeId="0" xr:uid="{4C256F83-EE9D-407F-942C-59A87C9963B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5" authorId="0" shapeId="0" xr:uid="{03BBAFC4-CF62-432F-B538-1EF5C0D7394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6" authorId="0" shapeId="0" xr:uid="{80BA66D7-5B07-4347-A6B9-FA3B982B9A1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7" authorId="0" shapeId="0" xr:uid="{9124566A-DB55-4C2E-A204-08701A10FC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8" authorId="0" shapeId="0" xr:uid="{29F760F1-8FDF-4E06-BFC1-B1F5C985A7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39" authorId="0" shapeId="0" xr:uid="{363347E1-C992-4ABD-9334-AAC7C1FC81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0" authorId="0" shapeId="0" xr:uid="{F85213F7-FECA-4905-B00A-BBAD50567B4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1" authorId="0" shapeId="0" xr:uid="{9E3B63FE-33A2-4EAC-8C60-14DA116DBF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2" authorId="0" shapeId="0" xr:uid="{0F5AAA8D-4F36-4625-A5D2-2AC902017F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3" authorId="0" shapeId="0" xr:uid="{AB489ECD-3A8C-4475-B3E4-38D8D375FC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4" authorId="0" shapeId="0" xr:uid="{AD18E4DB-BB00-4942-BCDE-9C524755CEC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A246" authorId="0" shapeId="0" xr:uid="{517BD7E4-334B-4C65-BDC6-26B4929CA1C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★バイオーダー時（20反以上の染色加工上がり即一括引取条件）
【品番】N2040
同じ商品の幅違いで品番が変わります。</t>
        </r>
      </text>
    </comment>
    <comment ref="E299" authorId="0" shapeId="0" xr:uid="{44CAFC15-C02C-4FEC-AE2E-B4B0F8D6F349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00" authorId="0" shapeId="0" xr:uid="{B9FCCC3D-12B6-4B4D-9CF2-75ECA586601F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E301" authorId="0" shapeId="0" xr:uid="{37648B28-1102-485B-9F0D-7C00A560CA35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02" authorId="0" shapeId="0" xr:uid="{B34CE5C0-3F27-4BD7-B8E0-60A116329759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03" authorId="0" shapeId="0" xr:uid="{8AB74351-A76D-4852-94E0-87BEF33922A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04" authorId="0" shapeId="0" xr:uid="{75A3A05B-8314-4136-8E2E-372FFE675D2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05" authorId="0" shapeId="0" xr:uid="{3C758B46-0942-4256-AD42-286ABCCA8F94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06" authorId="0" shapeId="0" xr:uid="{D2351AF5-181C-42AE-B5C1-4CD9239DCAF4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07" authorId="0" shapeId="0" xr:uid="{4EB2987E-9EF0-4885-B645-49AFBE7EDA4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08" authorId="0" shapeId="0" xr:uid="{D5C91A30-0AC0-4EB0-9F92-F32AA7005672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09" authorId="0" shapeId="0" xr:uid="{253E57DC-DA15-4E63-BC55-4CF93948EA42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10" authorId="0" shapeId="0" xr:uid="{52D44624-D258-4D29-82F8-4D1C6E08BD5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1" authorId="0" shapeId="0" xr:uid="{BA78A8C7-B414-4054-BF20-86C8BF5AEF1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2" authorId="0" shapeId="0" xr:uid="{91E71617-2480-4FD2-8C76-039476F542CD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3" authorId="0" shapeId="0" xr:uid="{6FB00474-6B34-4F6D-81A7-AD5E20A6119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4" authorId="0" shapeId="0" xr:uid="{FE82E037-A6C8-4782-A5F9-C47357E94570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5" authorId="0" shapeId="0" xr:uid="{5FD6B9B0-D19C-4D3B-8F13-BF1CAD14D4B2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6" authorId="0" shapeId="0" xr:uid="{B1C50C58-E586-4DDF-B4B3-3B4253A1C188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7" authorId="0" shapeId="0" xr:uid="{D866AF7F-B3F3-4732-903D-981B107AAAD2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18" authorId="0" shapeId="0" xr:uid="{69DBB018-F521-4633-8D6E-53481FBFDC3F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19" authorId="0" shapeId="0" xr:uid="{3A325EF1-21C4-4E9B-BEC0-3AB6E8953AFD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A320" authorId="0" shapeId="0" xr:uid="{1617C7B7-BBC6-4E53-B6C9-2F09A936246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6362 </t>
        </r>
      </text>
    </comment>
    <comment ref="E320" authorId="0" shapeId="0" xr:uid="{5A296239-4691-4A9F-B99D-965B98E11041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21" authorId="0" shapeId="0" xr:uid="{F354DB6C-F93E-46CE-A0D0-1E6AC480A366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22" authorId="0" shapeId="0" xr:uid="{AE0ADAE7-1CD3-406C-B566-44B010E74023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23" authorId="0" shapeId="0" xr:uid="{1E3B5BD2-F198-4406-8B0F-894D7D37B8D3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A324" authorId="0" shapeId="0" xr:uid="{1BC5C422-3CAE-4E2A-AE6D-122A3D8070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3666
</t>
        </r>
      </text>
    </comment>
    <comment ref="E324" authorId="0" shapeId="0" xr:uid="{D17FAA98-93FD-41BF-BC8F-415F5982BB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3.34/m 
EXW 3.34 + 1.12/m = C&amp;F HK USD
4.46/m
カット代 USD 12 + IFC USD 20 + courier USD 100 = abt USD 140÷125 </t>
        </r>
      </text>
    </comment>
    <comment ref="E325" authorId="0" shapeId="0" xr:uid="{6047157D-3E6D-4239-887F-2D4F47B129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EXW USD 3.34/m 
EXW 3.34 + 1.12/m = C&amp;F HK USD
4.46/m
カット代 USD 12 + IFC USD 20 + courier USD 100 = abt USD 140÷125 </t>
        </r>
      </text>
    </comment>
    <comment ref="E326" authorId="0" shapeId="0" xr:uid="{672A2F20-2E17-4157-BC9F-ACFCC48F2049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27" authorId="0" shapeId="0" xr:uid="{CB74638A-BEEB-49A3-A931-22B72B22998E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28" authorId="0" shapeId="0" xr:uid="{9BAB7C92-B771-47E2-89C7-46378F953E53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29" authorId="0" shapeId="0" xr:uid="{D9DB2977-9919-47D1-8ED6-241A6CE298C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30" authorId="0" shapeId="0" xr:uid="{14F6F87C-DDA9-4055-A888-E20697594852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A331" authorId="0" shapeId="0" xr:uid="{05C37575-0DD5-47D2-A6CB-B439A647368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4750</t>
        </r>
      </text>
    </comment>
    <comment ref="E331" authorId="0" shapeId="0" xr:uid="{330E615B-77C8-4F3F-B3EB-12535585AED0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32" authorId="0" shapeId="0" xr:uid="{3AF03D1D-CC41-408E-B2AF-2A1F8DF23B77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33" authorId="0" shapeId="0" xr:uid="{B231BB4C-61F7-48F1-9530-9CF706C207C7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34" authorId="0" shapeId="0" xr:uid="{9AFA3420-A871-4316-9191-C1E16DB40C5C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A335" authorId="0" shapeId="0" xr:uid="{B5805D89-E85D-4AE4-BDA4-A3CAB5F7E0C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5561</t>
        </r>
      </text>
    </comment>
    <comment ref="E335" authorId="0" shapeId="0" xr:uid="{EB29F830-2E87-488B-8A5A-45490D387BA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36" authorId="0" shapeId="0" xr:uid="{856A753E-AA3E-421A-B9BC-3C1C43E03A64}">
      <text>
        <r>
          <rPr>
            <b/>
            <sz val="9"/>
            <color indexed="81"/>
            <rFont val="MS P ゴシック"/>
            <family val="3"/>
            <charset val="128"/>
          </rPr>
          <t>chiba:
Vendor にはEXW USD 4.38/m →÷0.6÷120
(通常単価300円/m)+ 梱包15円
に基づいたEXW Price で出している</t>
        </r>
      </text>
    </comment>
    <comment ref="E337" authorId="0" shapeId="0" xr:uid="{D456880E-C13F-4EF2-A7E3-674659AAD325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38" authorId="0" shapeId="0" xr:uid="{99A69E6E-D713-41E3-ABE2-553D2C0161E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39" authorId="0" shapeId="0" xr:uid="{1F337C9C-1AA2-4CA0-A41A-5B1777D9A41F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40" authorId="0" shapeId="0" xr:uid="{E757B0F7-522E-4463-8734-3030F83C531A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41" authorId="0" shapeId="0" xr:uid="{5DC9C8BC-3998-412C-9FBF-847275DC9C3B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E342" authorId="0" shapeId="0" xr:uid="{983C614B-723E-4BDE-9D1F-122414496865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
EXW  4.10/m + 0.63/m = CIF HK USD 4.73/m</t>
        </r>
      </text>
    </comment>
    <comment ref="A343" authorId="0" shapeId="0" xr:uid="{E34DD3AA-3899-4520-B636-5F7694959D8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5018</t>
        </r>
      </text>
    </comment>
    <comment ref="E343" authorId="0" shapeId="0" xr:uid="{71885EEC-8223-48B3-BBF3-3AA75F114266}">
      <text>
        <r>
          <rPr>
            <b/>
            <sz val="9"/>
            <color indexed="81"/>
            <rFont val="MS P ゴシック"/>
            <family val="3"/>
            <charset val="128"/>
          </rPr>
          <t>chiba:
EXW USD 4.10/m →÷0.6÷120
(通常単価280円/m)+ 梱包15円→今回梱包なし
EXW  4.10/m + 0.63/m = CIF HK USD 4.73/m</t>
        </r>
      </text>
    </comment>
    <comment ref="A344" authorId="0" shapeId="0" xr:uid="{D4B49B0A-1967-446E-BEB7-6AC6A8F778E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5167</t>
        </r>
      </text>
    </comment>
    <comment ref="E344" authorId="0" shapeId="0" xr:uid="{A00A22BD-E711-4695-9B4C-BF8CFE339FE6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48" authorId="0" shapeId="0" xr:uid="{CA57CEA1-8B77-41A3-8F8B-4718B0C4E071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49" authorId="0" shapeId="0" xr:uid="{7DB5AA2B-75D2-4FE7-BA5C-89CDC128C7D3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50" authorId="0" shapeId="0" xr:uid="{F34BCF30-35E8-4DFA-A80A-2C89A720CBFF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51" authorId="0" shapeId="0" xr:uid="{877E2CA8-B3A1-49F4-B6F1-23B3CC7D4E75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52" authorId="0" shapeId="0" xr:uid="{FCA83E35-08C8-4C25-99AD-ED18D7553B44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  <comment ref="E353" authorId="0" shapeId="0" xr:uid="{E49AEC6C-F69C-425E-A861-72D57290D8B7}">
      <text>
        <r>
          <rPr>
            <b/>
            <sz val="9"/>
            <color indexed="81"/>
            <rFont val="MS P ゴシック"/>
            <family val="3"/>
            <charset val="128"/>
          </rPr>
          <t>chiba:
EXW USD 4.38/m →÷0.6÷120
(通常単価300円/m)+ 梱包15円
EXW  4.38/m + 0.50/m = CIF HK USD 4.88/m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<sst xmlns="http://schemas.openxmlformats.org/spreadsheetml/2006/main" count="50752" uniqueCount="9255">
  <si>
    <t>ART. NO.</t>
    <phoneticPr fontId="2"/>
  </si>
  <si>
    <t>QTY</t>
    <phoneticPr fontId="2"/>
  </si>
  <si>
    <t>Put-up</t>
    <phoneticPr fontId="2"/>
  </si>
  <si>
    <t>SF-USA</t>
    <phoneticPr fontId="2"/>
  </si>
  <si>
    <t>Polyester-100%</t>
    <phoneticPr fontId="2"/>
  </si>
  <si>
    <t>PT-10</t>
    <phoneticPr fontId="2"/>
  </si>
  <si>
    <t>Black</t>
    <phoneticPr fontId="2"/>
  </si>
  <si>
    <t>Petersham Ribbon</t>
    <phoneticPr fontId="2"/>
  </si>
  <si>
    <t>Trina Turk</t>
    <phoneticPr fontId="2"/>
  </si>
  <si>
    <t>(per roll)</t>
    <phoneticPr fontId="2"/>
  </si>
  <si>
    <t>(per meter)</t>
    <phoneticPr fontId="2"/>
  </si>
  <si>
    <t>Monique Lhuillier Inc.</t>
    <phoneticPr fontId="2"/>
  </si>
  <si>
    <t>T3500</t>
    <phoneticPr fontId="2"/>
  </si>
  <si>
    <t>Stretch Grosgrain Ribbon</t>
    <phoneticPr fontId="2"/>
  </si>
  <si>
    <t>Petersham Ribbon</t>
  </si>
  <si>
    <t>Rayon-100%</t>
    <phoneticPr fontId="2"/>
  </si>
  <si>
    <t>White</t>
    <phoneticPr fontId="2"/>
  </si>
  <si>
    <t>Natural</t>
    <phoneticPr fontId="2"/>
  </si>
  <si>
    <t>TI-1140</t>
    <phoneticPr fontId="2"/>
  </si>
  <si>
    <t>PP-10</t>
    <phoneticPr fontId="2"/>
  </si>
  <si>
    <t>3705</t>
    <phoneticPr fontId="2"/>
  </si>
  <si>
    <t>M599</t>
    <phoneticPr fontId="2"/>
  </si>
  <si>
    <t>2020A-WS</t>
    <phoneticPr fontId="2"/>
  </si>
  <si>
    <t>SF-USA</t>
  </si>
  <si>
    <t>M</t>
    <phoneticPr fontId="2"/>
  </si>
  <si>
    <t>S</t>
    <phoneticPr fontId="2"/>
  </si>
  <si>
    <t>#2 Black</t>
    <phoneticPr fontId="2"/>
  </si>
  <si>
    <t>100% Nylon Tulle</t>
    <phoneticPr fontId="2"/>
  </si>
  <si>
    <t xml:space="preserve">Trina Turk </t>
    <phoneticPr fontId="2"/>
  </si>
  <si>
    <t># 1 White</t>
    <phoneticPr fontId="2"/>
  </si>
  <si>
    <t># 9 Black</t>
    <phoneticPr fontId="2"/>
  </si>
  <si>
    <t>Handling Fee</t>
    <phoneticPr fontId="2"/>
  </si>
  <si>
    <t>TI-3500</t>
    <phoneticPr fontId="2"/>
  </si>
  <si>
    <t>12 x 12mm</t>
    <phoneticPr fontId="2"/>
  </si>
  <si>
    <t># 500 Black</t>
    <phoneticPr fontId="2"/>
  </si>
  <si>
    <t># 511 Burgundy</t>
    <phoneticPr fontId="2"/>
  </si>
  <si>
    <t>Stretch Binder Tape Polyester 90%, Polyurethane 10%</t>
    <phoneticPr fontId="2"/>
  </si>
  <si>
    <t>15 x 15mm</t>
    <phoneticPr fontId="2"/>
  </si>
  <si>
    <t>ES-FB002</t>
    <phoneticPr fontId="2"/>
  </si>
  <si>
    <t># 50 Black</t>
    <phoneticPr fontId="2"/>
  </si>
  <si>
    <t># 47 Indigo</t>
    <phoneticPr fontId="2"/>
  </si>
  <si>
    <t>20 x 20mm</t>
    <phoneticPr fontId="2"/>
  </si>
  <si>
    <t>Soft Suede Tape  Polyester-100%</t>
    <phoneticPr fontId="2"/>
  </si>
  <si>
    <t>Knit Binding Tape  Polyester-100%</t>
    <phoneticPr fontId="2"/>
  </si>
  <si>
    <t># 26</t>
    <phoneticPr fontId="2"/>
  </si>
  <si>
    <t># 31</t>
    <phoneticPr fontId="2"/>
  </si>
  <si>
    <t># 20</t>
    <phoneticPr fontId="2"/>
  </si>
  <si>
    <t>Binding Tape Wool 100%</t>
    <phoneticPr fontId="2"/>
  </si>
  <si>
    <t># 24 Black</t>
    <phoneticPr fontId="2"/>
  </si>
  <si>
    <t>Kint Binding Tape Wool 100%</t>
    <phoneticPr fontId="2"/>
  </si>
  <si>
    <t>KS9625</t>
    <phoneticPr fontId="2"/>
  </si>
  <si>
    <t># 43 Black</t>
    <phoneticPr fontId="2"/>
  </si>
  <si>
    <t>Size</t>
    <phoneticPr fontId="2"/>
  </si>
  <si>
    <t>Color</t>
    <phoneticPr fontId="2"/>
  </si>
  <si>
    <t>Qty</t>
    <phoneticPr fontId="2"/>
  </si>
  <si>
    <t>Trim Lace 100% Cotton</t>
    <phoneticPr fontId="2"/>
  </si>
  <si>
    <t>Mill's Black</t>
    <phoneticPr fontId="2"/>
  </si>
  <si>
    <t>KYL-24376</t>
    <phoneticPr fontId="2"/>
  </si>
  <si>
    <t>DTM Taupe</t>
    <phoneticPr fontId="2"/>
  </si>
  <si>
    <t>DTM Forest</t>
    <phoneticPr fontId="2"/>
  </si>
  <si>
    <t>KYL-24198</t>
    <phoneticPr fontId="2"/>
  </si>
  <si>
    <t>Dyeing fee</t>
    <phoneticPr fontId="2"/>
  </si>
  <si>
    <t>2 sets</t>
    <phoneticPr fontId="2"/>
  </si>
  <si>
    <t>Price/M</t>
    <phoneticPr fontId="2"/>
  </si>
  <si>
    <t>品番</t>
    <rPh sb="0" eb="2">
      <t>ヒンバン</t>
    </rPh>
    <phoneticPr fontId="2"/>
  </si>
  <si>
    <t>ｻｲｽﾞ</t>
    <phoneticPr fontId="2"/>
  </si>
  <si>
    <t>色番</t>
    <rPh sb="0" eb="1">
      <t>イロ</t>
    </rPh>
    <rPh sb="1" eb="2">
      <t>バン</t>
    </rPh>
    <phoneticPr fontId="2"/>
  </si>
  <si>
    <t>仕立</t>
    <rPh sb="0" eb="2">
      <t>シタ</t>
    </rPh>
    <phoneticPr fontId="2"/>
  </si>
  <si>
    <t>数量</t>
    <rPh sb="0" eb="2">
      <t>スウリョウ</t>
    </rPh>
    <phoneticPr fontId="2"/>
  </si>
  <si>
    <t>貴社品番</t>
    <rPh sb="0" eb="2">
      <t>キシャ</t>
    </rPh>
    <rPh sb="2" eb="4">
      <t>ヒンバン</t>
    </rPh>
    <phoneticPr fontId="2"/>
  </si>
  <si>
    <t>単価/M</t>
    <rPh sb="0" eb="2">
      <t>タンカ</t>
    </rPh>
    <phoneticPr fontId="2"/>
  </si>
  <si>
    <t>金額</t>
    <rPh sb="0" eb="2">
      <t>キンガク</t>
    </rPh>
    <phoneticPr fontId="2"/>
  </si>
  <si>
    <t>在庫有無</t>
    <rPh sb="0" eb="2">
      <t>ザイコ</t>
    </rPh>
    <rPh sb="2" eb="4">
      <t>ウム</t>
    </rPh>
    <phoneticPr fontId="2"/>
  </si>
  <si>
    <t>納期</t>
    <rPh sb="0" eb="2">
      <t>ノウキ</t>
    </rPh>
    <phoneticPr fontId="2"/>
  </si>
  <si>
    <t>2 sets (USD100/col)</t>
    <phoneticPr fontId="2"/>
  </si>
  <si>
    <t>Cutting Fee</t>
    <phoneticPr fontId="2"/>
  </si>
  <si>
    <t># 52</t>
    <phoneticPr fontId="2"/>
  </si>
  <si>
    <t># A17 Sky</t>
    <phoneticPr fontId="2"/>
  </si>
  <si>
    <t>Mill's Off White</t>
    <phoneticPr fontId="2"/>
  </si>
  <si>
    <t>100% Polyester Fabric</t>
    <phoneticPr fontId="2"/>
  </si>
  <si>
    <t>T5000</t>
    <phoneticPr fontId="2"/>
  </si>
  <si>
    <t>Striped Grosgrain Ribbon 100% Nylon</t>
    <phoneticPr fontId="2"/>
  </si>
  <si>
    <t># KW</t>
    <phoneticPr fontId="2"/>
  </si>
  <si>
    <t># SI</t>
    <phoneticPr fontId="2"/>
  </si>
  <si>
    <t>KYL-T25340-19</t>
    <phoneticPr fontId="2"/>
  </si>
  <si>
    <t>Lace Trim</t>
    <phoneticPr fontId="2"/>
  </si>
  <si>
    <t>1 set</t>
    <phoneticPr fontId="2"/>
  </si>
  <si>
    <t>KYL-T25340-12</t>
    <phoneticPr fontId="2"/>
  </si>
  <si>
    <t xml:space="preserve">BCBG </t>
    <phoneticPr fontId="2"/>
  </si>
  <si>
    <t>Col.19</t>
    <phoneticPr fontId="2"/>
  </si>
  <si>
    <t>KYL-T8237-19</t>
    <phoneticPr fontId="2"/>
  </si>
  <si>
    <t>KYL-T25340</t>
    <phoneticPr fontId="2"/>
  </si>
  <si>
    <t>KYL-T23336-1</t>
    <phoneticPr fontId="2"/>
  </si>
  <si>
    <t>KYL-T8237-1</t>
    <phoneticPr fontId="2"/>
  </si>
  <si>
    <t># 311</t>
    <phoneticPr fontId="2"/>
  </si>
  <si>
    <t>Dye 80</t>
    <phoneticPr fontId="2"/>
  </si>
  <si>
    <t>キャンセル</t>
    <phoneticPr fontId="2"/>
  </si>
  <si>
    <t>55348</t>
    <phoneticPr fontId="2"/>
  </si>
  <si>
    <t>55339</t>
    <phoneticPr fontId="2"/>
  </si>
  <si>
    <t xml:space="preserve"># 1 </t>
    <phoneticPr fontId="2"/>
  </si>
  <si>
    <t># 4</t>
    <phoneticPr fontId="2"/>
  </si>
  <si>
    <t># 6</t>
    <phoneticPr fontId="2"/>
  </si>
  <si>
    <t># 8</t>
    <phoneticPr fontId="2"/>
  </si>
  <si>
    <t># 1</t>
    <phoneticPr fontId="2"/>
  </si>
  <si>
    <t># 2</t>
    <phoneticPr fontId="2"/>
  </si>
  <si>
    <t xml:space="preserve">PO# </t>
    <phoneticPr fontId="2"/>
  </si>
  <si>
    <t>Art. #</t>
    <phoneticPr fontId="2"/>
  </si>
  <si>
    <t xml:space="preserve">Width </t>
    <phoneticPr fontId="2"/>
  </si>
  <si>
    <t xml:space="preserve">C/# </t>
    <phoneticPr fontId="2"/>
  </si>
  <si>
    <t>Price/m</t>
    <phoneticPr fontId="2"/>
  </si>
  <si>
    <t>137m</t>
    <phoneticPr fontId="2"/>
  </si>
  <si>
    <t>C/#</t>
    <phoneticPr fontId="2"/>
  </si>
  <si>
    <t>FOB JAPAN Price /m</t>
    <phoneticPr fontId="2"/>
  </si>
  <si>
    <t>535829</t>
    <phoneticPr fontId="2"/>
  </si>
  <si>
    <t xml:space="preserve"># 9 Black </t>
    <phoneticPr fontId="2"/>
  </si>
  <si>
    <t># 500</t>
    <phoneticPr fontId="2"/>
  </si>
  <si>
    <t># 118</t>
    <phoneticPr fontId="2"/>
  </si>
  <si>
    <t># 60</t>
    <phoneticPr fontId="2"/>
  </si>
  <si>
    <t># 429</t>
    <phoneticPr fontId="2"/>
  </si>
  <si>
    <t>Client</t>
    <phoneticPr fontId="2"/>
  </si>
  <si>
    <r>
      <t>5 sets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(US$12/cut ) </t>
    </r>
    <phoneticPr fontId="2"/>
  </si>
  <si>
    <t>KYL-T25282</t>
    <phoneticPr fontId="2"/>
  </si>
  <si>
    <t>TRL-287782</t>
    <phoneticPr fontId="2"/>
  </si>
  <si>
    <t xml:space="preserve">DTM PlumRose </t>
    <phoneticPr fontId="2"/>
  </si>
  <si>
    <t>Dye 30</t>
    <phoneticPr fontId="2"/>
  </si>
  <si>
    <t xml:space="preserve">Art.#  ( 100% Cotton ) </t>
    <phoneticPr fontId="2"/>
  </si>
  <si>
    <t xml:space="preserve">TRL-287782 ( as is ) </t>
    <phoneticPr fontId="2"/>
  </si>
  <si>
    <t>KYL-25503 ( as is )</t>
    <phoneticPr fontId="2"/>
  </si>
  <si>
    <t xml:space="preserve">Color </t>
    <phoneticPr fontId="2"/>
  </si>
  <si>
    <t xml:space="preserve">Mill's Off White </t>
    <phoneticPr fontId="2"/>
  </si>
  <si>
    <t>DTM WhiteWash</t>
    <phoneticPr fontId="2"/>
  </si>
  <si>
    <t xml:space="preserve">TOTAL AMOUNT </t>
    <phoneticPr fontId="2"/>
  </si>
  <si>
    <t>Dyeing fee for TRL-287782(US$100/col)</t>
    <phoneticPr fontId="2"/>
  </si>
  <si>
    <t>Dyeing fee for KYL-25503(US$100/col)</t>
    <phoneticPr fontId="2"/>
  </si>
  <si>
    <t>(per meter)</t>
  </si>
  <si>
    <t xml:space="preserve">C/#  329 </t>
  </si>
  <si>
    <t>Satin Stretch Tape</t>
    <phoneticPr fontId="2"/>
  </si>
  <si>
    <t xml:space="preserve"># 60 Black </t>
    <phoneticPr fontId="2"/>
  </si>
  <si>
    <t xml:space="preserve"># 01 Off </t>
    <phoneticPr fontId="2"/>
  </si>
  <si>
    <t>FOB JAPAN /M</t>
    <phoneticPr fontId="2"/>
  </si>
  <si>
    <t>(per set)</t>
    <phoneticPr fontId="2"/>
  </si>
  <si>
    <t xml:space="preserve">Trim Lace ( Fron Yarn : 100% Rayon / Back Yarn : 100% Cotton ) </t>
    <phoneticPr fontId="2"/>
  </si>
  <si>
    <t xml:space="preserve">KYL - 25372 </t>
    <phoneticPr fontId="2"/>
  </si>
  <si>
    <t xml:space="preserve">DTM Firecracker </t>
    <phoneticPr fontId="2"/>
  </si>
  <si>
    <t>DTM Indigo</t>
    <phoneticPr fontId="2"/>
  </si>
  <si>
    <t>Dyeing Fee</t>
    <phoneticPr fontId="2"/>
  </si>
  <si>
    <t xml:space="preserve">2 sets </t>
    <phoneticPr fontId="2"/>
  </si>
  <si>
    <t>KYL-T25340-19</t>
  </si>
  <si>
    <t xml:space="preserve">Col.19 Mill's Black </t>
  </si>
  <si>
    <t xml:space="preserve">Col.19 Mill's Black </t>
    <phoneticPr fontId="2"/>
  </si>
  <si>
    <t>KYL-T23336-19</t>
  </si>
  <si>
    <t xml:space="preserve">Ready Date </t>
    <phoneticPr fontId="2"/>
  </si>
  <si>
    <t xml:space="preserve">in stock </t>
    <phoneticPr fontId="2"/>
  </si>
  <si>
    <t xml:space="preserve">around Mid November </t>
    <phoneticPr fontId="2"/>
  </si>
  <si>
    <t>TRL-391790</t>
    <phoneticPr fontId="2"/>
  </si>
  <si>
    <t>TRL-391791</t>
    <phoneticPr fontId="2"/>
  </si>
  <si>
    <t>KYL-23189</t>
    <phoneticPr fontId="2"/>
  </si>
  <si>
    <t>KYL-23378-1</t>
    <phoneticPr fontId="2"/>
  </si>
  <si>
    <t>KYL-23473-1 ??</t>
    <phoneticPr fontId="2"/>
  </si>
  <si>
    <t>Hanlding Fee</t>
    <phoneticPr fontId="2"/>
  </si>
  <si>
    <t># 10</t>
    <phoneticPr fontId="2"/>
  </si>
  <si>
    <t>98/100m</t>
    <phoneticPr fontId="2"/>
  </si>
  <si>
    <t>サイズ</t>
    <phoneticPr fontId="2"/>
  </si>
  <si>
    <t>仕立て</t>
    <rPh sb="0" eb="2">
      <t>シタ</t>
    </rPh>
    <phoneticPr fontId="2"/>
  </si>
  <si>
    <t># 9</t>
    <phoneticPr fontId="2"/>
  </si>
  <si>
    <t xml:space="preserve">KYL - T25340 </t>
    <phoneticPr fontId="2"/>
  </si>
  <si>
    <r>
      <t>C</t>
    </r>
    <r>
      <rPr>
        <sz val="11"/>
        <rFont val="Arial  "/>
        <family val="2"/>
      </rPr>
      <t xml:space="preserve">ol.12 Mill's Ecru </t>
    </r>
    <phoneticPr fontId="2"/>
  </si>
  <si>
    <t>Mill's Optic White</t>
    <phoneticPr fontId="2"/>
  </si>
  <si>
    <t>109.6m ( 8 rolls )</t>
    <phoneticPr fontId="2"/>
  </si>
  <si>
    <t xml:space="preserve">Rodarte </t>
    <phoneticPr fontId="2"/>
  </si>
  <si>
    <t># 00</t>
    <phoneticPr fontId="2"/>
  </si>
  <si>
    <t># 14</t>
    <phoneticPr fontId="2"/>
  </si>
  <si>
    <t>Texmont Design Ltd. (Halston )</t>
    <phoneticPr fontId="2"/>
  </si>
  <si>
    <t># 22 Red</t>
    <phoneticPr fontId="2"/>
  </si>
  <si>
    <t>ES-2301</t>
    <phoneticPr fontId="2"/>
  </si>
  <si>
    <t># 31 Black</t>
    <phoneticPr fontId="2"/>
  </si>
  <si>
    <t>ES-2302</t>
    <phoneticPr fontId="2"/>
  </si>
  <si>
    <t>Velvet Ribbon  Rayon-70%/Nylon-30%</t>
    <phoneticPr fontId="2"/>
  </si>
  <si>
    <t>Col. 132</t>
    <phoneticPr fontId="2"/>
  </si>
  <si>
    <t>KYL-25432</t>
    <phoneticPr fontId="2"/>
  </si>
  <si>
    <t>DTM Sunshine</t>
    <phoneticPr fontId="2"/>
  </si>
  <si>
    <t>Total Qty</t>
    <phoneticPr fontId="2"/>
  </si>
  <si>
    <t>Roll Qty</t>
    <phoneticPr fontId="2"/>
  </si>
  <si>
    <t>DTM Whitewash /  Mill's Off White</t>
    <phoneticPr fontId="2"/>
  </si>
  <si>
    <t># 0 Off White</t>
    <phoneticPr fontId="2"/>
  </si>
  <si>
    <t xml:space="preserve"># 5 Black </t>
    <phoneticPr fontId="2"/>
  </si>
  <si>
    <t>TI-1024</t>
    <phoneticPr fontId="2"/>
  </si>
  <si>
    <t xml:space="preserve"># 02 Off </t>
    <phoneticPr fontId="2"/>
  </si>
  <si>
    <t># 04 Black</t>
    <phoneticPr fontId="2"/>
  </si>
  <si>
    <t>56509</t>
    <phoneticPr fontId="2"/>
  </si>
  <si>
    <t>Whitewash (Mill's Off White)</t>
    <phoneticPr fontId="2"/>
  </si>
  <si>
    <t>PO #</t>
    <phoneticPr fontId="2"/>
  </si>
  <si>
    <t>100% Cotton Lace</t>
    <phoneticPr fontId="2"/>
  </si>
  <si>
    <t>ATF66P03-001</t>
    <phoneticPr fontId="2"/>
  </si>
  <si>
    <t>FOB JAPAN</t>
    <phoneticPr fontId="2"/>
  </si>
  <si>
    <t xml:space="preserve">Insurance </t>
    <phoneticPr fontId="2"/>
  </si>
  <si>
    <t xml:space="preserve">DTM  </t>
    <phoneticPr fontId="2"/>
  </si>
  <si>
    <t>KYL-25258</t>
    <phoneticPr fontId="2"/>
  </si>
  <si>
    <t>KYL-25343</t>
    <phoneticPr fontId="2"/>
  </si>
  <si>
    <t>KYL-T25285-19</t>
    <phoneticPr fontId="2"/>
  </si>
  <si>
    <t xml:space="preserve">Mill's Black </t>
    <phoneticPr fontId="2"/>
  </si>
  <si>
    <t>RGS1801110</t>
    <phoneticPr fontId="2"/>
  </si>
  <si>
    <t xml:space="preserve">Customer </t>
    <phoneticPr fontId="2"/>
  </si>
  <si>
    <t>ABS</t>
    <phoneticPr fontId="2"/>
  </si>
  <si>
    <t># 62</t>
    <phoneticPr fontId="2"/>
  </si>
  <si>
    <t># 34</t>
    <phoneticPr fontId="2"/>
  </si>
  <si>
    <t># 71</t>
    <phoneticPr fontId="2"/>
  </si>
  <si>
    <t># 5</t>
    <phoneticPr fontId="2"/>
  </si>
  <si>
    <t xml:space="preserve">3 sets </t>
    <phoneticPr fontId="2"/>
  </si>
  <si>
    <t xml:space="preserve">Gold </t>
    <phoneticPr fontId="2"/>
  </si>
  <si>
    <t>12mm x 12mm</t>
    <phoneticPr fontId="2"/>
  </si>
  <si>
    <t># 11</t>
    <phoneticPr fontId="2"/>
  </si>
  <si>
    <t>Inv. Date</t>
  </si>
  <si>
    <t>Inv. #</t>
  </si>
  <si>
    <t>Customer's Name</t>
  </si>
  <si>
    <t>10-20-2017</t>
  </si>
  <si>
    <t>S-8215</t>
  </si>
  <si>
    <t>Trina Turk</t>
  </si>
  <si>
    <t>12-21-2017</t>
  </si>
  <si>
    <t>S-8398</t>
  </si>
  <si>
    <t>1-10-2018</t>
  </si>
  <si>
    <t>S-8431</t>
  </si>
  <si>
    <t>1-11-2018</t>
  </si>
  <si>
    <t>1-23-2018</t>
  </si>
  <si>
    <t>2-20-2018</t>
    <phoneticPr fontId="2"/>
  </si>
  <si>
    <t>57008</t>
    <phoneticPr fontId="2"/>
  </si>
  <si>
    <t>KYL-25577</t>
    <phoneticPr fontId="2"/>
  </si>
  <si>
    <t>DTM Poppy</t>
    <phoneticPr fontId="2"/>
  </si>
  <si>
    <t xml:space="preserve">Black </t>
    <phoneticPr fontId="2"/>
  </si>
  <si>
    <t>57041</t>
    <phoneticPr fontId="2"/>
  </si>
  <si>
    <t>FWL-23480</t>
    <phoneticPr fontId="2"/>
  </si>
  <si>
    <t>LLD180302-2</t>
    <phoneticPr fontId="2"/>
  </si>
  <si>
    <t xml:space="preserve">#  31  Black </t>
    <phoneticPr fontId="2"/>
  </si>
  <si>
    <t>18676</t>
    <phoneticPr fontId="2"/>
  </si>
  <si>
    <t xml:space="preserve">JOHNNY WAS </t>
    <phoneticPr fontId="2"/>
  </si>
  <si>
    <t>TRL-287004</t>
    <phoneticPr fontId="2"/>
  </si>
  <si>
    <t>TRL-177496</t>
    <phoneticPr fontId="2"/>
  </si>
  <si>
    <t>KYL-25456</t>
    <phoneticPr fontId="2"/>
  </si>
  <si>
    <t>KYL-25487</t>
    <phoneticPr fontId="2"/>
  </si>
  <si>
    <t>KYL-25449</t>
    <phoneticPr fontId="2"/>
  </si>
  <si>
    <t>KYL-25494</t>
    <phoneticPr fontId="2"/>
  </si>
  <si>
    <t>KYL-25223</t>
    <phoneticPr fontId="2"/>
  </si>
  <si>
    <t>KYL-T25109-1</t>
    <phoneticPr fontId="2"/>
  </si>
  <si>
    <t>18677</t>
    <phoneticPr fontId="2"/>
  </si>
  <si>
    <t>KYL-24382</t>
    <phoneticPr fontId="2"/>
  </si>
  <si>
    <t>単価</t>
    <rPh sb="0" eb="2">
      <t>タンカ</t>
    </rPh>
    <phoneticPr fontId="2"/>
  </si>
  <si>
    <t xml:space="preserve">CO-SCF Cord </t>
    <phoneticPr fontId="2"/>
  </si>
  <si>
    <t># 83NT</t>
    <phoneticPr fontId="2"/>
  </si>
  <si>
    <t>P003397</t>
    <phoneticPr fontId="2"/>
  </si>
  <si>
    <t>57353</t>
    <phoneticPr fontId="2"/>
  </si>
  <si>
    <t>002926</t>
    <phoneticPr fontId="2"/>
  </si>
  <si>
    <t>TRL-257828</t>
    <phoneticPr fontId="2"/>
  </si>
  <si>
    <t>TRL-287003</t>
    <phoneticPr fontId="2"/>
  </si>
  <si>
    <t>OL-71571-1</t>
    <phoneticPr fontId="2"/>
  </si>
  <si>
    <t>O18-001</t>
    <phoneticPr fontId="2"/>
  </si>
  <si>
    <t>16-D4817</t>
    <phoneticPr fontId="2"/>
  </si>
  <si>
    <t>Dye Fee</t>
    <phoneticPr fontId="2"/>
  </si>
  <si>
    <t>57420</t>
    <phoneticPr fontId="2"/>
  </si>
  <si>
    <t>P000112</t>
    <phoneticPr fontId="2"/>
  </si>
  <si>
    <t>57442</t>
    <phoneticPr fontId="2"/>
  </si>
  <si>
    <t>Stretch Grosgrain Ribbon   Polyester-80%/Polyurethane-20%</t>
    <phoneticPr fontId="2"/>
  </si>
  <si>
    <t>57496</t>
    <phoneticPr fontId="2"/>
  </si>
  <si>
    <t>KYL-25575R</t>
    <phoneticPr fontId="2"/>
  </si>
  <si>
    <r>
      <rPr>
        <sz val="9"/>
        <rFont val="ＭＳ Ｐゴシック"/>
        <family val="3"/>
        <charset val="128"/>
      </rPr>
      <t>品番</t>
    </r>
    <r>
      <rPr>
        <sz val="9"/>
        <rFont val="Arial  "/>
        <family val="2"/>
      </rPr>
      <t>/Art.No.</t>
    </r>
    <rPh sb="0" eb="2">
      <t>ヒンバン</t>
    </rPh>
    <phoneticPr fontId="2"/>
  </si>
  <si>
    <r>
      <rPr>
        <sz val="9"/>
        <rFont val="ＭＳ Ｐゴシック"/>
        <family val="3"/>
        <charset val="128"/>
      </rPr>
      <t>巾</t>
    </r>
    <r>
      <rPr>
        <sz val="9"/>
        <rFont val="Arial  "/>
        <family val="2"/>
      </rPr>
      <t>/WIDTH</t>
    </r>
    <rPh sb="0" eb="1">
      <t>ハバ</t>
    </rPh>
    <phoneticPr fontId="2"/>
  </si>
  <si>
    <r>
      <rPr>
        <sz val="9"/>
        <rFont val="ＭＳ Ｐゴシック"/>
        <family val="3"/>
        <charset val="128"/>
      </rPr>
      <t>仕立</t>
    </r>
    <r>
      <rPr>
        <sz val="9"/>
        <rFont val="Arial  "/>
        <family val="2"/>
      </rPr>
      <t>/PUT-UP</t>
    </r>
    <rPh sb="0" eb="2">
      <t>シタテ</t>
    </rPh>
    <phoneticPr fontId="2"/>
  </si>
  <si>
    <r>
      <rPr>
        <sz val="9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2"/>
  </si>
  <si>
    <t xml:space="preserve">SIC-100     </t>
  </si>
  <si>
    <t xml:space="preserve">5     </t>
  </si>
  <si>
    <t xml:space="preserve">レーヨンペタシャムリボン        </t>
  </si>
  <si>
    <t xml:space="preserve">7     </t>
  </si>
  <si>
    <t xml:space="preserve">10    </t>
  </si>
  <si>
    <t xml:space="preserve">12    </t>
  </si>
  <si>
    <t xml:space="preserve">15    </t>
  </si>
  <si>
    <t xml:space="preserve">18    </t>
  </si>
  <si>
    <t xml:space="preserve">25    </t>
  </si>
  <si>
    <t xml:space="preserve">30    </t>
  </si>
  <si>
    <t xml:space="preserve">38    </t>
  </si>
  <si>
    <t xml:space="preserve">50    </t>
  </si>
  <si>
    <t xml:space="preserve">75    </t>
  </si>
  <si>
    <t xml:space="preserve">2329 m ( 2535yds = 2318 m) </t>
    <phoneticPr fontId="2"/>
  </si>
  <si>
    <t xml:space="preserve">3315.4 m ( 3620yds = 3310m) </t>
    <phoneticPr fontId="2"/>
  </si>
  <si>
    <t xml:space="preserve">479.5 m ( 525yds = 480m) </t>
    <phoneticPr fontId="2"/>
  </si>
  <si>
    <t xml:space="preserve">191.8  m ( 200yds = 183 m) </t>
    <phoneticPr fontId="2"/>
  </si>
  <si>
    <t xml:space="preserve">369.9  m ( 400yds = 365 m) </t>
    <phoneticPr fontId="2"/>
  </si>
  <si>
    <t>57567</t>
    <phoneticPr fontId="2"/>
  </si>
  <si>
    <t xml:space="preserve">95.9  m ( 100yds = 91 m) </t>
    <phoneticPr fontId="2"/>
  </si>
  <si>
    <t xml:space="preserve">Status </t>
    <phoneticPr fontId="2"/>
  </si>
  <si>
    <t>57580</t>
    <phoneticPr fontId="2"/>
  </si>
  <si>
    <t>Double Faced Velveteen Ribbon</t>
    <phoneticPr fontId="2"/>
  </si>
  <si>
    <t>No stock, will be ready around the 15th - 20th May.</t>
    <phoneticPr fontId="2"/>
  </si>
  <si>
    <t>Holding 27.4M for you</t>
    <phoneticPr fontId="2"/>
  </si>
  <si>
    <t>Holding 28M for you</t>
    <phoneticPr fontId="2"/>
  </si>
  <si>
    <t>1001D</t>
    <phoneticPr fontId="2"/>
  </si>
  <si>
    <t xml:space="preserve"># 132 Black </t>
    <phoneticPr fontId="2"/>
  </si>
  <si>
    <t>8300F</t>
    <phoneticPr fontId="2"/>
  </si>
  <si>
    <t xml:space="preserve"># 6 </t>
    <phoneticPr fontId="2"/>
  </si>
  <si>
    <t>18612</t>
    <phoneticPr fontId="2"/>
  </si>
  <si>
    <t>Johnny Was</t>
    <phoneticPr fontId="2"/>
  </si>
  <si>
    <t>FWL-24139</t>
    <phoneticPr fontId="2"/>
  </si>
  <si>
    <t>FWL-21818</t>
    <phoneticPr fontId="2"/>
  </si>
  <si>
    <t>FWL-24231</t>
    <phoneticPr fontId="2"/>
  </si>
  <si>
    <t>FWL-21991</t>
    <phoneticPr fontId="2"/>
  </si>
  <si>
    <t>FWL-63169</t>
    <phoneticPr fontId="2"/>
  </si>
  <si>
    <t># 0 PFD</t>
    <phoneticPr fontId="2"/>
  </si>
  <si>
    <t># 22</t>
    <phoneticPr fontId="2"/>
  </si>
  <si>
    <t>KYL-23419-1</t>
    <phoneticPr fontId="2"/>
  </si>
  <si>
    <t>KYL-3302-1</t>
    <phoneticPr fontId="2"/>
  </si>
  <si>
    <t>FWL-22236S</t>
    <phoneticPr fontId="2"/>
  </si>
  <si>
    <t>FWL-81242</t>
    <phoneticPr fontId="2"/>
  </si>
  <si>
    <t xml:space="preserve">Mill's Off White x Gold </t>
    <phoneticPr fontId="2"/>
  </si>
  <si>
    <t>58023</t>
    <phoneticPr fontId="2"/>
  </si>
  <si>
    <t>EC-180529</t>
    <phoneticPr fontId="2"/>
  </si>
  <si>
    <t>KYL-3225-1</t>
    <phoneticPr fontId="2"/>
  </si>
  <si>
    <t>REF #</t>
    <phoneticPr fontId="2"/>
  </si>
  <si>
    <t>1006</t>
    <phoneticPr fontId="2"/>
  </si>
  <si>
    <t># 102 Off White</t>
    <phoneticPr fontId="2"/>
  </si>
  <si>
    <t>CG8010-ST</t>
    <phoneticPr fontId="2"/>
  </si>
  <si>
    <t>5550F</t>
    <phoneticPr fontId="2"/>
  </si>
  <si>
    <t xml:space="preserve"># 16 Light Yellow </t>
    <phoneticPr fontId="2"/>
  </si>
  <si>
    <t># 203 Light Navy</t>
    <phoneticPr fontId="2"/>
  </si>
  <si>
    <t>3030</t>
    <phoneticPr fontId="2"/>
  </si>
  <si>
    <t>Put-up/roll</t>
    <phoneticPr fontId="2"/>
  </si>
  <si>
    <t>58238</t>
    <phoneticPr fontId="2"/>
  </si>
  <si>
    <t>223386</t>
    <phoneticPr fontId="2"/>
  </si>
  <si>
    <t>Stretch Grosgrain Ribbon  Polyester-80%/Polyurethane-20%</t>
    <phoneticPr fontId="2"/>
  </si>
  <si>
    <t>P003570</t>
    <phoneticPr fontId="2"/>
  </si>
  <si>
    <t xml:space="preserve"># 2 </t>
    <phoneticPr fontId="2"/>
  </si>
  <si>
    <t># 5</t>
  </si>
  <si>
    <t># 10</t>
  </si>
  <si>
    <t>Linen Chambray Tapes   Linen-100%</t>
    <phoneticPr fontId="2"/>
  </si>
  <si>
    <t># 18</t>
    <phoneticPr fontId="2"/>
  </si>
  <si>
    <t># 25</t>
    <phoneticPr fontId="2"/>
  </si>
  <si>
    <t># 35</t>
    <phoneticPr fontId="2"/>
  </si>
  <si>
    <t># 51</t>
    <phoneticPr fontId="2"/>
  </si>
  <si>
    <t># 55</t>
    <phoneticPr fontId="2"/>
  </si>
  <si>
    <t># 95</t>
    <phoneticPr fontId="2"/>
  </si>
  <si>
    <t>Polyester Petersham Ribbon   Polyester-100%</t>
    <phoneticPr fontId="2"/>
  </si>
  <si>
    <t># 36</t>
    <phoneticPr fontId="2"/>
  </si>
  <si>
    <t>58438</t>
    <phoneticPr fontId="2"/>
  </si>
  <si>
    <t>T00286</t>
    <phoneticPr fontId="2"/>
  </si>
  <si>
    <t>T00287</t>
    <phoneticPr fontId="2"/>
  </si>
  <si>
    <t>24th -25th of July</t>
    <phoneticPr fontId="2"/>
  </si>
  <si>
    <t xml:space="preserve">2nd - 3rd of August </t>
    <phoneticPr fontId="2"/>
  </si>
  <si>
    <t>Petersham Ribbon  Rayon-100%</t>
    <phoneticPr fontId="2"/>
  </si>
  <si>
    <t xml:space="preserve">Col. 1   </t>
    <phoneticPr fontId="2"/>
  </si>
  <si>
    <t>072518</t>
    <phoneticPr fontId="2"/>
  </si>
  <si>
    <t>KUT-9978</t>
    <phoneticPr fontId="2"/>
  </si>
  <si>
    <t>112/115 cm</t>
    <phoneticPr fontId="2"/>
  </si>
  <si>
    <t># 30</t>
    <phoneticPr fontId="2"/>
  </si>
  <si>
    <t>TRL-3738</t>
    <phoneticPr fontId="2"/>
  </si>
  <si>
    <t>カット代</t>
    <rPh sb="3" eb="4">
      <t>ダイ</t>
    </rPh>
    <phoneticPr fontId="2"/>
  </si>
  <si>
    <t xml:space="preserve">100% Cotton Cord </t>
    <phoneticPr fontId="2"/>
  </si>
  <si>
    <t xml:space="preserve">Natural </t>
    <phoneticPr fontId="2"/>
  </si>
  <si>
    <t>CO-C402A</t>
    <phoneticPr fontId="2"/>
  </si>
  <si>
    <t xml:space="preserve">CO-SSCF-01  </t>
    <phoneticPr fontId="2"/>
  </si>
  <si>
    <t>L</t>
    <phoneticPr fontId="2"/>
  </si>
  <si>
    <t># 640</t>
    <phoneticPr fontId="2"/>
  </si>
  <si>
    <t># 840</t>
    <phoneticPr fontId="2"/>
  </si>
  <si>
    <t># 819</t>
    <phoneticPr fontId="2"/>
  </si>
  <si>
    <t># 999</t>
    <phoneticPr fontId="2"/>
  </si>
  <si>
    <t>LJB44-971</t>
    <phoneticPr fontId="2"/>
  </si>
  <si>
    <t>KYL-23657</t>
    <phoneticPr fontId="2"/>
  </si>
  <si>
    <t># 43</t>
    <phoneticPr fontId="2"/>
  </si>
  <si>
    <t># 29</t>
    <phoneticPr fontId="2"/>
  </si>
  <si>
    <t># 50</t>
    <phoneticPr fontId="2"/>
  </si>
  <si>
    <t># 69</t>
    <phoneticPr fontId="2"/>
  </si>
  <si>
    <t># 134</t>
    <phoneticPr fontId="2"/>
  </si>
  <si>
    <t>Ready Date</t>
    <phoneticPr fontId="2"/>
  </si>
  <si>
    <t>out of stock, ready on 7th - 10th Sep.</t>
    <phoneticPr fontId="2"/>
  </si>
  <si>
    <t>In stock, 24th - 27th Aug</t>
    <phoneticPr fontId="2"/>
  </si>
  <si>
    <t>TA18080165</t>
    <phoneticPr fontId="2"/>
  </si>
  <si>
    <t>DTM Bright White (Optic White)</t>
    <phoneticPr fontId="2"/>
  </si>
  <si>
    <t>DTM Eclipse</t>
    <phoneticPr fontId="2"/>
  </si>
  <si>
    <t xml:space="preserve">Dye fee </t>
    <phoneticPr fontId="2"/>
  </si>
  <si>
    <t xml:space="preserve">Total Amount </t>
    <phoneticPr fontId="2"/>
  </si>
  <si>
    <t>58859</t>
    <phoneticPr fontId="2"/>
  </si>
  <si>
    <t>Width</t>
    <phoneticPr fontId="2"/>
  </si>
  <si>
    <t>HZPOT180912</t>
    <phoneticPr fontId="2"/>
  </si>
  <si>
    <t>HZPOT180912-Christin</t>
    <phoneticPr fontId="2"/>
  </si>
  <si>
    <t>HZPOT180912-Apple</t>
    <phoneticPr fontId="2"/>
  </si>
  <si>
    <t>59069</t>
    <phoneticPr fontId="2"/>
  </si>
  <si>
    <t>KYL-25345</t>
    <phoneticPr fontId="2"/>
  </si>
  <si>
    <t>KYL-25346</t>
    <phoneticPr fontId="2"/>
  </si>
  <si>
    <t>DTM Whitewash</t>
    <phoneticPr fontId="2"/>
  </si>
  <si>
    <t>FWL-22101</t>
    <phoneticPr fontId="2"/>
  </si>
  <si>
    <t>FWL-22717</t>
    <phoneticPr fontId="2"/>
  </si>
  <si>
    <t>FWL-21916</t>
    <phoneticPr fontId="2"/>
  </si>
  <si>
    <t># 19</t>
    <phoneticPr fontId="2"/>
  </si>
  <si>
    <t xml:space="preserve">Size </t>
    <phoneticPr fontId="2"/>
  </si>
  <si>
    <t>In Stock, 12th Oct.</t>
    <phoneticPr fontId="2"/>
  </si>
  <si>
    <t>No Stock, ready arount the 20th Nov.</t>
    <phoneticPr fontId="2"/>
  </si>
  <si>
    <t xml:space="preserve">Cencel </t>
    <phoneticPr fontId="2"/>
  </si>
  <si>
    <t xml:space="preserve"># 23 Red </t>
    <phoneticPr fontId="2"/>
  </si>
  <si>
    <t># 10 Pale Pink</t>
    <phoneticPr fontId="2"/>
  </si>
  <si>
    <t># 186 Pinky Lavender</t>
    <phoneticPr fontId="2"/>
  </si>
  <si>
    <t># 48 Greenish Gold</t>
    <phoneticPr fontId="2"/>
  </si>
  <si>
    <t># 83 Lavender</t>
    <phoneticPr fontId="2"/>
  </si>
  <si>
    <t xml:space="preserve"># 0 Cream </t>
    <phoneticPr fontId="2"/>
  </si>
  <si>
    <t xml:space="preserve"># 26 Peach </t>
    <phoneticPr fontId="2"/>
  </si>
  <si>
    <t># 121 Pink</t>
    <phoneticPr fontId="2"/>
  </si>
  <si>
    <t>TA18100046</t>
    <phoneticPr fontId="2"/>
  </si>
  <si>
    <t>Herringbone Tape   Cotton-100%</t>
    <phoneticPr fontId="2"/>
  </si>
  <si>
    <t>P003818</t>
    <phoneticPr fontId="2"/>
  </si>
  <si>
    <t># 72</t>
    <phoneticPr fontId="2"/>
  </si>
  <si>
    <t># 96</t>
    <phoneticPr fontId="2"/>
  </si>
  <si>
    <t>00824</t>
    <phoneticPr fontId="2"/>
  </si>
  <si>
    <t>Hedley &amp; Bennett</t>
    <phoneticPr fontId="2"/>
  </si>
  <si>
    <t xml:space="preserve">Cotton Cord   100% Cotton </t>
    <phoneticPr fontId="2"/>
  </si>
  <si>
    <t>CO-CCR-02</t>
    <phoneticPr fontId="2"/>
  </si>
  <si>
    <t xml:space="preserve">S </t>
    <phoneticPr fontId="2"/>
  </si>
  <si>
    <t xml:space="preserve"># 09C Red </t>
    <phoneticPr fontId="2"/>
  </si>
  <si>
    <t xml:space="preserve">TOTAL </t>
    <phoneticPr fontId="2"/>
  </si>
  <si>
    <t>du-070</t>
    <phoneticPr fontId="2"/>
  </si>
  <si>
    <t xml:space="preserve"># 8 Black </t>
    <phoneticPr fontId="2"/>
  </si>
  <si>
    <t>MERCY &amp; LOYAL</t>
    <phoneticPr fontId="2"/>
  </si>
  <si>
    <r>
      <t xml:space="preserve"># 999 ( </t>
    </r>
    <r>
      <rPr>
        <sz val="12"/>
        <rFont val="ＭＳ Ｐゴシック"/>
        <family val="3"/>
        <charset val="128"/>
      </rPr>
      <t>染色用</t>
    </r>
    <r>
      <rPr>
        <sz val="12"/>
        <rFont val="Arial"/>
        <family val="2"/>
      </rPr>
      <t xml:space="preserve"> ) </t>
    </r>
    <rPh sb="8" eb="10">
      <t>センショク</t>
    </rPh>
    <rPh sb="10" eb="11">
      <t>ヨウ</t>
    </rPh>
    <phoneticPr fontId="2"/>
  </si>
  <si>
    <t># 1 Chalk</t>
    <phoneticPr fontId="2"/>
  </si>
  <si>
    <t>F19-101</t>
    <phoneticPr fontId="2"/>
  </si>
  <si>
    <t>KYL-23703</t>
    <phoneticPr fontId="2"/>
  </si>
  <si>
    <t>KYL-23331-1</t>
    <phoneticPr fontId="2"/>
  </si>
  <si>
    <t>KYL-T23473</t>
    <phoneticPr fontId="2"/>
  </si>
  <si>
    <t>SG-9025</t>
    <phoneticPr fontId="2"/>
  </si>
  <si>
    <t>SG-9041</t>
    <phoneticPr fontId="2"/>
  </si>
  <si>
    <t>SG-9015</t>
    <phoneticPr fontId="2"/>
  </si>
  <si>
    <t>SG-9063</t>
    <phoneticPr fontId="2"/>
  </si>
  <si>
    <t>98/100cm</t>
    <phoneticPr fontId="2"/>
  </si>
  <si>
    <t>単価 /m</t>
    <rPh sb="0" eb="2">
      <t>タンカ</t>
    </rPh>
    <phoneticPr fontId="2"/>
  </si>
  <si>
    <t>1163</t>
    <phoneticPr fontId="2"/>
  </si>
  <si>
    <t>KYL-25521</t>
    <phoneticPr fontId="2"/>
  </si>
  <si>
    <t xml:space="preserve">Ship all on the 20th - 21st December </t>
    <phoneticPr fontId="2"/>
  </si>
  <si>
    <t xml:space="preserve"># 30 Black </t>
    <phoneticPr fontId="2"/>
  </si>
  <si>
    <t>19346</t>
    <phoneticPr fontId="2"/>
  </si>
  <si>
    <t>OC049915</t>
    <phoneticPr fontId="2"/>
  </si>
  <si>
    <t># 186</t>
    <phoneticPr fontId="2"/>
  </si>
  <si>
    <t># 121</t>
    <phoneticPr fontId="2"/>
  </si>
  <si>
    <t># 53</t>
    <phoneticPr fontId="2"/>
  </si>
  <si>
    <t># 61</t>
    <phoneticPr fontId="2"/>
  </si>
  <si>
    <t># 27</t>
    <phoneticPr fontId="2"/>
  </si>
  <si>
    <t>Waist Stretch Tape   Polyester-85%/Polyurethane-15%</t>
    <phoneticPr fontId="2"/>
  </si>
  <si>
    <t># 102</t>
    <phoneticPr fontId="2"/>
  </si>
  <si>
    <t xml:space="preserve"># 34 </t>
    <phoneticPr fontId="2"/>
  </si>
  <si>
    <t># 162</t>
    <phoneticPr fontId="2"/>
  </si>
  <si>
    <t># 135</t>
    <phoneticPr fontId="2"/>
  </si>
  <si>
    <t xml:space="preserve">Natural Material Cord  Cotton-100% </t>
    <phoneticPr fontId="2"/>
  </si>
  <si>
    <t>CO-C161S</t>
    <phoneticPr fontId="2"/>
  </si>
  <si>
    <t>CO-Cotton 7</t>
    <phoneticPr fontId="2"/>
  </si>
  <si>
    <t>CO-Cotton 8</t>
    <phoneticPr fontId="2"/>
  </si>
  <si>
    <t>CO-Cotton 9</t>
    <phoneticPr fontId="2"/>
  </si>
  <si>
    <t>C161S</t>
    <phoneticPr fontId="2"/>
  </si>
  <si>
    <t>Cotton 7</t>
    <phoneticPr fontId="2"/>
  </si>
  <si>
    <t>Cotton 8</t>
    <phoneticPr fontId="2"/>
  </si>
  <si>
    <t>Cotton 9</t>
    <phoneticPr fontId="2"/>
  </si>
  <si>
    <t xml:space="preserve">Doubled Price / NO STOCK&gt;&gt;&gt; L/T abt 4 weeks, and you need to order 1 roll </t>
    <phoneticPr fontId="2"/>
  </si>
  <si>
    <t xml:space="preserve">&gt;&gt;&gt;USD 20 in total </t>
    <phoneticPr fontId="2"/>
  </si>
  <si>
    <t>Art. #</t>
  </si>
  <si>
    <t xml:space="preserve">Size </t>
  </si>
  <si>
    <t xml:space="preserve">Color </t>
  </si>
  <si>
    <t>40 mm</t>
  </si>
  <si>
    <t># 102</t>
  </si>
  <si>
    <t xml:space="preserve"># 34 </t>
  </si>
  <si>
    <t>20 mm</t>
  </si>
  <si>
    <t># 999</t>
  </si>
  <si>
    <t># 162</t>
  </si>
  <si>
    <t># 34</t>
  </si>
  <si>
    <t># 135</t>
  </si>
  <si>
    <t>30 mm</t>
  </si>
  <si>
    <t>50 mm</t>
  </si>
  <si>
    <t>18120809</t>
    <phoneticPr fontId="2"/>
  </si>
  <si>
    <t>Regular price with cutting fee USD 5 /cut,</t>
    <phoneticPr fontId="2"/>
  </si>
  <si>
    <t>Doubled Price</t>
    <phoneticPr fontId="2"/>
  </si>
  <si>
    <t xml:space="preserve">CO-SCF Cord </t>
  </si>
  <si>
    <t>M</t>
  </si>
  <si>
    <t># 75NT Light Grey</t>
  </si>
  <si>
    <t># 186</t>
  </si>
  <si>
    <t># 121</t>
  </si>
  <si>
    <t># 53</t>
  </si>
  <si>
    <t># 71</t>
  </si>
  <si>
    <t># 61</t>
  </si>
  <si>
    <t># 27</t>
  </si>
  <si>
    <t># 2</t>
  </si>
  <si>
    <t>Handling Fee</t>
  </si>
  <si>
    <t>1 set</t>
  </si>
  <si>
    <t xml:space="preserve">Natural </t>
  </si>
  <si>
    <t>CO-Cotton 7</t>
  </si>
  <si>
    <t>7mm x 2</t>
  </si>
  <si>
    <t># 24 Black</t>
  </si>
  <si>
    <t>Serial# 4173</t>
  </si>
  <si>
    <t># 54NT Green</t>
  </si>
  <si>
    <t>Serial# 4172</t>
  </si>
  <si>
    <t>3416</t>
  </si>
  <si>
    <t>LYMI, Inc. (Reformation)</t>
  </si>
  <si>
    <t># 1</t>
  </si>
  <si>
    <t>59992</t>
  </si>
  <si>
    <t>KYL-T25109-1</t>
  </si>
  <si>
    <t>Mill's Off White</t>
  </si>
  <si>
    <t>3416</t>
    <phoneticPr fontId="2"/>
  </si>
  <si>
    <t xml:space="preserve">Ref #  </t>
    <phoneticPr fontId="2"/>
  </si>
  <si>
    <t xml:space="preserve"># 1 White </t>
    <phoneticPr fontId="2"/>
  </si>
  <si>
    <t xml:space="preserve"># 31 Black </t>
    <phoneticPr fontId="2"/>
  </si>
  <si>
    <t>Burning Torch</t>
    <phoneticPr fontId="2"/>
  </si>
  <si>
    <t>NPP1000</t>
    <phoneticPr fontId="2"/>
  </si>
  <si>
    <t>M size</t>
    <phoneticPr fontId="2"/>
  </si>
  <si>
    <t>Twist Cord   Rayon-100%</t>
    <phoneticPr fontId="2"/>
  </si>
  <si>
    <t xml:space="preserve"># 15 Black </t>
    <phoneticPr fontId="2"/>
  </si>
  <si>
    <t>1278</t>
    <phoneticPr fontId="2"/>
  </si>
  <si>
    <t xml:space="preserve"> Mill's Off White</t>
    <phoneticPr fontId="2"/>
  </si>
  <si>
    <t>1284</t>
    <phoneticPr fontId="2"/>
  </si>
  <si>
    <t xml:space="preserve">1 set </t>
    <phoneticPr fontId="2"/>
  </si>
  <si>
    <t># 211</t>
    <phoneticPr fontId="2"/>
  </si>
  <si>
    <t># 24</t>
    <phoneticPr fontId="2"/>
  </si>
  <si>
    <t>TI-5501</t>
    <phoneticPr fontId="2"/>
  </si>
  <si>
    <t># 01</t>
    <phoneticPr fontId="2"/>
  </si>
  <si>
    <t># 56</t>
    <phoneticPr fontId="2"/>
  </si>
  <si>
    <t>TRL-258115</t>
    <phoneticPr fontId="2"/>
  </si>
  <si>
    <t>KYL-3455-1</t>
    <phoneticPr fontId="2"/>
  </si>
  <si>
    <t>KYL-25103</t>
    <phoneticPr fontId="2"/>
  </si>
  <si>
    <t>KYL-25267-19</t>
    <phoneticPr fontId="2"/>
  </si>
  <si>
    <t>KYL-25287</t>
    <phoneticPr fontId="2"/>
  </si>
  <si>
    <t>KYL-T24361</t>
    <phoneticPr fontId="2"/>
  </si>
  <si>
    <t>KYL-8086-1</t>
    <phoneticPr fontId="2"/>
  </si>
  <si>
    <t>KYL-3472-1</t>
    <phoneticPr fontId="2"/>
  </si>
  <si>
    <t>KYL-875005-G</t>
    <phoneticPr fontId="2"/>
  </si>
  <si>
    <t>KYL-875005-GL1</t>
    <phoneticPr fontId="2"/>
  </si>
  <si>
    <t>Gold x Beige</t>
    <phoneticPr fontId="2"/>
  </si>
  <si>
    <t>KYL-875008-G</t>
    <phoneticPr fontId="2"/>
  </si>
  <si>
    <t>KYL-875008-GL1</t>
    <phoneticPr fontId="2"/>
  </si>
  <si>
    <t>Gold x Black</t>
    <phoneticPr fontId="2"/>
  </si>
  <si>
    <t xml:space="preserve">4 sets </t>
    <phoneticPr fontId="2"/>
  </si>
  <si>
    <t>KYL-875006-G</t>
    <phoneticPr fontId="2"/>
  </si>
  <si>
    <t>KYL-875006-GL1</t>
    <phoneticPr fontId="2"/>
  </si>
  <si>
    <t>KYL-875006-GL19</t>
    <phoneticPr fontId="2"/>
  </si>
  <si>
    <t xml:space="preserve">DTM Tangerine </t>
    <phoneticPr fontId="2"/>
  </si>
  <si>
    <t>Dye 70</t>
    <phoneticPr fontId="2"/>
  </si>
  <si>
    <t># 4 Chalk</t>
    <phoneticPr fontId="2"/>
  </si>
  <si>
    <t xml:space="preserve"># A2 </t>
    <phoneticPr fontId="2"/>
  </si>
  <si>
    <t>T3500C</t>
    <phoneticPr fontId="2"/>
  </si>
  <si>
    <t># 73</t>
    <phoneticPr fontId="2"/>
  </si>
  <si>
    <t>CO-Cotton 3</t>
    <phoneticPr fontId="2"/>
  </si>
  <si>
    <t>C/# 34C from Cotton Cord C/C</t>
    <phoneticPr fontId="2"/>
  </si>
  <si>
    <t xml:space="preserve">Surcharge </t>
    <phoneticPr fontId="2"/>
  </si>
  <si>
    <t>1568</t>
    <phoneticPr fontId="2"/>
  </si>
  <si>
    <t>FWL-71235</t>
    <phoneticPr fontId="2"/>
  </si>
  <si>
    <t xml:space="preserve">DTM Black </t>
    <phoneticPr fontId="2"/>
  </si>
  <si>
    <t xml:space="preserve">DTM Blue Marine </t>
    <phoneticPr fontId="2"/>
  </si>
  <si>
    <t>DTM Jade</t>
    <phoneticPr fontId="2"/>
  </si>
  <si>
    <t>DTM Magenta</t>
    <phoneticPr fontId="2"/>
  </si>
  <si>
    <t xml:space="preserve">DTM Midnight </t>
    <phoneticPr fontId="2"/>
  </si>
  <si>
    <t xml:space="preserve">DTM Mint </t>
    <phoneticPr fontId="2"/>
  </si>
  <si>
    <t xml:space="preserve">Dye Fee for FWL items </t>
    <phoneticPr fontId="2"/>
  </si>
  <si>
    <t>OL-351500-1</t>
    <phoneticPr fontId="2"/>
  </si>
  <si>
    <t xml:space="preserve">Dye Fee for OL items </t>
    <phoneticPr fontId="2"/>
  </si>
  <si>
    <t>KYL-003GM</t>
    <phoneticPr fontId="2"/>
  </si>
  <si>
    <t xml:space="preserve">Dye Fee for KYL items </t>
    <phoneticPr fontId="2"/>
  </si>
  <si>
    <t>DTM Bright Fuchsia</t>
    <phoneticPr fontId="2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</si>
  <si>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>/m</t>
    </r>
    <rPh sb="0" eb="2">
      <t>タンカ</t>
    </rPh>
    <phoneticPr fontId="2"/>
  </si>
  <si>
    <t>8000yen</t>
    <phoneticPr fontId="2"/>
  </si>
  <si>
    <t>染色代</t>
    <rPh sb="0" eb="2">
      <t>センショク</t>
    </rPh>
    <rPh sb="2" eb="3">
      <t>ダイ</t>
    </rPh>
    <phoneticPr fontId="2"/>
  </si>
  <si>
    <t>351500-1</t>
    <phoneticPr fontId="2"/>
  </si>
  <si>
    <t>82 yen</t>
    <phoneticPr fontId="2"/>
  </si>
  <si>
    <t>9000 yen</t>
    <phoneticPr fontId="2"/>
  </si>
  <si>
    <t>32 yen</t>
    <phoneticPr fontId="2"/>
  </si>
  <si>
    <t xml:space="preserve"> White</t>
    <phoneticPr fontId="2"/>
  </si>
  <si>
    <t xml:space="preserve">6 sets </t>
    <phoneticPr fontId="2"/>
  </si>
  <si>
    <t>FWL-23435</t>
    <phoneticPr fontId="2"/>
  </si>
  <si>
    <t xml:space="preserve">DTM Magenta </t>
    <phoneticPr fontId="2"/>
  </si>
  <si>
    <t xml:space="preserve">DTM Sky </t>
    <phoneticPr fontId="2"/>
  </si>
  <si>
    <t>DTM Blush (13-1906TPX)</t>
    <phoneticPr fontId="2"/>
  </si>
  <si>
    <t>DTM Yellow (14-0851TPX)</t>
    <phoneticPr fontId="2"/>
  </si>
  <si>
    <t>DTM Bright Fuchsia (17-2036TPX)</t>
    <phoneticPr fontId="2"/>
  </si>
  <si>
    <t>FWL-23709</t>
    <phoneticPr fontId="2"/>
  </si>
  <si>
    <t>Dye Fee for FWL-71235</t>
    <phoneticPr fontId="2"/>
  </si>
  <si>
    <t xml:space="preserve">Dye Fee for OL-351500-1 </t>
    <phoneticPr fontId="2"/>
  </si>
  <si>
    <t xml:space="preserve">Dye Fee for KYL-003GM </t>
    <phoneticPr fontId="2"/>
  </si>
  <si>
    <t xml:space="preserve">Dye Fee for FWL-23435 </t>
    <phoneticPr fontId="2"/>
  </si>
  <si>
    <t xml:space="preserve">Dye Fee for FWL-23709 </t>
    <phoneticPr fontId="2"/>
  </si>
  <si>
    <t>FWL-71469</t>
    <phoneticPr fontId="2"/>
  </si>
  <si>
    <t>Dye Fee for FWL-71469</t>
    <phoneticPr fontId="2"/>
  </si>
  <si>
    <t>KYL-T25200</t>
    <phoneticPr fontId="2"/>
  </si>
  <si>
    <t>Black 145</t>
    <phoneticPr fontId="2"/>
  </si>
  <si>
    <t>Dye Fee for KYL-T25200</t>
    <phoneticPr fontId="2"/>
  </si>
  <si>
    <t xml:space="preserve">CANCEL </t>
    <phoneticPr fontId="2"/>
  </si>
  <si>
    <t>DTM Magenta (dye together with FWL-71235)</t>
    <phoneticPr fontId="2"/>
  </si>
  <si>
    <t>DTM Midnight (dye together with FWL-71235)</t>
    <phoneticPr fontId="2"/>
  </si>
  <si>
    <t xml:space="preserve">Dye Fee for FWL-71469 </t>
    <phoneticPr fontId="2"/>
  </si>
  <si>
    <t>Dye Fee for FWL-71235 (Magenta &amp; Midnight )</t>
    <phoneticPr fontId="2"/>
  </si>
  <si>
    <t>JILLMARK,INC-HONORINE</t>
    <phoneticPr fontId="2"/>
  </si>
  <si>
    <t>KYL-8238-1</t>
    <phoneticPr fontId="2"/>
  </si>
  <si>
    <t>KYL-T23217-1</t>
    <phoneticPr fontId="2"/>
  </si>
  <si>
    <t>FWL-71057</t>
    <phoneticPr fontId="2"/>
  </si>
  <si>
    <t>92 yen</t>
    <phoneticPr fontId="2"/>
  </si>
  <si>
    <t xml:space="preserve">71 yen </t>
    <phoneticPr fontId="2"/>
  </si>
  <si>
    <t xml:space="preserve">158 yen </t>
    <phoneticPr fontId="2"/>
  </si>
  <si>
    <r>
      <t>Nylon Cords</t>
    </r>
    <r>
      <rPr>
        <sz val="12"/>
        <rFont val="ＭＳ Ｐゴシック"/>
        <family val="3"/>
        <charset val="128"/>
      </rPr>
      <t>　　</t>
    </r>
    <r>
      <rPr>
        <sz val="12"/>
        <rFont val="Arial"/>
        <family val="2"/>
      </rPr>
      <t>Nylon-100%</t>
    </r>
    <phoneticPr fontId="2"/>
  </si>
  <si>
    <t>YY</t>
    <phoneticPr fontId="2"/>
  </si>
  <si>
    <t>EXW(JAPAN) /M</t>
    <phoneticPr fontId="2"/>
  </si>
  <si>
    <t xml:space="preserve"> SG-9041</t>
    <phoneticPr fontId="2"/>
  </si>
  <si>
    <t xml:space="preserve"># A2 Nude </t>
    <phoneticPr fontId="2"/>
  </si>
  <si>
    <t xml:space="preserve"># A8 Tango Red </t>
    <phoneticPr fontId="2"/>
  </si>
  <si>
    <t>Washable Synthetic Leather Trimmings  SURFACE: Polyurethane-100%, REVERSE: Nylon-100%</t>
    <phoneticPr fontId="2"/>
  </si>
  <si>
    <t>0060980</t>
    <phoneticPr fontId="2"/>
  </si>
  <si>
    <t xml:space="preserve">Easey Garment Factory Ltd ( Frame ) </t>
    <phoneticPr fontId="2"/>
  </si>
  <si>
    <t xml:space="preserve"># 0019 Black </t>
    <phoneticPr fontId="2"/>
  </si>
  <si>
    <r>
      <rPr>
        <b/>
        <sz val="9"/>
        <rFont val="ＭＳ Ｐゴシック"/>
        <family val="3"/>
        <charset val="128"/>
      </rPr>
      <t>弊社品番</t>
    </r>
  </si>
  <si>
    <r>
      <rPr>
        <b/>
        <sz val="9"/>
        <rFont val="ＭＳ Ｐゴシック"/>
        <family val="3"/>
        <charset val="128"/>
      </rPr>
      <t>巾</t>
    </r>
    <r>
      <rPr>
        <b/>
        <sz val="9"/>
        <rFont val="Arial  "/>
        <family val="2"/>
      </rPr>
      <t>/WIDTH</t>
    </r>
  </si>
  <si>
    <r>
      <rPr>
        <b/>
        <sz val="9"/>
        <rFont val="ＭＳ Ｐゴシック"/>
        <family val="3"/>
        <charset val="128"/>
      </rPr>
      <t>仕入単価</t>
    </r>
    <r>
      <rPr>
        <b/>
        <sz val="9"/>
        <rFont val="Arial  "/>
        <family val="2"/>
      </rPr>
      <t>/m</t>
    </r>
  </si>
  <si>
    <r>
      <rPr>
        <sz val="9"/>
        <rFont val="ＭＳ Ｐゴシック"/>
        <family val="3"/>
        <charset val="128"/>
      </rPr>
      <t>メイフェアソワレパイピング</t>
    </r>
  </si>
  <si>
    <r>
      <t xml:space="preserve">PP-10( </t>
    </r>
    <r>
      <rPr>
        <sz val="9"/>
        <rFont val="ＭＳ Ｐゴシック"/>
        <family val="3"/>
        <charset val="128"/>
      </rPr>
      <t>ﾋﾟﾝｷﾝｸﾞ</t>
    </r>
    <r>
      <rPr>
        <sz val="9"/>
        <rFont val="Arial  "/>
        <family val="2"/>
      </rPr>
      <t xml:space="preserve"> </t>
    </r>
    <r>
      <rPr>
        <sz val="9"/>
        <rFont val="ＭＳ Ｐゴシック"/>
        <family val="3"/>
        <charset val="128"/>
      </rPr>
      <t>普通芯</t>
    </r>
    <r>
      <rPr>
        <sz val="9"/>
        <rFont val="Arial  "/>
        <family val="2"/>
      </rPr>
      <t>)</t>
    </r>
  </si>
  <si>
    <r>
      <rPr>
        <b/>
        <sz val="9"/>
        <rFont val="ＭＳ Ｐゴシック"/>
        <family val="3"/>
        <charset val="128"/>
      </rPr>
      <t>品番</t>
    </r>
    <r>
      <rPr>
        <b/>
        <sz val="9"/>
        <rFont val="Arial  "/>
        <family val="2"/>
      </rPr>
      <t>/Art.No.</t>
    </r>
    <phoneticPr fontId="2"/>
  </si>
  <si>
    <r>
      <t>101</t>
    </r>
    <r>
      <rPr>
        <sz val="11"/>
        <rFont val="ＭＳ Ｐゴシック"/>
        <family val="3"/>
        <charset val="128"/>
      </rPr>
      <t>円</t>
    </r>
    <rPh sb="3" eb="4">
      <t>エン</t>
    </rPh>
    <phoneticPr fontId="2"/>
  </si>
  <si>
    <t>F19-208</t>
    <phoneticPr fontId="2"/>
  </si>
  <si>
    <t xml:space="preserve"># 1 Black </t>
    <phoneticPr fontId="2"/>
  </si>
  <si>
    <t>60767</t>
    <phoneticPr fontId="2"/>
  </si>
  <si>
    <t>DTM Indigo(19-40245TPX)</t>
    <phoneticPr fontId="2"/>
  </si>
  <si>
    <t># 1 Ivory</t>
    <phoneticPr fontId="2"/>
  </si>
  <si>
    <t>SC040319</t>
    <phoneticPr fontId="2"/>
  </si>
  <si>
    <t>CG8081</t>
    <phoneticPr fontId="2"/>
  </si>
  <si>
    <t xml:space="preserve">Salt &amp; Pepper Gifts </t>
    <phoneticPr fontId="2"/>
  </si>
  <si>
    <t xml:space="preserve"># A18 Periwinkle </t>
    <phoneticPr fontId="2"/>
  </si>
  <si>
    <t xml:space="preserve"># A11 Orchid </t>
    <phoneticPr fontId="2"/>
  </si>
  <si>
    <t># 186 Peony Pink</t>
    <phoneticPr fontId="2"/>
  </si>
  <si>
    <t xml:space="preserve"># 184 Periwinkle </t>
    <phoneticPr fontId="2"/>
  </si>
  <si>
    <t xml:space="preserve">Comment </t>
    <phoneticPr fontId="2"/>
  </si>
  <si>
    <t xml:space="preserve">there is 1 flaw on each roll </t>
    <phoneticPr fontId="2"/>
  </si>
  <si>
    <t>Usable Length/roll</t>
    <phoneticPr fontId="2"/>
  </si>
  <si>
    <t xml:space="preserve">there are 2 flaws on this roll </t>
    <phoneticPr fontId="2"/>
  </si>
  <si>
    <t>PG20190416D</t>
    <phoneticPr fontId="2"/>
  </si>
  <si>
    <t xml:space="preserve"># 13 Minty green </t>
    <phoneticPr fontId="2"/>
  </si>
  <si>
    <t>Acrylic Cords  Acrylic-100%</t>
    <phoneticPr fontId="2"/>
  </si>
  <si>
    <t># SO</t>
    <phoneticPr fontId="2"/>
  </si>
  <si>
    <t>SVAC Collective, LLC ( CQY)</t>
    <phoneticPr fontId="2"/>
  </si>
  <si>
    <t># 130 New Ecru</t>
    <phoneticPr fontId="2"/>
  </si>
  <si>
    <t># 503 Strawberry Red</t>
    <phoneticPr fontId="2"/>
  </si>
  <si>
    <t># 1 (Navy x Red)</t>
    <phoneticPr fontId="2"/>
  </si>
  <si>
    <t># 9 (Cream x Navy )</t>
    <phoneticPr fontId="2"/>
  </si>
  <si>
    <t># 5 (Brown x Red )</t>
    <phoneticPr fontId="2"/>
  </si>
  <si>
    <t xml:space="preserve">Sub Total </t>
    <phoneticPr fontId="2"/>
  </si>
  <si>
    <t>CO-C165S</t>
    <phoneticPr fontId="2"/>
  </si>
  <si>
    <t>Greige ( PFD )</t>
    <phoneticPr fontId="2"/>
  </si>
  <si>
    <t xml:space="preserve">Mill's Optic White </t>
    <phoneticPr fontId="2"/>
  </si>
  <si>
    <t>単価/m</t>
    <rPh sb="0" eb="2">
      <t>タンカ</t>
    </rPh>
    <phoneticPr fontId="2"/>
  </si>
  <si>
    <r>
      <t>112</t>
    </r>
    <r>
      <rPr>
        <sz val="12"/>
        <color indexed="8"/>
        <rFont val="ＭＳ Ｐゴシック"/>
        <family val="3"/>
        <charset val="128"/>
      </rPr>
      <t>円</t>
    </r>
    <rPh sb="3" eb="4">
      <t>エン</t>
    </rPh>
    <phoneticPr fontId="2"/>
  </si>
  <si>
    <r>
      <t>67</t>
    </r>
    <r>
      <rPr>
        <sz val="12"/>
        <color indexed="8"/>
        <rFont val="ＭＳ Ｐゴシック"/>
        <family val="3"/>
        <charset val="128"/>
      </rPr>
      <t>円</t>
    </r>
    <rPh sb="2" eb="3">
      <t>エン</t>
    </rPh>
    <phoneticPr fontId="2"/>
  </si>
  <si>
    <t>782560</t>
    <phoneticPr fontId="2"/>
  </si>
  <si>
    <t>75069</t>
    <phoneticPr fontId="2"/>
  </si>
  <si>
    <t>17734</t>
    <phoneticPr fontId="2"/>
  </si>
  <si>
    <t>We'll ship out once ready.</t>
    <phoneticPr fontId="2"/>
  </si>
  <si>
    <t xml:space="preserve">We'll issue a credit note for INV# S-9685 once we receive the returned goods in good condition  </t>
    <phoneticPr fontId="2"/>
  </si>
  <si>
    <t>Nylon Cords   Nylon-100%</t>
    <phoneticPr fontId="2"/>
  </si>
  <si>
    <t># GG</t>
    <phoneticPr fontId="2"/>
  </si>
  <si>
    <t xml:space="preserve">Net Fabric  80% Nylon, 20% CDP </t>
    <phoneticPr fontId="2"/>
  </si>
  <si>
    <t>TR-2044SB</t>
    <phoneticPr fontId="2"/>
  </si>
  <si>
    <t>130/135cm</t>
    <phoneticPr fontId="2"/>
  </si>
  <si>
    <t>Black x Pink</t>
    <phoneticPr fontId="2"/>
  </si>
  <si>
    <t xml:space="preserve">Net Fabric  65% Nylon, 35% CDP </t>
    <phoneticPr fontId="2"/>
  </si>
  <si>
    <t>TR-2050SB</t>
    <phoneticPr fontId="2"/>
  </si>
  <si>
    <t>130/140cm</t>
    <phoneticPr fontId="2"/>
  </si>
  <si>
    <t>運賃</t>
    <rPh sb="0" eb="2">
      <t>ウンチン</t>
    </rPh>
    <phoneticPr fontId="2"/>
  </si>
  <si>
    <t>カット・運賃</t>
    <rPh sb="4" eb="6">
      <t>ウンチン</t>
    </rPh>
    <phoneticPr fontId="2"/>
  </si>
  <si>
    <t>1927</t>
    <phoneticPr fontId="2"/>
  </si>
  <si>
    <t xml:space="preserve">DTM Sand </t>
    <phoneticPr fontId="2"/>
  </si>
  <si>
    <t xml:space="preserve">DTM Blush </t>
    <phoneticPr fontId="2"/>
  </si>
  <si>
    <t>DTM Rose</t>
    <phoneticPr fontId="2"/>
  </si>
  <si>
    <t xml:space="preserve">DTM Moss </t>
    <phoneticPr fontId="2"/>
  </si>
  <si>
    <t>DTM Capri</t>
    <phoneticPr fontId="2"/>
  </si>
  <si>
    <t>Dye Fee for KYL-25449</t>
    <phoneticPr fontId="2"/>
  </si>
  <si>
    <t xml:space="preserve">8 sets </t>
    <phoneticPr fontId="2"/>
  </si>
  <si>
    <t>DTM Amber</t>
    <phoneticPr fontId="2"/>
  </si>
  <si>
    <t>DTM Nude</t>
    <phoneticPr fontId="2"/>
  </si>
  <si>
    <t xml:space="preserve">DTM Prussian Blue </t>
    <phoneticPr fontId="2"/>
  </si>
  <si>
    <t>DTM Redcurrant</t>
    <phoneticPr fontId="2"/>
  </si>
  <si>
    <t>DTM Turquoise</t>
    <phoneticPr fontId="2"/>
  </si>
  <si>
    <t>Dye Fee for KYL-25103</t>
    <phoneticPr fontId="2"/>
  </si>
  <si>
    <t>6 sets</t>
    <phoneticPr fontId="2"/>
  </si>
  <si>
    <t>FWL-41042s</t>
    <phoneticPr fontId="2"/>
  </si>
  <si>
    <t>DTM Cherry Blossom</t>
    <phoneticPr fontId="2"/>
  </si>
  <si>
    <t>DTM Ecru</t>
    <phoneticPr fontId="2"/>
  </si>
  <si>
    <t>Dye Fee for FWL-41042s</t>
    <phoneticPr fontId="2"/>
  </si>
  <si>
    <t>5 sets</t>
    <phoneticPr fontId="2"/>
  </si>
  <si>
    <t>FLR-55173</t>
    <phoneticPr fontId="2"/>
  </si>
  <si>
    <t>DTM Aqua</t>
    <phoneticPr fontId="2"/>
  </si>
  <si>
    <t>DTM Salmon</t>
    <phoneticPr fontId="2"/>
  </si>
  <si>
    <t>Dye Fee for FLR-55173</t>
    <phoneticPr fontId="2"/>
  </si>
  <si>
    <t>7 sets</t>
    <phoneticPr fontId="2"/>
  </si>
  <si>
    <t>FWL-23443</t>
    <phoneticPr fontId="2"/>
  </si>
  <si>
    <t>Dye Fee for FWL-23443</t>
    <phoneticPr fontId="2"/>
  </si>
  <si>
    <t>CO-LGG-01</t>
    <phoneticPr fontId="2"/>
  </si>
  <si>
    <t>CO-LGG-02</t>
    <phoneticPr fontId="2"/>
  </si>
  <si>
    <t>CO-LGG-03</t>
    <phoneticPr fontId="2"/>
  </si>
  <si>
    <t>CO-LGG-04</t>
    <phoneticPr fontId="2"/>
  </si>
  <si>
    <t>CO-LGG-05</t>
    <phoneticPr fontId="2"/>
  </si>
  <si>
    <t>SG9016</t>
    <phoneticPr fontId="2"/>
  </si>
  <si>
    <t>DTM Optic White</t>
    <phoneticPr fontId="2"/>
  </si>
  <si>
    <t>KYL-23655</t>
    <phoneticPr fontId="2"/>
  </si>
  <si>
    <r>
      <t>139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</si>
  <si>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8000</t>
    </r>
    <r>
      <rPr>
        <sz val="12"/>
        <rFont val="ＭＳ Ｐゴシック"/>
        <family val="3"/>
        <charset val="128"/>
      </rPr>
      <t>円</t>
    </r>
    <rPh sb="4" eb="5">
      <t>エン</t>
    </rPh>
    <phoneticPr fontId="2"/>
  </si>
  <si>
    <r>
      <t>108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</si>
  <si>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135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</si>
  <si>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78</t>
    </r>
    <r>
      <rPr>
        <sz val="12"/>
        <rFont val="ＭＳ Ｐゴシック"/>
        <family val="3"/>
        <charset val="128"/>
      </rPr>
      <t>円</t>
    </r>
    <rPh sb="2" eb="3">
      <t>エン</t>
    </rPh>
    <phoneticPr fontId="2"/>
  </si>
  <si>
    <r>
      <t>105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</si>
  <si>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67</t>
    </r>
    <r>
      <rPr>
        <sz val="12"/>
        <rFont val="ＭＳ Ｐゴシック"/>
        <family val="3"/>
        <charset val="128"/>
      </rPr>
      <t>円</t>
    </r>
    <rPh sb="2" eb="3">
      <t>エン</t>
    </rPh>
    <phoneticPr fontId="2"/>
  </si>
  <si>
    <r>
      <t>7000</t>
    </r>
    <r>
      <rPr>
        <sz val="12"/>
        <rFont val="ＭＳ Ｐゴシック"/>
        <family val="3"/>
        <charset val="128"/>
      </rPr>
      <t>円</t>
    </r>
    <rPh sb="4" eb="5">
      <t>エン</t>
    </rPh>
    <phoneticPr fontId="2"/>
  </si>
  <si>
    <t xml:space="preserve"> Mill's Off White ??</t>
    <phoneticPr fontId="2"/>
  </si>
  <si>
    <t>Handling Fee  1 set</t>
    <phoneticPr fontId="2"/>
  </si>
  <si>
    <t xml:space="preserve">Dye Fee </t>
    <phoneticPr fontId="2"/>
  </si>
  <si>
    <t>SG-9016</t>
    <phoneticPr fontId="2"/>
  </si>
  <si>
    <t>Dye Fee for KYL-25521</t>
    <phoneticPr fontId="2"/>
  </si>
  <si>
    <t>DTM Turquoise(14-4807TPX)</t>
    <phoneticPr fontId="2"/>
  </si>
  <si>
    <t xml:space="preserve"># 5 </t>
    <phoneticPr fontId="2"/>
  </si>
  <si>
    <t>FLR-55177</t>
    <phoneticPr fontId="2"/>
  </si>
  <si>
    <t>Dye Fee for FLR-55177</t>
    <phoneticPr fontId="2"/>
  </si>
  <si>
    <t xml:space="preserve">Mid July </t>
    <phoneticPr fontId="2"/>
  </si>
  <si>
    <t xml:space="preserve">Mid-Late  July </t>
    <phoneticPr fontId="2"/>
  </si>
  <si>
    <t>100561</t>
    <phoneticPr fontId="2"/>
  </si>
  <si>
    <t>WMSU2020SUNFASHION71219</t>
    <phoneticPr fontId="2"/>
  </si>
  <si>
    <t>DTM Pear</t>
    <phoneticPr fontId="2"/>
  </si>
  <si>
    <t xml:space="preserve"># 320 Light Nude </t>
    <phoneticPr fontId="2"/>
  </si>
  <si>
    <t># Y625 Lipstick Red</t>
    <phoneticPr fontId="2"/>
  </si>
  <si>
    <t xml:space="preserve"># 306 Dream Pink </t>
    <phoneticPr fontId="2"/>
  </si>
  <si>
    <t xml:space="preserve">Dye Fee for DTM Poppy </t>
    <phoneticPr fontId="2"/>
  </si>
  <si>
    <r>
      <rPr>
        <sz val="12"/>
        <rFont val="ＭＳ Ｐゴシック"/>
        <family val="3"/>
        <charset val="128"/>
      </rPr>
      <t>単価</t>
    </r>
    <r>
      <rPr>
        <sz val="12"/>
        <rFont val="Arial"/>
        <family val="2"/>
      </rPr>
      <t xml:space="preserve"> / m </t>
    </r>
    <rPh sb="0" eb="2">
      <t>タンカ</t>
    </rPh>
    <phoneticPr fontId="2"/>
  </si>
  <si>
    <t>DTM Sunset Soiree</t>
    <phoneticPr fontId="2"/>
  </si>
  <si>
    <t xml:space="preserve">TRADE HARVEST INDUSTRIAL LTD. ( Jonathan Simkhai ) </t>
    <phoneticPr fontId="2"/>
  </si>
  <si>
    <t xml:space="preserve">DTM Midnight </t>
  </si>
  <si>
    <t>OL-351500-1</t>
  </si>
  <si>
    <t xml:space="preserve">DTM Black </t>
  </si>
  <si>
    <t>Mill's  Optic White</t>
    <phoneticPr fontId="2"/>
  </si>
  <si>
    <t>18013</t>
    <phoneticPr fontId="2"/>
  </si>
  <si>
    <t>055T</t>
    <phoneticPr fontId="2"/>
  </si>
  <si>
    <t>OL-62284-1</t>
    <phoneticPr fontId="2"/>
  </si>
  <si>
    <t>61802</t>
    <phoneticPr fontId="2"/>
  </si>
  <si>
    <t>5600-FT</t>
    <phoneticPr fontId="2"/>
  </si>
  <si>
    <t>LNA145</t>
    <phoneticPr fontId="2"/>
  </si>
  <si>
    <t># 118 Champagne</t>
    <phoneticPr fontId="2"/>
  </si>
  <si>
    <t># 30 Champagne</t>
    <phoneticPr fontId="2"/>
  </si>
  <si>
    <t># 303 Champagne</t>
    <phoneticPr fontId="2"/>
  </si>
  <si>
    <t>T4100</t>
    <phoneticPr fontId="2"/>
  </si>
  <si>
    <t># 307</t>
    <phoneticPr fontId="2"/>
  </si>
  <si>
    <t>T3000</t>
    <phoneticPr fontId="2"/>
  </si>
  <si>
    <t># 417</t>
    <phoneticPr fontId="2"/>
  </si>
  <si>
    <t>Cutting Fee  US$ 12/cut</t>
    <phoneticPr fontId="2"/>
  </si>
  <si>
    <t>LNA147</t>
    <phoneticPr fontId="2"/>
  </si>
  <si>
    <t>JONF19/00015</t>
    <phoneticPr fontId="2"/>
  </si>
  <si>
    <t>BS1220-FS</t>
    <phoneticPr fontId="2"/>
  </si>
  <si>
    <t xml:space="preserve"># SO </t>
    <phoneticPr fontId="2"/>
  </si>
  <si>
    <t>C&amp;F HK  /M</t>
    <phoneticPr fontId="2"/>
  </si>
  <si>
    <t xml:space="preserve">225121 Nice Fashion </t>
  </si>
  <si>
    <t xml:space="preserve"># 308 </t>
    <phoneticPr fontId="2"/>
  </si>
  <si>
    <t>225117</t>
    <phoneticPr fontId="2"/>
  </si>
  <si>
    <t xml:space="preserve"># 39 Peach </t>
    <phoneticPr fontId="2"/>
  </si>
  <si>
    <t xml:space="preserve"># 187 Coral Peach </t>
    <phoneticPr fontId="2"/>
  </si>
  <si>
    <t>225118</t>
    <phoneticPr fontId="2"/>
  </si>
  <si>
    <t xml:space="preserve"># A4 Baby Pink </t>
    <phoneticPr fontId="2"/>
  </si>
  <si>
    <t xml:space="preserve">REF# </t>
    <phoneticPr fontId="2"/>
  </si>
  <si>
    <t>在庫状況</t>
    <rPh sb="0" eb="2">
      <t>ザイコ</t>
    </rPh>
    <rPh sb="2" eb="4">
      <t>ジョウキョウ</t>
    </rPh>
    <phoneticPr fontId="2"/>
  </si>
  <si>
    <t># SO  Silk White</t>
    <phoneticPr fontId="2"/>
  </si>
  <si>
    <t xml:space="preserve">225141 Nice Fashion </t>
    <phoneticPr fontId="2"/>
  </si>
  <si>
    <t># Y650</t>
    <phoneticPr fontId="2"/>
  </si>
  <si>
    <t>1312</t>
    <phoneticPr fontId="2"/>
  </si>
  <si>
    <t>2139</t>
    <phoneticPr fontId="2"/>
  </si>
  <si>
    <t>KYL-3383-1</t>
    <phoneticPr fontId="2"/>
  </si>
  <si>
    <t xml:space="preserve">DTM Apricot </t>
    <phoneticPr fontId="2"/>
  </si>
  <si>
    <t xml:space="preserve">DTM Lilac </t>
    <phoneticPr fontId="2"/>
  </si>
  <si>
    <t xml:space="preserve">DTM Pacific </t>
    <phoneticPr fontId="2"/>
  </si>
  <si>
    <t xml:space="preserve">DTM White ?? </t>
    <phoneticPr fontId="2"/>
  </si>
  <si>
    <t>CO-C442A</t>
    <phoneticPr fontId="2"/>
  </si>
  <si>
    <t>YDT-13229</t>
    <phoneticPr fontId="2"/>
  </si>
  <si>
    <t>YDT-13230</t>
    <phoneticPr fontId="2"/>
  </si>
  <si>
    <t>YDT-13666</t>
    <phoneticPr fontId="2"/>
  </si>
  <si>
    <t>オフ白</t>
    <rPh sb="2" eb="3">
      <t>シロ</t>
    </rPh>
    <phoneticPr fontId="2"/>
  </si>
  <si>
    <t>225238</t>
    <phoneticPr fontId="2"/>
  </si>
  <si>
    <t xml:space="preserve">In stock </t>
    <phoneticPr fontId="2"/>
  </si>
  <si>
    <t xml:space="preserve">No stock, ready at the end of Sep. </t>
    <phoneticPr fontId="2"/>
  </si>
  <si>
    <t>18396</t>
    <phoneticPr fontId="2"/>
  </si>
  <si>
    <t>KYL-875006GL17</t>
    <phoneticPr fontId="2"/>
  </si>
  <si>
    <t>Gold x Navy</t>
    <phoneticPr fontId="2"/>
  </si>
  <si>
    <t>KYL-875006GL7</t>
    <phoneticPr fontId="2"/>
  </si>
  <si>
    <t xml:space="preserve">Gold x Wine </t>
    <phoneticPr fontId="2"/>
  </si>
  <si>
    <t>KYL-875006GL6</t>
    <phoneticPr fontId="2"/>
  </si>
  <si>
    <t xml:space="preserve">Gold x Grey </t>
    <phoneticPr fontId="2"/>
  </si>
  <si>
    <t>KYL-875004SL19</t>
    <phoneticPr fontId="2"/>
  </si>
  <si>
    <t>Silver x Black</t>
    <phoneticPr fontId="2"/>
  </si>
  <si>
    <t>KYL-875004SL17</t>
    <phoneticPr fontId="2"/>
  </si>
  <si>
    <t>KYL-875004SL7</t>
    <phoneticPr fontId="2"/>
  </si>
  <si>
    <t>KYL-875004SL6</t>
    <phoneticPr fontId="2"/>
  </si>
  <si>
    <t>Silver x Navy</t>
    <phoneticPr fontId="2"/>
  </si>
  <si>
    <t>Silver x Wine</t>
    <phoneticPr fontId="2"/>
  </si>
  <si>
    <t>Silver x Grey</t>
    <phoneticPr fontId="2"/>
  </si>
  <si>
    <t xml:space="preserve">No stock, ready around Sep. 25th  </t>
    <phoneticPr fontId="2"/>
  </si>
  <si>
    <t xml:space="preserve">Ship out around Sep. 17 - 19th </t>
    <phoneticPr fontId="2"/>
  </si>
  <si>
    <t>225269</t>
    <phoneticPr fontId="2"/>
  </si>
  <si>
    <t>0033700</t>
    <phoneticPr fontId="2"/>
  </si>
  <si>
    <t>FE6075</t>
  </si>
  <si>
    <t>FE6075</t>
    <phoneticPr fontId="2"/>
  </si>
  <si>
    <t># SO Ivory</t>
  </si>
  <si>
    <t># SO Ivory</t>
    <phoneticPr fontId="2"/>
  </si>
  <si>
    <t>DS2340-FS</t>
  </si>
  <si>
    <t>DS2340-FS</t>
    <phoneticPr fontId="2"/>
  </si>
  <si>
    <t># 32 Nude</t>
  </si>
  <si>
    <t># 32 Nude</t>
    <phoneticPr fontId="2"/>
  </si>
  <si>
    <t xml:space="preserve"># 31 Taupe </t>
  </si>
  <si>
    <t xml:space="preserve"># 31 Taupe </t>
    <phoneticPr fontId="2"/>
  </si>
  <si>
    <t xml:space="preserve"># SO Ivory </t>
  </si>
  <si>
    <t xml:space="preserve"># SO Ivory </t>
    <phoneticPr fontId="2"/>
  </si>
  <si>
    <t>T3500C</t>
  </si>
  <si>
    <t>T3000</t>
  </si>
  <si>
    <t xml:space="preserve">Order Qty </t>
    <phoneticPr fontId="2"/>
  </si>
  <si>
    <t>36yds (abt 33m)</t>
    <phoneticPr fontId="2"/>
  </si>
  <si>
    <t>50yds (abt 45m)</t>
    <phoneticPr fontId="2"/>
  </si>
  <si>
    <t>61yds (abt 55m)</t>
    <phoneticPr fontId="2"/>
  </si>
  <si>
    <t>35yds (abt 32m)</t>
    <phoneticPr fontId="2"/>
  </si>
  <si>
    <t>95yds (abt 87m)</t>
    <phoneticPr fontId="2"/>
  </si>
  <si>
    <t>60yds (abt 55m)</t>
    <phoneticPr fontId="2"/>
  </si>
  <si>
    <t>1014</t>
    <phoneticPr fontId="2"/>
  </si>
  <si>
    <t>Ella &amp; Oak ( Katharine Polk )</t>
    <phoneticPr fontId="2"/>
  </si>
  <si>
    <t>HZPOT1909029</t>
    <phoneticPr fontId="2"/>
  </si>
  <si>
    <t>DTM Whitewash or Mill's Off White</t>
    <phoneticPr fontId="2"/>
  </si>
  <si>
    <t xml:space="preserve"> Whitewash</t>
    <phoneticPr fontId="2"/>
  </si>
  <si>
    <t xml:space="preserve">in abt 2 weeks after recceiving the color standard </t>
    <phoneticPr fontId="2"/>
  </si>
  <si>
    <t>2277</t>
    <phoneticPr fontId="2"/>
  </si>
  <si>
    <t>FWL-71230</t>
    <phoneticPr fontId="2"/>
  </si>
  <si>
    <t>FWL-21162</t>
    <phoneticPr fontId="2"/>
  </si>
  <si>
    <t>FWL-71542</t>
    <phoneticPr fontId="2"/>
  </si>
  <si>
    <t>Double Faced Bemberg Satin    Cupro-100%</t>
    <phoneticPr fontId="2"/>
  </si>
  <si>
    <t xml:space="preserve"># 320 </t>
    <phoneticPr fontId="2"/>
  </si>
  <si>
    <t>2286</t>
    <phoneticPr fontId="2"/>
  </si>
  <si>
    <t>FWL-2101</t>
    <phoneticPr fontId="2"/>
  </si>
  <si>
    <t>DTM Hyper Yellow</t>
    <phoneticPr fontId="2"/>
  </si>
  <si>
    <t>DTM Pistachio</t>
    <phoneticPr fontId="2"/>
  </si>
  <si>
    <t>FWL-2133</t>
    <phoneticPr fontId="2"/>
  </si>
  <si>
    <t>FWL-21504</t>
    <phoneticPr fontId="2"/>
  </si>
  <si>
    <t>DTM Ocean</t>
    <phoneticPr fontId="2"/>
  </si>
  <si>
    <t>DTM Honeycomb</t>
    <phoneticPr fontId="2"/>
  </si>
  <si>
    <t>DTM Toffee</t>
    <phoneticPr fontId="2"/>
  </si>
  <si>
    <t>DTM Stucco</t>
    <phoneticPr fontId="2"/>
  </si>
  <si>
    <t xml:space="preserve">DTM Dove </t>
    <phoneticPr fontId="2"/>
  </si>
  <si>
    <t>DTM Verde</t>
    <phoneticPr fontId="2"/>
  </si>
  <si>
    <t>FWL-24226</t>
    <phoneticPr fontId="2"/>
  </si>
  <si>
    <t>DTM Jet Black</t>
    <phoneticPr fontId="2"/>
  </si>
  <si>
    <t>Dye fee for FWL-2101</t>
    <phoneticPr fontId="2"/>
  </si>
  <si>
    <t>Dye fee for FWL-2133&amp;21504</t>
    <phoneticPr fontId="2"/>
  </si>
  <si>
    <t>Dye fee for FWL-24226</t>
    <phoneticPr fontId="2"/>
  </si>
  <si>
    <t>Dye fee for FWL-21162</t>
    <phoneticPr fontId="2"/>
  </si>
  <si>
    <t>Dye fee for FWL-71542</t>
    <phoneticPr fontId="2"/>
  </si>
  <si>
    <t>Dye fee for FWL-71469</t>
    <phoneticPr fontId="2"/>
  </si>
  <si>
    <t>PO#</t>
    <phoneticPr fontId="2"/>
  </si>
  <si>
    <t xml:space="preserve">Sub total </t>
    <phoneticPr fontId="2"/>
  </si>
  <si>
    <t>KYL-001GM</t>
    <phoneticPr fontId="2"/>
  </si>
  <si>
    <t xml:space="preserve">DTM Jet Black </t>
    <phoneticPr fontId="2"/>
  </si>
  <si>
    <t>DTM Ecru ( TPX 11-0907)</t>
    <phoneticPr fontId="2"/>
  </si>
  <si>
    <t>DTM Latte</t>
    <phoneticPr fontId="2"/>
  </si>
  <si>
    <t xml:space="preserve">Dye fee for KYL-001GM </t>
    <phoneticPr fontId="2"/>
  </si>
  <si>
    <r>
      <t>6</t>
    </r>
    <r>
      <rPr>
        <sz val="11"/>
        <rFont val="ＭＳ Ｐゴシック"/>
        <family val="3"/>
        <charset val="128"/>
      </rPr>
      <t>件</t>
    </r>
    <rPh sb="1" eb="2">
      <t>ケン</t>
    </rPh>
    <phoneticPr fontId="2"/>
  </si>
  <si>
    <t>DTM Pistachio</t>
  </si>
  <si>
    <t>2338</t>
    <phoneticPr fontId="2"/>
  </si>
  <si>
    <t>??</t>
    <phoneticPr fontId="2"/>
  </si>
  <si>
    <t>Dye Fee for YDT-13666</t>
    <phoneticPr fontId="2"/>
  </si>
  <si>
    <t>Dye Fee for YDT-13229 &amp; YDT-13230</t>
    <phoneticPr fontId="2"/>
  </si>
  <si>
    <t>.</t>
    <phoneticPr fontId="2"/>
  </si>
  <si>
    <t># 329 Ivory</t>
    <phoneticPr fontId="2"/>
  </si>
  <si>
    <t xml:space="preserve"># A15 Aqua </t>
    <phoneticPr fontId="2"/>
  </si>
  <si>
    <t xml:space="preserve"># 110 Aqua </t>
    <phoneticPr fontId="2"/>
  </si>
  <si>
    <t xml:space="preserve"># 329 Ivory </t>
    <phoneticPr fontId="2"/>
  </si>
  <si>
    <t xml:space="preserve"># OF </t>
    <phoneticPr fontId="2"/>
  </si>
  <si>
    <t># 6 Breeze</t>
    <phoneticPr fontId="2"/>
  </si>
  <si>
    <r>
      <rPr>
        <sz val="12"/>
        <rFont val="ＭＳ Ｐゴシック"/>
        <family val="3"/>
        <charset val="128"/>
      </rPr>
      <t>バルク単価</t>
    </r>
    <r>
      <rPr>
        <sz val="12"/>
        <rFont val="Arial"/>
        <family val="2"/>
      </rPr>
      <t>790</t>
    </r>
    <rPh sb="3" eb="5">
      <t>タンカ</t>
    </rPh>
    <phoneticPr fontId="2"/>
  </si>
  <si>
    <t>225424</t>
    <phoneticPr fontId="2"/>
  </si>
  <si>
    <t>KRP Creative LLC ( Katharine Polk )</t>
    <phoneticPr fontId="2"/>
  </si>
  <si>
    <t># 108</t>
    <phoneticPr fontId="2"/>
  </si>
  <si>
    <t># 127</t>
    <phoneticPr fontId="2"/>
  </si>
  <si>
    <t xml:space="preserve">Katherine Tash </t>
    <phoneticPr fontId="2"/>
  </si>
  <si>
    <t>225519</t>
    <phoneticPr fontId="2"/>
  </si>
  <si>
    <t>225520</t>
    <phoneticPr fontId="2"/>
  </si>
  <si>
    <t xml:space="preserve"># 329 Silk White </t>
    <phoneticPr fontId="2"/>
  </si>
  <si>
    <t xml:space="preserve"># OF Off White </t>
    <phoneticPr fontId="2"/>
  </si>
  <si>
    <t xml:space="preserve"># 307 </t>
    <phoneticPr fontId="2"/>
  </si>
  <si>
    <t xml:space="preserve"># A2   </t>
    <phoneticPr fontId="2"/>
  </si>
  <si>
    <t xml:space="preserve"># A14 </t>
    <phoneticPr fontId="2"/>
  </si>
  <si>
    <t>Stock Position / ready date</t>
    <phoneticPr fontId="2"/>
  </si>
  <si>
    <t xml:space="preserve">In Stock </t>
    <phoneticPr fontId="2"/>
  </si>
  <si>
    <t>Ready at the end of Nov.</t>
    <phoneticPr fontId="2"/>
  </si>
  <si>
    <t xml:space="preserve">166m in total </t>
    <phoneticPr fontId="2"/>
  </si>
  <si>
    <t xml:space="preserve">288m in total </t>
    <phoneticPr fontId="2"/>
  </si>
  <si>
    <t xml:space="preserve">PO. # </t>
    <phoneticPr fontId="2"/>
  </si>
  <si>
    <t xml:space="preserve"># 7 Clementine </t>
    <phoneticPr fontId="2"/>
  </si>
  <si>
    <t># 427 Primrose Pink</t>
    <phoneticPr fontId="2"/>
  </si>
  <si>
    <t xml:space="preserve"># SO White </t>
    <phoneticPr fontId="2"/>
  </si>
  <si>
    <t xml:space="preserve">Cutting Fee ( USD 12/cut ) </t>
    <phoneticPr fontId="2"/>
  </si>
  <si>
    <t>5574</t>
    <phoneticPr fontId="2"/>
  </si>
  <si>
    <t>9 x 9 mm</t>
    <phoneticPr fontId="2"/>
  </si>
  <si>
    <t xml:space="preserve">White </t>
    <phoneticPr fontId="2"/>
  </si>
  <si>
    <t># 625</t>
    <phoneticPr fontId="2"/>
  </si>
  <si>
    <t>A.L.C.</t>
    <phoneticPr fontId="2"/>
  </si>
  <si>
    <t># 89 Navy</t>
    <phoneticPr fontId="2"/>
  </si>
  <si>
    <t xml:space="preserve"># 21 Maroon </t>
    <phoneticPr fontId="2"/>
  </si>
  <si>
    <t xml:space="preserve"># 44 Gold / Brown </t>
    <phoneticPr fontId="2"/>
  </si>
  <si>
    <t xml:space="preserve"># 45 Gold </t>
    <phoneticPr fontId="2"/>
  </si>
  <si>
    <t xml:space="preserve"># 46 Brown </t>
    <phoneticPr fontId="2"/>
  </si>
  <si>
    <t xml:space="preserve"># 82 Blue </t>
    <phoneticPr fontId="2"/>
  </si>
  <si>
    <t xml:space="preserve">Stock / Ready Date </t>
    <phoneticPr fontId="2"/>
  </si>
  <si>
    <t>In stock</t>
    <phoneticPr fontId="2"/>
  </si>
  <si>
    <t xml:space="preserve">No stock, ready on Dec. 10-11th </t>
    <phoneticPr fontId="2"/>
  </si>
  <si>
    <t>Cotton Petersham Ribbon   Cotton-100%</t>
    <phoneticPr fontId="2"/>
  </si>
  <si>
    <t xml:space="preserve"># 79 Navy </t>
    <phoneticPr fontId="2"/>
  </si>
  <si>
    <t xml:space="preserve"># 55 Green </t>
    <phoneticPr fontId="2"/>
  </si>
  <si>
    <t xml:space="preserve"># 59 DK Green </t>
    <phoneticPr fontId="2"/>
  </si>
  <si>
    <t>0093600</t>
    <phoneticPr fontId="2"/>
  </si>
  <si>
    <t>0829</t>
    <phoneticPr fontId="2"/>
  </si>
  <si>
    <t>SP1005</t>
    <phoneticPr fontId="2"/>
  </si>
  <si>
    <t>Minnow</t>
    <phoneticPr fontId="2"/>
  </si>
  <si>
    <t xml:space="preserve"># 11 Pink </t>
    <phoneticPr fontId="2"/>
  </si>
  <si>
    <t xml:space="preserve"># 82 Dusty Blue </t>
    <phoneticPr fontId="2"/>
  </si>
  <si>
    <t xml:space="preserve"># 53 Yellow </t>
    <phoneticPr fontId="2"/>
  </si>
  <si>
    <t># 88 Navy</t>
    <phoneticPr fontId="2"/>
  </si>
  <si>
    <t>Frontline Clothing Ltd (Frame )</t>
    <phoneticPr fontId="2"/>
  </si>
  <si>
    <t>FCL-191128</t>
    <phoneticPr fontId="2"/>
  </si>
  <si>
    <t># 0017</t>
    <phoneticPr fontId="2"/>
  </si>
  <si>
    <t xml:space="preserve"># 0017 Brown </t>
    <phoneticPr fontId="2"/>
  </si>
  <si>
    <t>S-1139</t>
    <phoneticPr fontId="2"/>
  </si>
  <si>
    <t>CHENG_RR-1</t>
    <phoneticPr fontId="2"/>
  </si>
  <si>
    <t xml:space="preserve"># Y625 ( Hot Red ) </t>
    <phoneticPr fontId="2"/>
  </si>
  <si>
    <t>S-1149</t>
    <phoneticPr fontId="2"/>
  </si>
  <si>
    <t xml:space="preserve">Pink Diamond. LLC ( Frame ) </t>
  </si>
  <si>
    <t>6153</t>
    <phoneticPr fontId="2"/>
  </si>
  <si>
    <t>SF16122019</t>
    <phoneticPr fontId="2"/>
  </si>
  <si>
    <t>KIVANC TEKSTIL KONF.SAN.VE DIS TIC.LTD.STI. ( Frame )</t>
    <phoneticPr fontId="2"/>
  </si>
  <si>
    <t>2550</t>
    <phoneticPr fontId="2"/>
  </si>
  <si>
    <t xml:space="preserve">DTM Caramel </t>
    <phoneticPr fontId="2"/>
  </si>
  <si>
    <t xml:space="preserve">DTM Khaki </t>
    <phoneticPr fontId="2"/>
  </si>
  <si>
    <t>DTM Sahara</t>
    <phoneticPr fontId="2"/>
  </si>
  <si>
    <t xml:space="preserve">DTM Pale Yellow </t>
    <phoneticPr fontId="2"/>
  </si>
  <si>
    <t>0837</t>
    <phoneticPr fontId="2"/>
  </si>
  <si>
    <t>225614</t>
    <phoneticPr fontId="2"/>
  </si>
  <si>
    <t xml:space="preserve"># 130 New Ecru </t>
    <phoneticPr fontId="2"/>
  </si>
  <si>
    <t>F20-SF-002-PV</t>
    <phoneticPr fontId="2"/>
  </si>
  <si>
    <t># 61 Oatmeal</t>
    <phoneticPr fontId="2"/>
  </si>
  <si>
    <t>KYL-T8333-19</t>
    <phoneticPr fontId="2"/>
  </si>
  <si>
    <t># C66 Silver</t>
    <phoneticPr fontId="2"/>
  </si>
  <si>
    <t>S-1185</t>
    <phoneticPr fontId="2"/>
  </si>
  <si>
    <t>S-1186</t>
    <phoneticPr fontId="2"/>
  </si>
  <si>
    <t>RE1006</t>
    <phoneticPr fontId="2"/>
  </si>
  <si>
    <t>2569</t>
    <phoneticPr fontId="2"/>
  </si>
  <si>
    <t>DS-3607</t>
    <phoneticPr fontId="2"/>
  </si>
  <si>
    <t xml:space="preserve">DTM Garnet </t>
    <phoneticPr fontId="2"/>
  </si>
  <si>
    <t>DTM Ivory</t>
    <phoneticPr fontId="2"/>
  </si>
  <si>
    <t xml:space="preserve">DTM Prussian Blue  </t>
    <phoneticPr fontId="2"/>
  </si>
  <si>
    <t xml:space="preserve">DTM Saffron </t>
    <phoneticPr fontId="2"/>
  </si>
  <si>
    <t>Dye fee for DS-3607</t>
    <phoneticPr fontId="2"/>
  </si>
  <si>
    <r>
      <t>5</t>
    </r>
    <r>
      <rPr>
        <sz val="12"/>
        <rFont val="ＭＳ Ｐゴシック"/>
        <family val="3"/>
        <charset val="128"/>
      </rPr>
      <t>件</t>
    </r>
    <rPh sb="1" eb="2">
      <t>ケン</t>
    </rPh>
    <phoneticPr fontId="2"/>
  </si>
  <si>
    <t xml:space="preserve">DTM Garnet (#19-1557TPX) </t>
    <phoneticPr fontId="2"/>
  </si>
  <si>
    <t>102610</t>
    <phoneticPr fontId="2"/>
  </si>
  <si>
    <t>Cualquier Lavado, S.A. de C.V. ( Frame )</t>
    <phoneticPr fontId="2"/>
  </si>
  <si>
    <t># 0031</t>
    <phoneticPr fontId="2"/>
  </si>
  <si>
    <t>DU-383</t>
    <phoneticPr fontId="2"/>
  </si>
  <si>
    <t>S-1201</t>
    <phoneticPr fontId="2"/>
  </si>
  <si>
    <t>8593</t>
    <phoneticPr fontId="2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</si>
  <si>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 xml:space="preserve"> /m</t>
    </r>
    <rPh sb="0" eb="2">
      <t>タンカ</t>
    </rPh>
    <phoneticPr fontId="2"/>
  </si>
  <si>
    <r>
      <t>132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</si>
  <si>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t>A&amp;Feng Fashion Limited (A.L.C.)</t>
    <phoneticPr fontId="2"/>
  </si>
  <si>
    <t xml:space="preserve">FOB JAPAN </t>
    <phoneticPr fontId="2"/>
  </si>
  <si>
    <t>TRL-11509</t>
    <phoneticPr fontId="2"/>
  </si>
  <si>
    <r>
      <t xml:space="preserve">225701 </t>
    </r>
    <r>
      <rPr>
        <sz val="12"/>
        <color indexed="30"/>
        <rFont val="Arial"/>
        <family val="2"/>
      </rPr>
      <t>India</t>
    </r>
  </si>
  <si>
    <t>DV1410-FS</t>
    <phoneticPr fontId="2"/>
  </si>
  <si>
    <t xml:space="preserve">Status </t>
  </si>
  <si>
    <t xml:space="preserve">only abt 12.5m in stock, L/T is abt 3 weeks </t>
    <phoneticPr fontId="2"/>
  </si>
  <si>
    <t>No Stock, the best ready date would be the end of March…</t>
    <phoneticPr fontId="2"/>
  </si>
  <si>
    <t>A06522</t>
    <phoneticPr fontId="2"/>
  </si>
  <si>
    <t>A06530</t>
    <phoneticPr fontId="2"/>
  </si>
  <si>
    <t xml:space="preserve">2 sets (US$12/cut) </t>
    <phoneticPr fontId="2"/>
  </si>
  <si>
    <t xml:space="preserve">2 sets (US$20/set)  </t>
    <phoneticPr fontId="2"/>
  </si>
  <si>
    <t>JONF20/00030</t>
    <phoneticPr fontId="2"/>
  </si>
  <si>
    <t>Dye fee for FWL-2133 / Lilac</t>
    <phoneticPr fontId="2"/>
  </si>
  <si>
    <t>Dye fee for FWL-2133&amp;21504 / Midnight &amp; Pistachio</t>
    <phoneticPr fontId="2"/>
  </si>
  <si>
    <t>0849</t>
    <phoneticPr fontId="2"/>
  </si>
  <si>
    <t>S-1301</t>
    <phoneticPr fontId="2"/>
  </si>
  <si>
    <t>Full Dull Satin Ribbon (Double Face)   Polyester-100%</t>
    <phoneticPr fontId="2"/>
  </si>
  <si>
    <t xml:space="preserve">Ava&amp;Yelly </t>
    <phoneticPr fontId="2"/>
  </si>
  <si>
    <t xml:space="preserve">100% Recycled Polyester Yarn </t>
    <phoneticPr fontId="2"/>
  </si>
  <si>
    <t>2690</t>
    <phoneticPr fontId="2"/>
  </si>
  <si>
    <t>CR2040</t>
    <phoneticPr fontId="2"/>
  </si>
  <si>
    <t xml:space="preserve">MOQ </t>
    <phoneticPr fontId="2"/>
  </si>
  <si>
    <t xml:space="preserve">1 roll ( 30m /roll ) </t>
    <phoneticPr fontId="2"/>
  </si>
  <si>
    <t xml:space="preserve">DTM ( TBC ) </t>
    <phoneticPr fontId="2"/>
  </si>
  <si>
    <t>Katie May</t>
    <phoneticPr fontId="2"/>
  </si>
  <si>
    <t>CR2040 ( RE2040)</t>
    <phoneticPr fontId="2"/>
  </si>
  <si>
    <t>SP1005-2</t>
    <phoneticPr fontId="2"/>
  </si>
  <si>
    <t xml:space="preserve">Ready date </t>
    <phoneticPr fontId="2"/>
  </si>
  <si>
    <t xml:space="preserve">No Stock, will be ready at the end of March </t>
    <phoneticPr fontId="2"/>
  </si>
  <si>
    <t>TI-7002G</t>
    <phoneticPr fontId="2"/>
  </si>
  <si>
    <t>Col. 60 Black</t>
    <phoneticPr fontId="2"/>
  </si>
  <si>
    <t>DDA Holdings, INC</t>
    <phoneticPr fontId="2"/>
  </si>
  <si>
    <t>Col. 19</t>
    <phoneticPr fontId="2"/>
  </si>
  <si>
    <t>Col. 22</t>
    <phoneticPr fontId="2"/>
  </si>
  <si>
    <t>Col. 4</t>
    <phoneticPr fontId="2"/>
  </si>
  <si>
    <t>Col. 15</t>
    <phoneticPr fontId="2"/>
  </si>
  <si>
    <t>Col. 20</t>
    <phoneticPr fontId="2"/>
  </si>
  <si>
    <t>Herringbone Tape   Linen-100%</t>
    <phoneticPr fontId="2"/>
  </si>
  <si>
    <t xml:space="preserve">Col. 1 White </t>
    <phoneticPr fontId="2"/>
  </si>
  <si>
    <t xml:space="preserve">Col. 3 Tan </t>
    <phoneticPr fontId="2"/>
  </si>
  <si>
    <t xml:space="preserve">Col. 5 Blue </t>
    <phoneticPr fontId="2"/>
  </si>
  <si>
    <t xml:space="preserve">Col. 10 Black </t>
    <phoneticPr fontId="2"/>
  </si>
  <si>
    <t>Col. 2</t>
    <phoneticPr fontId="2"/>
  </si>
  <si>
    <t xml:space="preserve">Col. 6  </t>
    <phoneticPr fontId="2"/>
  </si>
  <si>
    <t xml:space="preserve">100% Cotton Lace Trim  </t>
    <phoneticPr fontId="2"/>
  </si>
  <si>
    <t>KYL-3866-1</t>
    <phoneticPr fontId="2"/>
  </si>
  <si>
    <t>KYL-8265-1</t>
    <phoneticPr fontId="2"/>
  </si>
  <si>
    <t>KYL-23650</t>
    <phoneticPr fontId="2"/>
  </si>
  <si>
    <t># 23 Fuchsia</t>
    <phoneticPr fontId="2"/>
  </si>
  <si>
    <t xml:space="preserve"># 405 Navy </t>
    <phoneticPr fontId="2"/>
  </si>
  <si>
    <t xml:space="preserve"># 39 Pale Peach </t>
    <phoneticPr fontId="2"/>
  </si>
  <si>
    <t xml:space="preserve"># 8 </t>
    <phoneticPr fontId="2"/>
  </si>
  <si>
    <t># 64</t>
    <phoneticPr fontId="2"/>
  </si>
  <si>
    <t>325m に近い数量でありますか？</t>
    <rPh sb="6" eb="7">
      <t>チカ</t>
    </rPh>
    <rPh sb="8" eb="10">
      <t>スウリョウ</t>
    </rPh>
    <phoneticPr fontId="2"/>
  </si>
  <si>
    <r>
      <t xml:space="preserve">225898 </t>
    </r>
    <r>
      <rPr>
        <sz val="12"/>
        <color indexed="30"/>
        <rFont val="Arial"/>
        <family val="2"/>
      </rPr>
      <t>to India</t>
    </r>
  </si>
  <si>
    <t>DTM Mint ( 14-6008TPX)</t>
    <phoneticPr fontId="2"/>
  </si>
  <si>
    <t xml:space="preserve">Mill's Beige </t>
    <phoneticPr fontId="2"/>
  </si>
  <si>
    <r>
      <t>790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</si>
  <si>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270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</si>
  <si>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t>Polyester Piping Tape    Polyester-100%</t>
    <phoneticPr fontId="2"/>
  </si>
  <si>
    <t xml:space="preserve">M size </t>
    <phoneticPr fontId="2"/>
  </si>
  <si>
    <r>
      <t xml:space="preserve">HOL20-SF-001-PV </t>
    </r>
    <r>
      <rPr>
        <sz val="12"/>
        <color indexed="30"/>
        <rFont val="Arial"/>
        <family val="2"/>
      </rPr>
      <t>A&amp;Feng</t>
    </r>
  </si>
  <si>
    <r>
      <t xml:space="preserve">HOL20-SF-001-PV </t>
    </r>
    <r>
      <rPr>
        <sz val="12"/>
        <color indexed="30"/>
        <rFont val="Arial"/>
        <family val="2"/>
      </rPr>
      <t>LA</t>
    </r>
    <phoneticPr fontId="2"/>
  </si>
  <si>
    <r>
      <t xml:space="preserve">HOL20-SF-001-PV </t>
    </r>
    <r>
      <rPr>
        <sz val="12"/>
        <color indexed="30"/>
        <rFont val="Arial"/>
        <family val="2"/>
      </rPr>
      <t xml:space="preserve">Royal Spirit </t>
    </r>
    <phoneticPr fontId="2"/>
  </si>
  <si>
    <t>225925</t>
    <phoneticPr fontId="2"/>
  </si>
  <si>
    <t xml:space="preserve">1 roll ( 30m /roll  ) </t>
    <phoneticPr fontId="2"/>
  </si>
  <si>
    <t xml:space="preserve">SPRING RECUTS </t>
    <phoneticPr fontId="2"/>
  </si>
  <si>
    <t>Acrylic Cord with Cel Tip</t>
    <phoneticPr fontId="2"/>
  </si>
  <si>
    <t>(per piece)</t>
    <phoneticPr fontId="2"/>
  </si>
  <si>
    <t>SP1011&amp;RE1015</t>
    <phoneticPr fontId="2"/>
  </si>
  <si>
    <t>5608 with Cel Tip</t>
    <phoneticPr fontId="2"/>
  </si>
  <si>
    <t>33.5"(85cm)</t>
    <phoneticPr fontId="2"/>
  </si>
  <si>
    <t>5608 :C/# 59 Navy x Clear Plastic Tip (15mm )</t>
    <phoneticPr fontId="2"/>
  </si>
  <si>
    <t>36"(91.5cm)</t>
    <phoneticPr fontId="2"/>
  </si>
  <si>
    <t>38"(96.5cm)</t>
    <phoneticPr fontId="2"/>
  </si>
  <si>
    <t>40"(101.5cm)</t>
    <phoneticPr fontId="2"/>
  </si>
  <si>
    <t xml:space="preserve">Cord Length  </t>
    <phoneticPr fontId="2"/>
  </si>
  <si>
    <t xml:space="preserve">Cord Color x Tip </t>
    <phoneticPr fontId="2"/>
  </si>
  <si>
    <t>TBC</t>
    <phoneticPr fontId="2"/>
  </si>
  <si>
    <t>EXW(JAPAN) /pc</t>
    <phoneticPr fontId="2"/>
  </si>
  <si>
    <t>SP1011&amp;RE1015</t>
  </si>
  <si>
    <t>5608 with Cel Tip</t>
  </si>
  <si>
    <t>33.5"(85cm)</t>
  </si>
  <si>
    <t>36"(91.5cm)</t>
  </si>
  <si>
    <t>38"(96.5cm)</t>
  </si>
  <si>
    <t>40"(101.5cm)</t>
  </si>
  <si>
    <t>422-2004000011</t>
    <phoneticPr fontId="2"/>
  </si>
  <si>
    <t xml:space="preserve">Perfect (Macao Commercial Offshore) Limited( Frame ) </t>
    <phoneticPr fontId="2"/>
  </si>
  <si>
    <t>AH20PT04013</t>
    <phoneticPr fontId="2"/>
  </si>
  <si>
    <t xml:space="preserve">C&amp;F HK Price </t>
    <phoneticPr fontId="2"/>
  </si>
  <si>
    <t>2050900</t>
    <phoneticPr fontId="2"/>
  </si>
  <si>
    <t>5648 with Cel Tip</t>
  </si>
  <si>
    <t>Clear Plastic Tip (15mm )</t>
    <phoneticPr fontId="2"/>
  </si>
  <si>
    <t xml:space="preserve">Tip </t>
    <phoneticPr fontId="2"/>
  </si>
  <si>
    <t>MOQ</t>
    <phoneticPr fontId="2"/>
  </si>
  <si>
    <t>100pcs / combination</t>
    <phoneticPr fontId="2"/>
  </si>
  <si>
    <t>EXW(JAPAN) /m</t>
    <phoneticPr fontId="2"/>
  </si>
  <si>
    <t>RAJ Manufacturing, LLC.</t>
    <phoneticPr fontId="2"/>
  </si>
  <si>
    <t>2052100</t>
    <phoneticPr fontId="2"/>
  </si>
  <si>
    <t>5608 :C/# 63 Periwinkle x Clear Plastic Tip (15mm )</t>
    <phoneticPr fontId="2"/>
  </si>
  <si>
    <t>5608 :C/# B2 French Blue x Clear Plastic Tip (15mm )</t>
    <phoneticPr fontId="2"/>
  </si>
  <si>
    <t>5608 :C/# 56 Red x Clear Plastic Tip (15mm )</t>
    <phoneticPr fontId="2"/>
  </si>
  <si>
    <t>長さ</t>
    <rPh sb="0" eb="1">
      <t>ナガ</t>
    </rPh>
    <phoneticPr fontId="2"/>
  </si>
  <si>
    <t>5634 / MU size</t>
    <phoneticPr fontId="2"/>
  </si>
  <si>
    <t>5634 / SS size</t>
    <phoneticPr fontId="2"/>
  </si>
  <si>
    <t># 47NT Navy</t>
    <phoneticPr fontId="2"/>
  </si>
  <si>
    <t>2052600</t>
    <phoneticPr fontId="2"/>
  </si>
  <si>
    <t>コードの長さ</t>
    <rPh sb="4" eb="5">
      <t>ナガ</t>
    </rPh>
    <phoneticPr fontId="2"/>
  </si>
  <si>
    <t>カラー</t>
    <phoneticPr fontId="2"/>
  </si>
  <si>
    <t xml:space="preserve">Art. # </t>
    <phoneticPr fontId="2"/>
  </si>
  <si>
    <t xml:space="preserve">Shipping Date </t>
    <phoneticPr fontId="2"/>
  </si>
  <si>
    <t xml:space="preserve"> May 13th - 14th  </t>
    <phoneticPr fontId="2"/>
  </si>
  <si>
    <t xml:space="preserve"> May 13th - 14th</t>
  </si>
  <si>
    <t xml:space="preserve">May 1st </t>
    <phoneticPr fontId="2"/>
  </si>
  <si>
    <r>
      <t>M</t>
    </r>
    <r>
      <rPr>
        <sz val="11"/>
        <rFont val="Arial  "/>
        <family val="2"/>
      </rPr>
      <t xml:space="preserve">ay 1st </t>
    </r>
    <phoneticPr fontId="2"/>
  </si>
  <si>
    <t>1024</t>
    <phoneticPr fontId="2"/>
  </si>
  <si>
    <t xml:space="preserve">Cutting Fee </t>
    <phoneticPr fontId="2"/>
  </si>
  <si>
    <r>
      <t xml:space="preserve">2690 </t>
    </r>
    <r>
      <rPr>
        <sz val="12"/>
        <color indexed="30"/>
        <rFont val="Arial"/>
        <family val="2"/>
      </rPr>
      <t xml:space="preserve">Shipped to LA </t>
    </r>
    <phoneticPr fontId="2"/>
  </si>
  <si>
    <r>
      <t xml:space="preserve">2690 </t>
    </r>
    <r>
      <rPr>
        <sz val="12"/>
        <color indexed="30"/>
        <rFont val="Arial"/>
        <family val="2"/>
      </rPr>
      <t>Shipped to Trade Harvest</t>
    </r>
    <r>
      <rPr>
        <sz val="12"/>
        <color indexed="10"/>
        <rFont val="Arial"/>
        <family val="2"/>
      </rPr>
      <t xml:space="preserve"> </t>
    </r>
    <phoneticPr fontId="2"/>
  </si>
  <si>
    <t xml:space="preserve"># 9 Mill's Black </t>
    <phoneticPr fontId="2"/>
  </si>
  <si>
    <t xml:space="preserve"># 131 Mill's Beige </t>
    <phoneticPr fontId="2"/>
  </si>
  <si>
    <r>
      <t xml:space="preserve">HOL20-SF-002-PV </t>
    </r>
    <r>
      <rPr>
        <sz val="12"/>
        <color indexed="30"/>
        <rFont val="Arial"/>
        <family val="2"/>
      </rPr>
      <t>A&amp;Feng</t>
    </r>
    <phoneticPr fontId="2"/>
  </si>
  <si>
    <r>
      <t xml:space="preserve">HOL20-SF-002-PV </t>
    </r>
    <r>
      <rPr>
        <sz val="12"/>
        <color indexed="30"/>
        <rFont val="Arial"/>
        <family val="2"/>
      </rPr>
      <t>LA</t>
    </r>
    <phoneticPr fontId="2"/>
  </si>
  <si>
    <t xml:space="preserve">HOL20-SF-002-PV </t>
    <phoneticPr fontId="2"/>
  </si>
  <si>
    <t>4808</t>
    <phoneticPr fontId="2"/>
  </si>
  <si>
    <t>3600</t>
    <phoneticPr fontId="2"/>
  </si>
  <si>
    <t># 13</t>
    <phoneticPr fontId="2"/>
  </si>
  <si>
    <t>164353</t>
    <phoneticPr fontId="2"/>
  </si>
  <si>
    <t xml:space="preserve">4 Cord </t>
    <phoneticPr fontId="2"/>
  </si>
  <si>
    <t># 38</t>
    <phoneticPr fontId="2"/>
  </si>
  <si>
    <t>225998</t>
    <phoneticPr fontId="2"/>
  </si>
  <si>
    <t xml:space="preserve"># SI </t>
    <phoneticPr fontId="2"/>
  </si>
  <si>
    <t xml:space="preserve">4 sets (  USD 12 /cut ) </t>
    <phoneticPr fontId="2"/>
  </si>
  <si>
    <t>100% Polyester Tulle</t>
    <phoneticPr fontId="2"/>
  </si>
  <si>
    <t>T2120</t>
    <phoneticPr fontId="2"/>
  </si>
  <si>
    <t># 314</t>
    <phoneticPr fontId="2"/>
  </si>
  <si>
    <t># A2</t>
    <phoneticPr fontId="2"/>
  </si>
  <si>
    <t>カラー &amp; チップ</t>
    <phoneticPr fontId="2"/>
  </si>
  <si>
    <r>
      <t xml:space="preserve">Surcharge </t>
    </r>
    <r>
      <rPr>
        <sz val="12"/>
        <rFont val="ＭＳ Ｐゴシック"/>
        <family val="3"/>
        <charset val="128"/>
      </rPr>
      <t>（小口代）</t>
    </r>
  </si>
  <si>
    <t xml:space="preserve">Cord Length </t>
    <phoneticPr fontId="2"/>
  </si>
  <si>
    <t>5608 :C/# B2 French Blue x Clear Plastic Tip (15mm )</t>
  </si>
  <si>
    <t xml:space="preserve">Cord Color </t>
    <phoneticPr fontId="2"/>
  </si>
  <si>
    <t>5634 / SS size ( Heat Cut )</t>
    <phoneticPr fontId="2"/>
  </si>
  <si>
    <t xml:space="preserve">420m ( same as the last order ) </t>
    <phoneticPr fontId="2"/>
  </si>
  <si>
    <t>5634 / SS size (Heat Cut)</t>
    <phoneticPr fontId="2"/>
  </si>
  <si>
    <t xml:space="preserve">June 24th </t>
    <phoneticPr fontId="2"/>
  </si>
  <si>
    <t xml:space="preserve">June 17th </t>
    <phoneticPr fontId="2"/>
  </si>
  <si>
    <t>2058300</t>
    <phoneticPr fontId="2"/>
  </si>
  <si>
    <t>2058400</t>
    <phoneticPr fontId="2"/>
  </si>
  <si>
    <t xml:space="preserve"># 78NT </t>
    <phoneticPr fontId="2"/>
  </si>
  <si>
    <t># 78NT</t>
    <phoneticPr fontId="2"/>
  </si>
  <si>
    <t xml:space="preserve">Polyester Cord   100% Polyester </t>
    <phoneticPr fontId="2"/>
  </si>
  <si>
    <t xml:space="preserve">SS size </t>
    <phoneticPr fontId="2"/>
  </si>
  <si>
    <t xml:space="preserve"># 30 Midnight </t>
    <phoneticPr fontId="2"/>
  </si>
  <si>
    <t># 50 Baby Pink</t>
    <phoneticPr fontId="2"/>
  </si>
  <si>
    <t xml:space="preserve"># 9 Chalk </t>
    <phoneticPr fontId="2"/>
  </si>
  <si>
    <t>Sloan &amp; Bennett</t>
    <phoneticPr fontId="2"/>
  </si>
  <si>
    <t xml:space="preserve"># C66  </t>
    <phoneticPr fontId="2"/>
  </si>
  <si>
    <t xml:space="preserve"># 50 ?? </t>
    <phoneticPr fontId="2"/>
  </si>
  <si>
    <t>Replacement for Midnight, I will revise INV# S-1485 with Black while eliminating Midnight once Black is shipped out</t>
    <phoneticPr fontId="2"/>
  </si>
  <si>
    <t>AH20PT07011</t>
    <phoneticPr fontId="2"/>
  </si>
  <si>
    <t>KYL-8205-1</t>
    <phoneticPr fontId="2"/>
  </si>
  <si>
    <t>KYL-23556</t>
    <phoneticPr fontId="2"/>
  </si>
  <si>
    <t>KYL-23699</t>
    <phoneticPr fontId="2"/>
  </si>
  <si>
    <t>90959</t>
    <phoneticPr fontId="2"/>
  </si>
  <si>
    <t>4834</t>
    <phoneticPr fontId="2"/>
  </si>
  <si>
    <t>45036</t>
  </si>
  <si>
    <t>Parc and Pearl Inc.</t>
    <phoneticPr fontId="2"/>
  </si>
  <si>
    <t xml:space="preserve">Natural Material Cord     Cotton-100% </t>
    <phoneticPr fontId="2"/>
  </si>
  <si>
    <t xml:space="preserve">CO-Cotton 8 </t>
    <phoneticPr fontId="2"/>
  </si>
  <si>
    <t xml:space="preserve">3 sets ( USD 12/set) </t>
    <phoneticPr fontId="2"/>
  </si>
  <si>
    <t>CC for 3 articles above + for # 3843</t>
    <phoneticPr fontId="2"/>
  </si>
  <si>
    <t xml:space="preserve">DTM Water Melon </t>
    <phoneticPr fontId="2"/>
  </si>
  <si>
    <t>Early next week</t>
    <phoneticPr fontId="2"/>
  </si>
  <si>
    <t xml:space="preserve">I will check next week </t>
    <phoneticPr fontId="2"/>
  </si>
  <si>
    <t xml:space="preserve">5603 ( Heat Cut ) </t>
    <phoneticPr fontId="2"/>
  </si>
  <si>
    <t>C/# 59 Navy</t>
    <phoneticPr fontId="2"/>
  </si>
  <si>
    <t>C/# 1 White</t>
    <phoneticPr fontId="2"/>
  </si>
  <si>
    <t xml:space="preserve">C/# B2 French Blue </t>
    <phoneticPr fontId="2"/>
  </si>
  <si>
    <t xml:space="preserve">C/# B2 French Blue ?? </t>
    <phoneticPr fontId="2"/>
  </si>
  <si>
    <t>Bemberg Grosgrain Ribbons   Cupro-100%</t>
    <phoneticPr fontId="2"/>
  </si>
  <si>
    <t>2062200</t>
    <phoneticPr fontId="2"/>
  </si>
  <si>
    <t># 602 Sage</t>
    <phoneticPr fontId="2"/>
  </si>
  <si>
    <t>No Stock, ready on the 26th - 27th August</t>
    <phoneticPr fontId="2"/>
  </si>
  <si>
    <t>3007</t>
    <phoneticPr fontId="2"/>
  </si>
  <si>
    <r>
      <t xml:space="preserve">3007 </t>
    </r>
    <r>
      <rPr>
        <sz val="12"/>
        <color indexed="30"/>
        <rFont val="Arial"/>
        <family val="2"/>
      </rPr>
      <t xml:space="preserve">Trade Harvest </t>
    </r>
  </si>
  <si>
    <r>
      <t xml:space="preserve">3007 </t>
    </r>
    <r>
      <rPr>
        <sz val="12"/>
        <color indexed="30"/>
        <rFont val="Arial"/>
        <family val="2"/>
      </rPr>
      <t xml:space="preserve">LA </t>
    </r>
    <phoneticPr fontId="2"/>
  </si>
  <si>
    <t>2062600</t>
    <phoneticPr fontId="2"/>
  </si>
  <si>
    <t xml:space="preserve"># 35NT Peri Blue </t>
    <phoneticPr fontId="2"/>
  </si>
  <si>
    <t>顧客（松岡さん参考）</t>
    <rPh sb="0" eb="2">
      <t>コキャク</t>
    </rPh>
    <rPh sb="3" eb="5">
      <t>マツオカ</t>
    </rPh>
    <rPh sb="7" eb="9">
      <t>サンコウ</t>
    </rPh>
    <phoneticPr fontId="2"/>
  </si>
  <si>
    <t>出荷日</t>
    <rPh sb="0" eb="2">
      <t>シュッカ</t>
    </rPh>
    <rPh sb="2" eb="3">
      <t>ヒ</t>
    </rPh>
    <phoneticPr fontId="2"/>
  </si>
  <si>
    <t>Acrylic Cord   100% Acrylic</t>
    <phoneticPr fontId="2"/>
  </si>
  <si>
    <t>POSUN-0806-20</t>
    <phoneticPr fontId="2"/>
  </si>
  <si>
    <t># C66  Chalk</t>
    <phoneticPr fontId="2"/>
  </si>
  <si>
    <r>
      <t xml:space="preserve">8003 ( </t>
    </r>
    <r>
      <rPr>
        <sz val="12"/>
        <rFont val="ＭＳ Ｐゴシック"/>
        <family val="3"/>
        <charset val="128"/>
      </rPr>
      <t>貴社品番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リネン</t>
    </r>
    <r>
      <rPr>
        <sz val="12"/>
        <rFont val="Arial"/>
        <family val="2"/>
      </rPr>
      <t xml:space="preserve">157 ) </t>
    </r>
    <rPh sb="7" eb="9">
      <t>キシャ</t>
    </rPh>
    <rPh sb="9" eb="11">
      <t>ヒンバン</t>
    </rPh>
    <phoneticPr fontId="2"/>
  </si>
  <si>
    <t xml:space="preserve">1460m ( 1600yds = 1463m)  </t>
    <phoneticPr fontId="2"/>
  </si>
  <si>
    <t xml:space="preserve">460m ( 500yds = 457m)  </t>
    <phoneticPr fontId="2"/>
  </si>
  <si>
    <t xml:space="preserve">680m or 700m ? ( 750yds = 686m)  </t>
    <phoneticPr fontId="2"/>
  </si>
  <si>
    <t>OP398</t>
    <phoneticPr fontId="2"/>
  </si>
  <si>
    <t># 16</t>
    <phoneticPr fontId="2"/>
  </si>
  <si>
    <t># 0019</t>
    <phoneticPr fontId="2"/>
  </si>
  <si>
    <t>5658 with Cel Tip</t>
    <phoneticPr fontId="2"/>
  </si>
  <si>
    <t>61"(155cm)</t>
    <phoneticPr fontId="2"/>
  </si>
  <si>
    <t>5658 :C/# White x Clear Plastic Tip (15mm )</t>
    <phoneticPr fontId="2"/>
  </si>
  <si>
    <t>64"(162.5cm)</t>
    <phoneticPr fontId="2"/>
  </si>
  <si>
    <t>67"(170cm)</t>
    <phoneticPr fontId="2"/>
  </si>
  <si>
    <t>69"(175cm)</t>
    <phoneticPr fontId="2"/>
  </si>
  <si>
    <r>
      <t xml:space="preserve">226150 </t>
    </r>
    <r>
      <rPr>
        <sz val="12"/>
        <color indexed="30"/>
        <rFont val="Arial"/>
        <family val="2"/>
      </rPr>
      <t>ship to India</t>
    </r>
  </si>
  <si>
    <t>Current EXW(JAPAN) /m</t>
    <phoneticPr fontId="2"/>
  </si>
  <si>
    <t xml:space="preserve">Stock </t>
    <phoneticPr fontId="2"/>
  </si>
  <si>
    <t xml:space="preserve">No Stock, L/T is abt 1 month </t>
    <phoneticPr fontId="2"/>
  </si>
  <si>
    <t xml:space="preserve">Updated EXW(JAPAN) /m for furture orders </t>
    <phoneticPr fontId="2"/>
  </si>
  <si>
    <t>YONY</t>
    <phoneticPr fontId="2"/>
  </si>
  <si>
    <t xml:space="preserve">CO-CCR-01B ( M) </t>
    <phoneticPr fontId="2"/>
  </si>
  <si>
    <t># 50C Black</t>
    <phoneticPr fontId="2"/>
  </si>
  <si>
    <t xml:space="preserve"># 10 Apricot </t>
    <phoneticPr fontId="2"/>
  </si>
  <si>
    <t># C10 Desert Beige</t>
    <phoneticPr fontId="2"/>
  </si>
  <si>
    <t xml:space="preserve"># 34 Desert Beige </t>
    <phoneticPr fontId="2"/>
  </si>
  <si>
    <t># C54 Desert Beige</t>
    <phoneticPr fontId="2"/>
  </si>
  <si>
    <t xml:space="preserve">ARE YOU AM I </t>
    <phoneticPr fontId="2"/>
  </si>
  <si>
    <t>SG-9033</t>
    <phoneticPr fontId="2"/>
  </si>
  <si>
    <t>EXW(JAPAN) /m
Mill's Off White</t>
    <phoneticPr fontId="2"/>
  </si>
  <si>
    <t>Composition</t>
    <phoneticPr fontId="2"/>
  </si>
  <si>
    <t>Dye minimum/col</t>
    <phoneticPr fontId="2"/>
  </si>
  <si>
    <t>Upcharge for under dye min./col</t>
    <phoneticPr fontId="2"/>
  </si>
  <si>
    <t>OFF WHITE</t>
  </si>
  <si>
    <t xml:space="preserve">Art.# </t>
  </si>
  <si>
    <t>Put-up</t>
  </si>
  <si>
    <t xml:space="preserve">MOQ </t>
  </si>
  <si>
    <t xml:space="preserve">Mill's Colors </t>
  </si>
  <si>
    <t>USD / M</t>
  </si>
  <si>
    <t>(Mill's Off White )</t>
  </si>
  <si>
    <t>Dye minimum/col</t>
  </si>
  <si>
    <t>Upcharge for under dye min./col</t>
  </si>
  <si>
    <t>Stock as of 3/9/2020</t>
  </si>
  <si>
    <t>FLR-85019</t>
  </si>
  <si>
    <t>13.7m/roll</t>
  </si>
  <si>
    <t>2 rolls</t>
  </si>
  <si>
    <t>TBC</t>
  </si>
  <si>
    <t xml:space="preserve">7.5m </t>
  </si>
  <si>
    <t>FLR-85006</t>
  </si>
  <si>
    <t xml:space="preserve">4.5m </t>
  </si>
  <si>
    <t>abt 92cm x 13.7m</t>
    <phoneticPr fontId="2"/>
  </si>
  <si>
    <t>2 rolls</t>
    <phoneticPr fontId="2"/>
  </si>
  <si>
    <t>EXW JAPAN</t>
    <phoneticPr fontId="2"/>
  </si>
  <si>
    <t xml:space="preserve">EXW JAPAN   USD / M ( Mill's Off White ) </t>
    <phoneticPr fontId="2"/>
  </si>
  <si>
    <t>SG-9066</t>
    <phoneticPr fontId="2"/>
  </si>
  <si>
    <t>1 roll</t>
    <phoneticPr fontId="2"/>
  </si>
  <si>
    <t xml:space="preserve">98/100cm x 20m </t>
    <phoneticPr fontId="2"/>
  </si>
  <si>
    <t>C/# 63 Periwinkle</t>
    <phoneticPr fontId="2"/>
  </si>
  <si>
    <t># 62 Blue Paisley</t>
    <phoneticPr fontId="2"/>
  </si>
  <si>
    <r>
      <t>226279</t>
    </r>
    <r>
      <rPr>
        <sz val="12"/>
        <color indexed="30"/>
        <rFont val="Arial"/>
        <family val="2"/>
      </rPr>
      <t xml:space="preserve"> India</t>
    </r>
  </si>
  <si>
    <t xml:space="preserve"># KK Black </t>
    <phoneticPr fontId="2"/>
  </si>
  <si>
    <t xml:space="preserve"># ZZ Grey </t>
    <phoneticPr fontId="2"/>
  </si>
  <si>
    <t>It's Goode Clothing</t>
    <phoneticPr fontId="2"/>
  </si>
  <si>
    <t xml:space="preserve">Ciao Lucia </t>
    <phoneticPr fontId="2"/>
  </si>
  <si>
    <t>KYL-23421-1</t>
    <phoneticPr fontId="2"/>
  </si>
  <si>
    <t xml:space="preserve">CR2040 </t>
    <phoneticPr fontId="2"/>
  </si>
  <si>
    <t>92901</t>
    <phoneticPr fontId="2"/>
  </si>
  <si>
    <t>CR2040 ( 2440RE)</t>
    <phoneticPr fontId="2"/>
  </si>
  <si>
    <t>CO-RC3232</t>
    <phoneticPr fontId="2"/>
  </si>
  <si>
    <t>CO-RC3233</t>
    <phoneticPr fontId="2"/>
  </si>
  <si>
    <t>39284</t>
    <phoneticPr fontId="2"/>
  </si>
  <si>
    <t>S-1671</t>
    <phoneticPr fontId="2"/>
  </si>
  <si>
    <t>5557</t>
    <phoneticPr fontId="2"/>
  </si>
  <si>
    <t>122( 92 + Dye 30)</t>
    <phoneticPr fontId="2"/>
  </si>
  <si>
    <t>仕入単価</t>
    <rPh sb="0" eb="2">
      <t>シイレ</t>
    </rPh>
    <rPh sb="2" eb="4">
      <t>タンカ</t>
    </rPh>
    <phoneticPr fontId="2"/>
  </si>
  <si>
    <t xml:space="preserve">subtotal </t>
    <phoneticPr fontId="2"/>
  </si>
  <si>
    <t xml:space="preserve">International Freight </t>
    <phoneticPr fontId="2"/>
  </si>
  <si>
    <t xml:space="preserve">Collect </t>
    <phoneticPr fontId="2"/>
  </si>
  <si>
    <t>93261</t>
    <phoneticPr fontId="2"/>
  </si>
  <si>
    <t>186(156 + Dye 30)</t>
    <phoneticPr fontId="2"/>
  </si>
  <si>
    <t>81(51+Dye 30)</t>
    <phoneticPr fontId="2"/>
  </si>
  <si>
    <t>93272</t>
    <phoneticPr fontId="2"/>
  </si>
  <si>
    <t>93264</t>
    <phoneticPr fontId="2"/>
  </si>
  <si>
    <t>Off 36 / Black 78</t>
    <phoneticPr fontId="2"/>
  </si>
  <si>
    <t xml:space="preserve"># 4 Black </t>
    <phoneticPr fontId="2"/>
  </si>
  <si>
    <t xml:space="preserve"># 3 Black x White </t>
    <phoneticPr fontId="2"/>
  </si>
  <si>
    <t># 5 Navy x White</t>
    <phoneticPr fontId="2"/>
  </si>
  <si>
    <t>S-1674</t>
    <phoneticPr fontId="2"/>
  </si>
  <si>
    <t xml:space="preserve">Stock as of Nov. 4th </t>
    <phoneticPr fontId="2"/>
  </si>
  <si>
    <t xml:space="preserve">abt 360m in stock, L/T for the shortage is 1 - 1.5 months </t>
    <phoneticPr fontId="2"/>
  </si>
  <si>
    <t xml:space="preserve">abt 760m in stock, L/T for the shortage is 1 - 1.5 months </t>
    <phoneticPr fontId="2"/>
  </si>
  <si>
    <t>SPG-201105</t>
    <phoneticPr fontId="2"/>
  </si>
  <si>
    <t xml:space="preserve">Charge </t>
    <phoneticPr fontId="2"/>
  </si>
  <si>
    <t>S-1680</t>
    <phoneticPr fontId="2"/>
  </si>
  <si>
    <t>5558</t>
    <phoneticPr fontId="2"/>
  </si>
  <si>
    <t>KYL-Y2386</t>
    <phoneticPr fontId="2"/>
  </si>
  <si>
    <t>S-1681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</si>
  <si>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75.1</t>
    </r>
    <rPh sb="0" eb="2">
      <t>ツウジョウ</t>
    </rPh>
    <rPh sb="2" eb="4">
      <t>タンカ</t>
    </rPh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</si>
  <si>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 xml:space="preserve">630 </t>
    </r>
    <r>
      <rPr>
        <sz val="12"/>
        <rFont val="ＭＳ Ｐゴシック"/>
        <family val="3"/>
        <charset val="128"/>
      </rPr>
      <t>特価</t>
    </r>
    <r>
      <rPr>
        <sz val="12"/>
        <rFont val="Arial"/>
        <family val="2"/>
      </rPr>
      <t>545</t>
    </r>
    <rPh sb="0" eb="2">
      <t>ツウジョウ</t>
    </rPh>
    <rPh sb="6" eb="8">
      <t>トッカ</t>
    </rPh>
    <phoneticPr fontId="2"/>
  </si>
  <si>
    <t xml:space="preserve">End of December </t>
    <phoneticPr fontId="2"/>
  </si>
  <si>
    <t>S-1692</t>
    <phoneticPr fontId="2"/>
  </si>
  <si>
    <t>RD-201112</t>
    <phoneticPr fontId="2"/>
  </si>
  <si>
    <t>T7500</t>
    <phoneticPr fontId="2"/>
  </si>
  <si>
    <t>SUPF21-SF-001</t>
    <phoneticPr fontId="2"/>
  </si>
  <si>
    <t># B1</t>
    <phoneticPr fontId="2"/>
  </si>
  <si>
    <t># P2</t>
    <phoneticPr fontId="2"/>
  </si>
  <si>
    <t>出荷希望日</t>
    <rPh sb="0" eb="2">
      <t>シュッカ</t>
    </rPh>
    <rPh sb="2" eb="4">
      <t>キボウ</t>
    </rPh>
    <rPh sb="4" eb="5">
      <t>ヒ</t>
    </rPh>
    <phoneticPr fontId="2"/>
  </si>
  <si>
    <t>本日出荷でお願いします。</t>
    <rPh sb="0" eb="2">
      <t>ホンジツ</t>
    </rPh>
    <rPh sb="2" eb="4">
      <t>シュッカ</t>
    </rPh>
    <rPh sb="6" eb="7">
      <t>ネガ</t>
    </rPh>
    <phoneticPr fontId="2"/>
  </si>
  <si>
    <t>準備出来次第（納期確定次第、ご連絡ください）</t>
    <rPh sb="0" eb="2">
      <t>ジュンビ</t>
    </rPh>
    <rPh sb="2" eb="6">
      <t>デキシダイ</t>
    </rPh>
    <rPh sb="7" eb="9">
      <t>ノウキ</t>
    </rPh>
    <rPh sb="9" eb="11">
      <t>カクテイ</t>
    </rPh>
    <rPh sb="11" eb="13">
      <t>シダイ</t>
    </rPh>
    <rPh sb="15" eb="17">
      <t>レンラク</t>
    </rPh>
    <phoneticPr fontId="2"/>
  </si>
  <si>
    <t>Nice Fashion Enterprise Limited (Monique Lhuillier )</t>
    <phoneticPr fontId="2"/>
  </si>
  <si>
    <t>FB201106</t>
    <phoneticPr fontId="2"/>
  </si>
  <si>
    <t>?</t>
    <phoneticPr fontId="2"/>
  </si>
  <si>
    <t>S-1695</t>
    <phoneticPr fontId="2"/>
  </si>
  <si>
    <t># 9000</t>
    <phoneticPr fontId="2"/>
  </si>
  <si>
    <t xml:space="preserve"># 911 Brown </t>
    <phoneticPr fontId="2"/>
  </si>
  <si>
    <t>51613</t>
    <phoneticPr fontId="2"/>
  </si>
  <si>
    <t>1104</t>
    <phoneticPr fontId="2"/>
  </si>
  <si>
    <t xml:space="preserve">850(800+IFC 50) </t>
    <phoneticPr fontId="2"/>
  </si>
  <si>
    <t>POSUN-1118-20</t>
    <phoneticPr fontId="2"/>
  </si>
  <si>
    <t>Late January, 2021</t>
    <phoneticPr fontId="2"/>
  </si>
  <si>
    <t>S-1693</t>
    <phoneticPr fontId="2"/>
  </si>
  <si>
    <t>1026</t>
    <phoneticPr fontId="2"/>
  </si>
  <si>
    <t xml:space="preserve"># 47 </t>
    <phoneticPr fontId="2"/>
  </si>
  <si>
    <t># 46</t>
    <phoneticPr fontId="2"/>
  </si>
  <si>
    <t>51613 &amp; 1026</t>
    <phoneticPr fontId="2"/>
  </si>
  <si>
    <t>S-1708</t>
    <phoneticPr fontId="2"/>
  </si>
  <si>
    <t>94287</t>
    <phoneticPr fontId="2"/>
  </si>
  <si>
    <t>S-1716</t>
    <phoneticPr fontId="2"/>
  </si>
  <si>
    <t>already shipped out on the 17th Nov.</t>
    <phoneticPr fontId="2"/>
  </si>
  <si>
    <t xml:space="preserve">Mid December </t>
    <phoneticPr fontId="2"/>
  </si>
  <si>
    <r>
      <t xml:space="preserve">226449 </t>
    </r>
    <r>
      <rPr>
        <sz val="12"/>
        <color indexed="10"/>
        <rFont val="Arial"/>
        <family val="2"/>
      </rPr>
      <t>LA</t>
    </r>
    <phoneticPr fontId="2"/>
  </si>
  <si>
    <t>S-1721</t>
    <phoneticPr fontId="2"/>
  </si>
  <si>
    <t>2747 / 2766</t>
    <phoneticPr fontId="2"/>
  </si>
  <si>
    <t>226449 LA</t>
    <phoneticPr fontId="2"/>
  </si>
  <si>
    <t>KT-201201</t>
    <phoneticPr fontId="2"/>
  </si>
  <si>
    <t xml:space="preserve"># 2 Rose </t>
  </si>
  <si>
    <t>2097200</t>
    <phoneticPr fontId="2"/>
  </si>
  <si>
    <t>2097000</t>
    <phoneticPr fontId="2"/>
  </si>
  <si>
    <t>S-1731</t>
    <phoneticPr fontId="2"/>
  </si>
  <si>
    <t>0922</t>
    <phoneticPr fontId="2"/>
  </si>
  <si>
    <t>S-1718</t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</si>
  <si>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 xml:space="preserve">25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21.43</t>
    </r>
    <rPh sb="0" eb="2">
      <t>ツウジョウ</t>
    </rPh>
    <rPh sb="5" eb="7">
      <t>ボウエキ</t>
    </rPh>
    <phoneticPr fontId="2"/>
  </si>
  <si>
    <t>39287</t>
    <phoneticPr fontId="2"/>
  </si>
  <si>
    <t>S-1736</t>
    <phoneticPr fontId="2"/>
  </si>
  <si>
    <t>S-1741</t>
    <phoneticPr fontId="2"/>
  </si>
  <si>
    <r>
      <t xml:space="preserve">226517 </t>
    </r>
    <r>
      <rPr>
        <sz val="12"/>
        <color indexed="10"/>
        <rFont val="Arial"/>
        <family val="2"/>
      </rPr>
      <t>LA</t>
    </r>
    <phoneticPr fontId="2"/>
  </si>
  <si>
    <t>226517 LA</t>
    <phoneticPr fontId="2"/>
  </si>
  <si>
    <t># 60 Navy</t>
    <phoneticPr fontId="2"/>
  </si>
  <si>
    <t># 3 Red</t>
    <phoneticPr fontId="2"/>
  </si>
  <si>
    <t># 515 Teal</t>
    <phoneticPr fontId="2"/>
  </si>
  <si>
    <t>TC0079</t>
    <phoneticPr fontId="2"/>
  </si>
  <si>
    <t>FLR-55260</t>
    <phoneticPr fontId="2"/>
  </si>
  <si>
    <t>93(68 + Dye 25)</t>
    <phoneticPr fontId="2"/>
  </si>
  <si>
    <t>FLR-55253</t>
    <phoneticPr fontId="2"/>
  </si>
  <si>
    <t>170(145+Dye 25)</t>
    <phoneticPr fontId="2"/>
  </si>
  <si>
    <t>95001</t>
    <phoneticPr fontId="2"/>
  </si>
  <si>
    <t>S-1763</t>
    <phoneticPr fontId="2"/>
  </si>
  <si>
    <t>S-1764</t>
    <phoneticPr fontId="2"/>
  </si>
  <si>
    <t>ALC-201228</t>
    <phoneticPr fontId="2"/>
  </si>
  <si>
    <t xml:space="preserve">Natural ( PFD ) </t>
    <phoneticPr fontId="2"/>
  </si>
  <si>
    <t>BROCK122820-100</t>
    <phoneticPr fontId="2"/>
  </si>
  <si>
    <t>0962</t>
    <phoneticPr fontId="2"/>
  </si>
  <si>
    <t>39288</t>
    <phoneticPr fontId="2"/>
  </si>
  <si>
    <t>GC-210105</t>
    <phoneticPr fontId="2"/>
  </si>
  <si>
    <t>95206</t>
    <phoneticPr fontId="2"/>
  </si>
  <si>
    <t>KYL-23273</t>
    <phoneticPr fontId="2"/>
  </si>
  <si>
    <t>80(50 + Dye 30)</t>
    <phoneticPr fontId="2"/>
  </si>
  <si>
    <t>S&amp;B-210105</t>
    <phoneticPr fontId="2"/>
  </si>
  <si>
    <t>UPS Freight Fee for S-1492</t>
    <phoneticPr fontId="2"/>
  </si>
  <si>
    <t>69(39+Dye 30)</t>
    <phoneticPr fontId="2"/>
  </si>
  <si>
    <t>FLR-54879</t>
    <phoneticPr fontId="2"/>
  </si>
  <si>
    <t xml:space="preserve">1 roll ( 14m /roll ) </t>
    <phoneticPr fontId="2"/>
  </si>
  <si>
    <t>EXW JAPAN /m</t>
    <phoneticPr fontId="2"/>
  </si>
  <si>
    <t>Stock as of 6th Jan, 2021</t>
    <phoneticPr fontId="2"/>
  </si>
  <si>
    <t xml:space="preserve">230m </t>
    <phoneticPr fontId="2"/>
  </si>
  <si>
    <t>95253</t>
    <phoneticPr fontId="2"/>
  </si>
  <si>
    <t>211(171 + Dye 40)</t>
    <phoneticPr fontId="2"/>
  </si>
  <si>
    <t>8558</t>
    <phoneticPr fontId="2"/>
  </si>
  <si>
    <t>返金処理 / invoice 破棄</t>
    <rPh sb="0" eb="2">
      <t>ヘンキン</t>
    </rPh>
    <rPh sb="2" eb="4">
      <t>ショリ</t>
    </rPh>
    <rPh sb="15" eb="17">
      <t>ハキ</t>
    </rPh>
    <phoneticPr fontId="2"/>
  </si>
  <si>
    <t>51639</t>
    <phoneticPr fontId="2"/>
  </si>
  <si>
    <t>149(119 + Dye 30)</t>
    <phoneticPr fontId="2"/>
  </si>
  <si>
    <t>146(116 + Dye 30)</t>
    <phoneticPr fontId="2"/>
  </si>
  <si>
    <t xml:space="preserve">Mill's Optic White  </t>
    <phoneticPr fontId="2"/>
  </si>
  <si>
    <t>FA21-SF-001</t>
    <phoneticPr fontId="2"/>
  </si>
  <si>
    <t xml:space="preserve"># C21 Dark Lavender </t>
    <phoneticPr fontId="2"/>
  </si>
  <si>
    <t xml:space="preserve"># 8 Tomato Cream </t>
    <phoneticPr fontId="2"/>
  </si>
  <si>
    <t># 47 Cashew</t>
    <phoneticPr fontId="2"/>
  </si>
  <si>
    <t># 31 Ganache</t>
    <phoneticPr fontId="2"/>
  </si>
  <si>
    <t xml:space="preserve"># 30 Ink </t>
    <phoneticPr fontId="2"/>
  </si>
  <si>
    <t># P1 Paris Pink</t>
    <phoneticPr fontId="2"/>
  </si>
  <si>
    <r>
      <t xml:space="preserve">226588 </t>
    </r>
    <r>
      <rPr>
        <sz val="12"/>
        <color indexed="10"/>
        <rFont val="Arial"/>
        <family val="2"/>
      </rPr>
      <t>LA</t>
    </r>
    <phoneticPr fontId="2"/>
  </si>
  <si>
    <t>226588 LA</t>
    <phoneticPr fontId="2"/>
  </si>
  <si>
    <t>CL21-128</t>
    <phoneticPr fontId="2"/>
  </si>
  <si>
    <t xml:space="preserve"># 27 Blush Pink </t>
    <phoneticPr fontId="2"/>
  </si>
  <si>
    <t>CL21-129</t>
    <phoneticPr fontId="2"/>
  </si>
  <si>
    <t>5603 with Cel Tip</t>
    <phoneticPr fontId="2"/>
  </si>
  <si>
    <t>5603 :C/# 59 Navy x Clear Plastic Tip (15mm )</t>
    <phoneticPr fontId="2"/>
  </si>
  <si>
    <t>5603 = AC3222A</t>
    <phoneticPr fontId="2"/>
  </si>
  <si>
    <r>
      <t>33.5"(85cm)=79+65=</t>
    </r>
    <r>
      <rPr>
        <b/>
        <sz val="12"/>
        <rFont val="Arial"/>
        <family val="2"/>
      </rPr>
      <t xml:space="preserve">144pcs in total </t>
    </r>
    <phoneticPr fontId="2"/>
  </si>
  <si>
    <r>
      <t>36"(91.5cm)=132+120=</t>
    </r>
    <r>
      <rPr>
        <b/>
        <sz val="12"/>
        <rFont val="Arial"/>
        <family val="2"/>
      </rPr>
      <t xml:space="preserve">252pcs in total </t>
    </r>
    <phoneticPr fontId="2"/>
  </si>
  <si>
    <r>
      <t>38"(96.5cm)=25+25=</t>
    </r>
    <r>
      <rPr>
        <b/>
        <sz val="12"/>
        <rFont val="Arial"/>
        <family val="2"/>
      </rPr>
      <t>50pcs in total</t>
    </r>
    <r>
      <rPr>
        <sz val="12"/>
        <rFont val="Arial"/>
        <family val="2"/>
      </rPr>
      <t xml:space="preserve"> </t>
    </r>
    <phoneticPr fontId="2"/>
  </si>
  <si>
    <r>
      <t>40"(101.5cm)=13+25=</t>
    </r>
    <r>
      <rPr>
        <b/>
        <sz val="12"/>
        <rFont val="Arial"/>
        <family val="2"/>
      </rPr>
      <t>38pcs in total</t>
    </r>
    <r>
      <rPr>
        <sz val="12"/>
        <rFont val="Arial"/>
        <family val="2"/>
      </rPr>
      <t xml:space="preserve"> </t>
    </r>
    <phoneticPr fontId="2"/>
  </si>
  <si>
    <t xml:space="preserve">Cord x Tip </t>
    <phoneticPr fontId="2"/>
  </si>
  <si>
    <t>PO-00057</t>
    <phoneticPr fontId="2"/>
  </si>
  <si>
    <t>KYL-23419</t>
    <phoneticPr fontId="2"/>
  </si>
  <si>
    <t>KYL-23421</t>
    <phoneticPr fontId="2"/>
  </si>
  <si>
    <t>28723</t>
    <phoneticPr fontId="2"/>
  </si>
  <si>
    <t xml:space="preserve">5603 Heat Cut </t>
    <phoneticPr fontId="2"/>
  </si>
  <si>
    <t>5603 :C/# 59 Navy</t>
    <phoneticPr fontId="2"/>
  </si>
  <si>
    <r>
      <t xml:space="preserve">5608 with </t>
    </r>
    <r>
      <rPr>
        <sz val="11"/>
        <rFont val="Arial  "/>
        <family val="2"/>
      </rPr>
      <t>soft shell tip</t>
    </r>
    <phoneticPr fontId="2"/>
  </si>
  <si>
    <t>58" ( abt 147cm)</t>
    <phoneticPr fontId="2"/>
  </si>
  <si>
    <t>Black soft shell tip</t>
    <phoneticPr fontId="2"/>
  </si>
  <si>
    <t>CL21-129-total</t>
    <phoneticPr fontId="2"/>
  </si>
  <si>
    <t>5603 :C/# 1 White</t>
    <phoneticPr fontId="2"/>
  </si>
  <si>
    <r>
      <t xml:space="preserve">CL21-128 </t>
    </r>
    <r>
      <rPr>
        <sz val="12"/>
        <color indexed="10"/>
        <rFont val="Arial"/>
        <family val="2"/>
      </rPr>
      <t xml:space="preserve">South Coast </t>
    </r>
  </si>
  <si>
    <r>
      <t xml:space="preserve">CL21-129 </t>
    </r>
    <r>
      <rPr>
        <sz val="12"/>
        <color indexed="10"/>
        <rFont val="Arial"/>
        <family val="2"/>
      </rPr>
      <t>Zipper Depot</t>
    </r>
    <phoneticPr fontId="2"/>
  </si>
  <si>
    <r>
      <t xml:space="preserve">SCL21-100 </t>
    </r>
    <r>
      <rPr>
        <sz val="12"/>
        <color indexed="10"/>
        <rFont val="Arial"/>
        <family val="2"/>
      </rPr>
      <t>Zipper Depot</t>
    </r>
    <phoneticPr fontId="2"/>
  </si>
  <si>
    <r>
      <t xml:space="preserve">BKRECUT21-232021 </t>
    </r>
    <r>
      <rPr>
        <sz val="12"/>
        <color indexed="10"/>
        <rFont val="Arial"/>
        <family val="2"/>
      </rPr>
      <t xml:space="preserve">Zipper Depot </t>
    </r>
    <phoneticPr fontId="2"/>
  </si>
  <si>
    <t>Art. No.</t>
    <phoneticPr fontId="2"/>
  </si>
  <si>
    <t>Book No.</t>
    <phoneticPr fontId="2"/>
  </si>
  <si>
    <t>5356</t>
  </si>
  <si>
    <t>Art. No.</t>
  </si>
  <si>
    <r>
      <t xml:space="preserve">CL21-128 </t>
    </r>
    <r>
      <rPr>
        <sz val="12"/>
        <color indexed="10"/>
        <rFont val="Arial"/>
        <family val="2"/>
      </rPr>
      <t xml:space="preserve">South Coast </t>
    </r>
    <phoneticPr fontId="2"/>
  </si>
  <si>
    <t>the 9th Feb</t>
    <phoneticPr fontId="2"/>
  </si>
  <si>
    <t>the 12th Feb</t>
    <phoneticPr fontId="2"/>
  </si>
  <si>
    <t>Ready</t>
    <phoneticPr fontId="2"/>
  </si>
  <si>
    <t xml:space="preserve">BKRECUT21-232021 </t>
    <phoneticPr fontId="2"/>
  </si>
  <si>
    <t xml:space="preserve">SCL21-100 </t>
    <phoneticPr fontId="2"/>
  </si>
  <si>
    <t>28729</t>
    <phoneticPr fontId="2"/>
  </si>
  <si>
    <t># 15</t>
    <phoneticPr fontId="2"/>
  </si>
  <si>
    <t xml:space="preserve">Acrylic Cord Heat Cut </t>
    <phoneticPr fontId="2"/>
  </si>
  <si>
    <r>
      <t xml:space="preserve">MA21-1001 </t>
    </r>
    <r>
      <rPr>
        <sz val="12"/>
        <color indexed="10"/>
        <rFont val="Arial"/>
        <family val="2"/>
      </rPr>
      <t>Zipper Depot</t>
    </r>
    <phoneticPr fontId="2"/>
  </si>
  <si>
    <t>5603 :C/# 63 Periwinkle</t>
    <phoneticPr fontId="2"/>
  </si>
  <si>
    <t xml:space="preserve">2117800 </t>
    <phoneticPr fontId="2"/>
  </si>
  <si>
    <t xml:space="preserve"># 82 </t>
    <phoneticPr fontId="2"/>
  </si>
  <si>
    <t>5714</t>
    <phoneticPr fontId="2"/>
  </si>
  <si>
    <t>28732</t>
    <phoneticPr fontId="2"/>
  </si>
  <si>
    <t>In Stock</t>
    <phoneticPr fontId="2"/>
  </si>
  <si>
    <t xml:space="preserve">Mid April </t>
    <phoneticPr fontId="2"/>
  </si>
  <si>
    <t>39291</t>
    <phoneticPr fontId="2"/>
  </si>
  <si>
    <t xml:space="preserve">MA21-1001 </t>
    <phoneticPr fontId="2"/>
  </si>
  <si>
    <t>the 16th Feb</t>
    <phoneticPr fontId="2"/>
  </si>
  <si>
    <t>the 19th Feb</t>
    <phoneticPr fontId="2"/>
  </si>
  <si>
    <t>the 18th - 19th Feb</t>
    <phoneticPr fontId="2"/>
  </si>
  <si>
    <t>POSUN-0217-21</t>
    <phoneticPr fontId="2"/>
  </si>
  <si>
    <t xml:space="preserve"># P2 </t>
    <phoneticPr fontId="2"/>
  </si>
  <si>
    <t>96642</t>
    <phoneticPr fontId="2"/>
  </si>
  <si>
    <t xml:space="preserve">only 10m in stock, currently checking the L/T </t>
    <phoneticPr fontId="2"/>
  </si>
  <si>
    <t>96644</t>
    <phoneticPr fontId="2"/>
  </si>
  <si>
    <t>Art No.</t>
    <phoneticPr fontId="2"/>
  </si>
  <si>
    <r>
      <t xml:space="preserve">SIZE
</t>
    </r>
    <r>
      <rPr>
        <b/>
        <sz val="11"/>
        <rFont val="ＭＳ Ｐゴシック"/>
        <family val="3"/>
        <charset val="128"/>
      </rPr>
      <t>（</t>
    </r>
    <r>
      <rPr>
        <b/>
        <sz val="11"/>
        <rFont val="Arial  "/>
        <family val="2"/>
      </rPr>
      <t>cm×m</t>
    </r>
    <r>
      <rPr>
        <b/>
        <sz val="11"/>
        <rFont val="ＭＳ Ｐゴシック"/>
        <family val="3"/>
        <charset val="128"/>
      </rPr>
      <t>）</t>
    </r>
    <phoneticPr fontId="2"/>
  </si>
  <si>
    <t>Bulk Min.</t>
    <phoneticPr fontId="2"/>
  </si>
  <si>
    <t>NOTE</t>
    <phoneticPr fontId="2"/>
  </si>
  <si>
    <t>130×50</t>
  </si>
  <si>
    <r>
      <t>POLYESTER 100</t>
    </r>
    <r>
      <rPr>
        <sz val="8"/>
        <rFont val="ＭＳ Ｐゴシック"/>
        <family val="3"/>
        <charset val="128"/>
      </rPr>
      <t>％</t>
    </r>
  </si>
  <si>
    <t>500m/color</t>
    <phoneticPr fontId="2"/>
  </si>
  <si>
    <t>148×46</t>
  </si>
  <si>
    <t>460m/color</t>
    <phoneticPr fontId="2"/>
  </si>
  <si>
    <t>Nylon Cords  Nylon-100%</t>
    <phoneticPr fontId="2"/>
  </si>
  <si>
    <t># WW</t>
    <phoneticPr fontId="2"/>
  </si>
  <si>
    <t>5648 with Metal Tip</t>
    <phoneticPr fontId="2"/>
  </si>
  <si>
    <t>Acrylic Cord with Metal Tip</t>
    <phoneticPr fontId="2"/>
  </si>
  <si>
    <t>65"(165cm)</t>
    <phoneticPr fontId="2"/>
  </si>
  <si>
    <t>5648 :C/# P1 x Bullet Metal Tip (Normal) Silver</t>
    <phoneticPr fontId="2"/>
  </si>
  <si>
    <t>CO-CCR-01B</t>
    <phoneticPr fontId="2"/>
  </si>
  <si>
    <t># 01C</t>
    <phoneticPr fontId="2"/>
  </si>
  <si>
    <t># 02C</t>
    <phoneticPr fontId="2"/>
  </si>
  <si>
    <t>Note</t>
    <phoneticPr fontId="2"/>
  </si>
  <si>
    <t xml:space="preserve">US$ 7/combination for below MOQ </t>
    <phoneticPr fontId="2"/>
  </si>
  <si>
    <t>51656</t>
    <phoneticPr fontId="2"/>
  </si>
  <si>
    <t xml:space="preserve">Bleached </t>
    <phoneticPr fontId="2"/>
  </si>
  <si>
    <t>無償サンプル</t>
    <rPh sb="0" eb="2">
      <t>ムショウ</t>
    </rPh>
    <phoneticPr fontId="2"/>
  </si>
  <si>
    <t xml:space="preserve">Early next week </t>
    <phoneticPr fontId="2"/>
  </si>
  <si>
    <t xml:space="preserve">End of March </t>
    <phoneticPr fontId="2"/>
  </si>
  <si>
    <t>206</t>
    <phoneticPr fontId="2"/>
  </si>
  <si>
    <t>OL-6089-1</t>
    <phoneticPr fontId="2"/>
  </si>
  <si>
    <t>Stock as of 4th March, 2021</t>
    <phoneticPr fontId="2"/>
  </si>
  <si>
    <t xml:space="preserve">500m </t>
    <phoneticPr fontId="2"/>
  </si>
  <si>
    <r>
      <t xml:space="preserve">226674 </t>
    </r>
    <r>
      <rPr>
        <sz val="12"/>
        <color indexed="10"/>
        <rFont val="Arial"/>
        <family val="2"/>
      </rPr>
      <t>LA</t>
    </r>
    <phoneticPr fontId="2"/>
  </si>
  <si>
    <t>51665</t>
    <phoneticPr fontId="2"/>
  </si>
  <si>
    <t xml:space="preserve">226674 </t>
    <phoneticPr fontId="2"/>
  </si>
  <si>
    <t>83(55 + Dye 28)</t>
    <phoneticPr fontId="2"/>
  </si>
  <si>
    <t>2124300</t>
    <phoneticPr fontId="2"/>
  </si>
  <si>
    <t xml:space="preserve">No Stock, ready early April </t>
    <phoneticPr fontId="2"/>
  </si>
  <si>
    <t>5603 :C/# x Clear Plastic Tip (15mm )</t>
    <phoneticPr fontId="2"/>
  </si>
  <si>
    <t>5603 with Clear Plastic Tip (15mm )</t>
    <phoneticPr fontId="2"/>
  </si>
  <si>
    <t>1364</t>
    <phoneticPr fontId="2"/>
  </si>
  <si>
    <t>CL-210305</t>
    <phoneticPr fontId="2"/>
  </si>
  <si>
    <t>Handling Fee for below US$2000/order</t>
    <phoneticPr fontId="2"/>
  </si>
  <si>
    <t>JONF21/00009</t>
    <phoneticPr fontId="2"/>
  </si>
  <si>
    <t>定番カラー単価</t>
    <rPh sb="5" eb="7">
      <t>タンカ</t>
    </rPh>
    <phoneticPr fontId="2"/>
  </si>
  <si>
    <t xml:space="preserve">Prepaid </t>
    <phoneticPr fontId="2"/>
  </si>
  <si>
    <t>28762</t>
    <phoneticPr fontId="2"/>
  </si>
  <si>
    <r>
      <t xml:space="preserve">CLASSICS21 - </t>
    </r>
    <r>
      <rPr>
        <sz val="12"/>
        <color indexed="10"/>
        <rFont val="Arial"/>
        <family val="2"/>
      </rPr>
      <t xml:space="preserve">Golden Stitching </t>
    </r>
    <phoneticPr fontId="2"/>
  </si>
  <si>
    <t>5603 :C/# 1 white x Clear Plastic Tip (15mm )</t>
    <phoneticPr fontId="2"/>
  </si>
  <si>
    <t>5603 :C/# 63 Periwinkle x Clear Plastic Tip (15mm )</t>
    <phoneticPr fontId="2"/>
  </si>
  <si>
    <t xml:space="preserve"># 35 NT Periwinkle </t>
    <phoneticPr fontId="2"/>
  </si>
  <si>
    <t># 47 NT Navy</t>
    <phoneticPr fontId="2"/>
  </si>
  <si>
    <t>1364-2</t>
    <phoneticPr fontId="2"/>
  </si>
  <si>
    <t xml:space="preserve">Handling Fee </t>
    <phoneticPr fontId="2"/>
  </si>
  <si>
    <t>Polyester Cord   100% Polyester Heat Cut</t>
    <phoneticPr fontId="2"/>
  </si>
  <si>
    <t xml:space="preserve">5654 Heat Cut </t>
    <phoneticPr fontId="2"/>
  </si>
  <si>
    <t>30.5"(77.5cm)</t>
    <phoneticPr fontId="2"/>
  </si>
  <si>
    <t>32"(81.5cm)</t>
    <phoneticPr fontId="2"/>
  </si>
  <si>
    <t>35"(89cm)</t>
    <phoneticPr fontId="2"/>
  </si>
  <si>
    <t>ヒートカット</t>
    <phoneticPr fontId="2"/>
  </si>
  <si>
    <t>コード長さ</t>
    <rPh sb="3" eb="4">
      <t>ナガ</t>
    </rPh>
    <phoneticPr fontId="2"/>
  </si>
  <si>
    <t>Mill's Standard colors (exclude Metallic colors)</t>
    <phoneticPr fontId="2"/>
  </si>
  <si>
    <t xml:space="preserve">S-03 ( Corded Loop with Mayfair 5000 ) </t>
    <phoneticPr fontId="2"/>
  </si>
  <si>
    <t xml:space="preserve">S-05 ( Corded Loop with Mayfair 5000 ) </t>
    <phoneticPr fontId="2"/>
  </si>
  <si>
    <t xml:space="preserve">S-07 ( Corded Loop with Mayfair 5000 ) </t>
    <phoneticPr fontId="2"/>
  </si>
  <si>
    <t xml:space="preserve">2nd - 5th April </t>
    <phoneticPr fontId="2"/>
  </si>
  <si>
    <t xml:space="preserve">S-09 ( Corded Loop with Mayfair 5000 ) </t>
    <phoneticPr fontId="2"/>
  </si>
  <si>
    <t xml:space="preserve">S-11 ( Corded Loop with Mayfair 5000 ) </t>
    <phoneticPr fontId="2"/>
  </si>
  <si>
    <t xml:space="preserve">S-15 ( Corded Loop with Mayfair 5000 ) </t>
    <phoneticPr fontId="2"/>
  </si>
  <si>
    <t>51698</t>
    <phoneticPr fontId="2"/>
  </si>
  <si>
    <t xml:space="preserve"># 73 Blush </t>
    <phoneticPr fontId="2"/>
  </si>
  <si>
    <t xml:space="preserve">Synthetic Leather Loop Cord </t>
    <phoneticPr fontId="2"/>
  </si>
  <si>
    <t># 5029</t>
    <phoneticPr fontId="2"/>
  </si>
  <si>
    <t># 5034</t>
    <phoneticPr fontId="2"/>
  </si>
  <si>
    <t>HOL21-SF-001</t>
    <phoneticPr fontId="2"/>
  </si>
  <si>
    <t xml:space="preserve"># 5014 </t>
    <phoneticPr fontId="2"/>
  </si>
  <si>
    <t># 5972</t>
    <phoneticPr fontId="2"/>
  </si>
  <si>
    <t xml:space="preserve">30m /roll </t>
    <phoneticPr fontId="2"/>
  </si>
  <si>
    <t>Description</t>
    <phoneticPr fontId="2"/>
  </si>
  <si>
    <t>YDT-5391</t>
    <phoneticPr fontId="2"/>
  </si>
  <si>
    <t>10m in Mill's Off White</t>
    <phoneticPr fontId="2"/>
  </si>
  <si>
    <t>28781</t>
    <phoneticPr fontId="2"/>
  </si>
  <si>
    <t>97372</t>
    <phoneticPr fontId="2"/>
  </si>
  <si>
    <t># 14 Grey</t>
    <phoneticPr fontId="2"/>
  </si>
  <si>
    <t>CLASSICS-329</t>
    <phoneticPr fontId="2"/>
  </si>
  <si>
    <t xml:space="preserve"># 27 Bright Pink </t>
    <phoneticPr fontId="2"/>
  </si>
  <si>
    <t>97493</t>
    <phoneticPr fontId="2"/>
  </si>
  <si>
    <r>
      <t>97(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67 +30)</t>
    </r>
    <phoneticPr fontId="2"/>
  </si>
  <si>
    <t>97506</t>
    <phoneticPr fontId="2"/>
  </si>
  <si>
    <t xml:space="preserve">Ready at the end of April </t>
    <phoneticPr fontId="2"/>
  </si>
  <si>
    <t>5818</t>
    <phoneticPr fontId="2"/>
  </si>
  <si>
    <r>
      <rPr>
        <sz val="10"/>
        <rFont val="ＭＳ Ｐゴシック"/>
        <family val="3"/>
        <charset val="128"/>
      </rPr>
      <t>オフ</t>
    </r>
    <r>
      <rPr>
        <sz val="10"/>
        <rFont val="Arial"/>
        <family val="2"/>
      </rPr>
      <t>71 / Black 119</t>
    </r>
    <phoneticPr fontId="2"/>
  </si>
  <si>
    <t>KYL-8494-1</t>
    <phoneticPr fontId="2"/>
  </si>
  <si>
    <r>
      <t>120(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90 +30)</t>
    </r>
    <phoneticPr fontId="2"/>
  </si>
  <si>
    <t>KYL-23631</t>
    <phoneticPr fontId="2"/>
  </si>
  <si>
    <r>
      <t>137(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107 +30)</t>
    </r>
    <phoneticPr fontId="2"/>
  </si>
  <si>
    <t>KYL-23396</t>
    <phoneticPr fontId="2"/>
  </si>
  <si>
    <r>
      <t>218(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178 +40)</t>
    </r>
    <phoneticPr fontId="2"/>
  </si>
  <si>
    <t>FWL-22416</t>
    <phoneticPr fontId="2"/>
  </si>
  <si>
    <r>
      <t>94(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24 +70)</t>
    </r>
    <phoneticPr fontId="2"/>
  </si>
  <si>
    <t>FWL-21561</t>
    <phoneticPr fontId="2"/>
  </si>
  <si>
    <r>
      <t>101(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31 +70)</t>
    </r>
    <phoneticPr fontId="2"/>
  </si>
  <si>
    <r>
      <t>102(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32 +70)</t>
    </r>
    <phoneticPr fontId="2"/>
  </si>
  <si>
    <t>FWL-21973</t>
    <phoneticPr fontId="2"/>
  </si>
  <si>
    <r>
      <t>92(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22 +70)</t>
    </r>
    <phoneticPr fontId="2"/>
  </si>
  <si>
    <r>
      <t>97(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27 +70)</t>
    </r>
    <phoneticPr fontId="2"/>
  </si>
  <si>
    <t>FWL-22415</t>
    <phoneticPr fontId="2"/>
  </si>
  <si>
    <t>FWL-2394</t>
    <phoneticPr fontId="2"/>
  </si>
  <si>
    <r>
      <t>107(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37 +70)</t>
    </r>
    <phoneticPr fontId="2"/>
  </si>
  <si>
    <t>FWL-3252</t>
    <phoneticPr fontId="2"/>
  </si>
  <si>
    <t>FWL-23233</t>
    <phoneticPr fontId="2"/>
  </si>
  <si>
    <r>
      <t>112(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42 +70)</t>
    </r>
    <phoneticPr fontId="2"/>
  </si>
  <si>
    <t>FWL-23132</t>
    <phoneticPr fontId="2"/>
  </si>
  <si>
    <r>
      <t>114(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44 +70)</t>
    </r>
    <phoneticPr fontId="2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</si>
  <si>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57  Black 99</t>
    </r>
    <phoneticPr fontId="2"/>
  </si>
  <si>
    <t>OL-67001</t>
    <phoneticPr fontId="2"/>
  </si>
  <si>
    <r>
      <t>78(</t>
    </r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>50 +28)</t>
    </r>
    <phoneticPr fontId="2"/>
  </si>
  <si>
    <t xml:space="preserve">EXW JAPAN /m for Mill's Off White </t>
    <phoneticPr fontId="2"/>
  </si>
  <si>
    <t>MOQ / col for Mill's Off White</t>
    <phoneticPr fontId="2"/>
  </si>
  <si>
    <t>EXW (JAPAN) /m
Mill's Off White</t>
    <phoneticPr fontId="2"/>
  </si>
  <si>
    <t xml:space="preserve">MOQ for Mill's Off White </t>
    <phoneticPr fontId="2"/>
  </si>
  <si>
    <t>14m/roll</t>
    <phoneticPr fontId="2"/>
  </si>
  <si>
    <t>10m</t>
    <phoneticPr fontId="2"/>
  </si>
  <si>
    <t>Stock ( Mill's Off White as of the 5th April )</t>
    <phoneticPr fontId="2"/>
  </si>
  <si>
    <t>only sample yds</t>
    <phoneticPr fontId="2"/>
  </si>
  <si>
    <t>FWL-21974</t>
    <phoneticPr fontId="2"/>
  </si>
  <si>
    <t>FWL-21697</t>
    <phoneticPr fontId="2"/>
  </si>
  <si>
    <t>97709</t>
  </si>
  <si>
    <t>97709</t>
    <phoneticPr fontId="2"/>
  </si>
  <si>
    <t>KYL-23712-1</t>
    <phoneticPr fontId="2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</si>
  <si>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+ dye fee</t>
    </r>
    <phoneticPr fontId="2"/>
  </si>
  <si>
    <t>KYL-23707-1</t>
    <phoneticPr fontId="2"/>
  </si>
  <si>
    <t>KYL-23535</t>
    <phoneticPr fontId="2"/>
  </si>
  <si>
    <t>Stock ( Mill's Off White as of the 6th April )</t>
    <phoneticPr fontId="2"/>
  </si>
  <si>
    <t xml:space="preserve">Note </t>
    <phoneticPr fontId="2"/>
  </si>
  <si>
    <t>97845</t>
    <phoneticPr fontId="2"/>
  </si>
  <si>
    <t>FLR-55302</t>
    <phoneticPr fontId="2"/>
  </si>
  <si>
    <t>FLR-55292</t>
    <phoneticPr fontId="2"/>
  </si>
  <si>
    <t>OL-8901-1</t>
    <phoneticPr fontId="2"/>
  </si>
  <si>
    <t>OL-6241-1</t>
    <phoneticPr fontId="2"/>
  </si>
  <si>
    <t>OL-61115-1</t>
    <phoneticPr fontId="2"/>
  </si>
  <si>
    <t>OL-8495-1</t>
    <phoneticPr fontId="2"/>
  </si>
  <si>
    <t>OL-62564</t>
    <phoneticPr fontId="2"/>
  </si>
  <si>
    <t>Stock ( Mill's Off White as of the 7th April )</t>
    <phoneticPr fontId="2"/>
  </si>
  <si>
    <t>51709</t>
    <phoneticPr fontId="2"/>
  </si>
  <si>
    <t>97906</t>
    <phoneticPr fontId="2"/>
  </si>
  <si>
    <r>
      <t>SFC-2-210413</t>
    </r>
    <r>
      <rPr>
        <sz val="12"/>
        <color indexed="10"/>
        <rFont val="Arial"/>
        <family val="2"/>
      </rPr>
      <t xml:space="preserve">  India</t>
    </r>
    <phoneticPr fontId="2"/>
  </si>
  <si>
    <t>51719</t>
    <phoneticPr fontId="2"/>
  </si>
  <si>
    <t>POSUN-0421-21</t>
    <phoneticPr fontId="2"/>
  </si>
  <si>
    <r>
      <t xml:space="preserve">226812 </t>
    </r>
    <r>
      <rPr>
        <sz val="12"/>
        <color indexed="10"/>
        <rFont val="Arial"/>
        <family val="2"/>
      </rPr>
      <t>LA</t>
    </r>
    <phoneticPr fontId="2"/>
  </si>
  <si>
    <t xml:space="preserve"># 533 Blush  </t>
    <phoneticPr fontId="2"/>
  </si>
  <si>
    <t xml:space="preserve"># 158 Cobalt </t>
    <phoneticPr fontId="2"/>
  </si>
  <si>
    <t xml:space="preserve"># 3 Red </t>
    <phoneticPr fontId="2"/>
  </si>
  <si>
    <t xml:space="preserve">Lace Trim  </t>
    <phoneticPr fontId="2"/>
  </si>
  <si>
    <t>KYL-T24371</t>
  </si>
  <si>
    <t>KYL-T24371</t>
    <phoneticPr fontId="2"/>
  </si>
  <si>
    <t>KYL-25238</t>
  </si>
  <si>
    <t>KYL-25238</t>
    <phoneticPr fontId="2"/>
  </si>
  <si>
    <t>Article No.</t>
    <phoneticPr fontId="2"/>
  </si>
  <si>
    <t>Size (CM X M)</t>
    <phoneticPr fontId="2"/>
  </si>
  <si>
    <t>Content</t>
    <phoneticPr fontId="2"/>
  </si>
  <si>
    <t xml:space="preserve">EXW JAPAN 
Bulk Price /M
  </t>
    <phoneticPr fontId="2"/>
  </si>
  <si>
    <t xml:space="preserve">Bulk MOQ </t>
    <phoneticPr fontId="2"/>
  </si>
  <si>
    <t>Article No.</t>
  </si>
  <si>
    <t>Size (CM X M)</t>
  </si>
  <si>
    <t>Content</t>
  </si>
  <si>
    <t>抜き取り</t>
  </si>
  <si>
    <t>By-Order</t>
  </si>
  <si>
    <t>By-Order condition</t>
  </si>
  <si>
    <t>SNY-100</t>
  </si>
  <si>
    <t>136 x 50</t>
  </si>
  <si>
    <t>POLYESTER 100%</t>
  </si>
  <si>
    <t>400m/color &amp; 1,600m/order</t>
  </si>
  <si>
    <t>SNY-100 (Col. Y365)</t>
    <phoneticPr fontId="2"/>
  </si>
  <si>
    <t>26 - 27th April</t>
    <phoneticPr fontId="2"/>
  </si>
  <si>
    <t>Late May</t>
    <phoneticPr fontId="2"/>
  </si>
  <si>
    <t>Mill's 8 colors available, *Price is TBC</t>
    <phoneticPr fontId="2"/>
  </si>
  <si>
    <t xml:space="preserve">Mill's Off White </t>
  </si>
  <si>
    <t xml:space="preserve">Sample Stock (Col. Y365)
as of 23rd April </t>
    <phoneticPr fontId="2"/>
  </si>
  <si>
    <t>abt 40m</t>
    <phoneticPr fontId="2"/>
  </si>
  <si>
    <t xml:space="preserve">EXW JAPAN 
Sample Price /M
when no  stock </t>
    <phoneticPr fontId="2"/>
  </si>
  <si>
    <t xml:space="preserve">TBC as it varies depending on each qty </t>
    <phoneticPr fontId="2"/>
  </si>
  <si>
    <t>45042</t>
    <phoneticPr fontId="2"/>
  </si>
  <si>
    <t>Y2373</t>
    <phoneticPr fontId="2"/>
  </si>
  <si>
    <t>Y2374</t>
    <phoneticPr fontId="2"/>
  </si>
  <si>
    <t>パンチ1m受け取り済</t>
    <rPh sb="5" eb="6">
      <t>ウ</t>
    </rPh>
    <rPh sb="7" eb="8">
      <t>ト</t>
    </rPh>
    <rPh sb="9" eb="10">
      <t>スミ</t>
    </rPh>
    <phoneticPr fontId="2"/>
  </si>
  <si>
    <t>Y2358</t>
    <phoneticPr fontId="2"/>
  </si>
  <si>
    <r>
      <t xml:space="preserve">Y2413 </t>
    </r>
    <r>
      <rPr>
        <sz val="11"/>
        <rFont val="ＭＳ Ｐゴシック"/>
        <family val="3"/>
        <charset val="128"/>
      </rPr>
      <t>②</t>
    </r>
    <phoneticPr fontId="2"/>
  </si>
  <si>
    <t>②改良依頼中</t>
    <rPh sb="1" eb="3">
      <t>カイリョウ</t>
    </rPh>
    <rPh sb="3" eb="5">
      <t>イライ</t>
    </rPh>
    <rPh sb="5" eb="6">
      <t>チュウ</t>
    </rPh>
    <phoneticPr fontId="2"/>
  </si>
  <si>
    <t>スワッチ2m受け取り済</t>
    <rPh sb="6" eb="7">
      <t>ウ</t>
    </rPh>
    <rPh sb="8" eb="9">
      <t>ト</t>
    </rPh>
    <rPh sb="10" eb="11">
      <t>スミ</t>
    </rPh>
    <phoneticPr fontId="2"/>
  </si>
  <si>
    <r>
      <t>Y2417 (</t>
    </r>
    <r>
      <rPr>
        <sz val="11"/>
        <rFont val="ＭＳ Ｐゴシック"/>
        <family val="3"/>
        <charset val="128"/>
      </rPr>
      <t>スカラ無し）</t>
    </r>
    <rPh sb="10" eb="11">
      <t>ナ</t>
    </rPh>
    <phoneticPr fontId="2"/>
  </si>
  <si>
    <t>パンチ2m 依頼中(縫い代ストレートカット）</t>
    <rPh sb="6" eb="8">
      <t>イライ</t>
    </rPh>
    <rPh sb="8" eb="9">
      <t>チュウ</t>
    </rPh>
    <rPh sb="10" eb="11">
      <t>ヌ</t>
    </rPh>
    <rPh sb="12" eb="13">
      <t>シロ</t>
    </rPh>
    <phoneticPr fontId="2"/>
  </si>
  <si>
    <r>
      <t>Y2414</t>
    </r>
    <r>
      <rPr>
        <sz val="11"/>
        <rFont val="ＭＳ Ｐゴシック"/>
        <family val="3"/>
        <charset val="128"/>
      </rPr>
      <t>改</t>
    </r>
    <r>
      <rPr>
        <sz val="11"/>
        <rFont val="Arial  "/>
        <family val="2"/>
      </rPr>
      <t xml:space="preserve"> </t>
    </r>
    <rPh sb="5" eb="6">
      <t>カイ</t>
    </rPh>
    <phoneticPr fontId="2"/>
  </si>
  <si>
    <r>
      <t>Y2416</t>
    </r>
    <r>
      <rPr>
        <sz val="11"/>
        <rFont val="ＭＳ Ｐゴシック"/>
        <family val="3"/>
        <charset val="128"/>
      </rPr>
      <t>改</t>
    </r>
    <rPh sb="5" eb="6">
      <t>カイ</t>
    </rPh>
    <phoneticPr fontId="2"/>
  </si>
  <si>
    <t>社内検討中</t>
    <rPh sb="0" eb="2">
      <t>シャナイ</t>
    </rPh>
    <rPh sb="2" eb="5">
      <t>ケントウチュウ</t>
    </rPh>
    <phoneticPr fontId="2"/>
  </si>
  <si>
    <t>42181</t>
    <phoneticPr fontId="2"/>
  </si>
  <si>
    <t>KYL-25456</t>
  </si>
  <si>
    <t>KYL-25113</t>
  </si>
  <si>
    <t>KYL-25113</t>
    <phoneticPr fontId="2"/>
  </si>
  <si>
    <t>KYL-T25419</t>
  </si>
  <si>
    <t>KYL-T25419</t>
    <phoneticPr fontId="2"/>
  </si>
  <si>
    <t>KYL-25420</t>
  </si>
  <si>
    <t>KYL-25420</t>
    <phoneticPr fontId="2"/>
  </si>
  <si>
    <r>
      <t xml:space="preserve">BIRTHDAY SUIT 1-050521 - </t>
    </r>
    <r>
      <rPr>
        <sz val="12"/>
        <color indexed="10"/>
        <rFont val="Arial"/>
        <family val="2"/>
      </rPr>
      <t>Zipper Depot</t>
    </r>
    <r>
      <rPr>
        <sz val="12"/>
        <color indexed="10"/>
        <rFont val="Arial"/>
        <family val="2"/>
      </rPr>
      <t xml:space="preserve"> </t>
    </r>
    <phoneticPr fontId="2"/>
  </si>
  <si>
    <r>
      <t xml:space="preserve">BIRTHDAY SUIT 2-050521 - </t>
    </r>
    <r>
      <rPr>
        <sz val="12"/>
        <color indexed="10"/>
        <rFont val="Arial"/>
        <family val="2"/>
      </rPr>
      <t xml:space="preserve">South Coast Sewing </t>
    </r>
    <r>
      <rPr>
        <sz val="12"/>
        <color indexed="10"/>
        <rFont val="Arial"/>
        <family val="2"/>
      </rPr>
      <t xml:space="preserve"> </t>
    </r>
    <phoneticPr fontId="2"/>
  </si>
  <si>
    <r>
      <t>P</t>
    </r>
    <r>
      <rPr>
        <b/>
        <sz val="12"/>
        <rFont val="Arial  "/>
        <family val="2"/>
      </rPr>
      <t xml:space="preserve">O# </t>
    </r>
    <phoneticPr fontId="2"/>
  </si>
  <si>
    <t xml:space="preserve">Art.# </t>
    <phoneticPr fontId="2"/>
  </si>
  <si>
    <r>
      <t xml:space="preserve">BIRTHDAY SUIT 1-050521 - </t>
    </r>
    <r>
      <rPr>
        <sz val="12"/>
        <color indexed="30"/>
        <rFont val="Arial"/>
        <family val="2"/>
      </rPr>
      <t xml:space="preserve">Zipper Depot </t>
    </r>
  </si>
  <si>
    <r>
      <t xml:space="preserve">BIRTHDAY SUIT 2-050521 - </t>
    </r>
    <r>
      <rPr>
        <sz val="12"/>
        <color indexed="30"/>
        <rFont val="Arial"/>
        <family val="2"/>
      </rPr>
      <t xml:space="preserve">South Coast Sewing  </t>
    </r>
    <phoneticPr fontId="2"/>
  </si>
  <si>
    <t>28805</t>
    <phoneticPr fontId="2"/>
  </si>
  <si>
    <t xml:space="preserve"># 4 Taupe </t>
    <phoneticPr fontId="2"/>
  </si>
  <si>
    <t xml:space="preserve">Tulle Lace Trim  </t>
    <phoneticPr fontId="2"/>
  </si>
  <si>
    <t xml:space="preserve">Cotton Lace Trim   </t>
    <phoneticPr fontId="2"/>
  </si>
  <si>
    <t># 59 Navy</t>
    <phoneticPr fontId="2"/>
  </si>
  <si>
    <t>AH21PT05036</t>
    <phoneticPr fontId="2"/>
  </si>
  <si>
    <r>
      <t xml:space="preserve">BIRTHDAY SUIT 2-050521' - </t>
    </r>
    <r>
      <rPr>
        <sz val="12"/>
        <color indexed="10"/>
        <rFont val="Arial"/>
        <family val="2"/>
      </rPr>
      <t xml:space="preserve">South Coast Sewing </t>
    </r>
    <r>
      <rPr>
        <sz val="12"/>
        <color indexed="10"/>
        <rFont val="Arial"/>
        <family val="2"/>
      </rPr>
      <t xml:space="preserve"> </t>
    </r>
    <phoneticPr fontId="2"/>
  </si>
  <si>
    <t xml:space="preserve"># 27 </t>
    <phoneticPr fontId="2"/>
  </si>
  <si>
    <r>
      <t xml:space="preserve">BIRTHDAY SUIT 3-051321 - </t>
    </r>
    <r>
      <rPr>
        <sz val="12"/>
        <color indexed="10"/>
        <rFont val="Arial"/>
        <family val="2"/>
      </rPr>
      <t xml:space="preserve">Golden Stitching </t>
    </r>
    <phoneticPr fontId="2"/>
  </si>
  <si>
    <t># 602</t>
    <phoneticPr fontId="2"/>
  </si>
  <si>
    <t>99308</t>
    <phoneticPr fontId="2"/>
  </si>
  <si>
    <t>FWL-71139</t>
    <phoneticPr fontId="2"/>
  </si>
  <si>
    <t>KYL-K7000</t>
    <phoneticPr fontId="2"/>
  </si>
  <si>
    <t>FWL-23363</t>
  </si>
  <si>
    <t>FWL-23363</t>
    <phoneticPr fontId="2"/>
  </si>
  <si>
    <t>FWL-71139</t>
  </si>
  <si>
    <t>KYL-K7000</t>
  </si>
  <si>
    <t>EXW JAPAN /m for Custom Colors</t>
    <phoneticPr fontId="2"/>
  </si>
  <si>
    <t>MOQ / col for Custom Colors</t>
    <phoneticPr fontId="2"/>
  </si>
  <si>
    <t>13.7m/roll</t>
    <phoneticPr fontId="2"/>
  </si>
  <si>
    <t>300m / col ( *Dye fee USD 125/col for under MCQ )</t>
    <phoneticPr fontId="2"/>
  </si>
  <si>
    <t>HCFF-210524</t>
    <phoneticPr fontId="2"/>
  </si>
  <si>
    <r>
      <t xml:space="preserve">226979 </t>
    </r>
    <r>
      <rPr>
        <sz val="12"/>
        <color indexed="10"/>
        <rFont val="Arial"/>
        <family val="2"/>
      </rPr>
      <t>LA</t>
    </r>
    <phoneticPr fontId="2"/>
  </si>
  <si>
    <r>
      <t xml:space="preserve">226979 </t>
    </r>
    <r>
      <rPr>
        <sz val="12"/>
        <color indexed="30"/>
        <rFont val="Arial"/>
        <family val="2"/>
      </rPr>
      <t>ship to LA</t>
    </r>
  </si>
  <si>
    <r>
      <t>Q</t>
    </r>
    <r>
      <rPr>
        <b/>
        <sz val="12"/>
        <rFont val="Arial  "/>
        <family val="2"/>
      </rPr>
      <t>ty</t>
    </r>
    <phoneticPr fontId="2"/>
  </si>
  <si>
    <t xml:space="preserve">No Stock, L/T : abt 1 month </t>
    <phoneticPr fontId="2"/>
  </si>
  <si>
    <t>A&amp;FENG FASHION LTD.-Trina Turk</t>
    <phoneticPr fontId="2"/>
  </si>
  <si>
    <t>99455</t>
    <phoneticPr fontId="2"/>
  </si>
  <si>
    <t>No Stock, will be ready at the End of June</t>
    <phoneticPr fontId="2"/>
  </si>
  <si>
    <t>本日出荷</t>
    <rPh sb="0" eb="2">
      <t>ホンジツ</t>
    </rPh>
    <rPh sb="2" eb="4">
      <t>シュッカ</t>
    </rPh>
    <phoneticPr fontId="2"/>
  </si>
  <si>
    <t>6月末</t>
    <rPh sb="1" eb="3">
      <t>ガツマツ</t>
    </rPh>
    <phoneticPr fontId="2"/>
  </si>
  <si>
    <t>OC078527</t>
    <phoneticPr fontId="2"/>
  </si>
  <si>
    <t xml:space="preserve">HERA APPAREL,S.A.DE C.V. (Frame ) </t>
    <phoneticPr fontId="2"/>
  </si>
  <si>
    <t>Washable Synthetic Leather Trimmings  SURFACE: Polyurethane-100%, REVERSE: Polyester-65%, Cotton 35%</t>
    <phoneticPr fontId="2"/>
  </si>
  <si>
    <t># 908 Red</t>
    <phoneticPr fontId="2"/>
  </si>
  <si>
    <t>控え・大阪半分負担</t>
    <rPh sb="0" eb="1">
      <t>ヒカ</t>
    </rPh>
    <rPh sb="3" eb="5">
      <t>オオサカ</t>
    </rPh>
    <rPh sb="5" eb="7">
      <t>ハンブン</t>
    </rPh>
    <rPh sb="7" eb="9">
      <t>フタン</t>
    </rPh>
    <phoneticPr fontId="2"/>
  </si>
  <si>
    <r>
      <t>2021 June 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90</t>
    </r>
    <phoneticPr fontId="2"/>
  </si>
  <si>
    <t>2m x 11 pcs</t>
    <phoneticPr fontId="2"/>
  </si>
  <si>
    <t>単価 /式</t>
    <rPh sb="0" eb="2">
      <t>タンカ</t>
    </rPh>
    <rPh sb="4" eb="5">
      <t>シキ</t>
    </rPh>
    <phoneticPr fontId="2"/>
  </si>
  <si>
    <r>
      <t>9000</t>
    </r>
    <r>
      <rPr>
        <sz val="12"/>
        <color indexed="8"/>
        <rFont val="ＭＳ Ｐゴシック"/>
        <family val="3"/>
        <charset val="128"/>
      </rPr>
      <t>円</t>
    </r>
    <rPh sb="4" eb="5">
      <t>エン</t>
    </rPh>
    <phoneticPr fontId="2"/>
  </si>
  <si>
    <t>JONF21/00033</t>
    <phoneticPr fontId="2"/>
  </si>
  <si>
    <t xml:space="preserve">100% Recycled Polyester Yarn used </t>
    <phoneticPr fontId="2"/>
  </si>
  <si>
    <t xml:space="preserve">Snowflake Designs </t>
    <phoneticPr fontId="2"/>
  </si>
  <si>
    <t># RW</t>
    <phoneticPr fontId="2"/>
  </si>
  <si>
    <t xml:space="preserve"># KK  </t>
    <phoneticPr fontId="2"/>
  </si>
  <si>
    <t>SFD-210603</t>
    <phoneticPr fontId="2"/>
  </si>
  <si>
    <t>Roll Qty</t>
  </si>
  <si>
    <t>Total Qty</t>
  </si>
  <si>
    <t xml:space="preserve">L/T </t>
    <phoneticPr fontId="2"/>
  </si>
  <si>
    <t xml:space="preserve">L/T : abt 2 weeks </t>
    <phoneticPr fontId="2"/>
  </si>
  <si>
    <t xml:space="preserve"># WW Optic White </t>
    <phoneticPr fontId="2"/>
  </si>
  <si>
    <t xml:space="preserve"># KK Black   </t>
    <phoneticPr fontId="2"/>
  </si>
  <si>
    <t>51785</t>
    <phoneticPr fontId="2"/>
  </si>
  <si>
    <t xml:space="preserve">Pointed Edge Picot Elastic </t>
    <phoneticPr fontId="2"/>
  </si>
  <si>
    <t>TI-HSP-12</t>
    <phoneticPr fontId="2"/>
  </si>
  <si>
    <t>PFD</t>
    <phoneticPr fontId="2"/>
  </si>
  <si>
    <t xml:space="preserve"># 21 Bordeaux </t>
    <phoneticPr fontId="2"/>
  </si>
  <si>
    <t xml:space="preserve"># 01 Ivory </t>
    <phoneticPr fontId="2"/>
  </si>
  <si>
    <t>白メンコ</t>
    <rPh sb="0" eb="1">
      <t>シロ</t>
    </rPh>
    <phoneticPr fontId="2"/>
  </si>
  <si>
    <t>SP22-SF-001</t>
    <phoneticPr fontId="2"/>
  </si>
  <si>
    <t>ALC</t>
    <phoneticPr fontId="2"/>
  </si>
  <si>
    <t xml:space="preserve">Stretch Y Section </t>
    <phoneticPr fontId="2"/>
  </si>
  <si>
    <t>TI-1120</t>
    <phoneticPr fontId="2"/>
  </si>
  <si>
    <t xml:space="preserve"># 01 Off White </t>
    <phoneticPr fontId="2"/>
  </si>
  <si>
    <t xml:space="preserve">Fine Grip </t>
    <phoneticPr fontId="2"/>
  </si>
  <si>
    <t>TI-1420</t>
    <phoneticPr fontId="2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</si>
  <si>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 xml:space="preserve">/m </t>
    </r>
    <rPh sb="0" eb="2">
      <t>タンカ</t>
    </rPh>
    <phoneticPr fontId="2"/>
  </si>
  <si>
    <r>
      <t>160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2"/>
  </si>
  <si>
    <r>
      <t>75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phoneticPr fontId="2"/>
  </si>
  <si>
    <t xml:space="preserve">No Stock, checking L/T </t>
    <phoneticPr fontId="2"/>
  </si>
  <si>
    <t>大阪負担</t>
    <rPh sb="0" eb="2">
      <t>オオサカ</t>
    </rPh>
    <rPh sb="2" eb="4">
      <t>フタン</t>
    </rPh>
    <phoneticPr fontId="2"/>
  </si>
  <si>
    <r>
      <t xml:space="preserve">227035 </t>
    </r>
    <r>
      <rPr>
        <sz val="12"/>
        <color indexed="10"/>
        <rFont val="Arial"/>
        <family val="2"/>
      </rPr>
      <t>LA</t>
    </r>
    <phoneticPr fontId="2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</si>
  <si>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14%,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6%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LA </t>
    </r>
    <r>
      <rPr>
        <b/>
        <sz val="10"/>
        <color indexed="10"/>
        <rFont val="ＭＳ Ｐゴシック"/>
        <family val="3"/>
        <charset val="128"/>
      </rPr>
      <t>は</t>
    </r>
    <r>
      <rPr>
        <b/>
        <sz val="10"/>
        <color indexed="10"/>
        <rFont val="Arial"/>
        <family val="2"/>
      </rPr>
      <t xml:space="preserve">end user </t>
    </r>
    <r>
      <rPr>
        <b/>
        <sz val="10"/>
        <color indexed="10"/>
        <rFont val="ＭＳ Ｐゴシック"/>
        <family val="3"/>
        <charset val="128"/>
      </rPr>
      <t>単価</t>
    </r>
    <r>
      <rPr>
        <b/>
        <sz val="10"/>
        <color indexed="10"/>
        <rFont val="Arial"/>
        <family val="2"/>
      </rPr>
      <t xml:space="preserve"> x 0.94 </t>
    </r>
    <r>
      <rPr>
        <b/>
        <sz val="10"/>
        <color indexed="10"/>
        <rFont val="ＭＳ Ｐゴシック"/>
        <family val="3"/>
        <charset val="128"/>
      </rPr>
      <t>が</t>
    </r>
    <r>
      <rPr>
        <b/>
        <sz val="10"/>
        <color indexed="10"/>
        <rFont val="Arial"/>
        <family val="2"/>
      </rPr>
      <t xml:space="preserve">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 NY </t>
    </r>
    <r>
      <rPr>
        <b/>
        <sz val="10"/>
        <color indexed="10"/>
        <rFont val="ＭＳ Ｐゴシック"/>
        <family val="3"/>
        <charset val="128"/>
      </rPr>
      <t>）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phoneticPr fontId="2"/>
  </si>
  <si>
    <t>TC00195</t>
    <phoneticPr fontId="2"/>
  </si>
  <si>
    <t xml:space="preserve"># 0 Off White </t>
    <phoneticPr fontId="2"/>
  </si>
  <si>
    <t>CL-210616</t>
    <phoneticPr fontId="2"/>
  </si>
  <si>
    <t>SP22 SAMPLE TRIMS-2</t>
    <phoneticPr fontId="2"/>
  </si>
  <si>
    <t>MISA</t>
    <phoneticPr fontId="2"/>
  </si>
  <si>
    <t>KYL-23408-1</t>
    <phoneticPr fontId="2"/>
  </si>
  <si>
    <t>YDT-13801</t>
    <phoneticPr fontId="2"/>
  </si>
  <si>
    <t>TI-SK-10</t>
    <phoneticPr fontId="2"/>
  </si>
  <si>
    <t>TI-139-9   </t>
    <phoneticPr fontId="2"/>
  </si>
  <si>
    <t xml:space="preserve">TI-LSD-10  </t>
    <phoneticPr fontId="2"/>
  </si>
  <si>
    <t xml:space="preserve">TI-10-7002  </t>
    <phoneticPr fontId="2"/>
  </si>
  <si>
    <t xml:space="preserve">TI-9-1500  </t>
    <phoneticPr fontId="2"/>
  </si>
  <si>
    <t xml:space="preserve">TI-10-3355  </t>
    <phoneticPr fontId="2"/>
  </si>
  <si>
    <t xml:space="preserve">TI-10-D2261  </t>
    <phoneticPr fontId="2"/>
  </si>
  <si>
    <t>TI-10-KWQ</t>
    <phoneticPr fontId="2"/>
  </si>
  <si>
    <t>TI-10-7255 </t>
    <phoneticPr fontId="2"/>
  </si>
  <si>
    <t xml:space="preserve">TI-10-7095  </t>
    <phoneticPr fontId="2"/>
  </si>
  <si>
    <t xml:space="preserve">TI-9-R7097  </t>
    <phoneticPr fontId="2"/>
  </si>
  <si>
    <t xml:space="preserve">TI-OBP-10  </t>
    <phoneticPr fontId="2"/>
  </si>
  <si>
    <t xml:space="preserve">Article No. </t>
    <phoneticPr fontId="2"/>
  </si>
  <si>
    <t>10 mm</t>
  </si>
  <si>
    <t xml:space="preserve">MOQ for PFD </t>
    <phoneticPr fontId="2"/>
  </si>
  <si>
    <t>100m /roll</t>
    <phoneticPr fontId="2"/>
  </si>
  <si>
    <t xml:space="preserve">EXW JAPAN /m for PFD </t>
    <phoneticPr fontId="2"/>
  </si>
  <si>
    <t xml:space="preserve">TBC </t>
    <phoneticPr fontId="2"/>
  </si>
  <si>
    <t xml:space="preserve">MCQ &amp; Dye fee for Custom Colors </t>
    <phoneticPr fontId="2"/>
  </si>
  <si>
    <t xml:space="preserve">No stock, wil be ready mid July </t>
    <phoneticPr fontId="2"/>
  </si>
  <si>
    <t>will be ready early next week</t>
    <phoneticPr fontId="2"/>
  </si>
  <si>
    <t xml:space="preserve">Elastic Tape  </t>
    <phoneticPr fontId="2"/>
  </si>
  <si>
    <t>EBW-210618</t>
    <phoneticPr fontId="2"/>
  </si>
  <si>
    <t xml:space="preserve">Everybody World </t>
    <phoneticPr fontId="2"/>
  </si>
  <si>
    <t>Color</t>
  </si>
  <si>
    <t>SK-10</t>
    <phoneticPr fontId="2"/>
  </si>
  <si>
    <r>
      <t>19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2" eb="3">
      <t>エン</t>
    </rPh>
    <phoneticPr fontId="2"/>
  </si>
  <si>
    <t>KYL-8331-1</t>
    <phoneticPr fontId="2"/>
  </si>
  <si>
    <t xml:space="preserve">14m /roll </t>
    <phoneticPr fontId="2"/>
  </si>
  <si>
    <t xml:space="preserve">600m in stock </t>
    <phoneticPr fontId="2"/>
  </si>
  <si>
    <t>KYL-8331-19</t>
    <phoneticPr fontId="2"/>
  </si>
  <si>
    <t>KYL-2529-1</t>
    <phoneticPr fontId="2"/>
  </si>
  <si>
    <t xml:space="preserve">700m in stock </t>
    <phoneticPr fontId="2"/>
  </si>
  <si>
    <t>KYL-2529-19</t>
    <phoneticPr fontId="2"/>
  </si>
  <si>
    <t xml:space="preserve">2021/6/18  for MISA </t>
    <phoneticPr fontId="2"/>
  </si>
  <si>
    <t>KYL-23421-19</t>
    <phoneticPr fontId="2"/>
  </si>
  <si>
    <t xml:space="preserve">400m in stock, already proceeding to 56m for your order  </t>
    <phoneticPr fontId="2"/>
  </si>
  <si>
    <t xml:space="preserve">only sample, abt 5m, L/T : abt 2 weeks when greige in stock </t>
    <phoneticPr fontId="2"/>
  </si>
  <si>
    <t>オーダー</t>
    <phoneticPr fontId="2"/>
  </si>
  <si>
    <r>
      <rPr>
        <b/>
        <sz val="12"/>
        <color indexed="30"/>
        <rFont val="ＭＳ Ｐゴシック"/>
        <family val="3"/>
        <charset val="128"/>
      </rPr>
      <t>キャンセルお願いします。</t>
    </r>
    <rPh sb="6" eb="7">
      <t>ネガ</t>
    </rPh>
    <phoneticPr fontId="2"/>
  </si>
  <si>
    <r>
      <rPr>
        <b/>
        <sz val="12"/>
        <color indexed="30"/>
        <rFont val="ＭＳ Ｐゴシック"/>
        <family val="3"/>
        <charset val="128"/>
      </rPr>
      <t>本日出荷でお願いします。</t>
    </r>
    <rPh sb="0" eb="2">
      <t>ホンジツ</t>
    </rPh>
    <rPh sb="2" eb="4">
      <t>シュッカ</t>
    </rPh>
    <rPh sb="6" eb="7">
      <t>ネガ</t>
    </rPh>
    <phoneticPr fontId="2"/>
  </si>
  <si>
    <t xml:space="preserve">OL-73348-1F </t>
    <phoneticPr fontId="2"/>
  </si>
  <si>
    <t>10 m/roll</t>
    <phoneticPr fontId="2"/>
  </si>
  <si>
    <t>393m / col ( *Dye fee USD 155/col for under MCQ )</t>
    <phoneticPr fontId="2"/>
  </si>
  <si>
    <t>OL-62059-1F</t>
    <phoneticPr fontId="2"/>
  </si>
  <si>
    <t>OL-8706-1F</t>
    <phoneticPr fontId="2"/>
  </si>
  <si>
    <t>367m / col ( *Dye fee USD 155/col for under MCQ )</t>
    <phoneticPr fontId="2"/>
  </si>
  <si>
    <t>2021/6/25 for H&amp;B</t>
    <phoneticPr fontId="2"/>
  </si>
  <si>
    <t xml:space="preserve">MOQ / col for standard colors </t>
    <phoneticPr fontId="2"/>
  </si>
  <si>
    <t>1929-25</t>
    <phoneticPr fontId="2"/>
  </si>
  <si>
    <t>1929-33</t>
    <phoneticPr fontId="2"/>
  </si>
  <si>
    <t>1925-25</t>
    <phoneticPr fontId="2"/>
  </si>
  <si>
    <t>5372</t>
    <phoneticPr fontId="2"/>
  </si>
  <si>
    <t>51792</t>
    <phoneticPr fontId="2"/>
  </si>
  <si>
    <t># 001 Ivory</t>
    <phoneticPr fontId="2"/>
  </si>
  <si>
    <t>62921K-1</t>
    <phoneticPr fontId="2"/>
  </si>
  <si>
    <r>
      <t>Polyester / Rubber Elastic Cords(Soft Type)   Polyester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24%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Rubber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76%</t>
    </r>
    <phoneticPr fontId="2"/>
  </si>
  <si>
    <t xml:space="preserve"># 84NT Black </t>
    <phoneticPr fontId="2"/>
  </si>
  <si>
    <r>
      <rPr>
        <sz val="12"/>
        <color indexed="8"/>
        <rFont val="ＭＳ Ｐゴシック"/>
        <family val="3"/>
        <charset val="128"/>
      </rPr>
      <t>色物単価</t>
    </r>
    <r>
      <rPr>
        <sz val="12"/>
        <color indexed="8"/>
        <rFont val="Arial"/>
        <family val="2"/>
      </rPr>
      <t>12.60</t>
    </r>
    <rPh sb="0" eb="4">
      <t>イロモノタンカ</t>
    </rPh>
    <phoneticPr fontId="2"/>
  </si>
  <si>
    <t>CL-210616-RE</t>
    <phoneticPr fontId="2"/>
  </si>
  <si>
    <t>KT-210705</t>
    <phoneticPr fontId="2"/>
  </si>
  <si>
    <t xml:space="preserve">21st July </t>
    <phoneticPr fontId="2"/>
  </si>
  <si>
    <r>
      <t xml:space="preserve">CLASSICS-PO070621-01 - </t>
    </r>
    <r>
      <rPr>
        <sz val="12"/>
        <color indexed="10"/>
        <rFont val="Arial"/>
        <family val="2"/>
      </rPr>
      <t xml:space="preserve">Zipper Depot </t>
    </r>
    <phoneticPr fontId="2"/>
  </si>
  <si>
    <t xml:space="preserve"># 63 Periwinkle </t>
    <phoneticPr fontId="2"/>
  </si>
  <si>
    <t>0312900</t>
    <phoneticPr fontId="2"/>
  </si>
  <si>
    <t># 54 Sugarberry</t>
    <phoneticPr fontId="2"/>
  </si>
  <si>
    <t>Sample Cut</t>
    <phoneticPr fontId="2"/>
  </si>
  <si>
    <t>EXW JAPAN /m
Regular Price</t>
    <phoneticPr fontId="2"/>
  </si>
  <si>
    <t xml:space="preserve">EXW JAPAN /m
Bulk Price </t>
    <phoneticPr fontId="2"/>
  </si>
  <si>
    <t>2440RE</t>
    <phoneticPr fontId="2"/>
  </si>
  <si>
    <t>152 x 58</t>
    <phoneticPr fontId="2"/>
  </si>
  <si>
    <r>
      <t>Recycled Polyester 100</t>
    </r>
    <r>
      <rPr>
        <sz val="8"/>
        <rFont val="ＭＳ Ｐゴシック"/>
        <family val="3"/>
        <charset val="128"/>
      </rPr>
      <t>％</t>
    </r>
    <phoneticPr fontId="2"/>
  </si>
  <si>
    <t>1m -any qty</t>
    <phoneticPr fontId="2"/>
  </si>
  <si>
    <t>580m/color</t>
    <phoneticPr fontId="2"/>
  </si>
  <si>
    <t># NV Navy</t>
    <phoneticPr fontId="2"/>
  </si>
  <si>
    <t xml:space="preserve"># RW Cream </t>
    <phoneticPr fontId="2"/>
  </si>
  <si>
    <t xml:space="preserve"># EE Dark Orange </t>
    <phoneticPr fontId="2"/>
  </si>
  <si>
    <t>5610( CO-NY22A )</t>
    <phoneticPr fontId="2"/>
  </si>
  <si>
    <t>IARA-210715</t>
    <phoneticPr fontId="2"/>
  </si>
  <si>
    <t>IARA</t>
    <phoneticPr fontId="2"/>
  </si>
  <si>
    <t># 40</t>
    <phoneticPr fontId="2"/>
  </si>
  <si>
    <t># 63</t>
    <phoneticPr fontId="2"/>
  </si>
  <si>
    <t># 12</t>
    <phoneticPr fontId="2"/>
  </si>
  <si>
    <t># 02</t>
    <phoneticPr fontId="2"/>
  </si>
  <si>
    <t>Cutting Fee for T5000</t>
    <phoneticPr fontId="2"/>
  </si>
  <si>
    <t># 604</t>
    <phoneticPr fontId="2"/>
  </si>
  <si>
    <t># 647</t>
    <phoneticPr fontId="2"/>
  </si>
  <si>
    <t xml:space="preserve"># 018 </t>
    <phoneticPr fontId="2"/>
  </si>
  <si>
    <t># 427</t>
    <phoneticPr fontId="2"/>
  </si>
  <si>
    <t>Cutting Fee for T3000</t>
    <phoneticPr fontId="2"/>
  </si>
  <si>
    <t>KYL-45046</t>
    <phoneticPr fontId="2"/>
  </si>
  <si>
    <t>KYL-873021N</t>
    <phoneticPr fontId="2"/>
  </si>
  <si>
    <r>
      <rPr>
        <b/>
        <sz val="12"/>
        <rFont val="Arial"/>
        <family val="2"/>
      </rPr>
      <t>Art. #</t>
    </r>
    <r>
      <rPr>
        <sz val="12"/>
        <rFont val="Arial"/>
        <family val="2"/>
      </rPr>
      <t xml:space="preserve"> 100% Polyester Tulle</t>
    </r>
    <phoneticPr fontId="2"/>
  </si>
  <si>
    <r>
      <rPr>
        <b/>
        <sz val="12"/>
        <rFont val="Arial"/>
        <family val="2"/>
      </rPr>
      <t>Art. #</t>
    </r>
    <r>
      <rPr>
        <sz val="12"/>
        <rFont val="Arial"/>
        <family val="2"/>
      </rPr>
      <t xml:space="preserve"> 100% Nylon Tulle</t>
    </r>
    <phoneticPr fontId="2"/>
  </si>
  <si>
    <r>
      <rPr>
        <b/>
        <sz val="12"/>
        <rFont val="Arial"/>
        <family val="2"/>
      </rPr>
      <t>Art. #</t>
    </r>
    <r>
      <rPr>
        <sz val="12"/>
        <rFont val="Arial"/>
        <family val="2"/>
      </rPr>
      <t xml:space="preserve"> Lace Trim  </t>
    </r>
    <phoneticPr fontId="2"/>
  </si>
  <si>
    <t xml:space="preserve">12 sets </t>
    <phoneticPr fontId="2"/>
  </si>
  <si>
    <t xml:space="preserve">10m cut with cutting fee </t>
    <phoneticPr fontId="2"/>
  </si>
  <si>
    <t xml:space="preserve">10m cut with cutting fee, or small roll of 12m is available with no cutting fee </t>
    <phoneticPr fontId="2"/>
  </si>
  <si>
    <t xml:space="preserve">10m cut with cutting fee, or small roll of 15m is available with no cutting fee </t>
    <phoneticPr fontId="2"/>
  </si>
  <si>
    <t xml:space="preserve">No Stock, will be ready at the end of July, 10m cut with cutting fee </t>
    <phoneticPr fontId="2"/>
  </si>
  <si>
    <t xml:space="preserve">10m cut with cutting fee, or small roll of 18m is available with no cutting fee </t>
    <phoneticPr fontId="2"/>
  </si>
  <si>
    <t>TI-1026</t>
    <phoneticPr fontId="2"/>
  </si>
  <si>
    <t>TI-1026SD</t>
    <phoneticPr fontId="2"/>
  </si>
  <si>
    <t>Min Hu Dres</t>
    <phoneticPr fontId="2"/>
  </si>
  <si>
    <t>MHD-210714</t>
    <phoneticPr fontId="2"/>
  </si>
  <si>
    <t>3103</t>
    <phoneticPr fontId="2"/>
  </si>
  <si>
    <t>CL-210719</t>
    <phoneticPr fontId="2"/>
  </si>
  <si>
    <t>ONA</t>
    <phoneticPr fontId="2"/>
  </si>
  <si>
    <t># 001 White</t>
    <phoneticPr fontId="2"/>
  </si>
  <si>
    <r>
      <t>55</t>
    </r>
    <r>
      <rPr>
        <sz val="12"/>
        <rFont val="ＭＳ Ｐゴシック"/>
        <family val="3"/>
        <charset val="128"/>
      </rPr>
      <t>円</t>
    </r>
    <rPh sb="2" eb="3">
      <t>エン</t>
    </rPh>
    <phoneticPr fontId="2"/>
  </si>
  <si>
    <r>
      <rPr>
        <b/>
        <sz val="12"/>
        <rFont val="Arial"/>
        <family val="2"/>
      </rPr>
      <t xml:space="preserve">Art. </t>
    </r>
    <r>
      <rPr>
        <sz val="12"/>
        <rFont val="Arial"/>
        <family val="2"/>
      </rPr>
      <t xml:space="preserve">  </t>
    </r>
    <phoneticPr fontId="2"/>
  </si>
  <si>
    <r>
      <rPr>
        <b/>
        <sz val="12"/>
        <color indexed="8"/>
        <rFont val="ＭＳ Ｐゴシック"/>
        <family val="3"/>
        <charset val="128"/>
      </rPr>
      <t>単価</t>
    </r>
    <r>
      <rPr>
        <b/>
        <sz val="12"/>
        <color indexed="8"/>
        <rFont val="Arial"/>
        <family val="2"/>
      </rPr>
      <t xml:space="preserve">/m </t>
    </r>
    <rPh sb="0" eb="2">
      <t>タンカ</t>
    </rPh>
    <phoneticPr fontId="2"/>
  </si>
  <si>
    <t xml:space="preserve">20210719  Honorine </t>
    <phoneticPr fontId="2"/>
  </si>
  <si>
    <t>14 m/roll</t>
    <phoneticPr fontId="2"/>
  </si>
  <si>
    <t>EXW JAPAN /m for Custom Colors &amp; MCQ</t>
    <phoneticPr fontId="2"/>
  </si>
  <si>
    <t>KYL-23384-1</t>
    <phoneticPr fontId="2"/>
  </si>
  <si>
    <t>KYL-2432-1</t>
    <phoneticPr fontId="2"/>
  </si>
  <si>
    <t>Stock in Mill's Off White as of July 19th,2021</t>
    <phoneticPr fontId="2"/>
  </si>
  <si>
    <t>abt 1000m</t>
    <phoneticPr fontId="2"/>
  </si>
  <si>
    <t xml:space="preserve">abt 1900m </t>
    <phoneticPr fontId="2"/>
  </si>
  <si>
    <t xml:space="preserve">abt 700m </t>
    <phoneticPr fontId="2"/>
  </si>
  <si>
    <r>
      <t xml:space="preserve">1132 </t>
    </r>
    <r>
      <rPr>
        <sz val="12"/>
        <color indexed="10"/>
        <rFont val="Arial"/>
        <family val="2"/>
      </rPr>
      <t>China</t>
    </r>
    <phoneticPr fontId="2"/>
  </si>
  <si>
    <t>6033</t>
    <phoneticPr fontId="2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</si>
  <si>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 xml:space="preserve">/m </t>
    </r>
    <rPh sb="0" eb="2">
      <t>タンカ</t>
    </rPh>
    <phoneticPr fontId="2"/>
  </si>
  <si>
    <t>OC079213</t>
    <phoneticPr fontId="2"/>
  </si>
  <si>
    <t>5265</t>
  </si>
  <si>
    <t>1 roll</t>
  </si>
  <si>
    <t>KYL-23423-1</t>
    <phoneticPr fontId="2"/>
  </si>
  <si>
    <t>Stock in Mill's Off White as of July 20th,2021</t>
    <phoneticPr fontId="2"/>
  </si>
  <si>
    <t>abt 400m</t>
    <phoneticPr fontId="2"/>
  </si>
  <si>
    <t xml:space="preserve">abt 100m </t>
    <phoneticPr fontId="2"/>
  </si>
  <si>
    <t>Stock as of July 20th,2021</t>
    <phoneticPr fontId="2"/>
  </si>
  <si>
    <t>abt 2800m</t>
    <phoneticPr fontId="2"/>
  </si>
  <si>
    <t>abt 2200m</t>
    <phoneticPr fontId="2"/>
  </si>
  <si>
    <t>6041</t>
    <phoneticPr fontId="2"/>
  </si>
  <si>
    <t>SP22 SAMPLE TRIMS-5</t>
    <phoneticPr fontId="2"/>
  </si>
  <si>
    <r>
      <t>350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</si>
  <si>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300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</si>
  <si>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r>
      <t>1000</t>
    </r>
    <r>
      <rPr>
        <sz val="12"/>
        <rFont val="ＭＳ Ｐゴシック"/>
        <family val="3"/>
        <charset val="128"/>
      </rPr>
      <t>円</t>
    </r>
    <rPh sb="4" eb="5">
      <t>エン</t>
    </rPh>
    <phoneticPr fontId="2"/>
  </si>
  <si>
    <t>EXW (JAPAN) / m</t>
    <phoneticPr fontId="2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</si>
  <si>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未満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28%,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12% -</t>
    </r>
    <r>
      <rPr>
        <b/>
        <sz val="10"/>
        <color indexed="10"/>
        <rFont val="Arial"/>
        <family val="2"/>
      </rPr>
      <t xml:space="preserve">  LA </t>
    </r>
    <r>
      <rPr>
        <b/>
        <sz val="10"/>
        <color indexed="10"/>
        <rFont val="ＭＳ Ｐゴシック"/>
        <family val="3"/>
        <charset val="128"/>
      </rPr>
      <t>は</t>
    </r>
    <r>
      <rPr>
        <b/>
        <sz val="10"/>
        <color indexed="10"/>
        <rFont val="Arial"/>
        <family val="2"/>
      </rPr>
      <t xml:space="preserve">end user </t>
    </r>
    <r>
      <rPr>
        <b/>
        <sz val="10"/>
        <color indexed="10"/>
        <rFont val="ＭＳ Ｐゴシック"/>
        <family val="3"/>
        <charset val="128"/>
      </rPr>
      <t>単価</t>
    </r>
    <r>
      <rPr>
        <b/>
        <sz val="10"/>
        <color indexed="10"/>
        <rFont val="Arial"/>
        <family val="2"/>
      </rPr>
      <t xml:space="preserve"> x 0.88 </t>
    </r>
    <r>
      <rPr>
        <b/>
        <sz val="10"/>
        <color indexed="10"/>
        <rFont val="ＭＳ Ｐゴシック"/>
        <family val="3"/>
        <charset val="128"/>
      </rPr>
      <t>が</t>
    </r>
    <r>
      <rPr>
        <b/>
        <sz val="10"/>
        <color indexed="10"/>
        <rFont val="Arial"/>
        <family val="2"/>
      </rPr>
      <t xml:space="preserve">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 NY </t>
    </r>
    <r>
      <rPr>
        <b/>
        <sz val="10"/>
        <color indexed="10"/>
        <rFont val="ＭＳ Ｐゴシック"/>
        <family val="3"/>
        <charset val="128"/>
      </rPr>
      <t>）</t>
    </r>
    <phoneticPr fontId="2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</si>
  <si>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28%,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12% - </t>
    </r>
    <r>
      <rPr>
        <b/>
        <sz val="10"/>
        <color indexed="10"/>
        <rFont val="ＭＳ Ｐゴシック"/>
        <family val="3"/>
        <charset val="128"/>
      </rPr>
      <t>どちらも仕入単価に基づいて計算。</t>
    </r>
    <r>
      <rPr>
        <b/>
        <sz val="10"/>
        <color indexed="10"/>
        <rFont val="Arial"/>
        <family val="2"/>
      </rPr>
      <t xml:space="preserve">  LA </t>
    </r>
    <r>
      <rPr>
        <b/>
        <sz val="10"/>
        <color indexed="10"/>
        <rFont val="ＭＳ Ｐゴシック"/>
        <family val="3"/>
        <charset val="128"/>
      </rPr>
      <t>は</t>
    </r>
    <r>
      <rPr>
        <b/>
        <sz val="10"/>
        <color indexed="10"/>
        <rFont val="Arial"/>
        <family val="2"/>
      </rPr>
      <t xml:space="preserve">end user </t>
    </r>
    <r>
      <rPr>
        <b/>
        <sz val="10"/>
        <color indexed="10"/>
        <rFont val="ＭＳ Ｐゴシック"/>
        <family val="3"/>
        <charset val="128"/>
      </rPr>
      <t>単価</t>
    </r>
    <r>
      <rPr>
        <b/>
        <sz val="10"/>
        <color indexed="10"/>
        <rFont val="Arial"/>
        <family val="2"/>
      </rPr>
      <t xml:space="preserve"> x 0.88 </t>
    </r>
    <r>
      <rPr>
        <b/>
        <sz val="10"/>
        <color indexed="10"/>
        <rFont val="ＭＳ Ｐゴシック"/>
        <family val="3"/>
        <charset val="128"/>
      </rPr>
      <t>が</t>
    </r>
    <r>
      <rPr>
        <b/>
        <sz val="10"/>
        <color indexed="10"/>
        <rFont val="Arial"/>
        <family val="2"/>
      </rPr>
      <t xml:space="preserve">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 NY </t>
    </r>
    <r>
      <rPr>
        <b/>
        <sz val="10"/>
        <color indexed="10"/>
        <rFont val="ＭＳ Ｐゴシック"/>
        <family val="3"/>
        <charset val="128"/>
      </rPr>
      <t>）</t>
    </r>
    <rPh sb="52" eb="54">
      <t>ケイサン</t>
    </rPh>
    <rPh sb="70" eb="72">
      <t>タンカ</t>
    </rPh>
    <phoneticPr fontId="2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</si>
  <si>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14%,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6%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LA </t>
    </r>
    <r>
      <rPr>
        <b/>
        <sz val="10"/>
        <color indexed="10"/>
        <rFont val="ＭＳ Ｐゴシック"/>
        <family val="3"/>
        <charset val="128"/>
      </rPr>
      <t>は</t>
    </r>
    <r>
      <rPr>
        <b/>
        <sz val="10"/>
        <color indexed="10"/>
        <rFont val="Arial"/>
        <family val="2"/>
      </rPr>
      <t xml:space="preserve">end user </t>
    </r>
    <r>
      <rPr>
        <b/>
        <sz val="10"/>
        <color indexed="10"/>
        <rFont val="ＭＳ Ｐゴシック"/>
        <family val="3"/>
        <charset val="128"/>
      </rPr>
      <t>単価</t>
    </r>
    <r>
      <rPr>
        <b/>
        <sz val="10"/>
        <color indexed="10"/>
        <rFont val="Arial"/>
        <family val="2"/>
      </rPr>
      <t xml:space="preserve"> x 0.94 </t>
    </r>
    <r>
      <rPr>
        <b/>
        <sz val="10"/>
        <color indexed="10"/>
        <rFont val="ＭＳ Ｐゴシック"/>
        <family val="3"/>
        <charset val="128"/>
      </rPr>
      <t>が</t>
    </r>
    <r>
      <rPr>
        <b/>
        <sz val="10"/>
        <color indexed="10"/>
        <rFont val="Arial"/>
        <family val="2"/>
      </rPr>
      <t xml:space="preserve">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 NY </t>
    </r>
    <r>
      <rPr>
        <b/>
        <sz val="10"/>
        <color indexed="10"/>
        <rFont val="ＭＳ Ｐゴシック"/>
        <family val="3"/>
        <charset val="128"/>
      </rPr>
      <t>）</t>
    </r>
    <r>
      <rPr>
        <b/>
        <sz val="10"/>
        <color indexed="10"/>
        <rFont val="Arial"/>
        <family val="2"/>
      </rPr>
      <t xml:space="preserve">  </t>
    </r>
    <phoneticPr fontId="2"/>
  </si>
  <si>
    <r>
      <t xml:space="preserve">CLASSICS072121-1 - </t>
    </r>
    <r>
      <rPr>
        <sz val="12"/>
        <color indexed="10"/>
        <rFont val="Arial"/>
        <family val="2"/>
      </rPr>
      <t>Ocean Breeze</t>
    </r>
    <phoneticPr fontId="2"/>
  </si>
  <si>
    <t xml:space="preserve"># 602 Green </t>
    <phoneticPr fontId="2"/>
  </si>
  <si>
    <t xml:space="preserve"># 27  Pink </t>
    <phoneticPr fontId="2"/>
  </si>
  <si>
    <r>
      <rPr>
        <b/>
        <sz val="12"/>
        <rFont val="Arial"/>
        <family val="2"/>
      </rPr>
      <t>Art.#</t>
    </r>
    <r>
      <rPr>
        <sz val="12"/>
        <rFont val="Arial"/>
        <family val="2"/>
      </rPr>
      <t xml:space="preserve"> Bemberg Grosgrain Ribbons   Cupro-100%</t>
    </r>
    <phoneticPr fontId="2"/>
  </si>
  <si>
    <r>
      <rPr>
        <b/>
        <sz val="12"/>
        <rFont val="Arial"/>
        <family val="2"/>
      </rPr>
      <t xml:space="preserve">Art.# </t>
    </r>
    <r>
      <rPr>
        <sz val="12"/>
        <rFont val="Arial"/>
        <family val="2"/>
      </rPr>
      <t>Polyester Petersham Ribbon   Polyester-100%</t>
    </r>
    <phoneticPr fontId="2"/>
  </si>
  <si>
    <t>TI-1890</t>
    <phoneticPr fontId="2"/>
  </si>
  <si>
    <r>
      <t>S</t>
    </r>
    <r>
      <rPr>
        <b/>
        <sz val="12"/>
        <rFont val="Arial   "/>
        <family val="2"/>
      </rPr>
      <t>ize</t>
    </r>
    <phoneticPr fontId="2"/>
  </si>
  <si>
    <t>5mm</t>
    <phoneticPr fontId="2"/>
  </si>
  <si>
    <t>RD- 210727</t>
    <phoneticPr fontId="2"/>
  </si>
  <si>
    <t>EBW-210727</t>
    <phoneticPr fontId="2"/>
  </si>
  <si>
    <t xml:space="preserve">Fine Deo Stretch </t>
    <phoneticPr fontId="2"/>
  </si>
  <si>
    <t>Col.1 Off (PFD)</t>
    <phoneticPr fontId="2"/>
  </si>
  <si>
    <t>大阪引き取り分</t>
    <rPh sb="0" eb="2">
      <t>オオサカ</t>
    </rPh>
    <rPh sb="2" eb="3">
      <t>ヒ</t>
    </rPh>
    <rPh sb="4" eb="5">
      <t>ト</t>
    </rPh>
    <rPh sb="6" eb="7">
      <t>ブン</t>
    </rPh>
    <phoneticPr fontId="2"/>
  </si>
  <si>
    <t>AH21PT07051</t>
    <phoneticPr fontId="2"/>
  </si>
  <si>
    <t>AH21PT07052</t>
    <phoneticPr fontId="2"/>
  </si>
  <si>
    <t xml:space="preserve">L/T : abt 1 week </t>
    <phoneticPr fontId="2"/>
  </si>
  <si>
    <t>カテ</t>
    <phoneticPr fontId="2"/>
  </si>
  <si>
    <t xml:space="preserve">INV# </t>
    <phoneticPr fontId="2"/>
  </si>
  <si>
    <t>Shipping Date</t>
    <phoneticPr fontId="2"/>
  </si>
  <si>
    <t>仕入数量</t>
    <rPh sb="0" eb="2">
      <t>シイレ</t>
    </rPh>
    <rPh sb="2" eb="4">
      <t>スウリョウ</t>
    </rPh>
    <phoneticPr fontId="2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</si>
  <si>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"/>
        <family val="2"/>
      </rPr>
      <t>NY</t>
    </r>
    <phoneticPr fontId="2"/>
  </si>
  <si>
    <t>備考欄</t>
    <rPh sb="0" eb="2">
      <t>ビコウ</t>
    </rPh>
    <rPh sb="2" eb="3">
      <t>ラン</t>
    </rPh>
    <phoneticPr fontId="2"/>
  </si>
  <si>
    <t>適用為替レート</t>
    <rPh sb="0" eb="2">
      <t>テキヨウ</t>
    </rPh>
    <rPh sb="2" eb="4">
      <t>カワセ</t>
    </rPh>
    <phoneticPr fontId="2"/>
  </si>
  <si>
    <t>カテゴリ</t>
    <phoneticPr fontId="2"/>
  </si>
  <si>
    <t>項目</t>
    <rPh sb="0" eb="2">
      <t>コウモク</t>
    </rPh>
    <phoneticPr fontId="2"/>
  </si>
  <si>
    <t>大阪→NY</t>
    <rPh sb="0" eb="2">
      <t>オオサカ</t>
    </rPh>
    <phoneticPr fontId="2"/>
  </si>
  <si>
    <t>NY→顧客</t>
    <rPh sb="3" eb="5">
      <t>コキャク</t>
    </rPh>
    <phoneticPr fontId="2"/>
  </si>
  <si>
    <t>a</t>
    <phoneticPr fontId="2"/>
  </si>
  <si>
    <t>Trim</t>
    <phoneticPr fontId="2"/>
  </si>
  <si>
    <t>b</t>
    <phoneticPr fontId="2"/>
  </si>
  <si>
    <t>Fabric</t>
    <phoneticPr fontId="2"/>
  </si>
  <si>
    <t>c</t>
    <phoneticPr fontId="2"/>
  </si>
  <si>
    <t>d</t>
    <phoneticPr fontId="2"/>
  </si>
  <si>
    <t>e</t>
    <phoneticPr fontId="2"/>
  </si>
  <si>
    <t>Other (Dye/set-up)</t>
    <phoneticPr fontId="2"/>
  </si>
  <si>
    <r>
      <t>Lace (699</t>
    </r>
    <r>
      <rPr>
        <b/>
        <sz val="11"/>
        <rFont val="ＭＳ Ｐゴシック"/>
        <family val="3"/>
        <charset val="128"/>
      </rPr>
      <t>円</t>
    </r>
    <r>
      <rPr>
        <b/>
        <sz val="11"/>
        <rFont val="Arial  "/>
        <family val="2"/>
      </rPr>
      <t>/m</t>
    </r>
    <r>
      <rPr>
        <b/>
        <sz val="11"/>
        <rFont val="ＭＳ Ｐゴシック"/>
        <family val="3"/>
        <charset val="128"/>
      </rPr>
      <t>以下</t>
    </r>
    <r>
      <rPr>
        <b/>
        <sz val="11"/>
        <rFont val="Arial  "/>
        <family val="2"/>
      </rPr>
      <t>)</t>
    </r>
    <rPh sb="9" eb="10">
      <t>エン</t>
    </rPh>
    <rPh sb="12" eb="14">
      <t>イカ</t>
    </rPh>
    <phoneticPr fontId="2"/>
  </si>
  <si>
    <r>
      <t>Lace (700</t>
    </r>
    <r>
      <rPr>
        <b/>
        <sz val="11"/>
        <rFont val="ＭＳ Ｐゴシック"/>
        <family val="3"/>
        <charset val="128"/>
      </rPr>
      <t>円</t>
    </r>
    <r>
      <rPr>
        <b/>
        <sz val="11"/>
        <rFont val="Arial  "/>
        <family val="2"/>
      </rPr>
      <t>/m</t>
    </r>
    <r>
      <rPr>
        <b/>
        <sz val="11"/>
        <rFont val="ＭＳ Ｐゴシック"/>
        <family val="3"/>
        <charset val="128"/>
      </rPr>
      <t>以上</t>
    </r>
    <r>
      <rPr>
        <b/>
        <sz val="11"/>
        <rFont val="Arial  "/>
        <family val="2"/>
      </rPr>
      <t>)</t>
    </r>
    <rPh sb="9" eb="10">
      <t>エン</t>
    </rPh>
    <rPh sb="12" eb="14">
      <t>イジョウ</t>
    </rPh>
    <phoneticPr fontId="2"/>
  </si>
  <si>
    <t>6079</t>
    <phoneticPr fontId="2"/>
  </si>
  <si>
    <t>00113</t>
    <phoneticPr fontId="2"/>
  </si>
  <si>
    <r>
      <t>86</t>
    </r>
    <r>
      <rPr>
        <sz val="12"/>
        <color indexed="8"/>
        <rFont val="ＭＳ Ｐゴシック"/>
        <family val="3"/>
        <charset val="128"/>
      </rPr>
      <t>円</t>
    </r>
    <rPh sb="2" eb="3">
      <t>エン</t>
    </rPh>
    <phoneticPr fontId="2"/>
  </si>
  <si>
    <t>Ready Mid Sep.</t>
    <phoneticPr fontId="2"/>
  </si>
  <si>
    <t>RS-210805</t>
    <phoneticPr fontId="2"/>
  </si>
  <si>
    <t>Royal Spirit -ALC</t>
    <phoneticPr fontId="2"/>
  </si>
  <si>
    <t># 132 Venetian Rose</t>
    <phoneticPr fontId="2"/>
  </si>
  <si>
    <t>8521K-1</t>
    <phoneticPr fontId="2"/>
  </si>
  <si>
    <t xml:space="preserve"># 27 Iris </t>
    <phoneticPr fontId="2"/>
  </si>
  <si>
    <t>MISA 20210806</t>
    <phoneticPr fontId="2"/>
  </si>
  <si>
    <t>TRL-TP291888</t>
    <phoneticPr fontId="2"/>
  </si>
  <si>
    <t>13.7 m/roll</t>
    <phoneticPr fontId="2"/>
  </si>
  <si>
    <t>Stock in Mill's Off White as of Aug 6th,2021</t>
    <phoneticPr fontId="2"/>
  </si>
  <si>
    <t>abt 350m</t>
    <phoneticPr fontId="2"/>
  </si>
  <si>
    <t>TRL-TP261924</t>
    <phoneticPr fontId="2"/>
  </si>
  <si>
    <t xml:space="preserve">abt 160m </t>
    <phoneticPr fontId="2"/>
  </si>
  <si>
    <t>KYL-23551</t>
    <phoneticPr fontId="2"/>
  </si>
  <si>
    <t xml:space="preserve">abt 400m </t>
    <phoneticPr fontId="2"/>
  </si>
  <si>
    <t># 2 Optic White</t>
    <phoneticPr fontId="2"/>
  </si>
  <si>
    <t># 20 Sugar Pink</t>
    <phoneticPr fontId="2"/>
  </si>
  <si>
    <t xml:space="preserve"># 92 Sky Blue </t>
    <phoneticPr fontId="2"/>
  </si>
  <si>
    <t>TT-210810</t>
    <phoneticPr fontId="2"/>
  </si>
  <si>
    <t xml:space="preserve"># 73 </t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</si>
  <si>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>31.87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27.3</t>
    </r>
    <rPh sb="0" eb="2">
      <t>ツウジョウ</t>
    </rPh>
    <rPh sb="8" eb="10">
      <t>ボウエキ</t>
    </rPh>
    <phoneticPr fontId="2"/>
  </si>
  <si>
    <t>Chantuque-210811</t>
    <phoneticPr fontId="2"/>
  </si>
  <si>
    <t xml:space="preserve">Chantuque ( Frame ) </t>
    <phoneticPr fontId="2"/>
  </si>
  <si>
    <t>28866</t>
    <phoneticPr fontId="2"/>
  </si>
  <si>
    <t>51839</t>
    <phoneticPr fontId="2"/>
  </si>
  <si>
    <t>Ready/Ship Date</t>
    <phoneticPr fontId="2"/>
  </si>
  <si>
    <t>RS-210817</t>
    <phoneticPr fontId="2"/>
  </si>
  <si>
    <t>Stretch Herringbone Tape  Polyester-100%</t>
    <phoneticPr fontId="2"/>
  </si>
  <si>
    <t># 35</t>
  </si>
  <si>
    <t># 36</t>
  </si>
  <si>
    <t># 42</t>
  </si>
  <si>
    <t># 31</t>
  </si>
  <si>
    <t># 41</t>
    <phoneticPr fontId="2"/>
  </si>
  <si>
    <t>DN-121-37</t>
    <phoneticPr fontId="2"/>
  </si>
  <si>
    <t>abt 4mm</t>
    <phoneticPr fontId="2"/>
  </si>
  <si>
    <t xml:space="preserve">abt 2000m in stock </t>
    <phoneticPr fontId="2"/>
  </si>
  <si>
    <t xml:space="preserve">20210817  Burning Torch </t>
    <phoneticPr fontId="2"/>
  </si>
  <si>
    <t>28867</t>
    <phoneticPr fontId="2"/>
  </si>
  <si>
    <t>Twist Cord   Cotton-100%</t>
    <phoneticPr fontId="2"/>
  </si>
  <si>
    <t># 009 Black</t>
    <phoneticPr fontId="2"/>
  </si>
  <si>
    <t>　</t>
    <phoneticPr fontId="2"/>
  </si>
  <si>
    <r>
      <t xml:space="preserve">227213 </t>
    </r>
    <r>
      <rPr>
        <sz val="12"/>
        <color indexed="10"/>
        <rFont val="Arial"/>
        <family val="2"/>
      </rPr>
      <t>LA</t>
    </r>
    <phoneticPr fontId="2"/>
  </si>
  <si>
    <t xml:space="preserve"># 144 Nude </t>
    <phoneticPr fontId="2"/>
  </si>
  <si>
    <r>
      <t>227213</t>
    </r>
    <r>
      <rPr>
        <sz val="12"/>
        <color indexed="30"/>
        <rFont val="Arial"/>
        <family val="2"/>
      </rPr>
      <t xml:space="preserve"> Ship to LA</t>
    </r>
  </si>
  <si>
    <t>No Stock, weill be ready early Oct.</t>
    <phoneticPr fontId="2"/>
  </si>
  <si>
    <t>SP22-SF-002</t>
    <phoneticPr fontId="2"/>
  </si>
  <si>
    <t xml:space="preserve">S size </t>
    <phoneticPr fontId="2"/>
  </si>
  <si>
    <t>1-21</t>
    <phoneticPr fontId="2"/>
  </si>
  <si>
    <t>Anahit's Studio, LLC</t>
    <phoneticPr fontId="2"/>
  </si>
  <si>
    <t># 17 Off White</t>
    <phoneticPr fontId="2"/>
  </si>
  <si>
    <t>Chantuque-210825</t>
    <phoneticPr fontId="2"/>
  </si>
  <si>
    <r>
      <t xml:space="preserve">CLASSICS-082621-1 - </t>
    </r>
    <r>
      <rPr>
        <sz val="12"/>
        <color indexed="10"/>
        <rFont val="Arial"/>
        <family val="2"/>
      </rPr>
      <t xml:space="preserve">Golden Stitching </t>
    </r>
  </si>
  <si>
    <t xml:space="preserve"># 78 NT Periwinkle </t>
    <phoneticPr fontId="2"/>
  </si>
  <si>
    <t># 68 Sherbet</t>
    <phoneticPr fontId="2"/>
  </si>
  <si>
    <t>148×58</t>
  </si>
  <si>
    <t xml:space="preserve">Any Qty with cut fee : USD 12/cut </t>
    <phoneticPr fontId="2"/>
  </si>
  <si>
    <t xml:space="preserve">20210902 KRP </t>
    <phoneticPr fontId="2"/>
  </si>
  <si>
    <t>KRP-210902</t>
    <phoneticPr fontId="2"/>
  </si>
  <si>
    <r>
      <rPr>
        <sz val="8"/>
        <rFont val="ＭＳ Ｐゴシック"/>
        <family val="3"/>
        <charset val="128"/>
      </rPr>
      <t>カラー</t>
    </r>
    <r>
      <rPr>
        <sz val="8"/>
        <rFont val="Arial"/>
        <family val="2"/>
      </rPr>
      <t>930</t>
    </r>
    <r>
      <rPr>
        <sz val="8"/>
        <rFont val="ＭＳ Ｐゴシック"/>
        <family val="3"/>
        <charset val="128"/>
      </rPr>
      <t>に合わせて計算</t>
    </r>
    <rPh sb="7" eb="8">
      <t>ア</t>
    </rPh>
    <rPh sb="11" eb="13">
      <t>ケイサン</t>
    </rPh>
    <phoneticPr fontId="2"/>
  </si>
  <si>
    <r>
      <t>700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/m </t>
    </r>
    <rPh sb="3" eb="4">
      <t>エン</t>
    </rPh>
    <phoneticPr fontId="2"/>
  </si>
  <si>
    <t>28870</t>
    <phoneticPr fontId="2"/>
  </si>
  <si>
    <t>BR-210903</t>
    <phoneticPr fontId="2"/>
  </si>
  <si>
    <t xml:space="preserve">Beach Riot </t>
    <phoneticPr fontId="2"/>
  </si>
  <si>
    <t xml:space="preserve">Ribbon sample cards </t>
    <phoneticPr fontId="2"/>
  </si>
  <si>
    <r>
      <t xml:space="preserve">CLASSICS-082621-1 - </t>
    </r>
    <r>
      <rPr>
        <sz val="12"/>
        <color indexed="10"/>
        <rFont val="Arial"/>
        <family val="2"/>
      </rPr>
      <t xml:space="preserve">Golden Stitching </t>
    </r>
    <phoneticPr fontId="2"/>
  </si>
  <si>
    <t xml:space="preserve">UPS Freight Fee </t>
    <phoneticPr fontId="2"/>
  </si>
  <si>
    <t xml:space="preserve"># 1 PFD </t>
    <phoneticPr fontId="2"/>
  </si>
  <si>
    <r>
      <t xml:space="preserve">227249 </t>
    </r>
    <r>
      <rPr>
        <sz val="12"/>
        <color indexed="10"/>
        <rFont val="Arial"/>
        <family val="2"/>
      </rPr>
      <t>LA</t>
    </r>
    <phoneticPr fontId="2"/>
  </si>
  <si>
    <r>
      <t xml:space="preserve">227249 </t>
    </r>
    <r>
      <rPr>
        <sz val="12"/>
        <color indexed="10"/>
        <rFont val="Arial"/>
        <family val="2"/>
      </rPr>
      <t>LA</t>
    </r>
  </si>
  <si>
    <t xml:space="preserve"># 21 Ocean </t>
    <phoneticPr fontId="2"/>
  </si>
  <si>
    <t>28874</t>
    <phoneticPr fontId="2"/>
  </si>
  <si>
    <t>9989</t>
    <phoneticPr fontId="2"/>
  </si>
  <si>
    <t>FWL-71041</t>
    <phoneticPr fontId="2"/>
  </si>
  <si>
    <t xml:space="preserve">10m </t>
    <phoneticPr fontId="2"/>
  </si>
  <si>
    <t>100m / col ( *Dye fee USD 100/col for under MCQ )</t>
    <phoneticPr fontId="2"/>
  </si>
  <si>
    <t xml:space="preserve">20210921 High Fashion ( Frame ) </t>
    <phoneticPr fontId="2"/>
  </si>
  <si>
    <t xml:space="preserve">DTM Navy </t>
    <phoneticPr fontId="2"/>
  </si>
  <si>
    <t xml:space="preserve">Qty </t>
    <phoneticPr fontId="2"/>
  </si>
  <si>
    <t>15m</t>
    <phoneticPr fontId="2"/>
  </si>
  <si>
    <t xml:space="preserve">Dye Fee for DTM Navy </t>
    <phoneticPr fontId="2"/>
  </si>
  <si>
    <t xml:space="preserve">Inland Freight Charge in Japan </t>
    <phoneticPr fontId="2"/>
  </si>
  <si>
    <t>Weight (M2)</t>
    <phoneticPr fontId="2"/>
  </si>
  <si>
    <t>By-Order</t>
    <phoneticPr fontId="2"/>
  </si>
  <si>
    <t>6120-FT</t>
    <phoneticPr fontId="2"/>
  </si>
  <si>
    <t>145×58</t>
  </si>
  <si>
    <t>POLYESTER 100％</t>
  </si>
  <si>
    <t>148 x 58</t>
  </si>
  <si>
    <t>白系:\700  
その他:\930</t>
    <rPh sb="0" eb="1">
      <t>シロ</t>
    </rPh>
    <rPh sb="1" eb="2">
      <t>ケイ</t>
    </rPh>
    <rPh sb="12" eb="13">
      <t>タ</t>
    </rPh>
    <phoneticPr fontId="2"/>
  </si>
  <si>
    <t>白系:\560 
その他:\580</t>
    <rPh sb="0" eb="1">
      <t>シロ</t>
    </rPh>
    <rPh sb="1" eb="2">
      <t>ケイ</t>
    </rPh>
    <rPh sb="11" eb="12">
      <t>タ</t>
    </rPh>
    <phoneticPr fontId="2"/>
  </si>
  <si>
    <t>3950-ST</t>
    <phoneticPr fontId="2"/>
  </si>
  <si>
    <t>140cm</t>
    <phoneticPr fontId="2"/>
  </si>
  <si>
    <t>Polyester 100%</t>
    <phoneticPr fontId="2"/>
  </si>
  <si>
    <t>#IVORY - 30m</t>
    <phoneticPr fontId="2"/>
  </si>
  <si>
    <t>148 x 46</t>
  </si>
  <si>
    <t>SIM-022</t>
    <phoneticPr fontId="2"/>
  </si>
  <si>
    <t>AC 80%, NY 20%</t>
  </si>
  <si>
    <t>184m/color</t>
    <phoneticPr fontId="2"/>
  </si>
  <si>
    <t>#SO 着分あり</t>
    <rPh sb="4" eb="6">
      <t>チャクブン</t>
    </rPh>
    <phoneticPr fontId="2"/>
  </si>
  <si>
    <t>SIM-003</t>
    <phoneticPr fontId="2"/>
  </si>
  <si>
    <t>110 x 50</t>
  </si>
  <si>
    <t>PES 63%, VI 37%</t>
  </si>
  <si>
    <t>#OF, #BK 着分あり</t>
    <rPh sb="9" eb="11">
      <t>チャクブン</t>
    </rPh>
    <phoneticPr fontId="2"/>
  </si>
  <si>
    <t>SIM-101</t>
    <phoneticPr fontId="2"/>
  </si>
  <si>
    <t>127×50</t>
  </si>
  <si>
    <t>AC75% PL25%</t>
  </si>
  <si>
    <t>SUN-492</t>
    <phoneticPr fontId="2"/>
  </si>
  <si>
    <t>150 x 50</t>
  </si>
  <si>
    <t>POLYESTER 100%Q</t>
  </si>
  <si>
    <t>確認中</t>
    <rPh sb="0" eb="3">
      <t>カクニンチュウ</t>
    </rPh>
    <phoneticPr fontId="2"/>
  </si>
  <si>
    <t>Stock as of 22nd Sep</t>
    <phoneticPr fontId="2"/>
  </si>
  <si>
    <t xml:space="preserve">Running item </t>
    <phoneticPr fontId="2"/>
  </si>
  <si>
    <t xml:space="preserve">OP398 : running item </t>
  </si>
  <si>
    <t xml:space="preserve">CG6060 &gt;similar stock item #N4500B recommended </t>
    <phoneticPr fontId="2"/>
  </si>
  <si>
    <t xml:space="preserve">BS893 ( the Back of #OP398 ) </t>
    <phoneticPr fontId="2"/>
  </si>
  <si>
    <t xml:space="preserve">Regular EXW JAPAN Price /m </t>
    <phoneticPr fontId="2"/>
  </si>
  <si>
    <t xml:space="preserve">Bulk EXW JAPAN Price /m </t>
    <phoneticPr fontId="2"/>
  </si>
  <si>
    <t>Bulk order condition</t>
    <phoneticPr fontId="2"/>
  </si>
  <si>
    <t xml:space="preserve">EXW JAPAN 
Sample Price /M ( 1 roll /col )    </t>
    <phoneticPr fontId="2"/>
  </si>
  <si>
    <t xml:space="preserve">#SO  sample yds available </t>
    <phoneticPr fontId="2"/>
  </si>
  <si>
    <t xml:space="preserve">#OF, #BK sample yds available </t>
    <phoneticPr fontId="2"/>
  </si>
  <si>
    <t xml:space="preserve">#SO sample yds available </t>
    <phoneticPr fontId="2"/>
  </si>
  <si>
    <t xml:space="preserve">Checking </t>
    <phoneticPr fontId="2"/>
  </si>
  <si>
    <t>20210922  Katie May</t>
    <phoneticPr fontId="2"/>
  </si>
  <si>
    <t>High Fashion ( Frame )</t>
    <phoneticPr fontId="2"/>
  </si>
  <si>
    <t xml:space="preserve">Handling Fee (Inland Freight Charge in Japan) </t>
    <phoneticPr fontId="2"/>
  </si>
  <si>
    <r>
      <t>2021/10</t>
    </r>
    <r>
      <rPr>
        <sz val="12"/>
        <color indexed="8"/>
        <rFont val="ＭＳ Ｐゴシック"/>
        <family val="3"/>
        <charset val="128"/>
      </rPr>
      <t>～</t>
    </r>
    <r>
      <rPr>
        <sz val="12"/>
        <color indexed="8"/>
        <rFont val="Arial"/>
        <family val="2"/>
      </rPr>
      <t>82</t>
    </r>
    <r>
      <rPr>
        <sz val="12"/>
        <color indexed="8"/>
        <rFont val="ＭＳ Ｐゴシック"/>
        <family val="3"/>
        <charset val="128"/>
      </rPr>
      <t>円</t>
    </r>
    <rPh sb="10" eb="11">
      <t>エン</t>
    </rPh>
    <phoneticPr fontId="2"/>
  </si>
  <si>
    <t>Trimming Braid   Acrylic-100%</t>
    <phoneticPr fontId="2"/>
  </si>
  <si>
    <t>004247</t>
    <phoneticPr fontId="2"/>
  </si>
  <si>
    <t xml:space="preserve"># 9 </t>
    <phoneticPr fontId="2"/>
  </si>
  <si>
    <t>DTM Navy (#19-4012TCX)</t>
    <phoneticPr fontId="2"/>
  </si>
  <si>
    <r>
      <t xml:space="preserve">Dye Fee / Set-up fee </t>
    </r>
    <r>
      <rPr>
        <sz val="12"/>
        <rFont val="ＭＳ Ｐゴシック"/>
        <family val="3"/>
        <charset val="128"/>
      </rPr>
      <t>など商品代金とは別項目になるものに関しては、</t>
    </r>
    <r>
      <rPr>
        <sz val="12"/>
        <rFont val="Arial"/>
        <family val="2"/>
      </rPr>
      <t xml:space="preserve">Brad commission </t>
    </r>
    <r>
      <rPr>
        <sz val="12"/>
        <rFont val="ＭＳ Ｐゴシック"/>
        <family val="3"/>
        <charset val="128"/>
      </rPr>
      <t>無し。顧客単価</t>
    </r>
    <r>
      <rPr>
        <sz val="12"/>
        <rFont val="Arial"/>
        <family val="2"/>
      </rPr>
      <t xml:space="preserve">= Osaka </t>
    </r>
    <r>
      <rPr>
        <sz val="12"/>
        <rFont val="ＭＳ Ｐゴシック"/>
        <family val="3"/>
        <charset val="128"/>
      </rPr>
      <t>→</t>
    </r>
    <r>
      <rPr>
        <sz val="12"/>
        <rFont val="Arial"/>
        <family val="2"/>
      </rPr>
      <t>NY</t>
    </r>
    <r>
      <rPr>
        <sz val="12"/>
        <rFont val="ＭＳ Ｐゴシック"/>
        <family val="3"/>
        <charset val="128"/>
      </rPr>
      <t>単価で</t>
    </r>
    <r>
      <rPr>
        <sz val="12"/>
        <rFont val="Arial"/>
        <family val="2"/>
      </rPr>
      <t xml:space="preserve">NY </t>
    </r>
    <r>
      <rPr>
        <sz val="12"/>
        <rFont val="ＭＳ Ｐゴシック"/>
        <family val="3"/>
        <charset val="128"/>
      </rPr>
      <t>利益も無し</t>
    </r>
    <rPh sb="38" eb="39">
      <t>カン</t>
    </rPh>
    <rPh sb="59" eb="60">
      <t>ナ</t>
    </rPh>
    <rPh sb="62" eb="64">
      <t>コキャク</t>
    </rPh>
    <rPh sb="64" eb="66">
      <t>タンカ</t>
    </rPh>
    <rPh sb="77" eb="79">
      <t>タンカ</t>
    </rPh>
    <rPh sb="83" eb="85">
      <t>リエキ</t>
    </rPh>
    <rPh sb="86" eb="87">
      <t>ナ</t>
    </rPh>
    <phoneticPr fontId="2"/>
  </si>
  <si>
    <t>4143</t>
    <phoneticPr fontId="2"/>
  </si>
  <si>
    <t>20210928 Beach Riot</t>
    <phoneticPr fontId="2"/>
  </si>
  <si>
    <t>PR21090961</t>
    <phoneticPr fontId="2"/>
  </si>
  <si>
    <t>HZPOT210928</t>
    <phoneticPr fontId="2"/>
  </si>
  <si>
    <t xml:space="preserve">DTM Firestick </t>
    <phoneticPr fontId="2"/>
  </si>
  <si>
    <t>DTM Teal</t>
    <phoneticPr fontId="2"/>
  </si>
  <si>
    <t xml:space="preserve"># 1 White ( PFD ) </t>
    <phoneticPr fontId="2"/>
  </si>
  <si>
    <r>
      <t xml:space="preserve">227299 </t>
    </r>
    <r>
      <rPr>
        <sz val="12"/>
        <color indexed="10"/>
        <rFont val="Arial"/>
        <family val="2"/>
      </rPr>
      <t>LA</t>
    </r>
    <phoneticPr fontId="2"/>
  </si>
  <si>
    <t xml:space="preserve"># 305 Sky Blue </t>
    <phoneticPr fontId="2"/>
  </si>
  <si>
    <r>
      <t xml:space="preserve">227300 </t>
    </r>
    <r>
      <rPr>
        <sz val="12"/>
        <color indexed="10"/>
        <rFont val="Arial"/>
        <family val="2"/>
      </rPr>
      <t>LA</t>
    </r>
    <phoneticPr fontId="2"/>
  </si>
  <si>
    <t># 151 Celery</t>
    <phoneticPr fontId="2"/>
  </si>
  <si>
    <t xml:space="preserve">Mill's Off White ??  </t>
    <phoneticPr fontId="2"/>
  </si>
  <si>
    <r>
      <t xml:space="preserve">CLASSICS101321-1 - </t>
    </r>
    <r>
      <rPr>
        <sz val="12"/>
        <color indexed="10"/>
        <rFont val="Arial"/>
        <family val="2"/>
      </rPr>
      <t xml:space="preserve">Golden Stitching </t>
    </r>
    <phoneticPr fontId="2"/>
  </si>
  <si>
    <t xml:space="preserve"># 78NT Periwinkle </t>
    <phoneticPr fontId="2"/>
  </si>
  <si>
    <t>Surcharge for below MOQ</t>
    <phoneticPr fontId="2"/>
  </si>
  <si>
    <t>101321A-1</t>
    <phoneticPr fontId="2"/>
  </si>
  <si>
    <t>ROBIN PICCONE</t>
    <phoneticPr fontId="2"/>
  </si>
  <si>
    <t>Lame Elastic Cord   Rubber-70%/Nylon-30%</t>
    <phoneticPr fontId="2"/>
  </si>
  <si>
    <t># 17</t>
    <phoneticPr fontId="2"/>
  </si>
  <si>
    <t>SPG-211014</t>
    <phoneticPr fontId="2"/>
  </si>
  <si>
    <t>EXW (JAPAN) / pc</t>
    <phoneticPr fontId="2"/>
  </si>
  <si>
    <t xml:space="preserve">2 sets (US$ 7/set) 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</si>
  <si>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170.4</t>
    </r>
    <rPh sb="0" eb="2">
      <t>ツウジョウ</t>
    </rPh>
    <rPh sb="2" eb="4">
      <t>タンカ</t>
    </rPh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</si>
  <si>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36.38</t>
    </r>
    <rPh sb="0" eb="2">
      <t>ツウジョウ</t>
    </rPh>
    <rPh sb="2" eb="4">
      <t>タンカ</t>
    </rPh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</si>
  <si>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37.6</t>
    </r>
    <rPh sb="0" eb="2">
      <t>ツウジョウ</t>
    </rPh>
    <rPh sb="2" eb="4">
      <t>タンカ</t>
    </rPh>
    <phoneticPr fontId="2"/>
  </si>
  <si>
    <t xml:space="preserve"># 01 Off White </t>
  </si>
  <si>
    <t xml:space="preserve">No color </t>
    <phoneticPr fontId="2"/>
  </si>
  <si>
    <t xml:space="preserve">No Stock, ready at the end of Oct. 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</si>
  <si>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75.1</t>
    </r>
    <rPh sb="0" eb="2">
      <t>ツウジョウ</t>
    </rPh>
    <rPh sb="2" eb="4">
      <t>タンカ</t>
    </rPh>
    <phoneticPr fontId="2"/>
  </si>
  <si>
    <t>S22-217</t>
    <phoneticPr fontId="2"/>
  </si>
  <si>
    <t># Y427</t>
    <phoneticPr fontId="2"/>
  </si>
  <si>
    <t xml:space="preserve">1380m ( 1500yds = 1371.6m)  </t>
    <phoneticPr fontId="2"/>
  </si>
  <si>
    <t>AH21PT10071</t>
    <phoneticPr fontId="2"/>
  </si>
  <si>
    <t>AH21PT10072</t>
    <phoneticPr fontId="2"/>
  </si>
  <si>
    <t>AH21PT10073</t>
    <phoneticPr fontId="2"/>
  </si>
  <si>
    <t xml:space="preserve">99015-sample </t>
    <phoneticPr fontId="2"/>
  </si>
  <si>
    <t>Textiles Opico, S.A. de C.V. ( Wear it to Heart )</t>
    <phoneticPr fontId="2"/>
  </si>
  <si>
    <t xml:space="preserve"># 100 Light Gray </t>
    <phoneticPr fontId="2"/>
  </si>
  <si>
    <t xml:space="preserve"># 137 Caviar </t>
    <phoneticPr fontId="2"/>
  </si>
  <si>
    <r>
      <t>2021/11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88</t>
    </r>
    <r>
      <rPr>
        <sz val="12"/>
        <color indexed="10"/>
        <rFont val="ＭＳ Ｐゴシック"/>
        <family val="3"/>
        <charset val="128"/>
      </rPr>
      <t>円</t>
    </r>
    <rPh sb="10" eb="11">
      <t>エン</t>
    </rPh>
    <phoneticPr fontId="2"/>
  </si>
  <si>
    <t>New Price from the 1st November</t>
    <phoneticPr fontId="2"/>
  </si>
  <si>
    <t>2-21</t>
    <phoneticPr fontId="2"/>
  </si>
  <si>
    <t xml:space="preserve">Shipping date </t>
    <phoneticPr fontId="2"/>
  </si>
  <si>
    <t xml:space="preserve">Ship on the 21st - 22nd Oct. </t>
    <phoneticPr fontId="2"/>
  </si>
  <si>
    <t>L/T : abt 3 - 3.5 weeks</t>
    <phoneticPr fontId="2"/>
  </si>
  <si>
    <t># 320 Nude</t>
    <phoneticPr fontId="2"/>
  </si>
  <si>
    <t>S22-217-add</t>
    <phoneticPr fontId="2"/>
  </si>
  <si>
    <t xml:space="preserve">S22-217 &amp; add </t>
    <phoneticPr fontId="2"/>
  </si>
  <si>
    <t>JONF21/00124</t>
    <phoneticPr fontId="2"/>
  </si>
  <si>
    <t xml:space="preserve"> 2440RE(CR2040)</t>
    <phoneticPr fontId="2"/>
  </si>
  <si>
    <t xml:space="preserve">DTM Marsh(Col.43 from #2440) </t>
    <phoneticPr fontId="2"/>
  </si>
  <si>
    <r>
      <t>320</t>
    </r>
    <r>
      <rPr>
        <sz val="12"/>
        <color indexed="8"/>
        <rFont val="ＭＳ Ｐゴシック"/>
        <family val="3"/>
        <charset val="128"/>
      </rPr>
      <t>円</t>
    </r>
    <r>
      <rPr>
        <sz val="12"/>
        <color indexed="8"/>
        <rFont val="Arial"/>
        <family val="2"/>
      </rPr>
      <t>/m</t>
    </r>
    <rPh sb="3" eb="4">
      <t>エン</t>
    </rPh>
    <phoneticPr fontId="2"/>
  </si>
  <si>
    <t>コメント</t>
    <phoneticPr fontId="2"/>
  </si>
  <si>
    <r>
      <t>392m</t>
    </r>
    <r>
      <rPr>
        <sz val="12"/>
        <color indexed="8"/>
        <rFont val="ＭＳ Ｐゴシック"/>
        <family val="3"/>
        <charset val="128"/>
      </rPr>
      <t>キープ中→</t>
    </r>
    <r>
      <rPr>
        <sz val="12"/>
        <color indexed="8"/>
        <rFont val="Arial"/>
        <family val="2"/>
      </rPr>
      <t>402m</t>
    </r>
    <r>
      <rPr>
        <sz val="12"/>
        <color indexed="8"/>
        <rFont val="ＭＳ Ｐゴシック"/>
        <family val="3"/>
        <charset val="128"/>
      </rPr>
      <t>ピッタリでありますか？</t>
    </r>
    <rPh sb="7" eb="8">
      <t>チュウ</t>
    </rPh>
    <phoneticPr fontId="2"/>
  </si>
  <si>
    <r>
      <t>10</t>
    </r>
    <r>
      <rPr>
        <sz val="12"/>
        <color indexed="8"/>
        <rFont val="ＭＳ Ｐゴシック"/>
        <family val="3"/>
        <charset val="128"/>
      </rPr>
      <t>月末入荷分より</t>
    </r>
    <r>
      <rPr>
        <sz val="12"/>
        <color indexed="8"/>
        <rFont val="Arial"/>
        <family val="2"/>
      </rPr>
      <t>232m</t>
    </r>
    <r>
      <rPr>
        <sz val="12"/>
        <color indexed="8"/>
        <rFont val="ＭＳ Ｐゴシック"/>
        <family val="3"/>
        <charset val="128"/>
      </rPr>
      <t>キープ→</t>
    </r>
    <r>
      <rPr>
        <sz val="12"/>
        <color indexed="8"/>
        <rFont val="Arial"/>
        <family val="2"/>
      </rPr>
      <t>232m</t>
    </r>
    <r>
      <rPr>
        <sz val="12"/>
        <color indexed="8"/>
        <rFont val="ＭＳ Ｐゴシック"/>
        <family val="3"/>
        <charset val="128"/>
      </rPr>
      <t>ピッタリですか？</t>
    </r>
    <r>
      <rPr>
        <sz val="12"/>
        <color indexed="8"/>
        <rFont val="Arial"/>
        <family val="2"/>
      </rPr>
      <t>/</t>
    </r>
    <r>
      <rPr>
        <sz val="12"/>
        <color indexed="8"/>
        <rFont val="ＭＳ Ｐゴシック"/>
        <family val="3"/>
        <charset val="128"/>
      </rPr>
      <t>不足分の生産進行お願いします。</t>
    </r>
    <rPh sb="2" eb="3">
      <t>ガツ</t>
    </rPh>
    <rPh sb="3" eb="4">
      <t>マツ</t>
    </rPh>
    <rPh sb="4" eb="6">
      <t>ニュウカ</t>
    </rPh>
    <rPh sb="6" eb="7">
      <t>ブン</t>
    </rPh>
    <rPh sb="30" eb="32">
      <t>フソク</t>
    </rPh>
    <rPh sb="32" eb="33">
      <t>ブン</t>
    </rPh>
    <rPh sb="34" eb="36">
      <t>セイサン</t>
    </rPh>
    <rPh sb="36" eb="38">
      <t>シンコウ</t>
    </rPh>
    <rPh sb="39" eb="40">
      <t>ネガ</t>
    </rPh>
    <phoneticPr fontId="2"/>
  </si>
  <si>
    <r>
      <t>580m</t>
    </r>
    <r>
      <rPr>
        <sz val="12"/>
        <color indexed="8"/>
        <rFont val="ＭＳ Ｐゴシック"/>
        <family val="3"/>
        <charset val="128"/>
      </rPr>
      <t>での単価確認＆ビーカー進行お願いします。</t>
    </r>
    <rPh sb="6" eb="8">
      <t>タンカ</t>
    </rPh>
    <rPh sb="8" eb="10">
      <t>カクニン</t>
    </rPh>
    <rPh sb="15" eb="17">
      <t>シンコウ</t>
    </rPh>
    <rPh sb="18" eb="19">
      <t>ネガ</t>
    </rPh>
    <phoneticPr fontId="2"/>
  </si>
  <si>
    <t>abt 232m</t>
    <phoneticPr fontId="2"/>
  </si>
  <si>
    <t>abt 116m</t>
    <phoneticPr fontId="2"/>
  </si>
  <si>
    <r>
      <t>abt 580m (</t>
    </r>
    <r>
      <rPr>
        <sz val="12"/>
        <color indexed="8"/>
        <rFont val="ＭＳ Ｐゴシック"/>
        <family val="3"/>
        <charset val="128"/>
      </rPr>
      <t>±</t>
    </r>
    <r>
      <rPr>
        <sz val="12"/>
        <color indexed="8"/>
        <rFont val="Arial"/>
        <family val="2"/>
      </rPr>
      <t xml:space="preserve"> 5%) </t>
    </r>
    <phoneticPr fontId="2"/>
  </si>
  <si>
    <t>CIF Hong Kong  / m</t>
  </si>
  <si>
    <t>Will be replenished at the end of Oct.</t>
    <phoneticPr fontId="2"/>
  </si>
  <si>
    <t xml:space="preserve">1st shipment  PO# </t>
    <phoneticPr fontId="2"/>
  </si>
  <si>
    <t xml:space="preserve">2nd shipment  PO# </t>
    <phoneticPr fontId="2"/>
  </si>
  <si>
    <t>Will be replenished late Nov.</t>
    <phoneticPr fontId="2"/>
  </si>
  <si>
    <t>L/T : abt 30 – 40 days after the lab-dip is approved</t>
    <phoneticPr fontId="2"/>
  </si>
  <si>
    <t>00144</t>
    <phoneticPr fontId="2"/>
  </si>
  <si>
    <t xml:space="preserve"># 88 </t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</si>
  <si>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>15.13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13</t>
    </r>
    <rPh sb="0" eb="2">
      <t>ツウジョウ</t>
    </rPh>
    <rPh sb="8" eb="10">
      <t>ボウエキ</t>
    </rPh>
    <phoneticPr fontId="2"/>
  </si>
  <si>
    <t>5608 with Metal Tip (Flat)</t>
    <phoneticPr fontId="2"/>
  </si>
  <si>
    <t>5608 :C/# Y2 Natural x Metal Tip Flat (Gold)</t>
    <phoneticPr fontId="2"/>
  </si>
  <si>
    <t>Acrylic Cord with Metal Tip Flat</t>
    <phoneticPr fontId="2"/>
  </si>
  <si>
    <t xml:space="preserve">5607 Heat Cut </t>
    <phoneticPr fontId="2"/>
  </si>
  <si>
    <t xml:space="preserve"># Y2 Natural </t>
    <phoneticPr fontId="2"/>
  </si>
  <si>
    <t>コードカラー x チップ</t>
    <phoneticPr fontId="2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</si>
  <si>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>/pc</t>
    </r>
    <rPh sb="0" eb="2">
      <t>タンカ</t>
    </rPh>
    <phoneticPr fontId="2"/>
  </si>
  <si>
    <t xml:space="preserve">5608(AC3222B) with Metal Tip (Flat) </t>
    <phoneticPr fontId="2"/>
  </si>
  <si>
    <t xml:space="preserve">5607(AC1255E) Heat Cut </t>
    <phoneticPr fontId="2"/>
  </si>
  <si>
    <t>小口代</t>
    <rPh sb="0" eb="3">
      <t>コグチダイ</t>
    </rPh>
    <phoneticPr fontId="2"/>
  </si>
  <si>
    <r>
      <t>113.5</t>
    </r>
    <r>
      <rPr>
        <sz val="12"/>
        <rFont val="ＭＳ Ｐゴシック"/>
        <family val="3"/>
        <charset val="128"/>
      </rPr>
      <t>円</t>
    </r>
    <rPh sb="5" eb="6">
      <t>エン</t>
    </rPh>
    <phoneticPr fontId="2"/>
  </si>
  <si>
    <r>
      <t>14.3</t>
    </r>
    <r>
      <rPr>
        <sz val="12"/>
        <rFont val="ＭＳ Ｐゴシック"/>
        <family val="3"/>
        <charset val="128"/>
      </rPr>
      <t>円</t>
    </r>
    <rPh sb="4" eb="5">
      <t>エン</t>
    </rPh>
    <phoneticPr fontId="2"/>
  </si>
  <si>
    <r>
      <t>500</t>
    </r>
    <r>
      <rPr>
        <sz val="12"/>
        <rFont val="ＭＳ Ｐゴシック"/>
        <family val="3"/>
        <charset val="128"/>
      </rPr>
      <t>円</t>
    </r>
    <rPh sb="3" eb="4">
      <t>エン</t>
    </rPh>
    <phoneticPr fontId="2"/>
  </si>
  <si>
    <t>MNW-211029</t>
    <phoneticPr fontId="2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</si>
  <si>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>/m</t>
    </r>
    <rPh sb="0" eb="2">
      <t>タンカ</t>
    </rPh>
    <phoneticPr fontId="2"/>
  </si>
  <si>
    <r>
      <t>86</t>
    </r>
    <r>
      <rPr>
        <sz val="12"/>
        <rFont val="ＭＳ Ｐゴシック"/>
        <family val="3"/>
        <charset val="128"/>
      </rPr>
      <t>円</t>
    </r>
    <rPh sb="2" eb="3">
      <t>エン</t>
    </rPh>
    <phoneticPr fontId="2"/>
  </si>
  <si>
    <t>STBO-0031-21</t>
    <phoneticPr fontId="2"/>
  </si>
  <si>
    <t>Blue Ocean Far East Co.,Ltd.(A.L.C.)</t>
    <phoneticPr fontId="2"/>
  </si>
  <si>
    <r>
      <t>MNW-211027</t>
    </r>
    <r>
      <rPr>
        <sz val="12"/>
        <color indexed="10"/>
        <rFont val="Arial"/>
        <family val="2"/>
      </rPr>
      <t>-China</t>
    </r>
  </si>
  <si>
    <t xml:space="preserve">5608 Heat Cut </t>
    <phoneticPr fontId="2"/>
  </si>
  <si>
    <t xml:space="preserve">5608(AC3222B) Heat Cut </t>
    <phoneticPr fontId="2"/>
  </si>
  <si>
    <t>Surcharge for below MOQ (US$ 7/set)</t>
    <phoneticPr fontId="2"/>
  </si>
  <si>
    <t>28954</t>
    <phoneticPr fontId="2"/>
  </si>
  <si>
    <r>
      <t>227451</t>
    </r>
    <r>
      <rPr>
        <sz val="12"/>
        <color indexed="30"/>
        <rFont val="Arial"/>
        <family val="2"/>
      </rPr>
      <t xml:space="preserve"> LA</t>
    </r>
  </si>
  <si>
    <t>0370400</t>
    <phoneticPr fontId="2"/>
  </si>
  <si>
    <t>SIM-020</t>
    <phoneticPr fontId="2"/>
  </si>
  <si>
    <t>116 x 46</t>
  </si>
  <si>
    <t>ACETATE 100%</t>
  </si>
  <si>
    <t>552m/color&amp;1,656m/order</t>
  </si>
  <si>
    <t>SIM-027</t>
    <phoneticPr fontId="2"/>
  </si>
  <si>
    <t>138 x 50</t>
  </si>
  <si>
    <t>VI 52% CO 48%</t>
  </si>
  <si>
    <t>300m/color</t>
    <phoneticPr fontId="2"/>
  </si>
  <si>
    <t>SNY-030</t>
    <phoneticPr fontId="2"/>
  </si>
  <si>
    <t>134 x 46</t>
  </si>
  <si>
    <t>SNY-031</t>
    <phoneticPr fontId="2"/>
  </si>
  <si>
    <t>130 x 46</t>
  </si>
  <si>
    <t>368m/color&amp;1,472m/order</t>
  </si>
  <si>
    <t>SYM-008</t>
    <phoneticPr fontId="2"/>
  </si>
  <si>
    <t>140 x 50</t>
  </si>
  <si>
    <t>RECYCLED PES 100%</t>
  </si>
  <si>
    <t>500m/color&amp;1,500m/order</t>
    <phoneticPr fontId="2"/>
  </si>
  <si>
    <t>SYT-036</t>
    <phoneticPr fontId="2"/>
  </si>
  <si>
    <t>135 x 54</t>
  </si>
  <si>
    <t>540m/color</t>
  </si>
  <si>
    <t xml:space="preserve">Production  EXW JAPAN Price /m </t>
    <phoneticPr fontId="2"/>
  </si>
  <si>
    <t>Production order condition</t>
    <phoneticPr fontId="2"/>
  </si>
  <si>
    <t xml:space="preserve">Stock as of 9th Nov. / Note </t>
    <phoneticPr fontId="2"/>
  </si>
  <si>
    <t>Col. Y327 : sample yds in stock, 
L/T for sample roll : abt 40-50 days</t>
    <phoneticPr fontId="2"/>
  </si>
  <si>
    <t>Col. Y253 : sample yds in stock, 
L/T for sample roll : abt 50-60 days</t>
    <phoneticPr fontId="2"/>
  </si>
  <si>
    <t xml:space="preserve">Sorry, but we can't offer in this season due to the tight production capacity </t>
    <phoneticPr fontId="2"/>
  </si>
  <si>
    <t>Col. SO &amp; Y351 : sample yds in stock, 
L/T for sample roll : abt 40 days</t>
    <phoneticPr fontId="2"/>
  </si>
  <si>
    <t>Col. Y354 : sample yds in stock, 
L/T for sample roll : abt 40 days</t>
    <phoneticPr fontId="2"/>
  </si>
  <si>
    <t>ALC 20211109</t>
    <phoneticPr fontId="2"/>
  </si>
  <si>
    <t>KYL-23384</t>
    <phoneticPr fontId="2"/>
  </si>
  <si>
    <t>6397</t>
    <phoneticPr fontId="2"/>
  </si>
  <si>
    <t xml:space="preserve">Dye Fee for Optic White </t>
    <phoneticPr fontId="2"/>
  </si>
  <si>
    <t xml:space="preserve">EXW JAPAN /m for Custom Colors
(including Mill's Optic White) </t>
    <phoneticPr fontId="2"/>
  </si>
  <si>
    <t>JONF21/00128</t>
    <phoneticPr fontId="2"/>
  </si>
  <si>
    <t># 502</t>
    <phoneticPr fontId="2"/>
  </si>
  <si>
    <t xml:space="preserve">LGSUF-111521 </t>
    <phoneticPr fontId="2"/>
  </si>
  <si>
    <t xml:space="preserve">Bailey 44 </t>
    <phoneticPr fontId="2"/>
  </si>
  <si>
    <r>
      <t>Polyester Elastic Cord   Rubber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50%</t>
    </r>
    <r>
      <rPr>
        <sz val="12"/>
        <rFont val="ＭＳ Ｐゴシック"/>
        <family val="3"/>
        <charset val="128"/>
      </rPr>
      <t>，</t>
    </r>
    <r>
      <rPr>
        <sz val="12"/>
        <rFont val="Arial"/>
        <family val="2"/>
      </rPr>
      <t>Polyester</t>
    </r>
    <r>
      <rPr>
        <sz val="12"/>
        <rFont val="ＭＳ Ｐゴシック"/>
        <family val="3"/>
        <charset val="128"/>
      </rPr>
      <t>：</t>
    </r>
    <r>
      <rPr>
        <sz val="12"/>
        <rFont val="Arial"/>
        <family val="2"/>
      </rPr>
      <t>50%</t>
    </r>
    <phoneticPr fontId="2"/>
  </si>
  <si>
    <t xml:space="preserve"># 7 </t>
    <phoneticPr fontId="2"/>
  </si>
  <si>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Arial   "/>
        <family val="2"/>
      </rPr>
      <t>1 roll</t>
    </r>
    <r>
      <rPr>
        <sz val="11"/>
        <rFont val="ＭＳ Ｐゴシック"/>
        <family val="3"/>
        <charset val="128"/>
      </rPr>
      <t/>
    </r>
  </si>
  <si>
    <t>20211116 Bailey</t>
    <phoneticPr fontId="2"/>
  </si>
  <si>
    <t>20211116 ALC</t>
    <phoneticPr fontId="2"/>
  </si>
  <si>
    <t xml:space="preserve">UPS Collect </t>
    <phoneticPr fontId="2"/>
  </si>
  <si>
    <t>0372200</t>
    <phoneticPr fontId="2"/>
  </si>
  <si>
    <t># 77</t>
    <phoneticPr fontId="2"/>
  </si>
  <si>
    <t>SUPF22-SF-001</t>
    <phoneticPr fontId="2"/>
  </si>
  <si>
    <t># 5031</t>
    <phoneticPr fontId="2"/>
  </si>
  <si>
    <t># 5024</t>
    <phoneticPr fontId="2"/>
  </si>
  <si>
    <t># 5014</t>
    <phoneticPr fontId="2"/>
  </si>
  <si>
    <r>
      <t xml:space="preserve">SUPF22-SF-001 </t>
    </r>
    <r>
      <rPr>
        <sz val="12"/>
        <color indexed="10"/>
        <rFont val="Arial"/>
        <family val="2"/>
      </rPr>
      <t xml:space="preserve">LA </t>
    </r>
    <phoneticPr fontId="2"/>
  </si>
  <si>
    <r>
      <t xml:space="preserve">SUPF22-SF-001 </t>
    </r>
    <r>
      <rPr>
        <sz val="12"/>
        <color indexed="10"/>
        <rFont val="Arial"/>
        <family val="2"/>
      </rPr>
      <t xml:space="preserve">Ghana </t>
    </r>
    <phoneticPr fontId="2"/>
  </si>
  <si>
    <r>
      <t>2</t>
    </r>
    <r>
      <rPr>
        <sz val="11"/>
        <rFont val="Arial  "/>
        <family val="2"/>
      </rPr>
      <t>580K</t>
    </r>
    <phoneticPr fontId="2"/>
  </si>
  <si>
    <r>
      <t>3</t>
    </r>
    <r>
      <rPr>
        <sz val="11"/>
        <rFont val="Arial  "/>
        <family val="2"/>
      </rPr>
      <t>030S</t>
    </r>
    <phoneticPr fontId="2"/>
  </si>
  <si>
    <r>
      <t>7</t>
    </r>
    <r>
      <rPr>
        <sz val="11"/>
        <rFont val="Arial  "/>
        <family val="2"/>
      </rPr>
      <t>300U</t>
    </r>
    <phoneticPr fontId="2"/>
  </si>
  <si>
    <r>
      <t>227451</t>
    </r>
    <r>
      <rPr>
        <sz val="12"/>
        <color indexed="30"/>
        <rFont val="Arial"/>
        <family val="2"/>
      </rPr>
      <t xml:space="preserve"> LA</t>
    </r>
    <phoneticPr fontId="2"/>
  </si>
  <si>
    <t>Polyester Cord with Cel Tip</t>
    <phoneticPr fontId="2"/>
  </si>
  <si>
    <t>CO-1AY with Cel Tip</t>
    <phoneticPr fontId="2"/>
  </si>
  <si>
    <t>32"(81.50cm)</t>
    <phoneticPr fontId="2"/>
  </si>
  <si>
    <t>CO-1AY :C/# 1 white x Clear Plastic Tip (15mm )</t>
    <phoneticPr fontId="2"/>
  </si>
  <si>
    <t>CO-1AM with Cel Tip</t>
    <phoneticPr fontId="2"/>
  </si>
  <si>
    <t>CO-1AM :C/# 1 white x Clear Plastic Tip (15mm )</t>
    <phoneticPr fontId="2"/>
  </si>
  <si>
    <t xml:space="preserve">Handling Fee (Inland Freight Charge in Japan) for below US$2000/order </t>
    <phoneticPr fontId="2"/>
  </si>
  <si>
    <t xml:space="preserve">US$ 7/combination for below MOQ 100pcs/combination   </t>
    <phoneticPr fontId="2"/>
  </si>
  <si>
    <t xml:space="preserve">20211122  Raj </t>
    <phoneticPr fontId="2"/>
  </si>
  <si>
    <r>
      <t>S</t>
    </r>
    <r>
      <rPr>
        <sz val="11"/>
        <rFont val="Arial  "/>
        <family val="2"/>
      </rPr>
      <t>V-</t>
    </r>
    <r>
      <rPr>
        <sz val="11"/>
        <rFont val="Arial  "/>
        <family val="2"/>
      </rPr>
      <t>7588</t>
    </r>
    <phoneticPr fontId="2"/>
  </si>
  <si>
    <t>SV-7883</t>
    <phoneticPr fontId="2"/>
  </si>
  <si>
    <t>SV-7870</t>
    <phoneticPr fontId="2"/>
  </si>
  <si>
    <t>SV-7410</t>
    <phoneticPr fontId="2"/>
  </si>
  <si>
    <t>双日・サンコロナ</t>
    <rPh sb="0" eb="2">
      <t>ソウジツ</t>
    </rPh>
    <phoneticPr fontId="2"/>
  </si>
  <si>
    <t xml:space="preserve">20211122 ALC </t>
    <phoneticPr fontId="2"/>
  </si>
  <si>
    <t>梱包代+</t>
    <rPh sb="0" eb="2">
      <t>コンポウ</t>
    </rPh>
    <rPh sb="2" eb="3">
      <t>ダイ</t>
    </rPh>
    <phoneticPr fontId="2"/>
  </si>
  <si>
    <t>RD-211124</t>
    <phoneticPr fontId="2"/>
  </si>
  <si>
    <t>POS21110118</t>
    <phoneticPr fontId="2"/>
  </si>
  <si>
    <t>Price update Burning Torch  20211129</t>
    <phoneticPr fontId="2"/>
  </si>
  <si>
    <t>SUPF22-SF-002</t>
    <phoneticPr fontId="2"/>
  </si>
  <si>
    <t># 5803</t>
    <phoneticPr fontId="2"/>
  </si>
  <si>
    <t># 5402</t>
    <phoneticPr fontId="2"/>
  </si>
  <si>
    <t># 5416</t>
    <phoneticPr fontId="2"/>
  </si>
  <si>
    <t>BROCK2.0-CORDING-120221</t>
    <phoneticPr fontId="2"/>
  </si>
  <si>
    <r>
      <t>125.5</t>
    </r>
    <r>
      <rPr>
        <sz val="12"/>
        <rFont val="ＭＳ Ｐゴシック"/>
        <family val="3"/>
        <charset val="128"/>
      </rPr>
      <t>円</t>
    </r>
    <rPh sb="5" eb="6">
      <t>エン</t>
    </rPh>
    <phoneticPr fontId="2"/>
  </si>
  <si>
    <t>コードカラー</t>
    <phoneticPr fontId="2"/>
  </si>
  <si>
    <r>
      <t>5608 with Metal Tip (Flat)</t>
    </r>
    <r>
      <rPr>
        <sz val="10"/>
        <rFont val="ＭＳ Ｐゴシック"/>
        <family val="3"/>
        <charset val="128"/>
      </rPr>
      <t>　チップ向き統一</t>
    </r>
    <rPh sb="30" eb="31">
      <t>ム</t>
    </rPh>
    <rPh sb="32" eb="34">
      <t>トウイツ</t>
    </rPh>
    <phoneticPr fontId="2"/>
  </si>
  <si>
    <t xml:space="preserve">4 sets (US$ 7/set) </t>
    <phoneticPr fontId="2"/>
  </si>
  <si>
    <t>33"(84cm)</t>
  </si>
  <si>
    <t>37"(94cm)</t>
    <phoneticPr fontId="2"/>
  </si>
  <si>
    <t>13th -14th Jan. 2022</t>
    <phoneticPr fontId="2"/>
  </si>
  <si>
    <t xml:space="preserve">Late December </t>
    <phoneticPr fontId="2"/>
  </si>
  <si>
    <t xml:space="preserve">please confirm the price, will be ready Late December </t>
    <phoneticPr fontId="2"/>
  </si>
  <si>
    <t>99589</t>
    <phoneticPr fontId="2"/>
  </si>
  <si>
    <t xml:space="preserve"># 126 Sky Blue </t>
    <phoneticPr fontId="2"/>
  </si>
  <si>
    <t xml:space="preserve"># 222 Pink </t>
    <phoneticPr fontId="2"/>
  </si>
  <si>
    <t># 54 Pink</t>
    <phoneticPr fontId="2"/>
  </si>
  <si>
    <t># 86 Navy</t>
    <phoneticPr fontId="2"/>
  </si>
  <si>
    <r>
      <t xml:space="preserve">227565 </t>
    </r>
    <r>
      <rPr>
        <sz val="12"/>
        <color indexed="30"/>
        <rFont val="Arial"/>
        <family val="2"/>
      </rPr>
      <t>SNS India</t>
    </r>
    <r>
      <rPr>
        <sz val="12"/>
        <rFont val="Arial"/>
        <family val="2"/>
      </rPr>
      <t xml:space="preserve"> </t>
    </r>
  </si>
  <si>
    <t xml:space="preserve">Only 100m in stock, L/T for the shortage : abt 30 - 40 working days </t>
  </si>
  <si>
    <t xml:space="preserve">Only 80m in stock, L/T for the shortage : abt 30 - 40 working days </t>
    <phoneticPr fontId="2"/>
  </si>
  <si>
    <t xml:space="preserve">Only 200m in stock, L/T for the shortage : abt 30 - 40 working days </t>
    <phoneticPr fontId="2"/>
  </si>
  <si>
    <t xml:space="preserve">in stock, would it be okay to proceed with 68m x 3 rolls ?? </t>
    <phoneticPr fontId="2"/>
  </si>
  <si>
    <t xml:space="preserve">No Stock, L/T is really long, let me offer some other options </t>
    <phoneticPr fontId="2"/>
  </si>
  <si>
    <t xml:space="preserve">No Stock, L/T for the shortage : abt 30 - 40 working days </t>
    <phoneticPr fontId="2"/>
  </si>
  <si>
    <t>FUT 5115</t>
    <phoneticPr fontId="2"/>
  </si>
  <si>
    <t>118 / 120cm</t>
    <phoneticPr fontId="2"/>
  </si>
  <si>
    <t xml:space="preserve">abt 60m </t>
    <phoneticPr fontId="2"/>
  </si>
  <si>
    <t>Decine 800</t>
    <phoneticPr fontId="2"/>
  </si>
  <si>
    <t>112cm</t>
    <phoneticPr fontId="2"/>
  </si>
  <si>
    <t>abt 90m</t>
    <phoneticPr fontId="2"/>
  </si>
  <si>
    <t xml:space="preserve">1 roll </t>
    <phoneticPr fontId="2"/>
  </si>
  <si>
    <t xml:space="preserve">Composition </t>
    <phoneticPr fontId="2"/>
  </si>
  <si>
    <t xml:space="preserve">100% Polyester </t>
    <phoneticPr fontId="2"/>
  </si>
  <si>
    <t xml:space="preserve">100% Cupro ( Bemberg) </t>
    <phoneticPr fontId="2"/>
  </si>
  <si>
    <t>5521-FT</t>
    <phoneticPr fontId="2"/>
  </si>
  <si>
    <t>abt 58m</t>
    <phoneticPr fontId="2"/>
  </si>
  <si>
    <t>580m/col</t>
    <phoneticPr fontId="2"/>
  </si>
  <si>
    <t xml:space="preserve">EXW JAPAN 
Bulk Price /M (  580m /col )    </t>
  </si>
  <si>
    <t xml:space="preserve">EXW JAPAN 
Sample Price /M ( 174m /col )    </t>
    <phoneticPr fontId="2"/>
  </si>
  <si>
    <r>
      <t>Art. No.</t>
    </r>
    <r>
      <rPr>
        <b/>
        <sz val="12"/>
        <rFont val="Arial   "/>
        <family val="2"/>
      </rPr>
      <t xml:space="preserve"> ( Running )</t>
    </r>
    <phoneticPr fontId="2"/>
  </si>
  <si>
    <t>Article No. ( Made to Order )</t>
    <phoneticPr fontId="2"/>
  </si>
  <si>
    <t>Monqiue 20211215</t>
    <phoneticPr fontId="2"/>
  </si>
  <si>
    <t>51963</t>
    <phoneticPr fontId="2"/>
  </si>
  <si>
    <t># 31 Champagne</t>
    <phoneticPr fontId="2"/>
  </si>
  <si>
    <t>COO</t>
    <phoneticPr fontId="2"/>
  </si>
  <si>
    <t>12051</t>
    <phoneticPr fontId="2"/>
  </si>
  <si>
    <r>
      <t>2022.2</t>
    </r>
    <r>
      <rPr>
        <sz val="12"/>
        <color indexed="10"/>
        <rFont val="ＭＳ Ｐゴシック"/>
        <family val="3"/>
        <charset val="128"/>
      </rPr>
      <t>～</t>
    </r>
    <r>
      <rPr>
        <sz val="12"/>
        <color indexed="10"/>
        <rFont val="Arial"/>
        <family val="2"/>
      </rPr>
      <t>15.6</t>
    </r>
    <phoneticPr fontId="2"/>
  </si>
  <si>
    <t># 5006</t>
    <phoneticPr fontId="2"/>
  </si>
  <si>
    <t>SUPF22-SF-003 (20211216)</t>
    <phoneticPr fontId="2"/>
  </si>
  <si>
    <t>CHINA</t>
    <phoneticPr fontId="2"/>
  </si>
  <si>
    <t>JAPAN</t>
    <phoneticPr fontId="2"/>
  </si>
  <si>
    <r>
      <t xml:space="preserve">227595 </t>
    </r>
    <r>
      <rPr>
        <sz val="12"/>
        <color indexed="30"/>
        <rFont val="Arial"/>
        <family val="2"/>
      </rPr>
      <t>LA</t>
    </r>
    <phoneticPr fontId="2"/>
  </si>
  <si>
    <t>Sahar Fotouhi  20211220</t>
    <phoneticPr fontId="2"/>
  </si>
  <si>
    <t>Suncorona 見積もり エクセル保存</t>
    <rPh sb="10" eb="12">
      <t>ミツ</t>
    </rPh>
    <rPh sb="19" eb="21">
      <t>ホゾン</t>
    </rPh>
    <phoneticPr fontId="2"/>
  </si>
  <si>
    <r>
      <t xml:space="preserve">227612 </t>
    </r>
    <r>
      <rPr>
        <sz val="12"/>
        <color indexed="30"/>
        <rFont val="Arial"/>
        <family val="2"/>
      </rPr>
      <t>SNS India</t>
    </r>
    <r>
      <rPr>
        <sz val="12"/>
        <rFont val="Arial"/>
        <family val="2"/>
      </rPr>
      <t xml:space="preserve"> </t>
    </r>
    <phoneticPr fontId="2"/>
  </si>
  <si>
    <t>5521-FT (Temporary Alternative Quality for 5600-FT)</t>
    <phoneticPr fontId="2"/>
  </si>
  <si>
    <t>RD-211221</t>
    <phoneticPr fontId="2"/>
  </si>
  <si>
    <t># 308</t>
    <phoneticPr fontId="2"/>
  </si>
  <si>
    <t># A8</t>
    <phoneticPr fontId="2"/>
  </si>
  <si>
    <t># 320</t>
    <phoneticPr fontId="2"/>
  </si>
  <si>
    <t xml:space="preserve"># A1 </t>
    <phoneticPr fontId="2"/>
  </si>
  <si>
    <t># GP1</t>
    <phoneticPr fontId="2"/>
  </si>
  <si>
    <t># 187</t>
    <phoneticPr fontId="2"/>
  </si>
  <si>
    <t>#A14</t>
    <phoneticPr fontId="2"/>
  </si>
  <si>
    <t># A17</t>
    <phoneticPr fontId="2"/>
  </si>
  <si>
    <t># 309</t>
    <phoneticPr fontId="2"/>
  </si>
  <si>
    <t># 303</t>
    <phoneticPr fontId="2"/>
  </si>
  <si>
    <t># Y604</t>
    <phoneticPr fontId="2"/>
  </si>
  <si>
    <t xml:space="preserve">51963(replacement for the lost goods) </t>
    <phoneticPr fontId="2"/>
  </si>
  <si>
    <t>International Freight</t>
    <phoneticPr fontId="2"/>
  </si>
  <si>
    <r>
      <rPr>
        <b/>
        <sz val="12"/>
        <color indexed="14"/>
        <rFont val="Arial"/>
        <family val="2"/>
      </rPr>
      <t>UPS Insurance</t>
    </r>
    <r>
      <rPr>
        <b/>
        <sz val="12"/>
        <rFont val="Arial"/>
        <family val="2"/>
      </rPr>
      <t xml:space="preserve"> </t>
    </r>
    <phoneticPr fontId="2"/>
  </si>
  <si>
    <t xml:space="preserve">20220113 Royal Spirit </t>
    <phoneticPr fontId="2"/>
  </si>
  <si>
    <r>
      <t>T</t>
    </r>
    <r>
      <rPr>
        <sz val="12"/>
        <rFont val="Arial  "/>
        <family val="2"/>
      </rPr>
      <t>I-1420</t>
    </r>
    <phoneticPr fontId="2"/>
  </si>
  <si>
    <r>
      <t>Kargisan Karabuk Giyim San. Ve Tic. A.S.</t>
    </r>
    <r>
      <rPr>
        <sz val="12"/>
        <rFont val="ＭＳ Ｐゴシック"/>
        <family val="3"/>
        <charset val="128"/>
      </rPr>
      <t>　</t>
    </r>
    <r>
      <rPr>
        <sz val="12"/>
        <rFont val="Arial"/>
        <family val="2"/>
      </rPr>
      <t>(A.L.C.)</t>
    </r>
    <phoneticPr fontId="2"/>
  </si>
  <si>
    <t xml:space="preserve">Herringbone Tape   Polyester-100%  </t>
    <phoneticPr fontId="2"/>
  </si>
  <si>
    <t xml:space="preserve">International Freight TNT </t>
    <phoneticPr fontId="2"/>
  </si>
  <si>
    <t>Sub total</t>
    <phoneticPr fontId="2"/>
  </si>
  <si>
    <t>AH22PT01046</t>
    <phoneticPr fontId="2"/>
  </si>
  <si>
    <t>PF22-203</t>
    <phoneticPr fontId="2"/>
  </si>
  <si>
    <t># YB1</t>
    <phoneticPr fontId="2"/>
  </si>
  <si>
    <t>Houghton by Katharine Polk</t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</si>
  <si>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>18.17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15.6</t>
    </r>
    <rPh sb="0" eb="2">
      <t>ツウジョウ</t>
    </rPh>
    <rPh sb="8" eb="10">
      <t>ボウエキ</t>
    </rPh>
    <phoneticPr fontId="2"/>
  </si>
  <si>
    <t>Houghton by Katharine Polk</t>
    <phoneticPr fontId="2"/>
  </si>
  <si>
    <t># 24 Light Pink</t>
    <phoneticPr fontId="2"/>
  </si>
  <si>
    <t xml:space="preserve">20220119 Royal Spirit </t>
    <phoneticPr fontId="2"/>
  </si>
  <si>
    <t>DTM Min.</t>
    <phoneticPr fontId="2"/>
  </si>
  <si>
    <t>3000m /col ( *Dye fee USD 250/col for under DTm Min. 3000m/col )</t>
    <phoneticPr fontId="2"/>
  </si>
  <si>
    <t>HGN-email 220120</t>
    <phoneticPr fontId="2"/>
  </si>
  <si>
    <t>SPG-email 220121</t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</si>
  <si>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>47.80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40.94</t>
    </r>
    <rPh sb="0" eb="2">
      <t>ツウジョウ</t>
    </rPh>
    <rPh sb="8" eb="10">
      <t>ボウエキ</t>
    </rPh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</si>
  <si>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>88.97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76.24</t>
    </r>
    <rPh sb="0" eb="2">
      <t>ツウジョウ</t>
    </rPh>
    <rPh sb="8" eb="10">
      <t>ボウエキ</t>
    </rPh>
    <phoneticPr fontId="2"/>
  </si>
  <si>
    <r>
      <t xml:space="preserve"># 8 Black  </t>
    </r>
    <r>
      <rPr>
        <sz val="12"/>
        <color indexed="30"/>
        <rFont val="Arial"/>
        <family val="2"/>
      </rPr>
      <t>Made in JAPAN</t>
    </r>
    <r>
      <rPr>
        <sz val="12"/>
        <rFont val="Arial"/>
        <family val="2"/>
      </rPr>
      <t xml:space="preserve"> </t>
    </r>
  </si>
  <si>
    <r>
      <t xml:space="preserve"># 8 Black  </t>
    </r>
    <r>
      <rPr>
        <sz val="12"/>
        <color indexed="30"/>
        <rFont val="Arial"/>
        <family val="2"/>
      </rPr>
      <t>Made in CHINA</t>
    </r>
    <phoneticPr fontId="2"/>
  </si>
  <si>
    <t>PO-00187</t>
    <phoneticPr fontId="2"/>
  </si>
  <si>
    <t>TEG-220121</t>
    <phoneticPr fontId="2"/>
  </si>
  <si>
    <t>Article</t>
    <phoneticPr fontId="2"/>
  </si>
  <si>
    <t>4141</t>
    <phoneticPr fontId="2"/>
  </si>
  <si>
    <t>4142</t>
    <phoneticPr fontId="2"/>
  </si>
  <si>
    <t xml:space="preserve">Stretch Satin Ribbon </t>
    <phoneticPr fontId="2"/>
  </si>
  <si>
    <t>Beach Riot 20220121</t>
    <phoneticPr fontId="2"/>
  </si>
  <si>
    <t>BR-220124</t>
    <phoneticPr fontId="2"/>
  </si>
  <si>
    <t xml:space="preserve"># 24 Black </t>
    <phoneticPr fontId="2"/>
  </si>
  <si>
    <t>Stretch Satin Ribbon  Polyester-85%/Polyurethane-15%</t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</si>
  <si>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79</t>
    </r>
    <rPh sb="0" eb="2">
      <t>ツウジョウ</t>
    </rPh>
    <phoneticPr fontId="2"/>
  </si>
  <si>
    <t>通常102</t>
    <rPh sb="0" eb="2">
      <t>ツウジョウ</t>
    </rPh>
    <phoneticPr fontId="2"/>
  </si>
  <si>
    <t>通常96</t>
    <rPh sb="0" eb="2">
      <t>ツウジョウ</t>
    </rPh>
    <phoneticPr fontId="2"/>
  </si>
  <si>
    <t>通常130</t>
    <rPh sb="0" eb="2">
      <t>ツウジョウ</t>
    </rPh>
    <phoneticPr fontId="2"/>
  </si>
  <si>
    <t xml:space="preserve">EXW (JAPAN) / m -sample price </t>
    <phoneticPr fontId="2"/>
  </si>
  <si>
    <t>00003331</t>
    <phoneticPr fontId="2"/>
  </si>
  <si>
    <t>227673</t>
    <phoneticPr fontId="2"/>
  </si>
  <si>
    <t># 240 Red</t>
    <phoneticPr fontId="2"/>
  </si>
  <si>
    <t>HOL22-SF-001</t>
    <phoneticPr fontId="2"/>
  </si>
  <si>
    <r>
      <rPr>
        <b/>
        <sz val="12"/>
        <rFont val="ＭＳ Ｐゴシック"/>
        <family val="3"/>
        <charset val="128"/>
      </rPr>
      <t>送り先</t>
    </r>
    <r>
      <rPr>
        <b/>
        <sz val="12"/>
        <rFont val="Arial"/>
        <family val="2"/>
      </rPr>
      <t xml:space="preserve"> </t>
    </r>
    <r>
      <rPr>
        <b/>
        <sz val="12"/>
        <rFont val="ＭＳ Ｐゴシック"/>
        <family val="3"/>
        <charset val="128"/>
      </rPr>
      <t>①</t>
    </r>
    <rPh sb="0" eb="1">
      <t>オク</t>
    </rPh>
    <rPh sb="2" eb="3">
      <t>サキ</t>
    </rPh>
    <phoneticPr fontId="2"/>
  </si>
  <si>
    <r>
      <rPr>
        <b/>
        <sz val="12"/>
        <rFont val="ＭＳ Ｐゴシック"/>
        <family val="3"/>
        <charset val="128"/>
      </rPr>
      <t>送り先</t>
    </r>
    <r>
      <rPr>
        <b/>
        <sz val="12"/>
        <rFont val="Arial"/>
        <family val="2"/>
      </rPr>
      <t xml:space="preserve"> </t>
    </r>
    <r>
      <rPr>
        <b/>
        <sz val="12"/>
        <rFont val="ＭＳ Ｐゴシック"/>
        <family val="3"/>
        <charset val="128"/>
      </rPr>
      <t>②</t>
    </r>
    <rPh sb="0" eb="1">
      <t>オク</t>
    </rPh>
    <rPh sb="2" eb="3">
      <t>サキ</t>
    </rPh>
    <phoneticPr fontId="2"/>
  </si>
  <si>
    <t>Stretch Velvet Ribbon   Nylon-91.5%/Polyurethane-8.5%</t>
    <phoneticPr fontId="2"/>
  </si>
  <si>
    <t>FB-220128</t>
    <phoneticPr fontId="2"/>
  </si>
  <si>
    <t xml:space="preserve">Frankies Bikinis </t>
    <phoneticPr fontId="2"/>
  </si>
  <si>
    <t>TI-3000N</t>
    <phoneticPr fontId="2"/>
  </si>
  <si>
    <t xml:space="preserve"># 01 </t>
    <phoneticPr fontId="2"/>
  </si>
  <si>
    <t>発注書</t>
    <rPh sb="0" eb="2">
      <t>ハッチュウ</t>
    </rPh>
    <rPh sb="2" eb="3">
      <t>ショ</t>
    </rPh>
    <phoneticPr fontId="2"/>
  </si>
  <si>
    <r>
      <t>SA-525</t>
    </r>
    <r>
      <rPr>
        <sz val="12"/>
        <color indexed="8"/>
        <rFont val="ＭＳ Ｐゴシック"/>
        <family val="3"/>
        <charset val="128"/>
      </rPr>
      <t>　注残分</t>
    </r>
    <rPh sb="7" eb="9">
      <t>チュウザン</t>
    </rPh>
    <rPh sb="9" eb="10">
      <t>ブン</t>
    </rPh>
    <phoneticPr fontId="2"/>
  </si>
  <si>
    <r>
      <t>SA-527</t>
    </r>
    <r>
      <rPr>
        <sz val="12"/>
        <color indexed="8"/>
        <rFont val="ＭＳ Ｐゴシック"/>
        <family val="3"/>
        <charset val="128"/>
      </rPr>
      <t>　</t>
    </r>
    <phoneticPr fontId="2"/>
  </si>
  <si>
    <r>
      <t>SA-527-</t>
    </r>
    <r>
      <rPr>
        <sz val="12"/>
        <color indexed="8"/>
        <rFont val="ＭＳ Ｐゴシック"/>
        <family val="3"/>
        <charset val="128"/>
      </rPr>
      <t>②　</t>
    </r>
    <r>
      <rPr>
        <sz val="12"/>
        <color indexed="10"/>
        <rFont val="Arial"/>
        <family val="2"/>
      </rPr>
      <t>1/28</t>
    </r>
    <r>
      <rPr>
        <sz val="12"/>
        <color indexed="10"/>
        <rFont val="ＭＳ Ｐゴシック"/>
        <family val="3"/>
        <charset val="128"/>
      </rPr>
      <t>追加分</t>
    </r>
  </si>
  <si>
    <t>Madanna Ash(The Evans Group)</t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</si>
  <si>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18.97</t>
    </r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</si>
  <si>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23</t>
    </r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</si>
  <si>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38.53</t>
    </r>
    <phoneticPr fontId="2"/>
  </si>
  <si>
    <r>
      <t>23</t>
    </r>
    <r>
      <rPr>
        <sz val="12"/>
        <rFont val="ＭＳ Ｐゴシック"/>
        <family val="3"/>
        <charset val="128"/>
      </rPr>
      <t>通常</t>
    </r>
    <phoneticPr fontId="2"/>
  </si>
  <si>
    <t>貿易単価↓</t>
    <rPh sb="0" eb="2">
      <t>ボウエキ</t>
    </rPh>
    <rPh sb="2" eb="4">
      <t>タンカ</t>
    </rPh>
    <phoneticPr fontId="2"/>
  </si>
  <si>
    <t xml:space="preserve"># 5803 Pink </t>
    <phoneticPr fontId="2"/>
  </si>
  <si>
    <t xml:space="preserve"># 5014 Black </t>
    <phoneticPr fontId="2"/>
  </si>
  <si>
    <t># 5402 Clay</t>
    <phoneticPr fontId="2"/>
  </si>
  <si>
    <t># 5006 Navy</t>
    <phoneticPr fontId="2"/>
  </si>
  <si>
    <t xml:space="preserve"># 01 </t>
  </si>
  <si>
    <t xml:space="preserve">20220207 for ALC </t>
    <phoneticPr fontId="2"/>
  </si>
  <si>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Arial  "/>
        <family val="2"/>
      </rPr>
      <t>1 roll</t>
    </r>
    <r>
      <rPr>
        <sz val="11"/>
        <rFont val="ＭＳ Ｐゴシック"/>
        <family val="3"/>
        <charset val="128"/>
      </rPr>
      <t/>
    </r>
  </si>
  <si>
    <t>ALC-220207</t>
    <phoneticPr fontId="2"/>
  </si>
  <si>
    <t>Grosgrain Stretch   Ny 76%, Pu 24%</t>
    <phoneticPr fontId="2"/>
  </si>
  <si>
    <r>
      <t>SUN FASHION 1060-2.7.22 -</t>
    </r>
    <r>
      <rPr>
        <sz val="10"/>
        <color indexed="30"/>
        <rFont val="Arial"/>
        <family val="2"/>
      </rPr>
      <t xml:space="preserve"> Ghana </t>
    </r>
    <phoneticPr fontId="2"/>
  </si>
  <si>
    <t>AM-220210</t>
    <phoneticPr fontId="2"/>
  </si>
  <si>
    <t xml:space="preserve">Alexis Monsanto </t>
    <phoneticPr fontId="2"/>
  </si>
  <si>
    <t># 183</t>
    <phoneticPr fontId="2"/>
  </si>
  <si>
    <t>幅 (cm)</t>
    <phoneticPr fontId="2"/>
  </si>
  <si>
    <t>仕立て /反 (m)</t>
    <rPh sb="0" eb="2">
      <t>シタ</t>
    </rPh>
    <rPh sb="5" eb="6">
      <t>タン</t>
    </rPh>
    <phoneticPr fontId="2"/>
  </si>
  <si>
    <t>混率</t>
    <rPh sb="0" eb="2">
      <t>コンリツ</t>
    </rPh>
    <phoneticPr fontId="2"/>
  </si>
  <si>
    <r>
      <t>480</t>
    </r>
    <r>
      <rPr>
        <sz val="11"/>
        <color indexed="8"/>
        <rFont val="ＭＳ Ｐゴシック"/>
        <family val="3"/>
        <charset val="128"/>
      </rPr>
      <t>円</t>
    </r>
    <r>
      <rPr>
        <sz val="11"/>
        <color indexed="8"/>
        <rFont val="Calibri"/>
        <family val="2"/>
      </rPr>
      <t>/m</t>
    </r>
    <rPh sb="3" eb="4">
      <t>エン</t>
    </rPh>
    <phoneticPr fontId="2"/>
  </si>
  <si>
    <r>
      <t>500</t>
    </r>
    <r>
      <rPr>
        <sz val="11"/>
        <color indexed="8"/>
        <rFont val="ＭＳ Ｐゴシック"/>
        <family val="3"/>
        <charset val="128"/>
      </rPr>
      <t>円</t>
    </r>
    <r>
      <rPr>
        <sz val="11"/>
        <color indexed="8"/>
        <rFont val="Calibri"/>
        <family val="2"/>
      </rPr>
      <t>/m</t>
    </r>
    <rPh sb="3" eb="4">
      <t>エン</t>
    </rPh>
    <phoneticPr fontId="2"/>
  </si>
  <si>
    <t xml:space="preserve">Put-up / roll </t>
    <phoneticPr fontId="2"/>
  </si>
  <si>
    <t>Mill's Standard Color</t>
    <phoneticPr fontId="2"/>
  </si>
  <si>
    <t>100% Cotton</t>
  </si>
  <si>
    <t xml:space="preserve">1 roll </t>
  </si>
  <si>
    <t xml:space="preserve">20220214 The Evans Group </t>
    <phoneticPr fontId="2"/>
  </si>
  <si>
    <r>
      <t xml:space="preserve">227727 </t>
    </r>
    <r>
      <rPr>
        <sz val="12"/>
        <color indexed="30"/>
        <rFont val="Arial"/>
        <family val="2"/>
      </rPr>
      <t>LA</t>
    </r>
    <phoneticPr fontId="2"/>
  </si>
  <si>
    <t xml:space="preserve">Stretch Y Section   66% Nylon, 34% Polyurethane </t>
    <phoneticPr fontId="2"/>
  </si>
  <si>
    <t>FALL22-SF-001</t>
    <phoneticPr fontId="2"/>
  </si>
  <si>
    <t>CL-220217</t>
    <phoneticPr fontId="2"/>
  </si>
  <si>
    <t>CL-220221</t>
    <phoneticPr fontId="2"/>
  </si>
  <si>
    <t># 03 Pink</t>
    <phoneticPr fontId="2"/>
  </si>
  <si>
    <t xml:space="preserve"># 24 Yellow </t>
    <phoneticPr fontId="2"/>
  </si>
  <si>
    <t>(set)</t>
    <phoneticPr fontId="2"/>
  </si>
  <si>
    <t xml:space="preserve">Bow Motif  in TI-3000N </t>
    <phoneticPr fontId="2"/>
  </si>
  <si>
    <t># 01 White</t>
    <phoneticPr fontId="2"/>
  </si>
  <si>
    <t xml:space="preserve">Baby Bow Motif  in TI-3000N </t>
    <phoneticPr fontId="2"/>
  </si>
  <si>
    <t>Stretch Velvet Ribbon   Nylon-93%/Polyurethane-7%</t>
    <phoneticPr fontId="2"/>
  </si>
  <si>
    <t>70 pcs in 9mm &amp; 6mm in total</t>
    <phoneticPr fontId="2"/>
  </si>
  <si>
    <t>Bow Motif  in TI-3000N</t>
    <phoneticPr fontId="2"/>
  </si>
  <si>
    <t xml:space="preserve">Bow Motif samples in TI-3000N  (details listed below ) </t>
    <phoneticPr fontId="2"/>
  </si>
  <si>
    <t>EXW (JAPAN) / set</t>
    <phoneticPr fontId="2"/>
  </si>
  <si>
    <t>2819</t>
    <phoneticPr fontId="2"/>
  </si>
  <si>
    <t>Bow Motif samples in TI-3000N (details listed below)</t>
    <phoneticPr fontId="2"/>
  </si>
  <si>
    <t>Stretch Velvet Ribbon  Bow Motifs</t>
    <phoneticPr fontId="2"/>
  </si>
  <si>
    <t>0406800</t>
    <phoneticPr fontId="2"/>
  </si>
  <si>
    <t>14m</t>
    <phoneticPr fontId="2"/>
  </si>
  <si>
    <t>300m -</t>
    <phoneticPr fontId="2"/>
  </si>
  <si>
    <t>KYL-2432-19</t>
    <phoneticPr fontId="2"/>
  </si>
  <si>
    <t xml:space="preserve">14m </t>
    <phoneticPr fontId="2"/>
  </si>
  <si>
    <t>-</t>
  </si>
  <si>
    <t>-</t>
    <phoneticPr fontId="2"/>
  </si>
  <si>
    <t>KYL-23419-19</t>
    <phoneticPr fontId="2"/>
  </si>
  <si>
    <t>KYL-23650-19</t>
    <phoneticPr fontId="2"/>
  </si>
  <si>
    <t>KYL-T8333-1</t>
    <phoneticPr fontId="2"/>
  </si>
  <si>
    <t>T8333-19</t>
    <phoneticPr fontId="2"/>
  </si>
  <si>
    <t xml:space="preserve">Mill's 8 colors available / Mill's Black </t>
    <phoneticPr fontId="2"/>
  </si>
  <si>
    <t>Polyester Petersham Ribbon</t>
    <phoneticPr fontId="2"/>
  </si>
  <si>
    <t>12701</t>
    <phoneticPr fontId="2"/>
  </si>
  <si>
    <t>Velvet Ribbon</t>
    <phoneticPr fontId="2"/>
  </si>
  <si>
    <t>Rayon-70%/Nylon-30%</t>
    <phoneticPr fontId="2"/>
  </si>
  <si>
    <t>11700</t>
    <phoneticPr fontId="2"/>
  </si>
  <si>
    <t>Rayon-89%/Nylon-11%</t>
    <phoneticPr fontId="2"/>
  </si>
  <si>
    <t>14552</t>
    <phoneticPr fontId="2"/>
  </si>
  <si>
    <t>20220224  DDA</t>
    <phoneticPr fontId="2"/>
  </si>
  <si>
    <t>20220224 Ciao Lucia</t>
    <phoneticPr fontId="2"/>
  </si>
  <si>
    <t>20220224　Bailey 44</t>
    <phoneticPr fontId="2"/>
  </si>
  <si>
    <t>2250</t>
  </si>
  <si>
    <t>Full Dull Satin Ribbon (Double Face)</t>
    <phoneticPr fontId="2"/>
  </si>
  <si>
    <t>3803</t>
    <phoneticPr fontId="2"/>
  </si>
  <si>
    <t>Double Faced Satin Ribbon</t>
    <phoneticPr fontId="2"/>
  </si>
  <si>
    <t>DU-511</t>
    <phoneticPr fontId="2"/>
  </si>
  <si>
    <t>107597</t>
    <phoneticPr fontId="2"/>
  </si>
  <si>
    <t>KYL-8333-1</t>
    <phoneticPr fontId="2"/>
  </si>
  <si>
    <t>AH22PT02079</t>
    <phoneticPr fontId="2"/>
  </si>
  <si>
    <t>CIF</t>
    <phoneticPr fontId="2"/>
  </si>
  <si>
    <t>International Freight &amp; Insurance</t>
    <phoneticPr fontId="2"/>
  </si>
  <si>
    <t>PO22020532</t>
    <phoneticPr fontId="2"/>
  </si>
  <si>
    <t>Mill's Black ( yarn dyed)</t>
    <phoneticPr fontId="2"/>
  </si>
  <si>
    <t>The Evans Group</t>
    <phoneticPr fontId="2"/>
  </si>
  <si>
    <t>*No dye ( Mill’s Off White &amp; Mill’s Standard Black yarn only)</t>
  </si>
  <si>
    <t>Shipment</t>
  </si>
  <si>
    <t>EX-Works</t>
  </si>
  <si>
    <t>Mill’s Black</t>
  </si>
  <si>
    <t>Mill’s Off-White</t>
  </si>
  <si>
    <r>
      <t>1</t>
    </r>
    <r>
      <rPr>
        <vertAlign val="superscript"/>
        <sz val="10"/>
        <rFont val="Arial"/>
        <family val="2"/>
      </rPr>
      <t>st</t>
    </r>
    <r>
      <rPr>
        <sz val="10"/>
        <rFont val="Arial"/>
        <family val="2"/>
      </rPr>
      <t xml:space="preserve"> Shipment</t>
    </r>
  </si>
  <si>
    <r>
      <t>15</t>
    </r>
    <r>
      <rPr>
        <vertAlign val="superscript"/>
        <sz val="10"/>
        <rFont val="Arial"/>
        <family val="2"/>
      </rPr>
      <t>th</t>
    </r>
    <r>
      <rPr>
        <sz val="10"/>
        <rFont val="Arial"/>
        <family val="2"/>
      </rPr>
      <t xml:space="preserve"> March</t>
    </r>
  </si>
  <si>
    <t>1,600m</t>
  </si>
  <si>
    <t>4,400m</t>
  </si>
  <si>
    <r>
      <t>2</t>
    </r>
    <r>
      <rPr>
        <vertAlign val="superscript"/>
        <sz val="10"/>
        <rFont val="Arial"/>
        <family val="2"/>
      </rPr>
      <t>nd</t>
    </r>
    <r>
      <rPr>
        <sz val="10"/>
        <rFont val="Arial"/>
        <family val="2"/>
      </rPr>
      <t xml:space="preserve"> Shipment</t>
    </r>
  </si>
  <si>
    <r>
      <t>31</t>
    </r>
    <r>
      <rPr>
        <vertAlign val="superscript"/>
        <sz val="10"/>
        <rFont val="Arial"/>
        <family val="2"/>
      </rPr>
      <t>st</t>
    </r>
    <r>
      <rPr>
        <sz val="10"/>
        <rFont val="Arial"/>
        <family val="2"/>
      </rPr>
      <t xml:space="preserve"> March</t>
    </r>
  </si>
  <si>
    <t>3,400m</t>
  </si>
  <si>
    <t>3,600m</t>
  </si>
  <si>
    <r>
      <t>3</t>
    </r>
    <r>
      <rPr>
        <vertAlign val="superscript"/>
        <sz val="10"/>
        <rFont val="Arial"/>
        <family val="2"/>
      </rPr>
      <t>rd</t>
    </r>
    <r>
      <rPr>
        <sz val="10"/>
        <rFont val="Arial"/>
        <family val="2"/>
      </rPr>
      <t xml:space="preserve"> Shipment</t>
    </r>
  </si>
  <si>
    <r>
      <t>8</t>
    </r>
    <r>
      <rPr>
        <vertAlign val="superscript"/>
        <sz val="10"/>
        <rFont val="Arial"/>
        <family val="2"/>
      </rPr>
      <t>th</t>
    </r>
    <r>
      <rPr>
        <sz val="10"/>
        <rFont val="Arial"/>
        <family val="2"/>
      </rPr>
      <t xml:space="preserve"> April</t>
    </r>
  </si>
  <si>
    <t>5,400m</t>
  </si>
  <si>
    <t>600m</t>
  </si>
  <si>
    <t>Total:</t>
  </si>
  <si>
    <t>10,400m</t>
  </si>
  <si>
    <t>8,600m</t>
  </si>
  <si>
    <r>
      <rPr>
        <sz val="10"/>
        <rFont val="ＭＳ Ｐゴシック"/>
        <family val="3"/>
        <charset val="128"/>
      </rPr>
      <t>工場出荷・</t>
    </r>
    <r>
      <rPr>
        <sz val="10"/>
        <rFont val="Arial"/>
        <family val="2"/>
      </rPr>
      <t xml:space="preserve">SF </t>
    </r>
    <r>
      <rPr>
        <sz val="10"/>
        <rFont val="ＭＳ Ｐゴシック"/>
        <family val="3"/>
        <charset val="128"/>
      </rPr>
      <t>到着日</t>
    </r>
    <rPh sb="0" eb="2">
      <t>コウジョウ</t>
    </rPh>
    <rPh sb="2" eb="4">
      <t>シュッカ</t>
    </rPh>
    <rPh sb="8" eb="11">
      <t>トウチャクビ</t>
    </rPh>
    <rPh sb="9" eb="10">
      <t>チャク</t>
    </rPh>
    <rPh sb="10" eb="11">
      <t>ヒ</t>
    </rPh>
    <phoneticPr fontId="2"/>
  </si>
  <si>
    <r>
      <t>3/14</t>
    </r>
    <r>
      <rPr>
        <sz val="10"/>
        <rFont val="ＭＳ Ｐゴシック"/>
        <family val="3"/>
        <charset val="128"/>
      </rPr>
      <t>出し・</t>
    </r>
    <r>
      <rPr>
        <sz val="10"/>
        <rFont val="Arial"/>
        <family val="2"/>
      </rPr>
      <t xml:space="preserve">3/15 AM </t>
    </r>
    <r>
      <rPr>
        <sz val="10"/>
        <rFont val="ＭＳ Ｐゴシック"/>
        <family val="3"/>
        <charset val="128"/>
      </rPr>
      <t>着</t>
    </r>
    <rPh sb="4" eb="5">
      <t>ダ</t>
    </rPh>
    <rPh sb="15" eb="16">
      <t>チャク</t>
    </rPh>
    <phoneticPr fontId="2"/>
  </si>
  <si>
    <r>
      <t>3/30</t>
    </r>
    <r>
      <rPr>
        <sz val="10"/>
        <rFont val="ＭＳ Ｐゴシック"/>
        <family val="3"/>
        <charset val="128"/>
      </rPr>
      <t>出し・</t>
    </r>
    <r>
      <rPr>
        <sz val="10"/>
        <rFont val="Arial"/>
        <family val="2"/>
      </rPr>
      <t xml:space="preserve">3/31 AM </t>
    </r>
    <r>
      <rPr>
        <sz val="10"/>
        <rFont val="ＭＳ Ｐゴシック"/>
        <family val="3"/>
        <charset val="128"/>
      </rPr>
      <t>着</t>
    </r>
    <rPh sb="4" eb="5">
      <t>ダ</t>
    </rPh>
    <rPh sb="15" eb="16">
      <t>チャク</t>
    </rPh>
    <phoneticPr fontId="2"/>
  </si>
  <si>
    <r>
      <t>4/7</t>
    </r>
    <r>
      <rPr>
        <sz val="10"/>
        <rFont val="ＭＳ Ｐゴシック"/>
        <family val="3"/>
        <charset val="128"/>
      </rPr>
      <t>出し・</t>
    </r>
    <r>
      <rPr>
        <sz val="10"/>
        <rFont val="Arial"/>
        <family val="2"/>
      </rPr>
      <t xml:space="preserve">4/8 AM </t>
    </r>
    <r>
      <rPr>
        <sz val="10"/>
        <rFont val="ＭＳ Ｐゴシック"/>
        <family val="3"/>
        <charset val="128"/>
      </rPr>
      <t>着</t>
    </r>
    <rPh sb="3" eb="4">
      <t>ダ</t>
    </rPh>
    <rPh sb="13" eb="14">
      <t>チャク</t>
    </rPh>
    <phoneticPr fontId="2"/>
  </si>
  <si>
    <t>TEG-220302</t>
    <phoneticPr fontId="2"/>
  </si>
  <si>
    <t xml:space="preserve"># 53 </t>
    <phoneticPr fontId="2"/>
  </si>
  <si>
    <r>
      <t xml:space="preserve">3/2 </t>
    </r>
    <r>
      <rPr>
        <b/>
        <sz val="10"/>
        <rFont val="ＭＳ Ｐゴシック"/>
        <family val="3"/>
        <charset val="128"/>
      </rPr>
      <t>更新</t>
    </r>
    <rPh sb="4" eb="6">
      <t>コウシン</t>
    </rPh>
    <phoneticPr fontId="2"/>
  </si>
  <si>
    <t>4,400m</t>
    <phoneticPr fontId="2"/>
  </si>
  <si>
    <t>2,600m(max 3000m ?)</t>
    <phoneticPr fontId="2"/>
  </si>
  <si>
    <t>3,400m</t>
    <phoneticPr fontId="2"/>
  </si>
  <si>
    <t>1,600m</t>
    <phoneticPr fontId="2"/>
  </si>
  <si>
    <t>Maestro Knitting (A.L.C.)</t>
    <phoneticPr fontId="2"/>
  </si>
  <si>
    <t>0408500</t>
    <phoneticPr fontId="2"/>
  </si>
  <si>
    <t xml:space="preserve"># 329 </t>
    <phoneticPr fontId="2"/>
  </si>
  <si>
    <r>
      <t>Mill</t>
    </r>
    <r>
      <rPr>
        <sz val="10"/>
        <rFont val="SimSun"/>
        <charset val="134"/>
      </rPr>
      <t>’</t>
    </r>
    <r>
      <rPr>
        <sz val="10"/>
        <rFont val="Arial"/>
        <family val="2"/>
      </rPr>
      <t>s Black</t>
    </r>
  </si>
  <si>
    <r>
      <t>Mill</t>
    </r>
    <r>
      <rPr>
        <sz val="10"/>
        <rFont val="SimSun"/>
        <charset val="134"/>
      </rPr>
      <t>’</t>
    </r>
    <r>
      <rPr>
        <sz val="10"/>
        <rFont val="Arial"/>
        <family val="2"/>
      </rPr>
      <t>s Off-White</t>
    </r>
  </si>
  <si>
    <r>
      <t>4,400m</t>
    </r>
    <r>
      <rPr>
        <sz val="10"/>
        <rFont val="游ゴシック"/>
        <family val="3"/>
        <charset val="128"/>
      </rPr>
      <t>→</t>
    </r>
    <r>
      <rPr>
        <sz val="10"/>
        <color indexed="10"/>
        <rFont val="Arial"/>
        <family val="2"/>
      </rPr>
      <t>3,400m</t>
    </r>
  </si>
  <si>
    <r>
      <t>5,400m</t>
    </r>
    <r>
      <rPr>
        <sz val="10"/>
        <rFont val="游ゴシック"/>
        <family val="3"/>
        <charset val="128"/>
      </rPr>
      <t>→</t>
    </r>
    <r>
      <rPr>
        <sz val="10"/>
        <color indexed="10"/>
        <rFont val="Arial"/>
        <family val="2"/>
      </rPr>
      <t>4,400m</t>
    </r>
  </si>
  <si>
    <r>
      <t>600m</t>
    </r>
    <r>
      <rPr>
        <sz val="10"/>
        <rFont val="游ゴシック"/>
        <family val="3"/>
        <charset val="128"/>
      </rPr>
      <t>→</t>
    </r>
    <r>
      <rPr>
        <sz val="10"/>
        <color indexed="10"/>
        <rFont val="Arial"/>
        <family val="2"/>
      </rPr>
      <t>1,600m</t>
    </r>
  </si>
  <si>
    <r>
      <t>1,600m</t>
    </r>
    <r>
      <rPr>
        <sz val="10"/>
        <rFont val="游ゴシック"/>
        <family val="3"/>
        <charset val="128"/>
      </rPr>
      <t>→</t>
    </r>
    <r>
      <rPr>
        <sz val="10"/>
        <color indexed="10"/>
        <rFont val="Arial"/>
        <family val="2"/>
      </rPr>
      <t>2,600m</t>
    </r>
    <phoneticPr fontId="2"/>
  </si>
  <si>
    <t xml:space="preserve">Original request we are following  </t>
    <phoneticPr fontId="2"/>
  </si>
  <si>
    <t xml:space="preserve">Qty on the revised PO </t>
    <phoneticPr fontId="2"/>
  </si>
  <si>
    <t>10,000m</t>
    <phoneticPr fontId="2"/>
  </si>
  <si>
    <t>20220303  DDA</t>
    <phoneticPr fontId="2"/>
  </si>
  <si>
    <t xml:space="preserve">KYL-T8237-1 </t>
    <phoneticPr fontId="2"/>
  </si>
  <si>
    <t xml:space="preserve">abt 140m in stock </t>
    <phoneticPr fontId="2"/>
  </si>
  <si>
    <t xml:space="preserve">abt 36m in stock </t>
    <phoneticPr fontId="2"/>
  </si>
  <si>
    <r>
      <t xml:space="preserve">3/3 </t>
    </r>
    <r>
      <rPr>
        <b/>
        <sz val="10"/>
        <rFont val="ＭＳ Ｐゴシック"/>
        <family val="3"/>
        <charset val="128"/>
      </rPr>
      <t>更新</t>
    </r>
    <rPh sb="4" eb="6">
      <t>コウシン</t>
    </rPh>
    <phoneticPr fontId="2"/>
  </si>
  <si>
    <r>
      <t>2,600m</t>
    </r>
    <r>
      <rPr>
        <sz val="10"/>
        <color indexed="10"/>
        <rFont val="Arial"/>
        <family val="2"/>
      </rPr>
      <t>(</t>
    </r>
    <r>
      <rPr>
        <sz val="10"/>
        <color indexed="10"/>
        <rFont val="ＭＳ Ｐゴシック"/>
        <family val="3"/>
        <charset val="128"/>
      </rPr>
      <t>→先方希望</t>
    </r>
    <r>
      <rPr>
        <sz val="10"/>
        <color indexed="10"/>
        <rFont val="Arial"/>
        <family val="2"/>
      </rPr>
      <t xml:space="preserve"> 3420m)</t>
    </r>
  </si>
  <si>
    <r>
      <t>3,600m</t>
    </r>
    <r>
      <rPr>
        <sz val="10"/>
        <color indexed="10"/>
        <rFont val="Arial"/>
        <family val="2"/>
      </rPr>
      <t>(</t>
    </r>
    <r>
      <rPr>
        <sz val="10"/>
        <color indexed="10"/>
        <rFont val="ＭＳ Ｐゴシック"/>
        <family val="3"/>
        <charset val="128"/>
      </rPr>
      <t>→先方希望</t>
    </r>
    <r>
      <rPr>
        <sz val="10"/>
        <color indexed="10"/>
        <rFont val="Arial"/>
        <family val="2"/>
      </rPr>
      <t xml:space="preserve"> 5100m)</t>
    </r>
    <phoneticPr fontId="2"/>
  </si>
  <si>
    <t>VSPR2202</t>
    <phoneticPr fontId="2"/>
  </si>
  <si>
    <t>Cherry LA</t>
    <phoneticPr fontId="2"/>
  </si>
  <si>
    <t>Nylon Cord   Nylon-100%</t>
    <phoneticPr fontId="2"/>
  </si>
  <si>
    <t>107826</t>
    <phoneticPr fontId="2"/>
  </si>
  <si>
    <t>FP-20220307</t>
    <phoneticPr fontId="2"/>
  </si>
  <si>
    <t>7608</t>
    <phoneticPr fontId="2"/>
  </si>
  <si>
    <t>Stretch Velvet Ribbon  Bow Motifs  Nylon-91.5%/Polyurethane-8.5%</t>
    <phoneticPr fontId="2"/>
  </si>
  <si>
    <t xml:space="preserve"># 03 TENDER TOUCH PINK  </t>
    <phoneticPr fontId="2"/>
  </si>
  <si>
    <t># 24 CANARY</t>
    <phoneticPr fontId="2"/>
  </si>
  <si>
    <t xml:space="preserve">Frankie's Bikinis </t>
    <phoneticPr fontId="2"/>
  </si>
  <si>
    <t>f</t>
    <phoneticPr fontId="2"/>
  </si>
  <si>
    <t>商品代込みの一式費用</t>
    <rPh sb="0" eb="2">
      <t>ショウヒン</t>
    </rPh>
    <rPh sb="2" eb="3">
      <t>ダイ</t>
    </rPh>
    <rPh sb="3" eb="4">
      <t>コ</t>
    </rPh>
    <rPh sb="6" eb="8">
      <t>イッシキ</t>
    </rPh>
    <rPh sb="8" eb="10">
      <t>ヒヨウ</t>
    </rPh>
    <phoneticPr fontId="2"/>
  </si>
  <si>
    <t>MK-220308</t>
    <phoneticPr fontId="2"/>
  </si>
  <si>
    <t xml:space="preserve">Total </t>
    <phoneticPr fontId="2"/>
  </si>
  <si>
    <t xml:space="preserve">in progress </t>
    <phoneticPr fontId="2"/>
  </si>
  <si>
    <t xml:space="preserve">Revised order from High Fashion </t>
    <phoneticPr fontId="2"/>
  </si>
  <si>
    <t>extra</t>
    <phoneticPr fontId="2"/>
  </si>
  <si>
    <t xml:space="preserve">sub total </t>
    <phoneticPr fontId="2"/>
  </si>
  <si>
    <t>仕入単価（特価）</t>
    <rPh sb="0" eb="2">
      <t>シイレ</t>
    </rPh>
    <rPh sb="2" eb="4">
      <t>タンカ</t>
    </rPh>
    <rPh sb="5" eb="7">
      <t>トッカ</t>
    </rPh>
    <phoneticPr fontId="2"/>
  </si>
  <si>
    <t>仕入小計（特価）</t>
    <rPh sb="0" eb="2">
      <t>シイレ</t>
    </rPh>
    <rPh sb="2" eb="4">
      <t>ショウケイ</t>
    </rPh>
    <rPh sb="5" eb="7">
      <t>トッカ</t>
    </rPh>
    <phoneticPr fontId="2"/>
  </si>
  <si>
    <t>Frame Liability email 9th March,2022</t>
    <phoneticPr fontId="2"/>
  </si>
  <si>
    <t>Ribbon : Japan, BOW finish:China</t>
    <phoneticPr fontId="2"/>
  </si>
  <si>
    <t xml:space="preserve"> 2440RE</t>
    <phoneticPr fontId="2"/>
  </si>
  <si>
    <t>Price</t>
    <phoneticPr fontId="2"/>
  </si>
  <si>
    <r>
      <t>320</t>
    </r>
    <r>
      <rPr>
        <sz val="12"/>
        <color indexed="8"/>
        <rFont val="ＭＳ Ｐゴシック"/>
        <family val="3"/>
        <charset val="128"/>
      </rPr>
      <t>円</t>
    </r>
    <rPh sb="3" eb="4">
      <t>エン</t>
    </rPh>
    <phoneticPr fontId="2"/>
  </si>
  <si>
    <t>6871</t>
    <phoneticPr fontId="2"/>
  </si>
  <si>
    <t>A FASHION COMPANY LIMITED(Jonathan Simkhai )</t>
    <phoneticPr fontId="2"/>
  </si>
  <si>
    <t>2835</t>
    <phoneticPr fontId="2"/>
  </si>
  <si>
    <r>
      <t xml:space="preserve">227870 </t>
    </r>
    <r>
      <rPr>
        <sz val="12"/>
        <color indexed="30"/>
        <rFont val="Arial"/>
        <family val="2"/>
      </rPr>
      <t>LA</t>
    </r>
    <phoneticPr fontId="2"/>
  </si>
  <si>
    <t>Bank Charge</t>
    <phoneticPr fontId="2"/>
  </si>
  <si>
    <t>7617</t>
    <phoneticPr fontId="2"/>
  </si>
  <si>
    <t># 24 CANARY YELLOW</t>
    <phoneticPr fontId="2"/>
  </si>
  <si>
    <t># 03 PINK</t>
    <phoneticPr fontId="2"/>
  </si>
  <si>
    <t># 01 WHITE</t>
    <phoneticPr fontId="2"/>
  </si>
  <si>
    <t>Stock as of 15th March,2022</t>
    <phoneticPr fontId="2"/>
  </si>
  <si>
    <t xml:space="preserve">200m in stock </t>
    <phoneticPr fontId="2"/>
  </si>
  <si>
    <t>no stock, L/T : abt 4 - 5 working days</t>
    <phoneticPr fontId="2"/>
  </si>
  <si>
    <t xml:space="preserve">170m in stock </t>
    <phoneticPr fontId="2"/>
  </si>
  <si>
    <r>
      <rPr>
        <sz val="9"/>
        <color indexed="9"/>
        <rFont val="ＭＳ Ｐゴシック"/>
        <family val="3"/>
        <charset val="128"/>
      </rPr>
      <t>インデックス</t>
    </r>
    <phoneticPr fontId="2"/>
  </si>
  <si>
    <t xml:space="preserve">Art Description </t>
    <phoneticPr fontId="2"/>
  </si>
  <si>
    <t>The number of 
Mill's Standard Color</t>
    <phoneticPr fontId="2"/>
  </si>
  <si>
    <t>Weight (g/m2)</t>
    <phoneticPr fontId="2"/>
  </si>
  <si>
    <t xml:space="preserve">EXW JAPAN /m
</t>
    <phoneticPr fontId="2"/>
  </si>
  <si>
    <r>
      <rPr>
        <sz val="8"/>
        <rFont val="ＭＳ Ｐゴシック"/>
        <family val="3"/>
        <charset val="128"/>
      </rPr>
      <t>オーガンザ</t>
    </r>
    <phoneticPr fontId="2"/>
  </si>
  <si>
    <t>NN007-CSP</t>
    <phoneticPr fontId="2"/>
  </si>
  <si>
    <r>
      <rPr>
        <sz val="8"/>
        <rFont val="ＭＳ Ｐゴシック"/>
        <family val="3"/>
        <charset val="128"/>
      </rPr>
      <t>エアファブリック</t>
    </r>
    <r>
      <rPr>
        <sz val="8"/>
        <rFont val="Arial  "/>
        <family val="2"/>
      </rPr>
      <t xml:space="preserve"> </t>
    </r>
    <r>
      <rPr>
        <sz val="8"/>
        <rFont val="ＭＳ Ｐゴシック"/>
        <family val="3"/>
        <charset val="128"/>
      </rPr>
      <t>カラースパッタリング</t>
    </r>
  </si>
  <si>
    <t>155×50</t>
  </si>
  <si>
    <t>Up to 20m</t>
    <phoneticPr fontId="2"/>
  </si>
  <si>
    <t>Organza</t>
    <phoneticPr fontId="2"/>
  </si>
  <si>
    <t>Air Fabric Color-sputtering</t>
  </si>
  <si>
    <r>
      <rPr>
        <sz val="8"/>
        <rFont val="ＭＳ Ｐゴシック"/>
        <family val="3"/>
        <charset val="128"/>
      </rPr>
      <t>オーガンザ</t>
    </r>
  </si>
  <si>
    <r>
      <rPr>
        <sz val="8"/>
        <rFont val="ＭＳ Ｐゴシック"/>
        <family val="3"/>
        <charset val="128"/>
      </rPr>
      <t>マイクロリップルオーガンザ</t>
    </r>
  </si>
  <si>
    <t>132×50</t>
  </si>
  <si>
    <t>Organza</t>
  </si>
  <si>
    <t>Micro-ripple Organza</t>
  </si>
  <si>
    <t>2440</t>
    <phoneticPr fontId="2"/>
  </si>
  <si>
    <r>
      <rPr>
        <sz val="8"/>
        <rFont val="ＭＳ Ｐゴシック"/>
        <family val="3"/>
        <charset val="128"/>
      </rPr>
      <t>パレットオーガンザ</t>
    </r>
  </si>
  <si>
    <t>140×58</t>
  </si>
  <si>
    <t>Palette Organza</t>
  </si>
  <si>
    <t>5600</t>
    <phoneticPr fontId="2"/>
  </si>
  <si>
    <r>
      <rPr>
        <sz val="8"/>
        <rFont val="ＭＳ Ｐゴシック"/>
        <family val="3"/>
        <charset val="128"/>
      </rPr>
      <t>サテンオーガンザ</t>
    </r>
  </si>
  <si>
    <t>Satin Organza</t>
  </si>
  <si>
    <r>
      <rPr>
        <sz val="8"/>
        <rFont val="ＭＳ Ｐゴシック"/>
        <family val="3"/>
        <charset val="128"/>
      </rPr>
      <t>リファインドサテンオーガンザ</t>
    </r>
  </si>
  <si>
    <t>Refined Satin Organza</t>
  </si>
  <si>
    <t>NN007</t>
    <phoneticPr fontId="2"/>
  </si>
  <si>
    <r>
      <rPr>
        <sz val="8"/>
        <rFont val="ＭＳ Ｐゴシック"/>
        <family val="3"/>
        <charset val="128"/>
      </rPr>
      <t>エアファブリック</t>
    </r>
  </si>
  <si>
    <t>150×50</t>
  </si>
  <si>
    <t>Air Fabric</t>
  </si>
  <si>
    <r>
      <rPr>
        <sz val="8"/>
        <rFont val="ＭＳ Ｐゴシック"/>
        <family val="3"/>
        <charset val="128"/>
      </rPr>
      <t>チュール</t>
    </r>
    <phoneticPr fontId="2"/>
  </si>
  <si>
    <r>
      <rPr>
        <sz val="8"/>
        <rFont val="ＭＳ Ｐゴシック"/>
        <family val="3"/>
        <charset val="128"/>
      </rPr>
      <t>ブライトチュール</t>
    </r>
  </si>
  <si>
    <t>152×50</t>
  </si>
  <si>
    <r>
      <t>NYLON 100</t>
    </r>
    <r>
      <rPr>
        <sz val="8"/>
        <rFont val="ＭＳ Ｐゴシック"/>
        <family val="3"/>
        <charset val="128"/>
      </rPr>
      <t>％</t>
    </r>
  </si>
  <si>
    <t>Tulle</t>
    <phoneticPr fontId="2"/>
  </si>
  <si>
    <t>Bright Tulle</t>
  </si>
  <si>
    <r>
      <rPr>
        <sz val="8"/>
        <rFont val="ＭＳ Ｐゴシック"/>
        <family val="3"/>
        <charset val="128"/>
      </rPr>
      <t>チュール</t>
    </r>
  </si>
  <si>
    <r>
      <rPr>
        <sz val="8"/>
        <rFont val="ＭＳ Ｐゴシック"/>
        <family val="3"/>
        <charset val="128"/>
      </rPr>
      <t>ソフトチュール</t>
    </r>
  </si>
  <si>
    <t>160×50</t>
  </si>
  <si>
    <t>Up to 25m</t>
    <phoneticPr fontId="2"/>
  </si>
  <si>
    <t>Tulle</t>
  </si>
  <si>
    <t>Soft Tulle</t>
  </si>
  <si>
    <r>
      <rPr>
        <sz val="8"/>
        <rFont val="ＭＳ Ｐゴシック"/>
        <family val="3"/>
        <charset val="128"/>
      </rPr>
      <t>ポリエステルソフトチュール</t>
    </r>
  </si>
  <si>
    <t>Up to 10m</t>
    <phoneticPr fontId="2"/>
  </si>
  <si>
    <t>Polyester Soft Tulle</t>
  </si>
  <si>
    <r>
      <rPr>
        <sz val="8"/>
        <rFont val="ＭＳ Ｐゴシック"/>
        <family val="3"/>
        <charset val="128"/>
      </rPr>
      <t>ファインチュール</t>
    </r>
  </si>
  <si>
    <t>162×50</t>
  </si>
  <si>
    <t>Fine Tulle</t>
  </si>
  <si>
    <r>
      <rPr>
        <sz val="8"/>
        <rFont val="ＭＳ Ｐゴシック"/>
        <family val="3"/>
        <charset val="128"/>
      </rPr>
      <t>ドレスサテン</t>
    </r>
  </si>
  <si>
    <t>3950</t>
    <phoneticPr fontId="2"/>
  </si>
  <si>
    <r>
      <rPr>
        <sz val="8"/>
        <rFont val="ＭＳ Ｐゴシック"/>
        <family val="3"/>
        <charset val="128"/>
      </rPr>
      <t>モードサテン</t>
    </r>
  </si>
  <si>
    <t>150×46</t>
  </si>
  <si>
    <t>Dress Satin</t>
  </si>
  <si>
    <t>Mode Satin</t>
  </si>
  <si>
    <r>
      <rPr>
        <sz val="8"/>
        <rFont val="ＭＳ Ｐゴシック"/>
        <family val="3"/>
        <charset val="128"/>
      </rPr>
      <t>グログランサテン</t>
    </r>
  </si>
  <si>
    <t>Grosgrain Satin</t>
  </si>
  <si>
    <r>
      <rPr>
        <sz val="8"/>
        <rFont val="ＭＳ Ｐゴシック"/>
        <family val="3"/>
        <charset val="128"/>
      </rPr>
      <t>シフォン</t>
    </r>
  </si>
  <si>
    <t>5049</t>
    <phoneticPr fontId="2"/>
  </si>
  <si>
    <r>
      <t xml:space="preserve">50d </t>
    </r>
    <r>
      <rPr>
        <sz val="8"/>
        <rFont val="ＭＳ Ｐゴシック"/>
        <family val="3"/>
        <charset val="128"/>
      </rPr>
      <t>広幅シフォンジョーゼット</t>
    </r>
  </si>
  <si>
    <t>Chiffon</t>
  </si>
  <si>
    <t>50d Wide Chiffon Georgette</t>
  </si>
  <si>
    <r>
      <rPr>
        <sz val="8"/>
        <rFont val="ＭＳ Ｐゴシック"/>
        <family val="3"/>
        <charset val="128"/>
      </rPr>
      <t>梨地</t>
    </r>
    <rPh sb="0" eb="2">
      <t>ナシジ</t>
    </rPh>
    <phoneticPr fontId="2"/>
  </si>
  <si>
    <t>5081</t>
    <phoneticPr fontId="2"/>
  </si>
  <si>
    <r>
      <rPr>
        <sz val="8"/>
        <rFont val="ＭＳ Ｐゴシック"/>
        <family val="3"/>
        <charset val="128"/>
      </rPr>
      <t>梨地ジョーゼット</t>
    </r>
  </si>
  <si>
    <t>140×40</t>
  </si>
  <si>
    <t>Crepe</t>
    <phoneticPr fontId="2"/>
  </si>
  <si>
    <t>Chambray Crepe Georgette</t>
  </si>
  <si>
    <r>
      <rPr>
        <sz val="8"/>
        <rFont val="ＭＳ Ｐゴシック"/>
        <family val="3"/>
        <charset val="128"/>
      </rPr>
      <t>デシン</t>
    </r>
    <phoneticPr fontId="2"/>
  </si>
  <si>
    <r>
      <rPr>
        <sz val="8"/>
        <rFont val="ＭＳ Ｐゴシック"/>
        <family val="3"/>
        <charset val="128"/>
      </rPr>
      <t>パウダータッチデシン</t>
    </r>
  </si>
  <si>
    <t>143×50</t>
  </si>
  <si>
    <t>Crepe de Chine</t>
    <phoneticPr fontId="2"/>
  </si>
  <si>
    <t>Powder Touch Crepe de Chine</t>
  </si>
  <si>
    <r>
      <rPr>
        <sz val="8"/>
        <rFont val="ＭＳ Ｐゴシック"/>
        <family val="3"/>
        <charset val="128"/>
      </rPr>
      <t>ストレッチ中肉素材</t>
    </r>
    <rPh sb="5" eb="7">
      <t>チュウニク</t>
    </rPh>
    <rPh sb="7" eb="9">
      <t>ソザイ</t>
    </rPh>
    <phoneticPr fontId="2"/>
  </si>
  <si>
    <r>
      <rPr>
        <sz val="8"/>
        <rFont val="ＭＳ Ｐゴシック"/>
        <family val="3"/>
        <charset val="128"/>
      </rPr>
      <t>ストレッチバックサテン梨地</t>
    </r>
  </si>
  <si>
    <t>Stretch Medium Fabric</t>
    <phoneticPr fontId="2"/>
  </si>
  <si>
    <t>Stretch Back Satin Crepe</t>
  </si>
  <si>
    <r>
      <rPr>
        <sz val="8"/>
        <rFont val="ＭＳ Ｐゴシック"/>
        <family val="3"/>
        <charset val="128"/>
      </rPr>
      <t>バイストレッチダブルサテン</t>
    </r>
  </si>
  <si>
    <t>Stretch Medium Fabric</t>
  </si>
  <si>
    <t>Bi-stretch Double Satin</t>
  </si>
  <si>
    <r>
      <rPr>
        <sz val="8"/>
        <rFont val="ＭＳ Ｐゴシック"/>
        <family val="3"/>
        <charset val="128"/>
      </rPr>
      <t>ミストロン</t>
    </r>
  </si>
  <si>
    <t>TW0200-KT</t>
    <phoneticPr fontId="2"/>
  </si>
  <si>
    <r>
      <rPr>
        <sz val="8"/>
        <rFont val="ＭＳ Ｐゴシック"/>
        <family val="3"/>
        <charset val="128"/>
      </rPr>
      <t>ミストロンポリスパンツイル</t>
    </r>
  </si>
  <si>
    <t>Mistron</t>
  </si>
  <si>
    <t>MISTRON Polyspun Twill</t>
  </si>
  <si>
    <r>
      <rPr>
        <sz val="8"/>
        <rFont val="ＭＳ Ｐゴシック"/>
        <family val="3"/>
        <charset val="128"/>
      </rPr>
      <t>ブライトサテン</t>
    </r>
  </si>
  <si>
    <t>Bright Satin</t>
  </si>
  <si>
    <r>
      <t>2022</t>
    </r>
    <r>
      <rPr>
        <b/>
        <sz val="11"/>
        <rFont val="ＭＳ Ｐゴシック"/>
        <family val="3"/>
        <charset val="128"/>
      </rPr>
      <t>年</t>
    </r>
    <r>
      <rPr>
        <b/>
        <sz val="11"/>
        <rFont val="Arial  "/>
        <family val="2"/>
      </rPr>
      <t>4</t>
    </r>
    <r>
      <rPr>
        <b/>
        <sz val="11"/>
        <rFont val="ＭＳ Ｐゴシック"/>
        <family val="3"/>
        <charset val="128"/>
      </rPr>
      <t>月～新単価</t>
    </r>
    <rPh sb="4" eb="5">
      <t>ネン</t>
    </rPh>
    <rPh sb="6" eb="7">
      <t>ガツ</t>
    </rPh>
    <rPh sb="8" eb="11">
      <t>シンタンカ</t>
    </rPh>
    <phoneticPr fontId="2"/>
  </si>
  <si>
    <t>Recycled Polyester</t>
    <phoneticPr fontId="2"/>
  </si>
  <si>
    <r>
      <t>RECYCLED POLYESTER 100</t>
    </r>
    <r>
      <rPr>
        <sz val="8"/>
        <rFont val="ＭＳ Ｐゴシック"/>
        <family val="3"/>
        <charset val="128"/>
      </rPr>
      <t>％</t>
    </r>
    <phoneticPr fontId="2"/>
  </si>
  <si>
    <t>52054</t>
    <phoneticPr fontId="2"/>
  </si>
  <si>
    <r>
      <t xml:space="preserve">CLASSICSRECUT 03.16.22- TBS01/TBS06 BOARIDE CORDING - </t>
    </r>
    <r>
      <rPr>
        <sz val="12"/>
        <color indexed="10"/>
        <rFont val="Arial"/>
        <family val="2"/>
      </rPr>
      <t xml:space="preserve">Golden Stitching </t>
    </r>
    <phoneticPr fontId="2"/>
  </si>
  <si>
    <t>Polyester Cord   100% Polyester</t>
    <phoneticPr fontId="2"/>
  </si>
  <si>
    <r>
      <t xml:space="preserve">CLASSICSRECUT 03.16.22- TBS02 BRIEFS - </t>
    </r>
    <r>
      <rPr>
        <sz val="12"/>
        <color indexed="10"/>
        <rFont val="Arial"/>
        <family val="2"/>
      </rPr>
      <t xml:space="preserve">Golden Stitching </t>
    </r>
    <phoneticPr fontId="2"/>
  </si>
  <si>
    <t xml:space="preserve">Cord color x tipping </t>
    <phoneticPr fontId="2"/>
  </si>
  <si>
    <t>計算式</t>
    <rPh sb="0" eb="2">
      <t>ケイサン</t>
    </rPh>
    <rPh sb="2" eb="3">
      <t>シキ</t>
    </rPh>
    <phoneticPr fontId="2"/>
  </si>
  <si>
    <t>EXW (JAPAN) / piece</t>
    <phoneticPr fontId="2"/>
  </si>
  <si>
    <r>
      <t xml:space="preserve">CLASSICSRECUT 03.18.22- TBS01/TBS06 BOARIDE CORDING - </t>
    </r>
    <r>
      <rPr>
        <sz val="12"/>
        <color indexed="10"/>
        <rFont val="Arial"/>
        <family val="2"/>
      </rPr>
      <t xml:space="preserve">Golden Stitching </t>
    </r>
    <phoneticPr fontId="2"/>
  </si>
  <si>
    <r>
      <t xml:space="preserve">CLASSICSRECUT 03.18.22- TBS02 BRIEFS - </t>
    </r>
    <r>
      <rPr>
        <sz val="12"/>
        <color indexed="10"/>
        <rFont val="Arial"/>
        <family val="2"/>
      </rPr>
      <t xml:space="preserve">Golden Stitching </t>
    </r>
    <phoneticPr fontId="2"/>
  </si>
  <si>
    <r>
      <t xml:space="preserve">SIZE
</t>
    </r>
    <r>
      <rPr>
        <b/>
        <sz val="11"/>
        <rFont val="ＭＳ Ｐゴシック"/>
        <family val="3"/>
        <charset val="128"/>
      </rPr>
      <t>（</t>
    </r>
    <r>
      <rPr>
        <b/>
        <sz val="11"/>
        <rFont val="arial    "/>
        <family val="2"/>
      </rPr>
      <t>cm×m</t>
    </r>
    <r>
      <rPr>
        <b/>
        <sz val="11"/>
        <rFont val="ＭＳ Ｐゴシック"/>
        <family val="3"/>
        <charset val="128"/>
      </rPr>
      <t>）</t>
    </r>
    <phoneticPr fontId="2"/>
  </si>
  <si>
    <t>Notes</t>
    <phoneticPr fontId="2"/>
  </si>
  <si>
    <t xml:space="preserve">20220325 Monique </t>
    <phoneticPr fontId="2"/>
  </si>
  <si>
    <r>
      <t>NYLON 100</t>
    </r>
    <r>
      <rPr>
        <sz val="12"/>
        <color indexed="8"/>
        <rFont val="ＭＳ Ｐゴシック"/>
        <family val="3"/>
        <charset val="128"/>
      </rPr>
      <t>％</t>
    </r>
  </si>
  <si>
    <r>
      <t>POLYESTER 100</t>
    </r>
    <r>
      <rPr>
        <sz val="12"/>
        <color indexed="8"/>
        <rFont val="ＭＳ Ｐゴシック"/>
        <family val="3"/>
        <charset val="128"/>
      </rPr>
      <t>％</t>
    </r>
  </si>
  <si>
    <t>5600-FT</t>
  </si>
  <si>
    <t>NN007</t>
  </si>
  <si>
    <t>2020A-WS</t>
  </si>
  <si>
    <t>BS1220-FS</t>
  </si>
  <si>
    <t xml:space="preserve">20220328 Rodarte </t>
    <phoneticPr fontId="2"/>
  </si>
  <si>
    <t>T7500</t>
  </si>
  <si>
    <t xml:space="preserve">20220328 Jonathan Simkhai </t>
    <phoneticPr fontId="2"/>
  </si>
  <si>
    <t>2440RE</t>
  </si>
  <si>
    <t>Recycle Palette Organza</t>
  </si>
  <si>
    <t>152×58</t>
  </si>
  <si>
    <t>T4100</t>
  </si>
  <si>
    <t>NN007-CSP</t>
  </si>
  <si>
    <t>TW0200-KT</t>
  </si>
  <si>
    <t xml:space="preserve">20220328 Katharine Polk </t>
    <phoneticPr fontId="2"/>
  </si>
  <si>
    <t xml:space="preserve">20220328 Katherine Tash </t>
    <phoneticPr fontId="2"/>
  </si>
  <si>
    <t xml:space="preserve">20220328 The Evans Group  </t>
    <phoneticPr fontId="2"/>
  </si>
  <si>
    <t xml:space="preserve">20220329  Jose Jeans </t>
    <phoneticPr fontId="2"/>
  </si>
  <si>
    <t>KYL-23292-1</t>
    <phoneticPr fontId="2"/>
  </si>
  <si>
    <t>180m -</t>
    <phoneticPr fontId="2"/>
  </si>
  <si>
    <t>KYL-T23296</t>
    <phoneticPr fontId="2"/>
  </si>
  <si>
    <t>Mill's Off White / Mill's Optic White</t>
    <phoneticPr fontId="2"/>
  </si>
  <si>
    <t>KYL-23417-1</t>
    <phoneticPr fontId="2"/>
  </si>
  <si>
    <t>225m -</t>
    <phoneticPr fontId="2"/>
  </si>
  <si>
    <t>KYL-T23417-19</t>
    <phoneticPr fontId="2"/>
  </si>
  <si>
    <t>KYL-T23296-19</t>
    <phoneticPr fontId="2"/>
  </si>
  <si>
    <t xml:space="preserve">Satin Stretch   91% Nylon, 9% Polyurethane </t>
    <phoneticPr fontId="2"/>
  </si>
  <si>
    <t>HOL22-SF-002</t>
    <phoneticPr fontId="2"/>
  </si>
  <si>
    <t>TI-1130</t>
    <phoneticPr fontId="2"/>
  </si>
  <si>
    <t># 109 Dark Brown</t>
    <phoneticPr fontId="2"/>
  </si>
  <si>
    <t xml:space="preserve">20220330 Frankies </t>
    <phoneticPr fontId="2"/>
  </si>
  <si>
    <t>20220330 Katie May</t>
    <phoneticPr fontId="2"/>
  </si>
  <si>
    <t>TI-12-7816 / PFD</t>
    <phoneticPr fontId="2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</si>
  <si>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（貿易部ルールブック参照）</t>
    </r>
    <rPh sb="2" eb="3">
      <t>ホカ</t>
    </rPh>
    <rPh sb="5" eb="8">
      <t>ボウエキブ</t>
    </rPh>
    <rPh sb="14" eb="16">
      <t>サンショウ</t>
    </rPh>
    <phoneticPr fontId="2"/>
  </si>
  <si>
    <r>
      <t xml:space="preserve">227951 </t>
    </r>
    <r>
      <rPr>
        <sz val="12"/>
        <color indexed="30"/>
        <rFont val="Arial"/>
        <family val="2"/>
      </rPr>
      <t>LA</t>
    </r>
    <phoneticPr fontId="2"/>
  </si>
  <si>
    <t># A18 Periwinkle</t>
    <phoneticPr fontId="2"/>
  </si>
  <si>
    <t># 329 Silk White</t>
    <phoneticPr fontId="2"/>
  </si>
  <si>
    <t># 120 Jade</t>
    <phoneticPr fontId="2"/>
  </si>
  <si>
    <r>
      <t xml:space="preserve">227953 </t>
    </r>
    <r>
      <rPr>
        <sz val="12"/>
        <color indexed="30"/>
        <rFont val="Arial"/>
        <family val="2"/>
      </rPr>
      <t>LA</t>
    </r>
    <phoneticPr fontId="2"/>
  </si>
  <si>
    <r>
      <t>R</t>
    </r>
    <r>
      <rPr>
        <b/>
        <sz val="12"/>
        <rFont val="Arial   "/>
        <family val="2"/>
      </rPr>
      <t xml:space="preserve">EF # </t>
    </r>
    <phoneticPr fontId="2"/>
  </si>
  <si>
    <t>反数</t>
    <rPh sb="0" eb="2">
      <t>タンスウ</t>
    </rPh>
    <phoneticPr fontId="2"/>
  </si>
  <si>
    <t>合計数量</t>
    <rPh sb="0" eb="2">
      <t>ゴウケイ</t>
    </rPh>
    <rPh sb="2" eb="4">
      <t>スウリョウ</t>
    </rPh>
    <phoneticPr fontId="2"/>
  </si>
  <si>
    <t xml:space="preserve">JAPAN </t>
    <phoneticPr fontId="2"/>
  </si>
  <si>
    <t>JJ-Email 3/31/22</t>
    <phoneticPr fontId="2"/>
  </si>
  <si>
    <t xml:space="preserve">Joe's Jeans </t>
    <phoneticPr fontId="2"/>
  </si>
  <si>
    <t># 0</t>
    <phoneticPr fontId="2"/>
  </si>
  <si>
    <t>KYL-T23417-1</t>
    <phoneticPr fontId="2"/>
  </si>
  <si>
    <r>
      <t>2022 5/1</t>
    </r>
    <r>
      <rPr>
        <sz val="11"/>
        <color indexed="10"/>
        <rFont val="ＭＳ Ｐゴシック"/>
        <family val="3"/>
        <charset val="128"/>
      </rPr>
      <t>から</t>
    </r>
    <r>
      <rPr>
        <sz val="11"/>
        <color indexed="10"/>
        <rFont val="Arial"/>
        <family val="2"/>
      </rPr>
      <t>26</t>
    </r>
    <r>
      <rPr>
        <sz val="11"/>
        <color indexed="10"/>
        <rFont val="ＭＳ Ｐゴシック"/>
        <family val="3"/>
        <charset val="128"/>
      </rPr>
      <t>円</t>
    </r>
    <rPh sb="12" eb="13">
      <t>エン</t>
    </rPh>
    <phoneticPr fontId="2"/>
  </si>
  <si>
    <r>
      <t xml:space="preserve">227951 </t>
    </r>
    <r>
      <rPr>
        <sz val="12"/>
        <color indexed="30"/>
        <rFont val="Arial"/>
        <family val="2"/>
      </rPr>
      <t>Ship to LA</t>
    </r>
  </si>
  <si>
    <r>
      <t xml:space="preserve">227953 </t>
    </r>
    <r>
      <rPr>
        <sz val="12"/>
        <color indexed="30"/>
        <rFont val="Arial"/>
        <family val="2"/>
      </rPr>
      <t>Ship to LA</t>
    </r>
    <phoneticPr fontId="2"/>
  </si>
  <si>
    <t xml:space="preserve">in stock, ship early next week </t>
    <phoneticPr fontId="2"/>
  </si>
  <si>
    <t>only 8 rolls in stock, shortage will be ready Mid. May</t>
    <phoneticPr fontId="2"/>
  </si>
  <si>
    <t>2022年9月28日まで保管期限</t>
    <rPh sb="4" eb="5">
      <t>ネン</t>
    </rPh>
    <rPh sb="6" eb="7">
      <t>ガツ</t>
    </rPh>
    <rPh sb="9" eb="10">
      <t>ニチ</t>
    </rPh>
    <rPh sb="12" eb="14">
      <t>ホカン</t>
    </rPh>
    <rPh sb="14" eb="16">
      <t>キゲン</t>
    </rPh>
    <phoneticPr fontId="2"/>
  </si>
  <si>
    <t>Nice Fashion 20220404</t>
    <phoneticPr fontId="2"/>
  </si>
  <si>
    <t xml:space="preserve">Conditions </t>
    <phoneticPr fontId="2"/>
  </si>
  <si>
    <r>
      <rPr>
        <sz val="12"/>
        <color indexed="8"/>
        <rFont val="ＭＳ Ｐゴシック"/>
        <family val="3"/>
        <charset val="128"/>
      </rPr>
      <t>◆</t>
    </r>
    <r>
      <rPr>
        <sz val="12"/>
        <color indexed="8"/>
        <rFont val="arial    "/>
        <family val="2"/>
      </rPr>
      <t xml:space="preserve">MOQ: 500m/col
</t>
    </r>
    <r>
      <rPr>
        <sz val="12"/>
        <color indexed="8"/>
        <rFont val="ＭＳ Ｐゴシック"/>
        <family val="3"/>
        <charset val="128"/>
      </rPr>
      <t>◆</t>
    </r>
    <r>
      <rPr>
        <sz val="12"/>
        <color indexed="8"/>
        <rFont val="arial    "/>
        <family val="2"/>
      </rPr>
      <t xml:space="preserve">This Special price is applied only to orders of which whole qty is newly produced as per your request (made to order), not applied for stock qty </t>
    </r>
    <phoneticPr fontId="2"/>
  </si>
  <si>
    <t>Double Faced Bemberg Satin</t>
  </si>
  <si>
    <t>Cupro-100%</t>
  </si>
  <si>
    <t>Joe's Jeans 20220406</t>
    <phoneticPr fontId="2"/>
  </si>
  <si>
    <t>6956</t>
    <phoneticPr fontId="2"/>
  </si>
  <si>
    <t>F22-208</t>
    <phoneticPr fontId="2"/>
  </si>
  <si>
    <t>COL. 312</t>
  </si>
  <si>
    <t>COL. 308</t>
  </si>
  <si>
    <t>COL. A1</t>
  </si>
  <si>
    <t xml:space="preserve">COL. Y427 </t>
  </si>
  <si>
    <t>COL. 9 BLACK</t>
  </si>
  <si>
    <t>206m</t>
    <phoneticPr fontId="2"/>
  </si>
  <si>
    <t>225 YARDS</t>
  </si>
  <si>
    <t>295 YARDS</t>
  </si>
  <si>
    <t>115 YARDS</t>
  </si>
  <si>
    <t>200 YARDS</t>
  </si>
  <si>
    <t>75 YARDS</t>
  </si>
  <si>
    <t>Qty (yds)</t>
    <phoneticPr fontId="2"/>
  </si>
  <si>
    <t xml:space="preserve">meter (abt ) </t>
    <phoneticPr fontId="2"/>
  </si>
  <si>
    <t>SM-220406</t>
    <phoneticPr fontId="2"/>
  </si>
  <si>
    <t>Smartees</t>
    <phoneticPr fontId="2"/>
  </si>
  <si>
    <t>UPS Ref # 1Z78323A0494183964</t>
    <phoneticPr fontId="2"/>
  </si>
  <si>
    <t>UPS Freight Fee for sample</t>
    <phoneticPr fontId="2"/>
  </si>
  <si>
    <t>225 YARDS</t>
    <phoneticPr fontId="2"/>
  </si>
  <si>
    <t>Discon. Only 52m left</t>
    <phoneticPr fontId="2"/>
  </si>
  <si>
    <t>Stock info ( holding till 12th April,2022)</t>
    <phoneticPr fontId="2"/>
  </si>
  <si>
    <t>abt 276m</t>
    <phoneticPr fontId="2"/>
  </si>
  <si>
    <t xml:space="preserve">abt 104m </t>
    <phoneticPr fontId="2"/>
  </si>
  <si>
    <t xml:space="preserve">Do you want exact 69m with cutting fee ? We have 57m piece closest </t>
    <phoneticPr fontId="2"/>
  </si>
  <si>
    <t xml:space="preserve">abt 202m </t>
    <phoneticPr fontId="2"/>
  </si>
  <si>
    <t>FP-20220407-JS</t>
    <phoneticPr fontId="2"/>
  </si>
  <si>
    <t>アソートバルク特価</t>
    <rPh sb="7" eb="9">
      <t>トッカ</t>
    </rPh>
    <phoneticPr fontId="2"/>
  </si>
  <si>
    <t xml:space="preserve">DTM Chocolate </t>
    <phoneticPr fontId="2"/>
  </si>
  <si>
    <t xml:space="preserve">DTM Mulberry </t>
    <phoneticPr fontId="2"/>
  </si>
  <si>
    <t>AH22PT04021</t>
    <phoneticPr fontId="2"/>
  </si>
  <si>
    <t>LGSUNF- 4622</t>
    <phoneticPr fontId="2"/>
  </si>
  <si>
    <t>Double Faced Velveteen Ribbon  Cotton-85%/Nylon-15%</t>
    <phoneticPr fontId="2"/>
  </si>
  <si>
    <t>COLOR# 22</t>
    <phoneticPr fontId="2"/>
  </si>
  <si>
    <t>20220408 Bailey 44</t>
    <phoneticPr fontId="2"/>
  </si>
  <si>
    <t xml:space="preserve">20220408 Everybody World </t>
    <phoneticPr fontId="2"/>
  </si>
  <si>
    <t>TI-TTR-10 / PFD</t>
    <phoneticPr fontId="2"/>
  </si>
  <si>
    <t>ALC-220408</t>
    <phoneticPr fontId="2"/>
  </si>
  <si>
    <t xml:space="preserve">Col. 2 </t>
    <phoneticPr fontId="2"/>
  </si>
  <si>
    <t xml:space="preserve">Silicone Coated Cord  Acrylic-100% </t>
    <phoneticPr fontId="2"/>
  </si>
  <si>
    <t>L size</t>
    <phoneticPr fontId="2"/>
  </si>
  <si>
    <t>Y427 ( Discon.) / made to order</t>
    <phoneticPr fontId="2"/>
  </si>
  <si>
    <t>EXW JAPAN /m for 
12 rolls /col (600m/col)</t>
    <phoneticPr fontId="2"/>
  </si>
  <si>
    <t>EXW JAPAN /m for 
2 rolls /col (100m/col)</t>
    <phoneticPr fontId="2"/>
  </si>
  <si>
    <t>EXW JAPAN /m for 
4 rolls /col (200m/col)</t>
    <phoneticPr fontId="2"/>
  </si>
  <si>
    <t>EXW JAPAN /m for 
6 rolls /col (300m/col)</t>
    <phoneticPr fontId="2"/>
  </si>
  <si>
    <t xml:space="preserve">Custom Color </t>
    <phoneticPr fontId="2"/>
  </si>
  <si>
    <t xml:space="preserve">20220408 Rodarte </t>
    <phoneticPr fontId="2"/>
  </si>
  <si>
    <t>7638</t>
    <phoneticPr fontId="2"/>
  </si>
  <si>
    <t>IARA-220412</t>
    <phoneticPr fontId="2"/>
  </si>
  <si>
    <t>100% Silk Organza</t>
    <phoneticPr fontId="2"/>
  </si>
  <si>
    <t>Col. 23</t>
    <phoneticPr fontId="2"/>
  </si>
  <si>
    <t>L/T based on working days in Japan</t>
    <phoneticPr fontId="2"/>
  </si>
  <si>
    <t>6mm or 9mm ?</t>
    <phoneticPr fontId="2"/>
  </si>
  <si>
    <r>
      <t>Bow Motif  in TI-3000N</t>
    </r>
    <r>
      <rPr>
        <sz val="10"/>
        <rFont val="ＭＳ Ｐゴシック"/>
        <family val="3"/>
        <charset val="128"/>
      </rPr>
      <t>　</t>
    </r>
    <r>
      <rPr>
        <sz val="10"/>
        <rFont val="Arial"/>
        <family val="2"/>
      </rPr>
      <t xml:space="preserve">Ultrasonic Cut  </t>
    </r>
    <phoneticPr fontId="2"/>
  </si>
  <si>
    <t xml:space="preserve">Estee Couture </t>
    <phoneticPr fontId="2"/>
  </si>
  <si>
    <t xml:space="preserve">100% Polyester Fabric </t>
    <phoneticPr fontId="2"/>
  </si>
  <si>
    <t># OF</t>
    <phoneticPr fontId="2"/>
  </si>
  <si>
    <t>COL. Y604</t>
    <phoneticPr fontId="2"/>
  </si>
  <si>
    <t xml:space="preserve">Stock / Lead time </t>
    <phoneticPr fontId="2"/>
  </si>
  <si>
    <t xml:space="preserve">abt 45 days based on working days in Japan </t>
    <phoneticPr fontId="2"/>
  </si>
  <si>
    <t xml:space="preserve">holding </t>
    <phoneticPr fontId="2"/>
  </si>
  <si>
    <t>00232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</si>
  <si>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42.2</t>
    </r>
    <rPh sb="0" eb="2">
      <t>ツウジョウ</t>
    </rPh>
    <rPh sb="2" eb="4">
      <t>タンカ</t>
    </rPh>
    <phoneticPr fontId="2"/>
  </si>
  <si>
    <t># 126 Green</t>
    <phoneticPr fontId="2"/>
  </si>
  <si>
    <t>Double Faced Velveteen Ribbon   Rayon-89%/Nylon-11%</t>
    <phoneticPr fontId="2"/>
  </si>
  <si>
    <t xml:space="preserve"> </t>
    <phoneticPr fontId="2"/>
  </si>
  <si>
    <t>CL-220413</t>
    <phoneticPr fontId="2"/>
  </si>
  <si>
    <t>FB220406</t>
    <phoneticPr fontId="2"/>
  </si>
  <si>
    <t>特価 980</t>
    <rPh sb="0" eb="2">
      <t>トッカ</t>
    </rPh>
    <phoneticPr fontId="2"/>
  </si>
  <si>
    <t>Col. 766</t>
    <phoneticPr fontId="2"/>
  </si>
  <si>
    <t xml:space="preserve">Total amount </t>
    <phoneticPr fontId="2"/>
  </si>
  <si>
    <t>The goods will be ready on 27th -28th April</t>
    <phoneticPr fontId="2"/>
  </si>
  <si>
    <t>EC-220414</t>
    <phoneticPr fontId="2"/>
  </si>
  <si>
    <t>TI-TTR-10</t>
    <phoneticPr fontId="2"/>
  </si>
  <si>
    <t>LGSUN-41822</t>
    <phoneticPr fontId="2"/>
  </si>
  <si>
    <t xml:space="preserve"># 222 </t>
    <phoneticPr fontId="2"/>
  </si>
  <si>
    <t># 0 ( greige/ PFD)</t>
    <phoneticPr fontId="2"/>
  </si>
  <si>
    <t>1948</t>
    <phoneticPr fontId="2"/>
  </si>
  <si>
    <t>COL. 308</t>
    <phoneticPr fontId="2"/>
  </si>
  <si>
    <t>AH22PT04078</t>
    <phoneticPr fontId="2"/>
  </si>
  <si>
    <t xml:space="preserve">Grosgrain Stretch   76% Nylon, 24% Polyurethane </t>
    <phoneticPr fontId="2"/>
  </si>
  <si>
    <t>AH22PT04089</t>
    <phoneticPr fontId="2"/>
  </si>
  <si>
    <t>Col.1 White</t>
    <phoneticPr fontId="2"/>
  </si>
  <si>
    <r>
      <t>Bow Motif  in TI-3000N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Ultrasonic Cut  </t>
    </r>
    <phoneticPr fontId="2"/>
  </si>
  <si>
    <t>00238</t>
    <phoneticPr fontId="2"/>
  </si>
  <si>
    <t>HOL22-SF-003</t>
    <phoneticPr fontId="2"/>
  </si>
  <si>
    <r>
      <t>2022 5/1</t>
    </r>
    <r>
      <rPr>
        <sz val="11"/>
        <color indexed="10"/>
        <rFont val="ＭＳ Ｐゴシック"/>
        <family val="3"/>
        <charset val="128"/>
      </rPr>
      <t>から</t>
    </r>
    <r>
      <rPr>
        <sz val="11"/>
        <color indexed="10"/>
        <rFont val="Arial"/>
        <family val="2"/>
      </rPr>
      <t>38.5</t>
    </r>
    <r>
      <rPr>
        <sz val="11"/>
        <color indexed="10"/>
        <rFont val="ＭＳ Ｐゴシック"/>
        <family val="3"/>
        <charset val="128"/>
      </rPr>
      <t>円</t>
    </r>
    <rPh sb="14" eb="15">
      <t>エン</t>
    </rPh>
    <phoneticPr fontId="2"/>
  </si>
  <si>
    <t>20220426 ALC</t>
    <phoneticPr fontId="2"/>
  </si>
  <si>
    <t xml:space="preserve">20220428 Honorine </t>
    <phoneticPr fontId="2"/>
  </si>
  <si>
    <t xml:space="preserve">abt 670m in Mill's Off White </t>
    <phoneticPr fontId="2"/>
  </si>
  <si>
    <t xml:space="preserve">abt 900m in Mill's Off White </t>
    <phoneticPr fontId="2"/>
  </si>
  <si>
    <t>no stock, abt 600m will be replenished at the end of May</t>
    <phoneticPr fontId="2"/>
  </si>
  <si>
    <t>F22-208-B</t>
    <phoneticPr fontId="2"/>
  </si>
  <si>
    <t>COL. A4</t>
    <phoneticPr fontId="2"/>
  </si>
  <si>
    <t>7047</t>
    <phoneticPr fontId="2"/>
  </si>
  <si>
    <t>52118</t>
    <phoneticPr fontId="2"/>
  </si>
  <si>
    <t># 30 Black</t>
    <phoneticPr fontId="2"/>
  </si>
  <si>
    <t xml:space="preserve">will be ready early next week </t>
    <phoneticPr fontId="2"/>
  </si>
  <si>
    <t xml:space="preserve">No stock, will be ready mid June </t>
    <phoneticPr fontId="2"/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</si>
  <si>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2"/>
  </si>
  <si>
    <r>
      <t>POLYESTER 100</t>
    </r>
    <r>
      <rPr>
        <sz val="10"/>
        <color indexed="8"/>
        <rFont val="ＭＳ Ｐゴシック"/>
        <family val="3"/>
        <charset val="128"/>
      </rPr>
      <t>％</t>
    </r>
  </si>
  <si>
    <t>HOL22-SF-004</t>
    <phoneticPr fontId="2"/>
  </si>
  <si>
    <t xml:space="preserve"># 01 Off  </t>
    <phoneticPr fontId="2"/>
  </si>
  <si>
    <t>POSUN - 0506 - 22</t>
    <phoneticPr fontId="2"/>
  </si>
  <si>
    <t>KYL-Y2439-C</t>
    <phoneticPr fontId="2"/>
  </si>
  <si>
    <t xml:space="preserve">13.7m </t>
    <phoneticPr fontId="2"/>
  </si>
  <si>
    <t>301m -</t>
    <phoneticPr fontId="2"/>
  </si>
  <si>
    <t>KYL-Y2439-R</t>
    <phoneticPr fontId="2"/>
  </si>
  <si>
    <t xml:space="preserve">abt 1m /pc ( 10-15pcs max) </t>
    <phoneticPr fontId="2"/>
  </si>
  <si>
    <t>ALC 20220509</t>
    <phoneticPr fontId="2"/>
  </si>
  <si>
    <t>20220509 ALC</t>
    <phoneticPr fontId="2"/>
  </si>
  <si>
    <r>
      <rPr>
        <sz val="10"/>
        <color indexed="8"/>
        <rFont val="ＭＳ Ｐゴシック"/>
        <family val="3"/>
        <charset val="128"/>
      </rPr>
      <t>　</t>
    </r>
    <r>
      <rPr>
        <sz val="10"/>
        <color indexed="8"/>
        <rFont val="Arial   "/>
        <family val="2"/>
      </rPr>
      <t>1 roll</t>
    </r>
    <r>
      <rPr>
        <sz val="11"/>
        <rFont val="ＭＳ Ｐゴシック"/>
        <family val="3"/>
        <charset val="128"/>
      </rPr>
      <t/>
    </r>
  </si>
  <si>
    <t>3000m /col ( *Dye fee USD 250/col for under DTM Min. 3000m/col )</t>
    <phoneticPr fontId="2"/>
  </si>
  <si>
    <t>DU-529</t>
    <phoneticPr fontId="2"/>
  </si>
  <si>
    <r>
      <t>CLASSICSRECUT 05.10.22 SUN FASHION GROSGRAIN RIBBON -</t>
    </r>
    <r>
      <rPr>
        <sz val="12"/>
        <color indexed="10"/>
        <rFont val="Arial"/>
        <family val="2"/>
      </rPr>
      <t>Ocean Breeze</t>
    </r>
    <phoneticPr fontId="2"/>
  </si>
  <si>
    <t>キープ依頼・納期確認</t>
    <rPh sb="3" eb="5">
      <t>イライ</t>
    </rPh>
    <rPh sb="6" eb="8">
      <t>ノウキ</t>
    </rPh>
    <rPh sb="8" eb="10">
      <t>カクニン</t>
    </rPh>
    <phoneticPr fontId="2"/>
  </si>
  <si>
    <t>キープお願いします</t>
    <rPh sb="4" eb="5">
      <t>ネガ</t>
    </rPh>
    <phoneticPr fontId="2"/>
  </si>
  <si>
    <t>納期確認お願いします</t>
    <rPh sb="0" eb="2">
      <t>ノウキ</t>
    </rPh>
    <rPh sb="2" eb="4">
      <t>カクニン</t>
    </rPh>
    <rPh sb="5" eb="6">
      <t>ネガ</t>
    </rPh>
    <phoneticPr fontId="2"/>
  </si>
  <si>
    <t xml:space="preserve">Stock / Ready date </t>
    <phoneticPr fontId="2"/>
  </si>
  <si>
    <t xml:space="preserve">no stock, will be ready mid June </t>
    <phoneticPr fontId="2"/>
  </si>
  <si>
    <t>Silk-100%</t>
    <phoneticPr fontId="2"/>
  </si>
  <si>
    <t>20220517 Joe's Jeans</t>
    <phoneticPr fontId="2"/>
  </si>
  <si>
    <t>7168</t>
    <phoneticPr fontId="2"/>
  </si>
  <si>
    <r>
      <t xml:space="preserve">228157 </t>
    </r>
    <r>
      <rPr>
        <sz val="12"/>
        <color indexed="30"/>
        <rFont val="Arial"/>
        <family val="2"/>
      </rPr>
      <t>LA</t>
    </r>
    <phoneticPr fontId="2"/>
  </si>
  <si>
    <t># YB1 Pale Blue</t>
    <phoneticPr fontId="2"/>
  </si>
  <si>
    <r>
      <t xml:space="preserve">228157 </t>
    </r>
    <r>
      <rPr>
        <sz val="10"/>
        <color indexed="30"/>
        <rFont val="Arial"/>
        <family val="2"/>
      </rPr>
      <t>LA</t>
    </r>
    <phoneticPr fontId="2"/>
  </si>
  <si>
    <t xml:space="preserve">Availability </t>
    <phoneticPr fontId="2"/>
  </si>
  <si>
    <t xml:space="preserve">49.5m in stock, will be discontinued once the current stock runs out </t>
    <phoneticPr fontId="2"/>
  </si>
  <si>
    <t>Cotton 100%</t>
  </si>
  <si>
    <t>10m</t>
  </si>
  <si>
    <t>100m/col</t>
  </si>
  <si>
    <t xml:space="preserve">50m in stock </t>
    <phoneticPr fontId="2"/>
  </si>
  <si>
    <t xml:space="preserve">10m in stock </t>
    <phoneticPr fontId="2"/>
  </si>
  <si>
    <t xml:space="preserve">Stock in Mill's Off White 
as of today </t>
    <phoneticPr fontId="2"/>
  </si>
  <si>
    <t xml:space="preserve">20220519 Honorine </t>
    <phoneticPr fontId="2"/>
  </si>
  <si>
    <t xml:space="preserve">Pattern No. </t>
    <phoneticPr fontId="2"/>
  </si>
  <si>
    <t>92cm ( 36.2 inch)</t>
    <phoneticPr fontId="2"/>
  </si>
  <si>
    <t xml:space="preserve">Piece length </t>
    <phoneticPr fontId="2"/>
  </si>
  <si>
    <t>13.7m</t>
    <phoneticPr fontId="2"/>
  </si>
  <si>
    <t>MOQ ( Made to order)</t>
    <phoneticPr fontId="2"/>
  </si>
  <si>
    <t xml:space="preserve">2 rolls (13.7m) </t>
    <phoneticPr fontId="2"/>
  </si>
  <si>
    <t xml:space="preserve">Velvet : 65% R, 35% Cu (ttl mix ratio) ,   Embroidery Yarn: Front 100% R, Back 100% PL </t>
    <phoneticPr fontId="2"/>
  </si>
  <si>
    <t>Color : # Black x # Greige White x # Greige White (R120D)</t>
    <phoneticPr fontId="2"/>
  </si>
  <si>
    <t>Color : # Black x # 3096 Pink x # 129 Grey (R120D)</t>
    <phoneticPr fontId="2"/>
  </si>
  <si>
    <t>*Order qty should be 2 rolls increments</t>
    <phoneticPr fontId="2"/>
  </si>
  <si>
    <t>FLR-71733 ( 6660VV )</t>
    <phoneticPr fontId="2"/>
  </si>
  <si>
    <t>CE-00095 (ref# 4500520799)</t>
    <phoneticPr fontId="2"/>
  </si>
  <si>
    <t>Suteks Tekstil Sanayi ve Ticaret AS (Joe's Jeans )</t>
    <phoneticPr fontId="2"/>
  </si>
  <si>
    <t>Double Faced Silk Satin Ribbon   Silk-100%</t>
    <phoneticPr fontId="2"/>
  </si>
  <si>
    <t xml:space="preserve">EXW JAPAN Total Amount </t>
    <phoneticPr fontId="2"/>
  </si>
  <si>
    <t>廃番色の為、キャンセル</t>
    <rPh sb="0" eb="3">
      <t>ハイバンイロ</t>
    </rPh>
    <rPh sb="4" eb="5">
      <t>タメ</t>
    </rPh>
    <phoneticPr fontId="2"/>
  </si>
  <si>
    <t>20220526 Joe's Jeans</t>
    <phoneticPr fontId="2"/>
  </si>
  <si>
    <t># 9000 ( washable synthetic leather)</t>
    <phoneticPr fontId="2"/>
  </si>
  <si>
    <t xml:space="preserve">PP-10 (10mm piping w/pinking) </t>
    <phoneticPr fontId="2"/>
  </si>
  <si>
    <t xml:space="preserve">1 roll ( 25m) </t>
    <phoneticPr fontId="2"/>
  </si>
  <si>
    <t xml:space="preserve">20220526 Ciao Lucia </t>
    <phoneticPr fontId="2"/>
  </si>
  <si>
    <t>FWL-24240</t>
    <phoneticPr fontId="2"/>
  </si>
  <si>
    <t>Stock in Mill's Off White 
as of 26th May, 2022</t>
    <phoneticPr fontId="2"/>
  </si>
  <si>
    <t>OL-576530</t>
    <phoneticPr fontId="2"/>
  </si>
  <si>
    <t xml:space="preserve">Only sampel yds </t>
    <phoneticPr fontId="2"/>
  </si>
  <si>
    <t>abt 200m</t>
    <phoneticPr fontId="2"/>
  </si>
  <si>
    <t>OL-62505-1</t>
    <phoneticPr fontId="2"/>
  </si>
  <si>
    <t>abt 140m</t>
    <phoneticPr fontId="2"/>
  </si>
  <si>
    <t>OL-6883-1</t>
    <phoneticPr fontId="2"/>
  </si>
  <si>
    <t xml:space="preserve"># 40 </t>
    <phoneticPr fontId="2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</si>
  <si>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>81.80</t>
    </r>
    <rPh sb="0" eb="2">
      <t>ツウジョウ</t>
    </rPh>
    <phoneticPr fontId="2"/>
  </si>
  <si>
    <t xml:space="preserve">CE-00095-SMS sample </t>
    <phoneticPr fontId="2"/>
  </si>
  <si>
    <t>100m -</t>
    <phoneticPr fontId="2"/>
  </si>
  <si>
    <t>200m -</t>
    <phoneticPr fontId="2"/>
  </si>
  <si>
    <t>400m -</t>
    <phoneticPr fontId="2"/>
  </si>
  <si>
    <r>
      <rPr>
        <b/>
        <sz val="10"/>
        <rFont val="ＭＳ Ｐゴシック"/>
        <family val="3"/>
        <charset val="128"/>
      </rPr>
      <t>仕入単価</t>
    </r>
    <r>
      <rPr>
        <b/>
        <sz val="10"/>
        <rFont val="Arial"/>
        <family val="2"/>
      </rPr>
      <t xml:space="preserve"> </t>
    </r>
    <r>
      <rPr>
        <b/>
        <sz val="10"/>
        <rFont val="ＭＳ Ｐゴシック"/>
        <family val="3"/>
        <charset val="128"/>
      </rPr>
      <t>オフ白</t>
    </r>
    <r>
      <rPr>
        <b/>
        <sz val="10"/>
        <rFont val="Arial"/>
        <family val="2"/>
      </rPr>
      <t xml:space="preserve"> + </t>
    </r>
    <r>
      <rPr>
        <b/>
        <sz val="10"/>
        <rFont val="ＭＳ Ｐゴシック"/>
        <family val="3"/>
        <charset val="128"/>
      </rPr>
      <t>染色代</t>
    </r>
    <rPh sb="0" eb="2">
      <t>シイレ</t>
    </rPh>
    <rPh sb="2" eb="4">
      <t>タンカ</t>
    </rPh>
    <rPh sb="7" eb="8">
      <t>シロ</t>
    </rPh>
    <rPh sb="11" eb="13">
      <t>センショク</t>
    </rPh>
    <rPh sb="13" eb="14">
      <t>ダイ</t>
    </rPh>
    <phoneticPr fontId="2"/>
  </si>
  <si>
    <t>256 + 80</t>
    <phoneticPr fontId="2"/>
  </si>
  <si>
    <t>90 + 60</t>
    <phoneticPr fontId="2"/>
  </si>
  <si>
    <t xml:space="preserve">63 + 30 </t>
    <phoneticPr fontId="2"/>
  </si>
  <si>
    <t>88 + 30</t>
    <phoneticPr fontId="2"/>
  </si>
  <si>
    <t>CL-220602</t>
    <phoneticPr fontId="2"/>
  </si>
  <si>
    <t xml:space="preserve">Lace Trim  100% Cotton </t>
    <phoneticPr fontId="2"/>
  </si>
  <si>
    <t xml:space="preserve">Lace Trim  Base: 100% Nylon /  Front Yarn : 100% Rayon / Back Yarn :  100% Cotton </t>
    <phoneticPr fontId="2"/>
  </si>
  <si>
    <t xml:space="preserve">C&amp;F Shenzhen </t>
    <phoneticPr fontId="2"/>
  </si>
  <si>
    <r>
      <t xml:space="preserve">AH22PT06018 </t>
    </r>
    <r>
      <rPr>
        <sz val="12"/>
        <color indexed="10"/>
        <rFont val="Arial"/>
        <family val="2"/>
      </rPr>
      <t>Shenzhen</t>
    </r>
    <phoneticPr fontId="2"/>
  </si>
  <si>
    <t>SP23-SF-001</t>
    <phoneticPr fontId="2"/>
  </si>
  <si>
    <t xml:space="preserve">LA SHEEP LOOP  Artificial Leather : Nylon 60% Polyurethane 40%, Core : Polyester 100% </t>
    <phoneticPr fontId="2"/>
  </si>
  <si>
    <t>SIC-8830</t>
    <phoneticPr fontId="2"/>
  </si>
  <si>
    <t>Col. 135</t>
    <phoneticPr fontId="2"/>
  </si>
  <si>
    <t>Silicone Coated Cord  Polyester-100%</t>
    <phoneticPr fontId="2"/>
  </si>
  <si>
    <t>SS size</t>
    <phoneticPr fontId="2"/>
  </si>
  <si>
    <t>Col. 1NT</t>
    <phoneticPr fontId="2"/>
  </si>
  <si>
    <t>In stock, sample cut available up to 5m for regular price x 1.5</t>
    <phoneticPr fontId="2"/>
  </si>
  <si>
    <t>No stock ( 5m sample is available ) , L/T is abt 10 working days in Japan</t>
    <phoneticPr fontId="2"/>
  </si>
  <si>
    <t>Col. 2NT</t>
    <phoneticPr fontId="2"/>
  </si>
  <si>
    <t xml:space="preserve">20220609 Ciao Lucia </t>
    <phoneticPr fontId="2"/>
  </si>
  <si>
    <t>1515</t>
    <phoneticPr fontId="2"/>
  </si>
  <si>
    <t>Single Faced Satin Ribbons</t>
    <phoneticPr fontId="2"/>
  </si>
  <si>
    <t>CL-220610</t>
    <phoneticPr fontId="2"/>
  </si>
  <si>
    <t>Double Faced Satin Ribbon  Polyester-100%</t>
    <phoneticPr fontId="2"/>
  </si>
  <si>
    <t xml:space="preserve">Col. 0 Cream </t>
    <phoneticPr fontId="2"/>
  </si>
  <si>
    <t xml:space="preserve">Col. 5 Black </t>
    <phoneticPr fontId="2"/>
  </si>
  <si>
    <t>Single Faced Satin Ribbons  Polyester-100%</t>
  </si>
  <si>
    <t>Col. 134 Beige</t>
    <phoneticPr fontId="2"/>
  </si>
  <si>
    <r>
      <t>Organic Cotton</t>
    </r>
    <r>
      <rPr>
        <sz val="10"/>
        <color indexed="8"/>
        <rFont val="游ゴシック"/>
        <family val="3"/>
        <charset val="128"/>
      </rPr>
      <t>：</t>
    </r>
    <r>
      <rPr>
        <sz val="10"/>
        <color indexed="8"/>
        <rFont val="Arial  "/>
        <family val="2"/>
      </rPr>
      <t>100%</t>
    </r>
    <phoneticPr fontId="2"/>
  </si>
  <si>
    <t>Organic Cotton Ribbon   Organic Cotto-100%</t>
  </si>
  <si>
    <t>Col. 56 Raw beige</t>
  </si>
  <si>
    <t xml:space="preserve">Col. 23 Raw tan </t>
    <phoneticPr fontId="2"/>
  </si>
  <si>
    <t>7/1~9.27</t>
    <phoneticPr fontId="2"/>
  </si>
  <si>
    <t>7/1~10.5</t>
  </si>
  <si>
    <t>7/1~7.9</t>
    <phoneticPr fontId="2"/>
  </si>
  <si>
    <t>22-S50027Y</t>
    <phoneticPr fontId="2"/>
  </si>
  <si>
    <t>FOOK WAH KUN KEE KNITTING FTY., LTD. (Minnow)</t>
    <phoneticPr fontId="2"/>
  </si>
  <si>
    <t>7/1~25.67</t>
    <phoneticPr fontId="2"/>
  </si>
  <si>
    <r>
      <t xml:space="preserve">228215 </t>
    </r>
    <r>
      <rPr>
        <sz val="12"/>
        <color indexed="30"/>
        <rFont val="Arial"/>
        <family val="2"/>
      </rPr>
      <t>LA</t>
    </r>
    <phoneticPr fontId="2"/>
  </si>
  <si>
    <r>
      <t xml:space="preserve">228216 </t>
    </r>
    <r>
      <rPr>
        <sz val="12"/>
        <color indexed="30"/>
        <rFont val="Arial"/>
        <family val="2"/>
      </rPr>
      <t>LA</t>
    </r>
    <phoneticPr fontId="2"/>
  </si>
  <si>
    <r>
      <t xml:space="preserve">228217 </t>
    </r>
    <r>
      <rPr>
        <sz val="12"/>
        <color indexed="30"/>
        <rFont val="Arial"/>
        <family val="2"/>
      </rPr>
      <t>LA</t>
    </r>
    <phoneticPr fontId="2"/>
  </si>
  <si>
    <r>
      <t xml:space="preserve">228218 </t>
    </r>
    <r>
      <rPr>
        <sz val="12"/>
        <color indexed="30"/>
        <rFont val="Arial"/>
        <family val="2"/>
      </rPr>
      <t>LA</t>
    </r>
    <phoneticPr fontId="2"/>
  </si>
  <si>
    <r>
      <t xml:space="preserve">228219 </t>
    </r>
    <r>
      <rPr>
        <sz val="12"/>
        <color indexed="30"/>
        <rFont val="Arial"/>
        <family val="2"/>
      </rPr>
      <t>LA</t>
    </r>
    <phoneticPr fontId="2"/>
  </si>
  <si>
    <t xml:space="preserve">PI# </t>
    <phoneticPr fontId="2"/>
  </si>
  <si>
    <t xml:space="preserve">Amount </t>
    <phoneticPr fontId="2"/>
  </si>
  <si>
    <t>PI# 4293</t>
    <phoneticPr fontId="2"/>
  </si>
  <si>
    <t>PI# 4294</t>
    <phoneticPr fontId="2"/>
  </si>
  <si>
    <t xml:space="preserve">Total Amont </t>
    <phoneticPr fontId="2"/>
  </si>
  <si>
    <t>70009</t>
    <phoneticPr fontId="2"/>
  </si>
  <si>
    <t>CALME</t>
    <phoneticPr fontId="2"/>
  </si>
  <si>
    <t>Rayon Grosgrain Tape  Rayon-100%</t>
    <phoneticPr fontId="2"/>
  </si>
  <si>
    <t>Col. 01 PFD</t>
    <phoneticPr fontId="2"/>
  </si>
  <si>
    <t>例）オーダー数量40反</t>
    <rPh sb="0" eb="1">
      <t>レイ</t>
    </rPh>
    <rPh sb="6" eb="8">
      <t>スウリョウ</t>
    </rPh>
    <rPh sb="10" eb="11">
      <t>タン</t>
    </rPh>
    <phoneticPr fontId="2"/>
  </si>
  <si>
    <t>PI# 4302</t>
    <phoneticPr fontId="2"/>
  </si>
  <si>
    <t>sample INV# 4241</t>
    <phoneticPr fontId="2"/>
  </si>
  <si>
    <t>新規生産かつバルクミニマム20反以上生産の場合、#N2040　152cm　バルク単価</t>
    <phoneticPr fontId="2"/>
  </si>
  <si>
    <r>
      <rPr>
        <b/>
        <sz val="10"/>
        <color indexed="8"/>
        <rFont val="ＭＳ Ｐゴシック"/>
        <family val="3"/>
        <charset val="128"/>
      </rPr>
      <t>バルクミニマム未満（</t>
    </r>
    <r>
      <rPr>
        <b/>
        <sz val="10"/>
        <color indexed="8"/>
        <rFont val="Arial  "/>
        <family val="2"/>
      </rPr>
      <t>1</t>
    </r>
    <r>
      <rPr>
        <b/>
        <sz val="10"/>
        <color indexed="8"/>
        <rFont val="ＭＳ Ｐゴシック"/>
        <family val="3"/>
        <charset val="128"/>
      </rPr>
      <t>～</t>
    </r>
    <r>
      <rPr>
        <b/>
        <sz val="10"/>
        <color indexed="8"/>
        <rFont val="Arial  "/>
        <family val="2"/>
      </rPr>
      <t>19</t>
    </r>
    <r>
      <rPr>
        <b/>
        <sz val="10"/>
        <color indexed="8"/>
        <rFont val="ＭＳ Ｐゴシック"/>
        <family val="3"/>
        <charset val="128"/>
      </rPr>
      <t>反）</t>
    </r>
    <rPh sb="7" eb="9">
      <t>ミマン</t>
    </rPh>
    <rPh sb="14" eb="15">
      <t>タン</t>
    </rPh>
    <phoneticPr fontId="2"/>
  </si>
  <si>
    <r>
      <rPr>
        <b/>
        <sz val="10"/>
        <color indexed="8"/>
        <rFont val="ＭＳ Ｐゴシック"/>
        <family val="3"/>
        <charset val="128"/>
      </rPr>
      <t>バルクミニマム以上（</t>
    </r>
    <r>
      <rPr>
        <b/>
        <sz val="10"/>
        <color indexed="8"/>
        <rFont val="Arial  "/>
        <family val="2"/>
      </rPr>
      <t>20</t>
    </r>
    <r>
      <rPr>
        <b/>
        <sz val="10"/>
        <color indexed="8"/>
        <rFont val="ＭＳ Ｐゴシック"/>
        <family val="3"/>
        <charset val="128"/>
      </rPr>
      <t>反以上）</t>
    </r>
    <rPh sb="7" eb="9">
      <t>イジョウ</t>
    </rPh>
    <rPh sb="12" eb="13">
      <t>タン</t>
    </rPh>
    <rPh sb="13" eb="15">
      <t>イジョウ</t>
    </rPh>
    <phoneticPr fontId="2"/>
  </si>
  <si>
    <t>062022_SUN CORP</t>
    <phoneticPr fontId="2"/>
  </si>
  <si>
    <t>Christy Dawn</t>
    <phoneticPr fontId="2"/>
  </si>
  <si>
    <t>Velvet Ribbon  Cotton-62%/Nylon-38%</t>
    <phoneticPr fontId="2"/>
  </si>
  <si>
    <t>7/1~52</t>
    <phoneticPr fontId="2"/>
  </si>
  <si>
    <t xml:space="preserve"># 4 Blue </t>
    <phoneticPr fontId="2"/>
  </si>
  <si>
    <r>
      <t xml:space="preserve">CLASSICSRECUT 06.23.22- TBS01/TBS06 BOARIDE CORDING - </t>
    </r>
    <r>
      <rPr>
        <sz val="12"/>
        <color indexed="10"/>
        <rFont val="Arial"/>
        <family val="2"/>
      </rPr>
      <t xml:space="preserve">Golden Stitching </t>
    </r>
    <phoneticPr fontId="2"/>
  </si>
  <si>
    <r>
      <t xml:space="preserve">CLASSICSRECUT 06.23.22- TBS02 BRIEFS - </t>
    </r>
    <r>
      <rPr>
        <sz val="12"/>
        <color indexed="10"/>
        <rFont val="Arial"/>
        <family val="2"/>
      </rPr>
      <t xml:space="preserve">Golden Stitching </t>
    </r>
  </si>
  <si>
    <t>cord length</t>
    <phoneticPr fontId="2"/>
  </si>
  <si>
    <t>Cord Color x tip</t>
    <phoneticPr fontId="2"/>
  </si>
  <si>
    <r>
      <rPr>
        <b/>
        <sz val="10"/>
        <rFont val="ＭＳ Ｐゴシック"/>
        <family val="3"/>
        <charset val="128"/>
      </rPr>
      <t>単価</t>
    </r>
    <r>
      <rPr>
        <b/>
        <sz val="10"/>
        <rFont val="Arial  "/>
        <family val="2"/>
      </rPr>
      <t xml:space="preserve"> 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 "/>
        <family val="2"/>
      </rPr>
      <t>/pc</t>
    </r>
    <rPh sb="0" eb="2">
      <t>タンカ</t>
    </rPh>
    <rPh sb="3" eb="4">
      <t>エン</t>
    </rPh>
    <phoneticPr fontId="2"/>
  </si>
  <si>
    <t>CLASSICSRECUT 06.23.22- TBS01/TBS06 BOARIDE CORDING</t>
    <phoneticPr fontId="2"/>
  </si>
  <si>
    <t>5 sets (US$ 7/set)</t>
    <phoneticPr fontId="2"/>
  </si>
  <si>
    <r>
      <t xml:space="preserve">CLASSICSRECUT 06.23.22- TBS02 BRIEFS - </t>
    </r>
    <r>
      <rPr>
        <sz val="10"/>
        <color indexed="10"/>
        <rFont val="Arial"/>
        <family val="2"/>
      </rPr>
      <t xml:space="preserve">Golden Stitching </t>
    </r>
  </si>
  <si>
    <r>
      <t xml:space="preserve">CLASSICSRECUT 06.23.22- TBS02 BRIEFS - </t>
    </r>
    <r>
      <rPr>
        <sz val="10"/>
        <color indexed="10"/>
        <rFont val="Arial"/>
        <family val="2"/>
      </rPr>
      <t xml:space="preserve">Golden Stitching </t>
    </r>
    <phoneticPr fontId="2"/>
  </si>
  <si>
    <t>PO-00276</t>
    <phoneticPr fontId="2"/>
  </si>
  <si>
    <r>
      <t xml:space="preserve">Wood thread in 3 colors ( Off White x Light Brown x Dark brown )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A  &amp;  B</t>
    </r>
    <phoneticPr fontId="2"/>
  </si>
  <si>
    <t>US$ 2.43/m + Surcharge US$ 85/art.</t>
    <phoneticPr fontId="2"/>
  </si>
  <si>
    <t>20220627 ALC</t>
    <phoneticPr fontId="2"/>
  </si>
  <si>
    <r>
      <t>N2040</t>
    </r>
    <r>
      <rPr>
        <sz val="12"/>
        <color indexed="53"/>
        <rFont val="ＭＳ Ｐゴシック"/>
        <family val="3"/>
        <charset val="128"/>
      </rPr>
      <t>（</t>
    </r>
    <r>
      <rPr>
        <sz val="12"/>
        <color indexed="53"/>
        <rFont val="Arial"/>
        <family val="2"/>
      </rPr>
      <t>2440WIDE</t>
    </r>
    <r>
      <rPr>
        <sz val="12"/>
        <color indexed="53"/>
        <rFont val="ＭＳ Ｐゴシック"/>
        <family val="3"/>
        <charset val="128"/>
      </rPr>
      <t>）</t>
    </r>
  </si>
  <si>
    <t>在庫無し</t>
  </si>
  <si>
    <t>＠197/ｍ</t>
  </si>
  <si>
    <t>染色代＠70/ｍ</t>
  </si>
  <si>
    <t>100ｍ～</t>
  </si>
  <si>
    <t>在庫ｵﾌ白2,000ｍ</t>
  </si>
  <si>
    <t>＠172/ｍ</t>
  </si>
  <si>
    <t>在庫ｵﾌ白2,200ｍ</t>
  </si>
  <si>
    <t>＠52/ｍ</t>
  </si>
  <si>
    <t>染色代＠60/ｍ</t>
  </si>
  <si>
    <t>在庫ｵﾌ白1,400ｍ</t>
  </si>
  <si>
    <t>＠89/ｍ</t>
  </si>
  <si>
    <t>＠48/ｍ</t>
  </si>
  <si>
    <t>＠54/ｍ</t>
  </si>
  <si>
    <t>在庫ｵﾌ白1,000ｍ</t>
  </si>
  <si>
    <t>EXW JAPAN /m for Mill's Off White</t>
    <phoneticPr fontId="2"/>
  </si>
  <si>
    <t>Stock as of 29th June,2022</t>
    <phoneticPr fontId="2"/>
  </si>
  <si>
    <t>2,000m in Mill's Off White</t>
    <phoneticPr fontId="2"/>
  </si>
  <si>
    <t>2,200m in Mill's Off White</t>
    <phoneticPr fontId="2"/>
  </si>
  <si>
    <t>1,400m in Mill's Off White</t>
    <phoneticPr fontId="2"/>
  </si>
  <si>
    <t>1,000m in Mill's Off White</t>
    <phoneticPr fontId="2"/>
  </si>
  <si>
    <t xml:space="preserve">No Stock, L/T is TBC </t>
    <phoneticPr fontId="2"/>
  </si>
  <si>
    <r>
      <t>20220629 Staud   55%  120</t>
    </r>
    <r>
      <rPr>
        <sz val="10"/>
        <rFont val="ＭＳ Ｐゴシック"/>
        <family val="3"/>
        <charset val="128"/>
      </rPr>
      <t>円</t>
    </r>
    <rPh sb="25" eb="26">
      <t>エン</t>
    </rPh>
    <phoneticPr fontId="2"/>
  </si>
  <si>
    <r>
      <t xml:space="preserve">CLASSICSRECUT 06.23.22- TBS02 BRIEFS - </t>
    </r>
    <r>
      <rPr>
        <sz val="12"/>
        <color indexed="10"/>
        <rFont val="Arial"/>
        <family val="2"/>
      </rPr>
      <t xml:space="preserve">Golden Stitching </t>
    </r>
    <phoneticPr fontId="2"/>
  </si>
  <si>
    <r>
      <t xml:space="preserve">20220630 Staud  </t>
    </r>
    <r>
      <rPr>
        <sz val="10"/>
        <rFont val="ＭＳ Ｐゴシック"/>
        <family val="3"/>
        <charset val="128"/>
      </rPr>
      <t>　オフ白</t>
    </r>
    <r>
      <rPr>
        <sz val="10"/>
        <rFont val="Arial  "/>
        <family val="2"/>
      </rPr>
      <t xml:space="preserve"> 55%  120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 xml:space="preserve">   / </t>
    </r>
    <r>
      <rPr>
        <sz val="10"/>
        <rFont val="ＭＳ Ｐゴシック"/>
        <family val="3"/>
        <charset val="128"/>
      </rPr>
      <t>染色</t>
    </r>
    <r>
      <rPr>
        <sz val="10"/>
        <rFont val="Arial  "/>
        <family val="2"/>
      </rPr>
      <t xml:space="preserve"> 45%   120</t>
    </r>
    <r>
      <rPr>
        <sz val="10"/>
        <rFont val="ＭＳ Ｐゴシック"/>
        <family val="3"/>
        <charset val="128"/>
      </rPr>
      <t>円</t>
    </r>
    <rPh sb="19" eb="20">
      <t>シロ</t>
    </rPh>
    <rPh sb="29" eb="30">
      <t>エン</t>
    </rPh>
    <rPh sb="35" eb="37">
      <t>センショク</t>
    </rPh>
    <rPh sb="47" eb="48">
      <t>エン</t>
    </rPh>
    <phoneticPr fontId="2"/>
  </si>
  <si>
    <t>100m /col ( *Dye fee USD 75/col for under DTM Min. 100m/col )</t>
    <phoneticPr fontId="2"/>
  </si>
  <si>
    <t>100m /col ( *Dye fee USD 65/col for under DTM Min. 100m/col )</t>
    <phoneticPr fontId="2"/>
  </si>
  <si>
    <t xml:space="preserve">DEUTSCHE BEKLEIDUNGSWERKE LIMITED (ALC) </t>
    <phoneticPr fontId="2"/>
  </si>
  <si>
    <t>DWACCC2200476</t>
    <phoneticPr fontId="2"/>
  </si>
  <si>
    <t>DTM GRAPEFRUIT</t>
    <phoneticPr fontId="2"/>
  </si>
  <si>
    <t>Dye Fee for DTM GRAPEFRUIT</t>
    <phoneticPr fontId="2"/>
  </si>
  <si>
    <r>
      <t>230</t>
    </r>
    <r>
      <rPr>
        <sz val="10"/>
        <color indexed="8"/>
        <rFont val="ＭＳ Ｐゴシック"/>
        <family val="3"/>
        <charset val="128"/>
      </rPr>
      <t>円</t>
    </r>
    <rPh sb="3" eb="4">
      <t>エン</t>
    </rPh>
    <phoneticPr fontId="2"/>
  </si>
  <si>
    <r>
      <t>18,000</t>
    </r>
    <r>
      <rPr>
        <sz val="10"/>
        <color indexed="8"/>
        <rFont val="ＭＳ Ｐゴシック"/>
        <family val="3"/>
        <charset val="128"/>
      </rPr>
      <t>円</t>
    </r>
    <rPh sb="6" eb="7">
      <t>エン</t>
    </rPh>
    <phoneticPr fontId="2"/>
  </si>
  <si>
    <t>1,020m of greige in stock, confirming L/T for lab-dip &amp; dyeing</t>
    <phoneticPr fontId="2"/>
  </si>
  <si>
    <t xml:space="preserve">600m in stock, confirming L/T for the shortage 1,050m </t>
    <phoneticPr fontId="2"/>
  </si>
  <si>
    <t>750m in stock</t>
    <phoneticPr fontId="2"/>
  </si>
  <si>
    <t>7901</t>
    <phoneticPr fontId="2"/>
  </si>
  <si>
    <t>KYL-23344-1</t>
    <phoneticPr fontId="2"/>
  </si>
  <si>
    <t>KYL-23344-19</t>
    <phoneticPr fontId="2"/>
  </si>
  <si>
    <t xml:space="preserve">MOQ for Mill's Standard Color </t>
    <phoneticPr fontId="2"/>
  </si>
  <si>
    <t>1 roll ( 14m )</t>
    <phoneticPr fontId="2"/>
  </si>
  <si>
    <t>オフ</t>
    <phoneticPr fontId="2"/>
  </si>
  <si>
    <t>黒</t>
    <rPh sb="0" eb="1">
      <t>クロ</t>
    </rPh>
    <phoneticPr fontId="2"/>
  </si>
  <si>
    <t>20220706 ALC  40% 120円</t>
    <rPh sb="21" eb="22">
      <t>エン</t>
    </rPh>
    <phoneticPr fontId="2"/>
  </si>
  <si>
    <r>
      <t>20220706 Johnny Was  55% 120</t>
    </r>
    <r>
      <rPr>
        <sz val="11"/>
        <color indexed="8"/>
        <rFont val="ＭＳ Ｐゴシック"/>
        <family val="3"/>
        <charset val="128"/>
      </rPr>
      <t>円</t>
    </r>
    <rPh sb="28" eb="29">
      <t>エン</t>
    </rPh>
    <phoneticPr fontId="2"/>
  </si>
  <si>
    <t>EXW JAPAN 
USD/m</t>
  </si>
  <si>
    <t>early - mid August</t>
    <phoneticPr fontId="2"/>
  </si>
  <si>
    <t xml:space="preserve">29th July </t>
    <phoneticPr fontId="2"/>
  </si>
  <si>
    <t>EX-Works based on receipt of PO before COB 7th July LA time &amp; select from Mill's standard color</t>
    <phoneticPr fontId="2"/>
  </si>
  <si>
    <t>EX-Works under certain conditions metioned below</t>
    <phoneticPr fontId="2"/>
  </si>
  <si>
    <r>
      <t>20220706 Jillmark Honorine   55% 120</t>
    </r>
    <r>
      <rPr>
        <sz val="11"/>
        <color indexed="8"/>
        <rFont val="ＭＳ Ｐゴシック"/>
        <family val="3"/>
        <charset val="128"/>
      </rPr>
      <t>円</t>
    </r>
    <rPh sb="36" eb="37">
      <t>エン</t>
    </rPh>
    <phoneticPr fontId="2"/>
  </si>
  <si>
    <t>22127</t>
    <phoneticPr fontId="2"/>
  </si>
  <si>
    <t>WHITE CAPS LLC ( LE SUPERBE)</t>
    <phoneticPr fontId="2"/>
  </si>
  <si>
    <t>SIT-079</t>
    <phoneticPr fontId="2"/>
  </si>
  <si>
    <t xml:space="preserve">DTM </t>
    <phoneticPr fontId="2"/>
  </si>
  <si>
    <t>XC20220708003</t>
    <phoneticPr fontId="2"/>
  </si>
  <si>
    <t xml:space="preserve">Royal Spirit Limitted (ALC) </t>
    <phoneticPr fontId="2"/>
  </si>
  <si>
    <t>DTM BLK/ KUSH</t>
    <phoneticPr fontId="2"/>
  </si>
  <si>
    <t>PS23-209 Production</t>
    <phoneticPr fontId="2"/>
  </si>
  <si>
    <t># A4</t>
    <phoneticPr fontId="2"/>
  </si>
  <si>
    <t>PS23-209 Sample</t>
    <phoneticPr fontId="2"/>
  </si>
  <si>
    <t># A12</t>
    <phoneticPr fontId="2"/>
  </si>
  <si>
    <t># Y621</t>
    <phoneticPr fontId="2"/>
  </si>
  <si>
    <t xml:space="preserve"># A10 </t>
    <phoneticPr fontId="2"/>
  </si>
  <si>
    <t># BLACK 9</t>
    <phoneticPr fontId="2"/>
  </si>
  <si>
    <t># Y625</t>
    <phoneticPr fontId="2"/>
  </si>
  <si>
    <t xml:space="preserve">PS23-209 </t>
    <phoneticPr fontId="2"/>
  </si>
  <si>
    <t>在庫</t>
    <rPh sb="0" eb="2">
      <t>ザイコ</t>
    </rPh>
    <phoneticPr fontId="2"/>
  </si>
  <si>
    <r>
      <t xml:space="preserve">1 roll </t>
    </r>
    <r>
      <rPr>
        <sz val="10"/>
        <rFont val="ＭＳ Ｐゴシック"/>
        <family val="3"/>
        <charset val="128"/>
      </rPr>
      <t>キープ済</t>
    </r>
    <rPh sb="10" eb="11">
      <t>スミ</t>
    </rPh>
    <phoneticPr fontId="2"/>
  </si>
  <si>
    <t>在庫無し・納期1ヶ月（P下キープお願いします）</t>
    <rPh sb="0" eb="2">
      <t>ザイコ</t>
    </rPh>
    <rPh sb="2" eb="3">
      <t>ナ</t>
    </rPh>
    <rPh sb="5" eb="7">
      <t>ノウキ</t>
    </rPh>
    <rPh sb="9" eb="10">
      <t>ゲツ</t>
    </rPh>
    <rPh sb="12" eb="13">
      <t>シタ</t>
    </rPh>
    <rPh sb="17" eb="18">
      <t>ネガ</t>
    </rPh>
    <phoneticPr fontId="2"/>
  </si>
  <si>
    <t>No stock L/T 1month</t>
    <phoneticPr fontId="2"/>
  </si>
  <si>
    <t>00281</t>
    <phoneticPr fontId="2"/>
  </si>
  <si>
    <t>COL. 40 (CREAM)</t>
    <phoneticPr fontId="2"/>
  </si>
  <si>
    <t>工場</t>
    <rPh sb="0" eb="2">
      <t>コウジョウ</t>
    </rPh>
    <phoneticPr fontId="2"/>
  </si>
  <si>
    <t>DB</t>
    <phoneticPr fontId="2"/>
  </si>
  <si>
    <t>RS</t>
  </si>
  <si>
    <t>AF</t>
    <phoneticPr fontId="2"/>
  </si>
  <si>
    <t>在庫・納期</t>
    <rPh sb="0" eb="2">
      <t>ザイコ</t>
    </rPh>
    <rPh sb="3" eb="5">
      <t>ノウキ</t>
    </rPh>
    <phoneticPr fontId="2"/>
  </si>
  <si>
    <t>出荷日確認中</t>
    <rPh sb="0" eb="2">
      <t>シュッカ</t>
    </rPh>
    <rPh sb="2" eb="3">
      <t>ヒ</t>
    </rPh>
    <rPh sb="3" eb="5">
      <t>カクニン</t>
    </rPh>
    <rPh sb="5" eb="6">
      <t>チュウ</t>
    </rPh>
    <phoneticPr fontId="2"/>
  </si>
  <si>
    <t>7/22ビーカー上がり予定・キバター確保済</t>
    <rPh sb="8" eb="9">
      <t>ア</t>
    </rPh>
    <rPh sb="11" eb="13">
      <t>ヨテイ</t>
    </rPh>
    <rPh sb="18" eb="20">
      <t>カクホ</t>
    </rPh>
    <rPh sb="20" eb="21">
      <t>スミ</t>
    </rPh>
    <phoneticPr fontId="2"/>
  </si>
  <si>
    <t>7月27日頃上がり予定</t>
    <rPh sb="1" eb="2">
      <t>ガツ</t>
    </rPh>
    <rPh sb="4" eb="5">
      <t>ニチ</t>
    </rPh>
    <rPh sb="5" eb="6">
      <t>コロ</t>
    </rPh>
    <rPh sb="6" eb="7">
      <t>ア</t>
    </rPh>
    <rPh sb="9" eb="11">
      <t>ヨテイ</t>
    </rPh>
    <phoneticPr fontId="2"/>
  </si>
  <si>
    <t>7月27日頃上がり予定・不足分8月初め上がり分より確保可能</t>
    <rPh sb="1" eb="2">
      <t>ガツ</t>
    </rPh>
    <rPh sb="4" eb="5">
      <t>ニチ</t>
    </rPh>
    <rPh sb="5" eb="6">
      <t>コロ</t>
    </rPh>
    <rPh sb="6" eb="7">
      <t>ア</t>
    </rPh>
    <rPh sb="9" eb="11">
      <t>ヨテイ</t>
    </rPh>
    <rPh sb="12" eb="14">
      <t>フソク</t>
    </rPh>
    <rPh sb="14" eb="15">
      <t>ブン</t>
    </rPh>
    <rPh sb="16" eb="17">
      <t>ガツ</t>
    </rPh>
    <rPh sb="17" eb="18">
      <t>ハジ</t>
    </rPh>
    <rPh sb="19" eb="20">
      <t>ア</t>
    </rPh>
    <rPh sb="22" eb="23">
      <t>ブン</t>
    </rPh>
    <rPh sb="25" eb="27">
      <t>カクホ</t>
    </rPh>
    <rPh sb="27" eb="29">
      <t>カノウ</t>
    </rPh>
    <phoneticPr fontId="2"/>
  </si>
  <si>
    <t>8月初め上がり分より確保可能？</t>
    <rPh sb="1" eb="2">
      <t>ガツ</t>
    </rPh>
    <rPh sb="2" eb="3">
      <t>ハジ</t>
    </rPh>
    <rPh sb="4" eb="5">
      <t>ア</t>
    </rPh>
    <rPh sb="7" eb="8">
      <t>ブン</t>
    </rPh>
    <rPh sb="10" eb="12">
      <t>カクホ</t>
    </rPh>
    <rPh sb="12" eb="14">
      <t>カノウ</t>
    </rPh>
    <phoneticPr fontId="2"/>
  </si>
  <si>
    <t>ship by early next week</t>
    <phoneticPr fontId="2"/>
  </si>
  <si>
    <t>will be ready mid Sep</t>
    <phoneticPr fontId="2"/>
  </si>
  <si>
    <r>
      <t xml:space="preserve">AH22PT07012  </t>
    </r>
    <r>
      <rPr>
        <sz val="12"/>
        <color indexed="10"/>
        <rFont val="Arial"/>
        <family val="2"/>
      </rPr>
      <t xml:space="preserve">HK </t>
    </r>
    <phoneticPr fontId="2"/>
  </si>
  <si>
    <r>
      <t xml:space="preserve">AH22PT07012 </t>
    </r>
    <r>
      <rPr>
        <sz val="12"/>
        <color indexed="10"/>
        <rFont val="Arial"/>
        <family val="2"/>
      </rPr>
      <t>Shenzhen</t>
    </r>
    <phoneticPr fontId="2"/>
  </si>
  <si>
    <r>
      <t xml:space="preserve">AH22PT07012  </t>
    </r>
    <r>
      <rPr>
        <sz val="12"/>
        <color indexed="10"/>
        <rFont val="Arial"/>
        <family val="2"/>
      </rPr>
      <t>HK</t>
    </r>
    <r>
      <rPr>
        <sz val="12"/>
        <rFont val="Arial"/>
        <family val="2"/>
      </rPr>
      <t xml:space="preserve"> </t>
    </r>
  </si>
  <si>
    <r>
      <t xml:space="preserve">AH22PT07012 </t>
    </r>
    <r>
      <rPr>
        <sz val="10"/>
        <color indexed="10"/>
        <rFont val="Arial"/>
        <family val="2"/>
      </rPr>
      <t xml:space="preserve">ship to HK </t>
    </r>
    <phoneticPr fontId="2"/>
  </si>
  <si>
    <r>
      <t xml:space="preserve">AH22PT07012 </t>
    </r>
    <r>
      <rPr>
        <sz val="10"/>
        <color indexed="10"/>
        <rFont val="Arial"/>
        <family val="2"/>
      </rPr>
      <t>Ship to Shenzhen</t>
    </r>
    <phoneticPr fontId="2"/>
  </si>
  <si>
    <t>CIF HK / m</t>
    <phoneticPr fontId="2"/>
  </si>
  <si>
    <t>CIF Shenzhen / m</t>
    <phoneticPr fontId="2"/>
  </si>
  <si>
    <t>AM-220720</t>
    <phoneticPr fontId="2"/>
  </si>
  <si>
    <t># FB</t>
    <phoneticPr fontId="2"/>
  </si>
  <si>
    <t xml:space="preserve">20220720 Katie May </t>
    <phoneticPr fontId="2"/>
  </si>
  <si>
    <t xml:space="preserve"># 153 </t>
    <phoneticPr fontId="2"/>
  </si>
  <si>
    <t>EXW (JAPAN) / m</t>
  </si>
  <si>
    <t xml:space="preserve">  20m</t>
  </si>
  <si>
    <t># 41</t>
  </si>
  <si>
    <t>12 m</t>
  </si>
  <si>
    <t># FB</t>
  </si>
  <si>
    <t>Cutting Fee (US$ 12/cut)</t>
  </si>
  <si>
    <t>5 set</t>
  </si>
  <si>
    <t xml:space="preserve">Handling Fee (Inland Freight Charge in Japan) </t>
  </si>
  <si>
    <t xml:space="preserve"># SI  </t>
    <phoneticPr fontId="2"/>
  </si>
  <si>
    <t xml:space="preserve">T2120 </t>
    <phoneticPr fontId="2"/>
  </si>
  <si>
    <t>1 m</t>
    <phoneticPr fontId="2"/>
  </si>
  <si>
    <r>
      <t>2022 June 21st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120 (</t>
    </r>
    <r>
      <rPr>
        <b/>
        <sz val="10"/>
        <color indexed="10"/>
        <rFont val="ＭＳ Ｐゴシック"/>
        <family val="3"/>
        <charset val="128"/>
      </rPr>
      <t>トリム</t>
    </r>
    <r>
      <rPr>
        <b/>
        <sz val="10"/>
        <color indexed="10"/>
        <rFont val="Arial"/>
        <family val="2"/>
      </rPr>
      <t>max border 55% ÷0.45)  ( fabric max border 40% ÷0.60)</t>
    </r>
    <phoneticPr fontId="2"/>
  </si>
  <si>
    <r>
      <t>6 sets ( US$</t>
    </r>
    <r>
      <rPr>
        <sz val="10"/>
        <rFont val="ＭＳ Ｐゴシック"/>
        <family val="3"/>
        <charset val="128"/>
      </rPr>
      <t>　</t>
    </r>
    <r>
      <rPr>
        <sz val="10"/>
        <rFont val="Arial"/>
        <family val="2"/>
      </rPr>
      <t>12/set)</t>
    </r>
    <phoneticPr fontId="2"/>
  </si>
  <si>
    <t>T2120 (100% Polyester Micro Tulle )</t>
  </si>
  <si>
    <t>00288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</si>
  <si>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41.4</t>
    </r>
    <rPh sb="0" eb="2">
      <t>ツウジョウ</t>
    </rPh>
    <rPh sb="2" eb="4">
      <t>タンカ</t>
    </rPh>
    <phoneticPr fontId="2"/>
  </si>
  <si>
    <t>52198</t>
    <phoneticPr fontId="2"/>
  </si>
  <si>
    <t>sample INV# 4266</t>
    <phoneticPr fontId="2"/>
  </si>
  <si>
    <t>PI# 4391</t>
    <phoneticPr fontId="2"/>
  </si>
  <si>
    <t>PI# 4402</t>
    <phoneticPr fontId="2"/>
  </si>
  <si>
    <t>SV-68181</t>
    <phoneticPr fontId="2"/>
  </si>
  <si>
    <t>SV-68125</t>
    <phoneticPr fontId="2"/>
  </si>
  <si>
    <t>SV-68172</t>
    <phoneticPr fontId="2"/>
  </si>
  <si>
    <t>SFSK-19611141116</t>
    <phoneticPr fontId="2"/>
  </si>
  <si>
    <t>双日/三景</t>
    <rPh sb="0" eb="2">
      <t>ソウジツ</t>
    </rPh>
    <rPh sb="3" eb="5">
      <t>サンケイ</t>
    </rPh>
    <phoneticPr fontId="2"/>
  </si>
  <si>
    <t xml:space="preserve">1 roll -
*sample cut available 1M up to 20M with cut fee US$ 25/cut </t>
    <phoneticPr fontId="2"/>
  </si>
  <si>
    <t xml:space="preserve">MOQ : confirming 
*sample cut available only when in stock for sample price US$ 27.61/m
</t>
    <phoneticPr fontId="2"/>
  </si>
  <si>
    <t>2781</t>
    <phoneticPr fontId="2"/>
  </si>
  <si>
    <t xml:space="preserve">Wool Nylon mixed fabric   90% Wool,  10% Nylon </t>
    <phoneticPr fontId="2"/>
  </si>
  <si>
    <t># 85 Antique Yellow</t>
    <phoneticPr fontId="2"/>
  </si>
  <si>
    <t># 909 Camel</t>
    <phoneticPr fontId="2"/>
  </si>
  <si>
    <r>
      <t>2022</t>
    </r>
    <r>
      <rPr>
        <sz val="11"/>
        <color indexed="8"/>
        <rFont val="ＭＳ Ｐゴシック"/>
        <family val="3"/>
        <charset val="128"/>
      </rPr>
      <t>年</t>
    </r>
    <r>
      <rPr>
        <sz val="11"/>
        <color indexed="8"/>
        <rFont val="Arial"/>
        <family val="2"/>
      </rPr>
      <t>9</t>
    </r>
    <r>
      <rPr>
        <sz val="11"/>
        <color indexed="8"/>
        <rFont val="ＭＳ Ｐゴシック"/>
        <family val="3"/>
        <charset val="128"/>
      </rPr>
      <t>月より</t>
    </r>
    <r>
      <rPr>
        <sz val="11"/>
        <color indexed="8"/>
        <rFont val="Arial"/>
        <family val="2"/>
      </rPr>
      <t>83</t>
    </r>
    <r>
      <rPr>
        <sz val="11"/>
        <color indexed="8"/>
        <rFont val="ＭＳ Ｐゴシック"/>
        <family val="3"/>
        <charset val="128"/>
      </rPr>
      <t>円</t>
    </r>
    <rPh sb="4" eb="5">
      <t>ネン</t>
    </rPh>
    <rPh sb="6" eb="7">
      <t>ガツ</t>
    </rPh>
    <rPh sb="11" eb="12">
      <t>エン</t>
    </rPh>
    <phoneticPr fontId="2"/>
  </si>
  <si>
    <t># 86 Ivory</t>
    <phoneticPr fontId="2"/>
  </si>
  <si>
    <t># 16 grey</t>
    <phoneticPr fontId="2"/>
  </si>
  <si>
    <t>00291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</si>
  <si>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46.4</t>
    </r>
    <rPh sb="0" eb="2">
      <t>ツウジョウ</t>
    </rPh>
    <rPh sb="2" eb="4">
      <t>タンカ</t>
    </rPh>
    <phoneticPr fontId="2"/>
  </si>
  <si>
    <t>164506</t>
    <phoneticPr fontId="2"/>
  </si>
  <si>
    <t>PRIVATE LABEL TEHUACAN, S. DE R.L. DE C.V. ( Joe's Jeans)</t>
    <phoneticPr fontId="2"/>
  </si>
  <si>
    <t>7976</t>
    <phoneticPr fontId="2"/>
  </si>
  <si>
    <t>KYL-23408-19</t>
    <phoneticPr fontId="2"/>
  </si>
  <si>
    <r>
      <t>86</t>
    </r>
    <r>
      <rPr>
        <sz val="10"/>
        <rFont val="ＭＳ Ｐゴシック"/>
        <family val="3"/>
        <charset val="128"/>
      </rPr>
      <t>円</t>
    </r>
    <rPh sb="2" eb="3">
      <t>エン</t>
    </rPh>
    <phoneticPr fontId="2"/>
  </si>
  <si>
    <r>
      <t>55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 </t>
    </r>
    <rPh sb="2" eb="3">
      <t>エン</t>
    </rPh>
    <phoneticPr fontId="2"/>
  </si>
  <si>
    <r>
      <t>100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</si>
  <si>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9000</t>
    </r>
    <r>
      <rPr>
        <sz val="10"/>
        <rFont val="ＭＳ Ｐゴシック"/>
        <family val="3"/>
        <charset val="128"/>
      </rPr>
      <t>円</t>
    </r>
    <rPh sb="4" eb="5">
      <t>エン</t>
    </rPh>
    <phoneticPr fontId="2"/>
  </si>
  <si>
    <t>DWACCC2200583</t>
    <phoneticPr fontId="2"/>
  </si>
  <si>
    <t>XC202200801001</t>
    <phoneticPr fontId="2"/>
  </si>
  <si>
    <r>
      <t>N2040</t>
    </r>
    <r>
      <rPr>
        <sz val="10"/>
        <color indexed="53"/>
        <rFont val="ＭＳ Ｐゴシック"/>
        <family val="3"/>
        <charset val="128"/>
      </rPr>
      <t>（</t>
    </r>
    <r>
      <rPr>
        <sz val="10"/>
        <color indexed="53"/>
        <rFont val="Arial"/>
        <family val="2"/>
      </rPr>
      <t>2440WIDE</t>
    </r>
    <r>
      <rPr>
        <sz val="10"/>
        <color indexed="53"/>
        <rFont val="ＭＳ Ｐゴシック"/>
        <family val="3"/>
        <charset val="128"/>
      </rPr>
      <t>）</t>
    </r>
    <phoneticPr fontId="2"/>
  </si>
  <si>
    <r>
      <t xml:space="preserve">228216 </t>
    </r>
    <r>
      <rPr>
        <sz val="10"/>
        <color indexed="30"/>
        <rFont val="Arial"/>
        <family val="2"/>
      </rPr>
      <t>Ship to LA</t>
    </r>
    <phoneticPr fontId="2"/>
  </si>
  <si>
    <t>XC202200801001&amp;XC20220803002</t>
    <phoneticPr fontId="2"/>
  </si>
  <si>
    <t>Chinamine ( ALC)</t>
    <phoneticPr fontId="2"/>
  </si>
  <si>
    <t>C&amp;F HK</t>
    <phoneticPr fontId="2"/>
  </si>
  <si>
    <t>CKL043615</t>
    <phoneticPr fontId="2"/>
  </si>
  <si>
    <t>52228</t>
    <phoneticPr fontId="2"/>
  </si>
  <si>
    <t>100% POLYESTER ORGANZA</t>
    <phoneticPr fontId="2"/>
  </si>
  <si>
    <t>FUT5115</t>
    <phoneticPr fontId="2"/>
  </si>
  <si>
    <t>118/120cm</t>
    <phoneticPr fontId="2"/>
  </si>
  <si>
    <t>Col. 11</t>
    <phoneticPr fontId="2"/>
  </si>
  <si>
    <t>18120</t>
    <phoneticPr fontId="2"/>
  </si>
  <si>
    <t>Lauren Moshi</t>
    <phoneticPr fontId="2"/>
  </si>
  <si>
    <t>CO-COTTON 7</t>
    <phoneticPr fontId="2"/>
  </si>
  <si>
    <t>081722_SUN CORP</t>
    <phoneticPr fontId="2"/>
  </si>
  <si>
    <t># 4 Blue / Grey</t>
    <phoneticPr fontId="2"/>
  </si>
  <si>
    <t>Stock / Ready date</t>
    <phoneticPr fontId="2"/>
  </si>
  <si>
    <t>No stock, will be ready on the 12 - 13th Sep</t>
    <phoneticPr fontId="2"/>
  </si>
  <si>
    <t xml:space="preserve"> In stock </t>
    <phoneticPr fontId="2"/>
  </si>
  <si>
    <t>GS-NS2357</t>
    <phoneticPr fontId="2"/>
  </si>
  <si>
    <t>110/115cm</t>
    <phoneticPr fontId="2"/>
  </si>
  <si>
    <t>abt 45m /roll</t>
    <phoneticPr fontId="2"/>
  </si>
  <si>
    <t>15% PL, 42% CO, 30% R, 13% LI</t>
    <phoneticPr fontId="2"/>
  </si>
  <si>
    <t xml:space="preserve">EXW (JAPAN) / m for Mill's Ecru &amp; Mill's Beige </t>
    <phoneticPr fontId="2"/>
  </si>
  <si>
    <t>EXW (JAPAN) / m for DTM : 1 roll/col</t>
    <phoneticPr fontId="2"/>
  </si>
  <si>
    <t>EXW (JAPAN) / m for DTM : 5 rolls/col</t>
    <phoneticPr fontId="2"/>
  </si>
  <si>
    <t>Stock as of 18th Aug,2022</t>
    <phoneticPr fontId="2"/>
  </si>
  <si>
    <t xml:space="preserve">Mill's Ecru:abt 540m (can use as PFD) / Mill's Beige: abt 405m </t>
    <phoneticPr fontId="2"/>
  </si>
  <si>
    <t>GS-NS2483</t>
    <phoneticPr fontId="2"/>
  </si>
  <si>
    <t>100/105cm</t>
    <phoneticPr fontId="2"/>
  </si>
  <si>
    <t>abt 50m /roll</t>
    <phoneticPr fontId="2"/>
  </si>
  <si>
    <t>55% CO, 45% Ny</t>
    <phoneticPr fontId="2"/>
  </si>
  <si>
    <t>EXW (JAPAN) / m for Mill's Ecru &amp; Mill's White &amp; Mill's Black</t>
    <phoneticPr fontId="2"/>
  </si>
  <si>
    <t>Mill's Ecru:abt 450m/ Mill's White: abt 400m / Mill's Black: abt 550m / Greige:abt 1,900m</t>
    <phoneticPr fontId="2"/>
  </si>
  <si>
    <t>GS-NS5678C</t>
    <phoneticPr fontId="2"/>
  </si>
  <si>
    <t>Nylon &amp; Cotton mix</t>
    <phoneticPr fontId="2"/>
  </si>
  <si>
    <t>EXW (JAPAN) / m for Mill's color ( confirming what color)</t>
    <phoneticPr fontId="2"/>
  </si>
  <si>
    <t xml:space="preserve">Confirming </t>
    <phoneticPr fontId="2"/>
  </si>
  <si>
    <t>Greige:abt 1,050m</t>
    <phoneticPr fontId="2"/>
  </si>
  <si>
    <t>Allover lace  15% PL, 42% CO, 30% R, 13% LI</t>
    <phoneticPr fontId="2"/>
  </si>
  <si>
    <t>Mill's Ecru</t>
    <phoneticPr fontId="2"/>
  </si>
  <si>
    <t>Mill's Beige</t>
    <phoneticPr fontId="2"/>
  </si>
  <si>
    <t xml:space="preserve"> Mill's Beige</t>
    <phoneticPr fontId="2"/>
  </si>
  <si>
    <t>NS2357</t>
    <phoneticPr fontId="2"/>
  </si>
  <si>
    <r>
      <rPr>
        <b/>
        <sz val="10"/>
        <rFont val="ＭＳ Ｐゴシック"/>
        <family val="3"/>
        <charset val="128"/>
      </rPr>
      <t>単価</t>
    </r>
    <r>
      <rPr>
        <b/>
        <sz val="10"/>
        <rFont val="Arial  "/>
        <family val="2"/>
      </rPr>
      <t>/m</t>
    </r>
    <rPh sb="0" eb="2">
      <t>タンカ</t>
    </rPh>
    <phoneticPr fontId="2"/>
  </si>
  <si>
    <r>
      <t>950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</si>
  <si>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1000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 x 2 = 2000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 </t>
    </r>
    <rPh sb="4" eb="5">
      <t>エン</t>
    </rPh>
    <rPh sb="16" eb="17">
      <t>エン</t>
    </rPh>
    <phoneticPr fontId="2"/>
  </si>
  <si>
    <t>2 sets ( US$ 12/cut)</t>
    <phoneticPr fontId="2"/>
  </si>
  <si>
    <t>International Freight Fee</t>
    <phoneticPr fontId="2"/>
  </si>
  <si>
    <t>TBC (Ship by our Courier and charge the freight fee on invoice )</t>
    <phoneticPr fontId="2"/>
  </si>
  <si>
    <t>00308</t>
    <phoneticPr fontId="2"/>
  </si>
  <si>
    <t>MariusR-220829</t>
    <phoneticPr fontId="2"/>
  </si>
  <si>
    <t>Marius Revere</t>
    <phoneticPr fontId="2"/>
  </si>
  <si>
    <r>
      <t>N2040</t>
    </r>
    <r>
      <rPr>
        <sz val="12"/>
        <rFont val="ＭＳ Ｐゴシック"/>
        <family val="3"/>
        <charset val="128"/>
      </rPr>
      <t>（</t>
    </r>
    <r>
      <rPr>
        <sz val="12"/>
        <rFont val="Arial"/>
        <family val="2"/>
      </rPr>
      <t>2440WIDE</t>
    </r>
    <r>
      <rPr>
        <sz val="12"/>
        <rFont val="ＭＳ Ｐゴシック"/>
        <family val="3"/>
        <charset val="128"/>
      </rPr>
      <t>）</t>
    </r>
    <phoneticPr fontId="2"/>
  </si>
  <si>
    <t>4068</t>
  </si>
  <si>
    <t>Striped Grosgrain Ribbon</t>
    <phoneticPr fontId="2"/>
  </si>
  <si>
    <t>Nylon-100%</t>
    <phoneticPr fontId="2"/>
  </si>
  <si>
    <t>No stock, ready date : 22nd Sep</t>
    <phoneticPr fontId="2"/>
  </si>
  <si>
    <t>228217 LA</t>
    <phoneticPr fontId="2"/>
  </si>
  <si>
    <r>
      <t>N2040</t>
    </r>
    <r>
      <rPr>
        <sz val="10"/>
        <rFont val="ＭＳ Ｐゴシック"/>
        <family val="3"/>
        <charset val="128"/>
      </rPr>
      <t>（</t>
    </r>
    <r>
      <rPr>
        <sz val="10"/>
        <rFont val="Arial"/>
        <family val="2"/>
      </rPr>
      <t>2440WIDE</t>
    </r>
    <r>
      <rPr>
        <sz val="10"/>
        <rFont val="ＭＳ Ｐゴシック"/>
        <family val="3"/>
        <charset val="128"/>
      </rPr>
      <t>）</t>
    </r>
  </si>
  <si>
    <t>00314</t>
    <phoneticPr fontId="2"/>
  </si>
  <si>
    <t>20220920  Ciao Lucia 40% 120円</t>
    <rPh sb="28" eb="29">
      <t>エン</t>
    </rPh>
    <phoneticPr fontId="2"/>
  </si>
  <si>
    <t>FWL-23069</t>
    <phoneticPr fontId="2"/>
  </si>
  <si>
    <t>FWL-71119</t>
    <phoneticPr fontId="2"/>
  </si>
  <si>
    <t>500m in Mill's Off White</t>
    <phoneticPr fontId="2"/>
  </si>
  <si>
    <t>350m in Mill's Off White</t>
    <phoneticPr fontId="2"/>
  </si>
  <si>
    <r>
      <t>N2040</t>
    </r>
    <r>
      <rPr>
        <sz val="12"/>
        <rFont val="ＭＳ Ｐゴシック"/>
        <family val="3"/>
        <charset val="128"/>
      </rPr>
      <t>（</t>
    </r>
    <r>
      <rPr>
        <sz val="12"/>
        <rFont val="Arial"/>
        <family val="2"/>
      </rPr>
      <t>2440WIDE</t>
    </r>
    <r>
      <rPr>
        <sz val="12"/>
        <rFont val="ＭＳ Ｐゴシック"/>
        <family val="3"/>
        <charset val="128"/>
      </rPr>
      <t>）</t>
    </r>
  </si>
  <si>
    <t xml:space="preserve">20220922 Are you am I </t>
    <phoneticPr fontId="2"/>
  </si>
  <si>
    <t>EXW(JAPAN) /m</t>
  </si>
  <si>
    <t>MOQ / sample </t>
  </si>
  <si>
    <t>COO</t>
  </si>
  <si>
    <t>JAPAN</t>
  </si>
  <si>
    <t>SV-68125</t>
  </si>
  <si>
    <t>MOQ : 1 roll -
*sample cut available 1M up to 20M with cut fee US$ 25/cut </t>
    <phoneticPr fontId="2"/>
  </si>
  <si>
    <t xml:space="preserve">50-75M </t>
    <phoneticPr fontId="2"/>
  </si>
  <si>
    <t>Cutting Fee if necessary</t>
    <phoneticPr fontId="2"/>
  </si>
  <si>
    <t>CO-C168B</t>
  </si>
  <si>
    <t>Natural Material Cord</t>
  </si>
  <si>
    <t>Cotton-100%</t>
  </si>
  <si>
    <t>20220923 YONY</t>
    <phoneticPr fontId="2"/>
  </si>
  <si>
    <t>CM-92622</t>
    <phoneticPr fontId="2"/>
  </si>
  <si>
    <t>Coco Miau</t>
    <phoneticPr fontId="2"/>
  </si>
  <si>
    <t># 24 BLACK</t>
    <phoneticPr fontId="2"/>
  </si>
  <si>
    <t xml:space="preserve">20220926 Are you am I  バルク単価1,730円/m(商品代1,720円+ 梱包賃：10円) 　18% レート120 </t>
    <rPh sb="26" eb="28">
      <t>タンカ</t>
    </rPh>
    <phoneticPr fontId="2"/>
  </si>
  <si>
    <t>EXW(JAPAN) /m for 2500m in total</t>
    <phoneticPr fontId="2"/>
  </si>
  <si>
    <t>KRP LLC by Katharine Polk</t>
    <phoneticPr fontId="2"/>
  </si>
  <si>
    <t>KRP-email 220927</t>
    <phoneticPr fontId="2"/>
  </si>
  <si>
    <t xml:space="preserve">International Freight  </t>
    <phoneticPr fontId="2"/>
  </si>
  <si>
    <t>0904</t>
    <phoneticPr fontId="2"/>
  </si>
  <si>
    <r>
      <t>Total Qty (</t>
    </r>
    <r>
      <rPr>
        <b/>
        <sz val="10"/>
        <rFont val="ＭＳ Ｐゴシック"/>
        <family val="3"/>
        <charset val="128"/>
      </rPr>
      <t>±</t>
    </r>
    <r>
      <rPr>
        <b/>
        <sz val="10"/>
        <rFont val="Arial"/>
        <family val="2"/>
      </rPr>
      <t xml:space="preserve"> 5%)</t>
    </r>
    <phoneticPr fontId="2"/>
  </si>
  <si>
    <t>EXW (JAPAN) / m ( bulk price)</t>
    <phoneticPr fontId="2"/>
  </si>
  <si>
    <r>
      <rPr>
        <sz val="10"/>
        <color indexed="10"/>
        <rFont val="ＭＳ Ｐゴシック"/>
        <family val="3"/>
        <charset val="128"/>
      </rPr>
      <t>出荷見本</t>
    </r>
    <r>
      <rPr>
        <sz val="10"/>
        <color indexed="10"/>
        <rFont val="Arial"/>
        <family val="2"/>
      </rPr>
      <t>11/30</t>
    </r>
    <rPh sb="0" eb="2">
      <t>シュッカ</t>
    </rPh>
    <rPh sb="2" eb="4">
      <t>ミホン</t>
    </rPh>
    <phoneticPr fontId="2"/>
  </si>
  <si>
    <r>
      <rPr>
        <sz val="10"/>
        <color indexed="10"/>
        <rFont val="ＭＳ Ｐゴシック"/>
        <family val="3"/>
        <charset val="128"/>
      </rPr>
      <t>出荷見本</t>
    </r>
    <r>
      <rPr>
        <sz val="10"/>
        <color indexed="10"/>
        <rFont val="Arial"/>
        <family val="2"/>
      </rPr>
      <t>11/21</t>
    </r>
    <rPh sb="0" eb="2">
      <t>シュッカ</t>
    </rPh>
    <rPh sb="2" eb="4">
      <t>ミホン</t>
    </rPh>
    <phoneticPr fontId="2"/>
  </si>
  <si>
    <t xml:space="preserve">DTM color </t>
    <phoneticPr fontId="2"/>
  </si>
  <si>
    <t>C/# 516 (from CC of Art.2440)</t>
    <phoneticPr fontId="2"/>
  </si>
  <si>
    <t>Total Qty (± 5%)</t>
    <phoneticPr fontId="2"/>
  </si>
  <si>
    <t>CIF HK Price /m</t>
    <phoneticPr fontId="2"/>
  </si>
  <si>
    <t>20392</t>
    <phoneticPr fontId="2"/>
  </si>
  <si>
    <t>Stretch Knit Tape  Polyester-95%/Polyurethane-5%</t>
    <phoneticPr fontId="2"/>
  </si>
  <si>
    <t># 136</t>
    <phoneticPr fontId="2"/>
  </si>
  <si>
    <t>PO-00325</t>
    <phoneticPr fontId="2"/>
  </si>
  <si>
    <t># 136</t>
  </si>
  <si>
    <t xml:space="preserve">20221007 Royal Spirit 55% 120 </t>
    <phoneticPr fontId="2"/>
  </si>
  <si>
    <t>EXW JAPAN 
USD/m</t>
    <phoneticPr fontId="2"/>
  </si>
  <si>
    <t>5291</t>
    <phoneticPr fontId="2"/>
  </si>
  <si>
    <t>DWACCC2200871</t>
    <phoneticPr fontId="2"/>
  </si>
  <si>
    <t xml:space="preserve">XIN CHANG SILK GARMENT (HONG KONG) CO. LIMITED (ALC) </t>
    <phoneticPr fontId="2"/>
  </si>
  <si>
    <r>
      <t xml:space="preserve">XC20221008001 </t>
    </r>
    <r>
      <rPr>
        <sz val="12"/>
        <color indexed="30"/>
        <rFont val="Arial"/>
        <family val="2"/>
      </rPr>
      <t>ship to Royal Spirit</t>
    </r>
    <phoneticPr fontId="2"/>
  </si>
  <si>
    <r>
      <t>DB</t>
    </r>
    <r>
      <rPr>
        <b/>
        <sz val="10"/>
        <rFont val="ＭＳ Ｐゴシック"/>
        <family val="3"/>
        <charset val="128"/>
      </rPr>
      <t>分</t>
    </r>
    <rPh sb="2" eb="3">
      <t>ブン</t>
    </rPh>
    <phoneticPr fontId="2"/>
  </si>
  <si>
    <r>
      <t xml:space="preserve">RS(XC) </t>
    </r>
    <r>
      <rPr>
        <b/>
        <sz val="10"/>
        <rFont val="ＭＳ Ｐゴシック"/>
        <family val="3"/>
        <charset val="128"/>
      </rPr>
      <t>分</t>
    </r>
    <rPh sb="7" eb="8">
      <t>ブン</t>
    </rPh>
    <phoneticPr fontId="2"/>
  </si>
  <si>
    <t>T2023-CSP</t>
  </si>
  <si>
    <t>148×50</t>
  </si>
  <si>
    <r>
      <t xml:space="preserve">XC20221008001 </t>
    </r>
    <r>
      <rPr>
        <sz val="10"/>
        <color indexed="30"/>
        <rFont val="Arial"/>
        <family val="2"/>
      </rPr>
      <t>ship to Royal Spirit</t>
    </r>
    <phoneticPr fontId="2"/>
  </si>
  <si>
    <t xml:space="preserve">No stock, will let you know the ready date tomorrow </t>
    <phoneticPr fontId="2"/>
  </si>
  <si>
    <t>DTM C/# 516 (from CC of 2440)</t>
    <phoneticPr fontId="2"/>
  </si>
  <si>
    <t>DTM C/# 130 (from CC of 2440)</t>
    <phoneticPr fontId="2"/>
  </si>
  <si>
    <t>CIF HK price /m</t>
    <phoneticPr fontId="2"/>
  </si>
  <si>
    <t>T2023</t>
  </si>
  <si>
    <r>
      <t xml:space="preserve">20221011  THE SEI   T2023-CSP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20% 120</t>
    </r>
    <r>
      <rPr>
        <sz val="10"/>
        <rFont val="ＭＳ Ｐゴシック"/>
        <family val="3"/>
        <charset val="128"/>
      </rPr>
      <t>　　</t>
    </r>
    <r>
      <rPr>
        <sz val="10"/>
        <rFont val="Arial"/>
        <family val="2"/>
      </rPr>
      <t xml:space="preserve">T2023 </t>
    </r>
    <r>
      <rPr>
        <sz val="10"/>
        <rFont val="ＭＳ Ｐゴシック"/>
        <family val="3"/>
        <charset val="128"/>
      </rPr>
      <t>→約</t>
    </r>
    <r>
      <rPr>
        <sz val="10"/>
        <rFont val="Arial"/>
        <family val="2"/>
      </rPr>
      <t>29% 120 (</t>
    </r>
    <r>
      <rPr>
        <sz val="10"/>
        <rFont val="ＭＳ Ｐゴシック"/>
        <family val="3"/>
        <charset val="128"/>
      </rPr>
      <t>旧単価に合わせて単価出し）　</t>
    </r>
    <rPh sb="47" eb="48">
      <t>ヤク</t>
    </rPh>
    <rPh sb="57" eb="60">
      <t>キュウタンカ</t>
    </rPh>
    <rPh sb="61" eb="62">
      <t>ア</t>
    </rPh>
    <rPh sb="65" eb="67">
      <t>タンカ</t>
    </rPh>
    <rPh sb="67" eb="68">
      <t>ダ</t>
    </rPh>
    <phoneticPr fontId="2"/>
  </si>
  <si>
    <t>NN007-SP</t>
  </si>
  <si>
    <t xml:space="preserve"># 516 </t>
    <phoneticPr fontId="2"/>
  </si>
  <si>
    <t># 130</t>
    <phoneticPr fontId="2"/>
  </si>
  <si>
    <t>通常42.4</t>
    <phoneticPr fontId="2"/>
  </si>
  <si>
    <t>FP-20221014-JS</t>
    <phoneticPr fontId="2"/>
  </si>
  <si>
    <t># 130 Ivory color</t>
    <phoneticPr fontId="2"/>
  </si>
  <si>
    <t># 516  Blue color</t>
    <phoneticPr fontId="2"/>
  </si>
  <si>
    <t>CO-RC3232</t>
  </si>
  <si>
    <t xml:space="preserve">20221014 Lauren Moshi </t>
    <phoneticPr fontId="2"/>
  </si>
  <si>
    <t>M-05</t>
    <phoneticPr fontId="2"/>
  </si>
  <si>
    <t>abt 25m/roll</t>
    <phoneticPr fontId="2"/>
  </si>
  <si>
    <t>20221014 Staud 旧単価の整合性に合わせて 60% 120</t>
    <rPh sb="15" eb="18">
      <t>キュウタンカ</t>
    </rPh>
    <rPh sb="19" eb="22">
      <t>セイゴウセイ</t>
    </rPh>
    <rPh sb="23" eb="24">
      <t>ア</t>
    </rPh>
    <phoneticPr fontId="2"/>
  </si>
  <si>
    <t>AH22PT10059</t>
    <phoneticPr fontId="2"/>
  </si>
  <si>
    <t>20302</t>
    <phoneticPr fontId="2"/>
  </si>
  <si>
    <t>FALL23-SF-001</t>
    <phoneticPr fontId="2"/>
  </si>
  <si>
    <t>MU size</t>
    <phoneticPr fontId="2"/>
  </si>
  <si>
    <t>Col. 63NT</t>
    <phoneticPr fontId="2"/>
  </si>
  <si>
    <t xml:space="preserve">Synthetic Leather trimmings </t>
    <phoneticPr fontId="2"/>
  </si>
  <si>
    <t xml:space="preserve">FLAT CUT TAPE (Mayfair 5000) </t>
    <phoneticPr fontId="2"/>
  </si>
  <si>
    <t xml:space="preserve">M-03 (Mayfair 5000=1596) </t>
    <phoneticPr fontId="2"/>
  </si>
  <si>
    <t xml:space="preserve"># 5031 </t>
    <phoneticPr fontId="2"/>
  </si>
  <si>
    <t xml:space="preserve">M-07 (4-FOLD STITCHED LOOP with Mayfair 5000) </t>
    <phoneticPr fontId="2"/>
  </si>
  <si>
    <t xml:space="preserve">MS-07 (4-FOLD STITCHED CORDED LOOP with Mayfair 5000) </t>
    <phoneticPr fontId="2"/>
  </si>
  <si>
    <t xml:space="preserve">WS-110 (4-FOLD DOUBLE-STITCHED CORDED TAPE with Mayfair 5000) </t>
    <phoneticPr fontId="2"/>
  </si>
  <si>
    <r>
      <rPr>
        <sz val="12"/>
        <rFont val="ＭＳ Ｐゴシック"/>
        <family val="3"/>
        <charset val="128"/>
      </rPr>
      <t>メタリック</t>
    </r>
    <r>
      <rPr>
        <sz val="12"/>
        <rFont val="Arial"/>
        <family val="2"/>
      </rPr>
      <t xml:space="preserve"> 87</t>
    </r>
    <phoneticPr fontId="2"/>
  </si>
  <si>
    <r>
      <rPr>
        <sz val="12"/>
        <rFont val="ＭＳ Ｐゴシック"/>
        <family val="3"/>
        <charset val="128"/>
      </rPr>
      <t>メタリック</t>
    </r>
    <r>
      <rPr>
        <sz val="12"/>
        <rFont val="Arial"/>
        <family val="2"/>
      </rPr>
      <t xml:space="preserve"> 59</t>
    </r>
    <phoneticPr fontId="2"/>
  </si>
  <si>
    <r>
      <rPr>
        <sz val="12"/>
        <rFont val="ＭＳ Ｐゴシック"/>
        <family val="3"/>
        <charset val="128"/>
      </rPr>
      <t>メタリック</t>
    </r>
    <r>
      <rPr>
        <sz val="12"/>
        <rFont val="Arial"/>
        <family val="2"/>
      </rPr>
      <t xml:space="preserve"> 151</t>
    </r>
    <phoneticPr fontId="2"/>
  </si>
  <si>
    <r>
      <rPr>
        <sz val="12"/>
        <rFont val="ＭＳ Ｐゴシック"/>
        <family val="3"/>
        <charset val="128"/>
      </rPr>
      <t>メタリック</t>
    </r>
    <r>
      <rPr>
        <sz val="12"/>
        <rFont val="Arial"/>
        <family val="2"/>
      </rPr>
      <t xml:space="preserve"> 186</t>
    </r>
    <phoneticPr fontId="2"/>
  </si>
  <si>
    <r>
      <rPr>
        <sz val="12"/>
        <rFont val="ＭＳ Ｐゴシック"/>
        <family val="3"/>
        <charset val="128"/>
      </rPr>
      <t>メタリック</t>
    </r>
    <r>
      <rPr>
        <sz val="12"/>
        <rFont val="Arial"/>
        <family val="2"/>
      </rPr>
      <t xml:space="preserve"> 206</t>
    </r>
    <phoneticPr fontId="2"/>
  </si>
  <si>
    <r>
      <rPr>
        <sz val="10"/>
        <rFont val="ＭＳ Ｐゴシック"/>
        <family val="3"/>
        <charset val="128"/>
      </rPr>
      <t>メタリック</t>
    </r>
    <r>
      <rPr>
        <sz val="10"/>
        <rFont val="Arial"/>
        <family val="2"/>
      </rPr>
      <t xml:space="preserve"> 87</t>
    </r>
    <phoneticPr fontId="2"/>
  </si>
  <si>
    <r>
      <rPr>
        <sz val="10"/>
        <rFont val="ＭＳ Ｐゴシック"/>
        <family val="3"/>
        <charset val="128"/>
      </rPr>
      <t>メタリック</t>
    </r>
    <r>
      <rPr>
        <sz val="10"/>
        <rFont val="Arial"/>
        <family val="2"/>
      </rPr>
      <t xml:space="preserve"> 59</t>
    </r>
    <phoneticPr fontId="2"/>
  </si>
  <si>
    <r>
      <rPr>
        <sz val="10"/>
        <rFont val="ＭＳ Ｐゴシック"/>
        <family val="3"/>
        <charset val="128"/>
      </rPr>
      <t>メタリック</t>
    </r>
    <r>
      <rPr>
        <sz val="10"/>
        <rFont val="Arial"/>
        <family val="2"/>
      </rPr>
      <t xml:space="preserve"> 151</t>
    </r>
    <phoneticPr fontId="2"/>
  </si>
  <si>
    <r>
      <rPr>
        <sz val="10"/>
        <rFont val="ＭＳ Ｐゴシック"/>
        <family val="3"/>
        <charset val="128"/>
      </rPr>
      <t>メタリック</t>
    </r>
    <r>
      <rPr>
        <sz val="10"/>
        <rFont val="Arial"/>
        <family val="2"/>
      </rPr>
      <t xml:space="preserve"> 186</t>
    </r>
    <phoneticPr fontId="2"/>
  </si>
  <si>
    <r>
      <rPr>
        <sz val="10"/>
        <rFont val="ＭＳ Ｐゴシック"/>
        <family val="3"/>
        <charset val="128"/>
      </rPr>
      <t>メタリック</t>
    </r>
    <r>
      <rPr>
        <sz val="10"/>
        <rFont val="Arial"/>
        <family val="2"/>
      </rPr>
      <t xml:space="preserve"> 206</t>
    </r>
    <phoneticPr fontId="2"/>
  </si>
  <si>
    <t>4-FOLD STITCHED LOOP with Mayfair 5000</t>
    <phoneticPr fontId="2"/>
  </si>
  <si>
    <t>4-FOLD STITCHED CORDED LOOP with Mayfair 5000</t>
    <phoneticPr fontId="2"/>
  </si>
  <si>
    <t>4-FOLD DOUBLE-STITCHED CORDED TAPE with Mayfair 5000</t>
    <phoneticPr fontId="2"/>
  </si>
  <si>
    <t>M-03</t>
    <phoneticPr fontId="2"/>
  </si>
  <si>
    <t>平テープ　10mmですよね？</t>
    <rPh sb="0" eb="1">
      <t>ヒラ</t>
    </rPh>
    <phoneticPr fontId="2"/>
  </si>
  <si>
    <t>M-03 (Mayfair 5000)</t>
    <phoneticPr fontId="2"/>
  </si>
  <si>
    <t>念のため確認お願いします。</t>
    <rPh sb="0" eb="1">
      <t>ネン</t>
    </rPh>
    <rPh sb="4" eb="6">
      <t>カクニン</t>
    </rPh>
    <rPh sb="7" eb="8">
      <t>ネガ</t>
    </rPh>
    <phoneticPr fontId="2"/>
  </si>
  <si>
    <r>
      <rPr>
        <b/>
        <sz val="10"/>
        <rFont val="ＭＳ Ｐゴシック"/>
        <family val="3"/>
        <charset val="128"/>
      </rPr>
      <t>カラー単価</t>
    </r>
    <r>
      <rPr>
        <b/>
        <sz val="10"/>
        <rFont val="Arial"/>
        <family val="2"/>
      </rPr>
      <t xml:space="preserve"> 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"/>
        <family val="2"/>
      </rPr>
      <t xml:space="preserve"> /m</t>
    </r>
    <rPh sb="3" eb="5">
      <t>タンカ</t>
    </rPh>
    <rPh sb="6" eb="7">
      <t>エン</t>
    </rPh>
    <phoneticPr fontId="2"/>
  </si>
  <si>
    <r>
      <rPr>
        <b/>
        <sz val="10"/>
        <rFont val="ＭＳ Ｐゴシック"/>
        <family val="3"/>
        <charset val="128"/>
      </rPr>
      <t>メタリック単価</t>
    </r>
    <r>
      <rPr>
        <b/>
        <sz val="10"/>
        <rFont val="Arial"/>
        <family val="2"/>
      </rPr>
      <t xml:space="preserve"> 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"/>
        <family val="2"/>
      </rPr>
      <t xml:space="preserve"> /m</t>
    </r>
    <rPh sb="5" eb="7">
      <t>タンカ</t>
    </rPh>
    <rPh sb="8" eb="9">
      <t>エン</t>
    </rPh>
    <phoneticPr fontId="2"/>
  </si>
  <si>
    <r>
      <t xml:space="preserve">M-07 </t>
    </r>
    <r>
      <rPr>
        <sz val="10"/>
        <rFont val="ＭＳ Ｐゴシック"/>
        <family val="3"/>
        <charset val="128"/>
      </rPr>
      <t>ですよね？</t>
    </r>
    <phoneticPr fontId="2"/>
  </si>
  <si>
    <r>
      <t xml:space="preserve">MS-07 </t>
    </r>
    <r>
      <rPr>
        <sz val="10"/>
        <rFont val="ＭＳ Ｐゴシック"/>
        <family val="3"/>
        <charset val="128"/>
      </rPr>
      <t>ですよね？</t>
    </r>
    <phoneticPr fontId="2"/>
  </si>
  <si>
    <r>
      <t xml:space="preserve">WS-110 </t>
    </r>
    <r>
      <rPr>
        <sz val="10"/>
        <rFont val="ＭＳ Ｐゴシック"/>
        <family val="3"/>
        <charset val="128"/>
      </rPr>
      <t>ですよね？</t>
    </r>
    <phoneticPr fontId="2"/>
  </si>
  <si>
    <t xml:space="preserve">FLAT CUT TAPE with Mayfair 5000 </t>
    <phoneticPr fontId="2"/>
  </si>
  <si>
    <t>10172022</t>
    <phoneticPr fontId="2"/>
  </si>
  <si>
    <t>SPRINGTEX INTERNATIONAL (Staud)</t>
    <phoneticPr fontId="2"/>
  </si>
  <si>
    <t># 917 Black</t>
    <phoneticPr fontId="2"/>
  </si>
  <si>
    <t>FALL23-SF-002</t>
    <phoneticPr fontId="2"/>
  </si>
  <si>
    <t>通常9.77</t>
    <phoneticPr fontId="2"/>
  </si>
  <si>
    <t>通常12.2</t>
    <phoneticPr fontId="2"/>
  </si>
  <si>
    <t xml:space="preserve">Lead time </t>
    <phoneticPr fontId="2"/>
  </si>
  <si>
    <t xml:space="preserve">Lace in stock, but takes 10-15 days for dyeing </t>
    <phoneticPr fontId="2"/>
  </si>
  <si>
    <r>
      <t xml:space="preserve">XC20221017001 </t>
    </r>
    <r>
      <rPr>
        <sz val="12"/>
        <color indexed="30"/>
        <rFont val="Arial"/>
        <family val="2"/>
      </rPr>
      <t>ship to Royal Spirit</t>
    </r>
    <phoneticPr fontId="2"/>
  </si>
  <si>
    <t>1384</t>
    <phoneticPr fontId="2"/>
  </si>
  <si>
    <t>THE SEI</t>
    <phoneticPr fontId="2"/>
  </si>
  <si>
    <t>T2023-CSP</t>
    <phoneticPr fontId="2"/>
  </si>
  <si>
    <t xml:space="preserve"># 4 </t>
    <phoneticPr fontId="2"/>
  </si>
  <si>
    <t>8270</t>
    <phoneticPr fontId="2"/>
  </si>
  <si>
    <r>
      <t xml:space="preserve">10172022 </t>
    </r>
    <r>
      <rPr>
        <sz val="12"/>
        <color indexed="30"/>
        <rFont val="Arial"/>
        <family val="2"/>
      </rPr>
      <t>China</t>
    </r>
  </si>
  <si>
    <t>PO-00325 ( Rcvd 221020)</t>
    <phoneticPr fontId="2"/>
  </si>
  <si>
    <t>0043</t>
    <phoneticPr fontId="2"/>
  </si>
  <si>
    <t>4114</t>
    <phoneticPr fontId="2"/>
  </si>
  <si>
    <t>20221021 Burning Torch</t>
    <phoneticPr fontId="2"/>
  </si>
  <si>
    <t>Col. 1 : Stock as of 21st Oct,2022</t>
    <phoneticPr fontId="2"/>
  </si>
  <si>
    <t xml:space="preserve">30 rolls in stock </t>
    <phoneticPr fontId="2"/>
  </si>
  <si>
    <t xml:space="preserve">1st shipment </t>
    <phoneticPr fontId="2"/>
  </si>
  <si>
    <t>Additional - 2440</t>
    <phoneticPr fontId="2"/>
  </si>
  <si>
    <t>Additional - 2440RE</t>
    <phoneticPr fontId="2"/>
  </si>
  <si>
    <t>2nd shipment</t>
    <phoneticPr fontId="2"/>
  </si>
  <si>
    <t>MariusR-221014</t>
    <phoneticPr fontId="2"/>
  </si>
  <si>
    <r>
      <t xml:space="preserve">10172022 </t>
    </r>
    <r>
      <rPr>
        <sz val="12"/>
        <color indexed="30"/>
        <rFont val="Arial"/>
        <family val="2"/>
      </rPr>
      <t>China</t>
    </r>
    <phoneticPr fontId="2"/>
  </si>
  <si>
    <t>FP-20221021-JS</t>
    <phoneticPr fontId="2"/>
  </si>
  <si>
    <t xml:space="preserve">PO# </t>
  </si>
  <si>
    <t xml:space="preserve">2nd shipment (ship on 31st Oct) </t>
    <phoneticPr fontId="2"/>
  </si>
  <si>
    <t xml:space="preserve">1st shipment (asap) </t>
    <phoneticPr fontId="2"/>
  </si>
  <si>
    <t xml:space="preserve">3rd shipment (ship on 24th – 25th Nov) </t>
    <phoneticPr fontId="2"/>
  </si>
  <si>
    <t>52306</t>
    <phoneticPr fontId="2"/>
  </si>
  <si>
    <r>
      <rPr>
        <sz val="10"/>
        <rFont val="ＭＳ Ｐゴシック"/>
        <family val="3"/>
        <charset val="128"/>
      </rPr>
      <t>品番</t>
    </r>
    <rPh sb="0" eb="2">
      <t>ヒンバン</t>
    </rPh>
    <phoneticPr fontId="95"/>
  </si>
  <si>
    <t>1300-004  D/#R3223  C/#:SS12</t>
    <phoneticPr fontId="2"/>
  </si>
  <si>
    <t>1380  C/#:12</t>
    <phoneticPr fontId="2"/>
  </si>
  <si>
    <t>4500JS-001  D/#92  C/#:12</t>
    <phoneticPr fontId="2"/>
  </si>
  <si>
    <t>6660  C/#:812</t>
    <phoneticPr fontId="2"/>
  </si>
  <si>
    <t>7500  C/#:312</t>
    <phoneticPr fontId="2"/>
  </si>
  <si>
    <t>7570  C/#:12</t>
    <phoneticPr fontId="2"/>
  </si>
  <si>
    <t>別注ミニマム</t>
  </si>
  <si>
    <t>別注ミニマム</t>
    <rPh sb="0" eb="2">
      <t>ベッチュウ</t>
    </rPh>
    <phoneticPr fontId="2"/>
  </si>
  <si>
    <r>
      <rPr>
        <sz val="10"/>
        <rFont val="ＭＳ Ｐゴシック"/>
        <family val="3"/>
        <charset val="128"/>
      </rPr>
      <t>別注色</t>
    </r>
    <r>
      <rPr>
        <sz val="10"/>
        <rFont val="Arial  "/>
        <family val="2"/>
      </rPr>
      <t xml:space="preserve"> MOQ : 264m/col</t>
    </r>
    <rPh sb="0" eb="2">
      <t>ベッチュウ</t>
    </rPh>
    <rPh sb="2" eb="3">
      <t>イロ</t>
    </rPh>
    <phoneticPr fontId="2"/>
  </si>
  <si>
    <t>別注ミニマム未満のアップチャージ</t>
  </si>
  <si>
    <t>別注ミニマム未満のアップチャージ</t>
    <rPh sb="0" eb="2">
      <t>ベッチュウ</t>
    </rPh>
    <rPh sb="6" eb="8">
      <t>ミマン</t>
    </rPh>
    <phoneticPr fontId="2"/>
  </si>
  <si>
    <r>
      <t>300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 xml:space="preserve">/m </t>
    </r>
    <rPh sb="3" eb="4">
      <t>エン</t>
    </rPh>
    <phoneticPr fontId="2"/>
  </si>
  <si>
    <t>納期</t>
  </si>
  <si>
    <r>
      <rPr>
        <sz val="10"/>
        <rFont val="ＭＳ Ｐゴシック"/>
        <family val="3"/>
        <charset val="128"/>
      </rPr>
      <t>生機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日、染色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日、オパール加工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</t>
    </r>
    <rPh sb="6" eb="8">
      <t>センショク</t>
    </rPh>
    <rPh sb="16" eb="18">
      <t>カコウ</t>
    </rPh>
    <rPh sb="20" eb="21">
      <t>ニチ</t>
    </rPh>
    <phoneticPr fontId="2"/>
  </si>
  <si>
    <r>
      <rPr>
        <sz val="10"/>
        <rFont val="ＭＳ Ｐゴシック"/>
        <family val="3"/>
        <charset val="128"/>
      </rPr>
      <t>生機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日、染色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日、エンボス加工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</t>
    </r>
    <rPh sb="6" eb="8">
      <t>センショク</t>
    </rPh>
    <rPh sb="16" eb="18">
      <t>カコウ</t>
    </rPh>
    <rPh sb="20" eb="21">
      <t>ニチ</t>
    </rPh>
    <phoneticPr fontId="2"/>
  </si>
  <si>
    <r>
      <rPr>
        <sz val="10"/>
        <rFont val="ＭＳ Ｐゴシック"/>
        <family val="3"/>
        <charset val="128"/>
      </rPr>
      <t>生機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日、染色</t>
    </r>
    <r>
      <rPr>
        <sz val="10"/>
        <rFont val="Arial  "/>
        <family val="2"/>
      </rPr>
      <t>30</t>
    </r>
    <r>
      <rPr>
        <sz val="10"/>
        <rFont val="ＭＳ Ｐゴシック"/>
        <family val="3"/>
        <charset val="128"/>
      </rPr>
      <t>日</t>
    </r>
    <rPh sb="6" eb="8">
      <t>センショク</t>
    </rPh>
    <phoneticPr fontId="2"/>
  </si>
  <si>
    <t>在庫</t>
  </si>
  <si>
    <r>
      <rPr>
        <sz val="10"/>
        <rFont val="ＭＳ Ｐゴシック"/>
        <family val="3"/>
        <charset val="128"/>
      </rPr>
      <t>現物在庫：</t>
    </r>
    <r>
      <rPr>
        <sz val="10"/>
        <rFont val="Arial  "/>
        <family val="2"/>
      </rPr>
      <t xml:space="preserve">    , #4500 / 12 </t>
    </r>
    <r>
      <rPr>
        <sz val="10"/>
        <rFont val="ＭＳ Ｐゴシック"/>
        <family val="3"/>
        <charset val="128"/>
      </rPr>
      <t>：　　　</t>
    </r>
    <r>
      <rPr>
        <sz val="10"/>
        <rFont val="Arial  "/>
        <family val="2"/>
      </rPr>
      <t>,</t>
    </r>
    <r>
      <rPr>
        <sz val="10"/>
        <rFont val="ＭＳ Ｐゴシック"/>
        <family val="3"/>
        <charset val="128"/>
      </rPr>
      <t>キバタ在庫：</t>
    </r>
    <rPh sb="0" eb="2">
      <t>ゲンブツ</t>
    </rPh>
    <rPh sb="2" eb="4">
      <t>ザイコ</t>
    </rPh>
    <rPh sb="30" eb="32">
      <t>ザイコ</t>
    </rPh>
    <phoneticPr fontId="2"/>
  </si>
  <si>
    <t>C/#:12</t>
  </si>
  <si>
    <t>C/#:812</t>
  </si>
  <si>
    <t>C/#:312</t>
  </si>
  <si>
    <r>
      <t>C/#:12</t>
    </r>
    <r>
      <rPr>
        <sz val="10"/>
        <rFont val="ＭＳ Ｐゴシック"/>
        <family val="3"/>
        <charset val="128"/>
      </rPr>
      <t>：　　　</t>
    </r>
    <r>
      <rPr>
        <sz val="10"/>
        <rFont val="Arial  "/>
        <family val="2"/>
      </rPr>
      <t xml:space="preserve">, </t>
    </r>
    <r>
      <rPr>
        <sz val="10"/>
        <rFont val="ＭＳ Ｐゴシック"/>
        <family val="3"/>
        <charset val="128"/>
      </rPr>
      <t>キバタ在庫：</t>
    </r>
    <rPh sb="15" eb="17">
      <t>ザイコ</t>
    </rPh>
    <phoneticPr fontId="2"/>
  </si>
  <si>
    <r>
      <rPr>
        <sz val="10"/>
        <rFont val="ＭＳ Ｐゴシック"/>
        <family val="3"/>
        <charset val="128"/>
      </rPr>
      <t>現物在庫：</t>
    </r>
    <r>
      <rPr>
        <sz val="10"/>
        <rFont val="Arial  "/>
        <family val="2"/>
      </rPr>
      <t xml:space="preserve">   , #1300 / SS12 </t>
    </r>
    <r>
      <rPr>
        <sz val="10"/>
        <rFont val="ＭＳ Ｐゴシック"/>
        <family val="3"/>
        <charset val="128"/>
      </rPr>
      <t>：　　</t>
    </r>
    <r>
      <rPr>
        <sz val="10"/>
        <rFont val="Arial  "/>
        <family val="2"/>
      </rPr>
      <t>,</t>
    </r>
    <r>
      <rPr>
        <sz val="10"/>
        <rFont val="ＭＳ Ｐゴシック"/>
        <family val="3"/>
        <charset val="128"/>
      </rPr>
      <t>キバタ在庫：</t>
    </r>
    <rPh sb="0" eb="2">
      <t>ゲンブツ</t>
    </rPh>
    <rPh sb="2" eb="4">
      <t>ザイコ</t>
    </rPh>
    <rPh sb="30" eb="32">
      <t>ザイコ</t>
    </rPh>
    <phoneticPr fontId="2"/>
  </si>
  <si>
    <r>
      <t>MOQ : 264m/</t>
    </r>
    <r>
      <rPr>
        <sz val="10"/>
        <rFont val="ＭＳ Ｐゴシック"/>
        <family val="3"/>
        <charset val="128"/>
      </rPr>
      <t>色</t>
    </r>
    <r>
      <rPr>
        <sz val="10"/>
        <rFont val="Arial  "/>
        <family val="2"/>
      </rPr>
      <t xml:space="preserve"> &amp; </t>
    </r>
    <r>
      <rPr>
        <sz val="10"/>
        <rFont val="ＭＳ Ｐゴシック"/>
        <family val="3"/>
        <charset val="128"/>
      </rPr>
      <t>柄</t>
    </r>
    <r>
      <rPr>
        <sz val="10"/>
        <rFont val="Arial  "/>
        <family val="2"/>
      </rPr>
      <t xml:space="preserve"> </t>
    </r>
    <r>
      <rPr>
        <sz val="10"/>
        <rFont val="ＭＳ Ｐゴシック"/>
        <family val="3"/>
        <charset val="128"/>
      </rPr>
      <t>でOKでしたよね？</t>
    </r>
    <rPh sb="11" eb="12">
      <t>イロ</t>
    </rPh>
    <rPh sb="15" eb="16">
      <t>ガラ</t>
    </rPh>
    <phoneticPr fontId="2"/>
  </si>
  <si>
    <r>
      <t>C/#:812</t>
    </r>
    <r>
      <rPr>
        <sz val="10"/>
        <rFont val="ＭＳ Ｐゴシック"/>
        <family val="3"/>
        <charset val="128"/>
      </rPr>
      <t>：　　　</t>
    </r>
    <r>
      <rPr>
        <sz val="10"/>
        <rFont val="Arial  "/>
        <family val="2"/>
      </rPr>
      <t xml:space="preserve">, </t>
    </r>
    <r>
      <rPr>
        <sz val="10"/>
        <rFont val="ＭＳ Ｐゴシック"/>
        <family val="3"/>
        <charset val="128"/>
      </rPr>
      <t>キバタ在庫：</t>
    </r>
    <rPh sb="16" eb="18">
      <t>ザイコ</t>
    </rPh>
    <phoneticPr fontId="2"/>
  </si>
  <si>
    <r>
      <t>C/#:312</t>
    </r>
    <r>
      <rPr>
        <sz val="10"/>
        <rFont val="ＭＳ Ｐゴシック"/>
        <family val="3"/>
        <charset val="128"/>
      </rPr>
      <t>：　　　</t>
    </r>
    <r>
      <rPr>
        <sz val="10"/>
        <rFont val="Arial  "/>
        <family val="2"/>
      </rPr>
      <t xml:space="preserve">, </t>
    </r>
    <r>
      <rPr>
        <sz val="10"/>
        <rFont val="ＭＳ Ｐゴシック"/>
        <family val="3"/>
        <charset val="128"/>
      </rPr>
      <t>キバタ在庫：</t>
    </r>
    <rPh sb="16" eb="18">
      <t>ザイコ</t>
    </rPh>
    <phoneticPr fontId="2"/>
  </si>
  <si>
    <t>C/#:SS12</t>
  </si>
  <si>
    <t>ART. SAG1380</t>
  </si>
  <si>
    <t>ART. SAG-4500JS-001 /D/#92</t>
  </si>
  <si>
    <t>ART. SAG6660</t>
  </si>
  <si>
    <t>ART. SAG7500</t>
  </si>
  <si>
    <t>ART. SAG7570</t>
  </si>
  <si>
    <t>品番</t>
  </si>
  <si>
    <r>
      <t>改定価格（</t>
    </r>
    <r>
      <rPr>
        <sz val="10"/>
        <rFont val="Arial"/>
        <family val="2"/>
      </rPr>
      <t>2023</t>
    </r>
    <r>
      <rPr>
        <sz val="10"/>
        <rFont val="ＭＳ Ｐゴシック"/>
        <family val="3"/>
        <charset val="128"/>
      </rPr>
      <t>年</t>
    </r>
    <r>
      <rPr>
        <sz val="10"/>
        <rFont val="Arial"/>
        <family val="2"/>
      </rPr>
      <t>3</t>
    </r>
    <r>
      <rPr>
        <sz val="10"/>
        <rFont val="ＭＳ Ｐゴシック"/>
        <family val="3"/>
        <charset val="128"/>
      </rPr>
      <t>月末迄）</t>
    </r>
  </si>
  <si>
    <r>
      <t>改定価格（</t>
    </r>
    <r>
      <rPr>
        <sz val="10"/>
        <rFont val="Arial"/>
        <family val="2"/>
      </rPr>
      <t>2023</t>
    </r>
    <r>
      <rPr>
        <sz val="10"/>
        <rFont val="ＭＳ Ｐゴシック"/>
        <family val="3"/>
        <charset val="128"/>
      </rPr>
      <t>年</t>
    </r>
    <r>
      <rPr>
        <sz val="10"/>
        <rFont val="Arial"/>
        <family val="2"/>
      </rPr>
      <t>4</t>
    </r>
    <r>
      <rPr>
        <sz val="10"/>
        <rFont val="ＭＳ Ｐゴシック"/>
        <family val="3"/>
        <charset val="128"/>
      </rPr>
      <t>月</t>
    </r>
    <r>
      <rPr>
        <sz val="10"/>
        <rFont val="Arial"/>
        <family val="2"/>
      </rPr>
      <t>1</t>
    </r>
    <r>
      <rPr>
        <sz val="10"/>
        <rFont val="ＭＳ Ｐゴシック"/>
        <family val="3"/>
        <charset val="128"/>
      </rPr>
      <t>日以降）</t>
    </r>
  </si>
  <si>
    <r>
      <t>MOQ : 264m/</t>
    </r>
    <r>
      <rPr>
        <sz val="10"/>
        <rFont val="ＭＳ Ｐゴシック"/>
        <family val="3"/>
        <charset val="128"/>
      </rPr>
      <t>色</t>
    </r>
    <r>
      <rPr>
        <sz val="10"/>
        <rFont val="Arial"/>
        <family val="2"/>
      </rPr>
      <t xml:space="preserve"> &amp; </t>
    </r>
    <r>
      <rPr>
        <sz val="10"/>
        <rFont val="ＭＳ Ｐゴシック"/>
        <family val="3"/>
        <charset val="128"/>
      </rPr>
      <t>柄</t>
    </r>
    <r>
      <rPr>
        <sz val="10"/>
        <rFont val="Arial"/>
        <family val="2"/>
      </rPr>
      <t xml:space="preserve"> </t>
    </r>
    <r>
      <rPr>
        <sz val="10"/>
        <rFont val="ＭＳ Ｐゴシック"/>
        <family val="3"/>
        <charset val="128"/>
      </rPr>
      <t>でOKでしたよね？</t>
    </r>
  </si>
  <si>
    <t>→OKです</t>
  </si>
  <si>
    <r>
      <t>300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/m </t>
    </r>
  </si>
  <si>
    <r>
      <t>生機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日、染色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日、</t>
    </r>
  </si>
  <si>
    <r>
      <t>オパール加工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</t>
    </r>
  </si>
  <si>
    <t>染色＋オパール加工で＋30日で大丈夫です（合計60日）</t>
  </si>
  <si>
    <r>
      <t>現物在庫：</t>
    </r>
    <r>
      <rPr>
        <sz val="10"/>
        <color indexed="40"/>
        <rFont val="ＭＳ Ｐゴシック"/>
        <family val="3"/>
        <charset val="128"/>
      </rPr>
      <t>45.1/37.5/45.6,</t>
    </r>
  </si>
  <si>
    <r>
      <t>#1300 / SS12:</t>
    </r>
    <r>
      <rPr>
        <sz val="10"/>
        <color indexed="40"/>
        <rFont val="ＭＳ Ｐゴシック"/>
        <family val="3"/>
        <charset val="128"/>
      </rPr>
      <t>オパール加工は生機からの加工になります。</t>
    </r>
  </si>
  <si>
    <r>
      <t>キバタ在庫：</t>
    </r>
    <r>
      <rPr>
        <sz val="10"/>
        <color indexed="40"/>
        <rFont val="ＭＳ Ｐゴシック"/>
        <family val="3"/>
        <charset val="128"/>
      </rPr>
      <t>約10反フリー</t>
    </r>
  </si>
  <si>
    <r>
      <t>別注色</t>
    </r>
    <r>
      <rPr>
        <sz val="10"/>
        <rFont val="Arial"/>
        <family val="2"/>
      </rPr>
      <t xml:space="preserve"> MOQ : 264m/col</t>
    </r>
  </si>
  <si>
    <r>
      <t>生機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日、染色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</t>
    </r>
  </si>
  <si>
    <r>
      <t>C/#:12</t>
    </r>
    <r>
      <rPr>
        <sz val="10"/>
        <rFont val="ＭＳ Ｐゴシック"/>
        <family val="3"/>
        <charset val="128"/>
      </rPr>
      <t>：</t>
    </r>
    <r>
      <rPr>
        <sz val="10"/>
        <color indexed="40"/>
        <rFont val="ＭＳ Ｐゴシック"/>
        <family val="3"/>
        <charset val="128"/>
      </rPr>
      <t>15反</t>
    </r>
    <r>
      <rPr>
        <sz val="10"/>
        <rFont val="Arial"/>
        <family val="2"/>
      </rPr>
      <t>,</t>
    </r>
  </si>
  <si>
    <t>→OK</t>
  </si>
  <si>
    <r>
      <t>エンボス加工</t>
    </r>
    <r>
      <rPr>
        <sz val="10"/>
        <rFont val="Arial"/>
        <family val="2"/>
      </rPr>
      <t>30</t>
    </r>
    <r>
      <rPr>
        <sz val="10"/>
        <rFont val="ＭＳ Ｐゴシック"/>
        <family val="3"/>
        <charset val="128"/>
      </rPr>
      <t>日</t>
    </r>
  </si>
  <si>
    <t>染色＋エンボス加工で</t>
  </si>
  <si>
    <t>＋30日で大丈夫です。</t>
  </si>
  <si>
    <t>（合計60日）</t>
  </si>
  <si>
    <r>
      <t>現物在庫：</t>
    </r>
    <r>
      <rPr>
        <sz val="10"/>
        <color indexed="40"/>
        <rFont val="ＭＳ Ｐゴシック"/>
        <family val="3"/>
        <charset val="128"/>
      </rPr>
      <t>9.3M</t>
    </r>
    <r>
      <rPr>
        <sz val="10"/>
        <rFont val="Arial"/>
        <family val="2"/>
      </rPr>
      <t>,</t>
    </r>
  </si>
  <si>
    <r>
      <t xml:space="preserve">#4500 / 12 </t>
    </r>
    <r>
      <rPr>
        <sz val="10"/>
        <rFont val="ＭＳ Ｐゴシック"/>
        <family val="3"/>
        <charset val="128"/>
      </rPr>
      <t>：</t>
    </r>
    <r>
      <rPr>
        <sz val="10"/>
        <rFont val="Arial"/>
        <family val="2"/>
      </rPr>
      <t>,</t>
    </r>
    <r>
      <rPr>
        <sz val="10"/>
        <color indexed="40"/>
        <rFont val="ＭＳ Ｐゴシック"/>
        <family val="3"/>
        <charset val="128"/>
      </rPr>
      <t>43.6/44.3/43.7</t>
    </r>
  </si>
  <si>
    <t>トリアセ/アセのパイル品番は黒の製品からエンボス加工が可能です。</t>
  </si>
  <si>
    <r>
      <t>C/#:812</t>
    </r>
    <r>
      <rPr>
        <sz val="10"/>
        <rFont val="ＭＳ Ｐゴシック"/>
        <family val="3"/>
        <charset val="128"/>
      </rPr>
      <t>：</t>
    </r>
    <r>
      <rPr>
        <sz val="10"/>
        <color indexed="40"/>
        <rFont val="ＭＳ Ｐゴシック"/>
        <family val="3"/>
        <charset val="128"/>
      </rPr>
      <t>10月末で10反フリー　　　</t>
    </r>
    <r>
      <rPr>
        <sz val="10"/>
        <color indexed="40"/>
        <rFont val="Arial"/>
        <family val="2"/>
      </rPr>
      <t xml:space="preserve">, </t>
    </r>
    <r>
      <rPr>
        <sz val="10"/>
        <rFont val="ＭＳ Ｐゴシック"/>
        <family val="3"/>
        <charset val="128"/>
      </rPr>
      <t>キバタ在庫</t>
    </r>
    <r>
      <rPr>
        <sz val="10"/>
        <color indexed="40"/>
        <rFont val="ＭＳ Ｐゴシック"/>
        <family val="3"/>
        <charset val="128"/>
      </rPr>
      <t>：約10反フリー</t>
    </r>
  </si>
  <si>
    <r>
      <t>C/#:312</t>
    </r>
    <r>
      <rPr>
        <sz val="10"/>
        <rFont val="ＭＳ Ｐゴシック"/>
        <family val="3"/>
        <charset val="128"/>
      </rPr>
      <t>：</t>
    </r>
    <r>
      <rPr>
        <sz val="10"/>
        <color indexed="40"/>
        <rFont val="ＭＳ Ｐゴシック"/>
        <family val="3"/>
        <charset val="128"/>
      </rPr>
      <t>約10反フリー</t>
    </r>
    <r>
      <rPr>
        <sz val="10"/>
        <color indexed="40"/>
        <rFont val="Arial"/>
        <family val="2"/>
      </rPr>
      <t>,</t>
    </r>
  </si>
  <si>
    <r>
      <t>C/#:12</t>
    </r>
    <r>
      <rPr>
        <sz val="10"/>
        <rFont val="ＭＳ Ｐゴシック"/>
        <family val="3"/>
        <charset val="128"/>
      </rPr>
      <t>：</t>
    </r>
    <r>
      <rPr>
        <sz val="10"/>
        <color indexed="40"/>
        <rFont val="ＭＳ Ｐゴシック"/>
        <family val="3"/>
        <charset val="128"/>
      </rPr>
      <t>34反フリー</t>
    </r>
    <r>
      <rPr>
        <sz val="10"/>
        <rFont val="Arial"/>
        <family val="2"/>
      </rPr>
      <t xml:space="preserve">, </t>
    </r>
  </si>
  <si>
    <t>SAG-1300-004/D/#R3223</t>
    <phoneticPr fontId="2"/>
  </si>
  <si>
    <t>SAG-1300-004  D/#R3223  C/#:SS12</t>
    <phoneticPr fontId="2"/>
  </si>
  <si>
    <t>SAG-1380  C/#:12</t>
    <phoneticPr fontId="2"/>
  </si>
  <si>
    <t>SAG-4500JS-001  D/#92  C/#:12</t>
    <phoneticPr fontId="2"/>
  </si>
  <si>
    <t>SAG-6660  C/#:812</t>
    <phoneticPr fontId="2"/>
  </si>
  <si>
    <t>SAG-7500  C/#:312</t>
    <phoneticPr fontId="2"/>
  </si>
  <si>
    <t>SAG-7570  C/#:12</t>
    <phoneticPr fontId="2"/>
  </si>
  <si>
    <t>EXW JAPAN for purchase by roll (44m - 999m)</t>
    <phoneticPr fontId="2"/>
  </si>
  <si>
    <t>EXW JAPAN for purchase by roll (1,000m - )</t>
    <phoneticPr fontId="2"/>
  </si>
  <si>
    <r>
      <rPr>
        <sz val="10"/>
        <rFont val="ＭＳ Ｐゴシック"/>
        <family val="3"/>
        <charset val="128"/>
      </rPr>
      <t>価格</t>
    </r>
    <rPh sb="0" eb="2">
      <t>カカク</t>
    </rPh>
    <phoneticPr fontId="2"/>
  </si>
  <si>
    <t>別注色代</t>
    <rPh sb="0" eb="2">
      <t>ベッチュウ</t>
    </rPh>
    <rPh sb="2" eb="3">
      <t>イロ</t>
    </rPh>
    <rPh sb="3" eb="4">
      <t>ダイ</t>
    </rPh>
    <phoneticPr fontId="2"/>
  </si>
  <si>
    <t>SAG7500 Mill's standard colors</t>
    <phoneticPr fontId="2"/>
  </si>
  <si>
    <r>
      <t>110/112</t>
    </r>
    <r>
      <rPr>
        <sz val="10"/>
        <rFont val="ＭＳ Ｐゴシック"/>
        <family val="3"/>
        <charset val="128"/>
      </rPr>
      <t>㎝</t>
    </r>
    <r>
      <rPr>
        <sz val="10"/>
        <rFont val="Arial  "/>
        <family val="2"/>
      </rPr>
      <t>×abt.44m</t>
    </r>
  </si>
  <si>
    <t>SAG7500 Custom colors</t>
    <phoneticPr fontId="2"/>
  </si>
  <si>
    <t xml:space="preserve">1-5 rolls /col : € 19.80/m,
6 rolls /col : € 16.80/m   </t>
    <phoneticPr fontId="2"/>
  </si>
  <si>
    <t xml:space="preserve">MOQ   </t>
    <phoneticPr fontId="2"/>
  </si>
  <si>
    <t>Art.# / D# / Color</t>
    <phoneticPr fontId="2"/>
  </si>
  <si>
    <t>MOQ : 264m/color &amp; pattern</t>
    <phoneticPr fontId="2"/>
  </si>
  <si>
    <t>MOQ for Mill's Standard color: 1 roll/col
MOQ for DTM : 264m/col</t>
    <phoneticPr fontId="2"/>
  </si>
  <si>
    <t xml:space="preserve">EXW JAPAN for purchase by roll ( over MOQ) </t>
    <phoneticPr fontId="2"/>
  </si>
  <si>
    <t xml:space="preserve">EXW JAPAN for purchase by roll ( below MOQ) </t>
    <phoneticPr fontId="2"/>
  </si>
  <si>
    <t>Lead time</t>
    <phoneticPr fontId="2"/>
  </si>
  <si>
    <t>stock as of 24th Oct.,2022</t>
    <phoneticPr fontId="2"/>
  </si>
  <si>
    <t xml:space="preserve">abt 127m in stock </t>
    <phoneticPr fontId="2"/>
  </si>
  <si>
    <t>abt 9m in stock</t>
    <phoneticPr fontId="2"/>
  </si>
  <si>
    <r>
      <rPr>
        <b/>
        <sz val="10"/>
        <rFont val="ＭＳ Ｐゴシック"/>
        <family val="3"/>
        <charset val="128"/>
      </rPr>
      <t>改定価格（</t>
    </r>
    <r>
      <rPr>
        <b/>
        <sz val="10"/>
        <rFont val="Arial  "/>
        <family val="2"/>
      </rPr>
      <t>2023</t>
    </r>
    <r>
      <rPr>
        <b/>
        <sz val="10"/>
        <rFont val="ＭＳ Ｐゴシック"/>
        <family val="3"/>
        <charset val="128"/>
      </rPr>
      <t>年</t>
    </r>
    <r>
      <rPr>
        <b/>
        <sz val="10"/>
        <rFont val="Arial  "/>
        <family val="2"/>
      </rPr>
      <t>4</t>
    </r>
    <r>
      <rPr>
        <b/>
        <sz val="10"/>
        <rFont val="ＭＳ Ｐゴシック"/>
        <family val="3"/>
        <charset val="128"/>
      </rPr>
      <t>月</t>
    </r>
    <r>
      <rPr>
        <b/>
        <sz val="10"/>
        <rFont val="Arial  "/>
        <family val="2"/>
      </rPr>
      <t>1</t>
    </r>
    <r>
      <rPr>
        <b/>
        <sz val="10"/>
        <rFont val="ＭＳ Ｐゴシック"/>
        <family val="3"/>
        <charset val="128"/>
      </rPr>
      <t>日以降）</t>
    </r>
  </si>
  <si>
    <r>
      <rPr>
        <b/>
        <sz val="10"/>
        <rFont val="ＭＳ Ｐゴシック"/>
        <family val="3"/>
        <charset val="128"/>
      </rPr>
      <t>別注ミニマム未満のアップチャージ</t>
    </r>
  </si>
  <si>
    <r>
      <t>C/#:812</t>
    </r>
    <r>
      <rPr>
        <sz val="10"/>
        <rFont val="ＭＳ Ｐゴシック"/>
        <family val="3"/>
        <charset val="128"/>
      </rPr>
      <t>：</t>
    </r>
    <r>
      <rPr>
        <sz val="10"/>
        <rFont val="Arial  "/>
        <family val="2"/>
      </rPr>
      <t xml:space="preserve"> abt 440m will be replenished at the end of Oct</t>
    </r>
    <r>
      <rPr>
        <sz val="10"/>
        <color indexed="40"/>
        <rFont val="ＭＳ Ｐゴシック"/>
        <family val="3"/>
        <charset val="128"/>
      </rPr>
      <t/>
    </r>
    <phoneticPr fontId="2"/>
  </si>
  <si>
    <r>
      <t>C/#:12</t>
    </r>
    <r>
      <rPr>
        <sz val="10"/>
        <rFont val="ＭＳ Ｐゴシック"/>
        <family val="3"/>
        <charset val="128"/>
      </rPr>
      <t>：</t>
    </r>
    <r>
      <rPr>
        <sz val="10"/>
        <rFont val="Arial  "/>
        <family val="2"/>
      </rPr>
      <t xml:space="preserve"> abt 660m in stock </t>
    </r>
    <phoneticPr fontId="2"/>
  </si>
  <si>
    <r>
      <t>C/#:312</t>
    </r>
    <r>
      <rPr>
        <sz val="10"/>
        <rFont val="ＭＳ Ｐゴシック"/>
        <family val="3"/>
        <charset val="128"/>
      </rPr>
      <t>：</t>
    </r>
    <r>
      <rPr>
        <sz val="10"/>
        <rFont val="Arial  "/>
        <family val="2"/>
      </rPr>
      <t xml:space="preserve"> abt 440m in stock</t>
    </r>
    <phoneticPr fontId="2"/>
  </si>
  <si>
    <r>
      <t>C/#:12</t>
    </r>
    <r>
      <rPr>
        <sz val="10"/>
        <rFont val="ＭＳ Ｐゴシック"/>
        <family val="3"/>
        <charset val="128"/>
      </rPr>
      <t>：</t>
    </r>
    <r>
      <rPr>
        <sz val="10"/>
        <rFont val="Arial  "/>
        <family val="2"/>
      </rPr>
      <t xml:space="preserve"> abt 1,500m in stock</t>
    </r>
    <phoneticPr fontId="2"/>
  </si>
  <si>
    <r>
      <rPr>
        <sz val="10"/>
        <rFont val="ＭＳ Ｐゴシック"/>
        <family val="3"/>
        <charset val="128"/>
      </rPr>
      <t>→</t>
    </r>
    <r>
      <rPr>
        <sz val="10"/>
        <rFont val="Arial  "/>
        <family val="2"/>
      </rPr>
      <t xml:space="preserve">When greige is in stock : abt 30 working days
</t>
    </r>
    <r>
      <rPr>
        <sz val="10"/>
        <rFont val="ＭＳ Ｐゴシック"/>
        <family val="3"/>
        <charset val="128"/>
      </rPr>
      <t>→</t>
    </r>
    <r>
      <rPr>
        <sz val="10"/>
        <rFont val="Arial  "/>
        <family val="2"/>
      </rPr>
      <t>When greige is out of stock : abt 60 working days 
*As the above varies according to the mill's production situation/order qty, the lead times need to be re-confirmed when your order is placed.</t>
    </r>
    <phoneticPr fontId="2"/>
  </si>
  <si>
    <t>RD-221025</t>
    <phoneticPr fontId="2"/>
  </si>
  <si>
    <t xml:space="preserve">Velvet Fabric </t>
    <phoneticPr fontId="2"/>
  </si>
  <si>
    <t xml:space="preserve">SAG-1300-004  D/#R3223  </t>
    <phoneticPr fontId="2"/>
  </si>
  <si>
    <t>C/#:SS12</t>
    <phoneticPr fontId="2"/>
  </si>
  <si>
    <t xml:space="preserve">SAG-1380  </t>
    <phoneticPr fontId="2"/>
  </si>
  <si>
    <t>C/#:12</t>
    <phoneticPr fontId="2"/>
  </si>
  <si>
    <t xml:space="preserve">SAG-4500JS-001  D/#92  </t>
    <phoneticPr fontId="2"/>
  </si>
  <si>
    <t xml:space="preserve">SAG-6660  </t>
    <phoneticPr fontId="2"/>
  </si>
  <si>
    <t>C/#:812</t>
    <phoneticPr fontId="2"/>
  </si>
  <si>
    <t xml:space="preserve">SAG-7500  </t>
    <phoneticPr fontId="2"/>
  </si>
  <si>
    <t>C/#:312</t>
    <phoneticPr fontId="2"/>
  </si>
  <si>
    <t xml:space="preserve">SAG-7570  </t>
    <phoneticPr fontId="2"/>
  </si>
  <si>
    <r>
      <rPr>
        <sz val="12"/>
        <rFont val="ＭＳ Ｐゴシック"/>
        <family val="3"/>
        <charset val="128"/>
      </rPr>
      <t>現単価</t>
    </r>
    <r>
      <rPr>
        <sz val="12"/>
        <rFont val="Arial"/>
        <family val="2"/>
      </rPr>
      <t xml:space="preserve"> + </t>
    </r>
    <r>
      <rPr>
        <sz val="12"/>
        <rFont val="ＭＳ Ｐゴシック"/>
        <family val="3"/>
        <charset val="128"/>
      </rPr>
      <t>カット代</t>
    </r>
    <rPh sb="0" eb="1">
      <t>ゲン</t>
    </rPh>
    <rPh sb="1" eb="3">
      <t>タンカ</t>
    </rPh>
    <rPh sb="9" eb="10">
      <t>ダイ</t>
    </rPh>
    <phoneticPr fontId="2"/>
  </si>
  <si>
    <r>
      <t>2023</t>
    </r>
    <r>
      <rPr>
        <sz val="11"/>
        <rFont val="ＭＳ Ｐゴシック"/>
        <family val="3"/>
        <charset val="128"/>
      </rPr>
      <t>年</t>
    </r>
    <r>
      <rPr>
        <sz val="11"/>
        <rFont val="Arial"/>
        <family val="2"/>
      </rPr>
      <t>4</t>
    </r>
    <r>
      <rPr>
        <sz val="11"/>
        <rFont val="ＭＳ Ｐゴシック"/>
        <family val="3"/>
        <charset val="128"/>
      </rPr>
      <t>月～新単価</t>
    </r>
    <rPh sb="4" eb="5">
      <t>ネン</t>
    </rPh>
    <rPh sb="6" eb="7">
      <t>ガツ</t>
    </rPh>
    <rPh sb="8" eb="11">
      <t>シンタンカ</t>
    </rPh>
    <phoneticPr fontId="2"/>
  </si>
  <si>
    <t xml:space="preserve">Art.# / D# </t>
    <phoneticPr fontId="2"/>
  </si>
  <si>
    <r>
      <t>Q</t>
    </r>
    <r>
      <rPr>
        <b/>
        <sz val="10"/>
        <rFont val="Arial  "/>
        <family val="2"/>
      </rPr>
      <t>ty</t>
    </r>
    <phoneticPr fontId="2"/>
  </si>
  <si>
    <t>EXW (JAPAN) / m *including cut fee US$3.00/m</t>
    <phoneticPr fontId="2"/>
  </si>
  <si>
    <t>Sub-total</t>
    <phoneticPr fontId="2"/>
  </si>
  <si>
    <t>Nylon cord with Bullet Metal Tip ( normal )</t>
    <phoneticPr fontId="2"/>
  </si>
  <si>
    <t>Polyester cord with Bullet Metal Tip ( normal )</t>
    <phoneticPr fontId="2"/>
  </si>
  <si>
    <t>5655 with Bullet Metal Tip</t>
    <phoneticPr fontId="2"/>
  </si>
  <si>
    <t>5655 :C/# 58NT x Bullet Metal Tip ( normal ) #PWP Silver</t>
    <phoneticPr fontId="2"/>
  </si>
  <si>
    <t>5655 :C/# 16NT x Bullet Metal Tip ( normal ) #PWP Silver</t>
    <phoneticPr fontId="2"/>
  </si>
  <si>
    <t>Stretch lace trim   Cotton 74%, Nylon 15%, Polyurethane 11%</t>
    <phoneticPr fontId="2"/>
  </si>
  <si>
    <t xml:space="preserve">6508 </t>
    <phoneticPr fontId="2"/>
  </si>
  <si>
    <t>Jonathan Simkhai</t>
    <phoneticPr fontId="2"/>
  </si>
  <si>
    <t>FWL-21564s</t>
    <phoneticPr fontId="2"/>
  </si>
  <si>
    <t>DTM AMARANTH (18-2045TCX)</t>
    <phoneticPr fontId="2"/>
  </si>
  <si>
    <t>DTM CHAMPAGNE (12-1005TCX)</t>
    <phoneticPr fontId="2"/>
  </si>
  <si>
    <t>DTM BLACK (19-0303TCX)</t>
    <phoneticPr fontId="2"/>
  </si>
  <si>
    <t>Dye fee</t>
    <phoneticPr fontId="2"/>
  </si>
  <si>
    <t>Art.#</t>
    <phoneticPr fontId="2"/>
  </si>
  <si>
    <t>138×30</t>
  </si>
  <si>
    <t>T2120</t>
  </si>
  <si>
    <r>
      <t>SILK 100</t>
    </r>
    <r>
      <rPr>
        <sz val="10"/>
        <color indexed="8"/>
        <rFont val="ＭＳ Ｐゴシック"/>
        <family val="3"/>
        <charset val="128"/>
      </rPr>
      <t>％</t>
    </r>
  </si>
  <si>
    <t xml:space="preserve">Estee Couture 20221025  20% 120 for over 1000円/m ,  30% 120 for under 1000円/m </t>
    <rPh sb="45" eb="46">
      <t>エン</t>
    </rPh>
    <rPh sb="74" eb="75">
      <t>エン</t>
    </rPh>
    <phoneticPr fontId="2"/>
  </si>
  <si>
    <t>116/118 x abt 58</t>
    <phoneticPr fontId="2"/>
  </si>
  <si>
    <t>G:P 100%  Flock:Ny50% Ry50%</t>
    <phoneticPr fontId="2"/>
  </si>
  <si>
    <t xml:space="preserve">Available </t>
    <phoneticPr fontId="2"/>
  </si>
  <si>
    <t>KFUT5116  D# F-3407 in Mill's Standard colors</t>
    <phoneticPr fontId="2"/>
  </si>
  <si>
    <t>MOQ : 1 roll -
*sample cut available 1M - any with cut fee US$ 12/cut </t>
    <phoneticPr fontId="2"/>
  </si>
  <si>
    <t>MOQ : 1 roll -
*sample cut available 1M - 10m with cut fee US$ 12/cut </t>
    <phoneticPr fontId="2"/>
  </si>
  <si>
    <t>MOQ : 1 roll -
*sample cut available 1M - 5m with cut fee US$ 15/cut </t>
    <phoneticPr fontId="2"/>
  </si>
  <si>
    <t xml:space="preserve">KFUT5116  D# F-3407 in attahced white </t>
    <phoneticPr fontId="2"/>
  </si>
  <si>
    <t>MOQ : 3 rolls</t>
    <phoneticPr fontId="2"/>
  </si>
  <si>
    <t xml:space="preserve">EXW JAPAN /m for over 3 rolls </t>
    <phoneticPr fontId="2"/>
  </si>
  <si>
    <t>EXW JAPAN /m for 20m</t>
    <phoneticPr fontId="2"/>
  </si>
  <si>
    <t>EXW JAPAN /m for 1 roll</t>
    <phoneticPr fontId="2"/>
  </si>
  <si>
    <t>228218 LA</t>
    <phoneticPr fontId="2"/>
  </si>
  <si>
    <t>20705</t>
    <phoneticPr fontId="2"/>
  </si>
  <si>
    <r>
      <t xml:space="preserve">228614  </t>
    </r>
    <r>
      <rPr>
        <sz val="12"/>
        <color indexed="30"/>
        <rFont val="Arial"/>
        <family val="2"/>
      </rPr>
      <t>ship to LA</t>
    </r>
  </si>
  <si>
    <t># 329 Ivory</t>
  </si>
  <si>
    <r>
      <t xml:space="preserve">228614  </t>
    </r>
    <r>
      <rPr>
        <sz val="12"/>
        <color indexed="30"/>
        <rFont val="Arial"/>
        <family val="2"/>
      </rPr>
      <t>ship to LA</t>
    </r>
    <phoneticPr fontId="2"/>
  </si>
  <si>
    <t># 742 Yellow</t>
  </si>
  <si>
    <t># 742 Yellow</t>
    <phoneticPr fontId="2"/>
  </si>
  <si>
    <t># 303 Champagne</t>
  </si>
  <si>
    <t># 408 Azaela</t>
  </si>
  <si>
    <t># 408 Azaela</t>
    <phoneticPr fontId="2"/>
  </si>
  <si>
    <t># 112 Blue</t>
  </si>
  <si>
    <t># 112 Blue</t>
    <phoneticPr fontId="2"/>
  </si>
  <si>
    <t># 151 Celery</t>
  </si>
  <si>
    <t># 118 Champagne</t>
  </si>
  <si>
    <t># 2 Coral</t>
  </si>
  <si>
    <t># 2 Coral</t>
    <phoneticPr fontId="2"/>
  </si>
  <si>
    <t># 501 Dusty Rose</t>
  </si>
  <si>
    <t># 501 Dusty Rose</t>
    <phoneticPr fontId="2"/>
  </si>
  <si>
    <t># 186 Pink</t>
  </si>
  <si>
    <t># 186 Pink</t>
    <phoneticPr fontId="2"/>
  </si>
  <si>
    <t xml:space="preserve"># 305 Sky Blue </t>
  </si>
  <si>
    <t># 190 Yellow</t>
  </si>
  <si>
    <t># 190 Yellow</t>
    <phoneticPr fontId="2"/>
  </si>
  <si>
    <t>11/2出荷見本着</t>
    <rPh sb="4" eb="6">
      <t>シュッカ</t>
    </rPh>
    <rPh sb="6" eb="8">
      <t>ミホン</t>
    </rPh>
    <rPh sb="8" eb="9">
      <t>チャク</t>
    </rPh>
    <phoneticPr fontId="2"/>
  </si>
  <si>
    <t>キープですが下記のように手配しました。</t>
  </si>
  <si>
    <t>Width</t>
  </si>
  <si>
    <t>160cm</t>
  </si>
  <si>
    <t>50 m</t>
  </si>
  <si>
    <t>100 m</t>
  </si>
  <si>
    <t>在庫ありキープ済</t>
  </si>
  <si>
    <t>1 rolls</t>
  </si>
  <si>
    <t>キープ手配済。</t>
  </si>
  <si>
    <t>140cm</t>
  </si>
  <si>
    <t>58 m</t>
  </si>
  <si>
    <t>116 m</t>
  </si>
  <si>
    <t xml:space="preserve"># 533 Blush  </t>
  </si>
  <si>
    <t>5 rolls</t>
  </si>
  <si>
    <t>290 m</t>
  </si>
  <si>
    <t>3 rolls</t>
  </si>
  <si>
    <t>174 m</t>
  </si>
  <si>
    <t>4 rolls</t>
  </si>
  <si>
    <t>232 m</t>
  </si>
  <si>
    <r>
      <t xml:space="preserve">228614  </t>
    </r>
    <r>
      <rPr>
        <sz val="10"/>
        <color indexed="30"/>
        <rFont val="Arial"/>
        <family val="2"/>
      </rPr>
      <t>ship to LA</t>
    </r>
  </si>
  <si>
    <t>仕掛け中来年1月初め納期予定。</t>
    <rPh sb="8" eb="9">
      <t>ハジ</t>
    </rPh>
    <phoneticPr fontId="2"/>
  </si>
  <si>
    <t>No stock, will be replenished January</t>
    <phoneticPr fontId="2"/>
  </si>
  <si>
    <t>30m</t>
  </si>
  <si>
    <r>
      <rPr>
        <sz val="10"/>
        <rFont val="Arial  "/>
        <family val="2"/>
      </rPr>
      <t>DN-137-605</t>
    </r>
    <phoneticPr fontId="2"/>
  </si>
  <si>
    <t>6mm</t>
    <phoneticPr fontId="2"/>
  </si>
  <si>
    <t>9mm</t>
    <phoneticPr fontId="2"/>
  </si>
  <si>
    <t>12mm</t>
    <phoneticPr fontId="2"/>
  </si>
  <si>
    <t>15mm</t>
    <phoneticPr fontId="2"/>
  </si>
  <si>
    <t>18mm</t>
    <phoneticPr fontId="2"/>
  </si>
  <si>
    <t>24mm</t>
    <phoneticPr fontId="2"/>
  </si>
  <si>
    <t>30mm</t>
    <phoneticPr fontId="2"/>
  </si>
  <si>
    <t>Johnny Was 20221027  55% 120</t>
    <phoneticPr fontId="2"/>
  </si>
  <si>
    <t># 507</t>
    <phoneticPr fontId="2"/>
  </si>
  <si>
    <t>17709</t>
    <phoneticPr fontId="2"/>
  </si>
  <si>
    <t>Stretch Satin Ribbon  Polyester-100%</t>
    <phoneticPr fontId="2"/>
  </si>
  <si>
    <t>Fringe   Rayon-100%</t>
    <phoneticPr fontId="2"/>
  </si>
  <si>
    <t>FP-20221027-JS</t>
    <phoneticPr fontId="2"/>
  </si>
  <si>
    <t xml:space="preserve"># 2 Black </t>
    <phoneticPr fontId="2"/>
  </si>
  <si>
    <t>Lace Trim   Cotton-100%</t>
    <phoneticPr fontId="2"/>
  </si>
  <si>
    <t>FWL-71543</t>
    <phoneticPr fontId="2"/>
  </si>
  <si>
    <t>no stock, will be replenished early November</t>
    <phoneticPr fontId="2"/>
  </si>
  <si>
    <t>in stock</t>
    <phoneticPr fontId="2"/>
  </si>
  <si>
    <t>17710</t>
    <phoneticPr fontId="2"/>
  </si>
  <si>
    <t>Cotton georgette ribbon   Cotton-100%</t>
    <phoneticPr fontId="2"/>
  </si>
  <si>
    <t>DN-137-605</t>
    <phoneticPr fontId="2"/>
  </si>
  <si>
    <t xml:space="preserve"># 002 </t>
    <phoneticPr fontId="2"/>
  </si>
  <si>
    <t>5612 with Bullet Metal Tip</t>
    <phoneticPr fontId="2"/>
  </si>
  <si>
    <t>5612 :C/# WW x Bullet Metal Tip ( normal ) #PWP Silver</t>
    <phoneticPr fontId="2"/>
  </si>
  <si>
    <t>5612 with Bullet Metal Tip ( NY33A)</t>
    <phoneticPr fontId="2"/>
  </si>
  <si>
    <t>5655 with Bullet Metal Tip (M-50)</t>
    <phoneticPr fontId="2"/>
  </si>
  <si>
    <t>3 sets ( US$7 /set)</t>
    <phoneticPr fontId="2"/>
  </si>
  <si>
    <t>165831</t>
    <phoneticPr fontId="2"/>
  </si>
  <si>
    <t>YN-221031</t>
    <phoneticPr fontId="2"/>
  </si>
  <si>
    <t>AH22PT10145</t>
    <phoneticPr fontId="2"/>
  </si>
  <si>
    <t>C&amp;F HK / m</t>
    <phoneticPr fontId="2"/>
  </si>
  <si>
    <t>EXW JAPAN /m
for 1-499m /col</t>
    <phoneticPr fontId="2"/>
  </si>
  <si>
    <t xml:space="preserve">THE SEI 20221031   1-499m/col &gt;&gt;&gt; 30% 120,   500m - 20% 120 </t>
    <phoneticPr fontId="2"/>
  </si>
  <si>
    <t>EXW JAPAN /m
for 500m- /col</t>
    <phoneticPr fontId="2"/>
  </si>
  <si>
    <r>
      <t xml:space="preserve">2022 October </t>
    </r>
    <r>
      <rPr>
        <sz val="12"/>
        <rFont val="ＭＳ Ｐゴシック"/>
        <family val="3"/>
        <charset val="128"/>
      </rPr>
      <t>より通常</t>
    </r>
    <r>
      <rPr>
        <sz val="12"/>
        <rFont val="Arial"/>
        <family val="2"/>
      </rPr>
      <t>30% 120</t>
    </r>
    <r>
      <rPr>
        <sz val="12"/>
        <rFont val="ＭＳ Ｐゴシック"/>
        <family val="3"/>
        <charset val="128"/>
      </rPr>
      <t>円、バルク数量</t>
    </r>
    <r>
      <rPr>
        <sz val="12"/>
        <rFont val="Arial"/>
        <family val="2"/>
      </rPr>
      <t xml:space="preserve"> 20% 120</t>
    </r>
    <r>
      <rPr>
        <sz val="12"/>
        <rFont val="ＭＳ Ｐゴシック"/>
        <family val="3"/>
        <charset val="128"/>
      </rPr>
      <t>円</t>
    </r>
    <rPh sb="15" eb="17">
      <t>ツウジョウ</t>
    </rPh>
    <rPh sb="24" eb="25">
      <t>エン</t>
    </rPh>
    <rPh sb="29" eb="31">
      <t>スウリョウ</t>
    </rPh>
    <rPh sb="39" eb="40">
      <t>エン</t>
    </rPh>
    <phoneticPr fontId="2"/>
  </si>
  <si>
    <t>29202</t>
    <phoneticPr fontId="2"/>
  </si>
  <si>
    <r>
      <t>INV4643/14552</t>
    </r>
    <r>
      <rPr>
        <sz val="12"/>
        <rFont val="ＭＳ Ｐゴシック"/>
        <family val="3"/>
        <charset val="128"/>
      </rPr>
      <t>と同送</t>
    </r>
    <rPh sb="14" eb="16">
      <t>ドウソウ</t>
    </rPh>
    <phoneticPr fontId="2"/>
  </si>
  <si>
    <r>
      <t>INV4643/14552</t>
    </r>
    <r>
      <rPr>
        <sz val="8"/>
        <rFont val="ＭＳ Ｐゴシック"/>
        <family val="3"/>
        <charset val="128"/>
      </rPr>
      <t>と同送</t>
    </r>
    <rPh sb="14" eb="16">
      <t>ドウソウ</t>
    </rPh>
    <phoneticPr fontId="2"/>
  </si>
  <si>
    <r>
      <t>11</t>
    </r>
    <r>
      <rPr>
        <sz val="12"/>
        <rFont val="ＭＳ Ｐゴシック"/>
        <family val="3"/>
        <charset val="128"/>
      </rPr>
      <t>月出荷分</t>
    </r>
    <r>
      <rPr>
        <sz val="12"/>
        <rFont val="Arial"/>
        <family val="2"/>
      </rPr>
      <t xml:space="preserve"> USD 17,700 </t>
    </r>
    <rPh sb="2" eb="3">
      <t>ガツ</t>
    </rPh>
    <rPh sb="3" eb="5">
      <t>シュッカ</t>
    </rPh>
    <rPh sb="5" eb="6">
      <t>ブン</t>
    </rPh>
    <phoneticPr fontId="2"/>
  </si>
  <si>
    <t>Charge</t>
    <phoneticPr fontId="2"/>
  </si>
  <si>
    <r>
      <t xml:space="preserve">XC20221102001 </t>
    </r>
    <r>
      <rPr>
        <sz val="12"/>
        <color indexed="30"/>
        <rFont val="Arial"/>
        <family val="2"/>
      </rPr>
      <t>ship to Royal Spirit</t>
    </r>
    <phoneticPr fontId="2"/>
  </si>
  <si>
    <t>6539</t>
    <phoneticPr fontId="2"/>
  </si>
  <si>
    <t>Cotton Lace Trim   100% Cotton</t>
    <phoneticPr fontId="2"/>
  </si>
  <si>
    <t>FWL-71089</t>
    <phoneticPr fontId="2"/>
  </si>
  <si>
    <t>DTM MACADAMIA (12-0709TCX)</t>
    <phoneticPr fontId="2"/>
  </si>
  <si>
    <t>DTM ORCHID (17-3320TCX)</t>
    <phoneticPr fontId="2"/>
  </si>
  <si>
    <t xml:space="preserve">MOQ &amp; sample cut </t>
    <phoneticPr fontId="2"/>
  </si>
  <si>
    <t xml:space="preserve">MOQ : 1 roll 
( sample cut available from 1m - with cut fee USD 12/cut)  </t>
    <phoneticPr fontId="2"/>
  </si>
  <si>
    <t xml:space="preserve">6540  </t>
    <phoneticPr fontId="2"/>
  </si>
  <si>
    <t>COL. 9 (BLACK)</t>
  </si>
  <si>
    <t>COL. 118(MACADAMIA)</t>
    <phoneticPr fontId="2"/>
  </si>
  <si>
    <t>COL. 160(ORCHID)</t>
    <phoneticPr fontId="2"/>
  </si>
  <si>
    <t xml:space="preserve"> 3 sets ( US$ 12/set)</t>
    <phoneticPr fontId="2"/>
  </si>
  <si>
    <t>Stock</t>
    <phoneticPr fontId="2"/>
  </si>
  <si>
    <t>No stock, will be replenished in the mid. November</t>
    <phoneticPr fontId="2"/>
  </si>
  <si>
    <r>
      <rPr>
        <sz val="12"/>
        <rFont val="ＭＳ Ｐゴシック"/>
        <family val="3"/>
        <charset val="128"/>
      </rPr>
      <t>次回より</t>
    </r>
    <r>
      <rPr>
        <sz val="12"/>
        <rFont val="Arial"/>
        <family val="2"/>
      </rPr>
      <t>39</t>
    </r>
    <rPh sb="0" eb="2">
      <t>ジカイ</t>
    </rPh>
    <phoneticPr fontId="2"/>
  </si>
  <si>
    <t>EXW (JAPAN) / m for 3000m - 4999m/col</t>
    <phoneticPr fontId="2"/>
  </si>
  <si>
    <t>EXW (JAPAN) / m for 25m - 2999m/col</t>
    <phoneticPr fontId="2"/>
  </si>
  <si>
    <t xml:space="preserve">EXW (JAPAN) / m for 5000m/col - </t>
    <phoneticPr fontId="2"/>
  </si>
  <si>
    <t>20221108 Staud 旧単価の整合性に合わせて 60% 120 for 2999m,  55% 120 for 3000m, 50% 120 for 5000m-</t>
    <rPh sb="15" eb="18">
      <t>キュウタンカ</t>
    </rPh>
    <rPh sb="19" eb="22">
      <t>セイゴウセイ</t>
    </rPh>
    <rPh sb="23" eb="24">
      <t>ア</t>
    </rPh>
    <phoneticPr fontId="2"/>
  </si>
  <si>
    <t>Composition</t>
  </si>
  <si>
    <t>Nylon:100%</t>
  </si>
  <si>
    <t>ZMT3381</t>
  </si>
  <si>
    <t>Min. Order quantity(M)</t>
  </si>
  <si>
    <t>USD</t>
  </si>
  <si>
    <t>meter</t>
  </si>
  <si>
    <t>Shipping Term</t>
  </si>
  <si>
    <t>Unit</t>
  </si>
  <si>
    <t>Unit Price/
Meter</t>
  </si>
  <si>
    <t>Weaving min.(M)</t>
  </si>
  <si>
    <t xml:space="preserve">Dye to match colour (M) </t>
  </si>
  <si>
    <t>Articles number</t>
    <phoneticPr fontId="2"/>
  </si>
  <si>
    <t>FOB China or Thailand</t>
  </si>
  <si>
    <t>FOB China or Thailand</t>
    <phoneticPr fontId="2"/>
  </si>
  <si>
    <t># 1 White</t>
  </si>
  <si>
    <r>
      <t>Width
±7</t>
    </r>
    <r>
      <rPr>
        <sz val="10"/>
        <color indexed="8"/>
        <rFont val="ＭＳ Ｐ明朝"/>
        <family val="1"/>
        <charset val="128"/>
      </rPr>
      <t xml:space="preserve">％
</t>
    </r>
    <r>
      <rPr>
        <sz val="10"/>
        <color indexed="8"/>
        <rFont val="Times New Roman"/>
        <family val="1"/>
      </rPr>
      <t>(mm)</t>
    </r>
    <phoneticPr fontId="2"/>
  </si>
  <si>
    <t>Pattern No</t>
  </si>
  <si>
    <r>
      <t>±7</t>
    </r>
    <r>
      <rPr>
        <sz val="10.5"/>
        <color indexed="8"/>
        <rFont val="Microsoft JhengHei"/>
        <family val="2"/>
        <charset val="136"/>
      </rPr>
      <t>％</t>
    </r>
  </si>
  <si>
    <t xml:space="preserve">(mm) </t>
  </si>
  <si>
    <t>Currency</t>
  </si>
  <si>
    <t>Unit Price/</t>
  </si>
  <si>
    <t xml:space="preserve">Meter </t>
  </si>
  <si>
    <t xml:space="preserve">$   3.93 </t>
    <phoneticPr fontId="2"/>
  </si>
  <si>
    <t>622.2/col</t>
    <phoneticPr fontId="2"/>
  </si>
  <si>
    <t xml:space="preserve">For 30m x 5 colors  lace price + pot dye USD 40/col </t>
    <phoneticPr fontId="2"/>
  </si>
  <si>
    <t>20221110 ALC  initial sample price for 3 - 5 m</t>
    <phoneticPr fontId="2"/>
  </si>
  <si>
    <t xml:space="preserve">KYL-8331-1 </t>
    <phoneticPr fontId="2"/>
  </si>
  <si>
    <t xml:space="preserve">KYL-T3220-1 </t>
    <phoneticPr fontId="2"/>
  </si>
  <si>
    <t xml:space="preserve">20221111 ALC  40% 120 </t>
    <phoneticPr fontId="2"/>
  </si>
  <si>
    <t xml:space="preserve">TRL-11511R </t>
    <phoneticPr fontId="2"/>
  </si>
  <si>
    <t>110/ｍ</t>
    <phoneticPr fontId="2"/>
  </si>
  <si>
    <t>Trim Lace 100% Nylon</t>
    <phoneticPr fontId="2"/>
  </si>
  <si>
    <t>ZMT3381</t>
    <phoneticPr fontId="2"/>
  </si>
  <si>
    <t xml:space="preserve"> SAKAE Black </t>
    <phoneticPr fontId="2"/>
  </si>
  <si>
    <t>China / Thailand</t>
    <phoneticPr fontId="2"/>
  </si>
  <si>
    <t>FOB JAPAN/m</t>
    <phoneticPr fontId="2"/>
  </si>
  <si>
    <t xml:space="preserve">TRL-11511R </t>
  </si>
  <si>
    <t>Lace Trim   100% Cotton</t>
    <phoneticPr fontId="2"/>
  </si>
  <si>
    <t xml:space="preserve">Lace Trim   Front Yarn : 100%  Rayon , Back yarn : 100% Cotton </t>
    <phoneticPr fontId="2"/>
  </si>
  <si>
    <t>KYL-23551</t>
  </si>
  <si>
    <t>14 m</t>
  </si>
  <si>
    <t>28 m</t>
  </si>
  <si>
    <t xml:space="preserve">KYL-8331-1 </t>
  </si>
  <si>
    <t xml:space="preserve">KYL-T3220-1 </t>
  </si>
  <si>
    <t>NOTE:</t>
  </si>
  <si>
    <t>13.7 m</t>
  </si>
  <si>
    <t>27.4 m</t>
  </si>
  <si>
    <t>FALL23-SF-003</t>
  </si>
  <si>
    <t>FALL23-SF-003</t>
    <phoneticPr fontId="2"/>
  </si>
  <si>
    <t>DTM Jolly Green</t>
    <phoneticPr fontId="2"/>
  </si>
  <si>
    <t>DTM Cocoa</t>
    <phoneticPr fontId="2"/>
  </si>
  <si>
    <t>DTM Victoria Pink</t>
    <phoneticPr fontId="2"/>
  </si>
  <si>
    <t>DTM Regal</t>
    <phoneticPr fontId="2"/>
  </si>
  <si>
    <t xml:space="preserve">Pot Dyeing fee </t>
    <phoneticPr fontId="2"/>
  </si>
  <si>
    <t>FOB Thailand /m</t>
    <phoneticPr fontId="2"/>
  </si>
  <si>
    <t>Mid to End December</t>
    <phoneticPr fontId="2"/>
  </si>
  <si>
    <t>サンプルミニマム</t>
  </si>
  <si>
    <t>1roll/col (50m)</t>
  </si>
  <si>
    <t>バルクミニマム</t>
  </si>
  <si>
    <t>8rolls/col</t>
  </si>
  <si>
    <t>ビーカー納期</t>
  </si>
  <si>
    <t>3~4 weeks</t>
  </si>
  <si>
    <t>サンプル納期</t>
  </si>
  <si>
    <t>2~3 weeks</t>
  </si>
  <si>
    <t>バルク納期</t>
  </si>
  <si>
    <t>サンプル単価</t>
  </si>
  <si>
    <t>バルク単価</t>
  </si>
  <si>
    <t>アップチャージ - 2rolls/col</t>
  </si>
  <si>
    <t>アップチャージ - 4rolls/col</t>
  </si>
  <si>
    <t>アップチャージ - 6rolls/col</t>
  </si>
  <si>
    <r>
      <t xml:space="preserve">KKF2225 D#2 </t>
    </r>
    <r>
      <rPr>
        <sz val="10.5"/>
        <color indexed="8"/>
        <rFont val="游ゴシック"/>
        <family val="3"/>
        <charset val="128"/>
      </rPr>
      <t>別注色条件</t>
    </r>
    <r>
      <rPr>
        <sz val="10.5"/>
        <color indexed="8"/>
        <rFont val="Calibri"/>
        <family val="2"/>
      </rPr>
      <t xml:space="preserve"> (2022.11.16)</t>
    </r>
    <phoneticPr fontId="2"/>
  </si>
  <si>
    <t>FUT3336 D#2  DTM order confitions (2022.November 16th )</t>
  </si>
  <si>
    <t>MOQ for sample</t>
    <phoneticPr fontId="2"/>
  </si>
  <si>
    <t xml:space="preserve">MOQ for Bulk </t>
    <phoneticPr fontId="2"/>
  </si>
  <si>
    <t>1 roll/col (50m)</t>
    <phoneticPr fontId="2"/>
  </si>
  <si>
    <t>8 rolls/col</t>
    <phoneticPr fontId="2"/>
  </si>
  <si>
    <t>L/T for Lab-dip</t>
    <phoneticPr fontId="2"/>
  </si>
  <si>
    <t>abt 3 ~ 4 weeks</t>
    <phoneticPr fontId="2"/>
  </si>
  <si>
    <t>L/T for sample</t>
    <phoneticPr fontId="2"/>
  </si>
  <si>
    <t>abt 2 ~ 3 weeks</t>
    <phoneticPr fontId="2"/>
  </si>
  <si>
    <t>L/T for Bulk</t>
    <phoneticPr fontId="2"/>
  </si>
  <si>
    <t>Sample Price for 1 roll/col (EXW JAPAN /m)</t>
    <phoneticPr fontId="2"/>
  </si>
  <si>
    <t>Rodarte 20221116   20%  120円</t>
    <rPh sb="27" eb="28">
      <t>エン</t>
    </rPh>
    <phoneticPr fontId="2"/>
  </si>
  <si>
    <t>Bulk Price for 8 rolls/col (EXW JAPAN /m)</t>
    <phoneticPr fontId="2"/>
  </si>
  <si>
    <t>梱包費用20円+</t>
    <rPh sb="0" eb="2">
      <t>コンポウ</t>
    </rPh>
    <rPh sb="2" eb="4">
      <t>ヒヨウ</t>
    </rPh>
    <rPh sb="6" eb="7">
      <t>エン</t>
    </rPh>
    <phoneticPr fontId="2"/>
  </si>
  <si>
    <t>Upcharge for 2 rolls/col (EXW JAPAN /m)</t>
    <phoneticPr fontId="2"/>
  </si>
  <si>
    <t>Upcharge for 4 rolls/col (EXW JAPAN /m)</t>
    <phoneticPr fontId="2"/>
  </si>
  <si>
    <t>Upcharge for 6 rolls/col (EXW JAPAN /m)</t>
    <phoneticPr fontId="2"/>
  </si>
  <si>
    <t>20221116  DDA  40% 120</t>
    <phoneticPr fontId="2"/>
  </si>
  <si>
    <r>
      <rPr>
        <sz val="10"/>
        <rFont val="ＭＳ Ｐゴシック"/>
        <family val="3"/>
        <charset val="128"/>
      </rPr>
      <t>【</t>
    </r>
    <r>
      <rPr>
        <sz val="10"/>
        <rFont val="Arial  "/>
        <family val="2"/>
      </rPr>
      <t>#1231A</t>
    </r>
    <r>
      <rPr>
        <sz val="10"/>
        <rFont val="ＭＳ Ｐゴシック"/>
        <family val="3"/>
        <charset val="128"/>
      </rPr>
      <t>】</t>
    </r>
    <r>
      <rPr>
        <sz val="10"/>
        <rFont val="Arial  "/>
        <family val="2"/>
      </rPr>
      <t xml:space="preserve"> or </t>
    </r>
    <r>
      <rPr>
        <sz val="10"/>
        <rFont val="ＭＳ Ｐゴシック"/>
        <family val="3"/>
        <charset val="128"/>
      </rPr>
      <t>【</t>
    </r>
    <r>
      <rPr>
        <sz val="10"/>
        <rFont val="Arial  "/>
        <family val="2"/>
      </rPr>
      <t>#ALS</t>
    </r>
    <r>
      <rPr>
        <sz val="10"/>
        <rFont val="ＭＳ Ｐゴシック"/>
        <family val="3"/>
        <charset val="128"/>
      </rPr>
      <t>】</t>
    </r>
    <r>
      <rPr>
        <sz val="10"/>
        <rFont val="Arial  "/>
        <family val="2"/>
      </rPr>
      <t xml:space="preserve"> 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Lamous</t>
    </r>
    <r>
      <rPr>
        <sz val="10"/>
        <rFont val="ＭＳ Ｐゴシック"/>
        <family val="3"/>
        <charset val="128"/>
      </rPr>
      <t>）</t>
    </r>
    <phoneticPr fontId="2"/>
  </si>
  <si>
    <t xml:space="preserve">M-06 ( 6mm ) </t>
    <phoneticPr fontId="2"/>
  </si>
  <si>
    <t>abt 15m/roll</t>
    <phoneticPr fontId="2"/>
  </si>
  <si>
    <r>
      <t>FALL23</t>
    </r>
    <r>
      <rPr>
        <sz val="12"/>
        <rFont val="ＭＳ Ｐゴシック"/>
        <family val="3"/>
        <charset val="128"/>
      </rPr>
      <t>‐</t>
    </r>
    <r>
      <rPr>
        <sz val="12"/>
        <rFont val="Arial"/>
        <family val="2"/>
      </rPr>
      <t>SF</t>
    </r>
    <r>
      <rPr>
        <sz val="12"/>
        <rFont val="ＭＳ Ｐゴシック"/>
        <family val="3"/>
        <charset val="128"/>
      </rPr>
      <t>‐</t>
    </r>
    <r>
      <rPr>
        <sz val="12"/>
        <rFont val="Arial"/>
        <family val="2"/>
      </rPr>
      <t>005</t>
    </r>
    <phoneticPr fontId="2"/>
  </si>
  <si>
    <t>FALL23-SF-006</t>
    <phoneticPr fontId="2"/>
  </si>
  <si>
    <t>China</t>
    <phoneticPr fontId="2"/>
  </si>
  <si>
    <t>Japan</t>
    <phoneticPr fontId="2"/>
  </si>
  <si>
    <t>115756</t>
    <phoneticPr fontId="2"/>
  </si>
  <si>
    <t>ART#</t>
  </si>
  <si>
    <t>DESIGN#</t>
  </si>
  <si>
    <t>price</t>
  </si>
  <si>
    <t>ALL</t>
  </si>
  <si>
    <t>FUT3336</t>
    <phoneticPr fontId="2"/>
  </si>
  <si>
    <t>FUT3337</t>
    <phoneticPr fontId="2"/>
  </si>
  <si>
    <t>FUT9978</t>
    <phoneticPr fontId="2"/>
  </si>
  <si>
    <t xml:space="preserve">FUT9970 </t>
    <phoneticPr fontId="2"/>
  </si>
  <si>
    <t xml:space="preserve">20221121 Rodarte </t>
    <phoneticPr fontId="2"/>
  </si>
  <si>
    <t>RD-221122</t>
    <phoneticPr fontId="2"/>
  </si>
  <si>
    <t>Lame Tulle   94% Ny, 6% Poly</t>
    <phoneticPr fontId="2"/>
  </si>
  <si>
    <t>FUT3336  D/# 2</t>
    <phoneticPr fontId="2"/>
  </si>
  <si>
    <t>105/110cm</t>
    <phoneticPr fontId="2"/>
  </si>
  <si>
    <t>Lame Tulle   62% Ny, 25% Poly, 13% Cu</t>
    <phoneticPr fontId="2"/>
  </si>
  <si>
    <t>FUT3337  D/# 1</t>
    <phoneticPr fontId="2"/>
  </si>
  <si>
    <t>Dot Tulle   100% Poly</t>
    <phoneticPr fontId="2"/>
  </si>
  <si>
    <t>FUT9978  D/# 1</t>
    <phoneticPr fontId="2"/>
  </si>
  <si>
    <t>112/115cm</t>
    <phoneticPr fontId="2"/>
  </si>
  <si>
    <t>Flower Dot Tulle   100% Poly</t>
    <phoneticPr fontId="2"/>
  </si>
  <si>
    <t>FUT9970  D/# 3</t>
    <phoneticPr fontId="2"/>
  </si>
  <si>
    <t>KKF2225</t>
    <phoneticPr fontId="2"/>
  </si>
  <si>
    <t xml:space="preserve">KKF2226 </t>
    <phoneticPr fontId="2"/>
  </si>
  <si>
    <t>KKF8867</t>
    <phoneticPr fontId="2"/>
  </si>
  <si>
    <t>KKF8869</t>
    <phoneticPr fontId="2"/>
  </si>
  <si>
    <t>FUT9970  D/# 1</t>
    <phoneticPr fontId="2"/>
  </si>
  <si>
    <t>KKF2225  D/# 2</t>
    <phoneticPr fontId="2"/>
  </si>
  <si>
    <t>KKF2226  D/# 1</t>
    <phoneticPr fontId="2"/>
  </si>
  <si>
    <t>KKF8867  D/# 1</t>
    <phoneticPr fontId="2"/>
  </si>
  <si>
    <t>KKF8869 D/# 3</t>
    <phoneticPr fontId="2"/>
  </si>
  <si>
    <t>KKF8869 D/# 1</t>
    <phoneticPr fontId="2"/>
  </si>
  <si>
    <t>Sub Total</t>
    <phoneticPr fontId="2"/>
  </si>
  <si>
    <t>Stock as of today</t>
    <phoneticPr fontId="2"/>
  </si>
  <si>
    <t>No stock, Replenishment : 1 roll - end of Nov., 10 rolls - mid Dec.</t>
    <phoneticPr fontId="2"/>
  </si>
  <si>
    <t>KW</t>
  </si>
  <si>
    <t>SO</t>
  </si>
  <si>
    <t>Y12</t>
  </si>
  <si>
    <t>Y625</t>
  </si>
  <si>
    <t>Y651</t>
  </si>
  <si>
    <t>A3</t>
  </si>
  <si>
    <t>9- 2 rolls</t>
  </si>
  <si>
    <t>1 Roll Each</t>
  </si>
  <si>
    <t>T3000- stiff</t>
  </si>
  <si>
    <t>Black</t>
  </si>
  <si>
    <t># 329</t>
    <phoneticPr fontId="2"/>
  </si>
  <si>
    <t># A3</t>
    <phoneticPr fontId="2"/>
  </si>
  <si>
    <t># 300</t>
    <phoneticPr fontId="2"/>
  </si>
  <si>
    <t># 276</t>
    <phoneticPr fontId="2"/>
  </si>
  <si>
    <r>
      <t xml:space="preserve">6539 </t>
    </r>
    <r>
      <rPr>
        <sz val="12"/>
        <color indexed="30"/>
        <rFont val="Arial"/>
        <family val="2"/>
      </rPr>
      <t xml:space="preserve">LA </t>
    </r>
  </si>
  <si>
    <r>
      <t xml:space="preserve">6539 </t>
    </r>
    <r>
      <rPr>
        <sz val="12"/>
        <color indexed="30"/>
        <rFont val="Arial"/>
        <family val="2"/>
      </rPr>
      <t>HK</t>
    </r>
    <phoneticPr fontId="2"/>
  </si>
  <si>
    <t>Stock / Replenish date</t>
    <phoneticPr fontId="2"/>
  </si>
  <si>
    <t>No stock / End Of Dec. - Beg of Jan.</t>
    <phoneticPr fontId="2"/>
  </si>
  <si>
    <t>No stock / around 23rd Dec.</t>
    <phoneticPr fontId="2"/>
  </si>
  <si>
    <r>
      <t xml:space="preserve"># </t>
    </r>
    <r>
      <rPr>
        <sz val="12"/>
        <rFont val="Arial  "/>
        <family val="2"/>
      </rPr>
      <t xml:space="preserve">742 Yellow   </t>
    </r>
    <r>
      <rPr>
        <sz val="12"/>
        <rFont val="Arial  "/>
        <family val="2"/>
      </rPr>
      <t xml:space="preserve"> </t>
    </r>
    <phoneticPr fontId="2"/>
  </si>
  <si>
    <t xml:space="preserve"># 742 Yellow    </t>
    <phoneticPr fontId="2"/>
  </si>
  <si>
    <r>
      <t xml:space="preserve">6539 </t>
    </r>
    <r>
      <rPr>
        <sz val="12"/>
        <color indexed="30"/>
        <rFont val="Arial"/>
        <family val="2"/>
      </rPr>
      <t xml:space="preserve">LA </t>
    </r>
    <phoneticPr fontId="2"/>
  </si>
  <si>
    <t>XC20221128</t>
    <phoneticPr fontId="2"/>
  </si>
  <si>
    <t>RD-221129</t>
    <phoneticPr fontId="2"/>
  </si>
  <si>
    <t xml:space="preserve">Are you am I </t>
    <phoneticPr fontId="2"/>
  </si>
  <si>
    <r>
      <t>JPY ( 130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 xml:space="preserve">/$ ) </t>
    </r>
    <rPh sb="9" eb="10">
      <t>エン</t>
    </rPh>
    <phoneticPr fontId="2"/>
  </si>
  <si>
    <r>
      <rPr>
        <sz val="10"/>
        <rFont val="ＭＳ Ｐゴシック"/>
        <family val="3"/>
        <charset val="128"/>
      </rPr>
      <t>仕入金額</t>
    </r>
    <rPh sb="0" eb="4">
      <t>シイレキンガク</t>
    </rPh>
    <phoneticPr fontId="2"/>
  </si>
  <si>
    <t xml:space="preserve">SF USA ( Brad 4% + NY 2%) </t>
    <phoneticPr fontId="2"/>
  </si>
  <si>
    <t>Total Profit ( NY + Osaka)</t>
    <phoneticPr fontId="2"/>
  </si>
  <si>
    <t>Osaka Profit</t>
    <phoneticPr fontId="2"/>
  </si>
  <si>
    <r>
      <rPr>
        <sz val="10"/>
        <rFont val="ＭＳ Ｐゴシック"/>
        <family val="3"/>
        <charset val="128"/>
      </rPr>
      <t>全体利益率</t>
    </r>
    <r>
      <rPr>
        <sz val="10"/>
        <rFont val="Arial  "/>
        <family val="2"/>
      </rPr>
      <t>18%</t>
    </r>
    <rPh sb="0" eb="2">
      <t>ゼンタイ</t>
    </rPh>
    <rPh sb="2" eb="5">
      <t>リエキリツ</t>
    </rPh>
    <phoneticPr fontId="2"/>
  </si>
  <si>
    <r>
      <rPr>
        <sz val="10"/>
        <rFont val="ＭＳ Ｐゴシック"/>
        <family val="3"/>
        <charset val="128"/>
      </rPr>
      <t>全体利益率</t>
    </r>
    <r>
      <rPr>
        <sz val="10"/>
        <rFont val="Arial  "/>
        <family val="2"/>
      </rPr>
      <t>13%</t>
    </r>
    <rPh sb="0" eb="2">
      <t>ゼンタイ</t>
    </rPh>
    <rPh sb="2" eb="5">
      <t>リエキリツ</t>
    </rPh>
    <phoneticPr fontId="2"/>
  </si>
  <si>
    <t>ship out within this week</t>
    <phoneticPr fontId="2"/>
  </si>
  <si>
    <r>
      <t>No stock / Beg of Dec.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>23rd Dec</t>
    </r>
    <phoneticPr fontId="2"/>
  </si>
  <si>
    <r>
      <t xml:space="preserve">In stock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>No stock / Beg of Jan.</t>
    </r>
    <phoneticPr fontId="2"/>
  </si>
  <si>
    <t>Ship out within this week</t>
    <phoneticPr fontId="2"/>
  </si>
  <si>
    <r>
      <t xml:space="preserve">228219 </t>
    </r>
    <r>
      <rPr>
        <sz val="10"/>
        <color indexed="30"/>
        <rFont val="Arial"/>
        <family val="2"/>
      </rPr>
      <t>LA</t>
    </r>
    <phoneticPr fontId="2"/>
  </si>
  <si>
    <r>
      <t>N2040</t>
    </r>
    <r>
      <rPr>
        <sz val="10"/>
        <rFont val="ＭＳ Ｐゴシック"/>
        <family val="3"/>
        <charset val="128"/>
      </rPr>
      <t>（</t>
    </r>
    <r>
      <rPr>
        <sz val="10"/>
        <rFont val="Arial"/>
        <family val="2"/>
      </rPr>
      <t>2440WIDE</t>
    </r>
    <r>
      <rPr>
        <sz val="10"/>
        <rFont val="ＭＳ Ｐゴシック"/>
        <family val="3"/>
        <charset val="128"/>
      </rPr>
      <t>）</t>
    </r>
    <phoneticPr fontId="2"/>
  </si>
  <si>
    <t>20221206 Katie May</t>
    <phoneticPr fontId="2"/>
  </si>
  <si>
    <t>EXW (JAPAN) / m for 
sample cut when in stock</t>
    <phoneticPr fontId="2"/>
  </si>
  <si>
    <t>EXW (JAPAN) / m 
for 1 roll *made to order</t>
    <phoneticPr fontId="2"/>
  </si>
  <si>
    <t xml:space="preserve">US$17.94 + cut fee </t>
    <phoneticPr fontId="2"/>
  </si>
  <si>
    <t>EXW (JAPAN) / m 
for 2 rolls *made to order</t>
    <phoneticPr fontId="2"/>
  </si>
  <si>
    <r>
      <t>20221206  Katharine Polk ( Houghton )  20% 115</t>
    </r>
    <r>
      <rPr>
        <sz val="10"/>
        <rFont val="ＭＳ Ｐゴシック"/>
        <family val="3"/>
        <charset val="128"/>
      </rPr>
      <t>円</t>
    </r>
    <rPh sb="46" eb="47">
      <t>エン</t>
    </rPh>
    <phoneticPr fontId="2"/>
  </si>
  <si>
    <r>
      <rPr>
        <sz val="10"/>
        <rFont val="ＭＳ Ｐゴシック"/>
        <family val="3"/>
        <charset val="128"/>
      </rPr>
      <t>全体利益率</t>
    </r>
    <r>
      <rPr>
        <sz val="10"/>
        <rFont val="Arial  "/>
        <family val="2"/>
      </rPr>
      <t>9</t>
    </r>
    <r>
      <rPr>
        <sz val="10"/>
        <rFont val="Arial  "/>
        <family val="2"/>
      </rPr>
      <t>%</t>
    </r>
    <rPh sb="0" eb="2">
      <t>ゼンタイ</t>
    </rPh>
    <rPh sb="2" eb="5">
      <t>リエキリツ</t>
    </rPh>
    <phoneticPr fontId="2"/>
  </si>
  <si>
    <t>HOU-email 221208</t>
    <phoneticPr fontId="2"/>
  </si>
  <si>
    <t># BK</t>
    <phoneticPr fontId="2"/>
  </si>
  <si>
    <t xml:space="preserve">PO # </t>
    <phoneticPr fontId="2"/>
  </si>
  <si>
    <t>Final Qty</t>
    <phoneticPr fontId="2"/>
  </si>
  <si>
    <r>
      <t>EXW (JAPAN) / m</t>
    </r>
    <r>
      <rPr>
        <b/>
        <sz val="10"/>
        <color indexed="10"/>
        <rFont val="Arial"/>
        <family val="2"/>
      </rPr>
      <t xml:space="preserve"> 10% discount</t>
    </r>
    <phoneticPr fontId="2"/>
  </si>
  <si>
    <t>GS-NS2453</t>
  </si>
  <si>
    <r>
      <t xml:space="preserve">Parc&amp;Pearl 20221210    25% 120 </t>
    </r>
    <r>
      <rPr>
        <sz val="10"/>
        <rFont val="ＭＳ Ｐゴシック"/>
        <family val="3"/>
        <charset val="128"/>
      </rPr>
      <t>円</t>
    </r>
    <rPh sb="31" eb="32">
      <t>エン</t>
    </rPh>
    <phoneticPr fontId="2"/>
  </si>
  <si>
    <t>GS-NS2459</t>
  </si>
  <si>
    <t>GS-NS2473</t>
  </si>
  <si>
    <t>GS-NS2474</t>
  </si>
  <si>
    <t>GS-NS2476</t>
  </si>
  <si>
    <t>sample cut</t>
    <phoneticPr fontId="2"/>
  </si>
  <si>
    <t>up to 10m with cut fee US$12/cut</t>
    <phoneticPr fontId="2"/>
  </si>
  <si>
    <r>
      <t>Art. #</t>
    </r>
    <r>
      <rPr>
        <b/>
        <sz val="10"/>
        <rFont val="ＭＳ Ｐゴシック"/>
        <family val="3"/>
        <charset val="128"/>
      </rPr>
      <t>　</t>
    </r>
    <r>
      <rPr>
        <b/>
        <sz val="10"/>
        <rFont val="Arial  "/>
        <family val="2"/>
      </rPr>
      <t>&amp; D/#</t>
    </r>
    <phoneticPr fontId="2"/>
  </si>
  <si>
    <t>在庫（加工品はベース生地在庫 or キバタ在庫）</t>
    <rPh sb="0" eb="2">
      <t>ザイコ</t>
    </rPh>
    <rPh sb="3" eb="5">
      <t>カコウ</t>
    </rPh>
    <rPh sb="5" eb="6">
      <t>ヒン</t>
    </rPh>
    <rPh sb="10" eb="12">
      <t>キジ</t>
    </rPh>
    <rPh sb="12" eb="14">
      <t>ザイコ</t>
    </rPh>
    <rPh sb="21" eb="23">
      <t>ザイコ</t>
    </rPh>
    <phoneticPr fontId="2"/>
  </si>
  <si>
    <r>
      <t xml:space="preserve">228701 </t>
    </r>
    <r>
      <rPr>
        <sz val="12"/>
        <color indexed="30"/>
        <rFont val="Arial"/>
        <family val="2"/>
      </rPr>
      <t>LA</t>
    </r>
    <phoneticPr fontId="2"/>
  </si>
  <si>
    <t>1月初め出荷希望</t>
    <rPh sb="1" eb="2">
      <t>ガツ</t>
    </rPh>
    <rPh sb="2" eb="3">
      <t>ハジ</t>
    </rPh>
    <rPh sb="4" eb="6">
      <t>シュッカ</t>
    </rPh>
    <rPh sb="6" eb="8">
      <t>キボウ</t>
    </rPh>
    <phoneticPr fontId="2"/>
  </si>
  <si>
    <r>
      <t xml:space="preserve">228702 </t>
    </r>
    <r>
      <rPr>
        <sz val="12"/>
        <color indexed="30"/>
        <rFont val="Arial"/>
        <family val="2"/>
      </rPr>
      <t>LA</t>
    </r>
    <phoneticPr fontId="2"/>
  </si>
  <si>
    <r>
      <t xml:space="preserve">228703 </t>
    </r>
    <r>
      <rPr>
        <sz val="12"/>
        <color indexed="30"/>
        <rFont val="Arial"/>
        <family val="2"/>
      </rPr>
      <t>LA</t>
    </r>
    <phoneticPr fontId="2"/>
  </si>
  <si>
    <r>
      <t xml:space="preserve">228704 </t>
    </r>
    <r>
      <rPr>
        <sz val="12"/>
        <color indexed="30"/>
        <rFont val="Arial"/>
        <family val="2"/>
      </rPr>
      <t>LA</t>
    </r>
    <phoneticPr fontId="2"/>
  </si>
  <si>
    <r>
      <t xml:space="preserve">228705 </t>
    </r>
    <r>
      <rPr>
        <sz val="12"/>
        <color indexed="30"/>
        <rFont val="Arial"/>
        <family val="2"/>
      </rPr>
      <t>LA</t>
    </r>
    <phoneticPr fontId="2"/>
  </si>
  <si>
    <r>
      <t xml:space="preserve">228706 </t>
    </r>
    <r>
      <rPr>
        <sz val="12"/>
        <color indexed="30"/>
        <rFont val="Arial"/>
        <family val="2"/>
      </rPr>
      <t>LA</t>
    </r>
    <phoneticPr fontId="2"/>
  </si>
  <si>
    <r>
      <t>6th Feb</t>
    </r>
    <r>
      <rPr>
        <sz val="10"/>
        <color indexed="10"/>
        <rFont val="ＭＳ Ｐゴシック"/>
        <family val="3"/>
        <charset val="128"/>
      </rPr>
      <t>出荷希望</t>
    </r>
    <rPh sb="7" eb="9">
      <t>シュッカ</t>
    </rPh>
    <rPh sb="9" eb="11">
      <t>キボウ</t>
    </rPh>
    <phoneticPr fontId="2"/>
  </si>
  <si>
    <r>
      <t>6th March</t>
    </r>
    <r>
      <rPr>
        <sz val="10"/>
        <color indexed="10"/>
        <rFont val="ＭＳ Ｐゴシック"/>
        <family val="3"/>
        <charset val="128"/>
      </rPr>
      <t>出荷希望</t>
    </r>
    <rPh sb="9" eb="11">
      <t>シュッカ</t>
    </rPh>
    <rPh sb="11" eb="13">
      <t>キボウ</t>
    </rPh>
    <phoneticPr fontId="2"/>
  </si>
  <si>
    <r>
      <t xml:space="preserve">3rd April </t>
    </r>
    <r>
      <rPr>
        <sz val="10"/>
        <color indexed="10"/>
        <rFont val="ＭＳ Ｐゴシック"/>
        <family val="3"/>
        <charset val="128"/>
      </rPr>
      <t>出荷希望</t>
    </r>
    <rPh sb="10" eb="12">
      <t>シュッカ</t>
    </rPh>
    <rPh sb="12" eb="14">
      <t>キボウ</t>
    </rPh>
    <phoneticPr fontId="2"/>
  </si>
  <si>
    <r>
      <t xml:space="preserve">1st May </t>
    </r>
    <r>
      <rPr>
        <sz val="10"/>
        <color indexed="10"/>
        <rFont val="ＭＳ Ｐゴシック"/>
        <family val="3"/>
        <charset val="128"/>
      </rPr>
      <t>出荷希望</t>
    </r>
    <rPh sb="8" eb="10">
      <t>シュッカ</t>
    </rPh>
    <rPh sb="10" eb="12">
      <t>キボウ</t>
    </rPh>
    <phoneticPr fontId="2"/>
  </si>
  <si>
    <r>
      <t xml:space="preserve">29th May </t>
    </r>
    <r>
      <rPr>
        <sz val="10"/>
        <color indexed="10"/>
        <rFont val="ＭＳ Ｐゴシック"/>
        <family val="3"/>
        <charset val="128"/>
      </rPr>
      <t>出荷希望</t>
    </r>
    <rPh sb="9" eb="11">
      <t>シュッカ</t>
    </rPh>
    <rPh sb="11" eb="13">
      <t>キボウ</t>
    </rPh>
    <phoneticPr fontId="2"/>
  </si>
  <si>
    <r>
      <t xml:space="preserve">228707 </t>
    </r>
    <r>
      <rPr>
        <sz val="12"/>
        <color indexed="30"/>
        <rFont val="Arial"/>
        <family val="2"/>
      </rPr>
      <t>India</t>
    </r>
    <phoneticPr fontId="2"/>
  </si>
  <si>
    <r>
      <t xml:space="preserve">228708 </t>
    </r>
    <r>
      <rPr>
        <sz val="12"/>
        <color indexed="30"/>
        <rFont val="Arial"/>
        <family val="2"/>
      </rPr>
      <t>India</t>
    </r>
    <phoneticPr fontId="2"/>
  </si>
  <si>
    <r>
      <t xml:space="preserve">228709 </t>
    </r>
    <r>
      <rPr>
        <sz val="12"/>
        <color indexed="30"/>
        <rFont val="Arial"/>
        <family val="2"/>
      </rPr>
      <t>India</t>
    </r>
    <phoneticPr fontId="2"/>
  </si>
  <si>
    <r>
      <t xml:space="preserve">228710 </t>
    </r>
    <r>
      <rPr>
        <sz val="12"/>
        <color indexed="30"/>
        <rFont val="Arial"/>
        <family val="2"/>
      </rPr>
      <t>LA</t>
    </r>
    <phoneticPr fontId="2"/>
  </si>
  <si>
    <t>asap</t>
    <phoneticPr fontId="2"/>
  </si>
  <si>
    <r>
      <t xml:space="preserve">9th Jan </t>
    </r>
    <r>
      <rPr>
        <sz val="10"/>
        <color indexed="10"/>
        <rFont val="ＭＳ Ｐゴシック"/>
        <family val="3"/>
        <charset val="128"/>
      </rPr>
      <t>出荷希望</t>
    </r>
    <rPh sb="8" eb="10">
      <t>シュッカ</t>
    </rPh>
    <rPh sb="10" eb="12">
      <t>キボウ</t>
    </rPh>
    <phoneticPr fontId="2"/>
  </si>
  <si>
    <r>
      <t xml:space="preserve">30th Jan </t>
    </r>
    <r>
      <rPr>
        <sz val="10"/>
        <color indexed="10"/>
        <rFont val="ＭＳ Ｐゴシック"/>
        <family val="3"/>
        <charset val="128"/>
      </rPr>
      <t>出荷希望</t>
    </r>
    <rPh sb="9" eb="11">
      <t>シュッカ</t>
    </rPh>
    <rPh sb="11" eb="13">
      <t>キボウ</t>
    </rPh>
    <phoneticPr fontId="2"/>
  </si>
  <si>
    <r>
      <t xml:space="preserve">228701 </t>
    </r>
    <r>
      <rPr>
        <sz val="10"/>
        <color indexed="30"/>
        <rFont val="Arial"/>
        <family val="2"/>
      </rPr>
      <t>LA</t>
    </r>
    <phoneticPr fontId="2"/>
  </si>
  <si>
    <r>
      <t xml:space="preserve">228702 </t>
    </r>
    <r>
      <rPr>
        <sz val="10"/>
        <color indexed="30"/>
        <rFont val="Arial"/>
        <family val="2"/>
      </rPr>
      <t>LA</t>
    </r>
    <phoneticPr fontId="2"/>
  </si>
  <si>
    <r>
      <t xml:space="preserve">228703 </t>
    </r>
    <r>
      <rPr>
        <sz val="10"/>
        <color indexed="30"/>
        <rFont val="Arial"/>
        <family val="2"/>
      </rPr>
      <t>LA</t>
    </r>
    <phoneticPr fontId="2"/>
  </si>
  <si>
    <r>
      <t xml:space="preserve">228704 </t>
    </r>
    <r>
      <rPr>
        <sz val="10"/>
        <color indexed="30"/>
        <rFont val="Arial"/>
        <family val="2"/>
      </rPr>
      <t>LA</t>
    </r>
    <phoneticPr fontId="2"/>
  </si>
  <si>
    <r>
      <t xml:space="preserve">228705 </t>
    </r>
    <r>
      <rPr>
        <sz val="10"/>
        <color indexed="30"/>
        <rFont val="Arial"/>
        <family val="2"/>
      </rPr>
      <t>LA</t>
    </r>
    <phoneticPr fontId="2"/>
  </si>
  <si>
    <r>
      <t xml:space="preserve">228706 </t>
    </r>
    <r>
      <rPr>
        <sz val="10"/>
        <color indexed="30"/>
        <rFont val="Arial"/>
        <family val="2"/>
      </rPr>
      <t>LA</t>
    </r>
    <phoneticPr fontId="2"/>
  </si>
  <si>
    <r>
      <rPr>
        <b/>
        <sz val="10"/>
        <rFont val="ＭＳ Ｐゴシック"/>
        <family val="3"/>
        <charset val="128"/>
      </rPr>
      <t>単価</t>
    </r>
    <r>
      <rPr>
        <b/>
        <sz val="10"/>
        <rFont val="Arial"/>
        <family val="2"/>
      </rPr>
      <t>/m</t>
    </r>
    <rPh sb="0" eb="2">
      <t>タンカ</t>
    </rPh>
    <phoneticPr fontId="2"/>
  </si>
  <si>
    <r>
      <t>280</t>
    </r>
    <r>
      <rPr>
        <sz val="10"/>
        <color indexed="8"/>
        <rFont val="ＭＳ Ｐゴシック"/>
        <family val="3"/>
        <charset val="128"/>
      </rPr>
      <t>円</t>
    </r>
    <rPh sb="3" eb="4">
      <t>エン</t>
    </rPh>
    <phoneticPr fontId="2"/>
  </si>
  <si>
    <r>
      <t>220</t>
    </r>
    <r>
      <rPr>
        <sz val="10"/>
        <color indexed="8"/>
        <rFont val="ＭＳ Ｐゴシック"/>
        <family val="3"/>
        <charset val="128"/>
      </rPr>
      <t>円</t>
    </r>
    <r>
      <rPr>
        <sz val="10"/>
        <color indexed="8"/>
        <rFont val="Arial"/>
        <family val="2"/>
      </rPr>
      <t>(</t>
    </r>
    <r>
      <rPr>
        <sz val="10"/>
        <color indexed="8"/>
        <rFont val="ＭＳ Ｐゴシック"/>
        <family val="3"/>
        <charset val="128"/>
      </rPr>
      <t>輸出梱包費用込</t>
    </r>
    <r>
      <rPr>
        <sz val="10"/>
        <color indexed="8"/>
        <rFont val="Arial"/>
        <family val="2"/>
      </rPr>
      <t>)</t>
    </r>
    <rPh sb="3" eb="4">
      <t>エン</t>
    </rPh>
    <rPh sb="5" eb="9">
      <t>ユシュツコンポウ</t>
    </rPh>
    <rPh sb="9" eb="11">
      <t>ヒヨウ</t>
    </rPh>
    <rPh sb="11" eb="12">
      <t>コ</t>
    </rPh>
    <phoneticPr fontId="2"/>
  </si>
  <si>
    <t>在庫分よりキープお願いします。出荷日後報します。</t>
    <rPh sb="0" eb="2">
      <t>ザイコ</t>
    </rPh>
    <rPh sb="2" eb="3">
      <t>ブン</t>
    </rPh>
    <rPh sb="9" eb="10">
      <t>ネガ</t>
    </rPh>
    <rPh sb="15" eb="17">
      <t>シュッカ</t>
    </rPh>
    <rPh sb="17" eb="18">
      <t>ヒ</t>
    </rPh>
    <rPh sb="18" eb="20">
      <t>ゴホウ</t>
    </rPh>
    <phoneticPr fontId="2"/>
  </si>
  <si>
    <t>新規生産・2/1出荷希望</t>
    <rPh sb="0" eb="2">
      <t>シンキ</t>
    </rPh>
    <rPh sb="2" eb="4">
      <t>セイサン</t>
    </rPh>
    <rPh sb="8" eb="10">
      <t>シュッカ</t>
    </rPh>
    <rPh sb="10" eb="12">
      <t>キボウ</t>
    </rPh>
    <phoneticPr fontId="2"/>
  </si>
  <si>
    <t>新規生産・3/1出荷希望</t>
    <rPh sb="0" eb="2">
      <t>シンキ</t>
    </rPh>
    <rPh sb="2" eb="4">
      <t>セイサン</t>
    </rPh>
    <rPh sb="8" eb="10">
      <t>シュッカ</t>
    </rPh>
    <rPh sb="10" eb="12">
      <t>キボウ</t>
    </rPh>
    <phoneticPr fontId="2"/>
  </si>
  <si>
    <t>新規生産・3/27出荷希望</t>
    <rPh sb="0" eb="2">
      <t>シンキ</t>
    </rPh>
    <rPh sb="2" eb="4">
      <t>セイサン</t>
    </rPh>
    <rPh sb="9" eb="11">
      <t>シュッカ</t>
    </rPh>
    <rPh sb="11" eb="13">
      <t>キボウ</t>
    </rPh>
    <phoneticPr fontId="2"/>
  </si>
  <si>
    <t>新規生産・4/24出荷希望</t>
    <rPh sb="0" eb="2">
      <t>シンキ</t>
    </rPh>
    <rPh sb="2" eb="4">
      <t>セイサン</t>
    </rPh>
    <rPh sb="9" eb="11">
      <t>シュッカ</t>
    </rPh>
    <rPh sb="11" eb="13">
      <t>キボウ</t>
    </rPh>
    <phoneticPr fontId="2"/>
  </si>
  <si>
    <t>新規生産・5/22出荷希望</t>
    <rPh sb="0" eb="2">
      <t>シンキ</t>
    </rPh>
    <rPh sb="2" eb="4">
      <t>セイサン</t>
    </rPh>
    <rPh sb="9" eb="11">
      <t>シュッカ</t>
    </rPh>
    <rPh sb="11" eb="13">
      <t>キボウ</t>
    </rPh>
    <phoneticPr fontId="2"/>
  </si>
  <si>
    <r>
      <t xml:space="preserve">228707 </t>
    </r>
    <r>
      <rPr>
        <sz val="10"/>
        <color indexed="30"/>
        <rFont val="Arial"/>
        <family val="2"/>
      </rPr>
      <t>India</t>
    </r>
    <phoneticPr fontId="2"/>
  </si>
  <si>
    <r>
      <t xml:space="preserve">228708 </t>
    </r>
    <r>
      <rPr>
        <sz val="10"/>
        <color indexed="30"/>
        <rFont val="Arial"/>
        <family val="2"/>
      </rPr>
      <t>India</t>
    </r>
    <phoneticPr fontId="2"/>
  </si>
  <si>
    <r>
      <t xml:space="preserve">228709 </t>
    </r>
    <r>
      <rPr>
        <sz val="10"/>
        <color indexed="30"/>
        <rFont val="Arial"/>
        <family val="2"/>
      </rPr>
      <t>India</t>
    </r>
    <phoneticPr fontId="2"/>
  </si>
  <si>
    <r>
      <t xml:space="preserve">228710 </t>
    </r>
    <r>
      <rPr>
        <sz val="10"/>
        <color indexed="30"/>
        <rFont val="Arial"/>
        <family val="2"/>
      </rPr>
      <t>LA</t>
    </r>
    <phoneticPr fontId="2"/>
  </si>
  <si>
    <r>
      <t>360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</si>
  <si>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720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</si>
  <si>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280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</si>
  <si>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t>12月中に出荷希望・キープお願いします。</t>
    <rPh sb="2" eb="3">
      <t>ガツ</t>
    </rPh>
    <rPh sb="3" eb="4">
      <t>チュウ</t>
    </rPh>
    <rPh sb="5" eb="7">
      <t>シュッカ</t>
    </rPh>
    <rPh sb="7" eb="9">
      <t>キボウ</t>
    </rPh>
    <rPh sb="14" eb="15">
      <t>ネガ</t>
    </rPh>
    <phoneticPr fontId="2"/>
  </si>
  <si>
    <t>年明け出荷希望・キープお願いします。</t>
    <rPh sb="0" eb="2">
      <t>トシア</t>
    </rPh>
    <rPh sb="3" eb="5">
      <t>シュッカ</t>
    </rPh>
    <rPh sb="5" eb="7">
      <t>キボウ</t>
    </rPh>
    <rPh sb="12" eb="13">
      <t>ネガ</t>
    </rPh>
    <phoneticPr fontId="2"/>
  </si>
  <si>
    <r>
      <t>1</t>
    </r>
    <r>
      <rPr>
        <sz val="10"/>
        <rFont val="ＭＳ Ｐゴシック"/>
        <family val="3"/>
        <charset val="128"/>
      </rPr>
      <t>月</t>
    </r>
    <r>
      <rPr>
        <sz val="10"/>
        <rFont val="Arial"/>
        <family val="2"/>
      </rPr>
      <t>23</t>
    </r>
    <r>
      <rPr>
        <sz val="10"/>
        <rFont val="ＭＳ Ｐゴシック"/>
        <family val="3"/>
        <charset val="128"/>
      </rPr>
      <t>日出荷希望・キープお願いします。</t>
    </r>
    <rPh sb="1" eb="2">
      <t>ガツ</t>
    </rPh>
    <rPh sb="4" eb="5">
      <t>ニチ</t>
    </rPh>
    <rPh sb="5" eb="7">
      <t>シュッカ</t>
    </rPh>
    <rPh sb="7" eb="9">
      <t>キボウ</t>
    </rPh>
    <phoneticPr fontId="2"/>
  </si>
  <si>
    <r>
      <t>RD-221129</t>
    </r>
    <r>
      <rPr>
        <sz val="12"/>
        <rFont val="ＭＳ Ｐゴシック"/>
        <family val="3"/>
        <charset val="128"/>
      </rPr>
      <t>　</t>
    </r>
    <r>
      <rPr>
        <sz val="12"/>
        <color indexed="30"/>
        <rFont val="Arial"/>
        <family val="2"/>
      </rPr>
      <t>to Oakland Ave</t>
    </r>
  </si>
  <si>
    <t>RD-221214</t>
    <phoneticPr fontId="2"/>
  </si>
  <si>
    <t xml:space="preserve">REF# </t>
  </si>
  <si>
    <r>
      <t>単価</t>
    </r>
    <r>
      <rPr>
        <b/>
        <sz val="10"/>
        <rFont val="Arial"/>
        <family val="2"/>
      </rPr>
      <t>/m</t>
    </r>
  </si>
  <si>
    <t>出荷希望日</t>
  </si>
  <si>
    <r>
      <t xml:space="preserve">228707 </t>
    </r>
    <r>
      <rPr>
        <sz val="10"/>
        <color indexed="30"/>
        <rFont val="Arial"/>
        <family val="2"/>
      </rPr>
      <t>India</t>
    </r>
  </si>
  <si>
    <r>
      <t>360</t>
    </r>
    <r>
      <rPr>
        <sz val="10"/>
        <rFont val="ＭＳ Ｐゴシック"/>
        <family val="3"/>
        <charset val="128"/>
      </rPr>
      <t>円</t>
    </r>
  </si>
  <si>
    <t>キープ済</t>
  </si>
  <si>
    <t># 30 Champagne</t>
  </si>
  <si>
    <r>
      <t>720</t>
    </r>
    <r>
      <rPr>
        <sz val="10"/>
        <rFont val="ＭＳ Ｐゴシック"/>
        <family val="3"/>
        <charset val="128"/>
      </rPr>
      <t>円</t>
    </r>
  </si>
  <si>
    <t>在庫無し・4月以降</t>
  </si>
  <si>
    <t xml:space="preserve"># OF Off White </t>
  </si>
  <si>
    <r>
      <t>280</t>
    </r>
    <r>
      <rPr>
        <sz val="10"/>
        <rFont val="ＭＳ Ｐゴシック"/>
        <family val="3"/>
        <charset val="128"/>
      </rPr>
      <t>円</t>
    </r>
  </si>
  <si>
    <r>
      <t xml:space="preserve">228708 </t>
    </r>
    <r>
      <rPr>
        <sz val="10"/>
        <color indexed="30"/>
        <rFont val="Arial"/>
        <family val="2"/>
      </rPr>
      <t>India</t>
    </r>
  </si>
  <si>
    <t>在庫無し・1/23up</t>
  </si>
  <si>
    <r>
      <t xml:space="preserve">228709 </t>
    </r>
    <r>
      <rPr>
        <sz val="10"/>
        <color indexed="30"/>
        <rFont val="Arial"/>
        <family val="2"/>
      </rPr>
      <t>India</t>
    </r>
  </si>
  <si>
    <r>
      <t xml:space="preserve">228710 </t>
    </r>
    <r>
      <rPr>
        <sz val="10"/>
        <color indexed="30"/>
        <rFont val="Arial"/>
        <family val="2"/>
      </rPr>
      <t>LA</t>
    </r>
  </si>
  <si>
    <r>
      <t xml:space="preserve">*228710 </t>
    </r>
    <r>
      <rPr>
        <sz val="10"/>
        <color indexed="8"/>
        <rFont val="BIZ UDPゴシック"/>
        <family val="3"/>
        <charset val="128"/>
      </rPr>
      <t>→</t>
    </r>
    <r>
      <rPr>
        <sz val="10"/>
        <color indexed="8"/>
        <rFont val="Arial"/>
        <family val="2"/>
      </rPr>
      <t xml:space="preserve"> 5600-FT / Col. 30 Champagne / </t>
    </r>
    <r>
      <rPr>
        <sz val="10"/>
        <color indexed="8"/>
        <rFont val="BIZ UDPゴシック"/>
        <family val="3"/>
        <charset val="128"/>
      </rPr>
      <t>計</t>
    </r>
    <r>
      <rPr>
        <sz val="10"/>
        <color indexed="8"/>
        <rFont val="Arial"/>
        <family val="2"/>
      </rPr>
      <t xml:space="preserve"> 4 rolls </t>
    </r>
    <r>
      <rPr>
        <sz val="10"/>
        <color indexed="8"/>
        <rFont val="BIZ UDPゴシック"/>
        <family val="3"/>
        <charset val="128"/>
      </rPr>
      <t>または、</t>
    </r>
    <r>
      <rPr>
        <sz val="10"/>
        <color indexed="8"/>
        <rFont val="Arial"/>
        <family val="2"/>
      </rPr>
      <t xml:space="preserve">Col. 30 Champagne &amp; OF </t>
    </r>
    <r>
      <rPr>
        <sz val="10"/>
        <color indexed="8"/>
        <rFont val="BIZ UDPゴシック"/>
        <family val="3"/>
        <charset val="128"/>
      </rPr>
      <t>各</t>
    </r>
    <r>
      <rPr>
        <sz val="10"/>
        <color indexed="8"/>
        <rFont val="Arial"/>
        <family val="2"/>
      </rPr>
      <t>2</t>
    </r>
    <r>
      <rPr>
        <sz val="10"/>
        <color indexed="8"/>
        <rFont val="BIZ UDPゴシック"/>
        <family val="3"/>
        <charset val="128"/>
      </rPr>
      <t>反ずつのどちらかになる予定です。念のため上記の通りキープお願いします。</t>
    </r>
  </si>
  <si>
    <t>no stock / April?</t>
    <phoneticPr fontId="2"/>
  </si>
  <si>
    <t>no stock / End Jan</t>
    <phoneticPr fontId="2"/>
  </si>
  <si>
    <t>Availability / Ready date</t>
    <phoneticPr fontId="2"/>
  </si>
  <si>
    <t># 30 Champagne ?</t>
    <phoneticPr fontId="2"/>
  </si>
  <si>
    <t># OF Off White ?</t>
    <phoneticPr fontId="2"/>
  </si>
  <si>
    <t xml:space="preserve">Holding </t>
    <phoneticPr fontId="2"/>
  </si>
  <si>
    <t>FALL23-SF-007</t>
    <phoneticPr fontId="2"/>
  </si>
  <si>
    <t>DTM TAWNY</t>
    <phoneticPr fontId="2"/>
  </si>
  <si>
    <t>FOB Thailand or China/m</t>
    <phoneticPr fontId="2"/>
  </si>
  <si>
    <t>ZMT 5831</t>
    <phoneticPr fontId="2"/>
  </si>
  <si>
    <t xml:space="preserve">First sample </t>
    <phoneticPr fontId="2"/>
  </si>
  <si>
    <t>GS-NS2453</t>
    <phoneticPr fontId="2"/>
  </si>
  <si>
    <t>Cotton mixed lace  Cotton 81.2%  Nylon 18.8%</t>
    <phoneticPr fontId="2"/>
  </si>
  <si>
    <t xml:space="preserve">Ecru ( undyed ) </t>
    <phoneticPr fontId="2"/>
  </si>
  <si>
    <t>140/145cm</t>
    <phoneticPr fontId="2"/>
  </si>
  <si>
    <t>GS-NS2459</t>
    <phoneticPr fontId="2"/>
  </si>
  <si>
    <t>Cotton mixed lace  Cotton 79.2% Nylon 20.8%</t>
    <phoneticPr fontId="2"/>
  </si>
  <si>
    <r>
      <t>Cutting Fee (US</t>
    </r>
    <r>
      <rPr>
        <sz val="12"/>
        <rFont val="ＭＳ Ｐゴシック"/>
        <family val="3"/>
        <charset val="128"/>
      </rPr>
      <t>＄</t>
    </r>
    <r>
      <rPr>
        <sz val="12"/>
        <rFont val="Arial"/>
        <family val="2"/>
      </rPr>
      <t xml:space="preserve">1/m for over 11m) </t>
    </r>
    <phoneticPr fontId="2"/>
  </si>
  <si>
    <r>
      <t>Cutting Fee (US</t>
    </r>
    <r>
      <rPr>
        <sz val="10"/>
        <rFont val="ＭＳ Ｐゴシック"/>
        <family val="3"/>
        <charset val="128"/>
      </rPr>
      <t>＄</t>
    </r>
    <r>
      <rPr>
        <sz val="10"/>
        <rFont val="Arial"/>
        <family val="2"/>
      </rPr>
      <t xml:space="preserve">1/m for over 11m) </t>
    </r>
    <phoneticPr fontId="2"/>
  </si>
  <si>
    <t>40m in total</t>
    <phoneticPr fontId="2"/>
  </si>
  <si>
    <r>
      <t xml:space="preserve">6859 </t>
    </r>
    <r>
      <rPr>
        <sz val="12"/>
        <color indexed="30"/>
        <rFont val="Arial"/>
        <family val="2"/>
      </rPr>
      <t>HK</t>
    </r>
    <phoneticPr fontId="2"/>
  </si>
  <si>
    <t>PO-00342</t>
    <phoneticPr fontId="2"/>
  </si>
  <si>
    <t># 56 (undyed)</t>
    <phoneticPr fontId="2"/>
  </si>
  <si>
    <t>29218</t>
    <phoneticPr fontId="2"/>
  </si>
  <si>
    <r>
      <t xml:space="preserve">3mm </t>
    </r>
    <r>
      <rPr>
        <sz val="10"/>
        <rFont val="ＭＳ Ｐゴシック"/>
        <family val="3"/>
        <charset val="128"/>
      </rPr>
      <t>と</t>
    </r>
    <r>
      <rPr>
        <sz val="10"/>
        <rFont val="Arial"/>
        <family val="2"/>
      </rPr>
      <t xml:space="preserve"> 4mm</t>
    </r>
    <phoneticPr fontId="2"/>
  </si>
  <si>
    <t>Thailand</t>
    <phoneticPr fontId="2"/>
  </si>
  <si>
    <t>Organic Cotton Ribbon   Organic Cotton-100%</t>
    <phoneticPr fontId="2"/>
  </si>
  <si>
    <t>20221219  Ciao Lucia 40% 120円</t>
    <rPh sb="28" eb="29">
      <t>エン</t>
    </rPh>
    <phoneticPr fontId="2"/>
  </si>
  <si>
    <t>FWL-71036</t>
    <phoneticPr fontId="2"/>
  </si>
  <si>
    <t>100円/m</t>
    <rPh sb="3" eb="4">
      <t>エン</t>
    </rPh>
    <phoneticPr fontId="2"/>
  </si>
  <si>
    <t>300m in Mill's Off White</t>
    <phoneticPr fontId="2"/>
  </si>
  <si>
    <t>CL-221220</t>
    <phoneticPr fontId="2"/>
  </si>
  <si>
    <t>FWL-71036</t>
  </si>
  <si>
    <t>47937</t>
    <phoneticPr fontId="2"/>
  </si>
  <si>
    <t>Commercial Invoice</t>
    <phoneticPr fontId="113"/>
  </si>
  <si>
    <t>No.</t>
    <phoneticPr fontId="113"/>
  </si>
  <si>
    <t>Issued Office</t>
    <phoneticPr fontId="113"/>
  </si>
  <si>
    <t>Invoice Date</t>
    <phoneticPr fontId="113"/>
  </si>
  <si>
    <t>Consignee:</t>
    <phoneticPr fontId="113"/>
  </si>
  <si>
    <t>L/C No.</t>
    <phoneticPr fontId="113"/>
  </si>
  <si>
    <t>Dated</t>
    <phoneticPr fontId="113"/>
  </si>
  <si>
    <t>Expiry Date</t>
    <phoneticPr fontId="113"/>
  </si>
  <si>
    <t>Issuing Bank</t>
    <phoneticPr fontId="113"/>
  </si>
  <si>
    <t>Bank Information</t>
    <phoneticPr fontId="113"/>
  </si>
  <si>
    <t>Name</t>
    <phoneticPr fontId="113"/>
  </si>
  <si>
    <t>Sold to:</t>
    <phoneticPr fontId="113"/>
  </si>
  <si>
    <t>Address</t>
    <phoneticPr fontId="113"/>
  </si>
  <si>
    <t>SWIFT Code</t>
    <phoneticPr fontId="113"/>
  </si>
  <si>
    <t>Account#</t>
    <phoneticPr fontId="113"/>
  </si>
  <si>
    <t>Terms/Method of Payment</t>
    <phoneticPr fontId="113"/>
  </si>
  <si>
    <t>Shipping Method/Vessel</t>
    <phoneticPr fontId="113"/>
  </si>
  <si>
    <t>Port of Loading</t>
    <phoneticPr fontId="113"/>
  </si>
  <si>
    <t>Sailing on or about</t>
    <phoneticPr fontId="113"/>
  </si>
  <si>
    <t>Port of Discharge</t>
    <phoneticPr fontId="113"/>
  </si>
  <si>
    <t>Place of Delivery</t>
    <phoneticPr fontId="113"/>
  </si>
  <si>
    <t>Final Destination</t>
    <phoneticPr fontId="113"/>
  </si>
  <si>
    <t>Inco-Terms</t>
    <phoneticPr fontId="113"/>
  </si>
  <si>
    <t>Quantity</t>
    <phoneticPr fontId="113"/>
  </si>
  <si>
    <t>Unit Price</t>
    <phoneticPr fontId="113"/>
  </si>
  <si>
    <t>Amount</t>
    <phoneticPr fontId="113"/>
  </si>
  <si>
    <t>Order No.</t>
    <phoneticPr fontId="113"/>
  </si>
  <si>
    <t>Put-Up</t>
    <phoneticPr fontId="113"/>
  </si>
  <si>
    <t>Roll</t>
    <phoneticPr fontId="113"/>
  </si>
  <si>
    <t>Total</t>
    <phoneticPr fontId="113"/>
  </si>
  <si>
    <t>Sub total</t>
    <phoneticPr fontId="113"/>
  </si>
  <si>
    <t>Grand total</t>
    <phoneticPr fontId="113"/>
  </si>
  <si>
    <r>
      <rPr>
        <b/>
        <sz val="12"/>
        <color indexed="8"/>
        <rFont val="Times New Roman"/>
        <family val="1"/>
      </rPr>
      <t>SUN FASHION AMERICA, INC.</t>
    </r>
    <r>
      <rPr>
        <sz val="10"/>
        <color indexed="8"/>
        <rFont val="Times New Roman"/>
        <family val="1"/>
      </rPr>
      <t xml:space="preserve">
265 West 37th Street 7th Floor
New York, NY 10018, U.S.A.
TEL: 1-845-633-2132
&lt;Shipper: Sun Fashion Corp. in Japan&gt;</t>
    </r>
    <phoneticPr fontId="2"/>
  </si>
  <si>
    <t>Osaka</t>
    <phoneticPr fontId="2"/>
  </si>
  <si>
    <t>New York</t>
    <phoneticPr fontId="2"/>
  </si>
  <si>
    <t>N/A</t>
  </si>
  <si>
    <t>N/A</t>
    <phoneticPr fontId="113"/>
  </si>
  <si>
    <t>401 West 42nd St. New York NY 10036</t>
    <phoneticPr fontId="113"/>
  </si>
  <si>
    <t>CITIUS33</t>
    <phoneticPr fontId="113"/>
  </si>
  <si>
    <t>6877846069              </t>
    <phoneticPr fontId="113"/>
  </si>
  <si>
    <t>Routing#</t>
    <phoneticPr fontId="2"/>
  </si>
  <si>
    <t>021000089  </t>
    <phoneticPr fontId="2"/>
  </si>
  <si>
    <t>Beneficiary</t>
    <phoneticPr fontId="2"/>
  </si>
  <si>
    <t>Sun Fashion America, Inc        </t>
    <phoneticPr fontId="113"/>
  </si>
  <si>
    <t>Citibank</t>
    <phoneticPr fontId="2"/>
  </si>
  <si>
    <t xml:space="preserve"> By T/T or Check</t>
    <phoneticPr fontId="2"/>
  </si>
  <si>
    <t>Invoice No.</t>
    <phoneticPr fontId="2"/>
  </si>
  <si>
    <t>Customer Name</t>
    <phoneticPr fontId="2"/>
  </si>
  <si>
    <t>　</t>
  </si>
  <si>
    <t>Item</t>
    <phoneticPr fontId="113"/>
  </si>
  <si>
    <t>Other charge</t>
    <phoneticPr fontId="113"/>
  </si>
  <si>
    <t>Customer Reference No.</t>
    <phoneticPr fontId="113"/>
  </si>
  <si>
    <t>(SELECT)</t>
  </si>
  <si>
    <t>Courier Ref. No.</t>
    <phoneticPr fontId="2"/>
  </si>
  <si>
    <t>Note:</t>
    <phoneticPr fontId="113"/>
  </si>
  <si>
    <t>#</t>
    <phoneticPr fontId="2"/>
  </si>
  <si>
    <t>[Shipper Information]</t>
    <phoneticPr fontId="2"/>
  </si>
  <si>
    <t>Sun Fashion Corp.</t>
    <phoneticPr fontId="2"/>
  </si>
  <si>
    <t>21-10 Fukushima 8 Chome, Fukushima-Ku,</t>
    <phoneticPr fontId="2"/>
  </si>
  <si>
    <t>OSAKA 553-0003, JAPAN</t>
    <phoneticPr fontId="2"/>
  </si>
  <si>
    <t>TEL: +81 6-6455-2850</t>
    <phoneticPr fontId="2"/>
  </si>
  <si>
    <t>[Packing Details]</t>
    <phoneticPr fontId="2"/>
  </si>
  <si>
    <t>Size:</t>
    <phoneticPr fontId="2"/>
  </si>
  <si>
    <t>Gross Weight:</t>
    <phoneticPr fontId="2"/>
  </si>
  <si>
    <t>SUN FASHION AMERICA, INC.</t>
    <phoneticPr fontId="113"/>
  </si>
  <si>
    <t>Mie Kobayashi</t>
    <phoneticPr fontId="2"/>
  </si>
  <si>
    <t>Order No.</t>
    <phoneticPr fontId="2"/>
  </si>
  <si>
    <t>Put-Up</t>
    <phoneticPr fontId="2"/>
  </si>
  <si>
    <t>Roll</t>
    <phoneticPr fontId="2"/>
  </si>
  <si>
    <t>Total</t>
    <phoneticPr fontId="2"/>
  </si>
  <si>
    <t>Unit Price</t>
    <phoneticPr fontId="2"/>
  </si>
  <si>
    <t>Amount</t>
    <phoneticPr fontId="2"/>
  </si>
  <si>
    <t>Port of Discharge</t>
    <phoneticPr fontId="2"/>
  </si>
  <si>
    <t>Shipping Method/Vessel#</t>
    <phoneticPr fontId="2"/>
  </si>
  <si>
    <t>Port of Loading</t>
    <phoneticPr fontId="2"/>
  </si>
  <si>
    <t>Place of Delivery</t>
    <phoneticPr fontId="2"/>
  </si>
  <si>
    <t>Sailing on or about</t>
    <phoneticPr fontId="2"/>
  </si>
  <si>
    <t>Final Destination</t>
    <phoneticPr fontId="2"/>
  </si>
  <si>
    <t>Customer Reference</t>
    <phoneticPr fontId="2"/>
  </si>
  <si>
    <t>Inco-Terms</t>
    <phoneticPr fontId="2"/>
  </si>
  <si>
    <t>Sold to:</t>
    <phoneticPr fontId="2"/>
  </si>
  <si>
    <t>Consignee</t>
    <phoneticPr fontId="2"/>
  </si>
  <si>
    <t>Terms/Method of Payment</t>
    <phoneticPr fontId="2"/>
  </si>
  <si>
    <t>Bank Information</t>
    <phoneticPr fontId="2"/>
  </si>
  <si>
    <t>Name</t>
    <phoneticPr fontId="2"/>
  </si>
  <si>
    <t>Address</t>
    <phoneticPr fontId="2"/>
  </si>
  <si>
    <t>SWIFT Code</t>
    <phoneticPr fontId="2"/>
  </si>
  <si>
    <t>LC No.</t>
    <phoneticPr fontId="2"/>
  </si>
  <si>
    <t>Expiry Date</t>
    <phoneticPr fontId="2"/>
  </si>
  <si>
    <t>Issuing Bank</t>
    <phoneticPr fontId="2"/>
  </si>
  <si>
    <t>Dated</t>
    <phoneticPr fontId="2"/>
  </si>
  <si>
    <t>Routing No.</t>
    <phoneticPr fontId="2"/>
  </si>
  <si>
    <t>Account No.</t>
    <phoneticPr fontId="2"/>
  </si>
  <si>
    <t>No.</t>
    <phoneticPr fontId="2"/>
  </si>
  <si>
    <t>Issued Office</t>
    <phoneticPr fontId="2"/>
  </si>
  <si>
    <t>Issued Date</t>
    <phoneticPr fontId="2"/>
  </si>
  <si>
    <t>Commercial Invoice</t>
    <phoneticPr fontId="2"/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</si>
  <si>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265 West 37th Street 7th Floor
New York, NY 10018, U.S.A.
TEL: 1-845-633-2132
&lt;Shipper: Sun Fashion Corp. in Japan&gt;</t>
    </r>
    <phoneticPr fontId="2"/>
  </si>
  <si>
    <t>401 West 42nd St. New York NY 10036</t>
    <phoneticPr fontId="2"/>
  </si>
  <si>
    <t>CITIUS33</t>
    <phoneticPr fontId="2"/>
  </si>
  <si>
    <t>Courier Ref.</t>
    <phoneticPr fontId="2"/>
  </si>
  <si>
    <t>Description of Goods</t>
    <phoneticPr fontId="2"/>
  </si>
  <si>
    <t>Quantity</t>
    <phoneticPr fontId="2"/>
  </si>
  <si>
    <t>Grand Total</t>
    <phoneticPr fontId="2"/>
  </si>
  <si>
    <t>[Packing Details]</t>
  </si>
  <si>
    <t>Size:</t>
  </si>
  <si>
    <t xml:space="preserve">      OSAKA</t>
    <phoneticPr fontId="2"/>
  </si>
  <si>
    <t>Type:</t>
    <phoneticPr fontId="2"/>
  </si>
  <si>
    <t>3.1 PHILLIP LIM, LLC</t>
  </si>
  <si>
    <t>48 GREAT JONES ST</t>
  </si>
  <si>
    <t>Rm 702 7/F, New Tech Plaza</t>
  </si>
  <si>
    <t>ALC &amp; CO LLC</t>
  </si>
  <si>
    <t>818 S Broadway Suite 400</t>
  </si>
  <si>
    <t>U.S.A.</t>
  </si>
  <si>
    <t>Jade</t>
  </si>
  <si>
    <t>ALEXANDER WANG</t>
  </si>
  <si>
    <t>386 Broadway 6th Floor</t>
  </si>
  <si>
    <t>Tel: 212-532-3103</t>
  </si>
  <si>
    <t>Alexandra Grecco</t>
  </si>
  <si>
    <t>265 West 37th St. 5FL</t>
  </si>
  <si>
    <t>LEIGH REILLY</t>
  </si>
  <si>
    <t>Alexis Monsanto Atelier</t>
  </si>
  <si>
    <t>8281 Melrose Ave. suite 206</t>
  </si>
  <si>
    <t>Alexis Monsanto</t>
  </si>
  <si>
    <t>ALIX NYC</t>
  </si>
  <si>
    <t>209 W38TH ST SUITE 312</t>
  </si>
  <si>
    <t>Tim and Grace</t>
  </si>
  <si>
    <t>AMANDA JAMES DESIGN GROUP LLC</t>
  </si>
  <si>
    <t>2050 N Stemmons FWY # 15149</t>
  </si>
  <si>
    <t>Tel: 424.501.5381</t>
  </si>
  <si>
    <t>Amsale Aberra, L.L.C.</t>
  </si>
  <si>
    <t>318 West 39th Street, 12th Flr</t>
  </si>
  <si>
    <t>Sylvia</t>
  </si>
  <si>
    <t>Anahit's Studio, LLC</t>
  </si>
  <si>
    <t>112 WWST 9th St. SuitE 909 ,</t>
  </si>
  <si>
    <t>Anahit Jackson</t>
  </si>
  <si>
    <t>ANKASA LTD / Sachin &amp; Babi</t>
  </si>
  <si>
    <t>132 West 36th Street, 9th Floor</t>
  </si>
  <si>
    <t>Tel: (212) 575-1994</t>
  </si>
  <si>
    <t>ARE YOU AM I</t>
  </si>
  <si>
    <t>1024 SANTEE ST. SUITE 300</t>
  </si>
  <si>
    <t>Tel: 213.689.5088</t>
  </si>
  <si>
    <t>Artsline Company</t>
  </si>
  <si>
    <t>A2, 11/F, Phase 2, Hang Fung Ind Bldg,</t>
  </si>
  <si>
    <t>Kowloon, Hong Kong</t>
  </si>
  <si>
    <t>Christin Au</t>
  </si>
  <si>
    <t>BAILEY 44</t>
  </si>
  <si>
    <t>4700 S. BOYLE AVENUE</t>
  </si>
  <si>
    <t>Lizette</t>
  </si>
  <si>
    <t>Beach Riot</t>
  </si>
  <si>
    <t>828 production place</t>
  </si>
  <si>
    <t>Kat Eyanson</t>
  </si>
  <si>
    <t>Belle Atelier</t>
  </si>
  <si>
    <t>1755 n Damen Ave #c2 REAR</t>
  </si>
  <si>
    <t>Giselle</t>
  </si>
  <si>
    <t>BIBHU MOHAPATRA</t>
  </si>
  <si>
    <t>39 North Moore Street, Store Entrance</t>
  </si>
  <si>
    <t>BURNING TORCH</t>
  </si>
  <si>
    <t>1738 CORDOVA ST</t>
  </si>
  <si>
    <t>Amy</t>
  </si>
  <si>
    <t>Carolina Herrera</t>
  </si>
  <si>
    <t>501 7th Avenue 16FL</t>
  </si>
  <si>
    <t>Tel:212 944 5757</t>
  </si>
  <si>
    <t>Alonso</t>
  </si>
  <si>
    <t>Centric West LLC</t>
  </si>
  <si>
    <t>620 South Elm Street</t>
  </si>
  <si>
    <t>RefJoe’s Jeans</t>
  </si>
  <si>
    <t>CHANGZHOU HUALIDA GARMENTS Group</t>
  </si>
  <si>
    <t>No. 958 Laodong East Rd</t>
  </si>
  <si>
    <t xml:space="preserve">CHINA  </t>
  </si>
  <si>
    <t>Jerrica/Roi Robinson Wang</t>
  </si>
  <si>
    <t>CHENFENG (JIANGSU) APPAREL CO.,LTD</t>
  </si>
  <si>
    <t>Bella</t>
  </si>
  <si>
    <t>China Ting Group Co., LTD</t>
  </si>
  <si>
    <t>4FL, No. 56 Beisha East Rd.</t>
  </si>
  <si>
    <t>Yukishu</t>
  </si>
  <si>
    <t>CHINAMINE TRADING LTD.</t>
  </si>
  <si>
    <t xml:space="preserve">RM 2802-2815, 28/F No. 1 Hung To Road </t>
  </si>
  <si>
    <t>Kwun Tong Kowloon, Hong Kong</t>
  </si>
  <si>
    <t>Kay Lee</t>
  </si>
  <si>
    <t>Christy Dawn</t>
  </si>
  <si>
    <t>2115 South San Pedro</t>
  </si>
  <si>
    <t>Classita (M) Sdn Bhd</t>
  </si>
  <si>
    <t>Lot 2661, 3rd Mile</t>
  </si>
  <si>
    <t>Tel: 605-621-8888</t>
  </si>
  <si>
    <t>Coach/Tapestry</t>
  </si>
  <si>
    <t>10 Hudson Yard 16FL</t>
  </si>
  <si>
    <t>Clay Smith</t>
  </si>
  <si>
    <t>CREATIVE DESIGN MANAGEMENT EDGARDO BONILLA BRIDAL</t>
  </si>
  <si>
    <t>One Executive Drive, Suite 3</t>
  </si>
  <si>
    <t>260 West 39th St. suite 1401</t>
  </si>
  <si>
    <t>Margo Lafontaine</t>
  </si>
  <si>
    <t>DANNIJO</t>
  </si>
  <si>
    <t>1407 Broadway, Suite #720</t>
  </si>
  <si>
    <t>Tel: 212-971-7070</t>
  </si>
  <si>
    <t>DDA HOLDINGS, INC</t>
  </si>
  <si>
    <t>Adeline Martinez</t>
  </si>
  <si>
    <t>Deutsche Bekleidungswerke Limited</t>
  </si>
  <si>
    <t>Plot P-1A, road no.6, Long Hau IP Expansion Area,</t>
  </si>
  <si>
    <t>Hana/Tigon</t>
  </si>
  <si>
    <t>Estee Couture</t>
  </si>
  <si>
    <t>16083 Sierra Pass Way</t>
  </si>
  <si>
    <t>EVERYBODY.WORLD</t>
  </si>
  <si>
    <t>5718 S. Santa Fe Ave.</t>
  </si>
  <si>
    <t>U.S.A</t>
  </si>
  <si>
    <t>Alice</t>
  </si>
  <si>
    <t>FOOK WAH KUN KEE KNITTING FTY., LTD.</t>
  </si>
  <si>
    <t>9/F., Block B, Po Yip Building,</t>
  </si>
  <si>
    <t>Sandy Feng</t>
  </si>
  <si>
    <t>FRANKIES BIKINIS</t>
  </si>
  <si>
    <t>Grace Fu</t>
  </si>
  <si>
    <t>231 Lexington Ave #1A</t>
  </si>
  <si>
    <t xml:space="preserve">Grace </t>
  </si>
  <si>
    <t>Grace Garment Factory</t>
  </si>
  <si>
    <t>HAPPY TIMES CAFE LLC</t>
  </si>
  <si>
    <t>349 SCHOLES STREET SUITE 307</t>
  </si>
  <si>
    <t>MIKE ECKHAUS</t>
  </si>
  <si>
    <t>Hat Salon</t>
  </si>
  <si>
    <t>5 Stropkov Ct. #101</t>
  </si>
  <si>
    <t>Malky</t>
  </si>
  <si>
    <t>Hellessy</t>
  </si>
  <si>
    <t>Allan</t>
  </si>
  <si>
    <t>Helmut Lang New York</t>
  </si>
  <si>
    <t>Marcel Pawlas</t>
  </si>
  <si>
    <t>Henet Pte. Ltd</t>
  </si>
  <si>
    <t>1 Maritime Square #09-19</t>
  </si>
  <si>
    <t>Harbourfront Centre</t>
  </si>
  <si>
    <t>Tel: 65 6258 6881</t>
  </si>
  <si>
    <t>HONOR</t>
  </si>
  <si>
    <t>270 Lafayette Street Suite 1209</t>
  </si>
  <si>
    <t>Madison Wu</t>
  </si>
  <si>
    <t>JANE WANG LLC</t>
  </si>
  <si>
    <t>33 Great Neck Rd., Suite #6</t>
  </si>
  <si>
    <t>Tel: 917-592-2966</t>
  </si>
  <si>
    <t>Jason Wu (Shanghai) Garment Co., Ltd.</t>
  </si>
  <si>
    <t>2700 Lianhualu Rd., Building 1, 5th FL</t>
  </si>
  <si>
    <t xml:space="preserve">Michelle </t>
  </si>
  <si>
    <t>Jenny Yoo Collection</t>
  </si>
  <si>
    <t>132 West 36th Street 9th Floor</t>
  </si>
  <si>
    <t>JOHNNY WAS</t>
  </si>
  <si>
    <t>JILLMARK, INC. dba H O N O R I N E</t>
  </si>
  <si>
    <t>10474 Santa Monica Blvd., Suite 308</t>
  </si>
  <si>
    <t>Samantha</t>
  </si>
  <si>
    <t xml:space="preserve">Katie May  </t>
  </si>
  <si>
    <t>2301 East 7th Street Suite A315-A319,</t>
  </si>
  <si>
    <t>Kevan Hall</t>
  </si>
  <si>
    <t>8313 Beverly Blvd.</t>
  </si>
  <si>
    <t>Tel: 323.658.7979</t>
  </si>
  <si>
    <t>KRP LCC/Houghton</t>
  </si>
  <si>
    <t>26500 Agoura Rd #531</t>
  </si>
  <si>
    <t>Katharine Polk</t>
  </si>
  <si>
    <t xml:space="preserve">Lauren Moshi </t>
  </si>
  <si>
    <t xml:space="preserve">Clelia Chavez </t>
  </si>
  <si>
    <t>LE SUPERBE</t>
  </si>
  <si>
    <t>719 S. Los Angeles St. Suite 419</t>
  </si>
  <si>
    <t>Rey Pascua</t>
  </si>
  <si>
    <t>LUCY BLAIR LLC (T/A CIAO LUCIA)</t>
  </si>
  <si>
    <t>Lynne Carter</t>
  </si>
  <si>
    <t>Tel: +1 949-922-9225</t>
  </si>
  <si>
    <t>Marchesa RM</t>
  </si>
  <si>
    <t>Marius Revere</t>
  </si>
  <si>
    <t>minnow</t>
  </si>
  <si>
    <t>219 MARINE AVE, STE A</t>
  </si>
  <si>
    <t>M I S A</t>
  </si>
  <si>
    <t>1530 E 25th St.</t>
  </si>
  <si>
    <t>AttenImelda</t>
  </si>
  <si>
    <t>MODERN TROUSSEAU</t>
  </si>
  <si>
    <t>125 Bradley Road</t>
  </si>
  <si>
    <t>MONIQUE LHUILLIER</t>
  </si>
  <si>
    <t>4533 Pacific Blvd.</t>
  </si>
  <si>
    <t>Tel: 213.747.8811</t>
  </si>
  <si>
    <t>MONSE c/o Max Lu</t>
  </si>
  <si>
    <t>611 Broadway Suite 308</t>
  </si>
  <si>
    <t>New York, NY 10012</t>
  </si>
  <si>
    <t>MONSE LLC</t>
  </si>
  <si>
    <t>Tel: 646-809-0100</t>
  </si>
  <si>
    <t>Navee Charoen Ltd., Part.</t>
  </si>
  <si>
    <t>Tel: (66)2 222 7099</t>
  </si>
  <si>
    <t>PACIFIC TRIMMING ENTERPRISE</t>
  </si>
  <si>
    <t>218 West 38th Street</t>
  </si>
  <si>
    <t>Tel:  212-279-9310</t>
  </si>
  <si>
    <t>PARC AND PEARL</t>
  </si>
  <si>
    <t>1506 W. 12TH ST.</t>
  </si>
  <si>
    <t>Qian</t>
  </si>
  <si>
    <t>Jacqueline Mego</t>
  </si>
  <si>
    <t>PRIVATE LABEL TEHUACAN, S. DE R.L. DE C.V.</t>
  </si>
  <si>
    <t>KM. 107 CARRETERA PUEBLA-TEHUACAN</t>
  </si>
  <si>
    <t>MEXICO</t>
  </si>
  <si>
    <t>Marisela Lerin</t>
  </si>
  <si>
    <t>Puppets and Puppets</t>
  </si>
  <si>
    <t>115 West 30th St. suite 203</t>
  </si>
  <si>
    <t>Carly Mark</t>
  </si>
  <si>
    <t>RAJ Manufacturing, LLC.</t>
  </si>
  <si>
    <t>REEM ACRA RTW</t>
  </si>
  <si>
    <t>501 FIFTH AVENUE,2ND FLR</t>
  </si>
  <si>
    <t>David Farshadfar</t>
  </si>
  <si>
    <t>Rodarte</t>
  </si>
  <si>
    <t>715 South Oakland Ave</t>
  </si>
  <si>
    <t>Royal Spirit Limited</t>
  </si>
  <si>
    <t>11th Floor, 822, Lai Chi Kok Road,</t>
  </si>
  <si>
    <t>AGNES/AMY</t>
  </si>
  <si>
    <t>Salt and Pepper Gifts</t>
  </si>
  <si>
    <t>970 Knox St. Unit A</t>
  </si>
  <si>
    <t>AttenTara</t>
  </si>
  <si>
    <t>Sara Campbell LTD</t>
  </si>
  <si>
    <t>67 Kemble St / 4th Floor</t>
  </si>
  <si>
    <t>Geraldine</t>
  </si>
  <si>
    <t>Suteks Tekstil Sanayi ve Ticaret AS</t>
  </si>
  <si>
    <t>Kemerburgaz Cad. No:16</t>
  </si>
  <si>
    <t>TURKEY</t>
  </si>
  <si>
    <t>GONCA ATILCAN</t>
  </si>
  <si>
    <t>SVAC Collective, LLC</t>
  </si>
  <si>
    <t>LLC998 Casiano Rd</t>
  </si>
  <si>
    <t>Accounts Payable</t>
  </si>
  <si>
    <t>The Evans Group</t>
  </si>
  <si>
    <t>1926 E. 7th Street</t>
  </si>
  <si>
    <t>Theory</t>
  </si>
  <si>
    <t>2 Gansevoort st 2FL</t>
  </si>
  <si>
    <t>New York NY 10014</t>
  </si>
  <si>
    <t>Dave</t>
  </si>
  <si>
    <t>Tomomi Okubo</t>
  </si>
  <si>
    <t>53 Bridge street Unit 201</t>
  </si>
  <si>
    <t>Tory Burch</t>
  </si>
  <si>
    <t>11 West 19th St. 8FL</t>
  </si>
  <si>
    <t>Saman Chaudhry</t>
  </si>
  <si>
    <t>Trade Harvest Industrial Ltd.</t>
  </si>
  <si>
    <t>Tel: 852-2743-1083</t>
  </si>
  <si>
    <t>TRIBECA DESIGN STUDIO</t>
  </si>
  <si>
    <t>142 DUANE STREET NEW YORK,</t>
  </si>
  <si>
    <t>ULLA JOHNSON</t>
  </si>
  <si>
    <t>270 Lafayette Street, 1101</t>
  </si>
  <si>
    <t>Patricia Voto</t>
  </si>
  <si>
    <t>Urban Zen</t>
  </si>
  <si>
    <t>705 Greenwich St</t>
  </si>
  <si>
    <t>Larisa Marginean</t>
  </si>
  <si>
    <t>VERA WANG BRIDAL</t>
  </si>
  <si>
    <t>15 EAST 26TH STREET</t>
  </si>
  <si>
    <t>NEW YORK, NY 10010</t>
  </si>
  <si>
    <t>Vinnitsa Hong Kong Ltd.</t>
  </si>
  <si>
    <t>Unit B &amp; C, 9/F., Fuk Cheong Factory Building,</t>
  </si>
  <si>
    <t>Helly</t>
  </si>
  <si>
    <t xml:space="preserve">ALEXIS MABILLE </t>
  </si>
  <si>
    <t>4 BIS ALLEE VERTE</t>
  </si>
  <si>
    <t>Paris</t>
  </si>
  <si>
    <t>STEPHANIE</t>
  </si>
  <si>
    <t>ANHUI MINMETALS DEVELOPMENT I/E CO. LTD</t>
  </si>
  <si>
    <t>Shen gang park NO 1689 XIYOU road</t>
  </si>
  <si>
    <t>XING LI</t>
  </si>
  <si>
    <t>Atelier Marey</t>
  </si>
  <si>
    <t>42 Rue De Clery</t>
  </si>
  <si>
    <t>Linah</t>
  </si>
  <si>
    <t>BA&amp;SH</t>
  </si>
  <si>
    <t>67 AVENUE RAYMOND POINCARE,</t>
  </si>
  <si>
    <t>MANON</t>
  </si>
  <si>
    <t>BENDA BILI S.A.S / SEZANE</t>
  </si>
  <si>
    <t>12 RUE D'UZES 2EME ETAGE</t>
  </si>
  <si>
    <t>Clemence</t>
  </si>
  <si>
    <t>BONPOINT SAS</t>
  </si>
  <si>
    <t>62 AVENUE D’IENA</t>
  </si>
  <si>
    <t>Nadia</t>
  </si>
  <si>
    <t>BRILLIANT Invest Co.</t>
  </si>
  <si>
    <t>40, Tzar Boris III Obedinitel Blvd</t>
  </si>
  <si>
    <t>4004 Plovdiv</t>
  </si>
  <si>
    <t>Albena</t>
  </si>
  <si>
    <t>Casablanca</t>
  </si>
  <si>
    <t>E8 3RL</t>
  </si>
  <si>
    <t>Valbona / Yasmine</t>
  </si>
  <si>
    <t>Claudie Pierlot</t>
  </si>
  <si>
    <t>2 rue de Marengo</t>
  </si>
  <si>
    <t>Clotilde Le Marchand</t>
  </si>
  <si>
    <t>Courreges</t>
  </si>
  <si>
    <t xml:space="preserve">40 rue Fran?ois 1er, </t>
  </si>
  <si>
    <t>Olivia NOUET</t>
  </si>
  <si>
    <t>Cymbeline</t>
  </si>
  <si>
    <t>2 rue Gambetta</t>
  </si>
  <si>
    <t>Avon</t>
  </si>
  <si>
    <t>Lucrece &amp; Annie</t>
  </si>
  <si>
    <t>DE FURSAC</t>
  </si>
  <si>
    <t>112 rue de Richelieu</t>
  </si>
  <si>
    <t>Sarah</t>
  </si>
  <si>
    <t>DUNE BY MARIE LAPORTE SARL</t>
  </si>
  <si>
    <t>48 rue de L?vis</t>
  </si>
  <si>
    <t>Marie Voignier</t>
  </si>
  <si>
    <t>ETAM 1.2.3.</t>
  </si>
  <si>
    <t>57-59 RUE HENRI BARBUSSE</t>
  </si>
  <si>
    <t xml:space="preserve">MS. Isabelle &amp; Nathalie </t>
  </si>
  <si>
    <t>Fenix Fashion Ltd</t>
  </si>
  <si>
    <t>UG/F., Cobalt Building, 926 Cheung</t>
  </si>
  <si>
    <t>JOHANNA</t>
  </si>
  <si>
    <t>HANGZHOU HEQI IMPORT AND EXPORT TRADE CO.,LTD</t>
  </si>
  <si>
    <t>2-130,NO.158,HONGXING ROAD,ECONOMIC AND</t>
  </si>
  <si>
    <t>Faye chen</t>
  </si>
  <si>
    <t>Hongtex Hong Kong Ltd.</t>
  </si>
  <si>
    <t>RM2005 20/F NEW TREASURE CENTRE</t>
  </si>
  <si>
    <t>Joanne/Ginny</t>
  </si>
  <si>
    <t>IDEA 2000 LIMITED</t>
  </si>
  <si>
    <t xml:space="preserve">7/F, Yonglian Buliding, </t>
  </si>
  <si>
    <t>IKKS WOMEN-BATIMENT 5</t>
  </si>
  <si>
    <t>SERVICE COMPTABILITE FOURNISS EURS</t>
  </si>
  <si>
    <t>94,RUE CHOLETAISE 49455 SEVREMOINE</t>
  </si>
  <si>
    <t>JOYANCE CORPORATION LIMITED</t>
  </si>
  <si>
    <t>14F 188 BINKANG ROAD, BINJIANG</t>
  </si>
  <si>
    <t>HANGZHOU, ZHEJIANG</t>
  </si>
  <si>
    <t>Nancy</t>
  </si>
  <si>
    <t>LOGTEX/IKKS WOMEN</t>
  </si>
  <si>
    <t>FOURNITURES DE COLLECTION</t>
  </si>
  <si>
    <t>MAISON 123</t>
  </si>
  <si>
    <t>57-59 avenue Henri Barbusse</t>
  </si>
  <si>
    <t>92 614 Clichy Cedex</t>
  </si>
  <si>
    <t>Murielle Deny</t>
  </si>
  <si>
    <t>MAISON PERE</t>
  </si>
  <si>
    <t>36 RUE VIGNON</t>
  </si>
  <si>
    <t>Ms. Adele Grenot</t>
  </si>
  <si>
    <t>Maison Rabih Kayrouz</t>
  </si>
  <si>
    <t xml:space="preserve">38 Boulevard Raspail </t>
  </si>
  <si>
    <t>Mirjana Morozin</t>
  </si>
  <si>
    <t>Maje</t>
  </si>
  <si>
    <t xml:space="preserve">2 rue de Marengo </t>
  </si>
  <si>
    <t>Marion Blanchard</t>
  </si>
  <si>
    <t>MAREY SHANGHAI Office</t>
  </si>
  <si>
    <t xml:space="preserve">21st Floor, Harbour Ring Huangpu Center, </t>
  </si>
  <si>
    <t>DEBBIE YAN</t>
  </si>
  <si>
    <t>MARIE LAPORTE</t>
  </si>
  <si>
    <t>MELOYUN CO LTD</t>
  </si>
  <si>
    <t xml:space="preserve">101/63-65 Moo 3, Suetrong group, </t>
  </si>
  <si>
    <t>Li</t>
  </si>
  <si>
    <t>OFFICINE GENERALE</t>
  </si>
  <si>
    <t xml:space="preserve">11 RUE JULES CHAPLAIN </t>
  </si>
  <si>
    <t>PARIS</t>
  </si>
  <si>
    <t>Dan</t>
  </si>
  <si>
    <t>Paco Rabanne</t>
  </si>
  <si>
    <t>17, rue Fran?ois 1er</t>
  </si>
  <si>
    <t>PARMAMODA SRL</t>
  </si>
  <si>
    <t xml:space="preserve">VIA G. BOTTERI, 12 </t>
  </si>
  <si>
    <t>PARMA</t>
  </si>
  <si>
    <t>Emanuela</t>
  </si>
  <si>
    <t>Piret Kartus</t>
  </si>
  <si>
    <t>Parnu mnt 8</t>
  </si>
  <si>
    <t>Potencier</t>
  </si>
  <si>
    <t>106, rue L?on Gambetta</t>
  </si>
  <si>
    <t>Villers-Outreaux</t>
  </si>
  <si>
    <t xml:space="preserve">Eric Leroy </t>
  </si>
  <si>
    <t>PROLOG ( MRK PROD E20 )</t>
  </si>
  <si>
    <t>84 rue Choletaise</t>
  </si>
  <si>
    <t>Sylvie</t>
  </si>
  <si>
    <t>RDM / CELESTINA AGOSTINO</t>
  </si>
  <si>
    <t>15 RUE DE L'ABBE GREGOIRE</t>
  </si>
  <si>
    <t>CELESTINA AGOSTINO</t>
  </si>
  <si>
    <t>Richard Naigard</t>
  </si>
  <si>
    <t>232,rue St Denis</t>
  </si>
  <si>
    <t>SCRO - DESIGN SRL</t>
  </si>
  <si>
    <t>REPUBLICII6</t>
  </si>
  <si>
    <t>MARASESTI</t>
  </si>
  <si>
    <t>TFH</t>
  </si>
  <si>
    <t>RYM/FATMA</t>
  </si>
  <si>
    <t>The Kooples</t>
  </si>
  <si>
    <t>11 Rue de Prony,</t>
  </si>
  <si>
    <t>Laurie Poisvert</t>
  </si>
  <si>
    <t>Valerie Khalfon</t>
  </si>
  <si>
    <t xml:space="preserve">9 rue Saint Fiacre </t>
  </si>
  <si>
    <t>Valerie Israel</t>
  </si>
  <si>
    <t>Veronique Leroy</t>
  </si>
  <si>
    <t>50 rue du Faubourg ST Antoine</t>
  </si>
  <si>
    <t>Jean Fran?ois</t>
  </si>
  <si>
    <t>Y/PROJECT</t>
  </si>
  <si>
    <t xml:space="preserve">40 RUE DE PARADIS, </t>
  </si>
  <si>
    <t>Ran Roh</t>
  </si>
  <si>
    <t>Zapa</t>
  </si>
  <si>
    <t>8bis Rue Dieu</t>
  </si>
  <si>
    <t xml:space="preserve">Paris 10?me </t>
  </si>
  <si>
    <t>France Rocher</t>
  </si>
  <si>
    <t>ZIP CODE</t>
    <phoneticPr fontId="2"/>
  </si>
  <si>
    <t>ADDRESS 1</t>
    <phoneticPr fontId="2"/>
  </si>
  <si>
    <t>ADDRESS 2</t>
    <phoneticPr fontId="2"/>
  </si>
  <si>
    <t>COUNTRY</t>
    <phoneticPr fontId="2"/>
  </si>
  <si>
    <t>TEL</t>
    <phoneticPr fontId="2"/>
  </si>
  <si>
    <t>DANIELLE FRANKEL</t>
    <phoneticPr fontId="2"/>
  </si>
  <si>
    <t>USA</t>
    <phoneticPr fontId="2"/>
  </si>
  <si>
    <t xml:space="preserve">4030 DEL REY AVE </t>
    <phoneticPr fontId="2"/>
  </si>
  <si>
    <t>ATTENTION</t>
    <phoneticPr fontId="2"/>
  </si>
  <si>
    <t>NEW YORK, NY</t>
    <phoneticPr fontId="2"/>
  </si>
  <si>
    <t>34 Tai Yau Street,San Po Kong, Kowloon, Hong Kong</t>
    <phoneticPr fontId="2"/>
  </si>
  <si>
    <t>2G, Hok Yuen St., Hung Hom, Kowloon, Hong Kong</t>
    <phoneticPr fontId="2"/>
  </si>
  <si>
    <t>Los Angeles, CA</t>
    <phoneticPr fontId="2"/>
  </si>
  <si>
    <t>New York, NY</t>
  </si>
  <si>
    <t>New York, NY</t>
    <phoneticPr fontId="2"/>
  </si>
  <si>
    <t>Dallas, TX</t>
    <phoneticPr fontId="2"/>
  </si>
  <si>
    <t>Vernon, CA</t>
    <phoneticPr fontId="2"/>
  </si>
  <si>
    <t>Newport Beach, CA</t>
    <phoneticPr fontId="2"/>
  </si>
  <si>
    <t>chicago IL</t>
    <phoneticPr fontId="2"/>
  </si>
  <si>
    <t>Greensboro, NC</t>
    <phoneticPr fontId="2"/>
  </si>
  <si>
    <t>Changzhou, Jiangsu</t>
    <phoneticPr fontId="2"/>
  </si>
  <si>
    <t>NO.99JIN HU road, Jintan District</t>
    <phoneticPr fontId="2"/>
  </si>
  <si>
    <t xml:space="preserve">Yuhang Economic Development Zone, HangZhou </t>
    <phoneticPr fontId="2"/>
  </si>
  <si>
    <t xml:space="preserve">Jalan Maharajalela, 36000 Teluk Intan, Perak Darul Ridzuan, </t>
    <phoneticPr fontId="2"/>
  </si>
  <si>
    <t>MALAYSIA</t>
    <phoneticPr fontId="2"/>
  </si>
  <si>
    <t>Xirena Division, 834 S Broadway # 600</t>
    <phoneticPr fontId="2"/>
  </si>
  <si>
    <t>08057</t>
    <phoneticPr fontId="2"/>
  </si>
  <si>
    <t>Moorestown, NJ</t>
    <phoneticPr fontId="2"/>
  </si>
  <si>
    <t xml:space="preserve">Long Hau Commune, Can Giuoc Dist, Long An Province, </t>
    <phoneticPr fontId="2"/>
  </si>
  <si>
    <t>VIETNAM</t>
    <phoneticPr fontId="2"/>
  </si>
  <si>
    <t>62-70 Texaco Road, Tsuen Wan, Hong Kong</t>
    <phoneticPr fontId="2"/>
  </si>
  <si>
    <t>Hacienda Heights, CA</t>
    <phoneticPr fontId="2"/>
  </si>
  <si>
    <t>Venice, CA</t>
    <phoneticPr fontId="2"/>
  </si>
  <si>
    <t>Li Chuan, Dong Guan</t>
    <phoneticPr fontId="2"/>
  </si>
  <si>
    <t>2F 83 Li Chuan Road, Dong Cheng</t>
    <phoneticPr fontId="2"/>
  </si>
  <si>
    <t>Brooklyn, NY</t>
    <phoneticPr fontId="2"/>
  </si>
  <si>
    <t>Monroe, NY</t>
    <phoneticPr fontId="2"/>
  </si>
  <si>
    <t>270 Lafayette St, Suite 610</t>
    <phoneticPr fontId="2"/>
  </si>
  <si>
    <t>099253</t>
    <phoneticPr fontId="2"/>
  </si>
  <si>
    <t>SINGAPORE</t>
    <phoneticPr fontId="2"/>
  </si>
  <si>
    <t>07071</t>
    <phoneticPr fontId="2"/>
  </si>
  <si>
    <t xml:space="preserve">165 Polito Ave, </t>
    <phoneticPr fontId="2"/>
  </si>
  <si>
    <t>Lyndhurst, NJ</t>
    <phoneticPr fontId="2"/>
  </si>
  <si>
    <t>Great Neck, NY</t>
    <phoneticPr fontId="2"/>
  </si>
  <si>
    <t>Minhang District, Shanghai</t>
    <phoneticPr fontId="2"/>
  </si>
  <si>
    <t>Calabasas, CA</t>
    <phoneticPr fontId="2"/>
  </si>
  <si>
    <t>2515 Yates Ave,</t>
    <phoneticPr fontId="2"/>
  </si>
  <si>
    <t>Commerce, CA</t>
    <phoneticPr fontId="2"/>
  </si>
  <si>
    <t>2930 DENBY AVENUE, STUDIO B,</t>
    <phoneticPr fontId="2"/>
  </si>
  <si>
    <t>117 W 9th St., Mezzanine #111</t>
    <phoneticPr fontId="2"/>
  </si>
  <si>
    <t>FLOOR 4, 80 8th Avenue,</t>
    <phoneticPr fontId="2"/>
  </si>
  <si>
    <t>Marina Del Rey, CA</t>
    <phoneticPr fontId="2"/>
  </si>
  <si>
    <t>13969 Marquesas Way Apt 202b,</t>
    <phoneticPr fontId="2"/>
  </si>
  <si>
    <t>New Port Beach , CA</t>
    <phoneticPr fontId="2"/>
  </si>
  <si>
    <t>06525</t>
    <phoneticPr fontId="2"/>
  </si>
  <si>
    <t>Woodbridge, CT</t>
    <phoneticPr fontId="2"/>
  </si>
  <si>
    <t>Max Lu</t>
    <phoneticPr fontId="2"/>
  </si>
  <si>
    <t>611 Broadway, 308</t>
    <phoneticPr fontId="2"/>
  </si>
  <si>
    <t>THAILAND</t>
  </si>
  <si>
    <t>THAILAND</t>
    <phoneticPr fontId="2"/>
  </si>
  <si>
    <t>104/8 Krung Kasem Rd., Dheves,</t>
    <phoneticPr fontId="2"/>
  </si>
  <si>
    <t>Bangkok</t>
    <phoneticPr fontId="2"/>
  </si>
  <si>
    <t>Peru Fashions S.A.C.</t>
    <phoneticPr fontId="2"/>
  </si>
  <si>
    <t xml:space="preserve">Mz. E Lote 9, URB. Las Vegas </t>
    <phoneticPr fontId="2"/>
  </si>
  <si>
    <t>Puente Piedra,</t>
    <phoneticPr fontId="2"/>
  </si>
  <si>
    <t>No. 4 S.C. TEPANCO DE LOPEZ, PUEBLA</t>
    <phoneticPr fontId="2"/>
  </si>
  <si>
    <t>PERU</t>
    <phoneticPr fontId="2"/>
  </si>
  <si>
    <t xml:space="preserve">2692 Dow Ave, </t>
    <phoneticPr fontId="2"/>
  </si>
  <si>
    <t>Tustin, CA</t>
    <phoneticPr fontId="2"/>
  </si>
  <si>
    <t>Pasadena, CA</t>
    <phoneticPr fontId="2"/>
  </si>
  <si>
    <t>02119</t>
    <phoneticPr fontId="2"/>
  </si>
  <si>
    <t>Torrance, CA</t>
    <phoneticPr fontId="2"/>
  </si>
  <si>
    <t>Boston, MA</t>
    <phoneticPr fontId="2"/>
  </si>
  <si>
    <t>Ying Ren Shi, Bao'an District, ShenZhen,</t>
    <phoneticPr fontId="2"/>
  </si>
  <si>
    <t>6FL, Bldg C, Wentao Tech Zone,</t>
    <phoneticPr fontId="2"/>
  </si>
  <si>
    <t>ShenZhen Maohua Fashion Co., Ltd.</t>
    <phoneticPr fontId="2"/>
  </si>
  <si>
    <t>Kagithane, Istanbul,</t>
    <phoneticPr fontId="2"/>
  </si>
  <si>
    <t>No.20 Cheung Shun Street, Lai Chi Kok, Hong Kong</t>
    <phoneticPr fontId="2"/>
  </si>
  <si>
    <t>1 Walnut Street, Tai Kok Tsui, Kowloon, Hong Kong</t>
    <phoneticPr fontId="2"/>
  </si>
  <si>
    <t>FRANCE</t>
  </si>
  <si>
    <t>FRANCE</t>
    <phoneticPr fontId="2"/>
  </si>
  <si>
    <t>GAOXING district, Hefei Anhui,</t>
    <phoneticPr fontId="2"/>
  </si>
  <si>
    <t>BULGARIA</t>
    <phoneticPr fontId="2"/>
  </si>
  <si>
    <t>Clichy</t>
    <phoneticPr fontId="2"/>
  </si>
  <si>
    <t>TECHNOLOGICAL DEVELOPMENT ZONE,XIAOSHAN DISTRICT, HANGZHOU, ZHEJIANG,</t>
    <phoneticPr fontId="2"/>
  </si>
  <si>
    <t>10NG FONG STREET, SAN PO KONG,  KOWLOON, HONG KONG</t>
    <phoneticPr fontId="2"/>
  </si>
  <si>
    <t xml:space="preserve">No.188 He Ping Street, Xiuzhou District, Jiaxing, Zhejiang, </t>
    <phoneticPr fontId="2"/>
  </si>
  <si>
    <t>4 Passage de la Boule Blanche, Paris</t>
    <phoneticPr fontId="2"/>
  </si>
  <si>
    <t>ROMANIA</t>
    <phoneticPr fontId="2"/>
  </si>
  <si>
    <t>Saint Macaire en Mauges, Sevremoine,</t>
    <phoneticPr fontId="2"/>
  </si>
  <si>
    <t xml:space="preserve">Apartment 7a, Tallinn, </t>
    <phoneticPr fontId="2"/>
  </si>
  <si>
    <t xml:space="preserve">ESTONIA </t>
    <phoneticPr fontId="2"/>
  </si>
  <si>
    <t>ITALY</t>
    <phoneticPr fontId="2"/>
  </si>
  <si>
    <t xml:space="preserve">TAMBON SAIMA, AUMPHUR MUANG, NONTHABURI, </t>
    <phoneticPr fontId="2"/>
  </si>
  <si>
    <t>No. 98 Liu He Road, Shanghai</t>
    <phoneticPr fontId="2"/>
  </si>
  <si>
    <t>Z.I DE LA GARE RUE DU DR FAYAU, MONTAIGU,</t>
    <phoneticPr fontId="2"/>
  </si>
  <si>
    <t>Phoenix Brewery, 13 Bramley Road</t>
    <phoneticPr fontId="2"/>
  </si>
  <si>
    <t>London</t>
    <phoneticPr fontId="2"/>
  </si>
  <si>
    <t>NETIL HOUSE, SUITE 204, 1 WESTGATE STREET,</t>
    <phoneticPr fontId="2"/>
  </si>
  <si>
    <t>W10 6SZ</t>
    <phoneticPr fontId="2"/>
  </si>
  <si>
    <t>Marta</t>
    <phoneticPr fontId="2"/>
  </si>
  <si>
    <t xml:space="preserve">TUNISIA </t>
    <phoneticPr fontId="2"/>
  </si>
  <si>
    <t>RUE DU TISSAGE 29, ZI KSAR SAID,</t>
    <phoneticPr fontId="2"/>
  </si>
  <si>
    <t>MANOUBA</t>
    <phoneticPr fontId="2"/>
  </si>
  <si>
    <t>Temperley London</t>
    <phoneticPr fontId="2"/>
  </si>
  <si>
    <t>3066a</t>
  </si>
  <si>
    <t>P.H.Garment Manufacturing Company Limited</t>
  </si>
  <si>
    <t>UNIT 1412, 14/F., TOWER 2, EVER GAIN PLAZA,</t>
  </si>
  <si>
    <t>3432a</t>
  </si>
  <si>
    <t>RCD</t>
  </si>
  <si>
    <t>3436a</t>
  </si>
  <si>
    <t>101/63-65 Moo 3, Suetrong group,</t>
  </si>
  <si>
    <t>3239a</t>
  </si>
  <si>
    <t>LA ADA DE ACUNA, S DE RL DE CV</t>
  </si>
  <si>
    <t>CARRETERA PRESA DE LA AMISTAD KM 4.5</t>
  </si>
  <si>
    <t>CD. ACUNA, COAHUILA</t>
  </si>
  <si>
    <t>3241a</t>
  </si>
  <si>
    <t>Wacoal Dominicana Corp.</t>
  </si>
  <si>
    <t>Zona Franca Industrial</t>
  </si>
  <si>
    <t>6001a</t>
  </si>
  <si>
    <t>EAST CONCEPT FASHION LTD</t>
  </si>
  <si>
    <t>UNIT 1-5, 4/F, WELL TECH CENTER</t>
  </si>
  <si>
    <t>6002a</t>
  </si>
  <si>
    <t>CHINA FENG FASHION (SHENZHEN)LTD</t>
  </si>
  <si>
    <t>6005a</t>
  </si>
  <si>
    <t>MMAA</t>
  </si>
  <si>
    <t>BOLGATANGA BONGO ROAD</t>
  </si>
  <si>
    <t>6015a</t>
  </si>
  <si>
    <t>Aanchal Apparels Pvt Ltd.</t>
  </si>
  <si>
    <t>4-a 3rd floor, Industry Manor</t>
  </si>
  <si>
    <t>6015b</t>
  </si>
  <si>
    <t>Friendship Manufacturing Co., Ltd.</t>
  </si>
  <si>
    <t>17/6A Phan Huy ich Street, Ward 14</t>
  </si>
  <si>
    <t>6046a</t>
  </si>
  <si>
    <t>Textile Gloria Ltd</t>
  </si>
  <si>
    <t>8 Hashomer street</t>
  </si>
  <si>
    <t>6050a</t>
  </si>
  <si>
    <t>Bsquare holdings LTD</t>
  </si>
  <si>
    <t>39 North moore street, store entrance</t>
  </si>
  <si>
    <t>6085a</t>
  </si>
  <si>
    <t>Joe's Jeans</t>
  </si>
  <si>
    <t>1580 Jesse St.</t>
  </si>
  <si>
    <t>6102a</t>
  </si>
  <si>
    <t>Gold Flower Ltd.</t>
  </si>
  <si>
    <t>8/FL, 66-72, Lei Muk Road,</t>
  </si>
  <si>
    <t>Kwai Chung, N.T. Hong Kong</t>
  </si>
  <si>
    <t>6185a</t>
  </si>
  <si>
    <t>WEI YI FACTORY</t>
  </si>
  <si>
    <t>No. 8, Gouwei Road, Yongan Road</t>
  </si>
  <si>
    <t>Chaozhou, Guangdong</t>
  </si>
  <si>
    <t>6215a</t>
  </si>
  <si>
    <t>Frankies</t>
  </si>
  <si>
    <t>3349 La Cienega Place</t>
  </si>
  <si>
    <t>6256a</t>
  </si>
  <si>
    <t>F I H Co. Limited</t>
  </si>
  <si>
    <t xml:space="preserve">A5 17F Goodwill Ind. Bldg. </t>
  </si>
  <si>
    <t>6280a</t>
  </si>
  <si>
    <t>CAMPO LONGO INDUSTRIA E COMERCIO VESTUARIO LDA.,</t>
  </si>
  <si>
    <t>TRAVESSA DA ALEGRIA 77,</t>
  </si>
  <si>
    <t>6290a</t>
  </si>
  <si>
    <t>Greenhill Fashion Knitters</t>
  </si>
  <si>
    <t>6290b</t>
  </si>
  <si>
    <t>Hellessy C/O Magic Team &amp; Company Ltd.</t>
  </si>
  <si>
    <t>Room D, 4th Fl., Wing Cheung Industrial Bldg.</t>
  </si>
  <si>
    <t>6290c</t>
  </si>
  <si>
    <t>Hellessy c/o Shantou Huanlong Fashion Limited</t>
  </si>
  <si>
    <t>3-4/Floor, No. 8, West 1 Street, Longxin Indstrial Zone</t>
  </si>
  <si>
    <t>6291a</t>
  </si>
  <si>
    <t>Helmut Lang</t>
  </si>
  <si>
    <t>2 Gansevoort St. 4FL</t>
  </si>
  <si>
    <t>6292a</t>
  </si>
  <si>
    <t>Global Sourcenet Ltd</t>
  </si>
  <si>
    <t>Minh Khai, Nhu Quynh, Van Lam,</t>
  </si>
  <si>
    <t>6360a</t>
  </si>
  <si>
    <t>JANE WANG</t>
  </si>
  <si>
    <t>248-25 Northan Blvd, 1J-363</t>
  </si>
  <si>
    <t>Douglaston, NY 11362</t>
  </si>
  <si>
    <t>6365a</t>
  </si>
  <si>
    <t>CHAOZHOU YADA EMBROIDERY GARMENT INDUSTRIAL CO.,LTD.</t>
  </si>
  <si>
    <t>North 3rd Road, North Industrial Zone, ChaoZhou Avenue</t>
  </si>
  <si>
    <t>6401a</t>
  </si>
  <si>
    <t>KATIE MAY WAREHOUSE</t>
  </si>
  <si>
    <t>6425a</t>
  </si>
  <si>
    <t>Polytime</t>
  </si>
  <si>
    <t>704 S Spring St #301</t>
  </si>
  <si>
    <t>6445a</t>
  </si>
  <si>
    <t>Wenzhou Qihe import &amp; export Co., Ltd</t>
  </si>
  <si>
    <t xml:space="preserve">RM 2404, No.25 building, Gongchen bund, </t>
  </si>
  <si>
    <t>6470a</t>
  </si>
  <si>
    <t>CIAO LUCIA</t>
  </si>
  <si>
    <t>6481a</t>
  </si>
  <si>
    <t>SIA Apparel</t>
  </si>
  <si>
    <t>6481b</t>
  </si>
  <si>
    <t>SREEPRIYA EXPORTS PVT LTD</t>
  </si>
  <si>
    <t>31 TOPSIA ROAD SOUTH</t>
  </si>
  <si>
    <t>India</t>
  </si>
  <si>
    <t>6481c</t>
  </si>
  <si>
    <t>Ming Leurn Co., Ltd.</t>
  </si>
  <si>
    <t>ShinWen Industry Zone,Daojiao Town</t>
  </si>
  <si>
    <t>Dongguan City</t>
  </si>
  <si>
    <t>6489a</t>
  </si>
  <si>
    <t>Golden Stitching C/O Minnow Swim</t>
  </si>
  <si>
    <t>3348 W Harvard St</t>
  </si>
  <si>
    <t>6503a</t>
  </si>
  <si>
    <t>Shengzhou Fred Fashion Co., Ltd</t>
  </si>
  <si>
    <t>No.109 Jia Jia Road, Shengzhou</t>
  </si>
  <si>
    <t>6561a</t>
  </si>
  <si>
    <t>RAJ MFG.LLC (RM WHSE)</t>
  </si>
  <si>
    <t>6610a</t>
  </si>
  <si>
    <t>East Concept Fashion LTD.</t>
  </si>
  <si>
    <t>Unit 1-5, 4/F, Well Tech Centre</t>
  </si>
  <si>
    <t>6631a</t>
  </si>
  <si>
    <t>CQY</t>
  </si>
  <si>
    <t>410 N Paulina Ave.</t>
  </si>
  <si>
    <t>6652a</t>
  </si>
  <si>
    <t>CHINAMINE TRADING LIMITED</t>
  </si>
  <si>
    <t>Room 2805, 28/F</t>
  </si>
  <si>
    <t>6666a</t>
  </si>
  <si>
    <t>CAPITAL CUTTING</t>
  </si>
  <si>
    <t>318 WEST 39TH STREET 3RD FLOOR</t>
  </si>
  <si>
    <t>6705a</t>
  </si>
  <si>
    <t>CREATIONS BY SHANAGAR</t>
  </si>
  <si>
    <t>2-B, Grotto Villa</t>
  </si>
  <si>
    <t>6727a</t>
  </si>
  <si>
    <t>Vera Wang Bridal House, LLC</t>
  </si>
  <si>
    <t>11260 FORTUNE CIRCLE suite J4</t>
  </si>
  <si>
    <r>
      <t>5-7 FLOOR,BLGD B3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SUNNY IND.PARK,</t>
    </r>
  </si>
  <si>
    <t>NOS. 88 CONTAINER PORT ROAD, KWAI CHUNG, N.T. Hong Kong</t>
    <phoneticPr fontId="2"/>
  </si>
  <si>
    <t>Z.I. DE BRIANGAUD</t>
    <phoneticPr fontId="2"/>
  </si>
  <si>
    <t>Rue JEAN-MONNET, CS 40275, REDON CEDEX</t>
    <phoneticPr fontId="2"/>
  </si>
  <si>
    <t>TAMBON SAIMA, AUMPHUR MUANG, NONTHABURI,</t>
    <phoneticPr fontId="2"/>
  </si>
  <si>
    <t>MEXICO</t>
    <phoneticPr fontId="2"/>
  </si>
  <si>
    <t xml:space="preserve">22 Autopista Las Americas, Santo Dominigo, </t>
    <phoneticPr fontId="2"/>
  </si>
  <si>
    <t>DOMINICA REPUBLIC</t>
    <phoneticPr fontId="2"/>
  </si>
  <si>
    <t>9 PAT TAT STREET,KOWLOON, HONG KONG</t>
    <phoneticPr fontId="2"/>
  </si>
  <si>
    <t xml:space="preserve">NO.2-3,HEZHOU SOUTHERN IND .ZONE,SHENZHEN, </t>
    <phoneticPr fontId="2"/>
  </si>
  <si>
    <t>GHANA</t>
    <phoneticPr fontId="2"/>
  </si>
  <si>
    <t>AKUNTAASI STREET HSE NO 15, BOLGATANGA,</t>
    <phoneticPr fontId="2"/>
  </si>
  <si>
    <t>INDIA</t>
    <phoneticPr fontId="2"/>
  </si>
  <si>
    <t>Appasaheb Marathe Marg, Prabhadevi, Mumbai</t>
    <phoneticPr fontId="2"/>
  </si>
  <si>
    <t>Go Vap District, HCMC,</t>
    <phoneticPr fontId="2"/>
  </si>
  <si>
    <t>Tel Aviv,</t>
    <phoneticPr fontId="2"/>
  </si>
  <si>
    <t>ISRAEL</t>
    <phoneticPr fontId="2"/>
  </si>
  <si>
    <t>U.K.</t>
    <phoneticPr fontId="2"/>
  </si>
  <si>
    <t>36-44 Pak Tin Par St., Tsuen Wan, Hong Kong</t>
    <phoneticPr fontId="2"/>
  </si>
  <si>
    <t xml:space="preserve">MILHEIROS, </t>
    <phoneticPr fontId="2"/>
  </si>
  <si>
    <t xml:space="preserve">PORTUGAL </t>
  </si>
  <si>
    <t xml:space="preserve">Flat 1, 15/F, Room A, Wing Shing Industrial Building, </t>
    <phoneticPr fontId="2"/>
  </si>
  <si>
    <t>26 Ng Fong Street, San Po Kong Kowloon, Hong Kong</t>
    <phoneticPr fontId="2"/>
  </si>
  <si>
    <t>109 How Ming St. Kwun Tong, Kowloon, Hong Kong</t>
    <phoneticPr fontId="2"/>
  </si>
  <si>
    <t>Longhu District, Shantou</t>
    <phoneticPr fontId="2"/>
  </si>
  <si>
    <t>Hung Yen,</t>
    <phoneticPr fontId="2"/>
  </si>
  <si>
    <t>CHAOZHOU CITY,GUANGDONG,</t>
    <phoneticPr fontId="2"/>
  </si>
  <si>
    <t>Chongxian street, Linping District, Hangzhou,</t>
    <phoneticPr fontId="2"/>
  </si>
  <si>
    <t xml:space="preserve">3rd Floor, 306 West 37th Street, </t>
    <phoneticPr fontId="2"/>
  </si>
  <si>
    <t xml:space="preserve">2301 EAST 7TH STREET, SUITE A315 </t>
    <phoneticPr fontId="2"/>
  </si>
  <si>
    <t>PICNIC GARDEN KOLKATA,WEST BENGAL,</t>
    <phoneticPr fontId="2"/>
  </si>
  <si>
    <t>Santa Ana, CA</t>
    <phoneticPr fontId="2"/>
  </si>
  <si>
    <t>Zhejiang</t>
    <phoneticPr fontId="2"/>
  </si>
  <si>
    <t xml:space="preserve">RAW MATERIAL WHSE, 2692 DOW AVENUE, </t>
    <phoneticPr fontId="2"/>
  </si>
  <si>
    <t>9 Pat Tat Street, San Po Kong, Kowloon, Hong Kong</t>
    <phoneticPr fontId="2"/>
  </si>
  <si>
    <t>No. 1 Hung To Road, Kwun Tong, Kowloon, Hong Kong</t>
    <phoneticPr fontId="2"/>
  </si>
  <si>
    <t>2nd hasnabad lane, MUMBAI, 27 Maharashtra</t>
    <phoneticPr fontId="2"/>
  </si>
  <si>
    <t>WELLINGTON, FL</t>
    <phoneticPr fontId="2"/>
  </si>
  <si>
    <t>Redondo Beach, CA</t>
    <phoneticPr fontId="2"/>
  </si>
  <si>
    <t>システムコード</t>
    <phoneticPr fontId="2"/>
  </si>
  <si>
    <t>名称</t>
    <rPh sb="0" eb="2">
      <t>メイショウ</t>
    </rPh>
    <phoneticPr fontId="2"/>
  </si>
  <si>
    <t>A&amp;Feng Fashion Ltd.</t>
    <phoneticPr fontId="2"/>
  </si>
  <si>
    <t>INVOICE No.</t>
    <phoneticPr fontId="2"/>
  </si>
  <si>
    <t>CONSIGNEE</t>
    <phoneticPr fontId="2"/>
  </si>
  <si>
    <t>SOLD TO</t>
    <phoneticPr fontId="2"/>
  </si>
  <si>
    <r>
      <rPr>
        <sz val="11"/>
        <rFont val="Yu Gothic"/>
        <family val="3"/>
        <charset val="128"/>
      </rPr>
      <t xml:space="preserve">(SELECT) - </t>
    </r>
    <r>
      <rPr>
        <sz val="11"/>
        <rFont val="ｔ"/>
        <family val="3"/>
        <charset val="128"/>
      </rPr>
      <t>顧客名</t>
    </r>
    <rPh sb="11" eb="14">
      <t>コキャクメイ</t>
    </rPh>
    <phoneticPr fontId="2"/>
  </si>
  <si>
    <t>G/Weight:</t>
    <phoneticPr fontId="2"/>
  </si>
  <si>
    <t>Note:</t>
    <phoneticPr fontId="2"/>
  </si>
  <si>
    <t>Tel: 646 588 8824</t>
  </si>
  <si>
    <t>Tel: 323 963 4351</t>
  </si>
  <si>
    <t>Tel: 305 609 3841</t>
  </si>
  <si>
    <t>Tel: (212) 971-0170</t>
  </si>
  <si>
    <t>Tel: 626 272 5240</t>
  </si>
  <si>
    <t>Tel: 852 2365 7052</t>
  </si>
  <si>
    <t>Tel: 213.228.1930</t>
  </si>
  <si>
    <t>Tel: 949.966.0108</t>
  </si>
  <si>
    <t>Tel: 773 365 1751</t>
  </si>
  <si>
    <t>Tel: 212.579.2095</t>
  </si>
  <si>
    <t>Tel: 323.733.7700</t>
  </si>
  <si>
    <t>Tel: 86 519 83870739</t>
  </si>
  <si>
    <t>Tel: 86 57186259028</t>
  </si>
  <si>
    <t>Tel: 29505305</t>
  </si>
  <si>
    <t>Tel: 323 481 1928</t>
  </si>
  <si>
    <t>Tel: 212 629 2215</t>
  </si>
  <si>
    <t>Tel: 503 724 4959</t>
  </si>
  <si>
    <t>Tel: 213 624 5200</t>
  </si>
  <si>
    <t>Tel: 917-868-1911</t>
  </si>
  <si>
    <t>Tel: 323-685-2029</t>
  </si>
  <si>
    <t>Tel: 323-888-8838</t>
  </si>
  <si>
    <t>Tel: (213) 627-7200</t>
  </si>
  <si>
    <t>Tel: 415 250 8391</t>
  </si>
  <si>
    <t>Tel: 323.225.9525</t>
  </si>
  <si>
    <t>Tel: 212-463-8135</t>
  </si>
  <si>
    <t>Tel: 206-552-4715?</t>
  </si>
  <si>
    <t>Tel:+1 646 809 0100 x.106</t>
  </si>
  <si>
    <t>Tel : 213 380 8071</t>
  </si>
  <si>
    <t>Tel: 511 613 9999</t>
  </si>
  <si>
    <t>Tel: 917 783 6577</t>
  </si>
  <si>
    <t>Tel: 212 421 3200</t>
  </si>
  <si>
    <t>Tel: 852 2786 7667/529</t>
  </si>
  <si>
    <t>Tel: 323.493.9357</t>
  </si>
  <si>
    <t>Tel: 617.423.3134</t>
  </si>
  <si>
    <t>Tel: 755 2664 1991</t>
  </si>
  <si>
    <t>Tel: +90 (212) 294 09 09 - 271</t>
  </si>
  <si>
    <t>Tel: +44 20 7229 7957</t>
  </si>
  <si>
    <t>Tel: 213-309-4842</t>
  </si>
  <si>
    <t>Tel: 212 300 0899</t>
  </si>
  <si>
    <t>Tel: 646 765 5400</t>
  </si>
  <si>
    <t>Tel:212 683 2323</t>
  </si>
  <si>
    <t>Tel: 917-921-0697</t>
  </si>
  <si>
    <t>Tel: (852) 2392 7323</t>
  </si>
  <si>
    <t xml:space="preserve">Tel: 0519-82698844 </t>
  </si>
  <si>
    <t>Tel: 845-783-2069</t>
  </si>
  <si>
    <t>Tel: 646 882 2963</t>
  </si>
  <si>
    <t>Tel: 86 21 6728 8264</t>
  </si>
  <si>
    <t>Tel: 212.645.0823</t>
  </si>
  <si>
    <t>Tel: 212 206 3999</t>
  </si>
  <si>
    <t>Tel: 022-40278822</t>
  </si>
  <si>
    <t>Tel: 213-670-0214</t>
  </si>
  <si>
    <t>Tel: 09-5251-2719</t>
  </si>
  <si>
    <t>Tel: 0086-13955160073</t>
  </si>
  <si>
    <t>Tel: 33 1422 11203</t>
  </si>
  <si>
    <t>Tel: 33-1-4508-1415</t>
  </si>
  <si>
    <t>Tel: 01-77-38-81-95</t>
  </si>
  <si>
    <t>Tel: 33(0)1-40-62-76-20</t>
  </si>
  <si>
    <t>Tel: 0035 932 218 326</t>
  </si>
  <si>
    <t>Tel: 212 944 5757</t>
  </si>
  <si>
    <t>Tel: 917-592-2967</t>
  </si>
  <si>
    <t>Tel: 44 07784 682678</t>
  </si>
  <si>
    <t>Tel: (86) 755 29980940-818</t>
  </si>
  <si>
    <t>Tel: 385-856-6836</t>
  </si>
  <si>
    <t>Tel: 33 (0) 1 58 16 25 00</t>
  </si>
  <si>
    <t>Tel: 33 6 86 61 35 36</t>
  </si>
  <si>
    <t>Tel: 33 1 64 78 56 50</t>
  </si>
  <si>
    <t>Tel: 331 40 07 49 76</t>
  </si>
  <si>
    <t>Tel: Tel:  (+84) 36201420</t>
  </si>
  <si>
    <t>Tel: 06 21 56 12 65</t>
  </si>
  <si>
    <t>Tel: 852 29977828</t>
  </si>
  <si>
    <t>Tel: Tel: 626-922-7122</t>
  </si>
  <si>
    <t>Tel: 33-1-5590-7070</t>
  </si>
  <si>
    <t>Tel: Tel: 310-809-4025</t>
  </si>
  <si>
    <t>Tel: 84 221 3986 500</t>
  </si>
  <si>
    <t>Tel: 852 23107655</t>
  </si>
  <si>
    <t>Tel: Tel: 26127117558</t>
  </si>
  <si>
    <t>Tel: 86.754.836.9416</t>
  </si>
  <si>
    <t>Tel: +84 28 62873760</t>
  </si>
  <si>
    <t>Tel: (+84) 36201420</t>
  </si>
  <si>
    <t>Tel: 714-838-3110</t>
  </si>
  <si>
    <t>Tel: Tel: 646 318 8800</t>
  </si>
  <si>
    <t>Tel: Tel: 0769-22609802</t>
  </si>
  <si>
    <t>Tel: 818.522.4287</t>
  </si>
  <si>
    <t>Tel: 86 13735869749</t>
  </si>
  <si>
    <t>Tel: 917.689.8983</t>
  </si>
  <si>
    <t>Tel: 852 23545077</t>
  </si>
  <si>
    <t>Tel: 02-41-75-97-80</t>
  </si>
  <si>
    <t>Tel: 0086-571-87117581</t>
  </si>
  <si>
    <t>Tel: 01 55 90 71 20</t>
  </si>
  <si>
    <t>Tel: 33-9-7250-4076</t>
  </si>
  <si>
    <t>Tel: 33-145482828</t>
  </si>
  <si>
    <t>Tel: 33 (0) 1 42 96 77 24</t>
  </si>
  <si>
    <t>Tel: 86-21-61367255</t>
  </si>
  <si>
    <t>Tel: (+66)29261820</t>
  </si>
  <si>
    <t>Tel: 213 380 8071</t>
  </si>
  <si>
    <t>Tel: 233546700007, 0242855460</t>
  </si>
  <si>
    <t>Tel: 33-185096442</t>
  </si>
  <si>
    <t>Tel: 852-24226622 Ext.3331</t>
  </si>
  <si>
    <t>Tel: (0)1 83 97 72 51</t>
  </si>
  <si>
    <t>Tel: 0521 994068</t>
  </si>
  <si>
    <t>Tel: 37 256501126</t>
  </si>
  <si>
    <t>Tel: (714) 328-0282</t>
  </si>
  <si>
    <t>Tel: 33 (0)327 822 100</t>
  </si>
  <si>
    <t>Tel: 238 383 71 71</t>
  </si>
  <si>
    <t>Tel: 02.41.55.62.29</t>
  </si>
  <si>
    <t>Tel: 02 99 71 57 83</t>
  </si>
  <si>
    <t>Tel: 33(0)1-45 48 81 24</t>
  </si>
  <si>
    <t>Tel: 06 598868538</t>
  </si>
  <si>
    <t>Tel: 212-279-9310</t>
  </si>
  <si>
    <t xml:space="preserve">Tel: 216 71 651 100 </t>
  </si>
  <si>
    <t>Tel: 33 144779977</t>
  </si>
  <si>
    <t>Tel: 01 40 26 00 01</t>
  </si>
  <si>
    <t>Tel: 1 44 87 90 90</t>
  </si>
  <si>
    <t>Tel: 33-186640269</t>
  </si>
  <si>
    <t>Jonathan Simkhai</t>
  </si>
  <si>
    <t>653 N La Cienega Blvd</t>
    <phoneticPr fontId="2"/>
  </si>
  <si>
    <t>West Hollywood, CA</t>
    <phoneticPr fontId="2"/>
  </si>
  <si>
    <t>Tel: 646-590-0528</t>
    <phoneticPr fontId="2"/>
  </si>
  <si>
    <t>Hantex Garments Limited C/O PROTEX INDUSTRIAL (HK) LIMITED</t>
    <phoneticPr fontId="2"/>
  </si>
  <si>
    <t xml:space="preserve">FLAT A, 5/F, ON TAT INDUSTRIAL BUILDING, </t>
    <phoneticPr fontId="2"/>
  </si>
  <si>
    <t>3-5 PAT TAT STREET, SAN PO KONG, KOWLOON, HONG KONG</t>
    <phoneticPr fontId="2"/>
  </si>
  <si>
    <t>Tel: (+852) 35211421</t>
    <phoneticPr fontId="2"/>
  </si>
  <si>
    <t>Garry</t>
    <phoneticPr fontId="2"/>
  </si>
  <si>
    <t>File Name</t>
    <phoneticPr fontId="2"/>
  </si>
  <si>
    <t>Freight Charge</t>
    <phoneticPr fontId="2"/>
  </si>
  <si>
    <t>Invoice</t>
    <phoneticPr fontId="2"/>
  </si>
  <si>
    <t xml:space="preserve">      LA</t>
    <phoneticPr fontId="2"/>
  </si>
  <si>
    <t xml:space="preserve">      NY</t>
    <phoneticPr fontId="2"/>
  </si>
  <si>
    <t xml:space="preserve">     TOKYO</t>
    <phoneticPr fontId="2"/>
  </si>
  <si>
    <t>SUN FASHION CORP.</t>
    <phoneticPr fontId="113"/>
  </si>
  <si>
    <t>Made In</t>
    <phoneticPr fontId="2"/>
  </si>
  <si>
    <t>←標準は今日の日付</t>
    <rPh sb="1" eb="3">
      <t>ヒョウジュン</t>
    </rPh>
    <rPh sb="4" eb="6">
      <t>キョウ</t>
    </rPh>
    <rPh sb="7" eb="9">
      <t>ヒヅケ</t>
    </rPh>
    <phoneticPr fontId="2"/>
  </si>
  <si>
    <t>←クーリエ番号などはここに</t>
    <rPh sb="5" eb="7">
      <t>バンゴウ</t>
    </rPh>
    <phoneticPr fontId="2"/>
  </si>
  <si>
    <t>検索結果</t>
    <rPh sb="0" eb="2">
      <t>ケンサク</t>
    </rPh>
    <rPh sb="2" eb="4">
      <t>ケッカ</t>
    </rPh>
    <phoneticPr fontId="2"/>
  </si>
  <si>
    <t>SUN FASHION AMERICA, INC.</t>
  </si>
  <si>
    <t>SUN FASHION AMERICA, INC.</t>
    <phoneticPr fontId="2"/>
  </si>
  <si>
    <t>265 West 37th Street 7th Floor</t>
    <phoneticPr fontId="2"/>
  </si>
  <si>
    <t>Kareen</t>
    <phoneticPr fontId="2"/>
  </si>
  <si>
    <t>固定</t>
    <rPh sb="0" eb="2">
      <t>コテイ</t>
    </rPh>
    <phoneticPr fontId="2"/>
  </si>
  <si>
    <t>MUFG BANK, LTD. OSAKA-NISHI BRANCH</t>
    <phoneticPr fontId="2"/>
  </si>
  <si>
    <t>1-7-17, AWAZA, NISHI-KU, OSAKA, JAPAN</t>
    <phoneticPr fontId="2"/>
  </si>
  <si>
    <t>SUN FASHION CORP.</t>
    <phoneticPr fontId="2"/>
  </si>
  <si>
    <t>BOTKJPJT</t>
    <phoneticPr fontId="2"/>
  </si>
  <si>
    <t>545-9019494</t>
    <phoneticPr fontId="2"/>
  </si>
  <si>
    <t>N/A</t>
    <phoneticPr fontId="2"/>
  </si>
  <si>
    <t>By T/T</t>
    <phoneticPr fontId="2"/>
  </si>
  <si>
    <t>EXW Japan</t>
    <phoneticPr fontId="2"/>
  </si>
  <si>
    <t>部署</t>
    <rPh sb="0" eb="2">
      <t>ブショ</t>
    </rPh>
    <phoneticPr fontId="2"/>
  </si>
  <si>
    <t>Fax: 06-6452-1641</t>
    <phoneticPr fontId="2"/>
  </si>
  <si>
    <t>担当者</t>
    <rPh sb="0" eb="3">
      <t>タントウシャ</t>
    </rPh>
    <phoneticPr fontId="2"/>
  </si>
  <si>
    <t>注文番号</t>
    <rPh sb="0" eb="4">
      <t>チュウモンバンゴウ</t>
    </rPh>
    <phoneticPr fontId="2"/>
  </si>
  <si>
    <t>AM</t>
    <phoneticPr fontId="2"/>
  </si>
  <si>
    <t>USER PO</t>
    <phoneticPr fontId="2"/>
  </si>
  <si>
    <t>491-0131</t>
  </si>
  <si>
    <t>0586-78-4640</t>
  </si>
  <si>
    <t>0586-51-0125</t>
  </si>
  <si>
    <t>541-0053</t>
  </si>
  <si>
    <t>06-6262-4431</t>
  </si>
  <si>
    <t>06-6262-4434</t>
  </si>
  <si>
    <t>542-0062</t>
  </si>
  <si>
    <t>06-6761-5772</t>
  </si>
  <si>
    <t>06-6761-5734</t>
  </si>
  <si>
    <t>252-0155</t>
  </si>
  <si>
    <t xml:space="preserve"> </t>
  </si>
  <si>
    <t>042-785-0136</t>
  </si>
  <si>
    <t>042-785-1279</t>
  </si>
  <si>
    <t>522-0027</t>
  </si>
  <si>
    <t>0749-27-6663</t>
  </si>
  <si>
    <t>0749-23-0711</t>
  </si>
  <si>
    <t>601-8162</t>
  </si>
  <si>
    <t>075-661-9227</t>
  </si>
  <si>
    <t>075-681-8304</t>
  </si>
  <si>
    <t>711-0904</t>
  </si>
  <si>
    <t>086-477-5111</t>
  </si>
  <si>
    <t>086-477-7707</t>
  </si>
  <si>
    <t>086-477-7531</t>
  </si>
  <si>
    <t>086-477-4156</t>
  </si>
  <si>
    <t>379-2312</t>
  </si>
  <si>
    <t>0277-77-1050</t>
  </si>
  <si>
    <t>0277-77-1055</t>
  </si>
  <si>
    <t>MURRAY</t>
  </si>
  <si>
    <t>619-0221</t>
  </si>
  <si>
    <t>0774-72-7834</t>
  </si>
  <si>
    <t>0774-73-3267</t>
  </si>
  <si>
    <t>915-0251</t>
  </si>
  <si>
    <t>0778-42-1875</t>
  </si>
  <si>
    <t>0778-42-1515</t>
  </si>
  <si>
    <t>915-0234</t>
  </si>
  <si>
    <t>0778-43-0810</t>
  </si>
  <si>
    <t>0778-43-0807</t>
  </si>
  <si>
    <t>919-2224</t>
  </si>
  <si>
    <t>0770-72-3100</t>
  </si>
  <si>
    <t>0770-72-3310</t>
  </si>
  <si>
    <t>541-0054</t>
  </si>
  <si>
    <t>06-6253-7311</t>
  </si>
  <si>
    <t>06-6253-7312</t>
  </si>
  <si>
    <t>915-0203</t>
  </si>
  <si>
    <t>0778-43-1233</t>
  </si>
  <si>
    <t>0778-43-1244</t>
  </si>
  <si>
    <t>603-8436</t>
  </si>
  <si>
    <t>075-493-5555</t>
  </si>
  <si>
    <t>075-493-0831</t>
  </si>
  <si>
    <t>920-0274</t>
  </si>
  <si>
    <t>076-286-3330</t>
  </si>
  <si>
    <t>076-286-2816</t>
  </si>
  <si>
    <t>564-0001</t>
  </si>
  <si>
    <t>06-6388-2115</t>
  </si>
  <si>
    <t>06-6384-2193</t>
  </si>
  <si>
    <t>532-0011</t>
  </si>
  <si>
    <t>06-6304-1147</t>
  </si>
  <si>
    <t>06-6304-1179</t>
  </si>
  <si>
    <t>929-1215</t>
  </si>
  <si>
    <t>076-281-1256</t>
  </si>
  <si>
    <t>076-281-2343</t>
  </si>
  <si>
    <t>591-8014</t>
  </si>
  <si>
    <t>072-259-8011</t>
  </si>
  <si>
    <t>072-257-2089</t>
  </si>
  <si>
    <t>910-0845</t>
  </si>
  <si>
    <t>0776-54-1119</t>
  </si>
  <si>
    <t>0776-54-1755</t>
  </si>
  <si>
    <t>507-0038</t>
  </si>
  <si>
    <t>0572-22-3345</t>
  </si>
  <si>
    <t>0572-23-8174</t>
  </si>
  <si>
    <t>543-0002</t>
  </si>
  <si>
    <t>06-6776-8920</t>
  </si>
  <si>
    <t>06-6772-1556</t>
  </si>
  <si>
    <t>076-285-2010</t>
  </si>
  <si>
    <t>076-285-2071</t>
  </si>
  <si>
    <t>929-1171</t>
  </si>
  <si>
    <t>076-285-2070</t>
  </si>
  <si>
    <t>915-0252</t>
  </si>
  <si>
    <t>0778-43-0323</t>
  </si>
  <si>
    <t>0778-43-0418</t>
  </si>
  <si>
    <t>612-8437</t>
  </si>
  <si>
    <t>075-643-5101</t>
  </si>
  <si>
    <t>075-642-3810</t>
  </si>
  <si>
    <t>03-5830-3913</t>
  </si>
  <si>
    <t>03-5830-3914</t>
  </si>
  <si>
    <t>524-0013</t>
  </si>
  <si>
    <t>077-514-2600</t>
  </si>
  <si>
    <t>077-514-2610</t>
  </si>
  <si>
    <t>529-1414</t>
  </si>
  <si>
    <t>0748-48-2289</t>
  </si>
  <si>
    <t>0748-48-5801</t>
  </si>
  <si>
    <t>076-281-0444</t>
  </si>
  <si>
    <t>076-282-5572</t>
  </si>
  <si>
    <t>601-8213</t>
  </si>
  <si>
    <t>075-921-1644</t>
  </si>
  <si>
    <t>075-935-2460</t>
  </si>
  <si>
    <t>602-0958</t>
  </si>
  <si>
    <t>075-451-0558</t>
  </si>
  <si>
    <t>075-414-0309</t>
  </si>
  <si>
    <t>417-0821</t>
  </si>
  <si>
    <t>0545-38-2311</t>
  </si>
  <si>
    <t>0545-38-0100</t>
  </si>
  <si>
    <t>665-0042</t>
  </si>
  <si>
    <t>0797-71-2121</t>
  </si>
  <si>
    <t>0797-71-2125</t>
  </si>
  <si>
    <t>06-6266-0623</t>
  </si>
  <si>
    <t>06-6266-0690</t>
  </si>
  <si>
    <t>916-0124</t>
  </si>
  <si>
    <t>0778-34-0373</t>
  </si>
  <si>
    <t>0778-34-2549</t>
  </si>
  <si>
    <t>915-0052</t>
  </si>
  <si>
    <t>0778-22-7142</t>
  </si>
  <si>
    <t>0778-23-5363</t>
  </si>
  <si>
    <t>918-8024</t>
  </si>
  <si>
    <t>0776-36-1333</t>
  </si>
  <si>
    <t>0776-36-1330</t>
  </si>
  <si>
    <t>929-1173</t>
  </si>
  <si>
    <t>076-285-3311</t>
  </si>
  <si>
    <t>076-285-3310</t>
  </si>
  <si>
    <t>925-0001</t>
  </si>
  <si>
    <t>0767-27-1011</t>
  </si>
  <si>
    <t>0767-27-1179</t>
  </si>
  <si>
    <t>919-0614</t>
  </si>
  <si>
    <t>0776-73-7111</t>
  </si>
  <si>
    <t>0776-73-7128</t>
  </si>
  <si>
    <t>581-0027</t>
  </si>
  <si>
    <t>072-922-0407</t>
  </si>
  <si>
    <t>072-992-7281</t>
  </si>
  <si>
    <t>541-0046</t>
  </si>
  <si>
    <t>06-6231-1521</t>
  </si>
  <si>
    <t>06-6231-3692</t>
  </si>
  <si>
    <t>916-0016</t>
  </si>
  <si>
    <t>0778-52-3800</t>
  </si>
  <si>
    <t>0778-52-7962</t>
  </si>
  <si>
    <t>553-0003</t>
  </si>
  <si>
    <t>06-6451-2735</t>
  </si>
  <si>
    <t>06-6458-1292</t>
  </si>
  <si>
    <t>915-0844</t>
  </si>
  <si>
    <t>0778-23-6348</t>
  </si>
  <si>
    <t>0778-23-6322</t>
  </si>
  <si>
    <t>602-8058</t>
  </si>
  <si>
    <t>075-441-8171</t>
  </si>
  <si>
    <t>075-441-0359</t>
  </si>
  <si>
    <t>326-0141</t>
  </si>
  <si>
    <t>0284-63-1405</t>
  </si>
  <si>
    <t>0284-62-6880</t>
  </si>
  <si>
    <t>567-0895</t>
  </si>
  <si>
    <t>0726-32-5489</t>
  </si>
  <si>
    <t>0726-32-5460</t>
  </si>
  <si>
    <t>06-4964-6810</t>
  </si>
  <si>
    <t>06-4964-1198</t>
  </si>
  <si>
    <t>616-8045</t>
  </si>
  <si>
    <t>075-464-0555</t>
  </si>
  <si>
    <t>075-464-0051</t>
  </si>
  <si>
    <t>616-8015</t>
  </si>
  <si>
    <t>075-462-5053</t>
  </si>
  <si>
    <t>075-461-6608</t>
  </si>
  <si>
    <t>915-0024</t>
  </si>
  <si>
    <t>0778-27-1576</t>
  </si>
  <si>
    <t>563-0023</t>
  </si>
  <si>
    <t>072-761-2223</t>
  </si>
  <si>
    <t>072-761-2218</t>
  </si>
  <si>
    <t>616-8182</t>
  </si>
  <si>
    <t>075-882-4103</t>
  </si>
  <si>
    <t>075-861-5018</t>
  </si>
  <si>
    <t>526-0103</t>
  </si>
  <si>
    <t>0749-72-2481</t>
  </si>
  <si>
    <t>0749-72-3220</t>
  </si>
  <si>
    <t>929-1127</t>
  </si>
  <si>
    <t>076-283-3535</t>
  </si>
  <si>
    <t>076-283-5117</t>
  </si>
  <si>
    <t>923-0824</t>
  </si>
  <si>
    <t>0761-47-2020</t>
  </si>
  <si>
    <t>0761-47-3479</t>
  </si>
  <si>
    <t>621-0814</t>
  </si>
  <si>
    <t>0728-70-8866</t>
  </si>
  <si>
    <t>0728-72-3331</t>
  </si>
  <si>
    <t>611-0043</t>
  </si>
  <si>
    <t>0774-24-8629</t>
  </si>
  <si>
    <t>0774-24-862.9</t>
  </si>
  <si>
    <t>711-0903</t>
  </si>
  <si>
    <t>086-477-7700</t>
  </si>
  <si>
    <t>086-477-7789</t>
  </si>
  <si>
    <t>602-8443</t>
  </si>
  <si>
    <t>075-441-0366</t>
  </si>
  <si>
    <t>075-6448-8010</t>
  </si>
  <si>
    <t>541-0057</t>
  </si>
  <si>
    <t>06-6267</t>
  </si>
  <si>
    <t>500-8384</t>
  </si>
  <si>
    <t>0588-255-3755</t>
  </si>
  <si>
    <t>058-255-3756</t>
  </si>
  <si>
    <t>135-0007</t>
  </si>
  <si>
    <t>03-3635-3386</t>
  </si>
  <si>
    <t>03-3635-3385</t>
  </si>
  <si>
    <t>916-0073</t>
  </si>
  <si>
    <t>0778-62-1230</t>
  </si>
  <si>
    <t>0778-62-1281</t>
  </si>
  <si>
    <t>918-8018</t>
  </si>
  <si>
    <t>0776-36-7743</t>
  </si>
  <si>
    <t>0776-34-4151</t>
  </si>
  <si>
    <t>430-0943</t>
  </si>
  <si>
    <t>053-452-1177</t>
  </si>
  <si>
    <t>053-453-5598</t>
  </si>
  <si>
    <t>910-0854</t>
  </si>
  <si>
    <t>0776-24-3111</t>
  </si>
  <si>
    <t>0776-22-1422</t>
  </si>
  <si>
    <t>581-0055</t>
  </si>
  <si>
    <t>072-990-3577</t>
  </si>
  <si>
    <t>072-990-3588</t>
  </si>
  <si>
    <t>925-0005</t>
  </si>
  <si>
    <t>0767-22-4764</t>
  </si>
  <si>
    <t>0767-22-5939</t>
  </si>
  <si>
    <t>721-0000</t>
  </si>
  <si>
    <t>084-962-2137</t>
  </si>
  <si>
    <t>086-962-3345</t>
  </si>
  <si>
    <t>0284-62-2129</t>
  </si>
  <si>
    <t>0284-62-6469</t>
  </si>
  <si>
    <t>076-281-0632</t>
  </si>
  <si>
    <t>076-282-5856</t>
  </si>
  <si>
    <t>076-283-2131</t>
  </si>
  <si>
    <t>076-283-2130</t>
  </si>
  <si>
    <t>103-0013</t>
  </si>
  <si>
    <t>03-5652-0071</t>
  </si>
  <si>
    <t>03-3639-0711</t>
  </si>
  <si>
    <t>929-1121</t>
  </si>
  <si>
    <t>076-283-5111</t>
  </si>
  <si>
    <t>076-283-5112</t>
  </si>
  <si>
    <t>617-0814</t>
  </si>
  <si>
    <t>075-952-5415</t>
  </si>
  <si>
    <t>075-952-9591</t>
  </si>
  <si>
    <t>602-8465</t>
  </si>
  <si>
    <t>075-432-2131</t>
  </si>
  <si>
    <t>075-432-2138</t>
  </si>
  <si>
    <t>929-1172</t>
  </si>
  <si>
    <t>076-285-0285</t>
  </si>
  <si>
    <t>076-285-1648</t>
  </si>
  <si>
    <t>923-0983</t>
  </si>
  <si>
    <t>0761-43-0050</t>
  </si>
  <si>
    <t>0761-43-0061</t>
  </si>
  <si>
    <t>603-8376</t>
  </si>
  <si>
    <t>075-463-5370</t>
  </si>
  <si>
    <t>075-464-5353</t>
  </si>
  <si>
    <t>910-0235</t>
  </si>
  <si>
    <t>0776-66-0788</t>
  </si>
  <si>
    <t>0776-67-1589</t>
  </si>
  <si>
    <t>541-0059</t>
  </si>
  <si>
    <t>06-6252-6971</t>
  </si>
  <si>
    <t>06-6252-6972</t>
  </si>
  <si>
    <t>661-0033</t>
  </si>
  <si>
    <t>06-6438-7021</t>
  </si>
  <si>
    <t>06-6438-4641</t>
  </si>
  <si>
    <t>925-0123</t>
  </si>
  <si>
    <t>0767-36-1124</t>
  </si>
  <si>
    <t>0767-36-1358</t>
  </si>
  <si>
    <t>111-0051</t>
  </si>
  <si>
    <t>03-3862-3394</t>
  </si>
  <si>
    <t>03-3864-1419</t>
  </si>
  <si>
    <t>537-0021</t>
  </si>
  <si>
    <t>06-6974-0033</t>
  </si>
  <si>
    <t>06-6971-7789</t>
  </si>
  <si>
    <t>910-8586</t>
  </si>
  <si>
    <t>919-0603</t>
  </si>
  <si>
    <t>0776-73-0475</t>
  </si>
  <si>
    <t>0776-73-4137</t>
  </si>
  <si>
    <t>537-0025</t>
  </si>
  <si>
    <t>06-6981-4127</t>
  </si>
  <si>
    <t>06-6974-7842</t>
  </si>
  <si>
    <t>915-0253</t>
  </si>
  <si>
    <t>0778-43-1333</t>
  </si>
  <si>
    <t>0778-42-0841</t>
  </si>
  <si>
    <t>923-0865</t>
  </si>
  <si>
    <t>0761-23-0441</t>
  </si>
  <si>
    <t>0761-21-2376</t>
  </si>
  <si>
    <t>929-0327</t>
  </si>
  <si>
    <t>076-289-6996</t>
  </si>
  <si>
    <t>076-289-6971</t>
  </si>
  <si>
    <t>600-8171</t>
  </si>
  <si>
    <t>075-351-5079</t>
  </si>
  <si>
    <t>075-361-7038</t>
  </si>
  <si>
    <t>079-556-2389</t>
  </si>
  <si>
    <t>376-0002</t>
  </si>
  <si>
    <t>0277-44-5026</t>
  </si>
  <si>
    <t>0277-46-2019</t>
  </si>
  <si>
    <t>0284-63-1406</t>
  </si>
  <si>
    <t>0284-62-6886</t>
  </si>
  <si>
    <t>711-0931</t>
  </si>
  <si>
    <t>086-472-3106</t>
  </si>
  <si>
    <t>086-474-5008</t>
  </si>
  <si>
    <t>916-1115</t>
  </si>
  <si>
    <t>0778-65-1151</t>
  </si>
  <si>
    <t>0778-65-1189</t>
  </si>
  <si>
    <t>610-1146</t>
  </si>
  <si>
    <t>075-874-6715</t>
  </si>
  <si>
    <t>075-874-6745</t>
  </si>
  <si>
    <r>
      <rPr>
        <sz val="11"/>
        <rFont val="MS UI Gothic"/>
        <family val="3"/>
        <charset val="128"/>
      </rPr>
      <t>アイメックス販売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</si>
  <si>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大阪市中央区南船場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6-15</t>
    </r>
    <r>
      <rPr>
        <sz val="11"/>
        <rFont val="MS UI Gothic"/>
        <family val="3"/>
        <charset val="128"/>
      </rPr>
      <t>　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･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階</t>
    </r>
  </si>
  <si>
    <r>
      <rPr>
        <sz val="11"/>
        <rFont val="MS UI Gothic"/>
        <family val="3"/>
        <charset val="128"/>
      </rPr>
      <t>有限会社青山繊維加工</t>
    </r>
  </si>
  <si>
    <r>
      <rPr>
        <sz val="11"/>
        <rFont val="MS UI Gothic"/>
        <family val="3"/>
        <charset val="128"/>
      </rPr>
      <t>愛知県一宮市笹野</t>
    </r>
    <r>
      <rPr>
        <sz val="11"/>
        <rFont val="Times New Roman"/>
        <family val="1"/>
      </rPr>
      <t>24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</si>
  <si>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アゲハラベルベット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</si>
  <si>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1-5-6</t>
    </r>
  </si>
  <si>
    <r>
      <rPr>
        <sz val="11"/>
        <rFont val="MS UI Gothic"/>
        <family val="3"/>
        <charset val="128"/>
      </rPr>
      <t>浅田株式会社</t>
    </r>
  </si>
  <si>
    <r>
      <rPr>
        <sz val="11"/>
        <rFont val="MS UI Gothic"/>
        <family val="3"/>
        <charset val="128"/>
      </rPr>
      <t>大阪府大阪市中央区上本町西</t>
    </r>
    <r>
      <rPr>
        <sz val="11"/>
        <rFont val="Times New Roman"/>
        <family val="1"/>
      </rPr>
      <t>5-2-29</t>
    </r>
  </si>
  <si>
    <r>
      <rPr>
        <sz val="11"/>
        <rFont val="MS UI Gothic"/>
        <family val="3"/>
        <charset val="128"/>
      </rPr>
      <t>株式会社イノウエ</t>
    </r>
  </si>
  <si>
    <r>
      <rPr>
        <sz val="11"/>
        <rFont val="MS UI Gothic"/>
        <family val="3"/>
        <charset val="128"/>
      </rPr>
      <t>神奈川県相模原市緑区鳥屋</t>
    </r>
    <r>
      <rPr>
        <sz val="11"/>
        <rFont val="Times New Roman"/>
        <family val="1"/>
      </rPr>
      <t>750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 xml:space="preserve"> </t>
    </r>
  </si>
  <si>
    <r>
      <rPr>
        <sz val="11"/>
        <rFont val="MS UI Gothic"/>
        <family val="3"/>
        <charset val="128"/>
      </rPr>
      <t>株式会社イグチ</t>
    </r>
  </si>
  <si>
    <r>
      <rPr>
        <sz val="11"/>
        <rFont val="MS UI Gothic"/>
        <family val="3"/>
        <charset val="128"/>
      </rPr>
      <t>滋賀県彦根市東沼波町</t>
    </r>
    <r>
      <rPr>
        <sz val="11"/>
        <rFont val="Times New Roman"/>
        <family val="1"/>
      </rPr>
      <t>195-1</t>
    </r>
  </si>
  <si>
    <r>
      <rPr>
        <sz val="11"/>
        <rFont val="MS UI Gothic"/>
        <family val="3"/>
        <charset val="128"/>
      </rPr>
      <t>石川染工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</si>
  <si>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京都府京都市南区上鳥羽塔ノ森柴東町</t>
    </r>
    <r>
      <rPr>
        <sz val="11"/>
        <rFont val="Times New Roman"/>
        <family val="1"/>
      </rPr>
      <t xml:space="preserve"> 29-2</t>
    </r>
  </si>
  <si>
    <r>
      <rPr>
        <sz val="11"/>
        <rFont val="MS UI Gothic"/>
        <family val="3"/>
        <charset val="128"/>
      </rPr>
      <t>有限会社池田織物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</si>
  <si>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4-10-26</t>
    </r>
  </si>
  <si>
    <r>
      <rPr>
        <sz val="11"/>
        <rFont val="MS UI Gothic"/>
        <family val="3"/>
        <charset val="128"/>
      </rPr>
      <t>株式会社池田製紐所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</si>
  <si>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2-4-24</t>
    </r>
  </si>
  <si>
    <r>
      <rPr>
        <sz val="11"/>
        <rFont val="MS UI Gothic"/>
        <family val="3"/>
        <charset val="128"/>
      </rPr>
      <t>株式会社市川鉄工</t>
    </r>
  </si>
  <si>
    <r>
      <rPr>
        <sz val="11"/>
        <rFont val="MS UI Gothic"/>
        <family val="3"/>
        <charset val="128"/>
      </rPr>
      <t>群馬県みどり市笠懸町久宮</t>
    </r>
    <r>
      <rPr>
        <sz val="11"/>
        <rFont val="Times New Roman"/>
        <family val="1"/>
      </rPr>
      <t>364-1</t>
    </r>
  </si>
  <si>
    <r>
      <rPr>
        <sz val="11"/>
        <rFont val="MS UI Gothic"/>
        <family val="3"/>
        <charset val="128"/>
      </rPr>
      <t>京都府木津川市吐師郷和田</t>
    </r>
    <r>
      <rPr>
        <sz val="11"/>
        <rFont val="Times New Roman"/>
        <family val="1"/>
      </rPr>
      <t>10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</si>
  <si>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今立織物有限会社</t>
    </r>
  </si>
  <si>
    <r>
      <rPr>
        <sz val="11"/>
        <rFont val="MS UI Gothic"/>
        <family val="3"/>
        <charset val="128"/>
      </rPr>
      <t>福井県越前市東庄境町</t>
    </r>
    <r>
      <rPr>
        <sz val="11"/>
        <rFont val="Times New Roman"/>
        <family val="1"/>
      </rPr>
      <t>3-8</t>
    </r>
  </si>
  <si>
    <r>
      <rPr>
        <sz val="11"/>
        <rFont val="MS UI Gothic"/>
        <family val="3"/>
        <charset val="128"/>
      </rPr>
      <t>井上リボン工業株式会社</t>
    </r>
  </si>
  <si>
    <r>
      <rPr>
        <sz val="11"/>
        <rFont val="MS UI Gothic"/>
        <family val="3"/>
        <charset val="128"/>
      </rPr>
      <t>上田バイアス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</si>
  <si>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株式会社槍田繊維</t>
    </r>
  </si>
  <si>
    <r>
      <rPr>
        <sz val="11"/>
        <rFont val="MS UI Gothic"/>
        <family val="3"/>
        <charset val="128"/>
      </rPr>
      <t>福井県大飯郡高浜町薗部</t>
    </r>
    <r>
      <rPr>
        <sz val="11"/>
        <rFont val="Times New Roman"/>
        <family val="1"/>
      </rPr>
      <t>57-9</t>
    </r>
  </si>
  <si>
    <r>
      <rPr>
        <sz val="11"/>
        <rFont val="MS UI Gothic"/>
        <family val="3"/>
        <charset val="128"/>
      </rPr>
      <t>宇仁繊維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</si>
  <si>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6-12</t>
    </r>
  </si>
  <si>
    <r>
      <rPr>
        <sz val="11"/>
        <rFont val="MS UI Gothic"/>
        <family val="3"/>
        <charset val="128"/>
      </rPr>
      <t>マリオンタワー</t>
    </r>
    <r>
      <rPr>
        <sz val="11"/>
        <rFont val="Times New Roman"/>
        <family val="1"/>
      </rPr>
      <t>13F</t>
    </r>
  </si>
  <si>
    <r>
      <rPr>
        <sz val="11"/>
        <rFont val="MS UI Gothic"/>
        <family val="3"/>
        <charset val="128"/>
      </rPr>
      <t>宇野細巾株式会社</t>
    </r>
  </si>
  <si>
    <r>
      <rPr>
        <sz val="11"/>
        <rFont val="MS UI Gothic"/>
        <family val="3"/>
        <charset val="128"/>
      </rPr>
      <t>福井県越前市清根町</t>
    </r>
    <r>
      <rPr>
        <sz val="11"/>
        <rFont val="Times New Roman"/>
        <family val="1"/>
      </rPr>
      <t>25-6-1</t>
    </r>
  </si>
  <si>
    <r>
      <rPr>
        <sz val="11"/>
        <rFont val="MS UI Gothic"/>
        <family val="3"/>
        <charset val="128"/>
      </rPr>
      <t>株式会社浦瀬産業</t>
    </r>
  </si>
  <si>
    <r>
      <rPr>
        <sz val="11"/>
        <rFont val="MS UI Gothic"/>
        <family val="3"/>
        <charset val="128"/>
      </rPr>
      <t>京都府京都市北区紫竹西栗栖町</t>
    </r>
    <r>
      <rPr>
        <sz val="11"/>
        <rFont val="Times New Roman"/>
        <family val="1"/>
      </rPr>
      <t xml:space="preserve">5 </t>
    </r>
  </si>
  <si>
    <r>
      <rPr>
        <sz val="11"/>
        <rFont val="MS UI Gothic"/>
        <family val="3"/>
        <charset val="128"/>
      </rPr>
      <t>オージーテック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有限会社</t>
    </r>
  </si>
  <si>
    <r>
      <rPr>
        <sz val="11"/>
        <rFont val="MS UI Gothic"/>
        <family val="3"/>
        <charset val="128"/>
      </rPr>
      <t>エム繊維株式会社</t>
    </r>
  </si>
  <si>
    <r>
      <rPr>
        <sz val="11"/>
        <rFont val="MS UI Gothic"/>
        <family val="3"/>
        <charset val="128"/>
      </rPr>
      <t>石川県河北郡内灘町向粟崎</t>
    </r>
    <r>
      <rPr>
        <sz val="11"/>
        <rFont val="Times New Roman"/>
        <family val="1"/>
      </rPr>
      <t>5-243</t>
    </r>
  </si>
  <si>
    <r>
      <rPr>
        <sz val="11"/>
        <rFont val="MS UI Gothic"/>
        <family val="3"/>
        <charset val="128"/>
      </rPr>
      <t>太田製作所</t>
    </r>
  </si>
  <si>
    <r>
      <rPr>
        <sz val="11"/>
        <rFont val="MS UI Gothic"/>
        <family val="3"/>
        <charset val="128"/>
      </rPr>
      <t>大阪府吹田市岸部北</t>
    </r>
    <r>
      <rPr>
        <sz val="11"/>
        <rFont val="Times New Roman"/>
        <family val="1"/>
      </rPr>
      <t>3-6-22</t>
    </r>
  </si>
  <si>
    <r>
      <rPr>
        <sz val="11"/>
        <rFont val="MS UI Gothic"/>
        <family val="3"/>
        <charset val="128"/>
      </rPr>
      <t>落合レース株式会社</t>
    </r>
  </si>
  <si>
    <r>
      <rPr>
        <sz val="11"/>
        <rFont val="MS UI Gothic"/>
        <family val="3"/>
        <charset val="128"/>
      </rPr>
      <t>大阪府大阪市淀川区西中島</t>
    </r>
    <r>
      <rPr>
        <sz val="11"/>
        <rFont val="Times New Roman"/>
        <family val="1"/>
      </rPr>
      <t>2-6-21</t>
    </r>
  </si>
  <si>
    <r>
      <rPr>
        <sz val="11"/>
        <rFont val="MS UI Gothic"/>
        <family val="3"/>
        <charset val="128"/>
      </rPr>
      <t>有限会社沖野ファッション</t>
    </r>
  </si>
  <si>
    <r>
      <rPr>
        <sz val="11"/>
        <rFont val="MS UI Gothic"/>
        <family val="3"/>
        <charset val="128"/>
      </rPr>
      <t>石川県かほく市高松ナ</t>
    </r>
    <r>
      <rPr>
        <sz val="11"/>
        <rFont val="Times New Roman"/>
        <family val="1"/>
      </rPr>
      <t>116-1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</si>
  <si>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織元すみや</t>
    </r>
  </si>
  <si>
    <r>
      <rPr>
        <sz val="11"/>
        <rFont val="MS UI Gothic"/>
        <family val="3"/>
        <charset val="128"/>
      </rPr>
      <t>　　</t>
    </r>
  </si>
  <si>
    <r>
      <rPr>
        <sz val="11"/>
        <rFont val="MS UI Gothic"/>
        <family val="3"/>
        <charset val="128"/>
      </rPr>
      <t>カツミ産業株式会社</t>
    </r>
  </si>
  <si>
    <r>
      <rPr>
        <sz val="11"/>
        <rFont val="MS UI Gothic"/>
        <family val="3"/>
        <charset val="128"/>
      </rPr>
      <t>大阪府堺市北区八下北</t>
    </r>
    <r>
      <rPr>
        <sz val="11"/>
        <rFont val="Times New Roman"/>
        <family val="1"/>
      </rPr>
      <t>2-51</t>
    </r>
  </si>
  <si>
    <r>
      <rPr>
        <sz val="11"/>
        <rFont val="MS UI Gothic"/>
        <family val="3"/>
        <charset val="128"/>
      </rPr>
      <t>川崎リボン工業株式会社</t>
    </r>
  </si>
  <si>
    <r>
      <rPr>
        <sz val="11"/>
        <rFont val="MS UI Gothic"/>
        <family val="3"/>
        <charset val="128"/>
      </rPr>
      <t>福井県福井市志比口</t>
    </r>
    <r>
      <rPr>
        <sz val="11"/>
        <rFont val="Times New Roman"/>
        <family val="1"/>
      </rPr>
      <t>2-1-15</t>
    </r>
  </si>
  <si>
    <r>
      <rPr>
        <sz val="11"/>
        <rFont val="MS UI Gothic"/>
        <family val="3"/>
        <charset val="128"/>
      </rPr>
      <t>川村製紐工業株式会社</t>
    </r>
  </si>
  <si>
    <r>
      <rPr>
        <sz val="11"/>
        <rFont val="MS UI Gothic"/>
        <family val="3"/>
        <charset val="128"/>
      </rPr>
      <t>岐阜県多治見市白山町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</si>
  <si>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関西アサヒ株式会社</t>
    </r>
  </si>
  <si>
    <r>
      <rPr>
        <sz val="11"/>
        <rFont val="MS UI Gothic"/>
        <family val="3"/>
        <charset val="128"/>
      </rPr>
      <t>大阪府大阪市天王寺区上汐</t>
    </r>
    <r>
      <rPr>
        <sz val="11"/>
        <rFont val="Times New Roman"/>
        <family val="1"/>
      </rPr>
      <t>5-1-1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</si>
  <si>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カンダ</t>
    </r>
  </si>
  <si>
    <r>
      <rPr>
        <sz val="11"/>
        <rFont val="MS UI Gothic"/>
        <family val="3"/>
        <charset val="128"/>
      </rPr>
      <t>　</t>
    </r>
  </si>
  <si>
    <r>
      <rPr>
        <sz val="11"/>
        <rFont val="MS UI Gothic"/>
        <family val="3"/>
        <charset val="128"/>
      </rPr>
      <t>キンキテープ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</si>
  <si>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(3464)</t>
    </r>
  </si>
  <si>
    <r>
      <rPr>
        <sz val="11"/>
        <rFont val="MS UI Gothic"/>
        <family val="3"/>
        <charset val="128"/>
      </rPr>
      <t>石川県かほく市木津ハ</t>
    </r>
    <r>
      <rPr>
        <sz val="11"/>
        <rFont val="Times New Roman"/>
        <family val="1"/>
      </rPr>
      <t>41-2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</si>
  <si>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(3150</t>
    </r>
    <r>
      <rPr>
        <sz val="11"/>
        <rFont val="MS UI Gothic"/>
        <family val="3"/>
        <charset val="128"/>
      </rPr>
      <t>、</t>
    </r>
    <r>
      <rPr>
        <sz val="11"/>
        <rFont val="Times New Roman"/>
        <family val="1"/>
      </rPr>
      <t>3163)</t>
    </r>
  </si>
  <si>
    <r>
      <rPr>
        <sz val="11"/>
        <rFont val="MS UI Gothic"/>
        <family val="3"/>
        <charset val="128"/>
      </rPr>
      <t>木津織物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</si>
  <si>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福井県越前市西庄境町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</si>
  <si>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キョウトテックス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</si>
  <si>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京都府京都市伏見区深草小久保町</t>
    </r>
    <r>
      <rPr>
        <sz val="11"/>
        <rFont val="Times New Roman"/>
        <family val="1"/>
      </rPr>
      <t>367</t>
    </r>
  </si>
  <si>
    <r>
      <rPr>
        <sz val="11"/>
        <rFont val="MS UI Gothic"/>
        <family val="3"/>
        <charset val="128"/>
      </rPr>
      <t>協和レース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</si>
  <si>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クボリキレース</t>
    </r>
  </si>
  <si>
    <r>
      <rPr>
        <sz val="11"/>
        <rFont val="MS UI Gothic"/>
        <family val="3"/>
        <charset val="128"/>
      </rPr>
      <t>滋賀県守山市下之郷</t>
    </r>
    <r>
      <rPr>
        <sz val="11"/>
        <rFont val="Times New Roman"/>
        <family val="1"/>
      </rPr>
      <t>3-8-6</t>
    </r>
  </si>
  <si>
    <r>
      <rPr>
        <sz val="11"/>
        <rFont val="MS UI Gothic"/>
        <family val="3"/>
        <charset val="128"/>
      </rPr>
      <t>ホームアシスタントクローバ</t>
    </r>
  </si>
  <si>
    <r>
      <rPr>
        <sz val="11"/>
        <rFont val="MS UI Gothic"/>
        <family val="3"/>
        <charset val="128"/>
      </rPr>
      <t>滋賀県東近江市五個荘中町</t>
    </r>
    <r>
      <rPr>
        <sz val="11"/>
        <rFont val="Times New Roman"/>
        <family val="1"/>
      </rPr>
      <t>67</t>
    </r>
  </si>
  <si>
    <r>
      <rPr>
        <sz val="11"/>
        <rFont val="MS UI Gothic"/>
        <family val="3"/>
        <charset val="128"/>
      </rPr>
      <t>黒川ウェーブ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</si>
  <si>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石川県かほく市高松テ</t>
    </r>
    <r>
      <rPr>
        <sz val="11"/>
        <rFont val="Times New Roman"/>
        <family val="1"/>
      </rPr>
      <t>8-1</t>
    </r>
  </si>
  <si>
    <r>
      <rPr>
        <sz val="11"/>
        <rFont val="MS UI Gothic"/>
        <family val="3"/>
        <charset val="128"/>
      </rPr>
      <t>宏和産業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</si>
  <si>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国際文化ﾈｰﾑ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</si>
  <si>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東京都品川区東五反田</t>
    </r>
    <r>
      <rPr>
        <sz val="11"/>
        <rFont val="Times New Roman"/>
        <family val="1"/>
      </rPr>
      <t>5-27-10</t>
    </r>
  </si>
  <si>
    <r>
      <rPr>
        <sz val="11"/>
        <rFont val="MS UI Gothic"/>
        <family val="3"/>
        <charset val="128"/>
      </rPr>
      <t>野村ビル</t>
    </r>
    <r>
      <rPr>
        <sz val="11"/>
        <rFont val="Times New Roman"/>
        <family val="1"/>
      </rPr>
      <t>2F</t>
    </r>
  </si>
  <si>
    <r>
      <rPr>
        <sz val="11"/>
        <rFont val="MS UI Gothic"/>
        <family val="3"/>
        <charset val="128"/>
      </rPr>
      <t>小杉染色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</si>
  <si>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京都市南区久世中久世町</t>
    </r>
    <r>
      <rPr>
        <sz val="11"/>
        <rFont val="Times New Roman"/>
        <family val="1"/>
      </rPr>
      <t xml:space="preserve"> 5-69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</si>
  <si>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小西リボン</t>
    </r>
  </si>
  <si>
    <r>
      <rPr>
        <sz val="11"/>
        <rFont val="MS UI Gothic"/>
        <family val="3"/>
        <charset val="128"/>
      </rPr>
      <t>京都府京都市上京区仲之町（元誓</t>
    </r>
  </si>
  <si>
    <r>
      <rPr>
        <sz val="11"/>
        <rFont val="MS UI Gothic"/>
        <family val="3"/>
        <charset val="128"/>
      </rPr>
      <t>願寺通堀川東入）</t>
    </r>
    <r>
      <rPr>
        <sz val="11"/>
        <rFont val="Times New Roman"/>
        <family val="1"/>
      </rPr>
      <t>463</t>
    </r>
  </si>
  <si>
    <r>
      <rPr>
        <sz val="11"/>
        <rFont val="MS UI Gothic"/>
        <family val="3"/>
        <charset val="128"/>
      </rPr>
      <t>小堀リボン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</si>
  <si>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こるどん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</si>
  <si>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静岡県富士市神谷</t>
    </r>
    <r>
      <rPr>
        <sz val="11"/>
        <rFont val="Times New Roman"/>
        <family val="1"/>
      </rPr>
      <t>819</t>
    </r>
  </si>
  <si>
    <r>
      <rPr>
        <sz val="11"/>
        <rFont val="MS UI Gothic"/>
        <family val="3"/>
        <charset val="128"/>
      </rPr>
      <t>栄レース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</si>
  <si>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兵庫県宝塚市美幸町</t>
    </r>
    <r>
      <rPr>
        <sz val="11"/>
        <rFont val="Times New Roman"/>
        <family val="1"/>
      </rPr>
      <t>10-51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</si>
  <si>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</si>
  <si>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4F</t>
    </r>
  </si>
  <si>
    <r>
      <rPr>
        <sz val="11"/>
        <rFont val="MS UI Gothic"/>
        <family val="3"/>
        <charset val="128"/>
      </rPr>
      <t>佐々木細幅織物株式会社</t>
    </r>
  </si>
  <si>
    <r>
      <rPr>
        <sz val="11"/>
        <rFont val="MS UI Gothic"/>
        <family val="3"/>
        <charset val="128"/>
      </rPr>
      <t>福井県丹生郡越前町宝泉寺</t>
    </r>
    <r>
      <rPr>
        <sz val="11"/>
        <rFont val="Times New Roman"/>
        <family val="1"/>
      </rPr>
      <t>22-8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</si>
  <si>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山英</t>
    </r>
  </si>
  <si>
    <r>
      <rPr>
        <sz val="11"/>
        <rFont val="MS UI Gothic"/>
        <family val="3"/>
        <charset val="128"/>
      </rPr>
      <t>福井県越前市矢放町</t>
    </r>
    <r>
      <rPr>
        <sz val="11"/>
        <rFont val="Times New Roman"/>
        <family val="1"/>
      </rPr>
      <t>10-15-1</t>
    </r>
  </si>
  <si>
    <r>
      <rPr>
        <sz val="11"/>
        <rFont val="MS UI Gothic"/>
        <family val="3"/>
        <charset val="128"/>
      </rPr>
      <t>三和繊維株式会社</t>
    </r>
  </si>
  <si>
    <r>
      <rPr>
        <sz val="11"/>
        <rFont val="MS UI Gothic"/>
        <family val="3"/>
        <charset val="128"/>
      </rPr>
      <t>福井県福井市舞屋町</t>
    </r>
    <r>
      <rPr>
        <sz val="11"/>
        <rFont val="Times New Roman"/>
        <family val="1"/>
      </rPr>
      <t>15-11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</si>
  <si>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シオモト製紐</t>
    </r>
  </si>
  <si>
    <r>
      <rPr>
        <sz val="11"/>
        <rFont val="MS UI Gothic"/>
        <family val="3"/>
        <charset val="128"/>
      </rPr>
      <t>石川県かほく市遠塚ロ</t>
    </r>
    <r>
      <rPr>
        <sz val="11"/>
        <rFont val="Times New Roman"/>
        <family val="1"/>
      </rPr>
      <t>36-17</t>
    </r>
  </si>
  <si>
    <r>
      <rPr>
        <sz val="11"/>
        <rFont val="MS UI Gothic"/>
        <family val="3"/>
        <charset val="128"/>
      </rPr>
      <t>柴垣織物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</si>
  <si>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羽咋市柴垣町砂山１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</si>
  <si>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SHINDO</t>
    </r>
  </si>
  <si>
    <r>
      <rPr>
        <sz val="11"/>
        <rFont val="MS UI Gothic"/>
        <family val="3"/>
        <charset val="128"/>
      </rPr>
      <t>福井県あわら市伊井</t>
    </r>
    <r>
      <rPr>
        <sz val="11"/>
        <rFont val="Times New Roman"/>
        <family val="1"/>
      </rPr>
      <t>11-1-1</t>
    </r>
  </si>
  <si>
    <r>
      <rPr>
        <sz val="11"/>
        <rFont val="MS UI Gothic"/>
        <family val="3"/>
        <charset val="128"/>
      </rPr>
      <t>株式会社スギタ</t>
    </r>
  </si>
  <si>
    <r>
      <rPr>
        <sz val="11"/>
        <rFont val="MS UI Gothic"/>
        <family val="3"/>
        <charset val="128"/>
      </rPr>
      <t>大阪府八尾市八尾木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230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</si>
  <si>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双日ファッション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</si>
  <si>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大阪市中央区平野町</t>
    </r>
    <r>
      <rPr>
        <sz val="11"/>
        <rFont val="Times New Roman"/>
        <family val="1"/>
      </rPr>
      <t xml:space="preserve"> 2-1-2</t>
    </r>
  </si>
  <si>
    <r>
      <rPr>
        <sz val="11"/>
        <rFont val="MS UI Gothic"/>
        <family val="3"/>
        <charset val="128"/>
      </rPr>
      <t>高島リボン株式会社</t>
    </r>
  </si>
  <si>
    <r>
      <rPr>
        <sz val="11"/>
        <rFont val="MS UI Gothic"/>
        <family val="3"/>
        <charset val="128"/>
      </rPr>
      <t>福井県鯖江市神中町</t>
    </r>
    <r>
      <rPr>
        <sz val="11"/>
        <rFont val="Times New Roman"/>
        <family val="1"/>
      </rPr>
      <t>2-6-36</t>
    </r>
  </si>
  <si>
    <r>
      <rPr>
        <sz val="11"/>
        <rFont val="MS UI Gothic"/>
        <family val="3"/>
        <charset val="128"/>
      </rPr>
      <t>高島ﾘﾎﾞﾝ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</si>
  <si>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武正株式会社</t>
    </r>
  </si>
  <si>
    <r>
      <rPr>
        <sz val="11"/>
        <rFont val="MS UI Gothic"/>
        <family val="3"/>
        <charset val="128"/>
      </rPr>
      <t>大阪府大阪市福島区福島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</si>
  <si>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ダイソセンイ株式会社</t>
    </r>
  </si>
  <si>
    <r>
      <rPr>
        <sz val="11"/>
        <rFont val="MS UI Gothic"/>
        <family val="3"/>
        <charset val="128"/>
      </rPr>
      <t>福井県越前市妙法寺町</t>
    </r>
    <r>
      <rPr>
        <sz val="11"/>
        <rFont val="Times New Roman"/>
        <family val="1"/>
      </rPr>
      <t>21-1-1</t>
    </r>
  </si>
  <si>
    <r>
      <rPr>
        <sz val="11"/>
        <rFont val="MS UI Gothic"/>
        <family val="3"/>
        <charset val="128"/>
      </rPr>
      <t>大一株式会社</t>
    </r>
  </si>
  <si>
    <r>
      <rPr>
        <sz val="11"/>
        <rFont val="MS UI Gothic"/>
        <family val="3"/>
        <charset val="128"/>
      </rPr>
      <t>京都府京都市上京区上長者町通東</t>
    </r>
  </si>
  <si>
    <r>
      <rPr>
        <sz val="11"/>
        <rFont val="MS UI Gothic"/>
        <family val="3"/>
        <charset val="128"/>
      </rPr>
      <t>株式会社大定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</si>
  <si>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859-1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</si>
  <si>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つむぎプラン</t>
    </r>
  </si>
  <si>
    <r>
      <rPr>
        <sz val="11"/>
        <rFont val="MS UI Gothic"/>
        <family val="3"/>
        <charset val="128"/>
      </rPr>
      <t>敦賀繊維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</si>
  <si>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中越ﾚｰｽ工業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</si>
  <si>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ティーワイ通商</t>
    </r>
  </si>
  <si>
    <r>
      <rPr>
        <sz val="11"/>
        <rFont val="MS UI Gothic"/>
        <family val="3"/>
        <charset val="128"/>
      </rPr>
      <t>大阪府茨木市玉櫛</t>
    </r>
    <r>
      <rPr>
        <sz val="11"/>
        <rFont val="Times New Roman"/>
        <family val="1"/>
      </rPr>
      <t>2-17-21</t>
    </r>
  </si>
  <si>
    <r>
      <rPr>
        <sz val="11"/>
        <rFont val="MS UI Gothic"/>
        <family val="3"/>
        <charset val="128"/>
      </rPr>
      <t>同興商事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</si>
  <si>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トーホー株式会社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</si>
  <si>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2-1-6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</si>
  <si>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11F</t>
    </r>
  </si>
  <si>
    <r>
      <rPr>
        <sz val="11"/>
        <rFont val="MS UI Gothic"/>
        <family val="3"/>
        <charset val="128"/>
      </rPr>
      <t>株式会社堂本</t>
    </r>
  </si>
  <si>
    <r>
      <rPr>
        <sz val="11"/>
        <rFont val="MS UI Gothic"/>
        <family val="3"/>
        <charset val="128"/>
      </rPr>
      <t>京都府京都市右京区花園内畑町</t>
    </r>
    <r>
      <rPr>
        <sz val="11"/>
        <rFont val="Times New Roman"/>
        <family val="1"/>
      </rPr>
      <t>10</t>
    </r>
  </si>
  <si>
    <r>
      <rPr>
        <sz val="11"/>
        <rFont val="MS UI Gothic"/>
        <family val="3"/>
        <charset val="128"/>
      </rPr>
      <t>堂本製紐工業株式会社</t>
    </r>
  </si>
  <si>
    <r>
      <rPr>
        <sz val="11"/>
        <rFont val="MS UI Gothic"/>
        <family val="3"/>
        <charset val="128"/>
      </rPr>
      <t>京都府京都市右京区谷口園町</t>
    </r>
    <r>
      <rPr>
        <sz val="11"/>
        <rFont val="Times New Roman"/>
        <family val="1"/>
      </rPr>
      <t>24</t>
    </r>
  </si>
  <si>
    <r>
      <rPr>
        <sz val="11"/>
        <rFont val="MS UI Gothic"/>
        <family val="3"/>
        <charset val="128"/>
      </rPr>
      <t>株式会社土本トリミング</t>
    </r>
  </si>
  <si>
    <r>
      <rPr>
        <sz val="11"/>
        <rFont val="MS UI Gothic"/>
        <family val="3"/>
        <charset val="128"/>
      </rPr>
      <t>福井県越前市上大坪町</t>
    </r>
    <r>
      <rPr>
        <sz val="11"/>
        <rFont val="Times New Roman"/>
        <family val="1"/>
      </rPr>
      <t>18-43-1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</si>
  <si>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トリムコ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</si>
  <si>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トリムレース</t>
    </r>
  </si>
  <si>
    <r>
      <rPr>
        <sz val="11"/>
        <rFont val="MS UI Gothic"/>
        <family val="3"/>
        <charset val="128"/>
      </rPr>
      <t>池田市井口堂</t>
    </r>
    <r>
      <rPr>
        <sz val="11"/>
        <rFont val="Times New Roman"/>
        <family val="1"/>
      </rPr>
      <t xml:space="preserve"> 3-10-29</t>
    </r>
  </si>
  <si>
    <r>
      <rPr>
        <sz val="11"/>
        <rFont val="MS UI Gothic"/>
        <family val="3"/>
        <charset val="128"/>
      </rPr>
      <t>株式会社内藤レース</t>
    </r>
  </si>
  <si>
    <r>
      <rPr>
        <sz val="11"/>
        <rFont val="MS UI Gothic"/>
        <family val="3"/>
        <charset val="128"/>
      </rPr>
      <t>京都府京都市右京区太秦北路町</t>
    </r>
    <r>
      <rPr>
        <sz val="11"/>
        <rFont val="Times New Roman"/>
        <family val="1"/>
      </rPr>
      <t>11</t>
    </r>
  </si>
  <si>
    <r>
      <rPr>
        <sz val="11"/>
        <rFont val="MS UI Gothic"/>
        <family val="3"/>
        <charset val="128"/>
      </rPr>
      <t>中川リボン株式会社</t>
    </r>
  </si>
  <si>
    <r>
      <rPr>
        <sz val="11"/>
        <rFont val="MS UI Gothic"/>
        <family val="3"/>
        <charset val="128"/>
      </rPr>
      <t>滋賀県長浜市曽根町</t>
    </r>
    <r>
      <rPr>
        <sz val="11"/>
        <rFont val="Times New Roman"/>
        <family val="1"/>
      </rPr>
      <t>1102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</si>
  <si>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中辻製紐</t>
    </r>
  </si>
  <si>
    <r>
      <rPr>
        <sz val="11"/>
        <rFont val="MS UI Gothic"/>
        <family val="3"/>
        <charset val="128"/>
      </rPr>
      <t>株式会社中村編織工業</t>
    </r>
  </si>
  <si>
    <r>
      <rPr>
        <sz val="11"/>
        <rFont val="MS UI Gothic"/>
        <family val="3"/>
        <charset val="128"/>
      </rPr>
      <t>石川県かほく市大崎リ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</si>
  <si>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中村商事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</si>
  <si>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中川産業株式会社</t>
    </r>
  </si>
  <si>
    <r>
      <rPr>
        <sz val="11"/>
        <rFont val="MS UI Gothic"/>
        <family val="3"/>
        <charset val="128"/>
      </rPr>
      <t>石川県小松市軽海町ラ</t>
    </r>
    <r>
      <rPr>
        <sz val="11"/>
        <rFont val="Times New Roman"/>
        <family val="1"/>
      </rPr>
      <t>19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</si>
  <si>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ナリカワ</t>
    </r>
  </si>
  <si>
    <r>
      <rPr>
        <sz val="11"/>
        <rFont val="MS UI Gothic"/>
        <family val="3"/>
        <charset val="128"/>
      </rPr>
      <t>株式会社西口製紐</t>
    </r>
  </si>
  <si>
    <r>
      <rPr>
        <sz val="11"/>
        <rFont val="MS UI Gothic"/>
        <family val="3"/>
        <charset val="128"/>
      </rPr>
      <t>京都府亀岡市三宅町</t>
    </r>
    <r>
      <rPr>
        <sz val="11"/>
        <rFont val="Times New Roman"/>
        <family val="1"/>
      </rPr>
      <t>28</t>
    </r>
  </si>
  <si>
    <r>
      <rPr>
        <sz val="11"/>
        <rFont val="MS UI Gothic"/>
        <family val="3"/>
        <charset val="128"/>
      </rPr>
      <t>西ジマ染工房</t>
    </r>
  </si>
  <si>
    <r>
      <rPr>
        <sz val="11"/>
        <rFont val="MS UI Gothic"/>
        <family val="3"/>
        <charset val="128"/>
      </rPr>
      <t>京都府宇治市伊勢田町</t>
    </r>
    <r>
      <rPr>
        <sz val="11"/>
        <rFont val="Times New Roman"/>
        <family val="1"/>
      </rPr>
      <t>37-38</t>
    </r>
  </si>
  <si>
    <r>
      <rPr>
        <sz val="11"/>
        <rFont val="MS UI Gothic"/>
        <family val="3"/>
        <charset val="128"/>
      </rPr>
      <t>西中製紐株式会社</t>
    </r>
  </si>
  <si>
    <r>
      <rPr>
        <sz val="11"/>
        <rFont val="MS UI Gothic"/>
        <family val="3"/>
        <charset val="128"/>
      </rPr>
      <t>岡山県倉敷市児島田の口</t>
    </r>
    <r>
      <rPr>
        <sz val="11"/>
        <rFont val="Times New Roman"/>
        <family val="1"/>
      </rPr>
      <t>4-9-36</t>
    </r>
  </si>
  <si>
    <r>
      <rPr>
        <sz val="11"/>
        <rFont val="MS UI Gothic"/>
        <family val="3"/>
        <charset val="128"/>
      </rPr>
      <t>ﾘﾘｰﾚｰｽ･ｲﾝﾀｰﾅｼｮﾅﾙ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</si>
  <si>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京都府京都市上京区元妙蓮寺町</t>
    </r>
  </si>
  <si>
    <r>
      <rPr>
        <sz val="11"/>
        <rFont val="MS UI Gothic"/>
        <family val="3"/>
        <charset val="128"/>
      </rPr>
      <t>ニッシントーア・岩尾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</si>
  <si>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日清紡テキスタイル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</si>
  <si>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大阪府大阪市中央区北久宝寺町</t>
    </r>
    <r>
      <rPr>
        <sz val="11"/>
        <rFont val="Times New Roman"/>
        <family val="1"/>
      </rPr>
      <t>2-4-2</t>
    </r>
  </si>
  <si>
    <r>
      <rPr>
        <sz val="11"/>
        <rFont val="MS UI Gothic"/>
        <family val="3"/>
        <charset val="128"/>
      </rPr>
      <t>西田マーク</t>
    </r>
  </si>
  <si>
    <r>
      <rPr>
        <sz val="11"/>
        <rFont val="MS UI Gothic"/>
        <family val="3"/>
        <charset val="128"/>
      </rPr>
      <t>岐阜県岐阜市薮田南</t>
    </r>
    <r>
      <rPr>
        <sz val="11"/>
        <rFont val="Times New Roman"/>
        <family val="1"/>
      </rPr>
      <t>7-6</t>
    </r>
  </si>
  <si>
    <r>
      <rPr>
        <sz val="11"/>
        <rFont val="MS UI Gothic"/>
        <family val="3"/>
        <charset val="128"/>
      </rPr>
      <t>株式会社ハシモト</t>
    </r>
  </si>
  <si>
    <r>
      <rPr>
        <sz val="11"/>
        <rFont val="MS UI Gothic"/>
        <family val="3"/>
        <charset val="128"/>
      </rPr>
      <t>東京都江東区新大橋</t>
    </r>
    <r>
      <rPr>
        <sz val="11"/>
        <rFont val="Times New Roman"/>
        <family val="1"/>
      </rPr>
      <t>2-19-9</t>
    </r>
  </si>
  <si>
    <r>
      <rPr>
        <sz val="11"/>
        <rFont val="MS UI Gothic"/>
        <family val="3"/>
        <charset val="128"/>
      </rPr>
      <t>橋本純織物工場</t>
    </r>
  </si>
  <si>
    <r>
      <rPr>
        <sz val="11"/>
        <rFont val="MS UI Gothic"/>
        <family val="3"/>
        <charset val="128"/>
      </rPr>
      <t>福井県鯖江市下野田町</t>
    </r>
    <r>
      <rPr>
        <sz val="11"/>
        <rFont val="Times New Roman"/>
        <family val="1"/>
      </rPr>
      <t>37-16-2</t>
    </r>
  </si>
  <si>
    <r>
      <rPr>
        <sz val="11"/>
        <rFont val="MS UI Gothic"/>
        <family val="3"/>
        <charset val="128"/>
      </rPr>
      <t>畑岡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</si>
  <si>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HACHIYA</t>
    </r>
  </si>
  <si>
    <r>
      <rPr>
        <sz val="11"/>
        <rFont val="MS UI Gothic"/>
        <family val="3"/>
        <charset val="128"/>
      </rPr>
      <t>福井県福井市大島</t>
    </r>
    <r>
      <rPr>
        <sz val="11"/>
        <rFont val="Times New Roman"/>
        <family val="1"/>
      </rPr>
      <t>3-4</t>
    </r>
  </si>
  <si>
    <r>
      <rPr>
        <sz val="11"/>
        <rFont val="MS UI Gothic"/>
        <family val="3"/>
        <charset val="128"/>
      </rPr>
      <t>八田経編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</si>
  <si>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浜松テープ株式会社</t>
    </r>
  </si>
  <si>
    <r>
      <rPr>
        <sz val="11"/>
        <rFont val="MS UI Gothic"/>
        <family val="3"/>
        <charset val="128"/>
      </rPr>
      <t>静岡県浜松市中区北田町</t>
    </r>
    <r>
      <rPr>
        <sz val="11"/>
        <rFont val="Times New Roman"/>
        <family val="1"/>
      </rPr>
      <t>139-25</t>
    </r>
  </si>
  <si>
    <r>
      <rPr>
        <sz val="11"/>
        <rFont val="MS UI Gothic"/>
        <family val="3"/>
        <charset val="128"/>
      </rPr>
      <t>ひかり商事㈱</t>
    </r>
  </si>
  <si>
    <r>
      <rPr>
        <sz val="11"/>
        <rFont val="MS UI Gothic"/>
        <family val="3"/>
        <charset val="128"/>
      </rPr>
      <t>福井市御幸</t>
    </r>
    <r>
      <rPr>
        <sz val="11"/>
        <rFont val="Times New Roman"/>
        <family val="1"/>
      </rPr>
      <t xml:space="preserve"> 4-21-10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</si>
  <si>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ヒバリ</t>
    </r>
  </si>
  <si>
    <r>
      <rPr>
        <sz val="11"/>
        <rFont val="MS UI Gothic"/>
        <family val="3"/>
        <charset val="128"/>
      </rPr>
      <t>八尾市跡部南の町</t>
    </r>
    <r>
      <rPr>
        <sz val="11"/>
        <rFont val="Times New Roman"/>
        <family val="1"/>
      </rPr>
      <t xml:space="preserve"> 1-2-13</t>
    </r>
  </si>
  <si>
    <r>
      <rPr>
        <sz val="11"/>
        <rFont val="MS UI Gothic"/>
        <family val="3"/>
        <charset val="128"/>
      </rPr>
      <t>株式会社紐屋</t>
    </r>
  </si>
  <si>
    <r>
      <rPr>
        <sz val="11"/>
        <rFont val="MS UI Gothic"/>
        <family val="3"/>
        <charset val="128"/>
      </rPr>
      <t>石川県羽咋市滝町イ</t>
    </r>
    <r>
      <rPr>
        <sz val="11"/>
        <rFont val="Times New Roman"/>
        <family val="1"/>
      </rPr>
      <t>94-1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</si>
  <si>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ファニー</t>
    </r>
  </si>
  <si>
    <r>
      <rPr>
        <sz val="11"/>
        <rFont val="MS UI Gothic"/>
        <family val="3"/>
        <charset val="128"/>
      </rPr>
      <t>藤井細巾織物有限会社</t>
    </r>
  </si>
  <si>
    <r>
      <rPr>
        <sz val="11"/>
        <rFont val="MS UI Gothic"/>
        <family val="3"/>
        <charset val="128"/>
      </rPr>
      <t>広島県福山市神辺町大字川南</t>
    </r>
    <r>
      <rPr>
        <sz val="11"/>
        <rFont val="Times New Roman"/>
        <family val="1"/>
      </rPr>
      <t>2975</t>
    </r>
  </si>
  <si>
    <r>
      <rPr>
        <sz val="11"/>
        <rFont val="MS UI Gothic"/>
        <family val="3"/>
        <charset val="128"/>
      </rPr>
      <t>双葉ﾚｰｽ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</si>
  <si>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二渡レース株式会社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</si>
  <si>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1462-5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</si>
  <si>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二口製紐</t>
    </r>
  </si>
  <si>
    <r>
      <rPr>
        <sz val="11"/>
        <rFont val="MS UI Gothic"/>
        <family val="3"/>
        <charset val="128"/>
      </rPr>
      <t>石川県かほく市高松サ</t>
    </r>
    <r>
      <rPr>
        <sz val="11"/>
        <rFont val="Times New Roman"/>
        <family val="1"/>
      </rPr>
      <t>49-66</t>
    </r>
  </si>
  <si>
    <r>
      <rPr>
        <sz val="11"/>
        <rFont val="MS UI Gothic"/>
        <family val="3"/>
        <charset val="128"/>
      </rPr>
      <t>鮒田産業株式会社</t>
    </r>
  </si>
  <si>
    <r>
      <rPr>
        <sz val="11"/>
        <rFont val="MS UI Gothic"/>
        <family val="3"/>
        <charset val="128"/>
      </rPr>
      <t>石川県かほく市大崎ロ</t>
    </r>
    <r>
      <rPr>
        <sz val="11"/>
        <rFont val="Times New Roman"/>
        <family val="1"/>
      </rPr>
      <t>75-1</t>
    </r>
  </si>
  <si>
    <r>
      <rPr>
        <sz val="11"/>
        <rFont val="MS UI Gothic"/>
        <family val="3"/>
        <charset val="128"/>
      </rPr>
      <t>フロリア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</si>
  <si>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東京都中央区日本橋人形町</t>
    </r>
    <r>
      <rPr>
        <sz val="11"/>
        <rFont val="Times New Roman"/>
        <family val="1"/>
      </rPr>
      <t>1-2-6</t>
    </r>
  </si>
  <si>
    <r>
      <rPr>
        <sz val="11"/>
        <rFont val="MS UI Gothic"/>
        <family val="3"/>
        <charset val="128"/>
      </rPr>
      <t>サイボービル</t>
    </r>
    <r>
      <rPr>
        <sz val="11"/>
        <rFont val="Times New Roman"/>
        <family val="1"/>
      </rPr>
      <t>7F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</si>
  <si>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ポケット</t>
    </r>
  </si>
  <si>
    <r>
      <rPr>
        <sz val="11"/>
        <rFont val="MS UI Gothic"/>
        <family val="3"/>
        <charset val="128"/>
      </rPr>
      <t>北陸ウェブ株式会社</t>
    </r>
  </si>
  <si>
    <r>
      <rPr>
        <sz val="11"/>
        <rFont val="MS UI Gothic"/>
        <family val="3"/>
        <charset val="128"/>
      </rPr>
      <t>石川県かほく市宇気ソ</t>
    </r>
    <r>
      <rPr>
        <sz val="11"/>
        <rFont val="Times New Roman"/>
        <family val="1"/>
      </rPr>
      <t>-6-2</t>
    </r>
  </si>
  <si>
    <r>
      <rPr>
        <sz val="11"/>
        <rFont val="MS UI Gothic"/>
        <family val="3"/>
        <charset val="128"/>
      </rPr>
      <t>有限会社丸将</t>
    </r>
  </si>
  <si>
    <r>
      <rPr>
        <sz val="11"/>
        <rFont val="MS UI Gothic"/>
        <family val="3"/>
        <charset val="128"/>
      </rPr>
      <t>京都府長岡京市今里</t>
    </r>
    <r>
      <rPr>
        <sz val="11"/>
        <rFont val="Times New Roman"/>
        <family val="1"/>
      </rPr>
      <t>22-28</t>
    </r>
  </si>
  <si>
    <r>
      <rPr>
        <sz val="11"/>
        <rFont val="MS UI Gothic"/>
        <family val="3"/>
        <charset val="128"/>
      </rPr>
      <t>株式会社丸進</t>
    </r>
  </si>
  <si>
    <r>
      <rPr>
        <sz val="11"/>
        <rFont val="MS UI Gothic"/>
        <family val="3"/>
        <charset val="128"/>
      </rPr>
      <t>京都府京都市上京区松屋町</t>
    </r>
  </si>
  <si>
    <r>
      <rPr>
        <sz val="11"/>
        <rFont val="MS UI Gothic"/>
        <family val="3"/>
        <charset val="128"/>
      </rPr>
      <t>株式会社万喜</t>
    </r>
  </si>
  <si>
    <r>
      <rPr>
        <sz val="11"/>
        <rFont val="MS UI Gothic"/>
        <family val="3"/>
        <charset val="128"/>
      </rPr>
      <t>石川県かほく市松浜イ</t>
    </r>
    <r>
      <rPr>
        <sz val="11"/>
        <rFont val="Times New Roman"/>
        <family val="1"/>
      </rPr>
      <t xml:space="preserve"> 31-1</t>
    </r>
  </si>
  <si>
    <r>
      <rPr>
        <sz val="11"/>
        <rFont val="MS UI Gothic"/>
        <family val="3"/>
        <charset val="128"/>
      </rPr>
      <t>南出リボン工業</t>
    </r>
  </si>
  <si>
    <r>
      <rPr>
        <sz val="11"/>
        <rFont val="MS UI Gothic"/>
        <family val="3"/>
        <charset val="128"/>
      </rPr>
      <t>石川県小松市日末町と</t>
    </r>
    <r>
      <rPr>
        <sz val="11"/>
        <rFont val="Times New Roman"/>
        <family val="1"/>
      </rPr>
      <t>6-2</t>
    </r>
  </si>
  <si>
    <r>
      <rPr>
        <sz val="11"/>
        <rFont val="MS UI Gothic"/>
        <family val="3"/>
        <charset val="128"/>
      </rPr>
      <t>有限会社ミニ・ワールド　マミや</t>
    </r>
  </si>
  <si>
    <r>
      <rPr>
        <sz val="11"/>
        <rFont val="MS UI Gothic"/>
        <family val="3"/>
        <charset val="128"/>
      </rPr>
      <t>京都府京都市北区衣笠北天神森町</t>
    </r>
  </si>
  <si>
    <r>
      <rPr>
        <sz val="11"/>
        <rFont val="MS UI Gothic"/>
        <family val="3"/>
        <charset val="128"/>
      </rPr>
      <t>宮谷産業有限会社</t>
    </r>
  </si>
  <si>
    <r>
      <rPr>
        <sz val="11"/>
        <rFont val="MS UI Gothic"/>
        <family val="3"/>
        <charset val="128"/>
      </rPr>
      <t>福井県坂井市丸岡町巽町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101</t>
    </r>
  </si>
  <si>
    <r>
      <rPr>
        <sz val="11"/>
        <rFont val="MS UI Gothic"/>
        <family val="3"/>
        <charset val="128"/>
      </rPr>
      <t>株式会社ＭＩＹＵＫＩ</t>
    </r>
  </si>
  <si>
    <r>
      <rPr>
        <sz val="11"/>
        <rFont val="MS UI Gothic"/>
        <family val="3"/>
        <charset val="128"/>
      </rPr>
      <t>大阪府大阪市中央区博労町</t>
    </r>
    <r>
      <rPr>
        <sz val="11"/>
        <rFont val="Times New Roman"/>
        <family val="1"/>
      </rPr>
      <t>4-5-9</t>
    </r>
  </si>
  <si>
    <r>
      <rPr>
        <sz val="11"/>
        <rFont val="MS UI Gothic"/>
        <family val="3"/>
        <charset val="128"/>
      </rPr>
      <t>モリクロス株式会社</t>
    </r>
  </si>
  <si>
    <r>
      <rPr>
        <sz val="11"/>
        <rFont val="MS UI Gothic"/>
        <family val="3"/>
        <charset val="128"/>
      </rPr>
      <t>兵庫県尼崎市南武庫之荘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 xml:space="preserve">17 </t>
    </r>
  </si>
  <si>
    <r>
      <rPr>
        <sz val="11"/>
        <rFont val="MS UI Gothic"/>
        <family val="3"/>
        <charset val="128"/>
      </rPr>
      <t>株式会社モリ製紐</t>
    </r>
  </si>
  <si>
    <r>
      <rPr>
        <sz val="11"/>
        <rFont val="MS UI Gothic"/>
        <family val="3"/>
        <charset val="128"/>
      </rPr>
      <t>石川県羽咋郡志賀町矢駄タ</t>
    </r>
    <r>
      <rPr>
        <sz val="11"/>
        <rFont val="Times New Roman"/>
        <family val="1"/>
      </rPr>
      <t>-60</t>
    </r>
  </si>
  <si>
    <r>
      <rPr>
        <sz val="11"/>
        <rFont val="MS UI Gothic"/>
        <family val="3"/>
        <charset val="128"/>
      </rPr>
      <t>株式会社木馬</t>
    </r>
  </si>
  <si>
    <r>
      <rPr>
        <sz val="11"/>
        <rFont val="MS UI Gothic"/>
        <family val="3"/>
        <charset val="128"/>
      </rPr>
      <t>東京都台東区蔵前</t>
    </r>
    <r>
      <rPr>
        <sz val="11"/>
        <rFont val="Times New Roman"/>
        <family val="1"/>
      </rPr>
      <t>4-16-8</t>
    </r>
  </si>
  <si>
    <r>
      <rPr>
        <sz val="11"/>
        <rFont val="MS UI Gothic"/>
        <family val="3"/>
        <charset val="128"/>
      </rPr>
      <t>森製紐株式会社</t>
    </r>
  </si>
  <si>
    <r>
      <rPr>
        <sz val="11"/>
        <rFont val="MS UI Gothic"/>
        <family val="3"/>
        <charset val="128"/>
      </rPr>
      <t>大阪府大阪市東成区東中本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</si>
  <si>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八木熊</t>
    </r>
  </si>
  <si>
    <r>
      <rPr>
        <sz val="11"/>
        <rFont val="MS UI Gothic"/>
        <family val="3"/>
        <charset val="128"/>
      </rPr>
      <t>福井県福井市照手</t>
    </r>
    <r>
      <rPr>
        <sz val="11"/>
        <rFont val="Times New Roman"/>
        <family val="1"/>
      </rPr>
      <t>2-6-16</t>
    </r>
  </si>
  <si>
    <r>
      <rPr>
        <sz val="11"/>
        <rFont val="MS UI Gothic"/>
        <family val="3"/>
        <charset val="128"/>
      </rPr>
      <t>矢地繊維工業株式会社</t>
    </r>
  </si>
  <si>
    <r>
      <rPr>
        <sz val="11"/>
        <rFont val="MS UI Gothic"/>
        <family val="3"/>
        <charset val="128"/>
      </rPr>
      <t>福井県あわら市矢地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</si>
  <si>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山上縫糸株式会社</t>
    </r>
  </si>
  <si>
    <r>
      <rPr>
        <sz val="11"/>
        <rFont val="MS UI Gothic"/>
        <family val="3"/>
        <charset val="128"/>
      </rPr>
      <t>大阪府大阪市東成区中道</t>
    </r>
    <r>
      <rPr>
        <sz val="11"/>
        <rFont val="Times New Roman"/>
        <family val="1"/>
      </rPr>
      <t>4-16-21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</si>
  <si>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山政テキスタイル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</si>
  <si>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山崎ビロード</t>
    </r>
  </si>
  <si>
    <r>
      <rPr>
        <sz val="11"/>
        <rFont val="MS UI Gothic"/>
        <family val="3"/>
        <charset val="128"/>
      </rPr>
      <t>福井県越前市中津山町</t>
    </r>
    <r>
      <rPr>
        <sz val="11"/>
        <rFont val="Times New Roman"/>
        <family val="1"/>
      </rPr>
      <t>9-29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</si>
  <si>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山田貿易</t>
    </r>
  </si>
  <si>
    <r>
      <rPr>
        <sz val="11"/>
        <rFont val="MS UI Gothic"/>
        <family val="3"/>
        <charset val="128"/>
      </rPr>
      <t>株式会社山博</t>
    </r>
  </si>
  <si>
    <r>
      <rPr>
        <sz val="11"/>
        <rFont val="MS UI Gothic"/>
        <family val="3"/>
        <charset val="128"/>
      </rPr>
      <t>石川県小松市福乃宮町</t>
    </r>
    <r>
      <rPr>
        <sz val="11"/>
        <rFont val="Times New Roman"/>
        <family val="1"/>
      </rPr>
      <t>1-87</t>
    </r>
  </si>
  <si>
    <r>
      <rPr>
        <sz val="11"/>
        <rFont val="MS UI Gothic"/>
        <family val="3"/>
        <charset val="128"/>
      </rPr>
      <t>山屋産業株式会社</t>
    </r>
  </si>
  <si>
    <r>
      <rPr>
        <sz val="11"/>
        <rFont val="MS UI Gothic"/>
        <family val="3"/>
        <charset val="128"/>
      </rPr>
      <t>石川県河北郡津幡町庄ホ</t>
    </r>
    <r>
      <rPr>
        <sz val="11"/>
        <rFont val="Times New Roman"/>
        <family val="1"/>
      </rPr>
      <t xml:space="preserve"> 63</t>
    </r>
    <r>
      <rPr>
        <sz val="11"/>
        <rFont val="MS UI Gothic"/>
        <family val="3"/>
        <charset val="128"/>
      </rPr>
      <t>番の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</si>
  <si>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山元リボン株式会社</t>
    </r>
  </si>
  <si>
    <r>
      <rPr>
        <sz val="11"/>
        <rFont val="MS UI Gothic"/>
        <family val="3"/>
        <charset val="128"/>
      </rPr>
      <t>京都府京都市下京区上平野町</t>
    </r>
  </si>
  <si>
    <r>
      <rPr>
        <sz val="11"/>
        <rFont val="MS UI Gothic"/>
        <family val="3"/>
        <charset val="128"/>
      </rPr>
      <t>ユニーク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プランナー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</si>
  <si>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横倉繊維</t>
    </r>
  </si>
  <si>
    <r>
      <rPr>
        <sz val="11"/>
        <rFont val="MS UI Gothic"/>
        <family val="3"/>
        <charset val="128"/>
      </rPr>
      <t>群馬県桐生市境野町</t>
    </r>
    <r>
      <rPr>
        <sz val="11"/>
        <rFont val="Times New Roman"/>
        <family val="1"/>
      </rPr>
      <t>1-1147</t>
    </r>
  </si>
  <si>
    <r>
      <rPr>
        <sz val="11"/>
        <rFont val="MS UI Gothic"/>
        <family val="3"/>
        <charset val="128"/>
      </rPr>
      <t>有限会社吉田トーション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</si>
  <si>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876-3</t>
    </r>
  </si>
  <si>
    <r>
      <rPr>
        <sz val="11"/>
        <rFont val="MS UI Gothic"/>
        <family val="3"/>
        <charset val="128"/>
      </rPr>
      <t>株式会社ラインワールド</t>
    </r>
  </si>
  <si>
    <r>
      <rPr>
        <sz val="11"/>
        <rFont val="MS UI Gothic"/>
        <family val="3"/>
        <charset val="128"/>
      </rPr>
      <t>岡山県倉敷市児島赤崎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7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>57</t>
    </r>
  </si>
  <si>
    <r>
      <rPr>
        <sz val="11"/>
        <rFont val="MS UI Gothic"/>
        <family val="3"/>
        <charset val="128"/>
      </rPr>
      <t>渡辺リボン株式会社</t>
    </r>
  </si>
  <si>
    <r>
      <rPr>
        <sz val="11"/>
        <rFont val="MS UI Gothic"/>
        <family val="3"/>
        <charset val="128"/>
      </rPr>
      <t>福井県鯖江市落井町</t>
    </r>
    <r>
      <rPr>
        <sz val="11"/>
        <rFont val="Times New Roman"/>
        <family val="1"/>
      </rPr>
      <t>49-5</t>
    </r>
  </si>
  <si>
    <r>
      <rPr>
        <sz val="11"/>
        <rFont val="MS UI Gothic"/>
        <family val="3"/>
        <charset val="128"/>
      </rPr>
      <t>輪の花</t>
    </r>
  </si>
  <si>
    <r>
      <rPr>
        <sz val="11"/>
        <rFont val="MS UI Gothic"/>
        <family val="3"/>
        <charset val="128"/>
      </rPr>
      <t>京都市西京区大原野西境谷町</t>
    </r>
    <r>
      <rPr>
        <sz val="11"/>
        <rFont val="Times New Roman"/>
        <family val="1"/>
      </rPr>
      <t>2-10-2</t>
    </r>
  </si>
  <si>
    <r>
      <rPr>
        <sz val="11"/>
        <rFont val="MS UI Gothic"/>
        <family val="3"/>
        <charset val="128"/>
      </rPr>
      <t>諸口（輸入）</t>
    </r>
  </si>
  <si>
    <r>
      <rPr>
        <sz val="11"/>
        <rFont val="MS UI Gothic"/>
        <family val="3"/>
        <charset val="128"/>
      </rPr>
      <t>諸口（国内）</t>
    </r>
  </si>
  <si>
    <r>
      <rPr>
        <sz val="11"/>
        <rFont val="MS UI Gothic"/>
        <family val="3"/>
        <charset val="128"/>
      </rPr>
      <t>諸口（国内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非課税）</t>
    </r>
  </si>
  <si>
    <r>
      <rPr>
        <sz val="11"/>
        <rFont val="MS UI Gothic"/>
        <family val="3"/>
        <charset val="128"/>
      </rPr>
      <t>振替口座</t>
    </r>
  </si>
  <si>
    <r>
      <t xml:space="preserve">(SELECT) - </t>
    </r>
    <r>
      <rPr>
        <sz val="11"/>
        <rFont val="Yu Gothic"/>
        <family val="1"/>
        <charset val="128"/>
      </rPr>
      <t>仕入先名</t>
    </r>
    <rPh sb="11" eb="15">
      <t>シイレサキメイ</t>
    </rPh>
    <phoneticPr fontId="2"/>
  </si>
  <si>
    <t>Tel:</t>
    <phoneticPr fontId="2"/>
  </si>
  <si>
    <t>Fax:</t>
    <phoneticPr fontId="2"/>
  </si>
  <si>
    <r>
      <rPr>
        <sz val="11"/>
        <rFont val="ＭＳ Ｐ明朝"/>
        <family val="1"/>
        <charset val="128"/>
      </rPr>
      <t>システムコード</t>
    </r>
  </si>
  <si>
    <r>
      <rPr>
        <sz val="11"/>
        <rFont val="ＭＳ Ｐ明朝"/>
        <family val="1"/>
        <charset val="128"/>
      </rPr>
      <t>郵便番号</t>
    </r>
    <rPh sb="0" eb="4">
      <t>ユウビンバンゴウ</t>
    </rPh>
    <phoneticPr fontId="2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</si>
  <si>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1</t>
    </r>
    <rPh sb="0" eb="2">
      <t>ジュウショ</t>
    </rPh>
    <phoneticPr fontId="2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</si>
  <si>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2</t>
    </r>
    <rPh sb="0" eb="2">
      <t>ジュウショ</t>
    </rPh>
    <phoneticPr fontId="2"/>
  </si>
  <si>
    <t>合計金額</t>
    <rPh sb="0" eb="4">
      <t>ゴウケイキンガク</t>
    </rPh>
    <phoneticPr fontId="2"/>
  </si>
  <si>
    <t>ファイル名</t>
    <rPh sb="4" eb="5">
      <t>メイ</t>
    </rPh>
    <phoneticPr fontId="2"/>
  </si>
  <si>
    <t>仕入先</t>
    <rPh sb="0" eb="3">
      <t>シイレサキ</t>
    </rPh>
    <phoneticPr fontId="2"/>
  </si>
  <si>
    <t>検索結果</t>
    <rPh sb="0" eb="4">
      <t>ケンサクケッカ</t>
    </rPh>
    <phoneticPr fontId="2"/>
  </si>
  <si>
    <t>データ開始行</t>
    <rPh sb="3" eb="5">
      <t>カイシ</t>
    </rPh>
    <rPh sb="5" eb="6">
      <t>ギョウ</t>
    </rPh>
    <phoneticPr fontId="2"/>
  </si>
  <si>
    <t>データ終了行</t>
    <rPh sb="3" eb="5">
      <t>シュウリョウ</t>
    </rPh>
    <rPh sb="5" eb="6">
      <t>ギョウ</t>
    </rPh>
    <phoneticPr fontId="2"/>
  </si>
  <si>
    <t>貼付け終了行</t>
    <rPh sb="0" eb="2">
      <t>ハリツ</t>
    </rPh>
    <rPh sb="3" eb="6">
      <t>シュウリョウギョウ</t>
    </rPh>
    <phoneticPr fontId="2"/>
  </si>
  <si>
    <t>注記項目名</t>
    <rPh sb="0" eb="2">
      <t>チュウキ</t>
    </rPh>
    <rPh sb="2" eb="5">
      <t>コウモクメイ</t>
    </rPh>
    <phoneticPr fontId="2"/>
  </si>
  <si>
    <t>注記内容</t>
    <rPh sb="0" eb="2">
      <t>チュウキ</t>
    </rPh>
    <rPh sb="2" eb="4">
      <t>ナイヨウ</t>
    </rPh>
    <phoneticPr fontId="2"/>
  </si>
  <si>
    <t>同一ロット指定</t>
    <rPh sb="0" eb="2">
      <t>ドウイツ</t>
    </rPh>
    <rPh sb="5" eb="7">
      <t>シテイ</t>
    </rPh>
    <phoneticPr fontId="2"/>
  </si>
  <si>
    <t>上記商品、同一ロットでお手配お願い致します。</t>
    <rPh sb="0" eb="2">
      <t>ジョウキ</t>
    </rPh>
    <rPh sb="2" eb="4">
      <t>ショウヒン</t>
    </rPh>
    <rPh sb="5" eb="7">
      <t>ドウイツ</t>
    </rPh>
    <rPh sb="12" eb="14">
      <t>テハイ</t>
    </rPh>
    <rPh sb="15" eb="16">
      <t>ネガ</t>
    </rPh>
    <rPh sb="17" eb="18">
      <t>イタ</t>
    </rPh>
    <phoneticPr fontId="2"/>
  </si>
  <si>
    <t>出荷/到着日指定</t>
    <rPh sb="0" eb="2">
      <t>シュッカ</t>
    </rPh>
    <rPh sb="3" eb="6">
      <t>トウチャクビ</t>
    </rPh>
    <rPh sb="6" eb="8">
      <t>シテイ</t>
    </rPh>
    <phoneticPr fontId="2"/>
  </si>
  <si>
    <t>出荷日：</t>
    <rPh sb="0" eb="3">
      <t>シュッカビ</t>
    </rPh>
    <phoneticPr fontId="2"/>
  </si>
  <si>
    <t>到着日：</t>
    <rPh sb="0" eb="3">
      <t>トウチャクビ</t>
    </rPh>
    <phoneticPr fontId="2"/>
  </si>
  <si>
    <t>到着時間：</t>
    <rPh sb="0" eb="4">
      <t>トウチャクジカン</t>
    </rPh>
    <phoneticPr fontId="2"/>
  </si>
  <si>
    <t>最短納期指定</t>
    <rPh sb="0" eb="4">
      <t>サイタンノウキ</t>
    </rPh>
    <rPh sb="4" eb="6">
      <t>シテイ</t>
    </rPh>
    <phoneticPr fontId="2"/>
  </si>
  <si>
    <t>納期：</t>
    <rPh sb="0" eb="2">
      <t>ノウキ</t>
    </rPh>
    <phoneticPr fontId="2"/>
  </si>
  <si>
    <t>発送方法指定</t>
    <rPh sb="0" eb="6">
      <t>ハッソウホウホウシテイ</t>
    </rPh>
    <phoneticPr fontId="2"/>
  </si>
  <si>
    <t>配送業者：</t>
    <rPh sb="0" eb="4">
      <t>ハイソウギョウシャ</t>
    </rPh>
    <phoneticPr fontId="2"/>
  </si>
  <si>
    <t>ヤマト便</t>
    <rPh sb="3" eb="4">
      <t>ビン</t>
    </rPh>
    <phoneticPr fontId="2"/>
  </si>
  <si>
    <t>納期回答指定</t>
    <rPh sb="0" eb="4">
      <t>ノウキカイトウ</t>
    </rPh>
    <rPh sb="4" eb="6">
      <t>シテイ</t>
    </rPh>
    <phoneticPr fontId="2"/>
  </si>
  <si>
    <t>在庫有無、納期のご回答をお願い致します。</t>
    <rPh sb="0" eb="4">
      <t>ザイコウム</t>
    </rPh>
    <rPh sb="5" eb="7">
      <t>ノウキ</t>
    </rPh>
    <rPh sb="9" eb="11">
      <t>カイトウ</t>
    </rPh>
    <rPh sb="13" eb="14">
      <t>ネガ</t>
    </rPh>
    <rPh sb="15" eb="16">
      <t>イタ</t>
    </rPh>
    <phoneticPr fontId="2"/>
  </si>
  <si>
    <t>キープ分指定</t>
    <rPh sb="3" eb="4">
      <t>ブン</t>
    </rPh>
    <rPh sb="4" eb="6">
      <t>シテイ</t>
    </rPh>
    <phoneticPr fontId="2"/>
  </si>
  <si>
    <t>上記商品、キープ分より出荷お願い致します。</t>
    <rPh sb="0" eb="4">
      <t>ジョウキショウヒン</t>
    </rPh>
    <rPh sb="8" eb="9">
      <t>ブン</t>
    </rPh>
    <rPh sb="11" eb="13">
      <t>シュッカ</t>
    </rPh>
    <rPh sb="14" eb="15">
      <t>ネガ</t>
    </rPh>
    <rPh sb="16" eb="17">
      <t>イタ</t>
    </rPh>
    <phoneticPr fontId="2"/>
  </si>
  <si>
    <t>欠品連絡</t>
    <rPh sb="0" eb="4">
      <t>ケッピンレンラク</t>
    </rPh>
    <phoneticPr fontId="2"/>
  </si>
  <si>
    <t>欠品がある場合は出荷前に納期等のご連絡を御願い致します｡</t>
    <phoneticPr fontId="2"/>
  </si>
  <si>
    <t>キャンセル可能性</t>
    <rPh sb="5" eb="8">
      <t>カノウセイ</t>
    </rPh>
    <phoneticPr fontId="2"/>
  </si>
  <si>
    <t>欠品の場合は全商品キャンセルになる可能性あり､ご連絡後の出荷指示に従って下さい｡</t>
    <phoneticPr fontId="2"/>
  </si>
  <si>
    <t>その他</t>
    <rPh sb="2" eb="3">
      <t>ホカ</t>
    </rPh>
    <phoneticPr fontId="2"/>
  </si>
  <si>
    <t>自由記述：</t>
    <rPh sb="0" eb="4">
      <t>ジユウキジュツ</t>
    </rPh>
    <phoneticPr fontId="2"/>
  </si>
  <si>
    <t>あいうえお</t>
    <phoneticPr fontId="2"/>
  </si>
  <si>
    <t>発注書 (SELECTION)</t>
    <rPh sb="0" eb="3">
      <t>ハッチュウショ</t>
    </rPh>
    <phoneticPr fontId="2"/>
  </si>
  <si>
    <t>注文日</t>
    <rPh sb="0" eb="3">
      <t>チュウモンビ</t>
    </rPh>
    <phoneticPr fontId="2"/>
  </si>
  <si>
    <t xml:space="preserve">御会社名: </t>
    <rPh sb="0" eb="4">
      <t>オカイシャメイ</t>
    </rPh>
    <phoneticPr fontId="2"/>
  </si>
  <si>
    <t>株式会社サンファッション</t>
    <rPh sb="0" eb="4">
      <t>カブシキガイシャ</t>
    </rPh>
    <phoneticPr fontId="2"/>
  </si>
  <si>
    <t xml:space="preserve">御住所: </t>
    <rPh sb="0" eb="3">
      <t>ゴジュウショ</t>
    </rPh>
    <phoneticPr fontId="2"/>
  </si>
  <si>
    <t>〒553-0003　大阪府大阪市福島区福島8丁目21番10号</t>
    <rPh sb="10" eb="13">
      <t>オオサカフ</t>
    </rPh>
    <rPh sb="13" eb="16">
      <t>オオサカシ</t>
    </rPh>
    <rPh sb="16" eb="19">
      <t>フクシマク</t>
    </rPh>
    <rPh sb="19" eb="21">
      <t>フクシマ</t>
    </rPh>
    <rPh sb="22" eb="24">
      <t>チョウメ</t>
    </rPh>
    <rPh sb="26" eb="27">
      <t>バン</t>
    </rPh>
    <rPh sb="29" eb="30">
      <t>ゴウ</t>
    </rPh>
    <phoneticPr fontId="2"/>
  </si>
  <si>
    <t>Tel: 06-6455-2850 (代)</t>
    <rPh sb="19" eb="20">
      <t>ダイ</t>
    </rPh>
    <phoneticPr fontId="2"/>
  </si>
  <si>
    <t xml:space="preserve">部署: </t>
    <rPh sb="0" eb="2">
      <t>ブショ</t>
    </rPh>
    <phoneticPr fontId="2"/>
  </si>
  <si>
    <t>貿易部</t>
    <rPh sb="0" eb="3">
      <t>ボウエキブ</t>
    </rPh>
    <phoneticPr fontId="2"/>
  </si>
  <si>
    <t xml:space="preserve">ご担当様: </t>
    <rPh sb="1" eb="4">
      <t>タントウサマ</t>
    </rPh>
    <phoneticPr fontId="2"/>
  </si>
  <si>
    <t>メモ</t>
    <phoneticPr fontId="2"/>
  </si>
  <si>
    <t xml:space="preserve">Tel: </t>
    <phoneticPr fontId="2"/>
  </si>
  <si>
    <t>貼付け開始行</t>
    <rPh sb="0" eb="2">
      <t>ハリツ</t>
    </rPh>
    <rPh sb="3" eb="5">
      <t>カイシ</t>
    </rPh>
    <rPh sb="5" eb="6">
      <t>ギョウ</t>
    </rPh>
    <phoneticPr fontId="2"/>
  </si>
  <si>
    <t>明細開始行</t>
    <rPh sb="0" eb="2">
      <t>メイサイ</t>
    </rPh>
    <rPh sb="2" eb="5">
      <t>カイシギョウ</t>
    </rPh>
    <phoneticPr fontId="2"/>
  </si>
  <si>
    <t>明細終了行</t>
    <rPh sb="0" eb="2">
      <t>メイサイ</t>
    </rPh>
    <rPh sb="2" eb="5">
      <t>シュウリョウギョウ</t>
    </rPh>
    <phoneticPr fontId="2"/>
  </si>
  <si>
    <t>貼付け開始行</t>
    <rPh sb="0" eb="2">
      <t>ハリツ</t>
    </rPh>
    <rPh sb="3" eb="6">
      <t>カイシギョウ</t>
    </rPh>
    <phoneticPr fontId="2"/>
  </si>
  <si>
    <t>注記開始行</t>
    <rPh sb="0" eb="2">
      <t>チュウキ</t>
    </rPh>
    <rPh sb="2" eb="5">
      <t>カイシギョウ</t>
    </rPh>
    <phoneticPr fontId="2"/>
  </si>
  <si>
    <t>注記終了行</t>
    <rPh sb="0" eb="2">
      <t>チュウキ</t>
    </rPh>
    <rPh sb="2" eb="5">
      <t>シュウリョウギョウ</t>
    </rPh>
    <phoneticPr fontId="2"/>
  </si>
  <si>
    <t>メモ開始行</t>
    <rPh sb="2" eb="5">
      <t>カイシギョウ</t>
    </rPh>
    <phoneticPr fontId="2"/>
  </si>
  <si>
    <t>メモ終了行</t>
    <rPh sb="2" eb="5">
      <t>シュウリョウギョウ</t>
    </rPh>
    <phoneticPr fontId="2"/>
  </si>
  <si>
    <t>当社注文番号</t>
    <rPh sb="0" eb="2">
      <t>トウシャ</t>
    </rPh>
    <rPh sb="2" eb="6">
      <t>チュウモンバンゴウ</t>
    </rPh>
    <phoneticPr fontId="2"/>
  </si>
  <si>
    <t>SF米国と連動</t>
    <rPh sb="2" eb="4">
      <t>ベイコク</t>
    </rPh>
    <rPh sb="5" eb="7">
      <t>レンドウ</t>
    </rPh>
    <phoneticPr fontId="2"/>
  </si>
  <si>
    <t>No.</t>
  </si>
  <si>
    <r>
      <rPr>
        <b/>
        <sz val="11"/>
        <rFont val="MS UI Gothic"/>
        <family val="3"/>
        <charset val="128"/>
      </rPr>
      <t>品番</t>
    </r>
    <rPh sb="0" eb="2">
      <t>ヒンバン</t>
    </rPh>
    <phoneticPr fontId="2"/>
  </si>
  <si>
    <t>サイズ</t>
  </si>
  <si>
    <r>
      <rPr>
        <b/>
        <sz val="11"/>
        <rFont val="MS UI Gothic"/>
        <family val="3"/>
        <charset val="128"/>
      </rPr>
      <t>色番</t>
    </r>
    <rPh sb="0" eb="1">
      <t>イロ</t>
    </rPh>
    <rPh sb="1" eb="2">
      <t>バン</t>
    </rPh>
    <phoneticPr fontId="2"/>
  </si>
  <si>
    <r>
      <rPr>
        <b/>
        <sz val="11"/>
        <rFont val="MS UI Gothic"/>
        <family val="3"/>
        <charset val="128"/>
      </rPr>
      <t>仕立</t>
    </r>
    <rPh sb="0" eb="2">
      <t>シタテ</t>
    </rPh>
    <phoneticPr fontId="2"/>
  </si>
  <si>
    <r>
      <rPr>
        <b/>
        <sz val="11"/>
        <rFont val="MS UI Gothic"/>
        <family val="3"/>
        <charset val="128"/>
      </rPr>
      <t>反数</t>
    </r>
    <rPh sb="0" eb="1">
      <t>ハン</t>
    </rPh>
    <rPh sb="1" eb="2">
      <t>スウ</t>
    </rPh>
    <phoneticPr fontId="2"/>
  </si>
  <si>
    <r>
      <rPr>
        <b/>
        <sz val="11"/>
        <rFont val="MS UI Gothic"/>
        <family val="3"/>
        <charset val="128"/>
      </rPr>
      <t>数量</t>
    </r>
    <rPh sb="0" eb="2">
      <t>スウリョウ</t>
    </rPh>
    <phoneticPr fontId="2"/>
  </si>
  <si>
    <r>
      <rPr>
        <b/>
        <sz val="11"/>
        <rFont val="MS UI Gothic"/>
        <family val="3"/>
        <charset val="128"/>
      </rPr>
      <t>単価</t>
    </r>
    <rPh sb="0" eb="2">
      <t>タンカ</t>
    </rPh>
    <phoneticPr fontId="2"/>
  </si>
  <si>
    <r>
      <rPr>
        <b/>
        <sz val="11"/>
        <rFont val="MS UI Gothic"/>
        <family val="3"/>
        <charset val="128"/>
      </rPr>
      <t>金額</t>
    </r>
    <rPh sb="0" eb="2">
      <t>キンガク</t>
    </rPh>
    <phoneticPr fontId="2"/>
  </si>
  <si>
    <r>
      <rPr>
        <b/>
        <sz val="11"/>
        <rFont val="MS UI Gothic"/>
        <family val="3"/>
        <charset val="128"/>
      </rPr>
      <t>備考</t>
    </r>
    <r>
      <rPr>
        <b/>
        <sz val="11"/>
        <rFont val="Times New Roman"/>
        <family val="1"/>
      </rPr>
      <t>/</t>
    </r>
    <r>
      <rPr>
        <b/>
        <sz val="11"/>
        <rFont val="MS UI Gothic"/>
        <family val="3"/>
        <charset val="128"/>
      </rPr>
      <t>御社品番</t>
    </r>
    <rPh sb="0" eb="2">
      <t>ビコウ</t>
    </rPh>
    <rPh sb="3" eb="5">
      <t>オンシャ</t>
    </rPh>
    <rPh sb="5" eb="7">
      <t>ヒンバン</t>
    </rPh>
    <phoneticPr fontId="2"/>
  </si>
  <si>
    <r>
      <rPr>
        <b/>
        <sz val="11"/>
        <rFont val="MS UI Gothic"/>
        <family val="3"/>
        <charset val="128"/>
      </rPr>
      <t>在庫有無</t>
    </r>
    <rPh sb="0" eb="4">
      <t>ザイコウム</t>
    </rPh>
    <phoneticPr fontId="2"/>
  </si>
  <si>
    <r>
      <rPr>
        <b/>
        <sz val="11"/>
        <rFont val="MS UI Gothic"/>
        <family val="3"/>
        <charset val="128"/>
      </rPr>
      <t>納期</t>
    </r>
    <rPh sb="0" eb="2">
      <t>ノウキ</t>
    </rPh>
    <phoneticPr fontId="2"/>
  </si>
  <si>
    <t>FWL-24240 (Fringe Untrimmed)</t>
    <phoneticPr fontId="2"/>
  </si>
  <si>
    <t>SF001</t>
    <phoneticPr fontId="2"/>
  </si>
  <si>
    <t>DOEN</t>
    <phoneticPr fontId="2"/>
  </si>
  <si>
    <t>OL-62548-1</t>
    <phoneticPr fontId="2"/>
  </si>
  <si>
    <t>OL-62545-1</t>
    <phoneticPr fontId="2"/>
  </si>
  <si>
    <t>OL-62547-1</t>
    <phoneticPr fontId="2"/>
  </si>
  <si>
    <r>
      <t>20230115~69</t>
    </r>
    <r>
      <rPr>
        <sz val="12"/>
        <color indexed="10"/>
        <rFont val="ＭＳ Ｐゴシック"/>
        <family val="3"/>
        <charset val="128"/>
      </rPr>
      <t>円</t>
    </r>
    <rPh sb="11" eb="12">
      <t>エン</t>
    </rPh>
    <phoneticPr fontId="2"/>
  </si>
  <si>
    <r>
      <t>20230115~113</t>
    </r>
    <r>
      <rPr>
        <sz val="12"/>
        <color indexed="10"/>
        <rFont val="ＭＳ Ｐゴシック"/>
        <family val="3"/>
        <charset val="128"/>
      </rPr>
      <t>円</t>
    </r>
    <rPh sb="12" eb="13">
      <t>エン</t>
    </rPh>
    <phoneticPr fontId="2"/>
  </si>
  <si>
    <t>FedEx</t>
  </si>
  <si>
    <r>
      <t>116</t>
    </r>
    <r>
      <rPr>
        <sz val="11"/>
        <rFont val="ＭＳ Ｐゴシック"/>
        <family val="3"/>
        <charset val="128"/>
      </rPr>
      <t>円</t>
    </r>
    <rPh sb="3" eb="4">
      <t>エン</t>
    </rPh>
    <phoneticPr fontId="2"/>
  </si>
  <si>
    <r>
      <t>119</t>
    </r>
    <r>
      <rPr>
        <sz val="11"/>
        <rFont val="ＭＳ Ｐゴシック"/>
        <family val="3"/>
        <charset val="128"/>
      </rPr>
      <t>円</t>
    </r>
    <rPh sb="3" eb="4">
      <t>エン</t>
    </rPh>
    <phoneticPr fontId="2"/>
  </si>
  <si>
    <t>5386</t>
    <phoneticPr fontId="2"/>
  </si>
  <si>
    <t>Cotton Mesh Cords</t>
    <phoneticPr fontId="2"/>
  </si>
  <si>
    <t>5388</t>
    <phoneticPr fontId="2"/>
  </si>
  <si>
    <t>Cotton Braids</t>
    <phoneticPr fontId="2"/>
  </si>
  <si>
    <t>5390</t>
    <phoneticPr fontId="2"/>
  </si>
  <si>
    <t>5399</t>
    <phoneticPr fontId="2"/>
  </si>
  <si>
    <t xml:space="preserve">30m / roll </t>
    <phoneticPr fontId="2"/>
  </si>
  <si>
    <t xml:space="preserve">50m / roll </t>
    <phoneticPr fontId="2"/>
  </si>
  <si>
    <t xml:space="preserve">100m / roll </t>
    <phoneticPr fontId="2"/>
  </si>
  <si>
    <t xml:space="preserve">abt 30m /roll ( it slightly varies on each roll) </t>
    <phoneticPr fontId="2"/>
  </si>
  <si>
    <t>Stock in Col. 009 Black as of the 17th Aug.</t>
    <phoneticPr fontId="2"/>
  </si>
  <si>
    <t>S size</t>
    <phoneticPr fontId="2"/>
  </si>
  <si>
    <t xml:space="preserve">L size </t>
    <phoneticPr fontId="2"/>
  </si>
  <si>
    <t xml:space="preserve">Current  EXW JAPAN 
USD/m </t>
    <phoneticPr fontId="2"/>
  </si>
  <si>
    <t xml:space="preserve">Updated EXW JAPAN 
USD/m </t>
    <phoneticPr fontId="2"/>
  </si>
  <si>
    <t xml:space="preserve"> EXW JAPAN USD/m </t>
    <phoneticPr fontId="2"/>
  </si>
  <si>
    <t>100% Cotton</t>
    <phoneticPr fontId="2"/>
  </si>
  <si>
    <t xml:space="preserve">EXW JAPAN /m for 
Mill's Off White &amp; Mill's Optic White </t>
    <phoneticPr fontId="2"/>
  </si>
  <si>
    <t>98cm x 19.8m</t>
    <phoneticPr fontId="2"/>
  </si>
  <si>
    <t>Mill's Off White/Mill's Optic White</t>
    <phoneticPr fontId="2"/>
  </si>
  <si>
    <t>110cm x 13.7m</t>
    <phoneticPr fontId="2"/>
  </si>
  <si>
    <t xml:space="preserve">EXW JAPAN /m for Mill's Off White&amp;Mill's Standard Colors  </t>
    <phoneticPr fontId="2"/>
  </si>
  <si>
    <t>Dye minimum /color</t>
    <phoneticPr fontId="2"/>
  </si>
  <si>
    <t>Dye Fee for under 
dye min./col</t>
    <phoneticPr fontId="2"/>
  </si>
  <si>
    <t>Stock of Mill's Off White as of 3rd March</t>
    <phoneticPr fontId="2"/>
  </si>
  <si>
    <r>
      <t>Bow Motif  in TI-3000N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Heat Cut  </t>
    </r>
    <phoneticPr fontId="2"/>
  </si>
  <si>
    <t xml:space="preserve">Made in China </t>
    <phoneticPr fontId="2"/>
  </si>
  <si>
    <r>
      <t>C/# starting with "Y"</t>
    </r>
    <r>
      <rPr>
        <b/>
        <sz val="9"/>
        <color indexed="10"/>
        <rFont val="ＭＳ Ｐゴシック"/>
        <family val="3"/>
        <charset val="128"/>
      </rPr>
      <t>→</t>
    </r>
    <r>
      <rPr>
        <b/>
        <sz val="9"/>
        <color indexed="10"/>
        <rFont val="Arial  "/>
        <family val="2"/>
      </rPr>
      <t xml:space="preserve">Made in Japan </t>
    </r>
    <phoneticPr fontId="2"/>
  </si>
  <si>
    <t xml:space="preserve">MOQ / Price : TBC </t>
    <phoneticPr fontId="2"/>
  </si>
  <si>
    <r>
      <t>Made in China
C/# starting with "Y"</t>
    </r>
    <r>
      <rPr>
        <b/>
        <sz val="9"/>
        <color indexed="10"/>
        <rFont val="ＭＳ Ｐゴシック"/>
        <family val="3"/>
        <charset val="128"/>
      </rPr>
      <t>→</t>
    </r>
    <r>
      <rPr>
        <b/>
        <sz val="9"/>
        <color indexed="10"/>
        <rFont val="arial    "/>
        <family val="2"/>
      </rPr>
      <t>Made in Japan</t>
    </r>
    <phoneticPr fontId="2"/>
  </si>
  <si>
    <r>
      <t>POLYESTER 100</t>
    </r>
    <r>
      <rPr>
        <sz val="8"/>
        <color indexed="8"/>
        <rFont val="ＭＳ Ｐゴシック"/>
        <family val="3"/>
        <charset val="128"/>
      </rPr>
      <t>％</t>
    </r>
    <r>
      <rPr>
        <sz val="8"/>
        <color indexed="8"/>
        <rFont val="arial    "/>
        <family val="2"/>
      </rPr>
      <t>( 100% Recycled Polyester Yarn used  )</t>
    </r>
    <phoneticPr fontId="2"/>
  </si>
  <si>
    <t>Made in China</t>
    <phoneticPr fontId="2"/>
  </si>
  <si>
    <t>Dye Upcharge for under 
dye min./col</t>
    <phoneticPr fontId="2"/>
  </si>
  <si>
    <t xml:space="preserve">Stock (PFD) as of 8th April, 2022 </t>
    <phoneticPr fontId="2"/>
  </si>
  <si>
    <t xml:space="preserve">20,000m in stock </t>
    <phoneticPr fontId="2"/>
  </si>
  <si>
    <t>3 - 4 weeks</t>
    <phoneticPr fontId="2"/>
  </si>
  <si>
    <t>120m of both 6mm &amp; 9mm are in stock</t>
    <phoneticPr fontId="2"/>
  </si>
  <si>
    <t>CO-CGC-16</t>
    <phoneticPr fontId="2"/>
  </si>
  <si>
    <t>150m pack</t>
    <phoneticPr fontId="2"/>
  </si>
  <si>
    <t>150m</t>
    <phoneticPr fontId="2"/>
  </si>
  <si>
    <t>Cotton Grip Cord</t>
    <phoneticPr fontId="2"/>
  </si>
  <si>
    <t xml:space="preserve">Cotton-71%, Rayon-29% </t>
    <phoneticPr fontId="2"/>
  </si>
  <si>
    <t>Stock as of 28th April</t>
    <phoneticPr fontId="2"/>
  </si>
  <si>
    <t>EXW JAPAN /m for Mill's Off White based on 685m</t>
    <phoneticPr fontId="2"/>
  </si>
  <si>
    <t>EXW JAPAN /m for Custom Colors based on 685m</t>
    <phoneticPr fontId="2"/>
  </si>
  <si>
    <t xml:space="preserve">Sample Dye </t>
    <phoneticPr fontId="2"/>
  </si>
  <si>
    <t>2200</t>
    <phoneticPr fontId="2"/>
  </si>
  <si>
    <t xml:space="preserve">Double Faced Silk Satin Ribbon </t>
    <phoneticPr fontId="2"/>
  </si>
  <si>
    <t>EXW JAPAN /m Mill's Off White</t>
    <phoneticPr fontId="2"/>
  </si>
  <si>
    <t>Dye. Minimum /col</t>
    <phoneticPr fontId="2"/>
  </si>
  <si>
    <t>MOQ for Mill's Off White</t>
    <phoneticPr fontId="2"/>
  </si>
  <si>
    <t xml:space="preserve">Organic Cotton Ribbon </t>
    <phoneticPr fontId="2"/>
  </si>
  <si>
    <r>
      <rPr>
        <b/>
        <sz val="10"/>
        <color indexed="8"/>
        <rFont val="ＭＳ Ｐゴシック"/>
        <family val="3"/>
        <charset val="128"/>
      </rPr>
      <t>在庫から抜き取りの場合</t>
    </r>
    <rPh sb="0" eb="2">
      <t>ザイコ</t>
    </rPh>
    <rPh sb="4" eb="5">
      <t>ヌ</t>
    </rPh>
    <rPh sb="6" eb="7">
      <t>ト</t>
    </rPh>
    <rPh sb="9" eb="11">
      <t>バアイ</t>
    </rPh>
    <phoneticPr fontId="2"/>
  </si>
  <si>
    <r>
      <rPr>
        <b/>
        <sz val="10"/>
        <rFont val="ＭＳ Ｐゴシック"/>
        <family val="3"/>
        <charset val="128"/>
      </rPr>
      <t>新規生産の場合</t>
    </r>
    <rPh sb="0" eb="4">
      <t>シンキセイサン</t>
    </rPh>
    <rPh sb="5" eb="7">
      <t>バアイ</t>
    </rPh>
    <phoneticPr fontId="2"/>
  </si>
  <si>
    <r>
      <t>#2440</t>
    </r>
    <r>
      <rPr>
        <sz val="10"/>
        <rFont val="ＭＳ Ｐゴシック"/>
        <family val="3"/>
        <charset val="128"/>
      </rPr>
      <t>　</t>
    </r>
    <r>
      <rPr>
        <sz val="10"/>
        <rFont val="Arial  "/>
        <family val="2"/>
      </rPr>
      <t>140cm</t>
    </r>
    <r>
      <rPr>
        <sz val="10"/>
        <rFont val="ＭＳ Ｐゴシック"/>
        <family val="3"/>
        <charset val="128"/>
      </rPr>
      <t>　通常単価</t>
    </r>
    <r>
      <rPr>
        <sz val="11"/>
        <rFont val="Arial  "/>
        <family val="2"/>
      </rPr>
      <t/>
    </r>
    <rPh sb="12" eb="16">
      <t>ツウジョウタンカ</t>
    </rPh>
    <phoneticPr fontId="2"/>
  </si>
  <si>
    <r>
      <t>#N2040</t>
    </r>
    <r>
      <rPr>
        <sz val="10"/>
        <color indexed="10"/>
        <rFont val="ＭＳ Ｐゴシック"/>
        <family val="3"/>
        <charset val="128"/>
      </rPr>
      <t>　</t>
    </r>
    <r>
      <rPr>
        <sz val="10"/>
        <color indexed="10"/>
        <rFont val="Arial  "/>
        <family val="2"/>
      </rPr>
      <t>152cm</t>
    </r>
    <r>
      <rPr>
        <sz val="10"/>
        <color indexed="10"/>
        <rFont val="ＭＳ Ｐゴシック"/>
        <family val="3"/>
        <charset val="128"/>
      </rPr>
      <t>　バルク単価</t>
    </r>
    <r>
      <rPr>
        <sz val="11"/>
        <color indexed="10"/>
        <rFont val="Arial  "/>
        <family val="2"/>
      </rPr>
      <t/>
    </r>
    <rPh sb="16" eb="18">
      <t>タンカ</t>
    </rPh>
    <phoneticPr fontId="2"/>
  </si>
  <si>
    <t>在庫から抜き取りの場合(全数量）と新規生産でも19反以下の場合は通常単価、通常規格2440　140cm巾</t>
    <rPh sb="0" eb="2">
      <t>ザイコ</t>
    </rPh>
    <rPh sb="4" eb="5">
      <t>ヌ</t>
    </rPh>
    <rPh sb="6" eb="7">
      <t>ト</t>
    </rPh>
    <rPh sb="9" eb="11">
      <t>バアイ</t>
    </rPh>
    <rPh sb="12" eb="15">
      <t>ゼンスウリョウ</t>
    </rPh>
    <rPh sb="17" eb="21">
      <t>シンキセイサン</t>
    </rPh>
    <rPh sb="25" eb="26">
      <t>タン</t>
    </rPh>
    <rPh sb="26" eb="28">
      <t>イカ</t>
    </rPh>
    <rPh sb="29" eb="31">
      <t>バアイ</t>
    </rPh>
    <rPh sb="32" eb="36">
      <t>ツウジョウタンカ</t>
    </rPh>
    <rPh sb="37" eb="39">
      <t>ツウジョウ</t>
    </rPh>
    <rPh sb="39" eb="41">
      <t>キカク</t>
    </rPh>
    <rPh sb="51" eb="52">
      <t>ハバ</t>
    </rPh>
    <phoneticPr fontId="2"/>
  </si>
  <si>
    <t>例えば40反一括発注した場合・・・</t>
    <rPh sb="0" eb="1">
      <t>レイ</t>
    </rPh>
    <rPh sb="5" eb="6">
      <t>タン</t>
    </rPh>
    <rPh sb="6" eb="8">
      <t>イッカツ</t>
    </rPh>
    <rPh sb="8" eb="10">
      <t>ハッチュウ</t>
    </rPh>
    <rPh sb="12" eb="14">
      <t>バアイ</t>
    </rPh>
    <phoneticPr fontId="2"/>
  </si>
  <si>
    <t>１．在庫抜き取りが21反、新規生産が19反の場合（在庫数量の範囲内で抜き取り数量 と 新規生産数量を弊社より指定できる）</t>
    <rPh sb="2" eb="5">
      <t>ザイコヌ</t>
    </rPh>
    <rPh sb="6" eb="7">
      <t>ト</t>
    </rPh>
    <rPh sb="11" eb="12">
      <t>タン</t>
    </rPh>
    <rPh sb="13" eb="15">
      <t>シンキ</t>
    </rPh>
    <rPh sb="15" eb="17">
      <t>セイサン</t>
    </rPh>
    <rPh sb="20" eb="21">
      <t>タン</t>
    </rPh>
    <rPh sb="22" eb="24">
      <t>バアイ</t>
    </rPh>
    <rPh sb="25" eb="27">
      <t>ザイコ</t>
    </rPh>
    <rPh sb="27" eb="29">
      <t>スウリョウ</t>
    </rPh>
    <rPh sb="30" eb="32">
      <t>ハンイ</t>
    </rPh>
    <rPh sb="32" eb="33">
      <t>ナイ</t>
    </rPh>
    <rPh sb="34" eb="35">
      <t>ヌ</t>
    </rPh>
    <rPh sb="36" eb="37">
      <t>ト</t>
    </rPh>
    <rPh sb="38" eb="39">
      <t>スウ</t>
    </rPh>
    <rPh sb="39" eb="40">
      <t>リョウ</t>
    </rPh>
    <rPh sb="43" eb="47">
      <t>シンキセイサン</t>
    </rPh>
    <rPh sb="47" eb="49">
      <t>スウリョウ</t>
    </rPh>
    <rPh sb="50" eb="52">
      <t>ヘイシャ</t>
    </rPh>
    <rPh sb="54" eb="56">
      <t>シテイ</t>
    </rPh>
    <phoneticPr fontId="2"/>
  </si>
  <si>
    <t>在庫抜き取り21反分</t>
    <rPh sb="0" eb="2">
      <t>ザイコ</t>
    </rPh>
    <rPh sb="2" eb="3">
      <t>ヌ</t>
    </rPh>
    <rPh sb="4" eb="5">
      <t>ト</t>
    </rPh>
    <rPh sb="8" eb="9">
      <t>タン</t>
    </rPh>
    <rPh sb="9" eb="10">
      <t>ブン</t>
    </rPh>
    <phoneticPr fontId="2"/>
  </si>
  <si>
    <t>新規生産19反分</t>
    <rPh sb="0" eb="4">
      <t>シンキセイサン</t>
    </rPh>
    <rPh sb="6" eb="7">
      <t>タン</t>
    </rPh>
    <rPh sb="7" eb="8">
      <t>ブン</t>
    </rPh>
    <phoneticPr fontId="2"/>
  </si>
  <si>
    <t>2．在庫抜き取りが20反、新規生産が20反の場合（在庫数量の範囲内で抜き取り数量 と 新規生産数量を弊社より指定できる）</t>
    <rPh sb="2" eb="5">
      <t>ザイコヌ</t>
    </rPh>
    <rPh sb="6" eb="7">
      <t>ト</t>
    </rPh>
    <rPh sb="11" eb="12">
      <t>タン</t>
    </rPh>
    <rPh sb="13" eb="15">
      <t>シンキ</t>
    </rPh>
    <rPh sb="15" eb="17">
      <t>セイサン</t>
    </rPh>
    <rPh sb="20" eb="21">
      <t>タン</t>
    </rPh>
    <rPh sb="22" eb="24">
      <t>バアイ</t>
    </rPh>
    <phoneticPr fontId="2"/>
  </si>
  <si>
    <t>在庫抜き取り20反分</t>
    <rPh sb="0" eb="2">
      <t>ザイコ</t>
    </rPh>
    <rPh sb="2" eb="3">
      <t>ヌ</t>
    </rPh>
    <rPh sb="4" eb="5">
      <t>ト</t>
    </rPh>
    <rPh sb="8" eb="9">
      <t>タン</t>
    </rPh>
    <rPh sb="9" eb="10">
      <t>ブン</t>
    </rPh>
    <phoneticPr fontId="2"/>
  </si>
  <si>
    <t>新規生産20反分</t>
    <rPh sb="0" eb="4">
      <t>シンキセイサン</t>
    </rPh>
    <rPh sb="6" eb="7">
      <t>タン</t>
    </rPh>
    <rPh sb="7" eb="8">
      <t>ブン</t>
    </rPh>
    <phoneticPr fontId="2"/>
  </si>
  <si>
    <t>小口代</t>
    <rPh sb="0" eb="2">
      <t>コグチ</t>
    </rPh>
    <rPh sb="2" eb="3">
      <t>ダイ</t>
    </rPh>
    <phoneticPr fontId="2"/>
  </si>
  <si>
    <t>EXW JAPAN /m for 1 - 599m</t>
    <phoneticPr fontId="2"/>
  </si>
  <si>
    <t>EXW JAPAN /m for 600 - 999m</t>
    <phoneticPr fontId="2"/>
  </si>
  <si>
    <t>EXW JAPAN /m for 1,000 - 1,999m</t>
    <phoneticPr fontId="2"/>
  </si>
  <si>
    <t>EXW JAPAN /m for 2,000m -</t>
    <phoneticPr fontId="2"/>
  </si>
  <si>
    <t xml:space="preserve">EXW JAPAN /m for Mill's Standard Color </t>
    <phoneticPr fontId="2"/>
  </si>
  <si>
    <t>EXW JAPAN /m for Mill's Optic White</t>
    <phoneticPr fontId="2"/>
  </si>
  <si>
    <t>Dye minimum /color ( Optic White)</t>
    <phoneticPr fontId="2"/>
  </si>
  <si>
    <t>Dye Upcharge for under 
dye min./col (Optic White)</t>
    <phoneticPr fontId="2"/>
  </si>
  <si>
    <t>Stock as of 20th Sep</t>
    <phoneticPr fontId="2"/>
  </si>
  <si>
    <r>
      <rPr>
        <sz val="10"/>
        <rFont val="ＭＳ Ｐゴシック"/>
        <family val="3"/>
        <charset val="128"/>
      </rPr>
      <t>改定価格（</t>
    </r>
    <r>
      <rPr>
        <sz val="10"/>
        <rFont val="Arial  "/>
        <family val="2"/>
      </rPr>
      <t>2023</t>
    </r>
    <r>
      <rPr>
        <sz val="10"/>
        <rFont val="ＭＳ Ｐゴシック"/>
        <family val="3"/>
        <charset val="128"/>
      </rPr>
      <t>年</t>
    </r>
    <r>
      <rPr>
        <sz val="10"/>
        <rFont val="Arial  "/>
        <family val="2"/>
      </rPr>
      <t>3</t>
    </r>
    <r>
      <rPr>
        <sz val="10"/>
        <rFont val="ＭＳ Ｐゴシック"/>
        <family val="3"/>
        <charset val="128"/>
      </rPr>
      <t>月末迄）</t>
    </r>
    <rPh sb="0" eb="2">
      <t>カイテイ</t>
    </rPh>
    <rPh sb="2" eb="4">
      <t>カカク</t>
    </rPh>
    <rPh sb="9" eb="10">
      <t>ネン</t>
    </rPh>
    <rPh sb="11" eb="12">
      <t>ガツ</t>
    </rPh>
    <rPh sb="12" eb="13">
      <t>マツ</t>
    </rPh>
    <rPh sb="13" eb="14">
      <t>マデ</t>
    </rPh>
    <phoneticPr fontId="2"/>
  </si>
  <si>
    <r>
      <rPr>
        <sz val="10"/>
        <rFont val="ＭＳ Ｐゴシック"/>
        <family val="3"/>
        <charset val="128"/>
      </rPr>
      <t>改定価格（</t>
    </r>
    <r>
      <rPr>
        <sz val="10"/>
        <rFont val="Arial  "/>
        <family val="2"/>
      </rPr>
      <t>2023</t>
    </r>
    <r>
      <rPr>
        <sz val="10"/>
        <rFont val="ＭＳ Ｐゴシック"/>
        <family val="3"/>
        <charset val="128"/>
      </rPr>
      <t>年</t>
    </r>
    <r>
      <rPr>
        <sz val="10"/>
        <rFont val="Arial  "/>
        <family val="2"/>
      </rPr>
      <t>4</t>
    </r>
    <r>
      <rPr>
        <sz val="10"/>
        <rFont val="ＭＳ Ｐゴシック"/>
        <family val="3"/>
        <charset val="128"/>
      </rPr>
      <t>月</t>
    </r>
    <r>
      <rPr>
        <sz val="10"/>
        <rFont val="Arial  "/>
        <family val="2"/>
      </rPr>
      <t>1</t>
    </r>
    <r>
      <rPr>
        <sz val="10"/>
        <rFont val="ＭＳ Ｐゴシック"/>
        <family val="3"/>
        <charset val="128"/>
      </rPr>
      <t>日以降）</t>
    </r>
    <rPh sb="0" eb="2">
      <t>カイテイ</t>
    </rPh>
    <rPh sb="2" eb="4">
      <t>カカク</t>
    </rPh>
    <rPh sb="9" eb="10">
      <t>ネン</t>
    </rPh>
    <rPh sb="11" eb="12">
      <t>ガツ</t>
    </rPh>
    <rPh sb="13" eb="14">
      <t>ニチ</t>
    </rPh>
    <rPh sb="14" eb="16">
      <t>イコウ</t>
    </rPh>
    <phoneticPr fontId="2"/>
  </si>
  <si>
    <t>2022 April</t>
    <phoneticPr fontId="2"/>
  </si>
  <si>
    <t>Up to 5m</t>
    <phoneticPr fontId="2"/>
  </si>
  <si>
    <t>Currency</t>
    <phoneticPr fontId="95"/>
  </si>
  <si>
    <t>Composition</t>
    <phoneticPr fontId="95"/>
  </si>
  <si>
    <t>Stock as of 19th Dec</t>
    <phoneticPr fontId="2"/>
  </si>
  <si>
    <t xml:space="preserve"># 1 (optic) or # 0 (off) </t>
    <phoneticPr fontId="2"/>
  </si>
  <si>
    <r>
      <t xml:space="preserve">Osaka </t>
    </r>
    <r>
      <rPr>
        <b/>
        <sz val="10"/>
        <rFont val="ＭＳ Ｐゴシック"/>
        <family val="3"/>
        <charset val="128"/>
      </rPr>
      <t>→</t>
    </r>
    <r>
      <rPr>
        <b/>
        <sz val="10"/>
        <rFont val="Arial"/>
        <family val="2"/>
      </rPr>
      <t>NY sub ttl</t>
    </r>
    <phoneticPr fontId="2"/>
  </si>
  <si>
    <t>シート名1</t>
    <rPh sb="3" eb="4">
      <t>メイ</t>
    </rPh>
    <phoneticPr fontId="2"/>
  </si>
  <si>
    <t>シート名2</t>
    <rPh sb="3" eb="4">
      <t>メイ</t>
    </rPh>
    <phoneticPr fontId="2"/>
  </si>
  <si>
    <t>BackOrder</t>
    <phoneticPr fontId="2"/>
  </si>
  <si>
    <t>シート名</t>
    <rPh sb="3" eb="4">
      <t>メイ</t>
    </rPh>
    <phoneticPr fontId="2"/>
  </si>
  <si>
    <t>XC20221229001</t>
    <phoneticPr fontId="2"/>
  </si>
  <si>
    <t>22889</t>
    <phoneticPr fontId="2"/>
  </si>
  <si>
    <r>
      <t>20230201~18</t>
    </r>
    <r>
      <rPr>
        <sz val="12"/>
        <color indexed="10"/>
        <rFont val="ＭＳ Ｐゴシック"/>
        <family val="3"/>
        <charset val="128"/>
      </rPr>
      <t>円</t>
    </r>
    <rPh sb="11" eb="12">
      <t>エン</t>
    </rPh>
    <phoneticPr fontId="2"/>
  </si>
  <si>
    <t>KRP-email 230105</t>
    <phoneticPr fontId="2"/>
  </si>
  <si>
    <r>
      <rPr>
        <sz val="12"/>
        <color indexed="8"/>
        <rFont val="ＭＳ Ｐゴシック"/>
        <family val="3"/>
        <charset val="128"/>
      </rPr>
      <t>通常</t>
    </r>
    <r>
      <rPr>
        <sz val="12"/>
        <color indexed="8"/>
        <rFont val="Arial"/>
        <family val="2"/>
      </rPr>
      <t xml:space="preserve">20 </t>
    </r>
    <r>
      <rPr>
        <sz val="12"/>
        <color indexed="8"/>
        <rFont val="ＭＳ Ｐゴシック"/>
        <family val="3"/>
        <charset val="128"/>
      </rPr>
      <t>貿易</t>
    </r>
    <r>
      <rPr>
        <sz val="12"/>
        <color indexed="8"/>
        <rFont val="Arial"/>
        <family val="2"/>
      </rPr>
      <t>17.17</t>
    </r>
    <rPh sb="0" eb="2">
      <t>ツウジョウ</t>
    </rPh>
    <rPh sb="5" eb="7">
      <t>ボウエキ</t>
    </rPh>
    <phoneticPr fontId="2"/>
  </si>
  <si>
    <t>RVLVRD994</t>
    <phoneticPr fontId="2"/>
  </si>
  <si>
    <t>REVOLVE (ALLIANCE APPAREL)</t>
    <phoneticPr fontId="2"/>
  </si>
  <si>
    <t># 618</t>
    <phoneticPr fontId="2"/>
  </si>
  <si>
    <t>Cut fee</t>
    <phoneticPr fontId="2"/>
  </si>
  <si>
    <t>Doen c/o Daima Designs C/o Gladys Wachira</t>
    <phoneticPr fontId="2"/>
  </si>
  <si>
    <t xml:space="preserve">700 S Palm ave, </t>
    <phoneticPr fontId="2"/>
  </si>
  <si>
    <t>Alhambra, CA</t>
    <phoneticPr fontId="2"/>
  </si>
  <si>
    <t>Molly</t>
    <phoneticPr fontId="2"/>
  </si>
  <si>
    <t>FedEx 960842537</t>
    <phoneticPr fontId="2"/>
  </si>
  <si>
    <t>The ROW DTLA(REVOLVE)</t>
    <phoneticPr fontId="2"/>
  </si>
  <si>
    <t>1318 7th Street, Suite 260,</t>
    <phoneticPr fontId="2"/>
  </si>
  <si>
    <t>Los Angeles California</t>
    <phoneticPr fontId="2"/>
  </si>
  <si>
    <t>Tel: 01 53 38 48 20</t>
    <phoneticPr fontId="2"/>
  </si>
  <si>
    <t>Tel: 661-247-9229</t>
    <phoneticPr fontId="2"/>
  </si>
  <si>
    <t>Melissa Fimbres</t>
    <phoneticPr fontId="2"/>
  </si>
  <si>
    <t>Fedex Acct: 977480230</t>
  </si>
  <si>
    <t>RVLVRD994</t>
  </si>
  <si>
    <t>Osaka, Japan</t>
    <phoneticPr fontId="2"/>
  </si>
  <si>
    <t>LA, California</t>
    <phoneticPr fontId="2"/>
  </si>
  <si>
    <t>100% Nylon Tulle</t>
  </si>
  <si>
    <t># 618</t>
  </si>
  <si>
    <t>NET 30days</t>
  </si>
  <si>
    <t>KG</t>
  </si>
  <si>
    <t>x x cm</t>
    <phoneticPr fontId="2"/>
  </si>
  <si>
    <r>
      <t>950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3" eb="4">
      <t>エン</t>
    </rPh>
    <phoneticPr fontId="2"/>
  </si>
  <si>
    <t xml:space="preserve">Ecru ( undyed ) </t>
  </si>
  <si>
    <r>
      <rPr>
        <b/>
        <sz val="10"/>
        <rFont val="ＭＳ Ｐゴシック"/>
        <family val="3"/>
        <charset val="128"/>
      </rPr>
      <t>単価</t>
    </r>
    <r>
      <rPr>
        <b/>
        <sz val="10"/>
        <rFont val="Arial  "/>
        <family val="2"/>
      </rPr>
      <t>/m</t>
    </r>
    <rPh sb="0" eb="2">
      <t>タンカ</t>
    </rPh>
    <phoneticPr fontId="2"/>
  </si>
  <si>
    <t>Payment Due</t>
    <phoneticPr fontId="2"/>
  </si>
  <si>
    <t>Courier Account#</t>
    <phoneticPr fontId="2"/>
  </si>
  <si>
    <t>MOQ</t>
    <phoneticPr fontId="2"/>
  </si>
  <si>
    <t>10m /roll</t>
    <phoneticPr fontId="2"/>
  </si>
  <si>
    <t>20230112 Johnny Was</t>
    <phoneticPr fontId="2"/>
  </si>
  <si>
    <t xml:space="preserve">Sabrina Dahan llc </t>
    <phoneticPr fontId="2"/>
  </si>
  <si>
    <t>SD-230112</t>
    <phoneticPr fontId="2"/>
  </si>
  <si>
    <t># A1</t>
    <phoneticPr fontId="2"/>
  </si>
  <si>
    <t>TEL: +81 6-6455-7580/ 2850</t>
    <phoneticPr fontId="2"/>
  </si>
  <si>
    <t>21-10 FUKUSHIMA 8 CHOME, FUKUASHIMA-KU,</t>
    <phoneticPr fontId="2"/>
  </si>
  <si>
    <t>Sender  :</t>
    <phoneticPr fontId="2"/>
  </si>
  <si>
    <t>Total Weight</t>
  </si>
  <si>
    <t>pkgs.</t>
    <phoneticPr fontId="2"/>
  </si>
  <si>
    <t>Dimension :  152cm x 38cm x 38cm</t>
    <phoneticPr fontId="2"/>
  </si>
  <si>
    <t>100% Polyester Fabric</t>
  </si>
  <si>
    <t>228614  ship to LA</t>
    <phoneticPr fontId="2"/>
  </si>
  <si>
    <t>Dimension :  172cm x 42cm x 42cm</t>
    <phoneticPr fontId="2"/>
  </si>
  <si>
    <t>Dimension :  160cm x 46cm x 38cm</t>
    <phoneticPr fontId="2"/>
  </si>
  <si>
    <t>228218 LA</t>
  </si>
  <si>
    <t xml:space="preserve">Gross Weight </t>
    <phoneticPr fontId="2"/>
  </si>
  <si>
    <t xml:space="preserve">Net Weight </t>
    <phoneticPr fontId="2"/>
  </si>
  <si>
    <t>Art.No.</t>
    <phoneticPr fontId="2"/>
  </si>
  <si>
    <t>Pcg.No.</t>
    <phoneticPr fontId="2"/>
  </si>
  <si>
    <t>of Goods</t>
    <phoneticPr fontId="2"/>
  </si>
  <si>
    <t>of Packages</t>
    <phoneticPr fontId="2"/>
  </si>
  <si>
    <t>No. &amp; Kind</t>
    <phoneticPr fontId="2"/>
  </si>
  <si>
    <t>VERNON, CA</t>
    <phoneticPr fontId="2"/>
  </si>
  <si>
    <t>Osaka Japan</t>
  </si>
  <si>
    <t>UPS</t>
    <phoneticPr fontId="2"/>
  </si>
  <si>
    <t>Ocean Vessel</t>
    <phoneticPr fontId="2"/>
  </si>
  <si>
    <t>Tel: 1-213-747-8811</t>
    <phoneticPr fontId="2"/>
  </si>
  <si>
    <t>U.S.A.</t>
    <phoneticPr fontId="2"/>
  </si>
  <si>
    <t>Reference No.</t>
    <phoneticPr fontId="2"/>
  </si>
  <si>
    <t>VERNON, CA  90058,</t>
    <phoneticPr fontId="2"/>
  </si>
  <si>
    <t xml:space="preserve">4533 PACIFIC BLVD
</t>
    <phoneticPr fontId="2"/>
  </si>
  <si>
    <t>Net 30 days By T/T or Check</t>
    <phoneticPr fontId="2"/>
  </si>
  <si>
    <t xml:space="preserve">ATTN: Ms.Kristina </t>
    <phoneticPr fontId="2"/>
  </si>
  <si>
    <t>Due Date</t>
    <phoneticPr fontId="2"/>
  </si>
  <si>
    <t>L/C No.</t>
    <phoneticPr fontId="2"/>
  </si>
  <si>
    <t>Consignee:</t>
    <phoneticPr fontId="2"/>
  </si>
  <si>
    <t>&lt;Shipper: Sun Fashion Corp. in Japan&gt;</t>
    <phoneticPr fontId="2"/>
  </si>
  <si>
    <t>TEL: 1-845-633-2132</t>
    <phoneticPr fontId="2"/>
  </si>
  <si>
    <t>New York, NY 10018, U.S.A.</t>
    <phoneticPr fontId="2"/>
  </si>
  <si>
    <t>Packing List</t>
    <phoneticPr fontId="2"/>
  </si>
  <si>
    <t>Carton NO. 2</t>
    <phoneticPr fontId="2"/>
  </si>
  <si>
    <t>Country of Origin : Japan</t>
    <phoneticPr fontId="2"/>
  </si>
  <si>
    <t>Article No. :</t>
  </si>
  <si>
    <t>228701 LA</t>
    <phoneticPr fontId="2"/>
  </si>
  <si>
    <r>
      <t>PO</t>
    </r>
    <r>
      <rPr>
        <sz val="24"/>
        <color indexed="8"/>
        <rFont val="ＭＳ Ｐゴシック"/>
        <family val="3"/>
        <charset val="128"/>
      </rPr>
      <t>　</t>
    </r>
    <r>
      <rPr>
        <sz val="24"/>
        <color indexed="8"/>
        <rFont val="Arial"/>
        <family val="2"/>
      </rPr>
      <t>No.</t>
    </r>
    <phoneticPr fontId="2"/>
  </si>
  <si>
    <t>Carton NO. 1</t>
    <phoneticPr fontId="2"/>
  </si>
  <si>
    <t>Country of Origin : China</t>
    <phoneticPr fontId="2"/>
  </si>
  <si>
    <t>228614  ship to LA&amp;228710 LA</t>
    <phoneticPr fontId="2"/>
  </si>
  <si>
    <r>
      <t>N2040</t>
    </r>
    <r>
      <rPr>
        <sz val="14"/>
        <rFont val="Arial"/>
        <family val="2"/>
      </rPr>
      <t>（</t>
    </r>
    <r>
      <rPr>
        <sz val="14"/>
        <rFont val="Times New Roman"/>
        <family val="1"/>
      </rPr>
      <t>2440WIDE</t>
    </r>
    <r>
      <rPr>
        <sz val="14"/>
        <rFont val="Arial"/>
        <family val="2"/>
      </rPr>
      <t>）</t>
    </r>
  </si>
  <si>
    <t>=</t>
    <phoneticPr fontId="2"/>
  </si>
  <si>
    <t>-</t>
    <phoneticPr fontId="2"/>
  </si>
  <si>
    <t>Net Weight</t>
    <phoneticPr fontId="2"/>
  </si>
  <si>
    <t>Gross Weight</t>
    <phoneticPr fontId="2"/>
  </si>
  <si>
    <t>Carton</t>
    <phoneticPr fontId="2"/>
  </si>
  <si>
    <t>21220</t>
    <phoneticPr fontId="2"/>
  </si>
  <si>
    <t>Washable Synthetic Leather  SURFACE: Polyurethane-100%, REVERSE: Polyester-65%, Cotton 35%</t>
    <phoneticPr fontId="2"/>
  </si>
  <si>
    <t># 9000 (fabric for test)</t>
    <phoneticPr fontId="2"/>
  </si>
  <si>
    <t>品番</t>
    <rPh sb="0" eb="2">
      <t>ヒンバン</t>
    </rPh>
    <phoneticPr fontId="2"/>
  </si>
  <si>
    <t>幅</t>
    <rPh sb="0" eb="1">
      <t>ハバ</t>
    </rPh>
    <phoneticPr fontId="2"/>
  </si>
  <si>
    <t>数量</t>
    <rPh sb="0" eb="2">
      <t>スウリョウ</t>
    </rPh>
    <phoneticPr fontId="2"/>
  </si>
  <si>
    <t>1m</t>
    <phoneticPr fontId="2"/>
  </si>
  <si>
    <t>色番</t>
    <rPh sb="0" eb="2">
      <t>イロバン</t>
    </rPh>
    <phoneticPr fontId="2"/>
  </si>
  <si>
    <t>単価</t>
    <rPh sb="0" eb="2">
      <t>タンカ</t>
    </rPh>
    <phoneticPr fontId="2"/>
  </si>
  <si>
    <r>
      <t>2,686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5" eb="6">
      <t>エン</t>
    </rPh>
    <phoneticPr fontId="2"/>
  </si>
  <si>
    <t>Size</t>
    <phoneticPr fontId="2"/>
  </si>
  <si>
    <t xml:space="preserve">PO# </t>
    <phoneticPr fontId="2"/>
  </si>
  <si>
    <t>AH23PT01033</t>
    <phoneticPr fontId="2"/>
  </si>
  <si>
    <t>AH23PT01033&amp;34</t>
    <phoneticPr fontId="2"/>
  </si>
  <si>
    <t xml:space="preserve">Springtex 2023 SUMMER </t>
    <phoneticPr fontId="2"/>
  </si>
  <si>
    <t>NINGBO SPRINGTEX CO.,LTD ( Staud)</t>
    <phoneticPr fontId="2"/>
  </si>
  <si>
    <t>AH23PT01034</t>
    <phoneticPr fontId="2"/>
  </si>
  <si>
    <t># 917 Black</t>
  </si>
  <si>
    <t>NINGBO SPRINGTEX CO.,LTD</t>
    <phoneticPr fontId="2"/>
  </si>
  <si>
    <t>NO.15 JINYUN ROAD,FANGJIADA,</t>
    <phoneticPr fontId="2"/>
  </si>
  <si>
    <t>NINGBO</t>
    <phoneticPr fontId="2"/>
  </si>
  <si>
    <t>Tel: (86)87416200-8016</t>
    <phoneticPr fontId="2"/>
  </si>
  <si>
    <t>Philip</t>
    <phoneticPr fontId="2"/>
  </si>
  <si>
    <t>Springtex International co.,ltd</t>
    <phoneticPr fontId="2"/>
  </si>
  <si>
    <t>No.15 JinYun St,Haishu District,</t>
    <phoneticPr fontId="2"/>
  </si>
  <si>
    <t>Ningbo</t>
    <phoneticPr fontId="2"/>
  </si>
  <si>
    <t>Tel: 86-574-87416200</t>
  </si>
  <si>
    <t>UPS account : 7XE156</t>
    <phoneticPr fontId="2"/>
  </si>
  <si>
    <t>712 S Olive St 6th Floor</t>
    <phoneticPr fontId="2"/>
  </si>
  <si>
    <t>Tel: 323-231-8222</t>
    <phoneticPr fontId="2"/>
  </si>
  <si>
    <t>Melissa</t>
    <phoneticPr fontId="2"/>
  </si>
  <si>
    <t>#34 (anthracite)</t>
    <phoneticPr fontId="2"/>
  </si>
  <si>
    <t>Herringbone Tape Cotton-100%</t>
    <phoneticPr fontId="2"/>
  </si>
  <si>
    <t>PHARAOH COLLECTION</t>
  </si>
  <si>
    <t>PC-email 230118</t>
  </si>
  <si>
    <t>2月中</t>
    <rPh sb="1" eb="2">
      <t>ガツ</t>
    </rPh>
    <rPh sb="2" eb="3">
      <t>チュウ</t>
    </rPh>
    <phoneticPr fontId="2"/>
  </si>
  <si>
    <r>
      <rPr>
        <sz val="11"/>
        <rFont val="ＭＳ Ｐ明朝"/>
        <family val="1"/>
        <charset val="128"/>
      </rPr>
      <t>サンコロナ小田</t>
    </r>
    <r>
      <rPr>
        <sz val="11"/>
        <rFont val="Times New Roman"/>
        <family val="1"/>
      </rPr>
      <t xml:space="preserve"> </t>
    </r>
    <r>
      <rPr>
        <sz val="11"/>
        <rFont val="ＭＳ Ｐ明朝"/>
        <family val="1"/>
        <charset val="128"/>
      </rPr>
      <t>株式会社</t>
    </r>
    <rPh sb="5" eb="7">
      <t>オダ</t>
    </rPh>
    <rPh sb="8" eb="12">
      <t>カブシキカイシャ</t>
    </rPh>
    <phoneticPr fontId="2"/>
  </si>
  <si>
    <r>
      <rPr>
        <sz val="11"/>
        <rFont val="ＭＳ Ｐ明朝"/>
        <family val="1"/>
        <charset val="128"/>
      </rPr>
      <t>株式会社</t>
    </r>
    <r>
      <rPr>
        <sz val="11"/>
        <rFont val="Times New Roman"/>
        <family val="1"/>
      </rPr>
      <t xml:space="preserve"> GSI</t>
    </r>
    <r>
      <rPr>
        <sz val="11"/>
        <rFont val="ＭＳ Ｐ明朝"/>
        <family val="1"/>
        <charset val="128"/>
      </rPr>
      <t>クレオス</t>
    </r>
    <rPh sb="0" eb="4">
      <t>カブシキカイシャ</t>
    </rPh>
    <phoneticPr fontId="2"/>
  </si>
  <si>
    <t>910-0005</t>
    <phoneticPr fontId="2"/>
  </si>
  <si>
    <t>福井県福井市大手3-7-1</t>
    <rPh sb="6" eb="8">
      <t>オオテ</t>
    </rPh>
    <phoneticPr fontId="2"/>
  </si>
  <si>
    <t>0776-26-3655</t>
    <phoneticPr fontId="2"/>
  </si>
  <si>
    <t>0776-26-3996</t>
    <phoneticPr fontId="2"/>
  </si>
  <si>
    <t>中村様</t>
    <rPh sb="0" eb="3">
      <t>ナカムラサマ</t>
    </rPh>
    <phoneticPr fontId="2"/>
  </si>
  <si>
    <t>PC-email 230118</t>
    <phoneticPr fontId="2"/>
  </si>
  <si>
    <t>RD-230119</t>
  </si>
  <si>
    <t>RD-230119</t>
    <phoneticPr fontId="2"/>
  </si>
  <si>
    <t>PHARAOH COLLECTION</t>
    <phoneticPr fontId="2"/>
  </si>
  <si>
    <t>PHARAOH COLLECTION</t>
    <phoneticPr fontId="2"/>
  </si>
  <si>
    <t xml:space="preserve">Kelley O'Brien </t>
  </si>
  <si>
    <t>719 S. Los Angeles St, Suite 208</t>
    <phoneticPr fontId="2"/>
  </si>
  <si>
    <t>Tel: (917) 306-7618</t>
    <phoneticPr fontId="2"/>
  </si>
  <si>
    <t>Melanie Browning</t>
    <phoneticPr fontId="2"/>
  </si>
  <si>
    <t>Rodarte(Pasadena)</t>
    <phoneticPr fontId="2"/>
  </si>
  <si>
    <t xml:space="preserve">2930 East 12th Street </t>
  </si>
  <si>
    <t>Tel: 323.264.4018</t>
    <phoneticPr fontId="2"/>
  </si>
  <si>
    <t>FALL23-SF-008</t>
    <phoneticPr fontId="2"/>
  </si>
  <si>
    <t>ZMT5831</t>
    <phoneticPr fontId="2"/>
  </si>
  <si>
    <t>ALC-email 230127</t>
    <phoneticPr fontId="2"/>
  </si>
  <si>
    <t>ZMT5831 uncut version</t>
    <phoneticPr fontId="2"/>
  </si>
  <si>
    <t>Carton.1</t>
    <phoneticPr fontId="2"/>
  </si>
  <si>
    <t>Carton.2</t>
    <phoneticPr fontId="2"/>
  </si>
  <si>
    <t>Carton.3</t>
  </si>
  <si>
    <t>Carton.4</t>
  </si>
  <si>
    <t>Carton.5</t>
  </si>
  <si>
    <t>Carton.6</t>
  </si>
  <si>
    <t>Carton.7</t>
  </si>
  <si>
    <t>Carton.8</t>
  </si>
  <si>
    <t>Carton.9</t>
  </si>
  <si>
    <t>Carton.10</t>
  </si>
  <si>
    <t xml:space="preserve">Carton Qty </t>
    <phoneticPr fontId="2"/>
  </si>
  <si>
    <t>Total Net Weight</t>
    <phoneticPr fontId="2"/>
  </si>
  <si>
    <t>Total Gross Weight</t>
    <phoneticPr fontId="2"/>
  </si>
  <si>
    <t>687 985 2585</t>
    <phoneticPr fontId="2"/>
  </si>
  <si>
    <t>52371</t>
    <phoneticPr fontId="2"/>
  </si>
  <si>
    <t>LGSF-13023</t>
    <phoneticPr fontId="2"/>
  </si>
  <si>
    <t>Wide Micro Tulle</t>
  </si>
  <si>
    <r>
      <t>POLYESTER 100</t>
    </r>
    <r>
      <rPr>
        <sz val="10"/>
        <color rgb="FF000000"/>
        <rFont val="ＭＳ Ｐゴシック"/>
        <family val="3"/>
        <charset val="128"/>
      </rPr>
      <t>％</t>
    </r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</si>
  <si>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2"/>
  </si>
  <si>
    <t>THE SEI 20230131</t>
    <phoneticPr fontId="2"/>
  </si>
  <si>
    <t>1433</t>
    <phoneticPr fontId="2"/>
  </si>
  <si>
    <t xml:space="preserve">THE SEI </t>
    <phoneticPr fontId="2"/>
  </si>
  <si>
    <t>PO#</t>
    <phoneticPr fontId="2"/>
  </si>
  <si>
    <t>Width</t>
    <phoneticPr fontId="2"/>
  </si>
  <si>
    <t>5608 with Softshell Tip</t>
    <phoneticPr fontId="2"/>
  </si>
  <si>
    <t>36"(=abt 92cm)</t>
    <phoneticPr fontId="2"/>
  </si>
  <si>
    <t xml:space="preserve">5608 : x Black Softshell tip / L size </t>
    <phoneticPr fontId="2"/>
  </si>
  <si>
    <t>100pcs / combination</t>
    <phoneticPr fontId="2"/>
  </si>
  <si>
    <t>Oli-Viv 20230131  55% 120</t>
    <phoneticPr fontId="2"/>
  </si>
  <si>
    <t>GreyLikesWeddings 20230131 55% 120</t>
    <phoneticPr fontId="2"/>
  </si>
  <si>
    <t>MOQ/col for 
custom colors</t>
    <phoneticPr fontId="272"/>
  </si>
  <si>
    <t>EXW JAPAN 
USD/m</t>
    <phoneticPr fontId="272"/>
  </si>
  <si>
    <t>TBC</t>
    <phoneticPr fontId="272"/>
  </si>
  <si>
    <t>3709</t>
    <phoneticPr fontId="2"/>
  </si>
  <si>
    <t>900m/col</t>
    <phoneticPr fontId="272"/>
  </si>
  <si>
    <t>NEW EXW JAPAN: US$ 0.76/m</t>
    <phoneticPr fontId="2"/>
  </si>
  <si>
    <t>次回よりUSD 0.76/m</t>
    <rPh sb="0" eb="2">
      <t>ジカイ</t>
    </rPh>
    <phoneticPr fontId="2"/>
  </si>
  <si>
    <t>①入力してください</t>
    <rPh sb="1" eb="3">
      <t>ニュウリョク</t>
    </rPh>
    <phoneticPr fontId="2"/>
  </si>
  <si>
    <t>↓⑦指定したデータ範囲をBackOrderから明細にコピー</t>
    <rPh sb="2" eb="4">
      <t>シテイ</t>
    </rPh>
    <rPh sb="9" eb="11">
      <t>ハンイ</t>
    </rPh>
    <rPh sb="23" eb="25">
      <t>メイサイ</t>
    </rPh>
    <phoneticPr fontId="2"/>
  </si>
  <si>
    <t>↓⑧データ入力が完了したら、下のボタンからファイルを保存して下さい：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2"/>
  </si>
  <si>
    <t>②選択してください</t>
    <rPh sb="1" eb="3">
      <t>センタク</t>
    </rPh>
    <phoneticPr fontId="2"/>
  </si>
  <si>
    <t>↓データ開始/終了行の参考用です</t>
    <rPh sb="4" eb="6">
      <t>カイシ</t>
    </rPh>
    <rPh sb="7" eb="10">
      <t>シュウリョウギョウ</t>
    </rPh>
    <rPh sb="11" eb="14">
      <t>サンコウヨウ</t>
    </rPh>
    <phoneticPr fontId="2"/>
  </si>
  <si>
    <t>③選択してください</t>
    <rPh sb="1" eb="3">
      <t>センタク</t>
    </rPh>
    <phoneticPr fontId="2"/>
  </si>
  <si>
    <t>④入力してください</t>
    <rPh sb="1" eb="3">
      <t>ニュウリョク</t>
    </rPh>
    <phoneticPr fontId="2"/>
  </si>
  <si>
    <t>⑤入力してください</t>
    <rPh sb="1" eb="3">
      <t>ニュウリョク</t>
    </rPh>
    <phoneticPr fontId="2"/>
  </si>
  <si>
    <t>：水色のセルは全て入力して下さい</t>
    <rPh sb="1" eb="3">
      <t>ミズイロ</t>
    </rPh>
    <rPh sb="7" eb="8">
      <t>スベ</t>
    </rPh>
    <rPh sb="9" eb="11">
      <t>ニュウリョク</t>
    </rPh>
    <rPh sb="13" eb="14">
      <t>クダ</t>
    </rPh>
    <phoneticPr fontId="2"/>
  </si>
  <si>
    <t>⑥入力してください</t>
    <rPh sb="1" eb="3">
      <t>ニュウリョク</t>
    </rPh>
    <phoneticPr fontId="2"/>
  </si>
  <si>
    <t>マクロ設定用
(変更しないで)</t>
    <rPh sb="3" eb="6">
      <t>セッテイヨウ</t>
    </rPh>
    <rPh sb="8" eb="10">
      <t>ヘンコウ</t>
    </rPh>
    <phoneticPr fontId="2"/>
  </si>
  <si>
    <t>改行位置検出</t>
    <rPh sb="0" eb="2">
      <t>カイギョウ</t>
    </rPh>
    <rPh sb="2" eb="4">
      <t>イチ</t>
    </rPh>
    <rPh sb="4" eb="6">
      <t>ケンシュツ</t>
    </rPh>
    <phoneticPr fontId="2"/>
  </si>
  <si>
    <t>作業中ユーザー</t>
    <rPh sb="0" eb="3">
      <t>サギョウチュウ</t>
    </rPh>
    <phoneticPr fontId="2"/>
  </si>
  <si>
    <t>保存フォルダ</t>
    <rPh sb="0" eb="2">
      <t>ホゾン</t>
    </rPh>
    <phoneticPr fontId="2"/>
  </si>
  <si>
    <t>←取引先マスタのAccount#を呼び出し</t>
    <rPh sb="1" eb="4">
      <t>トリヒキサキ</t>
    </rPh>
    <rPh sb="17" eb="18">
      <t>ヨ</t>
    </rPh>
    <rPh sb="19" eb="20">
      <t>ダ</t>
    </rPh>
    <phoneticPr fontId="2"/>
  </si>
  <si>
    <t>改行位置判定(69行目）</t>
    <rPh sb="0" eb="6">
      <t>カイギョウイチハンテイ</t>
    </rPh>
    <rPh sb="9" eb="11">
      <t>ギョウメ</t>
    </rPh>
    <phoneticPr fontId="2"/>
  </si>
  <si>
    <t>改行位置検出</t>
    <rPh sb="0" eb="4">
      <t>カイギョウイチ</t>
    </rPh>
    <rPh sb="4" eb="6">
      <t>ケンシュツ</t>
    </rPh>
    <phoneticPr fontId="2"/>
  </si>
  <si>
    <t>予備項目(1)</t>
    <rPh sb="0" eb="4">
      <t>ヨビコウモク</t>
    </rPh>
    <phoneticPr fontId="2"/>
  </si>
  <si>
    <t>予備項目(2)</t>
    <rPh sb="0" eb="4">
      <t>ヨビコウモク</t>
    </rPh>
    <phoneticPr fontId="2"/>
  </si>
  <si>
    <t>③入力してください</t>
    <rPh sb="1" eb="3">
      <t>ニュウリョク</t>
    </rPh>
    <phoneticPr fontId="2"/>
  </si>
  <si>
    <t>↓⑥指定したデータ範囲をBackOrderから明細にコピー</t>
    <rPh sb="2" eb="4">
      <t>シテイ</t>
    </rPh>
    <rPh sb="9" eb="11">
      <t>ハンイ</t>
    </rPh>
    <rPh sb="23" eb="25">
      <t>メイサイ</t>
    </rPh>
    <phoneticPr fontId="2"/>
  </si>
  <si>
    <t>↓⑦データ入力が完了したら、下のボタンからファイルを保存して下さい：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2"/>
  </si>
  <si>
    <t>改行位置判定</t>
    <rPh sb="0" eb="4">
      <t>カイギョウイチ</t>
    </rPh>
    <rPh sb="4" eb="6">
      <t>ハンテイ</t>
    </rPh>
    <phoneticPr fontId="2"/>
  </si>
  <si>
    <t>②入力してください</t>
    <rPh sb="1" eb="3">
      <t>ニュウリョク</t>
    </rPh>
    <phoneticPr fontId="2"/>
  </si>
  <si>
    <r>
      <t>SF America Invoice</t>
    </r>
    <r>
      <rPr>
        <sz val="11"/>
        <rFont val="Yu Gothic"/>
        <family val="1"/>
        <charset val="128"/>
      </rPr>
      <t>を出力</t>
    </r>
    <rPh sb="19" eb="21">
      <t>シュツリョク</t>
    </rPh>
    <phoneticPr fontId="2"/>
  </si>
  <si>
    <r>
      <t>SF Osaka Invoice</t>
    </r>
    <r>
      <rPr>
        <sz val="11"/>
        <rFont val="Yu Gothic"/>
        <family val="1"/>
        <charset val="128"/>
      </rPr>
      <t>を出力</t>
    </r>
    <rPh sb="17" eb="19">
      <t>シュツリョク</t>
    </rPh>
    <phoneticPr fontId="2"/>
  </si>
  <si>
    <r>
      <rPr>
        <sz val="11"/>
        <rFont val="ＭＳ Ｐゴシック"/>
        <family val="3"/>
        <charset val="128"/>
      </rPr>
      <t>両方の</t>
    </r>
    <r>
      <rPr>
        <sz val="11"/>
        <rFont val="Times New Roman"/>
        <family val="1"/>
      </rPr>
      <t>Invoice</t>
    </r>
    <r>
      <rPr>
        <sz val="11"/>
        <rFont val="Yu Gothic"/>
        <family val="1"/>
        <charset val="128"/>
      </rPr>
      <t>を出力</t>
    </r>
    <rPh sb="0" eb="2">
      <t>リョウホウ</t>
    </rPh>
    <rPh sb="11" eb="13">
      <t>シュツリョク</t>
    </rPh>
    <phoneticPr fontId="2"/>
  </si>
  <si>
    <t>41382</t>
    <phoneticPr fontId="2"/>
  </si>
  <si>
    <t>Sakae Black</t>
    <phoneticPr fontId="2"/>
  </si>
  <si>
    <t xml:space="preserve">PO# </t>
    <phoneticPr fontId="2"/>
  </si>
  <si>
    <t>Collect</t>
    <phoneticPr fontId="2"/>
  </si>
  <si>
    <t>1436</t>
  </si>
  <si>
    <t>1436</t>
    <phoneticPr fontId="2"/>
  </si>
  <si>
    <t xml:space="preserve"># 130 Ivory </t>
    <phoneticPr fontId="2"/>
  </si>
  <si>
    <t xml:space="preserve">Prepaid </t>
  </si>
  <si>
    <t>20230207 Afashion</t>
    <phoneticPr fontId="2"/>
  </si>
  <si>
    <t>DHL #: 959482179</t>
    <phoneticPr fontId="2"/>
  </si>
  <si>
    <t>RYBL20230211-ship to RS</t>
    <phoneticPr fontId="2"/>
  </si>
  <si>
    <t>keep</t>
    <phoneticPr fontId="2"/>
  </si>
  <si>
    <t>Chinamine (A.L.C.)</t>
  </si>
  <si>
    <t>Chinamine (A.L.C.)</t>
    <phoneticPr fontId="2"/>
  </si>
  <si>
    <t>C&amp;F HK price /m</t>
    <phoneticPr fontId="2"/>
  </si>
  <si>
    <t>SKL044335</t>
    <phoneticPr fontId="2"/>
  </si>
  <si>
    <t>48072</t>
    <phoneticPr fontId="2"/>
  </si>
  <si>
    <r>
      <rPr>
        <sz val="12"/>
        <color rgb="FFFF0000"/>
        <rFont val="ＭＳ Ｐゴシック"/>
        <family val="3"/>
        <charset val="128"/>
      </rPr>
      <t>次回より$</t>
    </r>
    <r>
      <rPr>
        <sz val="12"/>
        <color rgb="FFFF0000"/>
        <rFont val="Arial"/>
        <family val="2"/>
      </rPr>
      <t xml:space="preserve"> 0.31</t>
    </r>
    <rPh sb="0" eb="2">
      <t>ジカイ</t>
    </rPh>
    <phoneticPr fontId="2"/>
  </si>
  <si>
    <t>New Price will be applied from next order</t>
  </si>
  <si>
    <t>NEW EXW JAPAN: US$ 0.31/m</t>
    <phoneticPr fontId="2"/>
  </si>
  <si>
    <t>228949</t>
    <phoneticPr fontId="2"/>
  </si>
  <si>
    <t>FALL23-SF-009</t>
    <phoneticPr fontId="2"/>
  </si>
  <si>
    <t>Rodarte　20221024    20%  120円</t>
    <rPh sb="28" eb="29">
      <t>エン</t>
    </rPh>
    <phoneticPr fontId="2"/>
  </si>
  <si>
    <t>Art.# / Color</t>
    <phoneticPr fontId="2"/>
  </si>
  <si>
    <t>MOQ for Mill's Standard color: 1 roll/col</t>
    <phoneticPr fontId="2"/>
  </si>
  <si>
    <t>EXW JAPAN for purchase by roll
until the 31st March,2023(JAPAN TIME)</t>
    <phoneticPr fontId="2"/>
  </si>
  <si>
    <t>EXW JAPAN for purchase by roll
from 1st April,2023(JAPAN TIME)</t>
    <phoneticPr fontId="2"/>
  </si>
  <si>
    <t>改定価格（2023年3月末迄）</t>
    <phoneticPr fontId="2"/>
  </si>
  <si>
    <t>別注ミニマム未満のアップチャージ</t>
    <phoneticPr fontId="2"/>
  </si>
  <si>
    <t>Rodarte　20230221    25%  115円</t>
    <rPh sb="28" eb="29">
      <t>エン</t>
    </rPh>
    <phoneticPr fontId="2"/>
  </si>
  <si>
    <t>stock as of 20th Feb.,2023</t>
    <phoneticPr fontId="2"/>
  </si>
  <si>
    <r>
      <t>C/#:12</t>
    </r>
    <r>
      <rPr>
        <sz val="10"/>
        <rFont val="ＭＳ Ｐゴシック"/>
        <family val="3"/>
        <charset val="128"/>
      </rPr>
      <t>：</t>
    </r>
    <r>
      <rPr>
        <sz val="10"/>
        <rFont val="Arial  "/>
        <family val="2"/>
      </rPr>
      <t xml:space="preserve"> abt 220m in stock </t>
    </r>
    <phoneticPr fontId="2"/>
  </si>
  <si>
    <t>sample add</t>
    <phoneticPr fontId="2"/>
  </si>
  <si>
    <t>5291 ( samlpe add)</t>
    <phoneticPr fontId="2"/>
  </si>
  <si>
    <t>4141  ( samlpe add)</t>
    <phoneticPr fontId="2"/>
  </si>
  <si>
    <r>
      <t>2023 3</t>
    </r>
    <r>
      <rPr>
        <sz val="11"/>
        <rFont val="ＭＳ Ｐゴシック"/>
        <family val="3"/>
        <charset val="128"/>
      </rPr>
      <t>月より</t>
    </r>
    <r>
      <rPr>
        <sz val="11"/>
        <rFont val="Arial"/>
        <family val="2"/>
      </rPr>
      <t>300</t>
    </r>
    <r>
      <rPr>
        <sz val="11"/>
        <rFont val="ＭＳ Ｐゴシック"/>
        <family val="3"/>
        <charset val="128"/>
      </rPr>
      <t>円</t>
    </r>
    <rPh sb="6" eb="7">
      <t>ガツ</t>
    </rPh>
    <rPh sb="12" eb="13">
      <t>エン</t>
    </rPh>
    <phoneticPr fontId="2"/>
  </si>
  <si>
    <t xml:space="preserve">International Freight </t>
  </si>
  <si>
    <t>FP-20230223-JS</t>
    <phoneticPr fontId="2"/>
  </si>
  <si>
    <t>12528</t>
    <phoneticPr fontId="2"/>
  </si>
  <si>
    <r>
      <t>2023 3</t>
    </r>
    <r>
      <rPr>
        <sz val="11"/>
        <rFont val="ＭＳ Ｐゴシック"/>
        <family val="3"/>
        <charset val="128"/>
      </rPr>
      <t>月より</t>
    </r>
    <r>
      <rPr>
        <sz val="11"/>
        <rFont val="Arial"/>
        <family val="2"/>
      </rPr>
      <t>350</t>
    </r>
    <r>
      <rPr>
        <sz val="11"/>
        <rFont val="ＭＳ Ｐゴシック"/>
        <family val="3"/>
        <charset val="128"/>
      </rPr>
      <t>円</t>
    </r>
    <rPh sb="6" eb="7">
      <t>ガツ</t>
    </rPh>
    <rPh sb="12" eb="13">
      <t>エン</t>
    </rPh>
    <phoneticPr fontId="2"/>
  </si>
  <si>
    <t># 618 (nude)</t>
    <phoneticPr fontId="2"/>
  </si>
  <si>
    <t># 9 (black)</t>
    <phoneticPr fontId="2"/>
  </si>
  <si>
    <t>52405</t>
    <phoneticPr fontId="2"/>
  </si>
  <si>
    <t>Order number</t>
    <phoneticPr fontId="2"/>
  </si>
  <si>
    <t xml:space="preserve">SHIP VIA FEDEX # </t>
    <phoneticPr fontId="2"/>
  </si>
  <si>
    <t># 2 (nude)</t>
    <phoneticPr fontId="2"/>
  </si>
  <si>
    <r>
      <t xml:space="preserve">228949 </t>
    </r>
    <r>
      <rPr>
        <sz val="10"/>
        <color rgb="FF0070C0"/>
        <rFont val="Arial"/>
        <family val="2"/>
      </rPr>
      <t>LA</t>
    </r>
  </si>
  <si>
    <t>6DRES02123</t>
    <phoneticPr fontId="2"/>
  </si>
  <si>
    <t>Matrix Development Limited. (RUIYE BAILI FASHION (SHENZHEN)CO.,LTD) (A.L.C.)</t>
    <phoneticPr fontId="2"/>
  </si>
  <si>
    <t>52420</t>
    <phoneticPr fontId="2"/>
  </si>
  <si>
    <r>
      <t>540y (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abt 494m)</t>
    </r>
    <phoneticPr fontId="2"/>
  </si>
  <si>
    <r>
      <t>400y (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abt 366m)</t>
    </r>
    <phoneticPr fontId="2"/>
  </si>
  <si>
    <t>No. of Package</t>
    <phoneticPr fontId="2"/>
  </si>
  <si>
    <t xml:space="preserve"> packages</t>
    <phoneticPr fontId="2"/>
  </si>
  <si>
    <t>JONF23/00008</t>
    <phoneticPr fontId="2"/>
  </si>
  <si>
    <r>
      <t># 9000 (</t>
    </r>
    <r>
      <rPr>
        <sz val="12"/>
        <rFont val="ＭＳ Ｐゴシック"/>
        <family val="3"/>
        <charset val="128"/>
      </rPr>
      <t>テスト生地と同ロット</t>
    </r>
    <r>
      <rPr>
        <sz val="12"/>
        <rFont val="Arial"/>
        <family val="2"/>
      </rPr>
      <t>)</t>
    </r>
    <rPh sb="11" eb="13">
      <t>キジ</t>
    </rPh>
    <rPh sb="14" eb="15">
      <t>ドウ</t>
    </rPh>
    <phoneticPr fontId="2"/>
  </si>
  <si>
    <r>
      <t># 9000 (</t>
    </r>
    <r>
      <rPr>
        <sz val="12"/>
        <rFont val="ＭＳ Ｐゴシック"/>
        <family val="3"/>
        <charset val="128"/>
      </rPr>
      <t>別ロット</t>
    </r>
    <r>
      <rPr>
        <sz val="12"/>
        <rFont val="Arial"/>
        <family val="2"/>
      </rPr>
      <t>)</t>
    </r>
    <rPh sb="8" eb="9">
      <t>ベツ</t>
    </rPh>
    <phoneticPr fontId="2"/>
  </si>
  <si>
    <t>47665-REV</t>
    <phoneticPr fontId="2"/>
  </si>
  <si>
    <t>HOU-email 230315</t>
    <phoneticPr fontId="2"/>
  </si>
  <si>
    <t xml:space="preserve">5600-FT </t>
  </si>
  <si>
    <t xml:space="preserve">Year 2019 – 13 rolls in total </t>
  </si>
  <si>
    <t xml:space="preserve">Year 2020 – 14 rolls in total </t>
  </si>
  <si>
    <t>Year 2021 –  no orders</t>
  </si>
  <si>
    <t xml:space="preserve">Year 2022 – 13 rolls in total </t>
  </si>
  <si>
    <t xml:space="preserve">Year 2023 ( current backorders ) –  31 rolls in total </t>
  </si>
  <si>
    <r>
      <t xml:space="preserve">Col. 30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6</t>
    </r>
    <r>
      <rPr>
        <b/>
        <sz val="10"/>
        <color rgb="FF000000"/>
        <rFont val="BIZ UDPゴシック"/>
        <family val="3"/>
        <charset val="128"/>
      </rPr>
      <t>　</t>
    </r>
    <r>
      <rPr>
        <b/>
        <sz val="10"/>
        <color rgb="FF000000"/>
        <rFont val="Arial Black"/>
        <family val="2"/>
      </rPr>
      <t xml:space="preserve">rolls / Col. OF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7 rolls  </t>
    </r>
  </si>
  <si>
    <r>
      <t xml:space="preserve">Col. 30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7</t>
    </r>
    <r>
      <rPr>
        <b/>
        <sz val="10"/>
        <color rgb="FF000000"/>
        <rFont val="BIZ UDPゴシック"/>
        <family val="3"/>
        <charset val="128"/>
      </rPr>
      <t>　</t>
    </r>
    <r>
      <rPr>
        <b/>
        <sz val="10"/>
        <color rgb="FF000000"/>
        <rFont val="Arial Black"/>
        <family val="2"/>
      </rPr>
      <t xml:space="preserve">rolls / Col. OF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7 rolls  </t>
    </r>
  </si>
  <si>
    <r>
      <t xml:space="preserve">Col. 30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17</t>
    </r>
    <r>
      <rPr>
        <b/>
        <sz val="10"/>
        <color rgb="FF000000"/>
        <rFont val="BIZ UDPゴシック"/>
        <family val="3"/>
        <charset val="128"/>
      </rPr>
      <t>　</t>
    </r>
    <r>
      <rPr>
        <b/>
        <sz val="10"/>
        <color rgb="FF000000"/>
        <rFont val="Arial Black"/>
        <family val="2"/>
      </rPr>
      <t xml:space="preserve">rolls / Col. OF </t>
    </r>
    <r>
      <rPr>
        <b/>
        <sz val="10"/>
        <color rgb="FF000000"/>
        <rFont val="BIZ UDPゴシック"/>
        <family val="3"/>
        <charset val="128"/>
      </rPr>
      <t>→</t>
    </r>
    <r>
      <rPr>
        <b/>
        <sz val="10"/>
        <color rgb="FF000000"/>
        <rFont val="Arial Black"/>
        <family val="2"/>
      </rPr>
      <t xml:space="preserve"> 14 rolls  </t>
    </r>
  </si>
  <si>
    <t xml:space="preserve">Art. # 5600-FT </t>
    <phoneticPr fontId="2"/>
  </si>
  <si>
    <t>Col. 30</t>
    <phoneticPr fontId="2"/>
  </si>
  <si>
    <t>Col. OF</t>
    <phoneticPr fontId="2"/>
  </si>
  <si>
    <t>Total roll qty</t>
    <phoneticPr fontId="2"/>
  </si>
  <si>
    <t>Year 2019</t>
    <phoneticPr fontId="2"/>
  </si>
  <si>
    <t>Year 2020</t>
    <phoneticPr fontId="2"/>
  </si>
  <si>
    <t>Year 2021</t>
    <phoneticPr fontId="2"/>
  </si>
  <si>
    <t>Year 2022</t>
    <phoneticPr fontId="2"/>
  </si>
  <si>
    <t>Year 2023 ( curent backorders )</t>
    <phoneticPr fontId="2"/>
  </si>
  <si>
    <t>Workshop No.7, 10/F, Permier Centre</t>
    <phoneticPr fontId="2"/>
  </si>
  <si>
    <r>
      <t>20230322   Frankies Bikinis  40% 120</t>
    </r>
    <r>
      <rPr>
        <b/>
        <sz val="10"/>
        <rFont val="ＭＳ Ｐゴシック"/>
        <family val="3"/>
        <charset val="128"/>
      </rPr>
      <t>円</t>
    </r>
    <rPh sb="36" eb="37">
      <t>エン</t>
    </rPh>
    <phoneticPr fontId="2"/>
  </si>
  <si>
    <t>FWL-22425</t>
    <phoneticPr fontId="2"/>
  </si>
  <si>
    <t>Ship to India</t>
    <phoneticPr fontId="2"/>
  </si>
  <si>
    <t>Ship to LA</t>
    <phoneticPr fontId="2"/>
  </si>
  <si>
    <t>228707</t>
    <phoneticPr fontId="2"/>
  </si>
  <si>
    <t>228708</t>
    <phoneticPr fontId="2"/>
  </si>
  <si>
    <t>228709</t>
    <phoneticPr fontId="2"/>
  </si>
  <si>
    <t>228710</t>
    <phoneticPr fontId="2"/>
  </si>
  <si>
    <t>Ship to-</t>
    <phoneticPr fontId="2"/>
  </si>
  <si>
    <t># 101 (cement)</t>
    <phoneticPr fontId="2"/>
  </si>
  <si>
    <t>in stock</t>
    <phoneticPr fontId="2"/>
  </si>
  <si>
    <t xml:space="preserve">No stock, L/T: 4-5 weeks based on working days in Japan </t>
    <phoneticPr fontId="2"/>
  </si>
  <si>
    <t>SF032723-REV-</t>
    <phoneticPr fontId="2"/>
  </si>
  <si>
    <t># 100 (cement)</t>
    <phoneticPr fontId="2"/>
  </si>
  <si>
    <t>DTM REGAL</t>
    <phoneticPr fontId="2"/>
  </si>
  <si>
    <t>FOB price /m</t>
    <phoneticPr fontId="2"/>
  </si>
  <si>
    <t>23PF02010</t>
    <phoneticPr fontId="2"/>
  </si>
  <si>
    <t># 131 Beige</t>
    <phoneticPr fontId="2"/>
  </si>
  <si>
    <t># 405 Midnight</t>
    <phoneticPr fontId="2"/>
  </si>
  <si>
    <t>No stock, will be ready Mid May</t>
    <phoneticPr fontId="2"/>
  </si>
  <si>
    <r>
      <rPr>
        <b/>
        <sz val="12"/>
        <rFont val="Times New Roman"/>
        <family val="1"/>
      </rPr>
      <t>SUN FASHION CORP.</t>
    </r>
    <r>
      <rPr>
        <sz val="10"/>
        <rFont val="Times New Roman"/>
        <family val="1"/>
      </rPr>
      <t xml:space="preserve">
21-10 Fukushima 8 Chome, Fukushima-Ku
Osaka, OSAKA 553-0003, 
TEL: +81 6-6455-7580/ 2850
FAX: +81 6-6452-1641</t>
    </r>
    <phoneticPr fontId="2"/>
  </si>
  <si>
    <t>AH23PT03060</t>
    <phoneticPr fontId="2"/>
  </si>
  <si>
    <t>FP-20230330-JS</t>
    <phoneticPr fontId="2"/>
  </si>
  <si>
    <t>229139</t>
    <phoneticPr fontId="2"/>
  </si>
  <si>
    <t># 9 Black</t>
  </si>
  <si>
    <t># 123 Cerulean Blue</t>
    <phoneticPr fontId="2"/>
  </si>
  <si>
    <t># 21 Ocean</t>
    <phoneticPr fontId="2"/>
  </si>
  <si>
    <t># 23 Fuchsia</t>
    <phoneticPr fontId="2"/>
  </si>
  <si>
    <t># 39 Pale Blush</t>
    <phoneticPr fontId="2"/>
  </si>
  <si>
    <t># 149 Poppy Red</t>
  </si>
  <si>
    <t># 149 Poppy Red</t>
    <phoneticPr fontId="2"/>
  </si>
  <si>
    <t># 2 Rose</t>
    <phoneticPr fontId="2"/>
  </si>
  <si>
    <t># 135 Sea Green</t>
    <phoneticPr fontId="2"/>
  </si>
  <si>
    <t># 329 Ivory</t>
    <phoneticPr fontId="2"/>
  </si>
  <si>
    <t xml:space="preserve">Total Qty </t>
  </si>
  <si>
    <t xml:space="preserve">Total Qty </t>
    <phoneticPr fontId="2"/>
  </si>
  <si>
    <t>在庫状況・キープお願いします。</t>
  </si>
  <si>
    <t>在庫状況・キープお願いします。</t>
    <rPh sb="0" eb="2">
      <t>ザイコ</t>
    </rPh>
    <rPh sb="2" eb="4">
      <t>ジョウキョウ</t>
    </rPh>
    <rPh sb="9" eb="10">
      <t>ネガ</t>
    </rPh>
    <phoneticPr fontId="2"/>
  </si>
  <si>
    <r>
      <t xml:space="preserve">FWL-24304  </t>
    </r>
    <r>
      <rPr>
        <sz val="10"/>
        <color rgb="FF000000"/>
        <rFont val="BIZ UDPゴシック"/>
        <family val="3"/>
        <charset val="128"/>
      </rPr>
      <t>ｵﾌ白＠</t>
    </r>
    <r>
      <rPr>
        <sz val="10"/>
        <color rgb="FF000000"/>
        <rFont val="Arial"/>
        <family val="2"/>
      </rPr>
      <t>319/</t>
    </r>
    <r>
      <rPr>
        <sz val="10"/>
        <color rgb="FF000000"/>
        <rFont val="BIZ UDPゴシック"/>
        <family val="3"/>
        <charset val="128"/>
      </rPr>
      <t>ｍ　生成＠</t>
    </r>
    <r>
      <rPr>
        <sz val="10"/>
        <color rgb="FF000000"/>
        <rFont val="Arial"/>
        <family val="2"/>
      </rPr>
      <t>422/</t>
    </r>
    <r>
      <rPr>
        <sz val="10"/>
        <color rgb="FF000000"/>
        <rFont val="BIZ UDPゴシック"/>
        <family val="3"/>
        <charset val="128"/>
      </rPr>
      <t>ｍ</t>
    </r>
    <phoneticPr fontId="2"/>
  </si>
  <si>
    <r>
      <t xml:space="preserve">FWL-24263  </t>
    </r>
    <r>
      <rPr>
        <sz val="10"/>
        <color rgb="FF000000"/>
        <rFont val="BIZ UDPゴシック"/>
        <family val="3"/>
        <charset val="128"/>
      </rPr>
      <t>ｵﾌ白＠</t>
    </r>
    <r>
      <rPr>
        <sz val="10"/>
        <color rgb="FF000000"/>
        <rFont val="Arial"/>
        <family val="2"/>
      </rPr>
      <t>345/</t>
    </r>
    <r>
      <rPr>
        <sz val="10"/>
        <color rgb="FF000000"/>
        <rFont val="BIZ UDPゴシック"/>
        <family val="3"/>
        <charset val="128"/>
      </rPr>
      <t>ｍ　生成＠</t>
    </r>
    <r>
      <rPr>
        <sz val="10"/>
        <color rgb="FF000000"/>
        <rFont val="Arial"/>
        <family val="2"/>
      </rPr>
      <t>456/</t>
    </r>
    <r>
      <rPr>
        <sz val="10"/>
        <color rgb="FF000000"/>
        <rFont val="BIZ UDPゴシック"/>
        <family val="3"/>
        <charset val="128"/>
      </rPr>
      <t>ｍ</t>
    </r>
    <phoneticPr fontId="2"/>
  </si>
  <si>
    <r>
      <t>FWL-24262</t>
    </r>
    <r>
      <rPr>
        <sz val="10"/>
        <color rgb="FF000000"/>
        <rFont val="BIZ UDPゴシック"/>
        <family val="3"/>
        <charset val="128"/>
      </rPr>
      <t>　ｵﾌ白＠</t>
    </r>
    <r>
      <rPr>
        <sz val="10"/>
        <color rgb="FF000000"/>
        <rFont val="Arial"/>
        <family val="2"/>
      </rPr>
      <t>455/</t>
    </r>
    <r>
      <rPr>
        <sz val="10"/>
        <color rgb="FF000000"/>
        <rFont val="BIZ UDPゴシック"/>
        <family val="3"/>
        <charset val="128"/>
      </rPr>
      <t>ｍ　生成＠</t>
    </r>
    <r>
      <rPr>
        <sz val="10"/>
        <color rgb="FF000000"/>
        <rFont val="Arial"/>
        <family val="2"/>
      </rPr>
      <t>601/</t>
    </r>
    <r>
      <rPr>
        <sz val="10"/>
        <color rgb="FF000000"/>
        <rFont val="BIZ UDPゴシック"/>
        <family val="3"/>
        <charset val="128"/>
      </rPr>
      <t>ｍ</t>
    </r>
    <phoneticPr fontId="2"/>
  </si>
  <si>
    <t>FWL-24304  Mill's Off White</t>
  </si>
  <si>
    <t xml:space="preserve">FWL-24304  Mill's Ecru </t>
    <phoneticPr fontId="2"/>
  </si>
  <si>
    <t>FWL-24263  Mill's Off White</t>
    <phoneticPr fontId="2"/>
  </si>
  <si>
    <t xml:space="preserve">FWL-24263  Mill's Ecru </t>
    <phoneticPr fontId="2"/>
  </si>
  <si>
    <r>
      <t>FWL-24262</t>
    </r>
    <r>
      <rPr>
        <sz val="10"/>
        <color rgb="FF000000"/>
        <rFont val="BIZ UDPゴシック"/>
        <family val="3"/>
        <charset val="128"/>
      </rPr>
      <t>　</t>
    </r>
    <r>
      <rPr>
        <sz val="10"/>
        <color rgb="FF000000"/>
        <rFont val="Arial"/>
        <family val="2"/>
      </rPr>
      <t>Mill's Off White</t>
    </r>
    <phoneticPr fontId="2"/>
  </si>
  <si>
    <r>
      <t>FWL-24262</t>
    </r>
    <r>
      <rPr>
        <sz val="10"/>
        <color rgb="FF000000"/>
        <rFont val="BIZ UDPゴシック"/>
        <family val="3"/>
        <charset val="128"/>
      </rPr>
      <t>　</t>
    </r>
    <r>
      <rPr>
        <sz val="10"/>
        <color rgb="FF000000"/>
        <rFont val="Arial"/>
        <family val="2"/>
      </rPr>
      <t xml:space="preserve">Mill's Ecru </t>
    </r>
    <phoneticPr fontId="2"/>
  </si>
  <si>
    <t>ｵﾌ白＠455/ｍ</t>
    <phoneticPr fontId="2"/>
  </si>
  <si>
    <t>　生成＠601/ｍ</t>
    <phoneticPr fontId="2"/>
  </si>
  <si>
    <t xml:space="preserve"> ｵﾌ白＠345/ｍ　</t>
    <phoneticPr fontId="2"/>
  </si>
  <si>
    <t>生成＠456/ｍ</t>
    <phoneticPr fontId="2"/>
  </si>
  <si>
    <t>ｵﾌ白＠319/ｍ　</t>
    <phoneticPr fontId="2"/>
  </si>
  <si>
    <t>生成＠422/ｍ</t>
    <phoneticPr fontId="2"/>
  </si>
  <si>
    <t>200 m/col (surcharge US$ 125 for below 200m/col)</t>
    <phoneticPr fontId="2"/>
  </si>
  <si>
    <t>Art. # / Col</t>
    <phoneticPr fontId="2"/>
  </si>
  <si>
    <t>Prepaid</t>
    <phoneticPr fontId="2"/>
  </si>
  <si>
    <t xml:space="preserve">2 rolls in stock, the shortage 1 roll will be ready in the end of May </t>
    <phoneticPr fontId="2"/>
  </si>
  <si>
    <t>A&amp;F230330</t>
    <phoneticPr fontId="2"/>
  </si>
  <si>
    <t>21254</t>
    <phoneticPr fontId="2"/>
  </si>
  <si>
    <t xml:space="preserve">Cotton-100% lace trim </t>
    <phoneticPr fontId="2"/>
  </si>
  <si>
    <t xml:space="preserve">FWL-24304  </t>
    <phoneticPr fontId="2"/>
  </si>
  <si>
    <t>Mill's Ecru(yarn dyed)</t>
    <phoneticPr fontId="2"/>
  </si>
  <si>
    <t xml:space="preserve">FWL-24263 </t>
    <phoneticPr fontId="2"/>
  </si>
  <si>
    <r>
      <t>FWL-24262</t>
    </r>
    <r>
      <rPr>
        <sz val="10"/>
        <color rgb="FFFF0000"/>
        <rFont val="BIZ UDPゴシック"/>
        <family val="3"/>
        <charset val="128"/>
      </rPr>
      <t/>
    </r>
    <phoneticPr fontId="2"/>
  </si>
  <si>
    <t>a</t>
    <phoneticPr fontId="2"/>
  </si>
  <si>
    <t>surcharge US$ 125 for below 200m/col</t>
    <phoneticPr fontId="2"/>
  </si>
  <si>
    <t>e</t>
    <phoneticPr fontId="2"/>
  </si>
  <si>
    <t>Total Amount</t>
    <phoneticPr fontId="2"/>
  </si>
  <si>
    <t># 9 Black</t>
    <phoneticPr fontId="2"/>
  </si>
  <si>
    <t>明細</t>
    <rPh sb="0" eb="2">
      <t>メイサイ</t>
    </rPh>
    <phoneticPr fontId="2"/>
  </si>
  <si>
    <t>Tel: 852 2761 0390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</si>
  <si>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187.4</t>
    </r>
    <rPh sb="0" eb="2">
      <t>ツウジョウ</t>
    </rPh>
    <rPh sb="2" eb="4">
      <t>タンカ</t>
    </rPh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</si>
  <si>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40.03</t>
    </r>
    <rPh sb="0" eb="2">
      <t>ツウジョウ</t>
    </rPh>
    <rPh sb="2" eb="4">
      <t>タンカ</t>
    </rPh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</si>
  <si>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41.4</t>
    </r>
    <rPh sb="0" eb="2">
      <t>ツウジョウ</t>
    </rPh>
    <rPh sb="2" eb="4">
      <t>タンカ</t>
    </rPh>
    <phoneticPr fontId="2"/>
  </si>
  <si>
    <t>SPG-230404</t>
    <phoneticPr fontId="2"/>
  </si>
  <si>
    <t># 126 Olive Green</t>
    <phoneticPr fontId="2"/>
  </si>
  <si>
    <t xml:space="preserve">INV # &amp; PI #  </t>
    <phoneticPr fontId="2"/>
  </si>
  <si>
    <t>INV # 5045</t>
    <phoneticPr fontId="2"/>
  </si>
  <si>
    <t>INV # 5114</t>
    <phoneticPr fontId="2"/>
  </si>
  <si>
    <t>PI# 5117</t>
    <phoneticPr fontId="2"/>
  </si>
  <si>
    <t># 106</t>
    <phoneticPr fontId="2"/>
  </si>
  <si>
    <t># 105</t>
    <phoneticPr fontId="2"/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</si>
  <si>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52.1</t>
    </r>
    <rPh sb="0" eb="2">
      <t>ツウジョウ</t>
    </rPh>
    <rPh sb="2" eb="4">
      <t>タンカ</t>
    </rPh>
    <phoneticPr fontId="2"/>
  </si>
  <si>
    <t>Cotton twist cord</t>
    <phoneticPr fontId="272"/>
  </si>
  <si>
    <t>Cotton 100%</t>
    <phoneticPr fontId="272"/>
  </si>
  <si>
    <t>MOQ / col for standard color</t>
    <phoneticPr fontId="2"/>
  </si>
  <si>
    <t>STD-230405</t>
    <phoneticPr fontId="2"/>
  </si>
  <si>
    <t>Staud</t>
    <phoneticPr fontId="2"/>
  </si>
  <si>
    <t>COTTON SINGLE-FACE SATIN RIBBON  Cotton 100%</t>
    <phoneticPr fontId="2"/>
  </si>
  <si>
    <t>SIC-142</t>
    <phoneticPr fontId="2"/>
  </si>
  <si>
    <t>COTTON DOUBLE-FACE SATIN TAPE  Cotton 100%</t>
    <phoneticPr fontId="2"/>
  </si>
  <si>
    <t>SIC-147</t>
    <phoneticPr fontId="2"/>
  </si>
  <si>
    <t>SIC-5507</t>
    <phoneticPr fontId="2"/>
  </si>
  <si>
    <t>LACE FRILL STRETCH Polyester 95%, Polyurethane 5%</t>
    <phoneticPr fontId="2"/>
  </si>
  <si>
    <t># 05</t>
    <phoneticPr fontId="2"/>
  </si>
  <si>
    <t>SIC-5556</t>
    <phoneticPr fontId="2"/>
  </si>
  <si>
    <t>WAIST STRETCH TAPE Polyester 85%, Polyurethane 15%</t>
    <phoneticPr fontId="2"/>
  </si>
  <si>
    <t>SIC-5553</t>
    <phoneticPr fontId="2"/>
  </si>
  <si>
    <t>COTTON FRILL STRETCH Cotton 95%, Polyurethane 5%</t>
    <phoneticPr fontId="2"/>
  </si>
  <si>
    <t>STRIPE SATIN RIBBON Polyester 100%</t>
    <phoneticPr fontId="2"/>
  </si>
  <si>
    <t>SIC-1125</t>
    <phoneticPr fontId="2"/>
  </si>
  <si>
    <t>SIC-195</t>
    <phoneticPr fontId="2"/>
  </si>
  <si>
    <t>RAYON KNOT GROSGRAIN RIBBON Rayon 100%</t>
    <phoneticPr fontId="2"/>
  </si>
  <si>
    <t>SIC-219</t>
    <phoneticPr fontId="2"/>
  </si>
  <si>
    <t>MÈLANGE SLUB RIBBON Warp Yarn : Cotton 50%, Linen 50% / Weft Yarn : Cotton 100%</t>
    <phoneticPr fontId="2"/>
  </si>
  <si>
    <t>COTTON MESH RIBBON  Cotton 100%</t>
    <phoneticPr fontId="2"/>
  </si>
  <si>
    <t>SIC-228</t>
    <phoneticPr fontId="2"/>
  </si>
  <si>
    <t>SIC-283</t>
    <phoneticPr fontId="2"/>
  </si>
  <si>
    <t>SHAGGY GROSGRAIN RIBBON  Warp Yarn : Rayon 100% /  Weft Yarn : Polyester 100%</t>
    <phoneticPr fontId="2"/>
  </si>
  <si>
    <t># 167</t>
    <phoneticPr fontId="2"/>
  </si>
  <si>
    <t>通常単価</t>
    <rPh sb="0" eb="2">
      <t>ツウジョウ</t>
    </rPh>
    <rPh sb="2" eb="4">
      <t>タンカ</t>
    </rPh>
    <phoneticPr fontId="2"/>
  </si>
  <si>
    <t>サンプル単価 x 1.5</t>
    <rPh sb="4" eb="6">
      <t>タンカ</t>
    </rPh>
    <phoneticPr fontId="2"/>
  </si>
  <si>
    <t>EXW JAPAN /m
Regular price (order by roll)</t>
    <phoneticPr fontId="2"/>
  </si>
  <si>
    <t>EXW JAPAN /m
sample cut price</t>
    <phoneticPr fontId="2"/>
  </si>
  <si>
    <t>20230406 Staud 40% 120円</t>
    <rPh sb="22" eb="23">
      <t>エン</t>
    </rPh>
    <phoneticPr fontId="2"/>
  </si>
  <si>
    <r>
      <rPr>
        <b/>
        <sz val="10"/>
        <color theme="1"/>
        <rFont val="ＭＳ Ｐゴシック"/>
        <family val="3"/>
        <charset val="128"/>
      </rPr>
      <t>サンプル単価</t>
    </r>
    <r>
      <rPr>
        <b/>
        <sz val="10"/>
        <color theme="1"/>
        <rFont val="Arial  "/>
        <family val="2"/>
      </rPr>
      <t>/m( x 1.5)</t>
    </r>
    <phoneticPr fontId="2"/>
  </si>
  <si>
    <r>
      <rPr>
        <b/>
        <sz val="10"/>
        <color theme="1"/>
        <rFont val="ＭＳ Ｐゴシック"/>
        <family val="3"/>
        <charset val="128"/>
      </rPr>
      <t>通常単価</t>
    </r>
    <r>
      <rPr>
        <b/>
        <sz val="10"/>
        <color theme="1"/>
        <rFont val="Arial  "/>
        <family val="2"/>
      </rPr>
      <t>/m</t>
    </r>
    <rPh sb="0" eb="2">
      <t>ツウジョウ</t>
    </rPh>
    <rPh sb="2" eb="4">
      <t>タンカ</t>
    </rPh>
    <phoneticPr fontId="2"/>
  </si>
  <si>
    <t>原産国</t>
    <rPh sb="0" eb="2">
      <t>ゲンサン</t>
    </rPh>
    <rPh sb="2" eb="3">
      <t>コク</t>
    </rPh>
    <phoneticPr fontId="2"/>
  </si>
  <si>
    <t>中国</t>
    <rPh sb="0" eb="2">
      <t>チュウゴク</t>
    </rPh>
    <phoneticPr fontId="2"/>
  </si>
  <si>
    <t>日本</t>
    <rPh sb="0" eb="2">
      <t>ニホン</t>
    </rPh>
    <phoneticPr fontId="2"/>
  </si>
  <si>
    <t xml:space="preserve">20230406 Protex Fashion </t>
    <phoneticPr fontId="2"/>
  </si>
  <si>
    <t xml:space="preserve">MOQ </t>
    <phoneticPr fontId="2"/>
  </si>
  <si>
    <t>C&amp;F HK price /m based on 50m</t>
    <phoneticPr fontId="2"/>
  </si>
  <si>
    <t>424</t>
    <phoneticPr fontId="2"/>
  </si>
  <si>
    <t>5655 :C/# 2NT x Bullet Metal Tip ( normal ) #PWP Silver</t>
    <phoneticPr fontId="2"/>
  </si>
  <si>
    <t>5655 :C/# 84NT x Bullet Metal Tip ( normal ) #PWP Silver</t>
    <phoneticPr fontId="2"/>
  </si>
  <si>
    <t>5655 :C/# 53NT x Bullet Metal Tip ( normal ) #PWP Silver</t>
    <phoneticPr fontId="2"/>
  </si>
  <si>
    <t>5655 :C/# 10NT x Bullet Metal Tip ( normal ) #PWP Silver</t>
    <phoneticPr fontId="2"/>
  </si>
  <si>
    <t>5655 :C/# 12NT x Bullet Metal Tip ( normal ) #PWP Silver</t>
    <phoneticPr fontId="2"/>
  </si>
  <si>
    <t>CO-C168B</t>
    <phoneticPr fontId="2"/>
  </si>
  <si>
    <t>60"(152.5cm)</t>
    <phoneticPr fontId="2"/>
  </si>
  <si>
    <t>5 sets ( US$7 /set)</t>
    <phoneticPr fontId="2"/>
  </si>
  <si>
    <r>
      <t>20230414  Frankies Bikinis  40% 120</t>
    </r>
    <r>
      <rPr>
        <b/>
        <sz val="10"/>
        <rFont val="ＭＳ Ｐゴシック"/>
        <family val="3"/>
        <charset val="128"/>
      </rPr>
      <t>円</t>
    </r>
    <rPh sb="35" eb="36">
      <t>エン</t>
    </rPh>
    <phoneticPr fontId="2"/>
  </si>
  <si>
    <t>FWL-23337</t>
    <phoneticPr fontId="2"/>
  </si>
  <si>
    <t>CO-COTTON7</t>
    <phoneticPr fontId="2"/>
  </si>
  <si>
    <t>AFP2303-035</t>
    <phoneticPr fontId="2"/>
  </si>
  <si>
    <t>50m /roll</t>
    <phoneticPr fontId="2"/>
  </si>
  <si>
    <t>Size</t>
    <phoneticPr fontId="2"/>
  </si>
  <si>
    <t>S size</t>
    <phoneticPr fontId="2"/>
  </si>
  <si>
    <t>20230417 Laren Moshi</t>
    <phoneticPr fontId="2"/>
  </si>
  <si>
    <t>20230417 Robin Piccone</t>
    <phoneticPr fontId="2"/>
  </si>
  <si>
    <r>
      <t xml:space="preserve">229213 </t>
    </r>
    <r>
      <rPr>
        <sz val="12"/>
        <color indexed="30"/>
        <rFont val="Arial"/>
        <family val="2"/>
      </rPr>
      <t>LA</t>
    </r>
    <phoneticPr fontId="2"/>
  </si>
  <si>
    <r>
      <t xml:space="preserve">229214 </t>
    </r>
    <r>
      <rPr>
        <sz val="12"/>
        <color indexed="30"/>
        <rFont val="Arial"/>
        <family val="2"/>
      </rPr>
      <t>LA</t>
    </r>
    <phoneticPr fontId="2"/>
  </si>
  <si>
    <r>
      <t xml:space="preserve">229215 </t>
    </r>
    <r>
      <rPr>
        <sz val="12"/>
        <color indexed="30"/>
        <rFont val="Arial"/>
        <family val="2"/>
      </rPr>
      <t>LA</t>
    </r>
    <phoneticPr fontId="2"/>
  </si>
  <si>
    <r>
      <t xml:space="preserve">229216 </t>
    </r>
    <r>
      <rPr>
        <sz val="12"/>
        <color indexed="30"/>
        <rFont val="Arial"/>
        <family val="2"/>
      </rPr>
      <t>LA</t>
    </r>
    <phoneticPr fontId="2"/>
  </si>
  <si>
    <r>
      <t xml:space="preserve">229217 </t>
    </r>
    <r>
      <rPr>
        <sz val="12"/>
        <color indexed="30"/>
        <rFont val="Arial"/>
        <family val="2"/>
      </rPr>
      <t>LA</t>
    </r>
    <phoneticPr fontId="2"/>
  </si>
  <si>
    <r>
      <t xml:space="preserve">229218 </t>
    </r>
    <r>
      <rPr>
        <sz val="12"/>
        <color indexed="30"/>
        <rFont val="Arial"/>
        <family val="2"/>
      </rPr>
      <t>LA</t>
    </r>
    <phoneticPr fontId="2"/>
  </si>
  <si>
    <t xml:space="preserve">REF# </t>
    <phoneticPr fontId="2"/>
  </si>
  <si>
    <t>229213</t>
    <phoneticPr fontId="2"/>
  </si>
  <si>
    <t>229214</t>
    <phoneticPr fontId="2"/>
  </si>
  <si>
    <t>229215</t>
    <phoneticPr fontId="2"/>
  </si>
  <si>
    <t>229216</t>
    <phoneticPr fontId="2"/>
  </si>
  <si>
    <t>229217</t>
    <phoneticPr fontId="2"/>
  </si>
  <si>
    <t>229218</t>
    <phoneticPr fontId="2"/>
  </si>
  <si>
    <t>先方出荷希望日</t>
    <rPh sb="0" eb="2">
      <t>センポウ</t>
    </rPh>
    <rPh sb="2" eb="4">
      <t>シュッカ</t>
    </rPh>
    <rPh sb="4" eb="6">
      <t>キボウ</t>
    </rPh>
    <rPh sb="6" eb="7">
      <t>ヒ</t>
    </rPh>
    <phoneticPr fontId="2"/>
  </si>
  <si>
    <r>
      <t xml:space="preserve">26th June (6/26) </t>
    </r>
    <r>
      <rPr>
        <sz val="10"/>
        <color indexed="10"/>
        <rFont val="ＭＳ Ｐゴシック"/>
        <family val="3"/>
        <charset val="128"/>
      </rPr>
      <t>出荷希望</t>
    </r>
    <rPh sb="17" eb="19">
      <t>シュッカ</t>
    </rPh>
    <rPh sb="19" eb="21">
      <t>キボウ</t>
    </rPh>
    <phoneticPr fontId="2"/>
  </si>
  <si>
    <r>
      <t xml:space="preserve">24th July ( 7/24) </t>
    </r>
    <r>
      <rPr>
        <sz val="10"/>
        <color indexed="10"/>
        <rFont val="ＭＳ Ｐゴシック"/>
        <family val="3"/>
        <charset val="128"/>
      </rPr>
      <t>出荷希望</t>
    </r>
    <rPh sb="18" eb="20">
      <t>シュッカ</t>
    </rPh>
    <rPh sb="20" eb="22">
      <t>キボウ</t>
    </rPh>
    <phoneticPr fontId="2"/>
  </si>
  <si>
    <r>
      <t xml:space="preserve">28th Aug (8/28) </t>
    </r>
    <r>
      <rPr>
        <sz val="10"/>
        <color indexed="10"/>
        <rFont val="ＭＳ Ｐゴシック"/>
        <family val="3"/>
        <charset val="128"/>
      </rPr>
      <t>出荷希望</t>
    </r>
    <rPh sb="16" eb="18">
      <t>シュッカ</t>
    </rPh>
    <rPh sb="18" eb="20">
      <t>キボウ</t>
    </rPh>
    <phoneticPr fontId="2"/>
  </si>
  <si>
    <r>
      <t xml:space="preserve">25th Sep (9/25) </t>
    </r>
    <r>
      <rPr>
        <sz val="10"/>
        <color indexed="10"/>
        <rFont val="ＭＳ Ｐゴシック"/>
        <family val="3"/>
        <charset val="128"/>
      </rPr>
      <t>出荷希望</t>
    </r>
    <rPh sb="16" eb="18">
      <t>シュッカ</t>
    </rPh>
    <rPh sb="18" eb="20">
      <t>キボウ</t>
    </rPh>
    <phoneticPr fontId="2"/>
  </si>
  <si>
    <r>
      <t xml:space="preserve">30th Oct (10/30) </t>
    </r>
    <r>
      <rPr>
        <sz val="10"/>
        <color indexed="10"/>
        <rFont val="ＭＳ Ｐゴシック"/>
        <family val="3"/>
        <charset val="128"/>
      </rPr>
      <t>出荷希望</t>
    </r>
    <rPh sb="17" eb="19">
      <t>シュッカ</t>
    </rPh>
    <rPh sb="19" eb="21">
      <t>キボウ</t>
    </rPh>
    <phoneticPr fontId="2"/>
  </si>
  <si>
    <r>
      <t xml:space="preserve">27th Nov (11/27) </t>
    </r>
    <r>
      <rPr>
        <sz val="10"/>
        <color indexed="10"/>
        <rFont val="ＭＳ Ｐゴシック"/>
        <family val="3"/>
        <charset val="128"/>
      </rPr>
      <t>出荷希望</t>
    </r>
    <rPh sb="17" eb="19">
      <t>シュッカ</t>
    </rPh>
    <rPh sb="19" eb="21">
      <t>キボウ</t>
    </rPh>
    <phoneticPr fontId="2"/>
  </si>
  <si>
    <t>27735</t>
    <phoneticPr fontId="2"/>
  </si>
  <si>
    <r>
      <t>20230419  Frankies Bikinis  40% 120</t>
    </r>
    <r>
      <rPr>
        <b/>
        <sz val="10"/>
        <rFont val="ＭＳ Ｐゴシック"/>
        <family val="3"/>
        <charset val="128"/>
      </rPr>
      <t>円</t>
    </r>
    <rPh sb="35" eb="36">
      <t>エン</t>
    </rPh>
    <phoneticPr fontId="2"/>
  </si>
  <si>
    <t>DTM</t>
    <phoneticPr fontId="2"/>
  </si>
  <si>
    <t>20230419 Jonathan Simkhai   20% 120</t>
    <phoneticPr fontId="2"/>
  </si>
  <si>
    <t xml:space="preserve">梱包費用 +20 </t>
    <rPh sb="0" eb="2">
      <t>コンポウ</t>
    </rPh>
    <rPh sb="2" eb="4">
      <t>ヒヨウ</t>
    </rPh>
    <phoneticPr fontId="2"/>
  </si>
  <si>
    <t xml:space="preserve">FUT 4177 (DTM) sample </t>
    <phoneticPr fontId="2"/>
  </si>
  <si>
    <t>FUT 4177 regular price</t>
    <phoneticPr fontId="2"/>
  </si>
  <si>
    <r>
      <t>FUT 4177 sample cut (</t>
    </r>
    <r>
      <rPr>
        <sz val="10"/>
        <rFont val="ＭＳ Ｐゴシック"/>
        <family val="3"/>
        <charset val="128"/>
      </rPr>
      <t>定番色</t>
    </r>
    <r>
      <rPr>
        <sz val="10"/>
        <rFont val="Arial"/>
        <family val="2"/>
      </rPr>
      <t>)</t>
    </r>
    <rPh sb="21" eb="23">
      <t>テイバン</t>
    </rPh>
    <rPh sb="23" eb="24">
      <t>ショク</t>
    </rPh>
    <phoneticPr fontId="2"/>
  </si>
  <si>
    <r>
      <t>202300424   Frankies Bikinis  40% 120</t>
    </r>
    <r>
      <rPr>
        <b/>
        <sz val="10"/>
        <rFont val="ＭＳ Ｐゴシック"/>
        <family val="3"/>
        <charset val="128"/>
      </rPr>
      <t>円</t>
    </r>
    <rPh sb="37" eb="38">
      <t>エン</t>
    </rPh>
    <phoneticPr fontId="2"/>
  </si>
  <si>
    <t>Mill's Black (Yarn dyed)</t>
    <phoneticPr fontId="2"/>
  </si>
  <si>
    <t>200m/col (made to order)</t>
    <phoneticPr fontId="2"/>
  </si>
  <si>
    <t>Surcharge if below 200m/col)</t>
    <phoneticPr fontId="2"/>
  </si>
  <si>
    <t>US$ 105/col</t>
    <phoneticPr fontId="2"/>
  </si>
  <si>
    <r>
      <rPr>
        <b/>
        <sz val="10"/>
        <rFont val="ＭＳ Ｐゴシック"/>
        <family val="3"/>
        <charset val="128"/>
      </rPr>
      <t>先染黒単価</t>
    </r>
    <rPh sb="0" eb="2">
      <t>サキソメ</t>
    </rPh>
    <rPh sb="2" eb="3">
      <t>クロ</t>
    </rPh>
    <rPh sb="3" eb="5">
      <t>タンカ</t>
    </rPh>
    <phoneticPr fontId="2"/>
  </si>
  <si>
    <t>小口代</t>
    <rPh sb="0" eb="3">
      <t>コグチダイ</t>
    </rPh>
    <phoneticPr fontId="2"/>
  </si>
  <si>
    <t>4007</t>
    <phoneticPr fontId="2"/>
  </si>
  <si>
    <t xml:space="preserve">FWL-22425  </t>
    <phoneticPr fontId="2"/>
  </si>
  <si>
    <t>surcharge US$ 105 for below 200m/col</t>
    <phoneticPr fontId="2"/>
  </si>
  <si>
    <t>Total amount</t>
    <phoneticPr fontId="2"/>
  </si>
  <si>
    <t>1 roll</t>
    <phoneticPr fontId="272"/>
  </si>
  <si>
    <r>
      <t xml:space="preserve">202300424  East Concept ( and-you garment ) for 7FAM  (Brad </t>
    </r>
    <r>
      <rPr>
        <b/>
        <sz val="10"/>
        <rFont val="ＭＳ Ｐゴシック"/>
        <family val="3"/>
        <charset val="128"/>
      </rPr>
      <t>の単価に合わせる）</t>
    </r>
    <rPh sb="61" eb="63">
      <t>タンカ</t>
    </rPh>
    <rPh sb="64" eb="65">
      <t>ア</t>
    </rPh>
    <phoneticPr fontId="2"/>
  </si>
  <si>
    <t>3910</t>
  </si>
  <si>
    <t>Satin Ribbon (Double Face)</t>
  </si>
  <si>
    <t>Cotton-75%/Cupra Rayon-25%</t>
  </si>
  <si>
    <t>12720</t>
    <phoneticPr fontId="2"/>
  </si>
  <si>
    <t>Cotton-62%/Nylon-38%</t>
    <phoneticPr fontId="2"/>
  </si>
  <si>
    <r>
      <rPr>
        <b/>
        <sz val="12"/>
        <rFont val="ＭＳ Ｐゴシック"/>
        <family val="3"/>
        <charset val="128"/>
      </rPr>
      <t>利益率</t>
    </r>
    <r>
      <rPr>
        <b/>
        <sz val="12"/>
        <rFont val="Arial  "/>
        <family val="2"/>
      </rPr>
      <t xml:space="preserve"> (</t>
    </r>
    <r>
      <rPr>
        <b/>
        <sz val="12"/>
        <rFont val="ＭＳ Ｐゴシック"/>
        <family val="3"/>
        <charset val="128"/>
      </rPr>
      <t>レート</t>
    </r>
    <r>
      <rPr>
        <b/>
        <sz val="12"/>
        <rFont val="Arial  "/>
        <family val="2"/>
      </rPr>
      <t xml:space="preserve"> 120</t>
    </r>
    <r>
      <rPr>
        <b/>
        <sz val="12"/>
        <rFont val="ＭＳ Ｐゴシック"/>
        <family val="3"/>
        <charset val="128"/>
      </rPr>
      <t>円</t>
    </r>
    <r>
      <rPr>
        <b/>
        <sz val="12"/>
        <rFont val="Arial  "/>
        <family val="2"/>
      </rPr>
      <t xml:space="preserve">=1$) </t>
    </r>
    <rPh sb="0" eb="3">
      <t>リエキリツ</t>
    </rPh>
    <rPh sb="12" eb="13">
      <t>エン</t>
    </rPh>
    <phoneticPr fontId="2"/>
  </si>
  <si>
    <t>7733</t>
    <phoneticPr fontId="2"/>
  </si>
  <si>
    <t>FUT4177</t>
    <phoneticPr fontId="2"/>
  </si>
  <si>
    <t>106/108 cm</t>
    <phoneticPr fontId="2"/>
  </si>
  <si>
    <t xml:space="preserve">Col. 11 White </t>
    <phoneticPr fontId="2"/>
  </si>
  <si>
    <t>Lab-dips fee</t>
    <phoneticPr fontId="2"/>
  </si>
  <si>
    <t>23PF02010 add</t>
    <phoneticPr fontId="2"/>
  </si>
  <si>
    <t>1st shipment (end of April)</t>
    <phoneticPr fontId="2"/>
  </si>
  <si>
    <t>? m</t>
    <phoneticPr fontId="2"/>
  </si>
  <si>
    <t>PI# 5199</t>
    <phoneticPr fontId="2"/>
  </si>
  <si>
    <r>
      <t>INV# 5167 (# 2440RE)</t>
    </r>
    <r>
      <rPr>
        <sz val="8"/>
        <rFont val="ＭＳ Ｐゴシック"/>
        <family val="3"/>
        <charset val="128"/>
      </rPr>
      <t>と同送</t>
    </r>
    <rPh sb="21" eb="23">
      <t>ドウソウ</t>
    </rPh>
    <phoneticPr fontId="2"/>
  </si>
  <si>
    <r>
      <t xml:space="preserve">Parc&amp;Pearl 20230501    25% 120 </t>
    </r>
    <r>
      <rPr>
        <sz val="10"/>
        <rFont val="ＭＳ Ｐゴシック"/>
        <family val="3"/>
        <charset val="128"/>
      </rPr>
      <t>円</t>
    </r>
    <rPh sb="31" eb="32">
      <t>エン</t>
    </rPh>
    <phoneticPr fontId="2"/>
  </si>
  <si>
    <t>GS-NS2487</t>
    <phoneticPr fontId="2"/>
  </si>
  <si>
    <t xml:space="preserve">Available / cut fee : TBC </t>
    <phoneticPr fontId="2"/>
  </si>
  <si>
    <t>KYL-873021C</t>
    <phoneticPr fontId="2"/>
  </si>
  <si>
    <t>Iara</t>
    <phoneticPr fontId="2"/>
  </si>
  <si>
    <r>
      <t>HS Fashion (JS) 20230508 20% 120</t>
    </r>
    <r>
      <rPr>
        <sz val="11"/>
        <rFont val="ＭＳ Ｐゴシック"/>
        <family val="3"/>
        <charset val="128"/>
      </rPr>
      <t>円</t>
    </r>
    <rPh sb="32" eb="33">
      <t>エン</t>
    </rPh>
    <phoneticPr fontId="2"/>
  </si>
  <si>
    <t xml:space="preserve">Mayfair 5000 ( non-metallic )  </t>
    <phoneticPr fontId="2"/>
  </si>
  <si>
    <t xml:space="preserve">Order qty </t>
    <phoneticPr fontId="2"/>
  </si>
  <si>
    <t xml:space="preserve">sample qty ( 1m - 5m ) </t>
    <phoneticPr fontId="2"/>
  </si>
  <si>
    <t xml:space="preserve">Size </t>
    <phoneticPr fontId="2"/>
  </si>
  <si>
    <t>92cm x abt 25m</t>
    <phoneticPr fontId="2"/>
  </si>
  <si>
    <t xml:space="preserve">Regular ( 6m -  ) </t>
    <phoneticPr fontId="2"/>
  </si>
  <si>
    <t xml:space="preserve">Mayfair 5000 ( metallic )  </t>
    <phoneticPr fontId="2"/>
  </si>
  <si>
    <r>
      <t>20230508 Calme ( Johnny Was  ) 40% 120</t>
    </r>
    <r>
      <rPr>
        <b/>
        <sz val="10"/>
        <rFont val="ＭＳ Ｐゴシック"/>
        <family val="3"/>
        <charset val="128"/>
      </rPr>
      <t>円</t>
    </r>
    <rPh sb="38" eb="39">
      <t>エン</t>
    </rPh>
    <phoneticPr fontId="2"/>
  </si>
  <si>
    <t>FWL-2526</t>
    <phoneticPr fontId="2"/>
  </si>
  <si>
    <t>Mill's Black &amp; Mill's Ecru available ( yarn dyed)</t>
    <phoneticPr fontId="2"/>
  </si>
  <si>
    <t xml:space="preserve">Custom color ( piece dye ) </t>
    <phoneticPr fontId="2"/>
  </si>
  <si>
    <r>
      <t>Surcharge if below 100m /col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US$ 75/col</t>
    </r>
    <phoneticPr fontId="2"/>
  </si>
  <si>
    <t xml:space="preserve">Surcharge  </t>
    <phoneticPr fontId="2"/>
  </si>
  <si>
    <t>FWL-22471</t>
    <phoneticPr fontId="2"/>
  </si>
  <si>
    <t>20230509 Jonathan Simkhai 20% 120</t>
    <phoneticPr fontId="2"/>
  </si>
  <si>
    <t>FUT3515  Stock colors order confitions (2023.May 9th )</t>
    <phoneticPr fontId="2"/>
  </si>
  <si>
    <t>FUT3515 Regular price</t>
    <phoneticPr fontId="2"/>
  </si>
  <si>
    <t>FUT3515 Sample cut</t>
    <phoneticPr fontId="2"/>
  </si>
  <si>
    <t>梱包費用 +20 円</t>
    <phoneticPr fontId="2"/>
  </si>
  <si>
    <t>IARA-230510</t>
    <phoneticPr fontId="2"/>
  </si>
  <si>
    <t>already shipped (INV# 5199)</t>
    <phoneticPr fontId="2"/>
  </si>
  <si>
    <t>11th May</t>
    <phoneticPr fontId="2"/>
  </si>
  <si>
    <t>17-19th May</t>
    <phoneticPr fontId="2"/>
  </si>
  <si>
    <t>7764</t>
    <phoneticPr fontId="2"/>
  </si>
  <si>
    <t xml:space="preserve">Col. 20 Black </t>
    <phoneticPr fontId="2"/>
  </si>
  <si>
    <t>DTM Sulfur (13-0720 TCX)</t>
    <phoneticPr fontId="2"/>
  </si>
  <si>
    <t>DTM Pacific (16-4132 TCX)</t>
    <phoneticPr fontId="2"/>
  </si>
  <si>
    <t>KKF3066</t>
    <phoneticPr fontId="2"/>
  </si>
  <si>
    <t>Width</t>
    <phoneticPr fontId="2"/>
  </si>
  <si>
    <r>
      <t>870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</si>
  <si>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1700</t>
    </r>
    <r>
      <rPr>
        <sz val="10"/>
        <rFont val="ＭＳ Ｐゴシック"/>
        <family val="3"/>
        <charset val="128"/>
      </rPr>
      <t>円</t>
    </r>
    <rPh sb="4" eb="5">
      <t>エン</t>
    </rPh>
    <phoneticPr fontId="2"/>
  </si>
  <si>
    <t xml:space="preserve">FUT3515 </t>
    <phoneticPr fontId="2"/>
  </si>
  <si>
    <t>120/125cm</t>
    <phoneticPr fontId="2"/>
  </si>
  <si>
    <t>Col. 11 White</t>
    <phoneticPr fontId="2"/>
  </si>
  <si>
    <t xml:space="preserve">If Qty is 58m </t>
    <phoneticPr fontId="2"/>
  </si>
  <si>
    <t>EXW JAPAN US$ 7.61/m</t>
    <phoneticPr fontId="2"/>
  </si>
  <si>
    <r>
      <t>DTM Sulfur (13-0720 TCX)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will use TPG</t>
    </r>
    <phoneticPr fontId="2"/>
  </si>
  <si>
    <r>
      <t xml:space="preserve">DTM Pacific (16-4132 TCX)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will use TPG</t>
    </r>
    <phoneticPr fontId="2"/>
  </si>
  <si>
    <t>L/T</t>
    <phoneticPr fontId="2"/>
  </si>
  <si>
    <t>Early June</t>
    <phoneticPr fontId="2"/>
  </si>
  <si>
    <r>
      <t>20230511 Honorine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</si>
  <si>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ES-8850</t>
    <phoneticPr fontId="2"/>
  </si>
  <si>
    <t>abt 80m /roll</t>
    <phoneticPr fontId="2"/>
  </si>
  <si>
    <t>ES-8868</t>
    <phoneticPr fontId="2"/>
  </si>
  <si>
    <t>abt 30m /roll</t>
    <phoneticPr fontId="2"/>
  </si>
  <si>
    <t>DTM Champagne (12-1403 TCX)</t>
    <phoneticPr fontId="2"/>
  </si>
  <si>
    <t>7774</t>
    <phoneticPr fontId="2"/>
  </si>
  <si>
    <t>FUT3515</t>
    <phoneticPr fontId="2"/>
  </si>
  <si>
    <t># 11 White</t>
    <phoneticPr fontId="2"/>
  </si>
  <si>
    <t># 12 Black</t>
    <phoneticPr fontId="2"/>
  </si>
  <si>
    <t># 39 Point Dume</t>
    <phoneticPr fontId="2"/>
  </si>
  <si>
    <t xml:space="preserve"> EXW JAPAN USD/m
Sample cut ( up to 5m) </t>
    <phoneticPr fontId="2"/>
  </si>
  <si>
    <t xml:space="preserve">EXW JAPAN USD/m
Purchace by roll </t>
    <phoneticPr fontId="272"/>
  </si>
  <si>
    <r>
      <t xml:space="preserve">20230516 Rodarte </t>
    </r>
    <r>
      <rPr>
        <b/>
        <sz val="10"/>
        <rFont val="ＭＳ Ｐゴシック"/>
        <family val="3"/>
        <charset val="128"/>
      </rPr>
      <t>数量別単価</t>
    </r>
    <rPh sb="17" eb="19">
      <t>スウリョウ</t>
    </rPh>
    <rPh sb="19" eb="20">
      <t>ベツ</t>
    </rPh>
    <rPh sb="20" eb="22">
      <t>タンカ</t>
    </rPh>
    <phoneticPr fontId="2"/>
  </si>
  <si>
    <t>T3500 / Col. 9 Black</t>
    <phoneticPr fontId="2"/>
  </si>
  <si>
    <r>
      <rPr>
        <b/>
        <sz val="10"/>
        <rFont val="ＭＳ Ｐゴシック"/>
        <family val="3"/>
        <charset val="128"/>
      </rPr>
      <t>以前単価据え置き（</t>
    </r>
    <r>
      <rPr>
        <b/>
        <sz val="10"/>
        <rFont val="Arial  "/>
        <family val="2"/>
      </rPr>
      <t>37%, 120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 "/>
        <family val="2"/>
      </rPr>
      <t>)</t>
    </r>
    <rPh sb="0" eb="2">
      <t>イゼン</t>
    </rPh>
    <rPh sb="2" eb="4">
      <t>タンカ</t>
    </rPh>
    <rPh sb="4" eb="5">
      <t>ス</t>
    </rPh>
    <rPh sb="6" eb="7">
      <t>オ</t>
    </rPh>
    <rPh sb="17" eb="18">
      <t>エン</t>
    </rPh>
    <phoneticPr fontId="2"/>
  </si>
  <si>
    <t xml:space="preserve">EXW JAPAN price/m for  
50m - 499m /col </t>
    <phoneticPr fontId="2"/>
  </si>
  <si>
    <t xml:space="preserve">EXW JAPAN price/m for 
1,000m /col- </t>
    <phoneticPr fontId="2"/>
  </si>
  <si>
    <t>以前のレートで出した単価据置・約28%, レート120円</t>
    <rPh sb="0" eb="2">
      <t>イゼン</t>
    </rPh>
    <rPh sb="7" eb="8">
      <t>ダ</t>
    </rPh>
    <rPh sb="10" eb="12">
      <t>タンカ</t>
    </rPh>
    <rPh sb="12" eb="14">
      <t>スエオキ</t>
    </rPh>
    <rPh sb="15" eb="16">
      <t>ヤク</t>
    </rPh>
    <rPh sb="27" eb="28">
      <t>エン</t>
    </rPh>
    <phoneticPr fontId="2"/>
  </si>
  <si>
    <t>EXW JAPAN price/m for
1 - 6 rolls /col ( 44m/rol)</t>
    <phoneticPr fontId="2"/>
  </si>
  <si>
    <t>EXW JAPAN price/m for
7 - 12 rolls /col ( 44m/rol)</t>
    <phoneticPr fontId="2"/>
  </si>
  <si>
    <t>SAG-7500  C/#:312 Black</t>
    <phoneticPr fontId="2"/>
  </si>
  <si>
    <t>SAG-1380  C/#:12 Black</t>
    <phoneticPr fontId="2"/>
  </si>
  <si>
    <t>28%, レート120円</t>
    <rPh sb="11" eb="12">
      <t>エン</t>
    </rPh>
    <phoneticPr fontId="2"/>
  </si>
  <si>
    <t>EXW JAPAN price/m for
13 rolls /col - ( 44m/rol)</t>
    <phoneticPr fontId="2"/>
  </si>
  <si>
    <t>SAG-7570  C/#:12 Black</t>
    <phoneticPr fontId="2"/>
  </si>
  <si>
    <r>
      <t>1780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>/m</t>
    </r>
    <rPh sb="4" eb="5">
      <t>エン</t>
    </rPh>
    <phoneticPr fontId="2"/>
  </si>
  <si>
    <r>
      <t>1860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>/m</t>
    </r>
    <phoneticPr fontId="2"/>
  </si>
  <si>
    <r>
      <t>1800</t>
    </r>
    <r>
      <rPr>
        <sz val="10"/>
        <rFont val="ＭＳ Ｐゴシック"/>
        <family val="3"/>
        <charset val="128"/>
      </rPr>
      <t>円</t>
    </r>
    <r>
      <rPr>
        <sz val="10"/>
        <rFont val="Arial  "/>
        <family val="2"/>
      </rPr>
      <t>/m</t>
    </r>
    <phoneticPr fontId="2"/>
  </si>
  <si>
    <t>現在庫</t>
    <rPh sb="0" eb="3">
      <t>ゲンザイコ</t>
    </rPh>
    <phoneticPr fontId="2"/>
  </si>
  <si>
    <r>
      <rPr>
        <b/>
        <sz val="10"/>
        <rFont val="ＭＳ Ｐゴシック"/>
        <family val="3"/>
        <charset val="128"/>
      </rPr>
      <t>利益率</t>
    </r>
    <r>
      <rPr>
        <b/>
        <sz val="10"/>
        <rFont val="Arial  "/>
        <family val="2"/>
      </rPr>
      <t>,</t>
    </r>
    <r>
      <rPr>
        <b/>
        <sz val="10"/>
        <rFont val="ＭＳ Ｐゴシック"/>
        <family val="3"/>
        <charset val="128"/>
      </rPr>
      <t>　レート</t>
    </r>
    <rPh sb="0" eb="3">
      <t>リエキリツ</t>
    </rPh>
    <phoneticPr fontId="2"/>
  </si>
  <si>
    <r>
      <t>EXW JAPAN price/m for  
50m - 499m /col</t>
    </r>
    <r>
      <rPr>
        <b/>
        <sz val="10"/>
        <color rgb="FFFF0000"/>
        <rFont val="Arial  "/>
        <family val="2"/>
      </rPr>
      <t xml:space="preserve"> PRE-PAYMENT</t>
    </r>
    <phoneticPr fontId="2"/>
  </si>
  <si>
    <r>
      <t xml:space="preserve">EXW JAPAN price/m for  
50m - 499m /col </t>
    </r>
    <r>
      <rPr>
        <b/>
        <sz val="10"/>
        <color rgb="FFFF0000"/>
        <rFont val="Arial  "/>
        <family val="2"/>
      </rPr>
      <t>NET 30 days</t>
    </r>
    <phoneticPr fontId="2"/>
  </si>
  <si>
    <r>
      <t xml:space="preserve">EXW JAPAN price/m for 
500m-999m /col  </t>
    </r>
    <r>
      <rPr>
        <b/>
        <sz val="10"/>
        <color rgb="FFFF0000"/>
        <rFont val="Arial  "/>
        <family val="2"/>
      </rPr>
      <t>NET 30 days</t>
    </r>
    <phoneticPr fontId="2"/>
  </si>
  <si>
    <r>
      <t xml:space="preserve">EXW JAPAN price/m for 
1,000m /col-  </t>
    </r>
    <r>
      <rPr>
        <b/>
        <sz val="10"/>
        <color rgb="FFFF0000"/>
        <rFont val="Arial  "/>
        <family val="2"/>
      </rPr>
      <t>NET 30 days</t>
    </r>
    <phoneticPr fontId="2"/>
  </si>
  <si>
    <r>
      <t>EXW JAPAN price/m for 
500m-999m /col</t>
    </r>
    <r>
      <rPr>
        <b/>
        <sz val="10"/>
        <color rgb="FFFF0000"/>
        <rFont val="Arial  "/>
        <family val="2"/>
      </rPr>
      <t xml:space="preserve"> PRE-PAYMENT</t>
    </r>
    <phoneticPr fontId="2"/>
  </si>
  <si>
    <r>
      <t>EXW JAPAN price/m for 
1,000m /col-</t>
    </r>
    <r>
      <rPr>
        <b/>
        <sz val="10"/>
        <color rgb="FFFF0000"/>
        <rFont val="Arial  "/>
        <family val="2"/>
      </rPr>
      <t xml:space="preserve"> PRE-PAYMENT</t>
    </r>
    <phoneticPr fontId="2"/>
  </si>
  <si>
    <r>
      <t>34%, 120</t>
    </r>
    <r>
      <rPr>
        <b/>
        <sz val="10"/>
        <rFont val="ＭＳ Ｐゴシック"/>
        <family val="3"/>
        <charset val="128"/>
      </rPr>
      <t>円</t>
    </r>
    <rPh sb="8" eb="9">
      <t>エン</t>
    </rPh>
    <phoneticPr fontId="2"/>
  </si>
  <si>
    <r>
      <t>31%, 120</t>
    </r>
    <r>
      <rPr>
        <b/>
        <sz val="10"/>
        <rFont val="ＭＳ Ｐゴシック"/>
        <family val="3"/>
        <charset val="128"/>
      </rPr>
      <t>円</t>
    </r>
    <phoneticPr fontId="2"/>
  </si>
  <si>
    <t>Regular より3% discount</t>
    <phoneticPr fontId="2"/>
  </si>
  <si>
    <r>
      <t xml:space="preserve">Regular </t>
    </r>
    <r>
      <rPr>
        <b/>
        <sz val="10"/>
        <rFont val="ＭＳ Ｐゴシック"/>
        <family val="3"/>
        <charset val="128"/>
      </rPr>
      <t>より</t>
    </r>
    <r>
      <rPr>
        <b/>
        <sz val="10"/>
        <rFont val="Arial  "/>
        <family val="2"/>
      </rPr>
      <t>3% discount(32%, 120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 "/>
        <family val="2"/>
      </rPr>
      <t>)</t>
    </r>
    <phoneticPr fontId="2"/>
  </si>
  <si>
    <r>
      <t xml:space="preserve">Regular </t>
    </r>
    <r>
      <rPr>
        <b/>
        <sz val="8"/>
        <rFont val="ＭＳ Ｐゴシック"/>
        <family val="3"/>
        <charset val="128"/>
      </rPr>
      <t>より</t>
    </r>
    <r>
      <rPr>
        <b/>
        <sz val="8"/>
        <rFont val="Arial  "/>
        <family val="2"/>
      </rPr>
      <t>3% discount(29%, 120</t>
    </r>
    <r>
      <rPr>
        <b/>
        <sz val="8"/>
        <rFont val="ＭＳ Ｐゴシック"/>
        <family val="3"/>
        <charset val="128"/>
      </rPr>
      <t>円</t>
    </r>
    <r>
      <rPr>
        <b/>
        <sz val="8"/>
        <rFont val="Arial  "/>
        <family val="2"/>
      </rPr>
      <t>)</t>
    </r>
    <phoneticPr fontId="2"/>
  </si>
  <si>
    <r>
      <t>EXW JAPAN price/m for
1 - 6 rolls /col ( 44m/rol)</t>
    </r>
    <r>
      <rPr>
        <b/>
        <sz val="10"/>
        <color rgb="FFFF0000"/>
        <rFont val="Arial  "/>
        <family val="2"/>
      </rPr>
      <t>NET 30 days</t>
    </r>
    <phoneticPr fontId="2"/>
  </si>
  <si>
    <r>
      <t>EXW JAPAN price/m for
1 - 6 rolls /col ( 44m/rol)</t>
    </r>
    <r>
      <rPr>
        <b/>
        <sz val="10"/>
        <color rgb="FFFF0000"/>
        <rFont val="Arial  "/>
        <family val="2"/>
      </rPr>
      <t>PRE-PAYMENT</t>
    </r>
    <phoneticPr fontId="2"/>
  </si>
  <si>
    <r>
      <t>EXW JAPAN price/m for
7 - 12 rolls /col ( 44m/rol)</t>
    </r>
    <r>
      <rPr>
        <b/>
        <sz val="10"/>
        <color rgb="FFFF0000"/>
        <rFont val="Arial  "/>
        <family val="2"/>
      </rPr>
      <t>NET 30 days</t>
    </r>
    <phoneticPr fontId="2"/>
  </si>
  <si>
    <r>
      <t>EXW JAPAN price/m for
13 rolls /col - ( 44m/rol)</t>
    </r>
    <r>
      <rPr>
        <b/>
        <sz val="10"/>
        <color rgb="FFFF0000"/>
        <rFont val="Arial  "/>
        <family val="2"/>
      </rPr>
      <t>NET 30 days</t>
    </r>
    <phoneticPr fontId="2"/>
  </si>
  <si>
    <r>
      <t>EXW JAPAN price/m for
7 - 12 rolls /col ( 44m/rol)</t>
    </r>
    <r>
      <rPr>
        <b/>
        <sz val="10"/>
        <color rgb="FFFF0000"/>
        <rFont val="Arial  "/>
        <family val="2"/>
      </rPr>
      <t>PRE-PAYMENT</t>
    </r>
    <phoneticPr fontId="2"/>
  </si>
  <si>
    <r>
      <t>EXW JAPAN price/m for
13 rolls /col - ( 44m/rol)</t>
    </r>
    <r>
      <rPr>
        <b/>
        <sz val="10"/>
        <color rgb="FFFF0000"/>
        <rFont val="Arial  "/>
        <family val="2"/>
      </rPr>
      <t>PRE-PAYMENT</t>
    </r>
    <phoneticPr fontId="2"/>
  </si>
  <si>
    <t>27%, レート120円</t>
    <rPh sb="11" eb="12">
      <t>エン</t>
    </rPh>
    <phoneticPr fontId="2"/>
  </si>
  <si>
    <t>26%, レート120円</t>
    <rPh sb="11" eb="12">
      <t>エン</t>
    </rPh>
    <phoneticPr fontId="2"/>
  </si>
  <si>
    <t>Regular より3% discount(25%, 120円)</t>
    <phoneticPr fontId="2"/>
  </si>
  <si>
    <t>Regular より3% discount(24%, 120円)</t>
    <phoneticPr fontId="2"/>
  </si>
  <si>
    <r>
      <t xml:space="preserve">Advanced payment </t>
    </r>
    <r>
      <rPr>
        <sz val="10"/>
        <color rgb="FFFF0000"/>
        <rFont val="ＭＳ Ｐゴシック"/>
        <family val="3"/>
        <charset val="128"/>
      </rPr>
      <t>依頼</t>
    </r>
    <rPh sb="17" eb="19">
      <t>イライ</t>
    </rPh>
    <phoneticPr fontId="2"/>
  </si>
  <si>
    <t xml:space="preserve">EXW JAPAN price/m for 
500m-999m /col  </t>
    <phoneticPr fontId="2"/>
  </si>
  <si>
    <t>Stock as of 16th May</t>
    <phoneticPr fontId="2"/>
  </si>
  <si>
    <t>Col. 9 Black : 59 rolls in stock</t>
    <phoneticPr fontId="2"/>
  </si>
  <si>
    <t xml:space="preserve">C/#:312 Black : 5 rolls </t>
    <phoneticPr fontId="2"/>
  </si>
  <si>
    <t xml:space="preserve">C/#:12 Black : 10 rolls </t>
    <phoneticPr fontId="2"/>
  </si>
  <si>
    <t xml:space="preserve">C/#:12 Black : 28 rolls </t>
    <phoneticPr fontId="2"/>
  </si>
  <si>
    <t>DTM Lily (14-1241 TCX)</t>
    <phoneticPr fontId="2"/>
  </si>
  <si>
    <t>8873</t>
    <phoneticPr fontId="2"/>
  </si>
  <si>
    <t># 70</t>
    <phoneticPr fontId="2"/>
  </si>
  <si>
    <t>Artificial leather cord  75% Polyester, 25% Polyurethane</t>
    <phoneticPr fontId="2"/>
  </si>
  <si>
    <t xml:space="preserve">XC20230516001 (Royal Spirit) </t>
    <phoneticPr fontId="2"/>
  </si>
  <si>
    <t># 95 black</t>
    <phoneticPr fontId="2"/>
  </si>
  <si>
    <t># 15 Hot pink</t>
    <phoneticPr fontId="2"/>
  </si>
  <si>
    <t>Dye fee if below Dye min./col</t>
    <phoneticPr fontId="2"/>
  </si>
  <si>
    <r>
      <t>20230517 ALC   55% 120</t>
    </r>
    <r>
      <rPr>
        <sz val="10"/>
        <color rgb="FF000000"/>
        <rFont val="ＭＳ Ｐゴシック"/>
        <family val="3"/>
        <charset val="128"/>
      </rPr>
      <t>円</t>
    </r>
    <rPh sb="22" eb="23">
      <t>エン</t>
    </rPh>
    <phoneticPr fontId="2"/>
  </si>
  <si>
    <r>
      <t>TI-10</t>
    </r>
    <r>
      <rPr>
        <sz val="10"/>
        <rFont val="ＭＳ Ｐゴシック"/>
        <family val="3"/>
        <charset val="128"/>
      </rPr>
      <t>‐</t>
    </r>
    <r>
      <rPr>
        <sz val="10"/>
        <rFont val="Arial"/>
        <family val="2"/>
      </rPr>
      <t>D11574</t>
    </r>
    <phoneticPr fontId="2"/>
  </si>
  <si>
    <t>PFD</t>
    <phoneticPr fontId="2"/>
  </si>
  <si>
    <t>MOQ for PFD</t>
    <phoneticPr fontId="2"/>
  </si>
  <si>
    <t>100m/roll</t>
    <phoneticPr fontId="2"/>
  </si>
  <si>
    <t>EXW JAPAN /m PFD</t>
    <phoneticPr fontId="2"/>
  </si>
  <si>
    <r>
      <rPr>
        <b/>
        <sz val="10"/>
        <color theme="1"/>
        <rFont val="ＭＳ Ｐゴシック"/>
        <family val="3"/>
        <charset val="128"/>
      </rPr>
      <t>単価</t>
    </r>
    <r>
      <rPr>
        <b/>
        <sz val="10"/>
        <color theme="1"/>
        <rFont val="Arial  "/>
        <family val="2"/>
      </rPr>
      <t xml:space="preserve"> PFD</t>
    </r>
    <rPh sb="0" eb="2">
      <t>タンカ</t>
    </rPh>
    <phoneticPr fontId="2"/>
  </si>
  <si>
    <t>染色小口代</t>
    <rPh sb="0" eb="2">
      <t>センショク</t>
    </rPh>
    <rPh sb="2" eb="4">
      <t>コグチ</t>
    </rPh>
    <rPh sb="4" eb="5">
      <t>ダイ</t>
    </rPh>
    <phoneticPr fontId="2"/>
  </si>
  <si>
    <t>3,000m/col -</t>
    <phoneticPr fontId="2"/>
  </si>
  <si>
    <t>41836</t>
    <phoneticPr fontId="2"/>
  </si>
  <si>
    <t xml:space="preserve">Order qty </t>
  </si>
  <si>
    <t xml:space="preserve">Shipping date </t>
  </si>
  <si>
    <t>DTM TAWNY</t>
  </si>
  <si>
    <t>298.9 m</t>
  </si>
  <si>
    <t>already shipped (INV# 5199)</t>
  </si>
  <si>
    <t xml:space="preserve">SAKAE Black </t>
  </si>
  <si>
    <t>316.5 m</t>
  </si>
  <si>
    <t>ZMT5831</t>
  </si>
  <si>
    <t>543.3 m</t>
  </si>
  <si>
    <t>already shipped (INV# 5213)</t>
    <phoneticPr fontId="2"/>
  </si>
  <si>
    <t>54.8 m</t>
    <phoneticPr fontId="2"/>
  </si>
  <si>
    <t xml:space="preserve"> shipped today (INV# 5232)</t>
    <phoneticPr fontId="2"/>
  </si>
  <si>
    <r>
      <rPr>
        <b/>
        <sz val="10"/>
        <color rgb="FF000000"/>
        <rFont val="Arial"/>
        <family val="2"/>
      </rPr>
      <t>would you accept</t>
    </r>
    <r>
      <rPr>
        <b/>
        <sz val="10"/>
        <color rgb="FF000000"/>
        <rFont val="ＭＳ Ｐゴシック"/>
        <family val="3"/>
        <charset val="128"/>
      </rPr>
      <t>　</t>
    </r>
    <r>
      <rPr>
        <b/>
        <sz val="10"/>
        <color rgb="FF000000"/>
        <rFont val="Arial"/>
        <family val="2"/>
      </rPr>
      <t>26th - 31st MAY ?</t>
    </r>
    <phoneticPr fontId="2"/>
  </si>
  <si>
    <t>HOL23-001</t>
    <phoneticPr fontId="2"/>
  </si>
  <si>
    <t>TI-10-D11574</t>
    <phoneticPr fontId="2"/>
  </si>
  <si>
    <t>PFD(PREVENTATIVE YELLOWING PROCESS IS NOT DONE)</t>
    <phoneticPr fontId="2"/>
  </si>
  <si>
    <t>7802</t>
    <phoneticPr fontId="2"/>
  </si>
  <si>
    <t># 530 Blue Haze</t>
    <phoneticPr fontId="2"/>
  </si>
  <si>
    <t># 62 Begonia</t>
    <phoneticPr fontId="2"/>
  </si>
  <si>
    <r>
      <t xml:space="preserve">Stretch Tape   Nylon </t>
    </r>
    <r>
      <rPr>
        <sz val="12"/>
        <rFont val="ＭＳ Ｐゴシック"/>
        <family val="3"/>
        <charset val="128"/>
      </rPr>
      <t>：</t>
    </r>
    <r>
      <rPr>
        <sz val="12"/>
        <rFont val="Arial  "/>
        <family val="2"/>
      </rPr>
      <t>85.7%  PU</t>
    </r>
    <r>
      <rPr>
        <sz val="12"/>
        <rFont val="ＭＳ Ｐゴシック"/>
        <family val="3"/>
        <charset val="128"/>
      </rPr>
      <t>：</t>
    </r>
    <r>
      <rPr>
        <sz val="12"/>
        <rFont val="Arial  "/>
        <family val="2"/>
      </rPr>
      <t>14.3%</t>
    </r>
    <phoneticPr fontId="2"/>
  </si>
  <si>
    <t xml:space="preserve">PO# </t>
    <phoneticPr fontId="2"/>
  </si>
  <si>
    <r>
      <t xml:space="preserve">7802 </t>
    </r>
    <r>
      <rPr>
        <sz val="12"/>
        <color rgb="FF0070C0"/>
        <rFont val="Arial"/>
        <family val="2"/>
      </rPr>
      <t>ship to China</t>
    </r>
  </si>
  <si>
    <t>Cotton mixed lace  Cotton 80% Nylon 20%</t>
    <phoneticPr fontId="2"/>
  </si>
  <si>
    <t xml:space="preserve">Balance Order qty </t>
  </si>
  <si>
    <t>DTM REGAL</t>
  </si>
  <si>
    <t>370.5 m</t>
  </si>
  <si>
    <t>- Balance qty, 60 M will be shipped on 26th to 31st May</t>
  </si>
  <si>
    <t>3,046.7 m</t>
  </si>
  <si>
    <t>- Balance qty will be shipped on 26th to 31st May</t>
  </si>
  <si>
    <t>ship on 23rd May</t>
    <phoneticPr fontId="2"/>
  </si>
  <si>
    <t>ship on 26th May</t>
    <phoneticPr fontId="2"/>
  </si>
  <si>
    <t>ship on 31st May</t>
    <phoneticPr fontId="2"/>
  </si>
  <si>
    <t xml:space="preserve">planning to ship abt 310m </t>
    <phoneticPr fontId="2"/>
  </si>
  <si>
    <t>still very tight, but trying our best to catch the 26th shipment for balance 60m</t>
    <phoneticPr fontId="2"/>
  </si>
  <si>
    <t xml:space="preserve">planning to ship abt 500m </t>
    <phoneticPr fontId="2"/>
  </si>
  <si>
    <t xml:space="preserve">any qty ready </t>
    <phoneticPr fontId="2"/>
  </si>
  <si>
    <t>Balance qty</t>
    <phoneticPr fontId="2"/>
  </si>
  <si>
    <t>8881</t>
    <phoneticPr fontId="2"/>
  </si>
  <si>
    <t>FW23-211</t>
    <phoneticPr fontId="2"/>
  </si>
  <si>
    <t># 9 BLACK</t>
    <phoneticPr fontId="2"/>
  </si>
  <si>
    <t># 329 White</t>
    <phoneticPr fontId="2"/>
  </si>
  <si>
    <t>ship on 23rd May</t>
  </si>
  <si>
    <t>ship on 26th May</t>
  </si>
  <si>
    <t>ship on 31st May</t>
  </si>
  <si>
    <t xml:space="preserve">Shipped out 317.1m </t>
  </si>
  <si>
    <t xml:space="preserve">Shipped out 515.2m </t>
  </si>
  <si>
    <t xml:space="preserve">960m </t>
  </si>
  <si>
    <t>Balance qty</t>
  </si>
  <si>
    <t>53.4m</t>
    <phoneticPr fontId="2"/>
  </si>
  <si>
    <t>DTM Tawny</t>
    <phoneticPr fontId="2"/>
  </si>
  <si>
    <r>
      <rPr>
        <sz val="10"/>
        <color rgb="FF000000"/>
        <rFont val="ＭＳ Ｐゴシック"/>
        <family val="3"/>
        <charset val="128"/>
      </rPr>
      <t>　</t>
    </r>
    <r>
      <rPr>
        <sz val="10"/>
        <color rgb="FF000000"/>
        <rFont val="Arial"/>
        <family val="2"/>
      </rPr>
      <t xml:space="preserve">Urgent inquiry: 50m </t>
    </r>
    <phoneticPr fontId="2"/>
  </si>
  <si>
    <t xml:space="preserve">単価/m </t>
    <rPh sb="0" eb="2">
      <t>タンカ</t>
    </rPh>
    <phoneticPr fontId="2"/>
  </si>
  <si>
    <t xml:space="preserve">OL-358044-1 </t>
    <phoneticPr fontId="2"/>
  </si>
  <si>
    <r>
      <t>OL-358043-1</t>
    </r>
    <r>
      <rPr>
        <sz val="10"/>
        <color rgb="FF000000"/>
        <rFont val="Arial"/>
        <family val="2"/>
      </rPr>
      <t/>
    </r>
    <phoneticPr fontId="2"/>
  </si>
  <si>
    <r>
      <t>OL-358042-1</t>
    </r>
    <r>
      <rPr>
        <sz val="10"/>
        <color rgb="FF000000"/>
        <rFont val="Arial"/>
        <family val="2"/>
      </rPr>
      <t/>
    </r>
    <phoneticPr fontId="2"/>
  </si>
  <si>
    <r>
      <t>20230524  JILLMARK,INC-HONORINE 40% 120</t>
    </r>
    <r>
      <rPr>
        <b/>
        <sz val="10"/>
        <rFont val="ＭＳ Ｐゴシック"/>
        <family val="3"/>
        <charset val="128"/>
      </rPr>
      <t>円</t>
    </r>
    <rPh sb="39" eb="40">
      <t>エン</t>
    </rPh>
    <phoneticPr fontId="2"/>
  </si>
  <si>
    <t>13.7m/roll</t>
    <phoneticPr fontId="2"/>
  </si>
  <si>
    <t>EXW JAPAN /m in Mill's Off White</t>
    <phoneticPr fontId="2"/>
  </si>
  <si>
    <t>Stock as of 24th May, 2023</t>
    <phoneticPr fontId="2"/>
  </si>
  <si>
    <t>abt 800m in Mill's Off White</t>
    <phoneticPr fontId="2"/>
  </si>
  <si>
    <t>abt 350m in Mill's Off White</t>
    <phoneticPr fontId="2"/>
  </si>
  <si>
    <t>abt 280m in Mill's Off White</t>
    <phoneticPr fontId="2"/>
  </si>
  <si>
    <t>29251</t>
    <phoneticPr fontId="2"/>
  </si>
  <si>
    <r>
      <t>20230525  Rudy Jude 40% 115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2"/>
  </si>
  <si>
    <t>KYL-8260-1</t>
    <phoneticPr fontId="2"/>
  </si>
  <si>
    <t>SS23-LACE1</t>
    <phoneticPr fontId="2"/>
  </si>
  <si>
    <t>RUDY JUDE</t>
    <phoneticPr fontId="2"/>
  </si>
  <si>
    <t>PI amount ( advanced payment)</t>
    <phoneticPr fontId="2"/>
  </si>
  <si>
    <t>INV# 5199</t>
    <phoneticPr fontId="2"/>
  </si>
  <si>
    <t>INV# 5213</t>
    <phoneticPr fontId="2"/>
  </si>
  <si>
    <t>INV# 5232</t>
    <phoneticPr fontId="2"/>
  </si>
  <si>
    <t>INV# 5257</t>
    <phoneticPr fontId="2"/>
  </si>
  <si>
    <t>INV# 5266</t>
    <phoneticPr fontId="2"/>
  </si>
  <si>
    <t>Shortage</t>
    <phoneticPr fontId="2"/>
  </si>
  <si>
    <r>
      <t>生産納期約</t>
    </r>
    <r>
      <rPr>
        <sz val="10"/>
        <rFont val="Arial"/>
        <family val="2"/>
      </rPr>
      <t>1.5</t>
    </r>
    <r>
      <rPr>
        <sz val="10"/>
        <rFont val="ＭＳ ゴシック"/>
        <family val="3"/>
        <charset val="128"/>
      </rPr>
      <t>か月程。生産ロット</t>
    </r>
    <r>
      <rPr>
        <sz val="10"/>
        <rFont val="Arial"/>
        <family val="2"/>
      </rPr>
      <t>2</t>
    </r>
    <r>
      <rPr>
        <sz val="10"/>
        <rFont val="ＭＳ ゴシック"/>
        <family val="3"/>
        <charset val="128"/>
      </rPr>
      <t>反ですが各柄ミックスで構いません。</t>
    </r>
  </si>
  <si>
    <r>
      <t>20230526  Rudy Jude 40% 115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2"/>
  </si>
  <si>
    <r>
      <t>FLR-72281</t>
    </r>
    <r>
      <rPr>
        <sz val="10"/>
        <rFont val="ＭＳ ゴシック"/>
        <family val="3"/>
        <charset val="128"/>
      </rPr>
      <t>　</t>
    </r>
    <r>
      <rPr>
        <sz val="10"/>
        <rFont val="Arial"/>
        <family val="2"/>
      </rPr>
      <t>2</t>
    </r>
    <r>
      <rPr>
        <sz val="10"/>
        <rFont val="ＭＳ ゴシック"/>
        <family val="3"/>
        <charset val="128"/>
      </rPr>
      <t>反（</t>
    </r>
    <r>
      <rPr>
        <sz val="10"/>
        <rFont val="Arial"/>
        <family val="2"/>
      </rPr>
      <t>1698.8</t>
    </r>
    <r>
      <rPr>
        <sz val="10"/>
        <rFont val="ＭＳ ゴシック"/>
        <family val="3"/>
        <charset val="128"/>
      </rPr>
      <t>ｍ）＠</t>
    </r>
    <r>
      <rPr>
        <sz val="10"/>
        <rFont val="Arial"/>
        <family val="2"/>
      </rPr>
      <t>110</t>
    </r>
    <r>
      <rPr>
        <sz val="10"/>
        <rFont val="ＭＳ ゴシック"/>
        <family val="3"/>
        <charset val="128"/>
      </rPr>
      <t>円</t>
    </r>
    <phoneticPr fontId="2"/>
  </si>
  <si>
    <r>
      <t>FLR-72283</t>
    </r>
    <r>
      <rPr>
        <sz val="10"/>
        <rFont val="ＭＳ ゴシック"/>
        <family val="3"/>
        <charset val="128"/>
      </rPr>
      <t>　</t>
    </r>
    <r>
      <rPr>
        <sz val="10"/>
        <rFont val="Arial"/>
        <family val="2"/>
      </rPr>
      <t>2</t>
    </r>
    <r>
      <rPr>
        <sz val="10"/>
        <rFont val="ＭＳ ゴシック"/>
        <family val="3"/>
        <charset val="128"/>
      </rPr>
      <t>反（</t>
    </r>
    <r>
      <rPr>
        <sz val="10"/>
        <rFont val="Arial"/>
        <family val="2"/>
      </rPr>
      <t>1424.8</t>
    </r>
    <r>
      <rPr>
        <sz val="10"/>
        <rFont val="ＭＳ ゴシック"/>
        <family val="3"/>
        <charset val="128"/>
      </rPr>
      <t>ｍ）＠</t>
    </r>
    <r>
      <rPr>
        <sz val="10"/>
        <rFont val="Arial"/>
        <family val="2"/>
      </rPr>
      <t>120</t>
    </r>
    <r>
      <rPr>
        <sz val="10"/>
        <rFont val="ＭＳ ゴシック"/>
        <family val="3"/>
        <charset val="128"/>
      </rPr>
      <t>円</t>
    </r>
    <phoneticPr fontId="2"/>
  </si>
  <si>
    <r>
      <t>FLR-72284</t>
    </r>
    <r>
      <rPr>
        <sz val="10"/>
        <rFont val="ＭＳ ゴシック"/>
        <family val="3"/>
        <charset val="128"/>
      </rPr>
      <t>　</t>
    </r>
    <r>
      <rPr>
        <sz val="10"/>
        <rFont val="Arial"/>
        <family val="2"/>
      </rPr>
      <t>2</t>
    </r>
    <r>
      <rPr>
        <sz val="10"/>
        <rFont val="ＭＳ ゴシック"/>
        <family val="3"/>
        <charset val="128"/>
      </rPr>
      <t>反（</t>
    </r>
    <r>
      <rPr>
        <sz val="10"/>
        <rFont val="Arial"/>
        <family val="2"/>
      </rPr>
      <t>739.8</t>
    </r>
    <r>
      <rPr>
        <sz val="10"/>
        <rFont val="ＭＳ ゴシック"/>
        <family val="3"/>
        <charset val="128"/>
      </rPr>
      <t>ｍ）＠</t>
    </r>
    <r>
      <rPr>
        <sz val="10"/>
        <rFont val="Arial"/>
        <family val="2"/>
      </rPr>
      <t>200</t>
    </r>
    <r>
      <rPr>
        <sz val="10"/>
        <rFont val="ＭＳ ゴシック"/>
        <family val="3"/>
        <charset val="128"/>
      </rPr>
      <t>円</t>
    </r>
    <phoneticPr fontId="2"/>
  </si>
  <si>
    <t>Mill's  Ecru color</t>
    <phoneticPr fontId="2"/>
  </si>
  <si>
    <t>FLR-72281</t>
    <phoneticPr fontId="2"/>
  </si>
  <si>
    <t>1698.8m</t>
    <phoneticPr fontId="2"/>
  </si>
  <si>
    <t>FLR-72283</t>
    <phoneticPr fontId="2"/>
  </si>
  <si>
    <t>1424.8m</t>
    <phoneticPr fontId="2"/>
  </si>
  <si>
    <t>FLR-72284</t>
    <phoneticPr fontId="2"/>
  </si>
  <si>
    <t>739.8m</t>
    <phoneticPr fontId="2"/>
  </si>
  <si>
    <t xml:space="preserve">Color </t>
    <phoneticPr fontId="2"/>
  </si>
  <si>
    <t>DTM EMERALD (#19-5320 TCX)</t>
    <phoneticPr fontId="2"/>
  </si>
  <si>
    <t xml:space="preserve">Greige in stock, L/T : abt 1 month based on working days in Japan </t>
    <phoneticPr fontId="2"/>
  </si>
  <si>
    <t>29421</t>
    <phoneticPr fontId="2"/>
  </si>
  <si>
    <r>
      <t>20230529 Calme ( Johnny Was  ) 40% 115</t>
    </r>
    <r>
      <rPr>
        <b/>
        <sz val="10"/>
        <rFont val="ＭＳ Ｐゴシック"/>
        <family val="3"/>
        <charset val="128"/>
      </rPr>
      <t>円</t>
    </r>
    <rPh sb="38" eb="39">
      <t>エン</t>
    </rPh>
    <phoneticPr fontId="2"/>
  </si>
  <si>
    <t>FWL-21907</t>
    <phoneticPr fontId="2"/>
  </si>
  <si>
    <t>AFP2305-016</t>
    <phoneticPr fontId="2"/>
  </si>
  <si>
    <r>
      <t>20230529 JS 40% 115</t>
    </r>
    <r>
      <rPr>
        <b/>
        <sz val="10"/>
        <rFont val="ＭＳ Ｐゴシック"/>
        <family val="3"/>
        <charset val="128"/>
      </rPr>
      <t>円</t>
    </r>
    <rPh sb="19" eb="20">
      <t>エン</t>
    </rPh>
    <phoneticPr fontId="2"/>
  </si>
  <si>
    <t>FWL-2445</t>
    <phoneticPr fontId="2"/>
  </si>
  <si>
    <t>FWL-21050</t>
    <phoneticPr fontId="2"/>
  </si>
  <si>
    <r>
      <t>Surcharge if below 100m /col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US$ 65/col</t>
    </r>
    <phoneticPr fontId="2"/>
  </si>
  <si>
    <r>
      <t>Surcharge if below 300m /col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US$ 130/col</t>
    </r>
    <phoneticPr fontId="2"/>
  </si>
  <si>
    <t xml:space="preserve">Lace Trim   100% Cotton </t>
    <phoneticPr fontId="2"/>
  </si>
  <si>
    <t>70028</t>
    <phoneticPr fontId="2"/>
  </si>
  <si>
    <t>CALME</t>
    <phoneticPr fontId="2"/>
  </si>
  <si>
    <t>PC-email 230531</t>
    <phoneticPr fontId="2"/>
  </si>
  <si>
    <t xml:space="preserve">UPS Ref # 1Z78323A0498407358 </t>
    <phoneticPr fontId="2"/>
  </si>
  <si>
    <t>INV# 5117</t>
  </si>
  <si>
    <t>PI amount ( advanced payment)</t>
  </si>
  <si>
    <t>INV# 5199</t>
  </si>
  <si>
    <t>INV# 5213</t>
  </si>
  <si>
    <t>INV# 5232</t>
  </si>
  <si>
    <t>INV# 5257</t>
  </si>
  <si>
    <t>INV# 5266</t>
  </si>
  <si>
    <t>Shortage amount</t>
  </si>
  <si>
    <t>INV# 5045</t>
    <phoneticPr fontId="2"/>
  </si>
  <si>
    <t>INV# 5114</t>
    <phoneticPr fontId="2"/>
  </si>
  <si>
    <r>
      <t xml:space="preserve">7845 </t>
    </r>
    <r>
      <rPr>
        <sz val="12"/>
        <color rgb="FF0070C0"/>
        <rFont val="Arial"/>
        <family val="2"/>
      </rPr>
      <t>China</t>
    </r>
  </si>
  <si>
    <t>C/#:12 BLACK</t>
    <phoneticPr fontId="2"/>
  </si>
  <si>
    <t>C/#:312 BLACK</t>
    <phoneticPr fontId="2"/>
  </si>
  <si>
    <t>41838</t>
    <phoneticPr fontId="2"/>
  </si>
  <si>
    <t>20230607 Jonathan Simkhai   20% 120</t>
    <phoneticPr fontId="2"/>
  </si>
  <si>
    <t xml:space="preserve">FUT 3515 (DTM) sample </t>
    <phoneticPr fontId="2"/>
  </si>
  <si>
    <t>FUT 3515 regular price</t>
    <phoneticPr fontId="2"/>
  </si>
  <si>
    <r>
      <t>FUT 3515 sample cut (</t>
    </r>
    <r>
      <rPr>
        <sz val="10"/>
        <rFont val="ＭＳ Ｐゴシック"/>
        <family val="3"/>
        <charset val="128"/>
      </rPr>
      <t>定番色</t>
    </r>
    <r>
      <rPr>
        <sz val="10"/>
        <rFont val="Arial"/>
        <family val="2"/>
      </rPr>
      <t>)</t>
    </r>
    <rPh sb="21" eb="23">
      <t>テイバン</t>
    </rPh>
    <rPh sb="23" eb="24">
      <t>ショク</t>
    </rPh>
    <phoneticPr fontId="2"/>
  </si>
  <si>
    <t>利益率</t>
    <rPh sb="0" eb="2">
      <t>リエキ</t>
    </rPh>
    <rPh sb="2" eb="3">
      <t>リツ</t>
    </rPh>
    <phoneticPr fontId="2"/>
  </si>
  <si>
    <t>レート</t>
    <phoneticPr fontId="2"/>
  </si>
  <si>
    <t>梱包費用 +20 (実際は30円に値上がり）</t>
    <rPh sb="0" eb="2">
      <t>コンポウ</t>
    </rPh>
    <rPh sb="2" eb="4">
      <t>ヒヨウ</t>
    </rPh>
    <rPh sb="10" eb="12">
      <t>ジッサイ</t>
    </rPh>
    <rPh sb="15" eb="16">
      <t>エン</t>
    </rPh>
    <rPh sb="17" eb="19">
      <t>ネア</t>
    </rPh>
    <phoneticPr fontId="2"/>
  </si>
  <si>
    <t xml:space="preserve">FUT 3515 (DTM) 2 rolls </t>
    <phoneticPr fontId="2"/>
  </si>
  <si>
    <t xml:space="preserve">FUT 3515 (DTM) 4 rolls </t>
    <phoneticPr fontId="2"/>
  </si>
  <si>
    <t xml:space="preserve">FUT 3515 (DTM) 6 rolls </t>
    <phoneticPr fontId="2"/>
  </si>
  <si>
    <t xml:space="preserve">FUT 3515 (DTM) 8 rolls </t>
    <phoneticPr fontId="2"/>
  </si>
  <si>
    <t>110/112cm</t>
    <phoneticPr fontId="2"/>
  </si>
  <si>
    <t>105/108cm</t>
    <phoneticPr fontId="2"/>
  </si>
  <si>
    <t xml:space="preserve">20230607 Jonathan Simkhai   </t>
    <phoneticPr fontId="2"/>
  </si>
  <si>
    <t xml:space="preserve">FUT 4177 regular price </t>
    <phoneticPr fontId="2"/>
  </si>
  <si>
    <r>
      <t>FUT 4177 sample cut (</t>
    </r>
    <r>
      <rPr>
        <sz val="10"/>
        <rFont val="ＭＳ Ｐゴシック"/>
        <family val="3"/>
        <charset val="128"/>
      </rPr>
      <t>定番色</t>
    </r>
    <r>
      <rPr>
        <sz val="10"/>
        <rFont val="Arial"/>
        <family val="2"/>
      </rPr>
      <t>)</t>
    </r>
    <phoneticPr fontId="2"/>
  </si>
  <si>
    <t xml:space="preserve">FUT 4177 Bulk price for 1000m/order ( 500m/col) </t>
    <phoneticPr fontId="2"/>
  </si>
  <si>
    <t xml:space="preserve">FUT 4177 Bulk price for 3000m/order ( 500m/col) </t>
    <phoneticPr fontId="2"/>
  </si>
  <si>
    <r>
      <t xml:space="preserve">FUT 4177 DTM </t>
    </r>
    <r>
      <rPr>
        <sz val="10"/>
        <rFont val="ＭＳ Ｐゴシック"/>
        <family val="3"/>
        <charset val="128"/>
      </rPr>
      <t>バルク</t>
    </r>
    <r>
      <rPr>
        <sz val="10"/>
        <rFont val="Arial"/>
        <family val="2"/>
      </rPr>
      <t xml:space="preserve"> 8</t>
    </r>
    <r>
      <rPr>
        <sz val="10"/>
        <rFont val="ＭＳ Ｐゴシック"/>
        <family val="3"/>
        <charset val="128"/>
      </rPr>
      <t>反以上</t>
    </r>
    <rPh sb="18" eb="19">
      <t>タン</t>
    </rPh>
    <rPh sb="19" eb="21">
      <t>イジョウ</t>
    </rPh>
    <phoneticPr fontId="2"/>
  </si>
  <si>
    <t>6/7に単価更新</t>
    <rPh sb="4" eb="6">
      <t>タンカ</t>
    </rPh>
    <rPh sb="6" eb="8">
      <t>コウシン</t>
    </rPh>
    <phoneticPr fontId="2"/>
  </si>
  <si>
    <t># 110 White</t>
    <phoneticPr fontId="2"/>
  </si>
  <si>
    <t>DTM Blue Haze (14-3949 TCX)</t>
    <phoneticPr fontId="2"/>
  </si>
  <si>
    <t>AST-230613</t>
    <phoneticPr fontId="2"/>
  </si>
  <si>
    <t>A Shirt Thing</t>
    <phoneticPr fontId="2"/>
  </si>
  <si>
    <t>Lame Grosgrain  Polyester-97.5%/Polyester Lame-2.5%</t>
    <phoneticPr fontId="2"/>
  </si>
  <si>
    <t># 105-CHOCOLATE BROWN</t>
    <phoneticPr fontId="2"/>
  </si>
  <si>
    <t># 27-TAUPE</t>
  </si>
  <si>
    <t xml:space="preserve"># 60-BLACK </t>
    <phoneticPr fontId="2"/>
  </si>
  <si>
    <r>
      <t xml:space="preserve">7876 </t>
    </r>
    <r>
      <rPr>
        <sz val="12"/>
        <color rgb="FF0070C0"/>
        <rFont val="Arial"/>
        <family val="2"/>
      </rPr>
      <t>China</t>
    </r>
    <phoneticPr fontId="2"/>
  </si>
  <si>
    <t># 47 Cilantro</t>
    <phoneticPr fontId="2"/>
  </si>
  <si>
    <r>
      <t xml:space="preserve">end user </t>
    </r>
    <r>
      <rPr>
        <b/>
        <sz val="12"/>
        <rFont val="ＭＳ Ｐゴシック"/>
        <family val="3"/>
        <charset val="128"/>
      </rPr>
      <t>益率</t>
    </r>
    <rPh sb="9" eb="10">
      <t>エキ</t>
    </rPh>
    <rPh sb="10" eb="11">
      <t>リツ</t>
    </rPh>
    <phoneticPr fontId="2"/>
  </si>
  <si>
    <t>5392</t>
    <phoneticPr fontId="2"/>
  </si>
  <si>
    <t>Custom colors</t>
    <phoneticPr fontId="272"/>
  </si>
  <si>
    <t>N/A</t>
    <phoneticPr fontId="272"/>
  </si>
  <si>
    <t>Cotton-100%</t>
    <phoneticPr fontId="2"/>
  </si>
  <si>
    <r>
      <t>PO</t>
    </r>
    <r>
      <rPr>
        <i/>
        <sz val="10"/>
        <rFont val="Arial"/>
        <family val="2"/>
      </rPr>
      <t>#29251</t>
    </r>
    <r>
      <rPr>
        <sz val="10"/>
        <rFont val="ＭＳ Ｐゴシック"/>
        <family val="3"/>
        <charset val="128"/>
      </rPr>
      <t>と同送</t>
    </r>
    <rPh sb="9" eb="11">
      <t>ドウソウ</t>
    </rPh>
    <phoneticPr fontId="2"/>
  </si>
  <si>
    <t>48083</t>
    <phoneticPr fontId="2"/>
  </si>
  <si>
    <t>20230620 7FAM ( and-you  Garment LTD. ) 40% 115円</t>
    <rPh sb="47" eb="48">
      <t>エン</t>
    </rPh>
    <phoneticPr fontId="2"/>
  </si>
  <si>
    <t>KYL-23266-1</t>
    <phoneticPr fontId="2"/>
  </si>
  <si>
    <t>14m /roll</t>
    <phoneticPr fontId="2"/>
  </si>
  <si>
    <t>301m/col -</t>
    <phoneticPr fontId="2"/>
  </si>
  <si>
    <t>利益率 オフ白</t>
    <rPh sb="0" eb="2">
      <t>リエキ</t>
    </rPh>
    <rPh sb="2" eb="3">
      <t>リツ</t>
    </rPh>
    <rPh sb="6" eb="7">
      <t>シロ</t>
    </rPh>
    <phoneticPr fontId="2"/>
  </si>
  <si>
    <t>利益率　別注色</t>
    <rPh sb="0" eb="3">
      <t>リエキリツ</t>
    </rPh>
    <rPh sb="4" eb="6">
      <t>ベッチュウ</t>
    </rPh>
    <rPh sb="6" eb="7">
      <t>イロ</t>
    </rPh>
    <phoneticPr fontId="2"/>
  </si>
  <si>
    <t>KYL-3736-1</t>
    <phoneticPr fontId="2"/>
  </si>
  <si>
    <t>KYL-3866-1</t>
    <phoneticPr fontId="2"/>
  </si>
  <si>
    <t>KYL-T23336-1</t>
    <phoneticPr fontId="2"/>
  </si>
  <si>
    <t>KYL-T8074-1</t>
    <phoneticPr fontId="2"/>
  </si>
  <si>
    <t>KYL-23707-1</t>
    <phoneticPr fontId="2"/>
  </si>
  <si>
    <t>KYL-23708-1</t>
    <phoneticPr fontId="2"/>
  </si>
  <si>
    <t>FWL-23212</t>
    <phoneticPr fontId="2"/>
  </si>
  <si>
    <t>FWL-22780</t>
    <phoneticPr fontId="2"/>
  </si>
  <si>
    <t>FWL-21554</t>
    <phoneticPr fontId="2"/>
  </si>
  <si>
    <t>FWL-21557</t>
    <phoneticPr fontId="2"/>
  </si>
  <si>
    <t>FWL-21096</t>
    <phoneticPr fontId="2"/>
  </si>
  <si>
    <t>FWL-21097</t>
    <phoneticPr fontId="2"/>
  </si>
  <si>
    <t>100m/col -</t>
    <phoneticPr fontId="2"/>
  </si>
  <si>
    <t>KYL-23406</t>
    <phoneticPr fontId="2"/>
  </si>
  <si>
    <t>Mill's Optic White</t>
    <phoneticPr fontId="2"/>
  </si>
  <si>
    <t>MOQ for Mill's Optic White</t>
    <phoneticPr fontId="2"/>
  </si>
  <si>
    <t>EXW JAPAN /m Mill's Optic White</t>
    <phoneticPr fontId="2"/>
  </si>
  <si>
    <t>*KYL-23406 is available in Mill's Off White as well, but MOQ is 308m.</t>
    <phoneticPr fontId="2"/>
  </si>
  <si>
    <t>COL. 9 BLACK</t>
    <phoneticPr fontId="2"/>
  </si>
  <si>
    <t>AFP2306-027</t>
    <phoneticPr fontId="2"/>
  </si>
  <si>
    <t>C&amp;F Shenzhen /m</t>
    <phoneticPr fontId="2"/>
  </si>
  <si>
    <t xml:space="preserve">41838 </t>
    <phoneticPr fontId="2"/>
  </si>
  <si>
    <t>7870  Hangzhou HS</t>
    <phoneticPr fontId="2"/>
  </si>
  <si>
    <t xml:space="preserve">20230607 POND </t>
    <phoneticPr fontId="2"/>
  </si>
  <si>
    <t>229498 India</t>
    <phoneticPr fontId="2"/>
  </si>
  <si>
    <t># 303 Champagne</t>
    <phoneticPr fontId="2"/>
  </si>
  <si>
    <t>Hangzhou HS Fashion Corporation Ltd(Jonathan Simkhai )</t>
    <phoneticPr fontId="2"/>
  </si>
  <si>
    <t xml:space="preserve">KYL-2529-1 </t>
    <phoneticPr fontId="2"/>
  </si>
  <si>
    <t>DTM Black (YKK color #580 )</t>
    <phoneticPr fontId="2"/>
  </si>
  <si>
    <t>Dye fee for below Dye min. 3,000m/col</t>
    <phoneticPr fontId="2"/>
  </si>
  <si>
    <t>C&amp;F HK /m</t>
    <phoneticPr fontId="2"/>
  </si>
  <si>
    <t>HHSF-230714</t>
    <phoneticPr fontId="2"/>
  </si>
  <si>
    <t>AH23PT07039</t>
    <phoneticPr fontId="2"/>
  </si>
  <si>
    <r>
      <t xml:space="preserve">INV# green </t>
    </r>
    <r>
      <rPr>
        <b/>
        <sz val="11"/>
        <color rgb="FF00B050"/>
        <rFont val="ＭＳ Ｐゴシック"/>
        <family val="3"/>
        <charset val="128"/>
      </rPr>
      <t>実績表未</t>
    </r>
    <rPh sb="11" eb="14">
      <t>ジッセキヒョウ</t>
    </rPh>
    <rPh sb="14" eb="15">
      <t>ミ</t>
    </rPh>
    <phoneticPr fontId="2"/>
  </si>
  <si>
    <t>8979</t>
    <phoneticPr fontId="2"/>
  </si>
  <si>
    <t>in stock</t>
    <phoneticPr fontId="2"/>
  </si>
  <si>
    <t>Availability</t>
    <phoneticPr fontId="2"/>
  </si>
  <si>
    <t xml:space="preserve">only 90m in stock, checking L/T for shortage 60m </t>
    <phoneticPr fontId="2"/>
  </si>
  <si>
    <t>Acrylic-100%</t>
    <phoneticPr fontId="2"/>
  </si>
  <si>
    <t>Rodarte 20230724</t>
    <phoneticPr fontId="2"/>
  </si>
  <si>
    <t>#GS-NS0030TR</t>
    <phoneticPr fontId="2"/>
  </si>
  <si>
    <t xml:space="preserve">EXW (JAPAN) /m: US$ 12.18/m for Mill’s Off White (valid until the end of August, 2023) </t>
    <phoneticPr fontId="2"/>
  </si>
  <si>
    <t>#GS-NS4-096TR</t>
    <phoneticPr fontId="2"/>
  </si>
  <si>
    <t>#GS-NS4-095TR</t>
    <phoneticPr fontId="2"/>
  </si>
  <si>
    <t xml:space="preserve">Sample cut :  Up to 10m→cut fee US$12/cut        Over 11m → EXW (JAPAN) / m: US$ 13.42/m for Mill’s Off White
</t>
    <phoneticPr fontId="2"/>
  </si>
  <si>
    <t>48085</t>
    <phoneticPr fontId="2"/>
  </si>
  <si>
    <r>
      <t>AFP2305-016</t>
    </r>
    <r>
      <rPr>
        <sz val="12"/>
        <rFont val="ＭＳ Ｐゴシック"/>
        <family val="3"/>
        <charset val="128"/>
      </rPr>
      <t>と同送</t>
    </r>
    <rPh sb="12" eb="14">
      <t>ドウソウ</t>
    </rPh>
    <phoneticPr fontId="2"/>
  </si>
  <si>
    <t>#31 cream (PFD)</t>
    <phoneticPr fontId="2"/>
  </si>
  <si>
    <r>
      <t xml:space="preserve">229089 </t>
    </r>
    <r>
      <rPr>
        <sz val="12"/>
        <color indexed="30"/>
        <rFont val="Arial"/>
        <family val="2"/>
      </rPr>
      <t>LA</t>
    </r>
    <r>
      <rPr>
        <sz val="12"/>
        <color indexed="30"/>
        <rFont val="ＭＳ Ｐゴシック"/>
        <family val="3"/>
        <charset val="128"/>
      </rPr>
      <t>　</t>
    </r>
    <phoneticPr fontId="2"/>
  </si>
  <si>
    <t>5316</t>
    <phoneticPr fontId="2"/>
  </si>
  <si>
    <t>5268</t>
    <phoneticPr fontId="2"/>
  </si>
  <si>
    <t xml:space="preserve">INV # </t>
    <phoneticPr fontId="2"/>
  </si>
  <si>
    <t>INV issue date</t>
    <phoneticPr fontId="2"/>
  </si>
  <si>
    <t>Due date</t>
    <phoneticPr fontId="2"/>
  </si>
  <si>
    <t>9549.01 ( $ 4774.50 received, Balance : $ 4774.51)</t>
    <phoneticPr fontId="2"/>
  </si>
  <si>
    <t>T7381 Mill's Standard colors (by roll)</t>
    <phoneticPr fontId="2"/>
  </si>
  <si>
    <t>20230727 ALC (パワーネット 東名経由）</t>
    <rPh sb="21" eb="23">
      <t>トウメイ</t>
    </rPh>
    <rPh sb="23" eb="25">
      <t>ケイユ</t>
    </rPh>
    <phoneticPr fontId="2"/>
  </si>
  <si>
    <t xml:space="preserve">梱包費用 +80 </t>
    <rPh sb="0" eb="2">
      <t>コンポウ</t>
    </rPh>
    <rPh sb="2" eb="4">
      <t>ヒヨウ</t>
    </rPh>
    <phoneticPr fontId="2"/>
  </si>
  <si>
    <t>T7381 Mill's Standard colors (sample cut up to 5m)</t>
    <phoneticPr fontId="2"/>
  </si>
  <si>
    <t>サンプルカット 1500円/m</t>
    <rPh sb="12" eb="13">
      <t>エン</t>
    </rPh>
    <phoneticPr fontId="2"/>
  </si>
  <si>
    <t>TS2100 Mill's Standard colors (by roll)</t>
    <phoneticPr fontId="2"/>
  </si>
  <si>
    <t>USD 15/cut (up to 5m)</t>
    <phoneticPr fontId="2"/>
  </si>
  <si>
    <t>USD 15/cut (any qty)</t>
    <phoneticPr fontId="2"/>
  </si>
  <si>
    <t>110cm x abt 60m</t>
    <phoneticPr fontId="2"/>
  </si>
  <si>
    <t>210cm x abt 50m</t>
    <phoneticPr fontId="2"/>
  </si>
  <si>
    <t>PS24-206</t>
    <phoneticPr fontId="2"/>
  </si>
  <si>
    <t>COL. 320 Nude</t>
    <phoneticPr fontId="2"/>
  </si>
  <si>
    <t>COL. 329 OF</t>
    <phoneticPr fontId="2"/>
  </si>
  <si>
    <t xml:space="preserve">Courier fee for sample shipment </t>
    <phoneticPr fontId="2"/>
  </si>
  <si>
    <t>20230727 ALC (パワーネットユーセン経由）</t>
    <rPh sb="24" eb="26">
      <t>ケイユ</t>
    </rPh>
    <phoneticPr fontId="2"/>
  </si>
  <si>
    <t xml:space="preserve">T7381 Mill's Standard colors </t>
    <phoneticPr fontId="2"/>
  </si>
  <si>
    <t>サンプルカット 500円/cut</t>
    <rPh sb="11" eb="12">
      <t>エン</t>
    </rPh>
    <phoneticPr fontId="2"/>
  </si>
  <si>
    <t>PROTEX INDUSTRIAL (H.K.) LIMITED (ALC)</t>
    <phoneticPr fontId="2"/>
  </si>
  <si>
    <t>A.L.C. PRE-SPRING24</t>
    <phoneticPr fontId="2"/>
  </si>
  <si>
    <t># 1 White</t>
    <phoneticPr fontId="2"/>
  </si>
  <si>
    <t>PI# 5341</t>
    <phoneticPr fontId="2"/>
  </si>
  <si>
    <t xml:space="preserve">INV # </t>
  </si>
  <si>
    <t>INV issue date</t>
  </si>
  <si>
    <t>Due date</t>
  </si>
  <si>
    <t>Amount</t>
  </si>
  <si>
    <t>06/15/2023</t>
  </si>
  <si>
    <t>07/15/2023</t>
  </si>
  <si>
    <t>$  406.57</t>
  </si>
  <si>
    <t>06/23/2023</t>
  </si>
  <si>
    <t>07/08/2023</t>
  </si>
  <si>
    <t>PI# 5341</t>
    <phoneticPr fontId="2"/>
  </si>
  <si>
    <t>$ 2,914.00 ($ 1,457.00 - Prepayment, Balance : NET 15 days)</t>
    <phoneticPr fontId="2"/>
  </si>
  <si>
    <r>
      <t xml:space="preserve">$ 9549.01 (Received $ 4774.50, </t>
    </r>
    <r>
      <rPr>
        <b/>
        <sz val="10"/>
        <rFont val="游ゴシック Medium"/>
        <family val="3"/>
        <charset val="128"/>
      </rPr>
      <t>Balance : $ 4774.51</t>
    </r>
    <r>
      <rPr>
        <sz val="10"/>
        <rFont val="游ゴシック Medium"/>
        <family val="3"/>
        <charset val="128"/>
      </rPr>
      <t>)</t>
    </r>
    <phoneticPr fontId="2"/>
  </si>
  <si>
    <t xml:space="preserve">20230802 AG Jeans </t>
    <phoneticPr fontId="2"/>
  </si>
  <si>
    <t>Cotton cord</t>
    <phoneticPr fontId="2"/>
  </si>
  <si>
    <t xml:space="preserve">Shipping date ( around ) </t>
    <phoneticPr fontId="2"/>
  </si>
  <si>
    <t>Huzhou China Feng Fashion Ltd (Trina Turk)</t>
    <phoneticPr fontId="2"/>
  </si>
  <si>
    <t># 9 Greige</t>
    <phoneticPr fontId="2"/>
  </si>
  <si>
    <t>HCFF-230814</t>
    <phoneticPr fontId="2"/>
  </si>
  <si>
    <r>
      <t>20230823  40% 115</t>
    </r>
    <r>
      <rPr>
        <b/>
        <sz val="10"/>
        <rFont val="ＭＳ Ｐゴシック"/>
        <family val="3"/>
        <charset val="128"/>
      </rPr>
      <t>円</t>
    </r>
    <rPh sb="17" eb="18">
      <t>エン</t>
    </rPh>
    <phoneticPr fontId="2"/>
  </si>
  <si>
    <t>ES-243</t>
    <phoneticPr fontId="2"/>
  </si>
  <si>
    <r>
      <rPr>
        <b/>
        <sz val="12"/>
        <rFont val="ＭＳ Ｐゴシック"/>
        <family val="3"/>
        <charset val="128"/>
      </rPr>
      <t>利益率</t>
    </r>
    <r>
      <rPr>
        <b/>
        <sz val="12"/>
        <rFont val="Arial  "/>
        <family val="2"/>
      </rPr>
      <t xml:space="preserve"> (</t>
    </r>
    <r>
      <rPr>
        <b/>
        <sz val="12"/>
        <rFont val="ＭＳ Ｐゴシック"/>
        <family val="3"/>
        <charset val="128"/>
      </rPr>
      <t>レート</t>
    </r>
    <r>
      <rPr>
        <b/>
        <sz val="12"/>
        <rFont val="Arial  "/>
        <family val="2"/>
      </rPr>
      <t xml:space="preserve"> 115</t>
    </r>
    <r>
      <rPr>
        <b/>
        <sz val="12"/>
        <rFont val="ＭＳ Ｐゴシック"/>
        <family val="3"/>
        <charset val="128"/>
      </rPr>
      <t>円</t>
    </r>
    <r>
      <rPr>
        <b/>
        <sz val="12"/>
        <rFont val="Arial  "/>
        <family val="2"/>
      </rPr>
      <t xml:space="preserve">=1$) </t>
    </r>
    <rPh sb="0" eb="3">
      <t>リエキリツ</t>
    </rPh>
    <rPh sb="12" eb="13">
      <t>エン</t>
    </rPh>
    <phoneticPr fontId="2"/>
  </si>
  <si>
    <t xml:space="preserve">EXW JAPAN USD/m
If Purchace by roll </t>
    <phoneticPr fontId="272"/>
  </si>
  <si>
    <t xml:space="preserve"> EXW JAPAN USD/m
If Sample cut ( up to 5m) </t>
    <phoneticPr fontId="2"/>
  </si>
  <si>
    <t>30m /roll</t>
    <phoneticPr fontId="2"/>
  </si>
  <si>
    <t>カラー</t>
    <phoneticPr fontId="2"/>
  </si>
  <si>
    <t>キナリ</t>
    <phoneticPr fontId="2"/>
  </si>
  <si>
    <t>Cotton Taffeta Ribbon Cotton-100%</t>
    <phoneticPr fontId="2"/>
  </si>
  <si>
    <t>THE SEVEN CONTINENTS</t>
    <phoneticPr fontId="2"/>
  </si>
  <si>
    <t>ES-243</t>
    <phoneticPr fontId="2"/>
  </si>
  <si>
    <t>Col. 00 (PFD)</t>
    <phoneticPr fontId="2"/>
  </si>
  <si>
    <t>Col. 96</t>
    <phoneticPr fontId="2"/>
  </si>
  <si>
    <t>Col. 72</t>
    <phoneticPr fontId="2"/>
  </si>
  <si>
    <t>58m /roll</t>
    <phoneticPr fontId="2"/>
  </si>
  <si>
    <t>仕入単価（輸出梱包30円/m)</t>
    <rPh sb="0" eb="2">
      <t>シイレ</t>
    </rPh>
    <rPh sb="2" eb="4">
      <t>タンカ</t>
    </rPh>
    <rPh sb="5" eb="7">
      <t>ユシュツ</t>
    </rPh>
    <rPh sb="7" eb="9">
      <t>コンポウ</t>
    </rPh>
    <rPh sb="11" eb="12">
      <t>エン</t>
    </rPh>
    <phoneticPr fontId="2"/>
  </si>
  <si>
    <r>
      <t>20230828  HS Fashion (Simkhai )  115</t>
    </r>
    <r>
      <rPr>
        <b/>
        <sz val="10"/>
        <rFont val="ＭＳ Ｐゴシック"/>
        <family val="3"/>
        <charset val="128"/>
      </rPr>
      <t>円</t>
    </r>
    <rPh sb="36" eb="37">
      <t>エン</t>
    </rPh>
    <phoneticPr fontId="2"/>
  </si>
  <si>
    <t>EXW JAPAN USD/m</t>
    <phoneticPr fontId="2"/>
  </si>
  <si>
    <t>14477</t>
    <phoneticPr fontId="2"/>
  </si>
  <si>
    <t>AG Adriano Goldschmied, Inc.</t>
    <phoneticPr fontId="2"/>
  </si>
  <si>
    <t>Cotton Cord  Cotton-100%</t>
    <phoneticPr fontId="2"/>
  </si>
  <si>
    <t>40R</t>
    <phoneticPr fontId="2"/>
  </si>
  <si>
    <t>Cotton Taffeta Ribbon Cotton-100% sample cut</t>
    <phoneticPr fontId="2"/>
  </si>
  <si>
    <r>
      <t>20230830  Simkhai  115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</si>
  <si>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abt 146/148 cm</t>
    <phoneticPr fontId="2"/>
  </si>
  <si>
    <t xml:space="preserve"> D/C#  M5A844-001</t>
    <phoneticPr fontId="2"/>
  </si>
  <si>
    <t>1 roll (sample yds available for sample price-Made to order )</t>
    <phoneticPr fontId="272"/>
  </si>
  <si>
    <t>PR-T2023 D/C#  M5A844-001 (Print organza)</t>
    <phoneticPr fontId="272"/>
  </si>
  <si>
    <t>MOQ for Mill's Standard colors</t>
    <phoneticPr fontId="2"/>
  </si>
  <si>
    <t>10 rolls ( abt 500m/design &amp; color)</t>
    <phoneticPr fontId="272"/>
  </si>
  <si>
    <t>Put-up /roll</t>
    <phoneticPr fontId="2"/>
  </si>
  <si>
    <t>abt 50m</t>
    <phoneticPr fontId="2"/>
  </si>
  <si>
    <t>20 rolls ( abt 1,000m/design &amp; color)</t>
    <phoneticPr fontId="272"/>
  </si>
  <si>
    <t>A.L.C. PRE-SPRING24-2</t>
    <phoneticPr fontId="2"/>
  </si>
  <si>
    <t>ES-243 (sample cut)</t>
    <phoneticPr fontId="2"/>
  </si>
  <si>
    <t>AST-230831</t>
    <phoneticPr fontId="2"/>
  </si>
  <si>
    <t>Herringbone Tape   Cotton-99%/Cupra Rayon-1%</t>
    <phoneticPr fontId="2"/>
  </si>
  <si>
    <t>Col # 17</t>
    <phoneticPr fontId="2"/>
  </si>
  <si>
    <t>Col # 18</t>
    <phoneticPr fontId="2"/>
  </si>
  <si>
    <t>Col # 15</t>
    <phoneticPr fontId="2"/>
  </si>
  <si>
    <t>Col # 33</t>
    <phoneticPr fontId="2"/>
  </si>
  <si>
    <t>Col # 26</t>
    <phoneticPr fontId="2"/>
  </si>
  <si>
    <t>Col # 87</t>
    <phoneticPr fontId="2"/>
  </si>
  <si>
    <t>Col # 88</t>
    <phoneticPr fontId="2"/>
  </si>
  <si>
    <t>Col # 23</t>
    <phoneticPr fontId="2"/>
  </si>
  <si>
    <t>Col # 55</t>
    <phoneticPr fontId="2"/>
  </si>
  <si>
    <t>Col # 84</t>
    <phoneticPr fontId="2"/>
  </si>
  <si>
    <t>Col # 83</t>
    <phoneticPr fontId="2"/>
  </si>
  <si>
    <t>FWL-7302</t>
    <phoneticPr fontId="272"/>
  </si>
  <si>
    <t>Mill's Off White</t>
    <phoneticPr fontId="272"/>
  </si>
  <si>
    <t>-</t>
    <phoneticPr fontId="272"/>
  </si>
  <si>
    <t>FWL-71543</t>
    <phoneticPr fontId="272"/>
  </si>
  <si>
    <t>Black (piece dyed)</t>
    <phoneticPr fontId="272"/>
  </si>
  <si>
    <t>FWL-22446</t>
    <phoneticPr fontId="272"/>
  </si>
  <si>
    <t>FWL-23283</t>
    <phoneticPr fontId="272"/>
  </si>
  <si>
    <t>FWL-23808</t>
    <phoneticPr fontId="272"/>
  </si>
  <si>
    <t>FWL-23323</t>
    <phoneticPr fontId="272"/>
  </si>
  <si>
    <t>FWL-71041</t>
  </si>
  <si>
    <r>
      <rPr>
        <sz val="10"/>
        <rFont val="ＭＳ Ｐゴシック"/>
        <family val="3"/>
        <charset val="128"/>
      </rPr>
      <t>オフ白単価</t>
    </r>
    <r>
      <rPr>
        <sz val="10"/>
        <rFont val="Arial  "/>
        <family val="2"/>
      </rPr>
      <t>/m</t>
    </r>
    <rPh sb="2" eb="3">
      <t>シロ</t>
    </rPh>
    <rPh sb="3" eb="5">
      <t>タンカ</t>
    </rPh>
    <phoneticPr fontId="272"/>
  </si>
  <si>
    <r>
      <rPr>
        <sz val="10"/>
        <rFont val="ＭＳ Ｐゴシック"/>
        <family val="3"/>
        <charset val="128"/>
      </rPr>
      <t>染色代</t>
    </r>
    <r>
      <rPr>
        <sz val="10"/>
        <rFont val="Arial  "/>
        <family val="2"/>
      </rPr>
      <t>/m</t>
    </r>
    <rPh sb="0" eb="2">
      <t>センショク</t>
    </rPh>
    <rPh sb="2" eb="3">
      <t>ダイ</t>
    </rPh>
    <phoneticPr fontId="272"/>
  </si>
  <si>
    <r>
      <rPr>
        <sz val="10"/>
        <rFont val="ＭＳ Ｐゴシック"/>
        <family val="3"/>
        <charset val="128"/>
      </rPr>
      <t>更新日付</t>
    </r>
    <rPh sb="0" eb="2">
      <t>コウシン</t>
    </rPh>
    <rPh sb="2" eb="4">
      <t>ヒヅケ</t>
    </rPh>
    <phoneticPr fontId="272"/>
  </si>
  <si>
    <r>
      <rPr>
        <sz val="10"/>
        <rFont val="ＭＳ Ｐゴシック"/>
        <family val="3"/>
        <charset val="128"/>
      </rPr>
      <t>ロット</t>
    </r>
    <r>
      <rPr>
        <sz val="10"/>
        <rFont val="Arial  "/>
        <family val="2"/>
      </rPr>
      <t>400m</t>
    </r>
    <phoneticPr fontId="272"/>
  </si>
  <si>
    <t xml:space="preserve">Article Number </t>
    <phoneticPr fontId="2"/>
  </si>
  <si>
    <t>should be 50m increments</t>
    <phoneticPr fontId="2"/>
  </si>
  <si>
    <t>should be 100m increments</t>
    <phoneticPr fontId="2"/>
  </si>
  <si>
    <t>should be 200m increments</t>
    <phoneticPr fontId="2"/>
  </si>
  <si>
    <t>FWL 社内在庫Discount 20230905</t>
    <rPh sb="4" eb="6">
      <t>シャナイ</t>
    </rPh>
    <rPh sb="6" eb="8">
      <t>ザイコ</t>
    </rPh>
    <phoneticPr fontId="2"/>
  </si>
  <si>
    <r>
      <t xml:space="preserve">EXW JAPAN /m </t>
    </r>
    <r>
      <rPr>
        <b/>
        <sz val="10"/>
        <color rgb="FF0070C0"/>
        <rFont val="Arial  "/>
        <family val="2"/>
      </rPr>
      <t xml:space="preserve">(Regular price) </t>
    </r>
  </si>
  <si>
    <r>
      <t xml:space="preserve">Black </t>
    </r>
    <r>
      <rPr>
        <sz val="10"/>
        <color rgb="FF0070C0"/>
        <rFont val="Arial  "/>
        <family val="2"/>
      </rPr>
      <t>(yarn dyed)</t>
    </r>
  </si>
  <si>
    <t>TBC</t>
    <phoneticPr fontId="2"/>
  </si>
  <si>
    <t>Order qty for our internal inventory…</t>
    <phoneticPr fontId="2"/>
  </si>
  <si>
    <t>Sun Fashion Internal inventory (as of 5th Sep,2023)</t>
    <phoneticPr fontId="2"/>
  </si>
  <si>
    <r>
      <t xml:space="preserve">EXW JAPAN /m </t>
    </r>
    <r>
      <rPr>
        <b/>
        <sz val="10"/>
        <color rgb="FF0070C0"/>
        <rFont val="Arial  "/>
        <family val="2"/>
      </rPr>
      <t>*Discount price applied exclusively to our internal inventory</t>
    </r>
    <phoneticPr fontId="2"/>
  </si>
  <si>
    <t xml:space="preserve">Once our internal inventory runs out, additional qty can be newly produced at the regular prices </t>
    <phoneticPr fontId="2"/>
  </si>
  <si>
    <t xml:space="preserve">*New production of Mill's Off White &gt;&gt;&gt;MOQ : 10m </t>
    <phoneticPr fontId="2"/>
  </si>
  <si>
    <t>*New production of Mill's Black (piece dyed)  &gt;&gt;&gt;MOQ : 100m /col</t>
    <phoneticPr fontId="2"/>
  </si>
  <si>
    <t>*New production of Mill's Black (yarn dyed)  &gt;&gt;&gt;MOQ : 400m /col</t>
    <phoneticPr fontId="2"/>
  </si>
  <si>
    <t>70038</t>
    <phoneticPr fontId="2"/>
  </si>
  <si>
    <t xml:space="preserve">Genesis Costumes </t>
    <phoneticPr fontId="2"/>
  </si>
  <si>
    <t>GC-230913</t>
    <phoneticPr fontId="2"/>
  </si>
  <si>
    <t xml:space="preserve">Fine Grip Polyurethane 70.5%,  Nylon 29.5% </t>
    <phoneticPr fontId="2"/>
  </si>
  <si>
    <t>TI-1420</t>
    <phoneticPr fontId="2"/>
  </si>
  <si>
    <t xml:space="preserve">Col. 72 </t>
    <phoneticPr fontId="2"/>
  </si>
  <si>
    <t xml:space="preserve">Total amount </t>
    <phoneticPr fontId="2"/>
  </si>
  <si>
    <t>EXW JAPAN /m</t>
    <phoneticPr fontId="2"/>
  </si>
  <si>
    <t>33371</t>
    <phoneticPr fontId="2"/>
  </si>
  <si>
    <t>229682</t>
    <phoneticPr fontId="2"/>
  </si>
  <si>
    <t># A5 Bubble Gum Pink</t>
    <phoneticPr fontId="2"/>
  </si>
  <si>
    <t># 307 Coral</t>
    <phoneticPr fontId="2"/>
  </si>
  <si>
    <t># 504 Pistachio</t>
    <phoneticPr fontId="2"/>
  </si>
  <si>
    <t># 109 Yellow</t>
    <phoneticPr fontId="2"/>
  </si>
  <si>
    <t>在庫・キープお願いします</t>
    <rPh sb="0" eb="2">
      <t>ザイコ</t>
    </rPh>
    <rPh sb="7" eb="8">
      <t>ネガ</t>
    </rPh>
    <phoneticPr fontId="2"/>
  </si>
  <si>
    <t>Discon. 2 rolls in stock</t>
    <phoneticPr fontId="2"/>
  </si>
  <si>
    <t xml:space="preserve">in stock </t>
    <phoneticPr fontId="2"/>
  </si>
  <si>
    <t># Y132 Bubble Gum Pink</t>
    <phoneticPr fontId="2"/>
  </si>
  <si>
    <r>
      <rPr>
        <sz val="12"/>
        <rFont val="ＭＳ Ｐゴシック"/>
        <family val="3"/>
        <charset val="128"/>
      </rPr>
      <t>輸出梱包</t>
    </r>
    <r>
      <rPr>
        <sz val="12"/>
        <rFont val="Arial"/>
        <family val="2"/>
      </rPr>
      <t xml:space="preserve"> +30</t>
    </r>
    <rPh sb="0" eb="2">
      <t>ユシュツ</t>
    </rPh>
    <rPh sb="2" eb="4">
      <t>コンポウ</t>
    </rPh>
    <phoneticPr fontId="2"/>
  </si>
  <si>
    <t>GC-230921</t>
    <phoneticPr fontId="2"/>
  </si>
  <si>
    <t xml:space="preserve">Accordio 100% Polyester </t>
    <phoneticPr fontId="2"/>
  </si>
  <si>
    <t>TI-5500</t>
    <phoneticPr fontId="2"/>
  </si>
  <si>
    <t>Col. 56 x 52</t>
    <phoneticPr fontId="2"/>
  </si>
  <si>
    <t>and-you  Garment LTD.  (7FAM)</t>
    <phoneticPr fontId="2"/>
  </si>
  <si>
    <t>AYG-230927</t>
    <phoneticPr fontId="2"/>
  </si>
  <si>
    <t>Trim Lace 100% Cotton</t>
  </si>
  <si>
    <t>48092</t>
    <phoneticPr fontId="2"/>
  </si>
  <si>
    <t>Sablyn</t>
    <phoneticPr fontId="2"/>
  </si>
  <si>
    <t>Stretch torchon lace trim  Cotton 78%, Rayon 15%, Pu 7%</t>
    <phoneticPr fontId="2"/>
  </si>
  <si>
    <t>FWL-24398s-6</t>
    <phoneticPr fontId="2"/>
  </si>
  <si>
    <t xml:space="preserve"> Natural (Undyed) </t>
    <phoneticPr fontId="2"/>
  </si>
  <si>
    <t>FWL-24398s</t>
    <phoneticPr fontId="2"/>
  </si>
  <si>
    <t>Mill's Black (yarn dyed)</t>
    <phoneticPr fontId="2"/>
  </si>
  <si>
    <t>Surcharge for Mill's Black (below MOQ 400m/col)</t>
    <phoneticPr fontId="2"/>
  </si>
  <si>
    <t>FP-20231002-JS</t>
    <phoneticPr fontId="2"/>
  </si>
  <si>
    <t>7176-31</t>
    <phoneticPr fontId="2"/>
  </si>
  <si>
    <t>単価/m</t>
    <rPh sb="0" eb="2">
      <t>タンカ</t>
    </rPh>
    <phoneticPr fontId="2"/>
  </si>
  <si>
    <r>
      <t>230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</si>
  <si>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Stock : 21 rolls /  Shortage : 7 rolls</t>
    </r>
    <r>
      <rPr>
        <sz val="10"/>
        <rFont val="ＭＳ Ｐゴシック"/>
        <family val="3"/>
        <charset val="128"/>
      </rPr>
      <t>→</t>
    </r>
    <r>
      <rPr>
        <sz val="10"/>
        <rFont val="Arial  "/>
      </rPr>
      <t>Checking Lead time</t>
    </r>
    <phoneticPr fontId="2"/>
  </si>
  <si>
    <r>
      <t xml:space="preserve">Parc&amp;Pearl 20231005  25% 115 </t>
    </r>
    <r>
      <rPr>
        <sz val="10"/>
        <rFont val="ＭＳ Ｐゴシック"/>
        <family val="3"/>
        <charset val="128"/>
      </rPr>
      <t>円</t>
    </r>
    <rPh sb="29" eb="30">
      <t>エン</t>
    </rPh>
    <phoneticPr fontId="2"/>
  </si>
  <si>
    <r>
      <rPr>
        <b/>
        <sz val="10"/>
        <rFont val="ＭＳ Ｐゴシック"/>
        <family val="3"/>
        <charset val="128"/>
      </rPr>
      <t>キバタ検品費用</t>
    </r>
    <r>
      <rPr>
        <b/>
        <sz val="10"/>
        <rFont val="Arial  "/>
        <family val="2"/>
      </rPr>
      <t>+20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 "/>
        <family val="2"/>
      </rPr>
      <t>?</t>
    </r>
    <rPh sb="3" eb="5">
      <t>ケンピン</t>
    </rPh>
    <rPh sb="5" eb="7">
      <t>ヒヨウ</t>
    </rPh>
    <rPh sb="10" eb="11">
      <t>エン</t>
    </rPh>
    <phoneticPr fontId="2"/>
  </si>
  <si>
    <t>GS-NS2473</t>
    <phoneticPr fontId="2"/>
  </si>
  <si>
    <t>GS-NS2474</t>
    <phoneticPr fontId="2"/>
  </si>
  <si>
    <t xml:space="preserve">20231006 Are you am I </t>
    <phoneticPr fontId="2"/>
  </si>
  <si>
    <r>
      <rPr>
        <b/>
        <sz val="10"/>
        <rFont val="ＭＳ Ｐゴシック"/>
        <family val="3"/>
        <charset val="128"/>
      </rPr>
      <t>梱包費用</t>
    </r>
    <r>
      <rPr>
        <b/>
        <sz val="10"/>
        <rFont val="Arial  "/>
        <family val="2"/>
      </rPr>
      <t>+10</t>
    </r>
    <r>
      <rPr>
        <b/>
        <sz val="10"/>
        <rFont val="ＭＳ Ｐゴシック"/>
        <family val="3"/>
        <charset val="128"/>
      </rPr>
      <t>円</t>
    </r>
    <rPh sb="0" eb="2">
      <t>コンポウ</t>
    </rPh>
    <rPh sb="2" eb="4">
      <t>ヒヨウ</t>
    </rPh>
    <rPh sb="7" eb="8">
      <t>エン</t>
    </rPh>
    <phoneticPr fontId="2"/>
  </si>
  <si>
    <t>TI-31-M (Bow motif)</t>
    <phoneticPr fontId="2"/>
  </si>
  <si>
    <t>MOQ for Standard Color</t>
    <phoneticPr fontId="2"/>
  </si>
  <si>
    <t>3,000 pcs/col</t>
    <phoneticPr fontId="2"/>
  </si>
  <si>
    <t>EXW JAPAN /pc 
( over MOQ: 3,000pcs/col)</t>
    <phoneticPr fontId="2"/>
  </si>
  <si>
    <t>Surcharge if below 3,000pcs/col</t>
    <phoneticPr fontId="2"/>
  </si>
  <si>
    <t xml:space="preserve">select from CC of # 8600 (cute satin) </t>
    <phoneticPr fontId="2"/>
  </si>
  <si>
    <r>
      <t>TI-</t>
    </r>
    <r>
      <rPr>
        <sz val="10"/>
        <rFont val="Arial"/>
        <family val="2"/>
      </rPr>
      <t>31</t>
    </r>
    <r>
      <rPr>
        <sz val="10"/>
        <rFont val="ＭＳ Ｐゴシック"/>
        <family val="3"/>
        <charset val="128"/>
      </rPr>
      <t>‐</t>
    </r>
    <r>
      <rPr>
        <sz val="10"/>
        <rFont val="Arial"/>
        <family val="2"/>
      </rPr>
      <t>M-1P (Bow motif)</t>
    </r>
    <phoneticPr fontId="2"/>
  </si>
  <si>
    <t>*The shape &amp; length of each piece may vary slightly since the bow finishing is done by hand.</t>
    <phoneticPr fontId="2"/>
  </si>
  <si>
    <t>MOQ / sample when fabric in stock </t>
    <phoneticPr fontId="2"/>
  </si>
  <si>
    <r>
      <t xml:space="preserve">MOQ : 1 roll -
*sample cut available </t>
    </r>
    <r>
      <rPr>
        <sz val="10"/>
        <rFont val="ＭＳ Ｐゴシック"/>
        <family val="3"/>
        <charset val="128"/>
      </rPr>
      <t xml:space="preserve">→
</t>
    </r>
    <r>
      <rPr>
        <sz val="10"/>
        <rFont val="Arial"/>
        <family val="2"/>
      </rPr>
      <t xml:space="preserve"> 1M up to 20M with cut fee US$ 25/cut </t>
    </r>
    <phoneticPr fontId="2"/>
  </si>
  <si>
    <t>MOQ &amp; L/T for New production</t>
    <phoneticPr fontId="2"/>
  </si>
  <si>
    <t>I'm now confirming</t>
    <phoneticPr fontId="2"/>
  </si>
  <si>
    <t>24SPR09012</t>
    <phoneticPr fontId="2"/>
  </si>
  <si>
    <t>XC20231007001</t>
    <phoneticPr fontId="2"/>
  </si>
  <si>
    <t>1002</t>
    <phoneticPr fontId="2"/>
  </si>
  <si>
    <t>3175</t>
    <phoneticPr fontId="2"/>
  </si>
  <si>
    <t>Small Satin Bow  100% Nylon</t>
    <phoneticPr fontId="2"/>
  </si>
  <si>
    <t>TI-31-M</t>
    <phoneticPr fontId="2"/>
  </si>
  <si>
    <t>Col. 1 White (C/C of TI-8600)</t>
    <phoneticPr fontId="2"/>
  </si>
  <si>
    <t>Col. 30 Black (C/C of TI-8600)</t>
    <phoneticPr fontId="2"/>
  </si>
  <si>
    <t>Col. 2 Ivory (C/C of TI-8600)</t>
    <phoneticPr fontId="2"/>
  </si>
  <si>
    <t>Surcharge(below MOQ 3000pcs/col)</t>
    <phoneticPr fontId="2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</si>
  <si>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>/pc</t>
    </r>
    <rPh sb="0" eb="2">
      <t>タンカ</t>
    </rPh>
    <phoneticPr fontId="2"/>
  </si>
  <si>
    <r>
      <t xml:space="preserve">12 </t>
    </r>
    <r>
      <rPr>
        <sz val="10"/>
        <rFont val="ＭＳ Ｐゴシック"/>
        <family val="3"/>
        <charset val="128"/>
      </rPr>
      <t>円</t>
    </r>
    <rPh sb="3" eb="4">
      <t>エン</t>
    </rPh>
    <phoneticPr fontId="2"/>
  </si>
  <si>
    <r>
      <t>10,000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/col</t>
    </r>
    <rPh sb="6" eb="7">
      <t>エン</t>
    </rPh>
    <phoneticPr fontId="2"/>
  </si>
  <si>
    <r>
      <rPr>
        <sz val="11"/>
        <rFont val="MS UI Gothic"/>
        <family val="3"/>
        <charset val="128"/>
      </rPr>
      <t>福井県越前市千原町</t>
    </r>
    <r>
      <rPr>
        <sz val="11"/>
        <rFont val="Times New Roman"/>
        <family val="1"/>
      </rPr>
      <t>2-6</t>
    </r>
    <phoneticPr fontId="2"/>
  </si>
  <si>
    <t xml:space="preserve">Crinoline </t>
    <phoneticPr fontId="2"/>
  </si>
  <si>
    <t>SUN-5035</t>
    <phoneticPr fontId="2"/>
  </si>
  <si>
    <r>
      <rPr>
        <sz val="10"/>
        <rFont val="ＭＳ Ｐゴシック"/>
        <family val="3"/>
        <charset val="128"/>
      </rPr>
      <t>板巻（</t>
    </r>
    <r>
      <rPr>
        <sz val="10"/>
        <rFont val="Arial  "/>
        <family val="2"/>
      </rPr>
      <t>50m</t>
    </r>
    <r>
      <rPr>
        <sz val="10"/>
        <rFont val="ＭＳ Ｐゴシック"/>
        <family val="3"/>
        <charset val="128"/>
      </rPr>
      <t>乱仕上げ）</t>
    </r>
    <rPh sb="0" eb="1">
      <t>イタ</t>
    </rPh>
    <rPh sb="1" eb="2">
      <t>マ</t>
    </rPh>
    <rPh sb="6" eb="7">
      <t>ラン</t>
    </rPh>
    <rPh sb="7" eb="9">
      <t>シア</t>
    </rPh>
    <phoneticPr fontId="2"/>
  </si>
  <si>
    <r>
      <t>KW</t>
    </r>
    <r>
      <rPr>
        <sz val="10"/>
        <rFont val="ＭＳ Ｐゴシック"/>
        <family val="3"/>
        <charset val="128"/>
      </rPr>
      <t>（晒）、</t>
    </r>
    <r>
      <rPr>
        <sz val="10"/>
        <rFont val="Arial  "/>
        <family val="2"/>
      </rPr>
      <t>36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OF</t>
    </r>
    <r>
      <rPr>
        <sz val="10"/>
        <rFont val="ＭＳ Ｐゴシック"/>
        <family val="3"/>
        <charset val="128"/>
      </rPr>
      <t>）、</t>
    </r>
    <r>
      <rPr>
        <sz val="10"/>
        <rFont val="Arial  "/>
        <family val="2"/>
      </rPr>
      <t>51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BK</t>
    </r>
    <r>
      <rPr>
        <sz val="10"/>
        <rFont val="ＭＳ Ｐゴシック"/>
        <family val="3"/>
        <charset val="128"/>
      </rPr>
      <t>）の</t>
    </r>
    <r>
      <rPr>
        <sz val="10"/>
        <rFont val="Arial  "/>
        <family val="2"/>
      </rPr>
      <t>3</t>
    </r>
    <r>
      <rPr>
        <sz val="10"/>
        <rFont val="ＭＳ Ｐゴシック"/>
        <family val="3"/>
        <charset val="128"/>
      </rPr>
      <t>色のみ</t>
    </r>
    <phoneticPr fontId="2"/>
  </si>
  <si>
    <r>
      <t>KW</t>
    </r>
    <r>
      <rPr>
        <sz val="10"/>
        <rFont val="ＭＳ Ｐゴシック"/>
        <family val="3"/>
        <charset val="128"/>
      </rPr>
      <t>（晒）、</t>
    </r>
    <r>
      <rPr>
        <sz val="10"/>
        <rFont val="Arial  "/>
        <family val="2"/>
      </rPr>
      <t>51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BK</t>
    </r>
    <r>
      <rPr>
        <sz val="10"/>
        <rFont val="ＭＳ Ｐゴシック"/>
        <family val="3"/>
        <charset val="128"/>
      </rPr>
      <t>）を除く全カラー（</t>
    </r>
    <r>
      <rPr>
        <sz val="10"/>
        <rFont val="Arial  "/>
        <family val="2"/>
      </rPr>
      <t>Col. 36</t>
    </r>
    <r>
      <rPr>
        <sz val="10"/>
        <rFont val="ＭＳ Ｐゴシック"/>
        <family val="3"/>
        <charset val="128"/>
      </rPr>
      <t>含む</t>
    </r>
    <r>
      <rPr>
        <sz val="10"/>
        <rFont val="Arial  "/>
        <family val="2"/>
      </rPr>
      <t xml:space="preserve">) </t>
    </r>
    <rPh sb="13" eb="14">
      <t>ノゾ</t>
    </rPh>
    <rPh sb="15" eb="16">
      <t>ゼン</t>
    </rPh>
    <rPh sb="27" eb="28">
      <t>フク</t>
    </rPh>
    <phoneticPr fontId="2"/>
  </si>
  <si>
    <t>請求無し</t>
    <rPh sb="0" eb="2">
      <t>セイキュウ</t>
    </rPh>
    <rPh sb="2" eb="3">
      <t>ナ</t>
    </rPh>
    <phoneticPr fontId="2"/>
  </si>
  <si>
    <r>
      <rPr>
        <sz val="10"/>
        <rFont val="ＭＳ Ｐゴシック"/>
        <family val="3"/>
        <charset val="128"/>
      </rPr>
      <t>板巻（</t>
    </r>
    <r>
      <rPr>
        <sz val="10"/>
        <rFont val="Arial  "/>
        <family val="2"/>
      </rPr>
      <t>25m</t>
    </r>
    <r>
      <rPr>
        <sz val="10"/>
        <rFont val="ＭＳ Ｐゴシック"/>
        <family val="3"/>
        <charset val="128"/>
      </rPr>
      <t>乱仕上げ）</t>
    </r>
    <rPh sb="0" eb="1">
      <t>イタ</t>
    </rPh>
    <rPh sb="1" eb="2">
      <t>マ</t>
    </rPh>
    <rPh sb="6" eb="7">
      <t>ラン</t>
    </rPh>
    <rPh sb="7" eb="9">
      <t>シア</t>
    </rPh>
    <phoneticPr fontId="2"/>
  </si>
  <si>
    <r>
      <t>KW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Optic White</t>
    </r>
    <r>
      <rPr>
        <sz val="10"/>
        <rFont val="ＭＳ Ｐゴシック"/>
        <family val="3"/>
        <charset val="128"/>
      </rPr>
      <t>）</t>
    </r>
    <r>
      <rPr>
        <sz val="10"/>
        <rFont val="Arial  "/>
        <family val="2"/>
      </rPr>
      <t>,36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OF</t>
    </r>
    <r>
      <rPr>
        <sz val="10"/>
        <rFont val="ＭＳ Ｐゴシック"/>
        <family val="3"/>
        <charset val="128"/>
      </rPr>
      <t>）</t>
    </r>
    <r>
      <rPr>
        <sz val="10"/>
        <rFont val="Arial  "/>
        <family val="2"/>
      </rPr>
      <t>,51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BK</t>
    </r>
    <r>
      <rPr>
        <sz val="10"/>
        <rFont val="ＭＳ Ｐゴシック"/>
        <family val="3"/>
        <charset val="128"/>
      </rPr>
      <t>）</t>
    </r>
    <phoneticPr fontId="2"/>
  </si>
  <si>
    <r>
      <t>All the colors except for KW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Optic White</t>
    </r>
    <r>
      <rPr>
        <sz val="10"/>
        <rFont val="ＭＳ Ｐゴシック"/>
        <family val="3"/>
        <charset val="128"/>
      </rPr>
      <t>）</t>
    </r>
    <r>
      <rPr>
        <sz val="10"/>
        <rFont val="Arial  "/>
        <family val="2"/>
      </rPr>
      <t>&amp; 51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BK</t>
    </r>
    <r>
      <rPr>
        <sz val="10"/>
        <rFont val="ＭＳ Ｐゴシック"/>
        <family val="3"/>
        <charset val="128"/>
      </rPr>
      <t>）</t>
    </r>
    <phoneticPr fontId="2"/>
  </si>
  <si>
    <r>
      <t xml:space="preserve">Rolled on board 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abt 50m/roll)</t>
    </r>
    <phoneticPr fontId="2"/>
  </si>
  <si>
    <r>
      <t xml:space="preserve">Rolled on board </t>
    </r>
    <r>
      <rPr>
        <sz val="10"/>
        <rFont val="ＭＳ Ｐゴシック"/>
        <family val="3"/>
        <charset val="128"/>
      </rPr>
      <t>（</t>
    </r>
    <r>
      <rPr>
        <sz val="10"/>
        <rFont val="Arial  "/>
        <family val="2"/>
      </rPr>
      <t>abt 25m/roll)</t>
    </r>
    <phoneticPr fontId="2"/>
  </si>
  <si>
    <t>20231017ALC</t>
    <phoneticPr fontId="2"/>
  </si>
  <si>
    <t xml:space="preserve"># 999 White , # 2 Black </t>
    <phoneticPr fontId="2"/>
  </si>
  <si>
    <t>新単価目安</t>
    <rPh sb="0" eb="3">
      <t>シンタンカ</t>
    </rPh>
    <rPh sb="3" eb="5">
      <t>メヤス</t>
    </rPh>
    <phoneticPr fontId="2"/>
  </si>
  <si>
    <t>MOQ for current stock</t>
    <phoneticPr fontId="2"/>
  </si>
  <si>
    <t>EXW (JAPAN) / m for current stock</t>
    <phoneticPr fontId="2"/>
  </si>
  <si>
    <t>20231018ALC</t>
    <phoneticPr fontId="2"/>
  </si>
  <si>
    <r>
      <t xml:space="preserve">MOQ 350m /col., 単価: 380円 /m   </t>
    </r>
    <r>
      <rPr>
        <sz val="11"/>
        <color rgb="FFFF0000"/>
        <rFont val="ＭＳ Ｐゴシック"/>
        <family val="3"/>
        <charset val="128"/>
      </rPr>
      <t>OR</t>
    </r>
    <r>
      <rPr>
        <sz val="11"/>
        <rFont val="ＭＳ Ｐゴシック"/>
        <family val="3"/>
        <charset val="128"/>
      </rPr>
      <t xml:space="preserve">  MOQ 180m /col., 単価: 400円 /m </t>
    </r>
    <phoneticPr fontId="2"/>
  </si>
  <si>
    <t>新単価</t>
    <rPh sb="0" eb="3">
      <t>シンタンカ</t>
    </rPh>
    <phoneticPr fontId="2"/>
  </si>
  <si>
    <t>Art. No.</t>
    <phoneticPr fontId="2"/>
  </si>
  <si>
    <t>MOQ for New Production</t>
    <phoneticPr fontId="2"/>
  </si>
  <si>
    <t>180m /col</t>
    <phoneticPr fontId="2"/>
  </si>
  <si>
    <t xml:space="preserve">Trial Sample (20m - 60m per color) </t>
    <phoneticPr fontId="2"/>
  </si>
  <si>
    <t>40,000円/式</t>
    <rPh sb="6" eb="7">
      <t>エン</t>
    </rPh>
    <rPh sb="8" eb="9">
      <t>シキ</t>
    </rPh>
    <phoneticPr fontId="2"/>
  </si>
  <si>
    <t>20231018Sablyn</t>
    <phoneticPr fontId="2"/>
  </si>
  <si>
    <t>10m</t>
    <phoneticPr fontId="2"/>
  </si>
  <si>
    <t>FWL-77003 (Organic cotton)</t>
    <phoneticPr fontId="2"/>
  </si>
  <si>
    <t>Mill's Standard Color</t>
    <phoneticPr fontId="2"/>
  </si>
  <si>
    <t>Natural (Undyed)</t>
    <phoneticPr fontId="2"/>
  </si>
  <si>
    <t>MOQ for Natural (Undyed)</t>
    <phoneticPr fontId="2"/>
  </si>
  <si>
    <t>EXW (JAPAN) / m Natural (Undyed)</t>
    <phoneticPr fontId="2"/>
  </si>
  <si>
    <t>EXW JAPAN /m Black(piece dyed)</t>
    <phoneticPr fontId="2"/>
  </si>
  <si>
    <t>新単価 (Natural undyed)</t>
    <rPh sb="0" eb="3">
      <t>シンタンカ</t>
    </rPh>
    <phoneticPr fontId="2"/>
  </si>
  <si>
    <t>利益率 (Natural undyed)</t>
    <rPh sb="0" eb="2">
      <t>リエキ</t>
    </rPh>
    <rPh sb="2" eb="3">
      <t>リツ</t>
    </rPh>
    <phoneticPr fontId="2"/>
  </si>
  <si>
    <t>100m/col - (Dye fee: US$ 80/col if below 100m/col)</t>
    <phoneticPr fontId="2"/>
  </si>
  <si>
    <t>229849</t>
    <phoneticPr fontId="2"/>
  </si>
  <si>
    <t># 758 Dark Green</t>
    <phoneticPr fontId="2"/>
  </si>
  <si>
    <t># 766 Sky Blue</t>
    <phoneticPr fontId="2"/>
  </si>
  <si>
    <t xml:space="preserve">100% Nylon Tulle (Soft tulle) </t>
    <phoneticPr fontId="2"/>
  </si>
  <si>
    <t>229856</t>
    <phoneticPr fontId="2"/>
  </si>
  <si>
    <t xml:space="preserve">100% Nylon Tulle (Hard tulle / 50d Tulle) </t>
    <phoneticPr fontId="2"/>
  </si>
  <si>
    <t># 35 Evergreen</t>
    <phoneticPr fontId="2"/>
  </si>
  <si>
    <t># 38 Rose Pink</t>
    <phoneticPr fontId="2"/>
  </si>
  <si>
    <t>229856&amp;229849</t>
    <phoneticPr fontId="2"/>
  </si>
  <si>
    <t xml:space="preserve">Organic Cotton Trim  Organic Cotton 100% </t>
    <phoneticPr fontId="2"/>
  </si>
  <si>
    <t>FWL-77003</t>
    <phoneticPr fontId="2"/>
  </si>
  <si>
    <t>126085</t>
    <phoneticPr fontId="2"/>
  </si>
  <si>
    <t>AH23PT10089</t>
    <phoneticPr fontId="2"/>
  </si>
  <si>
    <t># 5000 (Mayfair)</t>
    <phoneticPr fontId="2"/>
  </si>
  <si>
    <t>Double-fold flat cut tape 38mm (1.5")</t>
    <phoneticPr fontId="2"/>
  </si>
  <si>
    <t>Trina Turk 20231024  40% 120円</t>
    <rPh sb="28" eb="29">
      <t>エン</t>
    </rPh>
    <phoneticPr fontId="2"/>
  </si>
  <si>
    <t xml:space="preserve">MOQ / col for standard colors </t>
  </si>
  <si>
    <t>EXW JAPAN /m</t>
  </si>
  <si>
    <t>abt 25m/roll</t>
  </si>
  <si>
    <t>-There may be a joint on each roll, therefore 1 roll can be 2 pieces.</t>
  </si>
  <si>
    <t xml:space="preserve">-Inland Freight Charge in Japan will be added </t>
  </si>
  <si>
    <t>-The term of validity: end of November, 2023</t>
  </si>
  <si>
    <t>Monique  20231024  25% 120円</t>
    <rPh sb="26" eb="27">
      <t>エン</t>
    </rPh>
    <phoneticPr fontId="2"/>
  </si>
  <si>
    <t>148MP (Swisstulle)</t>
    <phoneticPr fontId="2"/>
  </si>
  <si>
    <t>abt 30m /roll</t>
    <phoneticPr fontId="2"/>
  </si>
  <si>
    <t xml:space="preserve">Mill's color / finish </t>
    <phoneticPr fontId="2"/>
  </si>
  <si>
    <t xml:space="preserve">PFD / Hard finish </t>
    <phoneticPr fontId="2"/>
  </si>
  <si>
    <t>abt 30m/roll</t>
    <phoneticPr fontId="2"/>
  </si>
  <si>
    <t>MOQ for PFD / Hard finish (sample as is)</t>
    <phoneticPr fontId="2"/>
  </si>
  <si>
    <t>EXW JAPAN /m  
for PFD / Hard finish (sample as is)</t>
    <phoneticPr fontId="2"/>
  </si>
  <si>
    <t>229886</t>
    <phoneticPr fontId="2"/>
  </si>
  <si>
    <t>FWL-31330</t>
    <phoneticPr fontId="2"/>
  </si>
  <si>
    <t># AW202  Black</t>
    <phoneticPr fontId="2"/>
  </si>
  <si>
    <t xml:space="preserve">MOQ for # AW202  Black </t>
    <phoneticPr fontId="2"/>
  </si>
  <si>
    <t xml:space="preserve">EXW (JAPAN) / m # AW202  Black </t>
    <phoneticPr fontId="2"/>
  </si>
  <si>
    <t>20231026 40% 120 円</t>
    <rPh sb="17" eb="18">
      <t>エン</t>
    </rPh>
    <phoneticPr fontId="2"/>
  </si>
  <si>
    <t>FWL-31334</t>
    <phoneticPr fontId="2"/>
  </si>
  <si>
    <t>12732</t>
    <phoneticPr fontId="2"/>
  </si>
  <si>
    <t>Trina Turk 20231106  40% 120円</t>
    <rPh sb="28" eb="29">
      <t>エン</t>
    </rPh>
    <phoneticPr fontId="2"/>
  </si>
  <si>
    <t>Double-fold flat cut tape : finished 22mm (7/8")</t>
    <phoneticPr fontId="2"/>
  </si>
  <si>
    <t>Synthetic Leather trimming  SURFACE: Polyurethane-100%, REVERSE: Cupro-80%, Nylon-20%</t>
    <phoneticPr fontId="2"/>
  </si>
  <si>
    <t>TT-231107</t>
    <phoneticPr fontId="2"/>
  </si>
  <si>
    <t># 5013</t>
    <phoneticPr fontId="2"/>
  </si>
  <si>
    <t>EXW JAPAN price /m</t>
    <phoneticPr fontId="2"/>
  </si>
  <si>
    <t xml:space="preserve">ALC ( Chinamine ) 20231108  </t>
    <phoneticPr fontId="2"/>
  </si>
  <si>
    <t>SKL045580</t>
    <phoneticPr fontId="2"/>
  </si>
  <si>
    <t>Chinamine Trading Limited (A.L.C.)</t>
    <phoneticPr fontId="2"/>
  </si>
  <si>
    <t>20231110 Jonathan Simkhai   20% 120 price update</t>
    <phoneticPr fontId="2"/>
  </si>
  <si>
    <t>Order Qty</t>
    <phoneticPr fontId="2"/>
  </si>
  <si>
    <t>単価 (輸出梱包 +30 )</t>
    <rPh sb="0" eb="2">
      <t>タンカ</t>
    </rPh>
    <rPh sb="4" eb="6">
      <t>ユシュツ</t>
    </rPh>
    <rPh sb="6" eb="8">
      <t>コンポウ</t>
    </rPh>
    <phoneticPr fontId="2"/>
  </si>
  <si>
    <t>利益率 (by roll )</t>
    <rPh sb="0" eb="2">
      <t>リエキ</t>
    </rPh>
    <rPh sb="2" eb="3">
      <t>リツ</t>
    </rPh>
    <phoneticPr fontId="2"/>
  </si>
  <si>
    <t>105/110cm × abt 50m</t>
    <phoneticPr fontId="2"/>
  </si>
  <si>
    <r>
      <t>Parc &amp; Pearl  20231113    20% 120</t>
    </r>
    <r>
      <rPr>
        <sz val="10"/>
        <rFont val="ＭＳ Ｐゴシック"/>
        <family val="3"/>
        <charset val="128"/>
      </rPr>
      <t>円</t>
    </r>
    <rPh sb="33" eb="34">
      <t>エン</t>
    </rPh>
    <phoneticPr fontId="2"/>
  </si>
  <si>
    <t xml:space="preserve">EXW JAPAN /m 
</t>
    <phoneticPr fontId="2"/>
  </si>
  <si>
    <t>Order Qty</t>
    <phoneticPr fontId="2"/>
  </si>
  <si>
    <t>1 roll /col</t>
    <phoneticPr fontId="2"/>
  </si>
  <si>
    <t>CUT6641 / PFD (made to order)</t>
    <phoneticPr fontId="2"/>
  </si>
  <si>
    <t>8 rolls /col</t>
    <phoneticPr fontId="2"/>
  </si>
  <si>
    <t>DTM Whisper White</t>
    <phoneticPr fontId="2"/>
  </si>
  <si>
    <t xml:space="preserve">EXW Thailand /m </t>
    <phoneticPr fontId="2"/>
  </si>
  <si>
    <t xml:space="preserve">31115233J </t>
    <phoneticPr fontId="2"/>
  </si>
  <si>
    <t>Metallic Velvet Ribbon   Nylon-100%</t>
    <phoneticPr fontId="2"/>
  </si>
  <si>
    <t>COL. 88</t>
  </si>
  <si>
    <t>COL. 05</t>
  </si>
  <si>
    <t>COL. 18</t>
  </si>
  <si>
    <t>COL. 59</t>
  </si>
  <si>
    <t>COL. 185</t>
  </si>
  <si>
    <t>EO-231115</t>
    <phoneticPr fontId="2"/>
  </si>
  <si>
    <t>5307</t>
    <phoneticPr fontId="2"/>
  </si>
  <si>
    <t>OVERDUE</t>
  </si>
  <si>
    <t>5359</t>
    <phoneticPr fontId="2"/>
  </si>
  <si>
    <t>5684</t>
    <phoneticPr fontId="2"/>
  </si>
  <si>
    <t>Invoice No</t>
    <phoneticPr fontId="2"/>
  </si>
  <si>
    <t>Invoice Date</t>
    <phoneticPr fontId="2"/>
  </si>
  <si>
    <t>Over Due</t>
    <phoneticPr fontId="2"/>
  </si>
  <si>
    <t>127141</t>
    <phoneticPr fontId="2"/>
  </si>
  <si>
    <t>KYL-1620</t>
    <phoneticPr fontId="2"/>
  </si>
  <si>
    <t>abt 50m/roll</t>
    <phoneticPr fontId="2"/>
  </si>
  <si>
    <t>Mill's Black</t>
    <phoneticPr fontId="2"/>
  </si>
  <si>
    <t>MOQ / col for Mill's Black</t>
    <phoneticPr fontId="2"/>
  </si>
  <si>
    <t>Simkhai 20231130 55% 120円</t>
    <rPh sb="24" eb="25">
      <t>エン</t>
    </rPh>
    <phoneticPr fontId="2"/>
  </si>
  <si>
    <t>FWL-77003</t>
  </si>
  <si>
    <t>Stretch lace trim   Nylon 85%, Pu 15%</t>
    <phoneticPr fontId="2"/>
  </si>
  <si>
    <t>8991</t>
    <phoneticPr fontId="2"/>
  </si>
  <si>
    <t>KYL-1620</t>
    <phoneticPr fontId="2"/>
  </si>
  <si>
    <t>8991  Hantex Garments</t>
    <phoneticPr fontId="2"/>
  </si>
  <si>
    <t xml:space="preserve">8991  Simkhai NY </t>
    <phoneticPr fontId="2"/>
  </si>
  <si>
    <t xml:space="preserve">Ship to </t>
    <phoneticPr fontId="2"/>
  </si>
  <si>
    <t xml:space="preserve"> Hantex Garments</t>
    <phoneticPr fontId="2"/>
  </si>
  <si>
    <t>Simkhai NYC</t>
    <phoneticPr fontId="2"/>
  </si>
  <si>
    <t>SF120423-SP24</t>
    <phoneticPr fontId="2"/>
  </si>
  <si>
    <t># 102 CARBON</t>
    <phoneticPr fontId="2"/>
  </si>
  <si>
    <t># 135 PARCHMENT</t>
    <phoneticPr fontId="2"/>
  </si>
  <si>
    <t># 34 ANTHRACITE</t>
    <phoneticPr fontId="2"/>
  </si>
  <si>
    <t># 176 NOUGAT</t>
    <phoneticPr fontId="2"/>
  </si>
  <si>
    <t># 162 DESERT</t>
    <phoneticPr fontId="2"/>
  </si>
  <si>
    <t>Linen-100%</t>
    <phoneticPr fontId="2"/>
  </si>
  <si>
    <t>Linen Herringborne Tapes</t>
    <phoneticPr fontId="2"/>
  </si>
  <si>
    <t>20231205 DDA</t>
    <phoneticPr fontId="2"/>
  </si>
  <si>
    <r>
      <t xml:space="preserve">230002 </t>
    </r>
    <r>
      <rPr>
        <sz val="12"/>
        <color rgb="FF0070C0"/>
        <rFont val="Arial"/>
        <family val="2"/>
      </rPr>
      <t>India</t>
    </r>
  </si>
  <si>
    <r>
      <rPr>
        <sz val="12"/>
        <rFont val="ＭＳ Ｐゴシック"/>
        <family val="3"/>
        <charset val="128"/>
      </rPr>
      <t>輸出梱包費用</t>
    </r>
    <r>
      <rPr>
        <sz val="12"/>
        <rFont val="Arial"/>
        <family val="3"/>
        <charset val="128"/>
      </rPr>
      <t>+30</t>
    </r>
    <rPh sb="0" eb="2">
      <t>ユシュツ</t>
    </rPh>
    <rPh sb="2" eb="4">
      <t>コンポウ</t>
    </rPh>
    <rPh sb="4" eb="6">
      <t>ヒヨウ</t>
    </rPh>
    <phoneticPr fontId="2"/>
  </si>
  <si>
    <t>PO# / ship to</t>
    <phoneticPr fontId="2"/>
  </si>
  <si>
    <r>
      <t xml:space="preserve">230002 </t>
    </r>
    <r>
      <rPr>
        <sz val="10"/>
        <color rgb="FF0070C0"/>
        <rFont val="Arial"/>
        <family val="2"/>
      </rPr>
      <t>ship to India</t>
    </r>
  </si>
  <si>
    <t xml:space="preserve">Availability </t>
  </si>
  <si>
    <t>no stock, will be ready Mid January, 2024</t>
    <phoneticPr fontId="2"/>
  </si>
  <si>
    <t>Col. 18</t>
  </si>
  <si>
    <t>Col. 532</t>
  </si>
  <si>
    <t>Col. 520</t>
  </si>
  <si>
    <t>Col.140</t>
  </si>
  <si>
    <t>Col.147</t>
  </si>
  <si>
    <t>Col. 124</t>
    <phoneticPr fontId="2"/>
  </si>
  <si>
    <t>Col. 22</t>
    <phoneticPr fontId="2"/>
  </si>
  <si>
    <t>12746</t>
    <phoneticPr fontId="2"/>
  </si>
  <si>
    <t xml:space="preserve">Heather Knit Cord </t>
  </si>
  <si>
    <t>Polyester-100%</t>
  </si>
  <si>
    <t>20231215 Katharine Polk</t>
    <phoneticPr fontId="2"/>
  </si>
  <si>
    <t>&gt;10m</t>
    <phoneticPr fontId="2"/>
  </si>
  <si>
    <t>&gt;100m</t>
    <phoneticPr fontId="2"/>
  </si>
  <si>
    <t>&gt;300m</t>
    <phoneticPr fontId="2"/>
  </si>
  <si>
    <t>&gt;1000m</t>
    <phoneticPr fontId="2"/>
  </si>
  <si>
    <t>&gt;5000m</t>
    <phoneticPr fontId="2"/>
  </si>
  <si>
    <t>Weaving min.
(meter)</t>
    <phoneticPr fontId="2"/>
  </si>
  <si>
    <t>WIDTH 
(CM)</t>
    <phoneticPr fontId="2"/>
  </si>
  <si>
    <t>Hanger #</t>
  </si>
  <si>
    <t>AX243</t>
  </si>
  <si>
    <t>AX333</t>
  </si>
  <si>
    <t>Nylon:70%,Cotton:30%</t>
  </si>
  <si>
    <t>P238</t>
  </si>
  <si>
    <t>ZEG2521</t>
  </si>
  <si>
    <t>P151</t>
  </si>
  <si>
    <t>Nylon:55%,Cotton:45%</t>
  </si>
  <si>
    <t>ZET5391</t>
  </si>
  <si>
    <t>A1848</t>
  </si>
  <si>
    <t>ZET2271</t>
  </si>
  <si>
    <t>A1348</t>
  </si>
  <si>
    <t>Dye to match
(meter per color )</t>
    <phoneticPr fontId="2"/>
  </si>
  <si>
    <t>P211</t>
    <phoneticPr fontId="2"/>
  </si>
  <si>
    <t>ZE11231</t>
    <phoneticPr fontId="2"/>
  </si>
  <si>
    <t>ZE11343</t>
    <phoneticPr fontId="2"/>
  </si>
  <si>
    <t>ZET4602</t>
    <phoneticPr fontId="2"/>
  </si>
  <si>
    <t>ZET4622</t>
  </si>
  <si>
    <t>P234</t>
  </si>
  <si>
    <t>ZET2902</t>
  </si>
  <si>
    <t>AX427</t>
  </si>
  <si>
    <t>piece length</t>
    <phoneticPr fontId="2"/>
  </si>
  <si>
    <t>ZET4411</t>
  </si>
  <si>
    <t>ZET4281</t>
  </si>
  <si>
    <t>P164</t>
  </si>
  <si>
    <t>ZET4391</t>
  </si>
  <si>
    <t>P176</t>
  </si>
  <si>
    <t>ZET4261</t>
  </si>
  <si>
    <t>P207</t>
  </si>
  <si>
    <r>
      <rPr>
        <b/>
        <sz val="10"/>
        <rFont val="Arial  "/>
        <family val="2"/>
      </rPr>
      <t>Pattern#</t>
    </r>
  </si>
  <si>
    <r>
      <rPr>
        <b/>
        <sz val="10"/>
        <rFont val="Arial  "/>
        <family val="2"/>
      </rPr>
      <t>Composition</t>
    </r>
  </si>
  <si>
    <r>
      <rPr>
        <b/>
        <i/>
        <sz val="10"/>
        <rFont val="Arial  "/>
        <family val="2"/>
      </rPr>
      <t xml:space="preserve">FOB  </t>
    </r>
    <r>
      <rPr>
        <b/>
        <sz val="10"/>
        <rFont val="Arial  "/>
        <family val="2"/>
      </rPr>
      <t>PRICE PER</t>
    </r>
    <r>
      <rPr>
        <b/>
        <u/>
        <sz val="10"/>
        <rFont val="Arial  "/>
        <family val="2"/>
      </rPr>
      <t> METER</t>
    </r>
    <r>
      <rPr>
        <b/>
        <sz val="10"/>
        <rFont val="Arial  "/>
        <family val="2"/>
      </rPr>
      <t xml:space="preserve"> OR </t>
    </r>
    <r>
      <rPr>
        <b/>
        <u/>
        <sz val="10"/>
        <rFont val="Arial  "/>
        <family val="2"/>
      </rPr>
      <t>PIECE</t>
    </r>
    <r>
      <rPr>
        <b/>
        <sz val="10"/>
        <rFont val="Arial  "/>
        <family val="2"/>
      </rPr>
      <t xml:space="preserve"> IN</t>
    </r>
    <r>
      <rPr>
        <b/>
        <u/>
        <sz val="10"/>
        <rFont val="Arial  "/>
        <family val="2"/>
      </rPr>
      <t> USD</t>
    </r>
    <phoneticPr fontId="2"/>
  </si>
  <si>
    <r>
      <t xml:space="preserve">9093 </t>
    </r>
    <r>
      <rPr>
        <sz val="12"/>
        <color rgb="FF0070C0"/>
        <rFont val="Arial"/>
        <family val="2"/>
      </rPr>
      <t>ship to HK</t>
    </r>
    <phoneticPr fontId="2"/>
  </si>
  <si>
    <t>Simkhai</t>
    <phoneticPr fontId="2"/>
  </si>
  <si>
    <t># 186 BALLET PINK</t>
    <phoneticPr fontId="2"/>
  </si>
  <si>
    <t xml:space="preserve"> # 22 CELESTIAL</t>
    <phoneticPr fontId="2"/>
  </si>
  <si>
    <t>20240105 Frankies Bikinis</t>
    <phoneticPr fontId="2"/>
  </si>
  <si>
    <t>20m /roll</t>
    <phoneticPr fontId="2"/>
  </si>
  <si>
    <t xml:space="preserve">MOQ / col for Mill's standard colors </t>
    <phoneticPr fontId="2"/>
  </si>
  <si>
    <t>NOAM HANOCH</t>
    <phoneticPr fontId="2"/>
  </si>
  <si>
    <t>1/15~48.4</t>
    <phoneticPr fontId="2"/>
  </si>
  <si>
    <t xml:space="preserve">Double-fold glued tape
Finished 10mm </t>
  </si>
  <si>
    <t># 5014 (black)</t>
    <phoneticPr fontId="2"/>
  </si>
  <si>
    <t># 5024 (chocolate)</t>
    <phoneticPr fontId="2"/>
  </si>
  <si>
    <t>E3709</t>
    <phoneticPr fontId="2"/>
  </si>
  <si>
    <t>9123</t>
    <phoneticPr fontId="2"/>
  </si>
  <si>
    <t>37732</t>
    <phoneticPr fontId="2"/>
  </si>
  <si>
    <t>346</t>
    <phoneticPr fontId="2"/>
  </si>
  <si>
    <t>Col # 55 Green</t>
    <phoneticPr fontId="2"/>
  </si>
  <si>
    <t>Col # 84 Lavender</t>
    <phoneticPr fontId="2"/>
  </si>
  <si>
    <t>E3920: 44.87</t>
    <phoneticPr fontId="2"/>
  </si>
  <si>
    <t xml:space="preserve">NOTE : </t>
    <phoneticPr fontId="2"/>
  </si>
  <si>
    <t xml:space="preserve"># 3920 will be transition to Sustainable Series. Current item will be discontinued </t>
    <phoneticPr fontId="2"/>
  </si>
  <si>
    <t>AH24PT01023</t>
    <phoneticPr fontId="2"/>
  </si>
  <si>
    <t>20240110 Frankies Bikinis</t>
    <phoneticPr fontId="2"/>
  </si>
  <si>
    <t>FWL-41035s</t>
    <phoneticPr fontId="2"/>
  </si>
  <si>
    <t>Mill's Off White (Undyed)</t>
    <phoneticPr fontId="2"/>
  </si>
  <si>
    <t>MOQ for Mill's Off White (Undyed)</t>
    <phoneticPr fontId="2"/>
  </si>
  <si>
    <t>EXW (JAPAN) / m for Mill's Off White (Undyed)</t>
    <phoneticPr fontId="2"/>
  </si>
  <si>
    <t>EXW JAPAN /m for colors(piece dyed)</t>
    <phoneticPr fontId="2"/>
  </si>
  <si>
    <t>Stretch torchon lace trim  Cotton 94%, Pu 6%</t>
    <phoneticPr fontId="2"/>
  </si>
  <si>
    <t>24SUPF12008</t>
    <phoneticPr fontId="2"/>
  </si>
  <si>
    <t>TBC</t>
    <phoneticPr fontId="2"/>
  </si>
  <si>
    <t>100m/col</t>
    <phoneticPr fontId="2"/>
  </si>
  <si>
    <t>Qty</t>
    <phoneticPr fontId="2"/>
  </si>
  <si>
    <t>FB-240110</t>
    <phoneticPr fontId="2"/>
  </si>
  <si>
    <t>12775</t>
    <phoneticPr fontId="2"/>
  </si>
  <si>
    <t># 618 Nude</t>
    <phoneticPr fontId="2"/>
  </si>
  <si>
    <t>HZPOT2401101</t>
    <phoneticPr fontId="2"/>
  </si>
  <si>
    <t>A&amp;Feng Fashion Limited (Trina Turk)</t>
    <phoneticPr fontId="2"/>
  </si>
  <si>
    <t xml:space="preserve"># 9 Greige </t>
    <phoneticPr fontId="2"/>
  </si>
  <si>
    <t>Shipping sample to Trina Turk courier  fee</t>
    <phoneticPr fontId="2"/>
  </si>
  <si>
    <t>20240116 Simkhai   20% 120</t>
    <phoneticPr fontId="2"/>
  </si>
  <si>
    <t>FUT3438DE-W D#1 (Mill's color) 
Regular price</t>
    <phoneticPr fontId="2"/>
  </si>
  <si>
    <r>
      <t xml:space="preserve">FUT3438DE-W D#1 (Mill's color) 
Sample price (-2.9m </t>
    </r>
    <r>
      <rPr>
        <sz val="10"/>
        <rFont val="ＭＳ Ｐゴシック"/>
        <family val="3"/>
        <charset val="128"/>
      </rPr>
      <t>⇒</t>
    </r>
    <r>
      <rPr>
        <sz val="10"/>
        <rFont val="Arial"/>
        <family val="2"/>
      </rPr>
      <t>USD15/cut)</t>
    </r>
    <phoneticPr fontId="2"/>
  </si>
  <si>
    <t>梱包費用 +30 (DTM は6反～輸出梱包費用込み）</t>
    <rPh sb="0" eb="2">
      <t>コンポウ</t>
    </rPh>
    <rPh sb="2" eb="4">
      <t>ヒヨウ</t>
    </rPh>
    <rPh sb="16" eb="17">
      <t>タン</t>
    </rPh>
    <rPh sb="18" eb="20">
      <t>ユシュツ</t>
    </rPh>
    <rPh sb="20" eb="22">
      <t>コンポウ</t>
    </rPh>
    <rPh sb="22" eb="24">
      <t>ヒヨウ</t>
    </rPh>
    <rPh sb="24" eb="25">
      <t>コ</t>
    </rPh>
    <phoneticPr fontId="2"/>
  </si>
  <si>
    <t>FUT3438DE-W D#1 (DTM) for 1 roll/col</t>
    <phoneticPr fontId="2"/>
  </si>
  <si>
    <t>FUT3438DE-W D#1 (DTM) for 2 rolls/col</t>
    <phoneticPr fontId="2"/>
  </si>
  <si>
    <t>FUT3438DE-W D#1 (DTM) for 4 rolls/col</t>
    <phoneticPr fontId="2"/>
  </si>
  <si>
    <t>FUT3438DE-W D#1 (DTM) for 6 rolls/col</t>
    <phoneticPr fontId="2"/>
  </si>
  <si>
    <t>FUT3438DE-W D#1 (DTM) for 8 rolls/col</t>
    <phoneticPr fontId="2"/>
  </si>
  <si>
    <t>FUT3438DE-W D#1 (DTM) for 10 rolls/col</t>
    <phoneticPr fontId="2"/>
  </si>
  <si>
    <t>Article / Qty</t>
    <phoneticPr fontId="2"/>
  </si>
  <si>
    <r>
      <t xml:space="preserve">230058 </t>
    </r>
    <r>
      <rPr>
        <sz val="12"/>
        <color rgb="FF0070C0"/>
        <rFont val="Arial"/>
        <family val="2"/>
      </rPr>
      <t>LA</t>
    </r>
    <phoneticPr fontId="2"/>
  </si>
  <si>
    <t># 766  Sky Blue</t>
    <phoneticPr fontId="2"/>
  </si>
  <si>
    <t># A19  Blue</t>
    <phoneticPr fontId="2"/>
  </si>
  <si>
    <t>XC20240117001</t>
    <phoneticPr fontId="2"/>
  </si>
  <si>
    <t>9141</t>
    <phoneticPr fontId="2"/>
  </si>
  <si>
    <t>FUT3438DE-W</t>
    <phoneticPr fontId="2"/>
  </si>
  <si>
    <t>Lab-dip #15-1153
TCX</t>
    <phoneticPr fontId="2"/>
  </si>
  <si>
    <t>Lab-dip #18-1307TCX</t>
    <phoneticPr fontId="2"/>
  </si>
  <si>
    <t>Lab-dip #18-1664TCX</t>
    <phoneticPr fontId="2"/>
  </si>
  <si>
    <t>Lab-dip #18-
4530TCX</t>
  </si>
  <si>
    <t>20240122 Burning Torch</t>
    <phoneticPr fontId="2"/>
  </si>
  <si>
    <t>仕入</t>
    <rPh sb="0" eb="2">
      <t>シイレ</t>
    </rPh>
    <phoneticPr fontId="2"/>
  </si>
  <si>
    <t>20653</t>
    <phoneticPr fontId="2"/>
  </si>
  <si>
    <r>
      <t>128.5</t>
    </r>
    <r>
      <rPr>
        <sz val="10"/>
        <rFont val="ＭＳ Ｐゴシック"/>
        <family val="3"/>
        <charset val="128"/>
      </rPr>
      <t>円</t>
    </r>
    <rPh sb="5" eb="6">
      <t>エン</t>
    </rPh>
    <phoneticPr fontId="2"/>
  </si>
  <si>
    <r>
      <t>500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/set</t>
    </r>
    <rPh sb="3" eb="4">
      <t>エン</t>
    </rPh>
    <phoneticPr fontId="2"/>
  </si>
  <si>
    <r>
      <rPr>
        <b/>
        <sz val="10"/>
        <rFont val="ＭＳ Ｐゴシック"/>
        <family val="3"/>
        <charset val="128"/>
      </rPr>
      <t>単価</t>
    </r>
    <r>
      <rPr>
        <b/>
        <sz val="10"/>
        <rFont val="Arial  "/>
        <family val="2"/>
      </rPr>
      <t xml:space="preserve"> 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 "/>
        <family val="2"/>
      </rPr>
      <t>/m</t>
    </r>
    <rPh sb="0" eb="2">
      <t>タンカ</t>
    </rPh>
    <rPh sb="3" eb="4">
      <t>エン</t>
    </rPh>
    <phoneticPr fontId="2"/>
  </si>
  <si>
    <r>
      <t>13.1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4" eb="5">
      <t>エン</t>
    </rPh>
    <phoneticPr fontId="2"/>
  </si>
  <si>
    <t>EXW JAPAN /pc</t>
    <phoneticPr fontId="2"/>
  </si>
  <si>
    <t xml:space="preserve">Handling Fee (Inland Freight Charge in Japan) </t>
    <phoneticPr fontId="2"/>
  </si>
  <si>
    <t>41852</t>
    <phoneticPr fontId="2"/>
  </si>
  <si>
    <t>14998</t>
    <phoneticPr fontId="2"/>
  </si>
  <si>
    <t>Koos Manufacturing, Inc.(AG Jeans)</t>
    <phoneticPr fontId="2"/>
  </si>
  <si>
    <t>20240208 Simkhai   10% 120</t>
    <phoneticPr fontId="2"/>
  </si>
  <si>
    <t>500</t>
    <phoneticPr fontId="2"/>
  </si>
  <si>
    <t>5655 :C/# 42NT x Bullet Metal Tip ( normal ) #PWP Silver</t>
    <phoneticPr fontId="2"/>
  </si>
  <si>
    <t>5655 :C/# 7NT x Bullet Metal Tip ( normal ) #PWP Silver</t>
    <phoneticPr fontId="2"/>
  </si>
  <si>
    <t xml:space="preserve">Total Amount </t>
    <phoneticPr fontId="2"/>
  </si>
  <si>
    <t>120624JWLA</t>
    <phoneticPr fontId="2"/>
  </si>
  <si>
    <t>COL. 46</t>
    <phoneticPr fontId="2"/>
  </si>
  <si>
    <t>STD-240215</t>
    <phoneticPr fontId="2"/>
  </si>
  <si>
    <t>Staud</t>
    <phoneticPr fontId="2"/>
  </si>
  <si>
    <t>Sample Card</t>
    <phoneticPr fontId="2"/>
  </si>
  <si>
    <t>4141 Color Card</t>
    <phoneticPr fontId="2"/>
  </si>
  <si>
    <t>(per set)</t>
    <phoneticPr fontId="2"/>
  </si>
  <si>
    <t>4142 Color Card</t>
    <phoneticPr fontId="2"/>
  </si>
  <si>
    <t>4143 Color Card</t>
    <phoneticPr fontId="2"/>
  </si>
  <si>
    <t xml:space="preserve">Bra Strap Book </t>
    <phoneticPr fontId="2"/>
  </si>
  <si>
    <r>
      <t xml:space="preserve">9258 </t>
    </r>
    <r>
      <rPr>
        <sz val="12"/>
        <color rgb="FF0070C0"/>
        <rFont val="Arial"/>
        <family val="2"/>
      </rPr>
      <t>ship to NY</t>
    </r>
    <phoneticPr fontId="2"/>
  </si>
  <si>
    <t># 42 Pewter</t>
    <phoneticPr fontId="2"/>
  </si>
  <si>
    <r>
      <t xml:space="preserve">9260 </t>
    </r>
    <r>
      <rPr>
        <sz val="12"/>
        <color rgb="FF0070C0"/>
        <rFont val="Arial"/>
        <family val="2"/>
      </rPr>
      <t>ship to HK</t>
    </r>
    <phoneticPr fontId="2"/>
  </si>
  <si>
    <t># 26 (Midnight)</t>
    <phoneticPr fontId="2"/>
  </si>
  <si>
    <t>カット代込み</t>
    <rPh sb="3" eb="4">
      <t>ダイ</t>
    </rPh>
    <rPh sb="4" eb="5">
      <t>コ</t>
    </rPh>
    <phoneticPr fontId="2"/>
  </si>
  <si>
    <r>
      <t>Made in China
C/# starting with "Y"</t>
    </r>
    <r>
      <rPr>
        <b/>
        <sz val="9"/>
        <color rgb="FFFF0000"/>
        <rFont val="ＭＳ Ｐゴシック"/>
        <family val="3"/>
        <charset val="128"/>
      </rPr>
      <t>→</t>
    </r>
    <r>
      <rPr>
        <b/>
        <sz val="9"/>
        <color rgb="FFFF0000"/>
        <rFont val="arial    "/>
      </rPr>
      <t>Made in Japan</t>
    </r>
    <phoneticPr fontId="272"/>
  </si>
  <si>
    <t>NYLON 100%</t>
    <phoneticPr fontId="2"/>
  </si>
  <si>
    <t>Up to 25m with cut fee USD12/cut</t>
    <phoneticPr fontId="272"/>
  </si>
  <si>
    <t>No charge</t>
    <phoneticPr fontId="2"/>
  </si>
  <si>
    <r>
      <rPr>
        <i/>
        <sz val="12"/>
        <rFont val="Times New Roman"/>
        <family val="1"/>
      </rPr>
      <t>FOB</t>
    </r>
    <r>
      <rPr>
        <sz val="12"/>
        <rFont val="Times New Roman"/>
        <family val="1"/>
      </rPr>
      <t xml:space="preserve"> PRICE PER </t>
    </r>
    <r>
      <rPr>
        <u/>
        <sz val="12"/>
        <rFont val="Times New Roman"/>
        <family val="1"/>
      </rPr>
      <t>PIECE</t>
    </r>
    <r>
      <rPr>
        <sz val="12"/>
        <rFont val="Times New Roman"/>
        <family val="1"/>
      </rPr>
      <t xml:space="preserve"> IN</t>
    </r>
    <r>
      <rPr>
        <u/>
        <sz val="12"/>
        <rFont val="Times New Roman"/>
        <family val="1"/>
      </rPr>
      <t xml:space="preserve"> USD</t>
    </r>
    <r>
      <rPr>
        <sz val="12"/>
        <rFont val="Times New Roman"/>
        <family val="1"/>
      </rPr>
      <t xml:space="preserve"> BASED ON DIFFERENT ORDER QTY(PCS)</t>
    </r>
  </si>
  <si>
    <t>&gt;10 PCS</t>
  </si>
  <si>
    <t>&gt;100 PCS</t>
  </si>
  <si>
    <t>&gt;300 PCS</t>
  </si>
  <si>
    <t>ZH88251</t>
  </si>
  <si>
    <t>ZH88341</t>
  </si>
  <si>
    <t>ZH88391</t>
  </si>
  <si>
    <t>ZH88521</t>
  </si>
  <si>
    <t>ZH88522</t>
  </si>
  <si>
    <t>ZH88531</t>
  </si>
  <si>
    <t>ZH88671</t>
  </si>
  <si>
    <t>ZJ88681 (stretch)</t>
    <phoneticPr fontId="2"/>
  </si>
  <si>
    <t>ZJ88691 (stretch)</t>
    <phoneticPr fontId="2"/>
  </si>
  <si>
    <t>ZJ88751 (stretch)</t>
    <phoneticPr fontId="2"/>
  </si>
  <si>
    <t>ZJ88801 (stretch)</t>
    <phoneticPr fontId="2"/>
  </si>
  <si>
    <t>ZJ89011 (stretch)</t>
    <phoneticPr fontId="2"/>
  </si>
  <si>
    <t>ZJ89131 (stretch)</t>
    <phoneticPr fontId="2"/>
  </si>
  <si>
    <t>Motif ZH / ZJ Pattern#</t>
    <phoneticPr fontId="2"/>
  </si>
  <si>
    <r>
      <t xml:space="preserve">9317 </t>
    </r>
    <r>
      <rPr>
        <sz val="12"/>
        <color rgb="FF0070C0"/>
        <rFont val="Arial"/>
        <family val="2"/>
      </rPr>
      <t>ship to LA</t>
    </r>
    <phoneticPr fontId="2"/>
  </si>
  <si>
    <t xml:space="preserve"># 2546 in Organic Cotton version </t>
    <phoneticPr fontId="2"/>
  </si>
  <si>
    <t># 2101 in Organic Cotton version (slightly thicker than the original # 2101)</t>
    <phoneticPr fontId="2"/>
  </si>
  <si>
    <t>利益率</t>
  </si>
  <si>
    <t>レート</t>
  </si>
  <si>
    <t>400m</t>
    <phoneticPr fontId="2"/>
  </si>
  <si>
    <t>Developped item</t>
    <phoneticPr fontId="2"/>
  </si>
  <si>
    <r>
      <rPr>
        <b/>
        <sz val="10"/>
        <color rgb="FFFF00FF"/>
        <rFont val="ＭＳ Ｐゴシック"/>
        <family val="3"/>
        <charset val="128"/>
      </rPr>
      <t>単価</t>
    </r>
    <r>
      <rPr>
        <b/>
        <sz val="10"/>
        <color rgb="FFFF00FF"/>
        <rFont val="Arial  "/>
        <family val="2"/>
      </rPr>
      <t>/m</t>
    </r>
    <rPh sb="0" eb="2">
      <t>タンカ</t>
    </rPh>
    <phoneticPr fontId="272"/>
  </si>
  <si>
    <r>
      <t xml:space="preserve">*Surcharge if below MOQ : </t>
    </r>
    <r>
      <rPr>
        <sz val="10"/>
        <rFont val="ＭＳ Ｐゴシック"/>
        <family val="3"/>
        <charset val="128"/>
      </rPr>
      <t>　</t>
    </r>
    <r>
      <rPr>
        <sz val="10"/>
        <rFont val="Arial  "/>
        <family val="2"/>
      </rPr>
      <t>USD 45 / item&amp;order</t>
    </r>
    <phoneticPr fontId="2"/>
  </si>
  <si>
    <t>Natural (Undyed)</t>
    <phoneticPr fontId="2"/>
  </si>
  <si>
    <t>Frame  20240305</t>
    <phoneticPr fontId="2"/>
  </si>
  <si>
    <t>KYL-8000</t>
    <phoneticPr fontId="2"/>
  </si>
  <si>
    <t xml:space="preserve">1 roll ( abt 50m or 80m ) </t>
    <phoneticPr fontId="2"/>
  </si>
  <si>
    <t>Bandit Running Headquarters(Wear it to Heart )</t>
    <phoneticPr fontId="2"/>
  </si>
  <si>
    <t>BR-240306</t>
    <phoneticPr fontId="2"/>
  </si>
  <si>
    <r>
      <t xml:space="preserve">34243J </t>
    </r>
    <r>
      <rPr>
        <sz val="12"/>
        <color rgb="FF0070C0"/>
        <rFont val="Arial"/>
        <family val="2"/>
      </rPr>
      <t>ship to China</t>
    </r>
  </si>
  <si>
    <t>Enza Costa LLC.</t>
    <phoneticPr fontId="2"/>
  </si>
  <si>
    <t># 163</t>
    <phoneticPr fontId="2"/>
  </si>
  <si>
    <t>通常106</t>
    <rPh sb="0" eb="2">
      <t>ツウジョウ</t>
    </rPh>
    <phoneticPr fontId="2"/>
  </si>
  <si>
    <t>通常97</t>
    <rPh sb="0" eb="2">
      <t>ツウジョウ</t>
    </rPh>
    <phoneticPr fontId="2"/>
  </si>
  <si>
    <t xml:space="preserve">Sample cut </t>
    <phoneticPr fontId="2"/>
  </si>
  <si>
    <t>Regular price: US$ 1.63/m</t>
    <phoneticPr fontId="2"/>
  </si>
  <si>
    <t>Regular price: US$ 1.78/m</t>
    <phoneticPr fontId="2"/>
  </si>
  <si>
    <t>Bea Projet 20240307</t>
    <phoneticPr fontId="2"/>
  </si>
  <si>
    <t>CO-Cotton 1</t>
  </si>
  <si>
    <t>CO-Cotton 2</t>
  </si>
  <si>
    <t>CO-Cotton 3</t>
  </si>
  <si>
    <t>CO-Cotton 5</t>
  </si>
  <si>
    <t>CO-Cotton 6</t>
  </si>
  <si>
    <t>CO-Cotton 8</t>
  </si>
  <si>
    <t>CO-Cotton 9</t>
  </si>
  <si>
    <t>CO-Cotton 10</t>
  </si>
  <si>
    <t>CO-Cotton 12</t>
  </si>
  <si>
    <t>CO-C161S</t>
  </si>
  <si>
    <t>CO-C162S</t>
  </si>
  <si>
    <t>CO-C163S</t>
  </si>
  <si>
    <t>CO-C165S</t>
  </si>
  <si>
    <t>CO-C321S</t>
  </si>
  <si>
    <t>CO-C322S</t>
  </si>
  <si>
    <t>CO-C441S</t>
  </si>
  <si>
    <t>CO-C442A</t>
  </si>
  <si>
    <t>CO-C402A</t>
  </si>
  <si>
    <t>CO-RC1632</t>
  </si>
  <si>
    <t>CO-RC1633</t>
  </si>
  <si>
    <t>CO-RC3233</t>
  </si>
  <si>
    <r>
      <rPr>
        <sz val="12"/>
        <color rgb="FF000000"/>
        <rFont val="ＭＳ Ｐゴシック"/>
        <family val="3"/>
        <charset val="128"/>
      </rPr>
      <t>　</t>
    </r>
    <r>
      <rPr>
        <sz val="12"/>
        <color rgb="FF000000"/>
        <rFont val="Arial  "/>
        <family val="2"/>
      </rPr>
      <t>1 roll</t>
    </r>
    <r>
      <rPr>
        <sz val="11"/>
        <rFont val="ＭＳ Ｐゴシック"/>
        <family val="3"/>
        <charset val="128"/>
      </rPr>
      <t/>
    </r>
  </si>
  <si>
    <t xml:space="preserve">Organic Cotton Ribbon </t>
    <phoneticPr fontId="272"/>
  </si>
  <si>
    <r>
      <t>Organic Cotton</t>
    </r>
    <r>
      <rPr>
        <sz val="12"/>
        <color theme="1"/>
        <rFont val="游ゴシック"/>
        <family val="2"/>
        <charset val="128"/>
      </rPr>
      <t>：</t>
    </r>
    <r>
      <rPr>
        <sz val="12"/>
        <color theme="1"/>
        <rFont val="Arial  "/>
        <family val="2"/>
      </rPr>
      <t>100%</t>
    </r>
  </si>
  <si>
    <t>Width (abt)</t>
    <phoneticPr fontId="2"/>
  </si>
  <si>
    <t>Mill's Off White(Undyed)</t>
    <phoneticPr fontId="2"/>
  </si>
  <si>
    <t>Waist Stretch Tape</t>
    <phoneticPr fontId="2"/>
  </si>
  <si>
    <t>Polyester-85%/Polyurethane-15%</t>
    <phoneticPr fontId="2"/>
  </si>
  <si>
    <t>3534</t>
  </si>
  <si>
    <t>Inside Belt (Soft Type)</t>
  </si>
  <si>
    <t>Polyester-75%/Polyurethane-25%</t>
  </si>
  <si>
    <t>Polyester-80%/Polyurethane-20%</t>
    <phoneticPr fontId="2"/>
  </si>
  <si>
    <t>Organic Cotton Lace</t>
    <phoneticPr fontId="272"/>
  </si>
  <si>
    <t xml:space="preserve"># 23059 </t>
    <phoneticPr fontId="2"/>
  </si>
  <si>
    <t># 77116-3</t>
    <phoneticPr fontId="2"/>
  </si>
  <si>
    <t># 24603-3</t>
    <phoneticPr fontId="2"/>
  </si>
  <si>
    <t>Cotton Lace</t>
    <phoneticPr fontId="2"/>
  </si>
  <si>
    <t># 69030</t>
    <phoneticPr fontId="2"/>
  </si>
  <si>
    <t xml:space="preserve">Organic Cotton </t>
    <phoneticPr fontId="2"/>
  </si>
  <si>
    <t xml:space="preserve">Cotton </t>
    <phoneticPr fontId="2"/>
  </si>
  <si>
    <t xml:space="preserve">Simkhai 20240308  # 2440 DTM color </t>
    <phoneticPr fontId="2"/>
  </si>
  <si>
    <t>\230/m (20反/color&amp;order)</t>
  </si>
  <si>
    <t>\260/m (10反/color&amp;order)</t>
  </si>
  <si>
    <t>\300/m (8反/color&amp;order)</t>
  </si>
  <si>
    <t>別注ミニマム1反: \830/m</t>
  </si>
  <si>
    <t>USD 9.88 /m in DTM based on 1 roll/col  (30% , 120円）</t>
    <rPh sb="50" eb="51">
      <t>エン</t>
    </rPh>
    <phoneticPr fontId="2"/>
  </si>
  <si>
    <t>USD 4.38 /m in DTM based on 8 rolls/col 　 (40% , 120円）</t>
    <phoneticPr fontId="2"/>
  </si>
  <si>
    <t xml:space="preserve"># 20 Black </t>
    <phoneticPr fontId="2"/>
  </si>
  <si>
    <t>DTM Ivory(#11-4300 TCX)</t>
    <phoneticPr fontId="2"/>
  </si>
  <si>
    <t>DTM MIDNIGHT(#19-3921 TCX)</t>
    <phoneticPr fontId="2"/>
  </si>
  <si>
    <t>KKF2327CD-W</t>
    <phoneticPr fontId="2"/>
  </si>
  <si>
    <r>
      <rPr>
        <sz val="10"/>
        <rFont val="ＭＳ Ｐゴシック"/>
        <family val="3"/>
        <charset val="128"/>
      </rPr>
      <t>単価</t>
    </r>
    <r>
      <rPr>
        <sz val="10"/>
        <rFont val="Arial"/>
        <family val="2"/>
      </rPr>
      <t>(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)/m </t>
    </r>
    <rPh sb="0" eb="2">
      <t>タンカ</t>
    </rPh>
    <rPh sb="3" eb="4">
      <t>エン</t>
    </rPh>
    <phoneticPr fontId="2"/>
  </si>
  <si>
    <t>L’Agence 20240311  40% 120円</t>
    <rPh sb="26" eb="27">
      <t>エン</t>
    </rPh>
    <phoneticPr fontId="2"/>
  </si>
  <si>
    <t xml:space="preserve">Double-fold center tape 10mm </t>
    <phoneticPr fontId="2"/>
  </si>
  <si>
    <t>12810</t>
    <phoneticPr fontId="2"/>
  </si>
  <si>
    <t># 618 TAUPE</t>
    <phoneticPr fontId="2"/>
  </si>
  <si>
    <t>Simkhai 20240314</t>
    <phoneticPr fontId="2"/>
  </si>
  <si>
    <t>FWL-71653</t>
    <phoneticPr fontId="2"/>
  </si>
  <si>
    <t>Staud</t>
  </si>
  <si>
    <t xml:space="preserve">DTM Powder Blue(#14-4504TCX) </t>
    <phoneticPr fontId="2"/>
  </si>
  <si>
    <t xml:space="preserve">DTM Ivory(#11-4300TCX) </t>
    <phoneticPr fontId="2"/>
  </si>
  <si>
    <t xml:space="preserve">DTM Black(#19-4007TCX) </t>
    <phoneticPr fontId="2"/>
  </si>
  <si>
    <t xml:space="preserve">Dye Fee </t>
    <phoneticPr fontId="2"/>
  </si>
  <si>
    <t>e</t>
    <phoneticPr fontId="2"/>
  </si>
  <si>
    <t>SF031424-SU24</t>
    <phoneticPr fontId="2"/>
  </si>
  <si>
    <t># 1 WHITE</t>
    <phoneticPr fontId="2"/>
  </si>
  <si>
    <t># 102 GRAPHITE</t>
    <phoneticPr fontId="2"/>
  </si>
  <si>
    <t># 999 NATURAL</t>
    <phoneticPr fontId="2"/>
  </si>
  <si>
    <t xml:space="preserve">9333 </t>
    <phoneticPr fontId="2"/>
  </si>
  <si>
    <r>
      <t xml:space="preserve">9333 </t>
    </r>
    <r>
      <rPr>
        <sz val="12"/>
        <color rgb="FF0070C0"/>
        <rFont val="Arial"/>
        <family val="2"/>
      </rPr>
      <t>ship to LA</t>
    </r>
    <phoneticPr fontId="2"/>
  </si>
  <si>
    <r>
      <t xml:space="preserve">230320 </t>
    </r>
    <r>
      <rPr>
        <sz val="12"/>
        <color rgb="FF0070C0"/>
        <rFont val="Arial"/>
        <family val="2"/>
      </rPr>
      <t>LA</t>
    </r>
    <phoneticPr fontId="2"/>
  </si>
  <si>
    <t># 186 Dahlia</t>
    <phoneticPr fontId="2"/>
  </si>
  <si>
    <t># 23 Fuchsia</t>
    <phoneticPr fontId="2"/>
  </si>
  <si>
    <t># 60 Night Sky</t>
    <phoneticPr fontId="2"/>
  </si>
  <si>
    <t># 200 Pomegranate</t>
    <phoneticPr fontId="2"/>
  </si>
  <si>
    <t># 3 Red</t>
    <phoneticPr fontId="2"/>
  </si>
  <si>
    <t># 240 Red</t>
    <phoneticPr fontId="2"/>
  </si>
  <si>
    <t># 305 Sky Blue</t>
    <phoneticPr fontId="2"/>
  </si>
  <si>
    <t># 5 Blue</t>
    <phoneticPr fontId="2"/>
  </si>
  <si>
    <t># 38 Juniper</t>
    <phoneticPr fontId="2"/>
  </si>
  <si>
    <t># 413 Merlot</t>
    <phoneticPr fontId="2"/>
  </si>
  <si>
    <t># 533 Pale Blush</t>
    <phoneticPr fontId="2"/>
  </si>
  <si>
    <t># 61 Yellow</t>
    <phoneticPr fontId="2"/>
  </si>
  <si>
    <r>
      <rPr>
        <sz val="12"/>
        <rFont val="ＭＳ Ｐゴシック"/>
        <family val="3"/>
        <charset val="128"/>
      </rPr>
      <t>輸出梱包費用</t>
    </r>
    <r>
      <rPr>
        <sz val="12"/>
        <rFont val="Arial"/>
        <family val="2"/>
      </rPr>
      <t xml:space="preserve"> +30 </t>
    </r>
    <r>
      <rPr>
        <sz val="12"/>
        <rFont val="ＭＳ Ｐゴシック"/>
        <family val="3"/>
        <charset val="128"/>
      </rPr>
      <t>込み</t>
    </r>
    <rPh sb="0" eb="2">
      <t>ユシュツ</t>
    </rPh>
    <rPh sb="2" eb="4">
      <t>コンポウ</t>
    </rPh>
    <rPh sb="4" eb="6">
      <t>ヒヨウ</t>
    </rPh>
    <rPh sb="11" eb="12">
      <t>コ</t>
    </rPh>
    <phoneticPr fontId="2"/>
  </si>
  <si>
    <t>BP-240318</t>
    <phoneticPr fontId="2"/>
  </si>
  <si>
    <t>Bea Projet</t>
    <phoneticPr fontId="2"/>
  </si>
  <si>
    <t>FWL-2546</t>
    <phoneticPr fontId="2"/>
  </si>
  <si>
    <t>FWL-3042</t>
    <phoneticPr fontId="2"/>
  </si>
  <si>
    <t>FWL-21202</t>
    <phoneticPr fontId="2"/>
  </si>
  <si>
    <t>??</t>
    <phoneticPr fontId="2"/>
  </si>
  <si>
    <r>
      <t xml:space="preserve">9400 </t>
    </r>
    <r>
      <rPr>
        <sz val="12"/>
        <color rgb="FF0070C0"/>
        <rFont val="Arial"/>
        <family val="2"/>
      </rPr>
      <t>ship to LA</t>
    </r>
    <phoneticPr fontId="2"/>
  </si>
  <si>
    <t># 429 Ivory</t>
    <phoneticPr fontId="2"/>
  </si>
  <si>
    <t xml:space="preserve"># 206 Powder Blue </t>
    <phoneticPr fontId="2"/>
  </si>
  <si>
    <t>AH24PT03011</t>
    <phoneticPr fontId="2"/>
  </si>
  <si>
    <t>ACH received </t>
  </si>
  <si>
    <t>Inv. 5789 is short</t>
  </si>
  <si>
    <t>Simkhai</t>
  </si>
  <si>
    <t> $         251.00 </t>
  </si>
  <si>
    <t>5943 (3/4/24)</t>
  </si>
  <si>
    <t> $         109.60 </t>
  </si>
  <si>
    <t>5915 (2/26/24)</t>
  </si>
  <si>
    <t> $           30.00 </t>
  </si>
  <si>
    <t>5927 (2/26/24)</t>
  </si>
  <si>
    <t> $         102.80 </t>
  </si>
  <si>
    <t>5907 (2/22/24)</t>
  </si>
  <si>
    <t> $         101.00 </t>
  </si>
  <si>
    <t>5804 (1/10/24)</t>
  </si>
  <si>
    <t> $         450.20 </t>
  </si>
  <si>
    <t>5789 (1/5/24)</t>
  </si>
  <si>
    <r>
      <t>received $394.20,</t>
    </r>
    <r>
      <rPr>
        <sz val="12"/>
        <color rgb="FFFF0000"/>
        <rFont val="Calibri"/>
        <family val="2"/>
      </rPr>
      <t> $56.00 short</t>
    </r>
  </si>
  <si>
    <t> $           21.30 </t>
  </si>
  <si>
    <t>5732 (12/7/23)</t>
  </si>
  <si>
    <t> $           27.90 </t>
  </si>
  <si>
    <t>5731 (12/7/23)</t>
  </si>
  <si>
    <t> $      1,037.08 </t>
    <phoneticPr fontId="2"/>
  </si>
  <si>
    <r>
      <t>106172</t>
    </r>
    <r>
      <rPr>
        <sz val="12"/>
        <rFont val="ＭＳ Ｐゴシック"/>
        <family val="3"/>
        <charset val="128"/>
      </rPr>
      <t>‐</t>
    </r>
    <r>
      <rPr>
        <sz val="12"/>
        <rFont val="Arial"/>
        <family val="2"/>
      </rPr>
      <t>WITH</t>
    </r>
    <phoneticPr fontId="2"/>
  </si>
  <si>
    <t>WEAR IT TO HEART INC.</t>
    <phoneticPr fontId="2"/>
  </si>
  <si>
    <t># 100 LIGHT GRAY</t>
    <phoneticPr fontId="2"/>
  </si>
  <si>
    <r>
      <rPr>
        <b/>
        <sz val="12"/>
        <color rgb="FFFF00FF"/>
        <rFont val="ＭＳ Ｐゴシック"/>
        <family val="3"/>
        <charset val="128"/>
      </rPr>
      <t>単価</t>
    </r>
    <r>
      <rPr>
        <b/>
        <sz val="12"/>
        <color rgb="FFFF00FF"/>
        <rFont val="Arial  "/>
        <family val="2"/>
      </rPr>
      <t>/m</t>
    </r>
    <rPh sb="0" eb="2">
      <t>タンカ</t>
    </rPh>
    <phoneticPr fontId="272"/>
  </si>
  <si>
    <t>1930-25</t>
    <phoneticPr fontId="2"/>
  </si>
  <si>
    <t>1930-33</t>
    <phoneticPr fontId="2"/>
  </si>
  <si>
    <t>RE/DONE 20240322</t>
  </si>
  <si>
    <t>30 rolls /col</t>
    <phoneticPr fontId="2"/>
  </si>
  <si>
    <t>FUT3438DE-W D#1 (DTM) for 1000m/order (500mts/col)</t>
    <phoneticPr fontId="2"/>
  </si>
  <si>
    <t>FUT3438DE-W D#1 (DTM) for 3000m/order (500mts/col)</t>
    <phoneticPr fontId="2"/>
  </si>
  <si>
    <t>20240325 7FAM ( and-you  Garment LTD. ) 40% 115円</t>
    <rPh sb="47" eb="48">
      <t>エン</t>
    </rPh>
    <phoneticPr fontId="2"/>
  </si>
  <si>
    <t>15227</t>
    <phoneticPr fontId="2"/>
  </si>
  <si>
    <r>
      <t xml:space="preserve">9369 </t>
    </r>
    <r>
      <rPr>
        <sz val="12"/>
        <color rgb="FF0070C0"/>
        <rFont val="Arial"/>
        <family val="2"/>
      </rPr>
      <t>ship to LA</t>
    </r>
    <phoneticPr fontId="2"/>
  </si>
  <si>
    <r>
      <t xml:space="preserve">9369 </t>
    </r>
    <r>
      <rPr>
        <sz val="12"/>
        <color rgb="FF0070C0"/>
        <rFont val="Arial"/>
        <family val="2"/>
      </rPr>
      <t>ship to HK</t>
    </r>
    <phoneticPr fontId="2"/>
  </si>
  <si>
    <t xml:space="preserve">DTM Ivory(#11-4300TPG) </t>
    <phoneticPr fontId="2"/>
  </si>
  <si>
    <t xml:space="preserve">DTM Black(#19-4007TPG) </t>
    <phoneticPr fontId="2"/>
  </si>
  <si>
    <t xml:space="preserve">DTM Powder Blue(#14-4504TPG) </t>
    <phoneticPr fontId="2"/>
  </si>
  <si>
    <t>e</t>
    <phoneticPr fontId="2"/>
  </si>
  <si>
    <t>4141 Lab-dip</t>
    <phoneticPr fontId="2"/>
  </si>
  <si>
    <t>DTM color</t>
    <phoneticPr fontId="2"/>
  </si>
  <si>
    <t>4141 sample roll</t>
    <phoneticPr fontId="2"/>
  </si>
  <si>
    <t xml:space="preserve">Total Amount </t>
    <phoneticPr fontId="2"/>
  </si>
  <si>
    <t>DTM Oxblood (#19-1724 TCX, L/D#1)</t>
    <phoneticPr fontId="2"/>
  </si>
  <si>
    <r>
      <t>N2040</t>
    </r>
    <r>
      <rPr>
        <sz val="10"/>
        <rFont val="ＭＳ Ｐゴシック"/>
        <family val="3"/>
        <charset val="128"/>
      </rPr>
      <t>（</t>
    </r>
    <r>
      <rPr>
        <sz val="10"/>
        <rFont val="Arial"/>
        <family val="2"/>
      </rPr>
      <t>2440WIDE</t>
    </r>
    <r>
      <rPr>
        <sz val="10"/>
        <rFont val="ＭＳ Ｐゴシック"/>
        <family val="3"/>
        <charset val="128"/>
      </rPr>
      <t>）</t>
    </r>
    <phoneticPr fontId="2"/>
  </si>
  <si>
    <t>AFP2403-042</t>
    <phoneticPr fontId="2"/>
  </si>
  <si>
    <t>RVLVRD1735</t>
    <phoneticPr fontId="2"/>
  </si>
  <si>
    <t>AYG-240402</t>
    <phoneticPr fontId="2"/>
  </si>
  <si>
    <t xml:space="preserve">KYL-T8074-1 </t>
    <phoneticPr fontId="2"/>
  </si>
  <si>
    <r>
      <rPr>
        <b/>
        <sz val="8"/>
        <rFont val="Times New Roman"/>
        <family val="1"/>
      </rPr>
      <t>Pattern#</t>
    </r>
  </si>
  <si>
    <r>
      <rPr>
        <sz val="8"/>
        <rFont val="PMingLiU-ExtB"/>
        <family val="1"/>
      </rPr>
      <t>Hanger #</t>
    </r>
  </si>
  <si>
    <r>
      <rPr>
        <b/>
        <i/>
        <sz val="8"/>
        <rFont val="Times New Roman"/>
        <family val="1"/>
      </rPr>
      <t xml:space="preserve">FOB  </t>
    </r>
    <r>
      <rPr>
        <sz val="8"/>
        <rFont val="PMingLiU-ExtB"/>
        <family val="1"/>
      </rPr>
      <t>PRICE PER</t>
    </r>
    <r>
      <rPr>
        <u/>
        <sz val="8"/>
        <rFont val="PMingLiU-ExtB"/>
        <family val="1"/>
      </rPr>
      <t> METER</t>
    </r>
    <r>
      <rPr>
        <sz val="8"/>
        <rFont val="PMingLiU-ExtB"/>
        <family val="1"/>
      </rPr>
      <t xml:space="preserve"> OR </t>
    </r>
    <r>
      <rPr>
        <u/>
        <sz val="8"/>
        <rFont val="PMingLiU-ExtB"/>
        <family val="1"/>
      </rPr>
      <t>PIECE</t>
    </r>
    <r>
      <rPr>
        <sz val="8"/>
        <rFont val="PMingLiU-ExtB"/>
        <family val="1"/>
      </rPr>
      <t xml:space="preserve"> IN</t>
    </r>
    <r>
      <rPr>
        <b/>
        <u/>
        <sz val="8"/>
        <rFont val="Times New Roman"/>
        <family val="1"/>
      </rPr>
      <t> USD</t>
    </r>
  </si>
  <si>
    <t>Weaving min. (m)</t>
    <phoneticPr fontId="2"/>
  </si>
  <si>
    <t>Dye to match (meter per color)</t>
    <phoneticPr fontId="2"/>
  </si>
  <si>
    <t>WIDTH (CM)</t>
    <phoneticPr fontId="2"/>
  </si>
  <si>
    <r>
      <rPr>
        <b/>
        <sz val="8"/>
        <rFont val="Times New Roman"/>
        <family val="1"/>
      </rPr>
      <t>Composition</t>
    </r>
  </si>
  <si>
    <t>20240403　ALC</t>
    <phoneticPr fontId="2"/>
  </si>
  <si>
    <r>
      <rPr>
        <sz val="9.5"/>
        <rFont val="PMingLiU-ExtB"/>
        <family val="1"/>
      </rPr>
      <t>ZMT1791</t>
    </r>
  </si>
  <si>
    <r>
      <rPr>
        <sz val="9.5"/>
        <rFont val="PMingLiU-ExtB"/>
        <family val="1"/>
      </rPr>
      <t>A1183</t>
    </r>
  </si>
  <si>
    <r>
      <rPr>
        <sz val="9.5"/>
        <rFont val="PMingLiU-ExtB"/>
        <family val="1"/>
      </rPr>
      <t>Nylon:100%</t>
    </r>
  </si>
  <si>
    <r>
      <rPr>
        <sz val="9.5"/>
        <rFont val="PMingLiU-ExtB"/>
        <family val="1"/>
      </rPr>
      <t>ZMT3271</t>
    </r>
  </si>
  <si>
    <r>
      <rPr>
        <sz val="9.5"/>
        <rFont val="PMingLiU-ExtB"/>
        <family val="1"/>
      </rPr>
      <t>AX434</t>
    </r>
  </si>
  <si>
    <r>
      <rPr>
        <sz val="9.5"/>
        <rFont val="PMingLiU-ExtB"/>
        <family val="1"/>
      </rPr>
      <t>ZET1772</t>
    </r>
  </si>
  <si>
    <r>
      <rPr>
        <sz val="9.5"/>
        <rFont val="PMingLiU-ExtB"/>
        <family val="1"/>
      </rPr>
      <t>AX386</t>
    </r>
  </si>
  <si>
    <r>
      <rPr>
        <sz val="9.5"/>
        <rFont val="PMingLiU-ExtB"/>
        <family val="1"/>
      </rPr>
      <t>ZET1801</t>
    </r>
  </si>
  <si>
    <r>
      <rPr>
        <sz val="9.5"/>
        <rFont val="PMingLiU-ExtB"/>
        <family val="1"/>
      </rPr>
      <t>A1181</t>
    </r>
  </si>
  <si>
    <r>
      <rPr>
        <sz val="9.5"/>
        <rFont val="PMingLiU-ExtB"/>
        <family val="1"/>
      </rPr>
      <t>ZMA0162</t>
    </r>
  </si>
  <si>
    <r>
      <rPr>
        <sz val="9.5"/>
        <rFont val="PMingLiU-ExtB"/>
        <family val="1"/>
      </rPr>
      <t>AX311</t>
    </r>
  </si>
  <si>
    <r>
      <rPr>
        <sz val="9.5"/>
        <rFont val="PMingLiU-ExtB"/>
        <family val="1"/>
      </rPr>
      <t>Rayon:60%,Nylon:40%</t>
    </r>
  </si>
  <si>
    <r>
      <rPr>
        <sz val="9.5"/>
        <rFont val="PMingLiU-ExtB"/>
        <family val="1"/>
      </rPr>
      <t>ZMA2701</t>
    </r>
  </si>
  <si>
    <r>
      <rPr>
        <sz val="9.5"/>
        <rFont val="PMingLiU-ExtB"/>
        <family val="1"/>
      </rPr>
      <t>A750</t>
    </r>
  </si>
  <si>
    <r>
      <rPr>
        <sz val="9.5"/>
        <rFont val="PMingLiU-ExtB"/>
        <family val="1"/>
      </rPr>
      <t>ZMA3841</t>
    </r>
  </si>
  <si>
    <r>
      <rPr>
        <sz val="9.5"/>
        <rFont val="PMingLiU-ExtB"/>
        <family val="1"/>
      </rPr>
      <t>AX439</t>
    </r>
  </si>
  <si>
    <r>
      <rPr>
        <sz val="9.5"/>
        <rFont val="PMingLiU-ExtB"/>
        <family val="1"/>
      </rPr>
      <t>ZMG2381</t>
    </r>
  </si>
  <si>
    <r>
      <rPr>
        <sz val="9.5"/>
        <rFont val="PMingLiU-ExtB"/>
        <family val="1"/>
      </rPr>
      <t>A1205</t>
    </r>
  </si>
  <si>
    <r>
      <rPr>
        <sz val="9.5"/>
        <rFont val="PMingLiU-ExtB"/>
        <family val="1"/>
      </rPr>
      <t>ZMG2431</t>
    </r>
  </si>
  <si>
    <r>
      <rPr>
        <sz val="9.5"/>
        <rFont val="PMingLiU-ExtB"/>
        <family val="1"/>
      </rPr>
      <t>A1364</t>
    </r>
  </si>
  <si>
    <r>
      <rPr>
        <sz val="9.5"/>
        <rFont val="PMingLiU-ExtB"/>
        <family val="1"/>
      </rPr>
      <t>ZMG2441</t>
    </r>
  </si>
  <si>
    <r>
      <rPr>
        <sz val="9.5"/>
        <rFont val="PMingLiU-ExtB"/>
        <family val="1"/>
      </rPr>
      <t>A1360</t>
    </r>
  </si>
  <si>
    <r>
      <rPr>
        <sz val="9.5"/>
        <rFont val="PMingLiU-ExtB"/>
        <family val="1"/>
      </rPr>
      <t>Nylon:50%,Cotton:50%</t>
    </r>
  </si>
  <si>
    <r>
      <rPr>
        <sz val="9.5"/>
        <rFont val="PMingLiU-ExtB"/>
        <family val="1"/>
      </rPr>
      <t>ZMG2631</t>
    </r>
  </si>
  <si>
    <r>
      <rPr>
        <sz val="9.5"/>
        <rFont val="PMingLiU-ExtB"/>
        <family val="1"/>
      </rPr>
      <t>A1866</t>
    </r>
  </si>
  <si>
    <r>
      <rPr>
        <sz val="9.5"/>
        <rFont val="PMingLiU-ExtB"/>
        <family val="1"/>
      </rPr>
      <t>ZMS0642</t>
    </r>
  </si>
  <si>
    <r>
      <rPr>
        <sz val="9.5"/>
        <rFont val="PMingLiU-ExtB"/>
        <family val="1"/>
      </rPr>
      <t>AX235</t>
    </r>
  </si>
  <si>
    <r>
      <rPr>
        <sz val="9.5"/>
        <rFont val="PMingLiU-ExtB"/>
        <family val="1"/>
      </rPr>
      <t>ZMT1761</t>
    </r>
  </si>
  <si>
    <r>
      <rPr>
        <sz val="9.5"/>
        <rFont val="PMingLiU-ExtB"/>
        <family val="1"/>
      </rPr>
      <t>A1178</t>
    </r>
  </si>
  <si>
    <r>
      <rPr>
        <sz val="9.5"/>
        <rFont val="PMingLiU-ExtB"/>
        <family val="1"/>
      </rPr>
      <t>ZMT3661</t>
    </r>
  </si>
  <si>
    <r>
      <rPr>
        <sz val="9.5"/>
        <rFont val="PMingLiU-ExtB"/>
        <family val="1"/>
      </rPr>
      <t>P92</t>
    </r>
  </si>
  <si>
    <t>RE/DONE</t>
    <phoneticPr fontId="2"/>
  </si>
  <si>
    <t>Trimming Braids Acrylic 100%</t>
    <phoneticPr fontId="2"/>
  </si>
  <si>
    <t xml:space="preserve">Col. 3 </t>
    <phoneticPr fontId="2"/>
  </si>
  <si>
    <t>040424A</t>
    <phoneticPr fontId="2"/>
  </si>
  <si>
    <t xml:space="preserve">BBPLY 40924 </t>
    <phoneticPr fontId="2"/>
  </si>
  <si>
    <t xml:space="preserve">WALD INDUSTRIES LLC </t>
    <phoneticPr fontId="2"/>
  </si>
  <si>
    <t>0722200</t>
    <phoneticPr fontId="2"/>
  </si>
  <si>
    <t>XC20240413001</t>
    <phoneticPr fontId="2"/>
  </si>
  <si>
    <t xml:space="preserve">XIN CHANG SILK GARMENT (HONG KONG) CO. LIMITED (Simkhai) </t>
    <phoneticPr fontId="2"/>
  </si>
  <si>
    <t>Heather Knit Cord  Polyester -100%</t>
    <phoneticPr fontId="2"/>
  </si>
  <si>
    <t>TI-5300</t>
    <phoneticPr fontId="2"/>
  </si>
  <si>
    <r>
      <t>20240415 ALC   55% 120</t>
    </r>
    <r>
      <rPr>
        <sz val="10"/>
        <color rgb="FF000000"/>
        <rFont val="ＭＳ Ｐゴシック"/>
        <family val="3"/>
        <charset val="128"/>
      </rPr>
      <t>円</t>
    </r>
    <rPh sb="22" eb="23">
      <t>エン</t>
    </rPh>
    <phoneticPr fontId="2"/>
  </si>
  <si>
    <r>
      <t>TI-10</t>
    </r>
    <r>
      <rPr>
        <sz val="10"/>
        <rFont val="ＭＳ Ｐゴシック"/>
        <family val="3"/>
        <charset val="128"/>
      </rPr>
      <t>‐</t>
    </r>
    <r>
      <rPr>
        <sz val="10"/>
        <rFont val="Arial"/>
        <family val="2"/>
      </rPr>
      <t>8350</t>
    </r>
    <phoneticPr fontId="2"/>
  </si>
  <si>
    <t>TI-10-8350</t>
    <phoneticPr fontId="2"/>
  </si>
  <si>
    <t>Custom Black</t>
    <phoneticPr fontId="2"/>
  </si>
  <si>
    <t>42204</t>
    <phoneticPr fontId="2"/>
  </si>
  <si>
    <t>PO8935-8940-8946</t>
    <phoneticPr fontId="2"/>
  </si>
  <si>
    <r>
      <t>RALY TRADING LIMITED</t>
    </r>
    <r>
      <rPr>
        <sz val="12"/>
        <rFont val="ＭＳ Ｐゴシック"/>
        <family val="3"/>
        <charset val="128"/>
      </rPr>
      <t>　</t>
    </r>
    <r>
      <rPr>
        <sz val="12"/>
        <rFont val="Arial"/>
        <family val="2"/>
      </rPr>
      <t>(Johnny Was)</t>
    </r>
    <phoneticPr fontId="2"/>
  </si>
  <si>
    <t>CIF China /m</t>
    <phoneticPr fontId="2"/>
  </si>
  <si>
    <t>AM-EO4/23/24</t>
    <phoneticPr fontId="2"/>
  </si>
  <si>
    <t>PO 01 PETRA</t>
    <phoneticPr fontId="2"/>
  </si>
  <si>
    <t>PETRA</t>
    <phoneticPr fontId="2"/>
  </si>
  <si>
    <t>KYL-3616-1</t>
    <phoneticPr fontId="2"/>
  </si>
  <si>
    <t>International Shipping fee</t>
    <phoneticPr fontId="2"/>
  </si>
  <si>
    <t>Total Amount</t>
    <phoneticPr fontId="2"/>
  </si>
  <si>
    <t>7937</t>
    <phoneticPr fontId="2"/>
  </si>
  <si>
    <t xml:space="preserve">Leavers Lace Motif </t>
    <phoneticPr fontId="2"/>
  </si>
  <si>
    <t>ZH88391</t>
    <phoneticPr fontId="2"/>
  </si>
  <si>
    <t>Sakae White</t>
    <phoneticPr fontId="2"/>
  </si>
  <si>
    <t>(per pc)</t>
    <phoneticPr fontId="2"/>
  </si>
  <si>
    <r>
      <rPr>
        <sz val="9.5"/>
        <rFont val="PMingLiU-ExtB"/>
        <family val="1"/>
      </rPr>
      <t>ZET1162</t>
    </r>
  </si>
  <si>
    <r>
      <rPr>
        <sz val="9.5"/>
        <rFont val="PMingLiU-ExtB"/>
        <family val="1"/>
      </rPr>
      <t>Nylon:75%,Polyester:25%</t>
    </r>
  </si>
  <si>
    <r>
      <rPr>
        <b/>
        <i/>
        <sz val="8"/>
        <rFont val="Times New Roman"/>
        <family val="1"/>
      </rPr>
      <t xml:space="preserve">FOB  </t>
    </r>
    <r>
      <rPr>
        <sz val="8"/>
        <rFont val="PMingLiU-ExtB"/>
        <family val="1"/>
      </rPr>
      <t>PRICE PER</t>
    </r>
    <r>
      <rPr>
        <u/>
        <sz val="8"/>
        <rFont val="ＭＳ Ｐ明朝"/>
        <family val="1"/>
        <charset val="128"/>
      </rPr>
      <t> </t>
    </r>
    <r>
      <rPr>
        <u/>
        <sz val="8"/>
        <rFont val="PMingLiU-ExtB"/>
        <family val="1"/>
      </rPr>
      <t>METER</t>
    </r>
    <r>
      <rPr>
        <sz val="8"/>
        <rFont val="PMingLiU-ExtB"/>
        <family val="1"/>
      </rPr>
      <t xml:space="preserve"> IN</t>
    </r>
    <r>
      <rPr>
        <b/>
        <u/>
        <sz val="8"/>
        <rFont val="Times New Roman"/>
        <family val="1"/>
      </rPr>
      <t> USD</t>
    </r>
    <phoneticPr fontId="2"/>
  </si>
  <si>
    <t>COL. 46</t>
    <phoneticPr fontId="2"/>
  </si>
  <si>
    <t>20240508 RALY TRADING LIMITED　(Johnny Was)</t>
    <phoneticPr fontId="2"/>
  </si>
  <si>
    <t>FW24-208</t>
    <phoneticPr fontId="2"/>
  </si>
  <si>
    <t>Leavers Lace  Nylon:75%,Polyester:25%</t>
    <phoneticPr fontId="2"/>
  </si>
  <si>
    <t>ZET1162</t>
    <phoneticPr fontId="2"/>
  </si>
  <si>
    <t>??</t>
    <phoneticPr fontId="2"/>
  </si>
  <si>
    <t>Cancel (LT issue)</t>
    <phoneticPr fontId="2"/>
  </si>
  <si>
    <t>FWL-21901s</t>
  </si>
  <si>
    <t>FWL-21901s</t>
    <phoneticPr fontId="2"/>
  </si>
  <si>
    <r>
      <t xml:space="preserve">SUN-1000 </t>
    </r>
    <r>
      <rPr>
        <sz val="12"/>
        <color rgb="FF0070C0"/>
        <rFont val="Arial"/>
        <family val="2"/>
      </rPr>
      <t>ship to Portugal</t>
    </r>
  </si>
  <si>
    <t xml:space="preserve">Lace Trim  75% COTTON, 14% NYLON, 11 PU </t>
    <phoneticPr fontId="2"/>
  </si>
  <si>
    <t>DTM # 11-4201 tcx</t>
    <phoneticPr fontId="2"/>
  </si>
  <si>
    <t>DTM # 13-2003 tcx</t>
    <phoneticPr fontId="2"/>
  </si>
  <si>
    <t>DTM # 13-3405 tcx</t>
    <phoneticPr fontId="2"/>
  </si>
  <si>
    <t>DOEN 20240513</t>
    <phoneticPr fontId="2"/>
  </si>
  <si>
    <r>
      <t xml:space="preserve">SUN-1000 </t>
    </r>
    <r>
      <rPr>
        <sz val="12"/>
        <color rgb="FF0070C0"/>
        <rFont val="Arial"/>
        <family val="2"/>
      </rPr>
      <t>ship to Portugal</t>
    </r>
    <phoneticPr fontId="2"/>
  </si>
  <si>
    <t># 186 Ballet Pink</t>
    <phoneticPr fontId="2"/>
  </si>
  <si>
    <t># 26 Midnight</t>
    <phoneticPr fontId="2"/>
  </si>
  <si>
    <t xml:space="preserve">Lace Trim  75% COTTON, 14% NYLON, 11% PU </t>
    <phoneticPr fontId="2"/>
  </si>
  <si>
    <t>保留</t>
    <rPh sb="0" eb="2">
      <t>ホリュウ</t>
    </rPh>
    <phoneticPr fontId="2"/>
  </si>
  <si>
    <t>Stock / Lead time</t>
    <phoneticPr fontId="2"/>
  </si>
  <si>
    <t>13 rolls (751m) in stock, L/T for shortage 13rolls (abt 754m) is abt 40 working days</t>
    <phoneticPr fontId="2"/>
  </si>
  <si>
    <t>Rodarte 2240515</t>
    <phoneticPr fontId="2"/>
  </si>
  <si>
    <t>EXW JAPAN price/m for
1  /col ( 44m/rol)</t>
    <phoneticPr fontId="2"/>
  </si>
  <si>
    <t>利益率</t>
    <rPh sb="0" eb="3">
      <t>リエキリツ</t>
    </rPh>
    <phoneticPr fontId="2"/>
  </si>
  <si>
    <t>単価/pc</t>
    <rPh sb="0" eb="2">
      <t>タンカ</t>
    </rPh>
    <phoneticPr fontId="2"/>
  </si>
  <si>
    <r>
      <t>500</t>
    </r>
    <r>
      <rPr>
        <sz val="10"/>
        <rFont val="ＭＳ Ｐゴシック"/>
        <family val="2"/>
        <charset val="128"/>
      </rPr>
      <t>円/</t>
    </r>
    <r>
      <rPr>
        <sz val="10"/>
        <rFont val="Arial"/>
        <family val="2"/>
      </rPr>
      <t>set</t>
    </r>
    <rPh sb="3" eb="4">
      <t>エン</t>
    </rPh>
    <phoneticPr fontId="2"/>
  </si>
  <si>
    <t>631</t>
    <phoneticPr fontId="2"/>
  </si>
  <si>
    <t>5655 :C/# 42NT(Green Clay) x Bullet Metal Tip ( normal ) #PWP Silver</t>
    <phoneticPr fontId="2"/>
  </si>
  <si>
    <t>5655 :C/# 53NT(Green) x Bullet Metal Tip ( normal ) #PWP Silver</t>
    <phoneticPr fontId="2"/>
  </si>
  <si>
    <t>5655 :C/# 7NT(Mustard) x Bullet Metal Tip ( normal ) #PWP Silver</t>
    <phoneticPr fontId="2"/>
  </si>
  <si>
    <t>5655 :C/# 2NT(White) x Bullet Metal Tip ( normal ) #PWP Silver</t>
    <phoneticPr fontId="2"/>
  </si>
  <si>
    <t>13 rolls (751m) in stock, L/T for shortage abt 1,053m is abt 40 working days</t>
    <phoneticPr fontId="2"/>
  </si>
  <si>
    <t>PO9139</t>
    <phoneticPr fontId="2"/>
  </si>
  <si>
    <t>COL. 5</t>
    <phoneticPr fontId="2"/>
  </si>
  <si>
    <t>COL. 18</t>
    <phoneticPr fontId="2"/>
  </si>
  <si>
    <t>C&amp;F China</t>
    <phoneticPr fontId="2"/>
  </si>
  <si>
    <t>Velvet Fabric    P:Rayon100% G:Cupro95%,polyurethane5%</t>
    <phoneticPr fontId="2"/>
  </si>
  <si>
    <t>FW24-210</t>
    <phoneticPr fontId="2"/>
  </si>
  <si>
    <t>20240520 RALY TRADING LIMITED　(Johnny Was)</t>
    <phoneticPr fontId="2"/>
  </si>
  <si>
    <t>C&amp;F China /m</t>
    <phoneticPr fontId="2"/>
  </si>
  <si>
    <t>52020243J</t>
    <phoneticPr fontId="2"/>
  </si>
  <si>
    <t>20240521 RALY TRADING LIMITED　(Johnny Was)</t>
    <phoneticPr fontId="2"/>
  </si>
  <si>
    <t>PO#AFP2405-017</t>
    <phoneticPr fontId="2"/>
  </si>
  <si>
    <t>International Freight by Sun Fashion courier</t>
    <phoneticPr fontId="2"/>
  </si>
  <si>
    <t xml:space="preserve">Cotton Cord with Basic Metal Tip </t>
    <phoneticPr fontId="2"/>
  </si>
  <si>
    <t xml:space="preserve">CO-Cotton 8 with  Basic Metal Tip </t>
    <phoneticPr fontId="2"/>
  </si>
  <si>
    <t xml:space="preserve">CO-C163S with  Basic Metal Tip </t>
    <phoneticPr fontId="2"/>
  </si>
  <si>
    <t xml:space="preserve">CO-C165S with  Basic Metal Tip </t>
    <phoneticPr fontId="2"/>
  </si>
  <si>
    <t xml:space="preserve">CO-C322S with  Basic Metal Tip </t>
    <phoneticPr fontId="2"/>
  </si>
  <si>
    <t xml:space="preserve">CO-C442A  with  Basic Metal Tip </t>
    <phoneticPr fontId="2"/>
  </si>
  <si>
    <t>59"(150cm)</t>
    <phoneticPr fontId="2"/>
  </si>
  <si>
    <t>CO-Cotton 8 Natural x  Basic Metal Tip ( normal ) #PWP Silver</t>
    <phoneticPr fontId="2"/>
  </si>
  <si>
    <t>CO-C163S Natural x  Basic Metal Tip ( normal ) #PWP Silver</t>
    <phoneticPr fontId="2"/>
  </si>
  <si>
    <t>CO-C322S Natural x  Basic Metal Tip ( normal ) #PWP Silver</t>
    <phoneticPr fontId="2"/>
  </si>
  <si>
    <t>CO-C442A Natural x  Basic Metal Tip ( normal ) #PWP Silver</t>
    <phoneticPr fontId="2"/>
  </si>
  <si>
    <t>CO-C165S Natural x  Basic Metal Tip (Large) #PWP Silver</t>
    <phoneticPr fontId="2"/>
  </si>
  <si>
    <t>JMSP25D008</t>
    <phoneticPr fontId="2"/>
  </si>
  <si>
    <t>FUT3438DE-W D#1 (Mill's color) 
for 1000m/order (500mts/col)</t>
    <phoneticPr fontId="2"/>
  </si>
  <si>
    <t>FUT3438DE-W D#1 (Mill's color) 
for 3000m/order (500mts/col)</t>
    <phoneticPr fontId="2"/>
  </si>
  <si>
    <t>仕入れ単価Best offer 2024.05.29(期限2024.08.31)迄</t>
    <rPh sb="0" eb="2">
      <t>シイ</t>
    </rPh>
    <rPh sb="3" eb="5">
      <t>タンカ</t>
    </rPh>
    <rPh sb="27" eb="29">
      <t>キゲン</t>
    </rPh>
    <rPh sb="40" eb="41">
      <t>マデ</t>
    </rPh>
    <phoneticPr fontId="2"/>
  </si>
  <si>
    <t>FUT3438DE-W D#1 (DTM) for 
2 rolls/col</t>
    <phoneticPr fontId="2"/>
  </si>
  <si>
    <t>FUT3438DE-W D#1 (DTM) for 
4 rolls/col</t>
    <phoneticPr fontId="2"/>
  </si>
  <si>
    <t>FUT3438DE-W D#1 (DTM) for 
6 rolls/col</t>
    <phoneticPr fontId="2"/>
  </si>
  <si>
    <t>FUT3438DE-W D#1 (DTM) for 
8 rolls/col</t>
    <phoneticPr fontId="2"/>
  </si>
  <si>
    <t>FUT3438DE-W D#1 (DTM) for 
10 rolls/col</t>
    <phoneticPr fontId="2"/>
  </si>
  <si>
    <t>TI-1603</t>
    <phoneticPr fontId="2"/>
  </si>
  <si>
    <t xml:space="preserve">Custom color </t>
    <phoneticPr fontId="2"/>
  </si>
  <si>
    <r>
      <t>3,000m/col (Dye fee if below Dye min./col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US$190/col)</t>
    </r>
    <phoneticPr fontId="2"/>
  </si>
  <si>
    <t>Mill's Standard color</t>
    <phoneticPr fontId="2"/>
  </si>
  <si>
    <t>50m/roll</t>
    <phoneticPr fontId="2"/>
  </si>
  <si>
    <t xml:space="preserve">EXW JAPAN /m </t>
    <phoneticPr fontId="2"/>
  </si>
  <si>
    <r>
      <t>20240531 Simkhai  50% 120</t>
    </r>
    <r>
      <rPr>
        <sz val="10"/>
        <color rgb="FF000000"/>
        <rFont val="ＭＳ Ｐゴシック"/>
        <family val="3"/>
        <charset val="128"/>
      </rPr>
      <t>円</t>
    </r>
    <rPh sb="25" eb="26">
      <t>エン</t>
    </rPh>
    <phoneticPr fontId="2"/>
  </si>
  <si>
    <t>Dye fee if below 
Dye min./col</t>
    <phoneticPr fontId="2"/>
  </si>
  <si>
    <t>仕入金額</t>
    <rPh sb="0" eb="4">
      <t>シイレキンガク</t>
    </rPh>
    <phoneticPr fontId="2"/>
  </si>
  <si>
    <t>染色小口代 12,000円</t>
    <rPh sb="0" eb="2">
      <t>センショク</t>
    </rPh>
    <rPh sb="2" eb="4">
      <t>コグチ</t>
    </rPh>
    <rPh sb="4" eb="5">
      <t>ダイ</t>
    </rPh>
    <rPh sb="12" eb="13">
      <t>エン</t>
    </rPh>
    <phoneticPr fontId="2"/>
  </si>
  <si>
    <t>Frame  20240531</t>
    <phoneticPr fontId="2"/>
  </si>
  <si>
    <t>KYL-T23400-OG / Natural (non-dyed)</t>
    <phoneticPr fontId="2"/>
  </si>
  <si>
    <t>14m (14m /roll)</t>
    <phoneticPr fontId="2"/>
  </si>
  <si>
    <t>KYL-T23400-1 / Mill's Off White (non-dyed)</t>
    <phoneticPr fontId="2"/>
  </si>
  <si>
    <t>KYL-T23400 / Custom color</t>
    <phoneticPr fontId="2"/>
  </si>
  <si>
    <t>308m /col (14m x 22 rolls)</t>
    <phoneticPr fontId="2"/>
  </si>
  <si>
    <t>US$ 125/col</t>
    <phoneticPr fontId="2"/>
  </si>
  <si>
    <t>FWL-24401 / Mill's Off White (non-dyed)</t>
    <phoneticPr fontId="2"/>
  </si>
  <si>
    <t>FWL-24401 / Custom color</t>
    <phoneticPr fontId="2"/>
  </si>
  <si>
    <t>染色小口代 6,000円</t>
    <rPh sb="0" eb="2">
      <t>センショク</t>
    </rPh>
    <rPh sb="2" eb="4">
      <t>コグチ</t>
    </rPh>
    <rPh sb="4" eb="5">
      <t>ダイ</t>
    </rPh>
    <rPh sb="11" eb="12">
      <t>エン</t>
    </rPh>
    <phoneticPr fontId="2"/>
  </si>
  <si>
    <t>US$ 65/col</t>
    <phoneticPr fontId="2"/>
  </si>
  <si>
    <t>Frame</t>
    <phoneticPr fontId="2"/>
  </si>
  <si>
    <t>Lace Trim  100% Cotton</t>
    <phoneticPr fontId="2"/>
  </si>
  <si>
    <t xml:space="preserve">KYL-T23400-1 </t>
    <phoneticPr fontId="2"/>
  </si>
  <si>
    <t>Mill's Off White (non-dyed)</t>
    <phoneticPr fontId="2"/>
  </si>
  <si>
    <t>FWL-24401</t>
    <phoneticPr fontId="2"/>
  </si>
  <si>
    <t>EXW JAPAN /m 
Purchase by roll</t>
    <phoneticPr fontId="2"/>
  </si>
  <si>
    <t xml:space="preserve">EXW JAPAN /m 
Purchase by sample cut
(1~2.9m : cut fee € 15/cut) </t>
    <phoneticPr fontId="2"/>
  </si>
  <si>
    <t>利益率 (sample cut )</t>
    <rPh sb="0" eb="2">
      <t>リエキ</t>
    </rPh>
    <rPh sb="2" eb="3">
      <t>リツ</t>
    </rPh>
    <phoneticPr fontId="2"/>
  </si>
  <si>
    <r>
      <t>Frame 20240603   20% 130</t>
    </r>
    <r>
      <rPr>
        <sz val="10"/>
        <rFont val="ＭＳ Ｐゴシック"/>
        <family val="3"/>
        <charset val="128"/>
      </rPr>
      <t>円</t>
    </r>
    <rPh sb="24" eb="25">
      <t>エン</t>
    </rPh>
    <phoneticPr fontId="2"/>
  </si>
  <si>
    <t>FUT9831 D/# 3 (Discontinued once current stock runs out)</t>
    <phoneticPr fontId="2"/>
  </si>
  <si>
    <t xml:space="preserve">108/112cm x abt 30m or 50m </t>
    <phoneticPr fontId="2"/>
  </si>
  <si>
    <t>FUT9831 D/# 1</t>
    <phoneticPr fontId="2"/>
  </si>
  <si>
    <t>FUT9831 D/# 2</t>
    <phoneticPr fontId="2"/>
  </si>
  <si>
    <t xml:space="preserve">Mill's Standard Colors </t>
    <phoneticPr fontId="2"/>
  </si>
  <si>
    <t>KYL-T23473-1</t>
    <phoneticPr fontId="2"/>
  </si>
  <si>
    <t>98cm</t>
    <phoneticPr fontId="2"/>
  </si>
  <si>
    <t>Stock as of June 3, 2024</t>
    <phoneticPr fontId="2"/>
  </si>
  <si>
    <t>abt 80m in stock (300m will be replenished soon)</t>
    <phoneticPr fontId="2"/>
  </si>
  <si>
    <t xml:space="preserve">59.4m in stock (abt 396m of greige also in stock) </t>
    <phoneticPr fontId="2"/>
  </si>
  <si>
    <t xml:space="preserve">118.8m in stock (abt 39.6m of greige also in stock) </t>
    <phoneticPr fontId="2"/>
  </si>
  <si>
    <t xml:space="preserve">Lace fabric  100% Polyester </t>
    <phoneticPr fontId="2"/>
  </si>
  <si>
    <t>FUT9831 D/# 3</t>
    <phoneticPr fontId="2"/>
  </si>
  <si>
    <t>108/112cm</t>
    <phoneticPr fontId="2"/>
  </si>
  <si>
    <t xml:space="preserve">EXW JAPAN /m (sample price) </t>
    <phoneticPr fontId="2"/>
  </si>
  <si>
    <t xml:space="preserve">Total Amount </t>
    <phoneticPr fontId="2"/>
  </si>
  <si>
    <t>Col. 12 Beige</t>
    <phoneticPr fontId="2"/>
  </si>
  <si>
    <t>Col. 105 Beige</t>
    <phoneticPr fontId="2"/>
  </si>
  <si>
    <t>Stretch Frill Tape   Nylon 92%, Pu 8%</t>
    <phoneticPr fontId="2"/>
  </si>
  <si>
    <t>DTM 1</t>
    <phoneticPr fontId="2"/>
  </si>
  <si>
    <t>DTM 2</t>
    <phoneticPr fontId="2"/>
  </si>
  <si>
    <t>AM-EO6/07/24</t>
    <phoneticPr fontId="2"/>
  </si>
  <si>
    <t># 7</t>
    <phoneticPr fontId="2"/>
  </si>
  <si>
    <t>017-2</t>
    <phoneticPr fontId="2"/>
  </si>
  <si>
    <r>
      <t>Ø</t>
    </r>
    <r>
      <rPr>
        <sz val="7"/>
        <color rgb="FF000000"/>
        <rFont val="Times New Roman"/>
        <family val="1"/>
      </rPr>
      <t>  </t>
    </r>
    <r>
      <rPr>
        <sz val="10"/>
        <color rgb="FF000000"/>
        <rFont val="BIZ UDPゴシック"/>
        <family val="3"/>
        <charset val="128"/>
      </rPr>
      <t>単価（定番色）：</t>
    </r>
    <r>
      <rPr>
        <sz val="10"/>
        <color rgb="FF409FFF"/>
        <rFont val="Arial"/>
        <family val="2"/>
      </rPr>
      <t>1,280</t>
    </r>
    <r>
      <rPr>
        <sz val="10"/>
        <color rgb="FF409FFF"/>
        <rFont val="BIZ UDPゴシック"/>
        <family val="3"/>
        <charset val="128"/>
      </rPr>
      <t>円</t>
    </r>
    <r>
      <rPr>
        <sz val="10"/>
        <color rgb="FF409FFF"/>
        <rFont val="Arial"/>
        <family val="2"/>
      </rPr>
      <t>/m</t>
    </r>
    <r>
      <rPr>
        <sz val="10"/>
        <color rgb="FF000000"/>
        <rFont val="Arial"/>
        <family val="2"/>
      </rPr>
      <t> </t>
    </r>
  </si>
  <si>
    <r>
      <t>Ø</t>
    </r>
    <r>
      <rPr>
        <sz val="7"/>
        <color rgb="FF000000"/>
        <rFont val="Times New Roman"/>
        <family val="1"/>
      </rPr>
      <t>  </t>
    </r>
    <r>
      <rPr>
        <sz val="10"/>
        <color rgb="FF000000"/>
        <rFont val="BIZ UDPゴシック"/>
        <family val="3"/>
        <charset val="128"/>
      </rPr>
      <t>バルク単価（とりあえず定番色でお願いします）</t>
    </r>
  </si>
  <si>
    <r>
      <t>Frame 20240606    20% 130</t>
    </r>
    <r>
      <rPr>
        <sz val="10"/>
        <rFont val="ＭＳ Ｐゴシック"/>
        <family val="3"/>
        <charset val="128"/>
      </rPr>
      <t>円 FDS バルク単価</t>
    </r>
    <rPh sb="25" eb="26">
      <t>エン</t>
    </rPh>
    <rPh sb="34" eb="36">
      <t>タンカ</t>
    </rPh>
    <phoneticPr fontId="2"/>
  </si>
  <si>
    <t>FUT9831 D/# 1 &amp; 2</t>
    <phoneticPr fontId="2"/>
  </si>
  <si>
    <t>108/112cm x abt 30m</t>
    <phoneticPr fontId="2"/>
  </si>
  <si>
    <r>
      <t xml:space="preserve">For 500Y/Color/Order: </t>
    </r>
    <r>
      <rPr>
        <sz val="10"/>
        <color rgb="FF409FFF"/>
        <rFont val="Arial"/>
        <family val="2"/>
      </rPr>
      <t>1,250</t>
    </r>
    <r>
      <rPr>
        <sz val="10"/>
        <color rgb="FF409FFF"/>
        <rFont val="メイリオ"/>
        <family val="3"/>
        <charset val="128"/>
      </rPr>
      <t>円</t>
    </r>
    <r>
      <rPr>
        <sz val="10"/>
        <color rgb="FF409FFF"/>
        <rFont val="Arial"/>
        <family val="2"/>
      </rPr>
      <t>/m</t>
    </r>
    <phoneticPr fontId="2"/>
  </si>
  <si>
    <t>For 500Y/Color/Order</t>
    <phoneticPr fontId="2"/>
  </si>
  <si>
    <r>
      <t xml:space="preserve">For 1000Y/Color/Order: </t>
    </r>
    <r>
      <rPr>
        <sz val="10"/>
        <color rgb="FF409FFF"/>
        <rFont val="Arial"/>
        <family val="2"/>
      </rPr>
      <t>1,200</t>
    </r>
    <r>
      <rPr>
        <sz val="10"/>
        <color rgb="FF409FFF"/>
        <rFont val="メイリオ"/>
        <family val="3"/>
        <charset val="128"/>
      </rPr>
      <t>円</t>
    </r>
    <r>
      <rPr>
        <sz val="10"/>
        <color rgb="FF409FFF"/>
        <rFont val="Arial"/>
        <family val="2"/>
      </rPr>
      <t>/m</t>
    </r>
    <phoneticPr fontId="2"/>
  </si>
  <si>
    <t>For 1000Y/Color/Order</t>
    <phoneticPr fontId="2"/>
  </si>
  <si>
    <r>
      <t xml:space="preserve">For 3000Y/Color/Order: </t>
    </r>
    <r>
      <rPr>
        <sz val="10"/>
        <color rgb="FF409FFF"/>
        <rFont val="Arial"/>
        <family val="2"/>
      </rPr>
      <t>1,130</t>
    </r>
    <r>
      <rPr>
        <sz val="10"/>
        <color rgb="FF409FFF"/>
        <rFont val="メイリオ"/>
        <family val="3"/>
        <charset val="128"/>
      </rPr>
      <t>円</t>
    </r>
    <r>
      <rPr>
        <sz val="10"/>
        <color rgb="FF409FFF"/>
        <rFont val="Arial"/>
        <family val="2"/>
      </rPr>
      <t>/m</t>
    </r>
    <phoneticPr fontId="2"/>
  </si>
  <si>
    <t>For 3000Y/Color/Order</t>
    <phoneticPr fontId="2"/>
  </si>
  <si>
    <r>
      <t>Frame 20240606    40% 120</t>
    </r>
    <r>
      <rPr>
        <sz val="10"/>
        <rFont val="ＭＳ Ｐゴシック"/>
        <family val="3"/>
        <charset val="128"/>
      </rPr>
      <t>円 FDS バルク単価</t>
    </r>
    <rPh sb="25" eb="26">
      <t>エン</t>
    </rPh>
    <rPh sb="34" eb="36">
      <t>タンカ</t>
    </rPh>
    <phoneticPr fontId="2"/>
  </si>
  <si>
    <t>～2,999m</t>
    <phoneticPr fontId="2"/>
  </si>
  <si>
    <t>3,000m～</t>
    <phoneticPr fontId="2"/>
  </si>
  <si>
    <t>5,000m～</t>
    <phoneticPr fontId="2"/>
  </si>
  <si>
    <t xml:space="preserve">FOB Thailand /m </t>
    <phoneticPr fontId="2"/>
  </si>
  <si>
    <t>International Freight by our courier</t>
    <phoneticPr fontId="2"/>
  </si>
  <si>
    <t xml:space="preserve">Total amount </t>
    <phoneticPr fontId="2"/>
  </si>
  <si>
    <t>P008948</t>
    <phoneticPr fontId="2"/>
  </si>
  <si>
    <t>Rodarte  20240610</t>
    <phoneticPr fontId="2"/>
  </si>
  <si>
    <t>KYL-23331-1 / Mill's Off White (non-dyed)</t>
    <phoneticPr fontId="2"/>
  </si>
  <si>
    <t>KYL-23703-1 / Mill's Off White (non-dyed)</t>
    <phoneticPr fontId="2"/>
  </si>
  <si>
    <t>KYL-23703-1 / Custom color including Black</t>
    <phoneticPr fontId="2"/>
  </si>
  <si>
    <t>210m /col (14m x 15 rolls)</t>
    <phoneticPr fontId="2"/>
  </si>
  <si>
    <t>KYL-T23417-1 / Mill's Off White (non-dyed)</t>
    <phoneticPr fontId="2"/>
  </si>
  <si>
    <t>KYL-23398-1 / Mill's Off White (non-dyed)</t>
    <phoneticPr fontId="2"/>
  </si>
  <si>
    <r>
      <t xml:space="preserve">9925 </t>
    </r>
    <r>
      <rPr>
        <sz val="12"/>
        <color rgb="FF0070C0"/>
        <rFont val="Arial"/>
        <family val="2"/>
      </rPr>
      <t>ship to China</t>
    </r>
    <phoneticPr fontId="2"/>
  </si>
  <si>
    <t>FUT3438DE-W D#1 (DTM) 
for 1000m/order (500mts/col)</t>
    <phoneticPr fontId="2"/>
  </si>
  <si>
    <t>FUT3438DE-W D#1 (DTM) 
for 3000m/order (500mts/col)</t>
    <phoneticPr fontId="2"/>
  </si>
  <si>
    <t xml:space="preserve">20240612 Simkhai   10% レート135 </t>
    <phoneticPr fontId="2"/>
  </si>
  <si>
    <t>提出なし</t>
    <rPh sb="0" eb="2">
      <t>テイシュツ</t>
    </rPh>
    <phoneticPr fontId="2"/>
  </si>
  <si>
    <r>
      <t>20240614 The evens group  50% 120</t>
    </r>
    <r>
      <rPr>
        <sz val="10"/>
        <color rgb="FF000000"/>
        <rFont val="ＭＳ Ｐゴシック"/>
        <family val="3"/>
        <charset val="128"/>
      </rPr>
      <t>円</t>
    </r>
    <rPh sb="33" eb="34">
      <t>エン</t>
    </rPh>
    <phoneticPr fontId="2"/>
  </si>
  <si>
    <t>TI-10-D9315</t>
    <phoneticPr fontId="2"/>
  </si>
  <si>
    <t>Size</t>
    <phoneticPr fontId="2"/>
  </si>
  <si>
    <t>10mm</t>
    <phoneticPr fontId="2"/>
  </si>
  <si>
    <t>TEG-240617</t>
    <phoneticPr fontId="2"/>
  </si>
  <si>
    <t>Stretch Tape  Nylon 86.8%, Pu 13.2%</t>
    <phoneticPr fontId="2"/>
  </si>
  <si>
    <t>DTM Black</t>
    <phoneticPr fontId="2"/>
  </si>
  <si>
    <t>Sub total</t>
    <phoneticPr fontId="2"/>
  </si>
  <si>
    <t xml:space="preserve">Total Amount </t>
    <phoneticPr fontId="2"/>
  </si>
  <si>
    <t>FWL-22891 / Mill's Off White (non-dyed)</t>
    <phoneticPr fontId="2"/>
  </si>
  <si>
    <t>DOEN 20240619</t>
    <phoneticPr fontId="2"/>
  </si>
  <si>
    <t>0751700</t>
    <phoneticPr fontId="2"/>
  </si>
  <si>
    <t>FWL-22891</t>
    <phoneticPr fontId="2"/>
  </si>
  <si>
    <r>
      <t xml:space="preserve">SF-1000(June 25, 2024) </t>
    </r>
    <r>
      <rPr>
        <sz val="12"/>
        <color rgb="FF0070C0"/>
        <rFont val="Arial"/>
        <family val="2"/>
      </rPr>
      <t>ship to India</t>
    </r>
    <phoneticPr fontId="2"/>
  </si>
  <si>
    <t>Trina Turk 20240628</t>
    <phoneticPr fontId="2"/>
  </si>
  <si>
    <t>E3806</t>
    <phoneticPr fontId="2"/>
  </si>
  <si>
    <t>1 roll (30m/roll)</t>
    <phoneticPr fontId="2"/>
  </si>
  <si>
    <t>FWL-24554</t>
    <phoneticPr fontId="2"/>
  </si>
  <si>
    <t>DTM French Blue(#16-3925TCX)</t>
    <phoneticPr fontId="2"/>
  </si>
  <si>
    <t>DTM Sorbet(#14-2311TCX)</t>
    <phoneticPr fontId="2"/>
  </si>
  <si>
    <t>DTM White(#11-4201TCX)</t>
    <phoneticPr fontId="2"/>
  </si>
  <si>
    <t>DTM Sand(#13-0907TCX)</t>
    <phoneticPr fontId="2"/>
  </si>
  <si>
    <t>FWL-24588</t>
    <phoneticPr fontId="2"/>
  </si>
  <si>
    <t>PO: SS25-03</t>
    <phoneticPr fontId="2"/>
  </si>
  <si>
    <t>KYL-23398-1</t>
    <phoneticPr fontId="2"/>
  </si>
  <si>
    <t>KYL-23398-19</t>
    <phoneticPr fontId="2"/>
  </si>
  <si>
    <t xml:space="preserve">単価(円)/m </t>
    <rPh sb="0" eb="2">
      <t>タンカ</t>
    </rPh>
    <rPh sb="3" eb="4">
      <t>エン</t>
    </rPh>
    <phoneticPr fontId="2"/>
  </si>
  <si>
    <t>??</t>
    <phoneticPr fontId="2"/>
  </si>
  <si>
    <t>Simkhai 20240701</t>
    <phoneticPr fontId="2"/>
  </si>
  <si>
    <t xml:space="preserve">Total Amonut </t>
    <phoneticPr fontId="2"/>
  </si>
  <si>
    <t>84m of Mill's Off White in stock</t>
    <phoneticPr fontId="2"/>
  </si>
  <si>
    <t>98m of Mill's Off White in stock</t>
    <phoneticPr fontId="2"/>
  </si>
  <si>
    <t>70m of Mill's Off White in stock, 14m short</t>
    <phoneticPr fontId="2"/>
  </si>
  <si>
    <t>28m of Mill's Black in stock, 56m short</t>
    <phoneticPr fontId="2"/>
  </si>
  <si>
    <t>TT-240702</t>
    <phoneticPr fontId="2"/>
  </si>
  <si>
    <t>E3806 Color Card</t>
    <phoneticPr fontId="2"/>
  </si>
  <si>
    <t>3843 Color Card</t>
    <phoneticPr fontId="2"/>
  </si>
  <si>
    <t>AM-EO 7/1/24</t>
    <phoneticPr fontId="2"/>
  </si>
  <si>
    <t>45369</t>
    <phoneticPr fontId="2"/>
  </si>
  <si>
    <t>River Glory (Jenni Kayne)</t>
    <phoneticPr fontId="2"/>
  </si>
  <si>
    <t>RG-240702</t>
    <phoneticPr fontId="2"/>
  </si>
  <si>
    <t>Rodarte  20240703</t>
    <phoneticPr fontId="2"/>
  </si>
  <si>
    <t>OL-62555-1/ Mill's Off White (undyed)</t>
  </si>
  <si>
    <t>OL-62555-1/ Mill's Off White (undyed)</t>
    <phoneticPr fontId="2"/>
  </si>
  <si>
    <t>OL-69009/ Mill's Off White (undyed)</t>
  </si>
  <si>
    <t>OL-69009/ Mill's Off White (undyed)</t>
    <phoneticPr fontId="2"/>
  </si>
  <si>
    <t>FWL-23232S/ Mill's Off White (undyed)</t>
  </si>
  <si>
    <t>FWL-23232S/ Mill's Off White (undyed)</t>
    <phoneticPr fontId="2"/>
  </si>
  <si>
    <t>FWL-21242S/ Mill's Off White (undyed)</t>
  </si>
  <si>
    <t>FWL-21242S/ Mill's Off White (undyed)</t>
    <phoneticPr fontId="2"/>
  </si>
  <si>
    <t>FWL-69051S/ Mill's Off White (undyed)</t>
  </si>
  <si>
    <t>FWL-69051S/ Mill's Off White (undyed)</t>
    <phoneticPr fontId="2"/>
  </si>
  <si>
    <t>FWL-69111S/ Mill's Off White (undyed)</t>
  </si>
  <si>
    <t>FWL-69111S/ Mill's Off White (undyed)</t>
    <phoneticPr fontId="2"/>
  </si>
  <si>
    <t>13.7m (13.7m /roll)</t>
  </si>
  <si>
    <t>13.7m (13.7m /roll)</t>
    <phoneticPr fontId="2"/>
  </si>
  <si>
    <t>Art.# / Color</t>
  </si>
  <si>
    <t>14m (14m /roll)</t>
  </si>
  <si>
    <r>
      <rPr>
        <sz val="10"/>
        <rFont val="ＭＳ Ｐゴシック"/>
        <family val="3"/>
        <charset val="128"/>
      </rPr>
      <t>↓顧客連絡用</t>
    </r>
    <rPh sb="1" eb="3">
      <t>コキャク</t>
    </rPh>
    <rPh sb="3" eb="5">
      <t>レンラク</t>
    </rPh>
    <rPh sb="5" eb="6">
      <t>ヨウ</t>
    </rPh>
    <phoneticPr fontId="2"/>
  </si>
  <si>
    <t>Stock as of July 2nd, 2024</t>
    <phoneticPr fontId="2"/>
  </si>
  <si>
    <t>350m of Mill's Off White in stock</t>
    <phoneticPr fontId="2"/>
  </si>
  <si>
    <t>400m of Mill's Off White in stock</t>
    <phoneticPr fontId="2"/>
  </si>
  <si>
    <t>150m of Mill's Off White in stock</t>
    <phoneticPr fontId="2"/>
  </si>
  <si>
    <t>700m of Mill's Off White in stock</t>
    <phoneticPr fontId="2"/>
  </si>
  <si>
    <t>100m of Mill's Off White in stock</t>
    <phoneticPr fontId="2"/>
  </si>
  <si>
    <t>15m of Mill's Off White in stock</t>
    <phoneticPr fontId="2"/>
  </si>
  <si>
    <t>abt 1 month</t>
    <phoneticPr fontId="2"/>
  </si>
  <si>
    <t>abt 2 months</t>
    <phoneticPr fontId="2"/>
  </si>
  <si>
    <t>L/T for lace production (Mill's Off White)</t>
    <phoneticPr fontId="2"/>
  </si>
  <si>
    <t>OL-62555-1 / Custom color including Black</t>
  </si>
  <si>
    <t>OL-62555-1 / Custom color including Black</t>
    <phoneticPr fontId="2"/>
  </si>
  <si>
    <t>322m /col (14m x 23 rolls)</t>
  </si>
  <si>
    <t>322m /col (14m x 23 rolls)</t>
    <phoneticPr fontId="2"/>
  </si>
  <si>
    <t>US$ 150/col</t>
  </si>
  <si>
    <t>US$ 150/col</t>
    <phoneticPr fontId="2"/>
  </si>
  <si>
    <t>FWL-69051S/ Col. 690 x Ecru</t>
  </si>
  <si>
    <t>FWL-69051S/ Col. 690 x Ecru</t>
    <phoneticPr fontId="2"/>
  </si>
  <si>
    <t>FWL-69111S/ Col. 690 x 803 x 236</t>
  </si>
  <si>
    <t>FWL-69111S/ Col. 690 x 803 x 236</t>
    <phoneticPr fontId="2"/>
  </si>
  <si>
    <t>Stock as of July 3rd, 2024</t>
    <phoneticPr fontId="2"/>
  </si>
  <si>
    <t xml:space="preserve">made to order </t>
    <phoneticPr fontId="2"/>
  </si>
  <si>
    <t>abt 5m</t>
    <phoneticPr fontId="2"/>
  </si>
  <si>
    <t>abt 10m</t>
    <phoneticPr fontId="2"/>
  </si>
  <si>
    <t xml:space="preserve">abt 2 weeks for dyeing when lace in stock </t>
    <phoneticPr fontId="2"/>
  </si>
  <si>
    <t xml:space="preserve">abt 15 days for sampling </t>
    <phoneticPr fontId="2"/>
  </si>
  <si>
    <t>100% Cotton Lace Trim</t>
    <phoneticPr fontId="2"/>
  </si>
  <si>
    <t>TT-240704</t>
    <phoneticPr fontId="2"/>
  </si>
  <si>
    <t xml:space="preserve">Recycled Polyester Herringbone Tape   Recycled Polyester-100%  </t>
    <phoneticPr fontId="2"/>
  </si>
  <si>
    <t>#63</t>
  </si>
  <si>
    <t>#35</t>
  </si>
  <si>
    <t>Rodarte  20240704</t>
    <phoneticPr fontId="2"/>
  </si>
  <si>
    <t>DS-1557/ Mill's Off White (undyed)</t>
  </si>
  <si>
    <t>DS-1557/ Mill's Off White (undyed)</t>
    <phoneticPr fontId="2"/>
  </si>
  <si>
    <r>
      <t>FWL-2503  100m  160</t>
    </r>
    <r>
      <rPr>
        <sz val="10"/>
        <rFont val="BIZ UDPゴシック"/>
        <family val="3"/>
        <charset val="128"/>
      </rPr>
      <t>円</t>
    </r>
    <phoneticPr fontId="2"/>
  </si>
  <si>
    <r>
      <t>FWL-2136  200m  86</t>
    </r>
    <r>
      <rPr>
        <sz val="10"/>
        <rFont val="BIZ UDPゴシック"/>
        <family val="3"/>
        <charset val="128"/>
      </rPr>
      <t>円</t>
    </r>
    <phoneticPr fontId="2"/>
  </si>
  <si>
    <r>
      <t>FWL-2525  50m   142</t>
    </r>
    <r>
      <rPr>
        <sz val="10"/>
        <rFont val="BIZ UDPゴシック"/>
        <family val="3"/>
        <charset val="128"/>
      </rPr>
      <t>円</t>
    </r>
    <phoneticPr fontId="2"/>
  </si>
  <si>
    <r>
      <t>FWL-21642  1750m  188</t>
    </r>
    <r>
      <rPr>
        <sz val="10"/>
        <rFont val="BIZ UDPゴシック"/>
        <family val="3"/>
        <charset val="128"/>
      </rPr>
      <t>円　　　　　　　　　　　　　　　　　　　　　　　　　　　</t>
    </r>
    <phoneticPr fontId="2"/>
  </si>
  <si>
    <r>
      <t>FWL-21644  1800m  188</t>
    </r>
    <r>
      <rPr>
        <sz val="10"/>
        <rFont val="BIZ UDPゴシック"/>
        <family val="3"/>
        <charset val="128"/>
      </rPr>
      <t>円</t>
    </r>
    <phoneticPr fontId="2"/>
  </si>
  <si>
    <r>
      <t xml:space="preserve">FWL-21639  2600m  188 </t>
    </r>
    <r>
      <rPr>
        <sz val="10"/>
        <rFont val="BIZ UDPゴシック"/>
        <family val="3"/>
        <charset val="128"/>
      </rPr>
      <t>円</t>
    </r>
    <phoneticPr fontId="2"/>
  </si>
  <si>
    <t>FWL-2503/ Mill's Off White (undyed)</t>
  </si>
  <si>
    <t>FWL-2503/ Mill's Off White (undyed)</t>
    <phoneticPr fontId="2"/>
  </si>
  <si>
    <t>FWL-2136/ Mill's Off White (undyed)</t>
  </si>
  <si>
    <t>FWL-2136/ Mill's Off White (undyed)</t>
    <phoneticPr fontId="2"/>
  </si>
  <si>
    <t>FWL-2525/ Mill's Off White (undyed)</t>
  </si>
  <si>
    <t>FWL-2525/ Mill's Off White (undyed)</t>
    <phoneticPr fontId="2"/>
  </si>
  <si>
    <t>FWL-21642/ Mill's Off White (undyed)</t>
  </si>
  <si>
    <t>FWL-21642/ Mill's Off White (undyed)</t>
    <phoneticPr fontId="2"/>
  </si>
  <si>
    <t>FWL-21644/ Mill's Off White (undyed)</t>
  </si>
  <si>
    <t>FWL-21644/ Mill's Off White (undyed)</t>
    <phoneticPr fontId="2"/>
  </si>
  <si>
    <t>FWL-21639/ Mill's Off White (undyed)</t>
  </si>
  <si>
    <t>FWL-21639/ Mill's Off White (undyed)</t>
    <phoneticPr fontId="2"/>
  </si>
  <si>
    <t>Stock as of July 4th, 2024</t>
    <phoneticPr fontId="2"/>
  </si>
  <si>
    <t>600m of Mill's Off White in stock</t>
    <phoneticPr fontId="2"/>
  </si>
  <si>
    <t>200m of Mill's Off White in stock</t>
    <phoneticPr fontId="2"/>
  </si>
  <si>
    <t>50m of Mill's Off White in stock</t>
    <phoneticPr fontId="2"/>
  </si>
  <si>
    <t>1,750m of Mill's Off White in stock</t>
    <phoneticPr fontId="2"/>
  </si>
  <si>
    <t>1,800m of Mill's Off White in stock</t>
    <phoneticPr fontId="2"/>
  </si>
  <si>
    <t>2,600m of Mill's Off White in stock</t>
    <phoneticPr fontId="2"/>
  </si>
  <si>
    <t>AH24PT07005</t>
    <phoneticPr fontId="2"/>
  </si>
  <si>
    <t>Rodarte  20240705</t>
    <phoneticPr fontId="2"/>
  </si>
  <si>
    <t>FWL-69111S ピンク x オフ白　別注&gt;&gt;&gt;ミニマム500m/col　・　ミニマム未満小口代 9,000円</t>
    <phoneticPr fontId="2"/>
  </si>
  <si>
    <t>Dye fee if below 
Dye min./col</t>
    <phoneticPr fontId="2"/>
  </si>
  <si>
    <t>FWL-69111S Pink x Off customize &gt;&gt;&gt; MOQ 500m/col ( surcharge if below MOQ : USD 100/col)</t>
    <phoneticPr fontId="2"/>
  </si>
  <si>
    <t>FWL-69111S/ Pink x Off White(customized)</t>
    <phoneticPr fontId="2"/>
  </si>
  <si>
    <t>500m/col</t>
    <phoneticPr fontId="2"/>
  </si>
  <si>
    <t xml:space="preserve"> surcharge if below MOQ</t>
    <phoneticPr fontId="2"/>
  </si>
  <si>
    <t>US$ 100/col</t>
    <phoneticPr fontId="2"/>
  </si>
  <si>
    <t>PO9140</t>
    <phoneticPr fontId="2"/>
  </si>
  <si>
    <r>
      <t>RALY TRADING LIMITED</t>
    </r>
    <r>
      <rPr>
        <sz val="12"/>
        <rFont val="游ゴシック"/>
        <family val="2"/>
        <charset val="128"/>
      </rPr>
      <t>　</t>
    </r>
    <r>
      <rPr>
        <sz val="12"/>
        <rFont val="Arial"/>
        <family val="2"/>
      </rPr>
      <t>(Johnny Was)</t>
    </r>
    <phoneticPr fontId="2"/>
  </si>
  <si>
    <t>COL. 185</t>
    <phoneticPr fontId="2"/>
  </si>
  <si>
    <t>FWL-2504/ Mill's Off White (undyed)</t>
  </si>
  <si>
    <t>FWL-2504/ Mill's Off White (undyed)</t>
    <phoneticPr fontId="2"/>
  </si>
  <si>
    <t>FWL-2709/ Mill's Off White (undyed)</t>
  </si>
  <si>
    <t>FWL-2709/ Mill's Off White (undyed)</t>
    <phoneticPr fontId="2"/>
  </si>
  <si>
    <t>FWL-2570/ Mill's Off White (undyed)</t>
  </si>
  <si>
    <t>FWL-2570/ Mill's Off White (undyed)</t>
    <phoneticPr fontId="2"/>
  </si>
  <si>
    <t>FWL-21744/ Mill's Off White (undyed)</t>
  </si>
  <si>
    <t>FWL-21744/ Mill's Off White (undyed)</t>
    <phoneticPr fontId="2"/>
  </si>
  <si>
    <r>
      <t>153</t>
    </r>
    <r>
      <rPr>
        <sz val="10"/>
        <rFont val="ＭＳ Ｐゴシック"/>
        <family val="2"/>
        <charset val="128"/>
      </rPr>
      <t>円</t>
    </r>
    <r>
      <rPr>
        <sz val="10"/>
        <rFont val="Arial"/>
        <family val="2"/>
      </rPr>
      <t xml:space="preserve"> </t>
    </r>
    <r>
      <rPr>
        <sz val="10"/>
        <rFont val="ＭＳ Ｐゴシック"/>
        <family val="2"/>
        <charset val="128"/>
      </rPr>
      <t>在庫なし</t>
    </r>
    <rPh sb="3" eb="4">
      <t>エン</t>
    </rPh>
    <rPh sb="5" eb="7">
      <t>ザイコ</t>
    </rPh>
    <phoneticPr fontId="2"/>
  </si>
  <si>
    <r>
      <t xml:space="preserve">188 </t>
    </r>
    <r>
      <rPr>
        <sz val="10"/>
        <rFont val="ＭＳ Ｐゴシック"/>
        <family val="2"/>
        <charset val="128"/>
      </rPr>
      <t>円　</t>
    </r>
    <r>
      <rPr>
        <sz val="10"/>
        <rFont val="Arial"/>
        <family val="2"/>
      </rPr>
      <t>750m</t>
    </r>
    <phoneticPr fontId="2"/>
  </si>
  <si>
    <r>
      <t xml:space="preserve">194 </t>
    </r>
    <r>
      <rPr>
        <sz val="10"/>
        <rFont val="ＭＳ Ｐゴシック"/>
        <family val="2"/>
        <charset val="128"/>
      </rPr>
      <t>円　20</t>
    </r>
    <r>
      <rPr>
        <sz val="10"/>
        <rFont val="Arial"/>
        <family val="2"/>
      </rPr>
      <t>m</t>
    </r>
    <phoneticPr fontId="2"/>
  </si>
  <si>
    <r>
      <t xml:space="preserve">229 </t>
    </r>
    <r>
      <rPr>
        <sz val="10"/>
        <rFont val="ＭＳ Ｐゴシック"/>
        <family val="2"/>
        <charset val="128"/>
      </rPr>
      <t>円　1400</t>
    </r>
    <r>
      <rPr>
        <sz val="10"/>
        <rFont val="Arial"/>
        <family val="2"/>
      </rPr>
      <t>m</t>
    </r>
    <phoneticPr fontId="2"/>
  </si>
  <si>
    <r>
      <t>↓顧客連絡用</t>
    </r>
    <r>
      <rPr>
        <sz val="10"/>
        <rFont val="ＭＳ Ｐゴシック"/>
        <family val="2"/>
        <charset val="128"/>
      </rPr>
      <t>　</t>
    </r>
    <rPh sb="1" eb="3">
      <t>コキャク</t>
    </rPh>
    <rPh sb="3" eb="5">
      <t>レンラク</t>
    </rPh>
    <rPh sb="5" eb="6">
      <t>ヨウ</t>
    </rPh>
    <phoneticPr fontId="2"/>
  </si>
  <si>
    <t>Stock as of July 9th, 2024</t>
    <phoneticPr fontId="2"/>
  </si>
  <si>
    <t>No stock ( L/T for 50m : 10 working days in Japan)</t>
    <phoneticPr fontId="2"/>
  </si>
  <si>
    <t>750m of Mill's Off White in stock</t>
    <phoneticPr fontId="2"/>
  </si>
  <si>
    <t>20m of Mill's Off White in stock</t>
    <phoneticPr fontId="2"/>
  </si>
  <si>
    <t>1,400m of Mill's Off White in stock</t>
    <phoneticPr fontId="2"/>
  </si>
  <si>
    <t>DOEN  20240709</t>
    <phoneticPr fontId="2"/>
  </si>
  <si>
    <t>FWL-71468/ Mill's Off White (undyed)</t>
  </si>
  <si>
    <t>FWL-71468/ Mill's Off White (undyed)</t>
    <phoneticPr fontId="2"/>
  </si>
  <si>
    <t>FWL-71469/ Mill's Off White (undyed)</t>
  </si>
  <si>
    <t>FWL-71469/ Mill's Off White (undyed)</t>
    <phoneticPr fontId="2"/>
  </si>
  <si>
    <t>FWL-71286/ Mill's Off White (undyed)</t>
  </si>
  <si>
    <t>FWL-71286/ Mill's Off White (undyed)</t>
    <phoneticPr fontId="2"/>
  </si>
  <si>
    <t>2,000m of Mill's Off White in stock</t>
    <phoneticPr fontId="2"/>
  </si>
  <si>
    <t>2,200m of Mill's Off White in stock</t>
    <phoneticPr fontId="2"/>
  </si>
  <si>
    <t>SF070924-FW24</t>
    <phoneticPr fontId="2"/>
  </si>
  <si>
    <t># 135 IVORY</t>
    <phoneticPr fontId="2"/>
  </si>
  <si>
    <t># 71 OLIVE</t>
    <phoneticPr fontId="2"/>
  </si>
  <si>
    <t># 96 NIGHT</t>
    <phoneticPr fontId="2"/>
  </si>
  <si>
    <t>OL-62555-1</t>
    <phoneticPr fontId="2"/>
  </si>
  <si>
    <t>FWL-23232S</t>
    <phoneticPr fontId="2"/>
  </si>
  <si>
    <t>FWL-21242S</t>
    <phoneticPr fontId="2"/>
  </si>
  <si>
    <t>FWL-69051S</t>
    <phoneticPr fontId="2"/>
  </si>
  <si>
    <t>FWL-69111S</t>
    <phoneticPr fontId="2"/>
  </si>
  <si>
    <t>FWL-2503</t>
    <phoneticPr fontId="2"/>
  </si>
  <si>
    <t>FWL-2136</t>
    <phoneticPr fontId="2"/>
  </si>
  <si>
    <t>FWL-2525</t>
    <phoneticPr fontId="2"/>
  </si>
  <si>
    <t>FWL-2709</t>
    <phoneticPr fontId="2"/>
  </si>
  <si>
    <t>FWL-21744</t>
    <phoneticPr fontId="2"/>
  </si>
  <si>
    <t>FWL-21642</t>
    <phoneticPr fontId="2"/>
  </si>
  <si>
    <t>FWL-21639</t>
    <phoneticPr fontId="2"/>
  </si>
  <si>
    <t>Col. 690(Blue) x Ecru</t>
    <phoneticPr fontId="2"/>
  </si>
  <si>
    <t>Col. 690(Blue) x 803 x 236</t>
    <phoneticPr fontId="2"/>
  </si>
  <si>
    <t>Col.(Pink) x Ecru</t>
    <phoneticPr fontId="2"/>
  </si>
  <si>
    <t>Color</t>
    <phoneticPr fontId="2"/>
  </si>
  <si>
    <t>Qty</t>
    <phoneticPr fontId="2"/>
  </si>
  <si>
    <t>単価/m</t>
    <rPh sb="0" eb="2">
      <t>タンカ</t>
    </rPh>
    <phoneticPr fontId="2"/>
  </si>
  <si>
    <t>Col.297(Pink) x Ecru</t>
    <phoneticPr fontId="2"/>
  </si>
  <si>
    <t>Rodarte  20240711</t>
    <phoneticPr fontId="2"/>
  </si>
  <si>
    <t>DS-1157/ Mill's Off White (undyed)</t>
    <phoneticPr fontId="2"/>
  </si>
  <si>
    <t>DS-1157/ Mill's Off White (undyed)</t>
    <phoneticPr fontId="2"/>
  </si>
  <si>
    <t>Stock as of July 11th, 2024</t>
    <phoneticPr fontId="2"/>
  </si>
  <si>
    <t>FWL-71468</t>
    <phoneticPr fontId="2"/>
  </si>
  <si>
    <t>FWL-71090</t>
    <phoneticPr fontId="2"/>
  </si>
  <si>
    <t>Rodarte  20240712</t>
    <phoneticPr fontId="2"/>
  </si>
  <si>
    <t>FWL-22092/ Mill's Off White (undyed)</t>
  </si>
  <si>
    <t>FWL-22092/ Mill's Off White (undyed)</t>
    <phoneticPr fontId="2"/>
  </si>
  <si>
    <t>FWL-22095/ Mill's Off White (undyed)</t>
  </si>
  <si>
    <t>FWL-22095/ Mill's Off White (undyed)</t>
    <phoneticPr fontId="2"/>
  </si>
  <si>
    <t>FWL-21489/ Mill's Off White (undyed)</t>
  </si>
  <si>
    <t>FWL-21489/ Mill's Off White (undyed)</t>
    <phoneticPr fontId="2"/>
  </si>
  <si>
    <t>FWL-21506/ Mill's Off White (undyed)</t>
  </si>
  <si>
    <t>FWL-21506/ Mill's Off White (undyed)</t>
    <phoneticPr fontId="2"/>
  </si>
  <si>
    <t>FWL-24026/ Mill's Off White (undyed)</t>
  </si>
  <si>
    <t>FWL-24026/ Mill's Off White (undyed)</t>
    <phoneticPr fontId="2"/>
  </si>
  <si>
    <t>FWL-24010/ Mill's Off White (undyed)</t>
  </si>
  <si>
    <t>FWL-24010/ Mill's Off White (undyed)</t>
    <phoneticPr fontId="2"/>
  </si>
  <si>
    <t>FWL-24006/ Mill's Off White (undyed)</t>
  </si>
  <si>
    <t>FWL-24006/ Mill's Off White (undyed)</t>
    <phoneticPr fontId="2"/>
  </si>
  <si>
    <t>FWL-23726/ Mill's Off White (undyed)</t>
  </si>
  <si>
    <t>FWL-23726/ Mill's Off White (undyed)</t>
    <phoneticPr fontId="2"/>
  </si>
  <si>
    <t>1300m</t>
    <phoneticPr fontId="2"/>
  </si>
  <si>
    <t>500m</t>
    <phoneticPr fontId="2"/>
  </si>
  <si>
    <t>1700m</t>
    <phoneticPr fontId="2"/>
  </si>
  <si>
    <t>1000m</t>
    <phoneticPr fontId="2"/>
  </si>
  <si>
    <t>200m</t>
    <phoneticPr fontId="2"/>
  </si>
  <si>
    <t>Stock as of July 12th, 2024</t>
    <phoneticPr fontId="2"/>
  </si>
  <si>
    <t>600m of Mill's Off White in stock</t>
    <phoneticPr fontId="2"/>
  </si>
  <si>
    <t>1300m of Mill's Off White in stock</t>
    <phoneticPr fontId="2"/>
  </si>
  <si>
    <t>500m of Mill's Off White in stock</t>
    <phoneticPr fontId="2"/>
  </si>
  <si>
    <t>1700m of Mill's Off White in stock</t>
    <phoneticPr fontId="2"/>
  </si>
  <si>
    <t>1000m of Mill's Off White in stock</t>
    <phoneticPr fontId="2"/>
  </si>
  <si>
    <t>200m of Mill's Off White in stock</t>
    <phoneticPr fontId="2"/>
  </si>
  <si>
    <t>300m of Mill's Off White in stock</t>
    <phoneticPr fontId="2"/>
  </si>
  <si>
    <t>700m of Mill's Off White in stock</t>
    <phoneticPr fontId="2"/>
  </si>
  <si>
    <t>PO: SS25-08 (07/12/24)</t>
  </si>
  <si>
    <t>PO: SS25-08 (07/12/24)</t>
    <phoneticPr fontId="2"/>
  </si>
  <si>
    <t>DS-1557</t>
    <phoneticPr fontId="2"/>
  </si>
  <si>
    <t>FWL-23726</t>
    <phoneticPr fontId="2"/>
  </si>
  <si>
    <t>FWL-24026</t>
    <phoneticPr fontId="2"/>
  </si>
  <si>
    <t>FWL-24010</t>
    <phoneticPr fontId="2"/>
  </si>
  <si>
    <t>FWL-21489</t>
    <phoneticPr fontId="2"/>
  </si>
  <si>
    <t>FWL-21506</t>
    <phoneticPr fontId="2"/>
  </si>
  <si>
    <t>FWL-2833</t>
    <phoneticPr fontId="2"/>
  </si>
  <si>
    <r>
      <t xml:space="preserve">SF-SP25-001(July 12, 2024) </t>
    </r>
    <r>
      <rPr>
        <sz val="12"/>
        <color rgb="FF0070C0"/>
        <rFont val="Arial"/>
        <family val="2"/>
      </rPr>
      <t>ship to HK</t>
    </r>
    <phoneticPr fontId="2"/>
  </si>
  <si>
    <t>RTL-240717</t>
    <phoneticPr fontId="2"/>
  </si>
  <si>
    <t>Lace Trim  96% Cotton, 3% Rayon, 1% Polyurethane</t>
    <phoneticPr fontId="2"/>
  </si>
  <si>
    <t>Lace Trim  93% Cotton, 5% Rayon, 2% Polyurethane</t>
    <phoneticPr fontId="2"/>
  </si>
  <si>
    <t>Sub total</t>
    <phoneticPr fontId="2"/>
  </si>
  <si>
    <t xml:space="preserve">International Freight fee </t>
    <phoneticPr fontId="2"/>
  </si>
  <si>
    <t>TBC</t>
    <phoneticPr fontId="2"/>
  </si>
  <si>
    <r>
      <t xml:space="preserve">20240718  THE SEI   T2023-CSP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20% 120</t>
    </r>
    <r>
      <rPr>
        <sz val="10"/>
        <rFont val="ＭＳ Ｐゴシック"/>
        <family val="3"/>
        <charset val="128"/>
      </rPr>
      <t>　　</t>
    </r>
    <phoneticPr fontId="2"/>
  </si>
  <si>
    <t>Recycled Polyester Petersham Ribbons</t>
    <phoneticPr fontId="2"/>
  </si>
  <si>
    <r>
      <t>Recycled Polyester</t>
    </r>
    <r>
      <rPr>
        <sz val="10"/>
        <color theme="1"/>
        <rFont val="游ゴシック"/>
        <family val="2"/>
        <charset val="128"/>
      </rPr>
      <t>：</t>
    </r>
    <r>
      <rPr>
        <sz val="10"/>
        <color theme="1"/>
        <rFont val="Arial  "/>
        <family val="2"/>
      </rPr>
      <t>100%</t>
    </r>
  </si>
  <si>
    <t>Sophia Kang 20240718</t>
    <phoneticPr fontId="2"/>
  </si>
  <si>
    <t>E3703</t>
    <phoneticPr fontId="2"/>
  </si>
  <si>
    <t>Reversible Satin Velvet Ribbon</t>
    <phoneticPr fontId="2"/>
  </si>
  <si>
    <t>Rayon-55%/Polyester-45%</t>
    <phoneticPr fontId="2"/>
  </si>
  <si>
    <t>E3030</t>
    <phoneticPr fontId="2"/>
  </si>
  <si>
    <t>Put-up (per roll)</t>
    <phoneticPr fontId="2"/>
  </si>
  <si>
    <t>Recycled Polyester Double Faced Satin Ribbon</t>
    <phoneticPr fontId="2"/>
  </si>
  <si>
    <t>単価（E3703は輸出単価）</t>
    <rPh sb="0" eb="2">
      <t>タンカ</t>
    </rPh>
    <rPh sb="9" eb="11">
      <t>ユシュツ</t>
    </rPh>
    <rPh sb="11" eb="13">
      <t>タンカ</t>
    </rPh>
    <phoneticPr fontId="2"/>
  </si>
  <si>
    <t>FWL-71265</t>
    <phoneticPr fontId="2"/>
  </si>
  <si>
    <t>Johnny Was 20240719</t>
    <phoneticPr fontId="2"/>
  </si>
  <si>
    <t>FWL-21993/ Mill's Off White (undyed)</t>
    <phoneticPr fontId="2"/>
  </si>
  <si>
    <t>FWL-21991/ Mill's Off White (undyed)</t>
    <phoneticPr fontId="2"/>
  </si>
  <si>
    <t>FWL-21871/ Mill's Off White (undyed)</t>
    <phoneticPr fontId="2"/>
  </si>
  <si>
    <t>FWL-2833/ Mill's Off White (undyed)</t>
    <phoneticPr fontId="2"/>
  </si>
  <si>
    <t>DOEN 20240719</t>
    <phoneticPr fontId="2"/>
  </si>
  <si>
    <t>FWL-71250/ Mill's Off White (undyed)</t>
    <phoneticPr fontId="2"/>
  </si>
  <si>
    <t>FWL-22453/ Mill's Off White (undyed)</t>
    <phoneticPr fontId="2"/>
  </si>
  <si>
    <r>
      <t>200m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 xml:space="preserve">(100m/roll, </t>
    </r>
    <r>
      <rPr>
        <sz val="10"/>
        <rFont val="ＭＳ Ｐゴシック"/>
        <family val="2"/>
        <charset val="128"/>
      </rPr>
      <t>継ぎ目あり）</t>
    </r>
    <rPh sb="17" eb="18">
      <t>ツ</t>
    </rPh>
    <rPh sb="19" eb="20">
      <t>メ</t>
    </rPh>
    <phoneticPr fontId="2"/>
  </si>
  <si>
    <r>
      <t>500m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 xml:space="preserve">(100m/roll, </t>
    </r>
    <r>
      <rPr>
        <sz val="10"/>
        <rFont val="ＭＳ Ｐゴシック"/>
        <family val="2"/>
        <charset val="128"/>
      </rPr>
      <t>継ぎ目あり）</t>
    </r>
    <phoneticPr fontId="2"/>
  </si>
  <si>
    <r>
      <t>600m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 xml:space="preserve">(200m/roll, </t>
    </r>
    <r>
      <rPr>
        <sz val="10"/>
        <rFont val="ＭＳ Ｐゴシック"/>
        <family val="2"/>
        <charset val="128"/>
      </rPr>
      <t>継ぎ目あり）</t>
    </r>
    <phoneticPr fontId="2"/>
  </si>
  <si>
    <t>500m (50m/roll)</t>
    <phoneticPr fontId="2"/>
  </si>
  <si>
    <t>200m (50m/roll)</t>
    <phoneticPr fontId="2"/>
  </si>
  <si>
    <t>Stock as of July 19th, 2024</t>
    <phoneticPr fontId="2"/>
  </si>
  <si>
    <t>500m in Mill's Off White</t>
    <phoneticPr fontId="2"/>
  </si>
  <si>
    <t>200m in Mill's Off White</t>
    <phoneticPr fontId="2"/>
  </si>
  <si>
    <t>XC20240719001</t>
    <phoneticPr fontId="2"/>
  </si>
  <si>
    <t>Size</t>
    <phoneticPr fontId="2"/>
  </si>
  <si>
    <t>Color</t>
    <phoneticPr fontId="2"/>
  </si>
  <si>
    <t>HS-24071901</t>
    <phoneticPr fontId="2"/>
  </si>
  <si>
    <t>HANGZHOU HS FASHION CORPORATION LTD.(Simkhai)</t>
    <phoneticPr fontId="2"/>
  </si>
  <si>
    <t xml:space="preserve"># 118 Ivory </t>
    <phoneticPr fontId="2"/>
  </si>
  <si>
    <t>HS-24072001</t>
    <phoneticPr fontId="2"/>
  </si>
  <si>
    <t>染色代70円込</t>
    <rPh sb="0" eb="2">
      <t>センショク</t>
    </rPh>
    <rPh sb="2" eb="3">
      <t>ダイ</t>
    </rPh>
    <rPh sb="5" eb="6">
      <t>エン</t>
    </rPh>
    <rPh sb="6" eb="7">
      <t>コ</t>
    </rPh>
    <phoneticPr fontId="2"/>
  </si>
  <si>
    <t>HS-24072002</t>
    <phoneticPr fontId="2"/>
  </si>
  <si>
    <t>PO #</t>
    <phoneticPr fontId="2"/>
  </si>
  <si>
    <t>JWSM25</t>
    <phoneticPr fontId="2"/>
  </si>
  <si>
    <t>SUZHOU DELI LIGHTTEXTILES CO., LTD. (Johnny Was)</t>
    <phoneticPr fontId="2"/>
  </si>
  <si>
    <t>20240726 Trina Turk</t>
    <phoneticPr fontId="2"/>
  </si>
  <si>
    <t>Mill's Standard colors</t>
    <phoneticPr fontId="2"/>
  </si>
  <si>
    <r>
      <rPr>
        <b/>
        <sz val="11"/>
        <rFont val="ＭＳ Ｐゴシック"/>
        <family val="3"/>
        <charset val="128"/>
      </rPr>
      <t>メタリック単価</t>
    </r>
    <rPh sb="5" eb="7">
      <t>タンカ</t>
    </rPh>
    <phoneticPr fontId="2"/>
  </si>
  <si>
    <r>
      <t xml:space="preserve">SF-SP25-002(July 26, 2024) </t>
    </r>
    <r>
      <rPr>
        <sz val="12"/>
        <color rgb="FF0070C0"/>
        <rFont val="Arial"/>
        <family val="2"/>
      </rPr>
      <t>ship to India</t>
    </r>
    <phoneticPr fontId="2"/>
  </si>
  <si>
    <t>DOEN  20240729</t>
    <phoneticPr fontId="2"/>
  </si>
  <si>
    <t>YDT-13595/ Mill's Off White (undyed)</t>
  </si>
  <si>
    <t>YDT-13595/ Mill's Off White (undyed)</t>
    <phoneticPr fontId="2"/>
  </si>
  <si>
    <t>Stock as of July 29th, 2024</t>
    <phoneticPr fontId="2"/>
  </si>
  <si>
    <t>abt 10m only</t>
    <phoneticPr fontId="2"/>
  </si>
  <si>
    <t>DTM Fiery Red (18-1664TCX)</t>
    <phoneticPr fontId="2"/>
  </si>
  <si>
    <t>YDT-8033/ Mill's Off White (undyed)</t>
    <phoneticPr fontId="2"/>
  </si>
  <si>
    <t>YDT-7730/ Mill's Off White (undyed)</t>
    <phoneticPr fontId="2"/>
  </si>
  <si>
    <t>YDT-8498/ Mill's Off White (undyed)</t>
    <phoneticPr fontId="2"/>
  </si>
  <si>
    <t>YDT-8047/ Mill's Off White (undyed)</t>
    <phoneticPr fontId="2"/>
  </si>
  <si>
    <t>YDT-8183/ Mill's Off White (undyed)</t>
    <phoneticPr fontId="2"/>
  </si>
  <si>
    <t>YDT-8230/ Mill's Off White (undyed)</t>
    <phoneticPr fontId="2"/>
  </si>
  <si>
    <t>YDT-7760/ Mill's Off White (undyed)</t>
    <phoneticPr fontId="2"/>
  </si>
  <si>
    <t>YDT-7807/ Mill's Off White (undyed)</t>
    <phoneticPr fontId="2"/>
  </si>
  <si>
    <t>YDT-7261/ Mill's Off White (undyed)</t>
    <phoneticPr fontId="2"/>
  </si>
  <si>
    <t>YDT-8978/ Mill's Off White (undyed)</t>
    <phoneticPr fontId="2"/>
  </si>
  <si>
    <t>YDT-6716/ Mill's Off White (undyed)</t>
    <phoneticPr fontId="2"/>
  </si>
  <si>
    <t>YDT-7449/ Mill's Off White (undyed)</t>
    <phoneticPr fontId="2"/>
  </si>
  <si>
    <t>YDT-13080/ Mill's Off White (undyed)</t>
    <phoneticPr fontId="2"/>
  </si>
  <si>
    <t>YDT-8403/ Mill's Off White (undyed)</t>
    <phoneticPr fontId="2"/>
  </si>
  <si>
    <t>FWL-21186/ Mill's Off White (undyed)</t>
    <phoneticPr fontId="2"/>
  </si>
  <si>
    <t>FWL-3071/ Mill's Off White (undyed)</t>
    <phoneticPr fontId="2"/>
  </si>
  <si>
    <t>FWL-21170/ Mill's Off White (undyed)</t>
    <phoneticPr fontId="2"/>
  </si>
  <si>
    <t>FWL-22508/ Mill's Off White (undyed)</t>
    <phoneticPr fontId="2"/>
  </si>
  <si>
    <t>FWL-22526/ Mill's Off White (undyed)</t>
    <phoneticPr fontId="2"/>
  </si>
  <si>
    <t>FWL-21272/ Mill's Off White (undyed)</t>
    <phoneticPr fontId="2"/>
  </si>
  <si>
    <t>FWL-2983/ Mill's Off White (undyed)</t>
    <phoneticPr fontId="2"/>
  </si>
  <si>
    <t>FWL-21623/ Mill's Off White (undyed)</t>
    <phoneticPr fontId="2"/>
  </si>
  <si>
    <t>FWL-2559/ Mill's Off White (undyed)</t>
    <phoneticPr fontId="2"/>
  </si>
  <si>
    <t>FWL-2333/ Mill's Off White (undyed)</t>
    <phoneticPr fontId="2"/>
  </si>
  <si>
    <t>FWL-23615/ Mill's Off White (undyed)</t>
    <phoneticPr fontId="2"/>
  </si>
  <si>
    <t>FWL-23639/ Mill's Off White (undyed)</t>
    <phoneticPr fontId="2"/>
  </si>
  <si>
    <t>FWL-23341/ Mill's Off White (undyed)</t>
    <phoneticPr fontId="2"/>
  </si>
  <si>
    <t>FWL-21756/ Mill's Off White (undyed)</t>
    <phoneticPr fontId="2"/>
  </si>
  <si>
    <t>FWL-21738/ Mill's Off White (undyed)</t>
    <phoneticPr fontId="2"/>
  </si>
  <si>
    <t>FWL-21751/ Mill's Off White (undyed)</t>
    <phoneticPr fontId="2"/>
  </si>
  <si>
    <t>FWL-21742/ Mill's Off White (undyed)</t>
    <phoneticPr fontId="2"/>
  </si>
  <si>
    <t>FWL-21734/ Mill's Off White (undyed)</t>
    <phoneticPr fontId="2"/>
  </si>
  <si>
    <t>FWL-21737/ Mill's Off White (undyed)</t>
    <phoneticPr fontId="2"/>
  </si>
  <si>
    <t>FWL-22529/ Mill's Off White (undyed)</t>
    <phoneticPr fontId="2"/>
  </si>
  <si>
    <t>FWL-22510/ Mill's Off White (undyed)</t>
    <phoneticPr fontId="2"/>
  </si>
  <si>
    <t>FWL-22531/ Mill's Off White (undyed)</t>
    <phoneticPr fontId="2"/>
  </si>
  <si>
    <t>FWL-22538/ Mill's Off White (undyed)</t>
    <phoneticPr fontId="2"/>
  </si>
  <si>
    <t>FWL-24452/ Mill's Off White (undyed)</t>
    <phoneticPr fontId="2"/>
  </si>
  <si>
    <t>FWL-24425/ Mill's Off White (undyed)</t>
    <phoneticPr fontId="2"/>
  </si>
  <si>
    <t>FWL-24422/ Mill's Off White (undyed)</t>
    <phoneticPr fontId="2"/>
  </si>
  <si>
    <t>FWL-24455/ Mill's Off White (undyed)</t>
    <phoneticPr fontId="2"/>
  </si>
  <si>
    <t>Simkhai  20240730</t>
    <phoneticPr fontId="2"/>
  </si>
  <si>
    <t>KYL-1620 / Custom color</t>
    <phoneticPr fontId="2"/>
  </si>
  <si>
    <t>301m /col (abt 50m x 6 rolls)</t>
    <phoneticPr fontId="2"/>
  </si>
  <si>
    <t>KYL-1620 / Mill's Off White</t>
    <phoneticPr fontId="2"/>
  </si>
  <si>
    <t>DOEN 20240731</t>
    <phoneticPr fontId="2"/>
  </si>
  <si>
    <r>
      <rPr>
        <sz val="9.5"/>
        <rFont val="PMingLiU-ExtB"/>
        <family val="1"/>
      </rPr>
      <t>ZMG0273</t>
    </r>
  </si>
  <si>
    <r>
      <rPr>
        <sz val="9.5"/>
        <rFont val="PMingLiU-ExtB"/>
        <family val="1"/>
      </rPr>
      <t>A1611</t>
    </r>
  </si>
  <si>
    <r>
      <rPr>
        <sz val="9.5"/>
        <rFont val="PMingLiU-ExtB"/>
        <family val="1"/>
      </rPr>
      <t>ZMG0431</t>
    </r>
  </si>
  <si>
    <r>
      <rPr>
        <b/>
        <i/>
        <sz val="8"/>
        <rFont val="Times New Roman"/>
        <family val="1"/>
      </rPr>
      <t xml:space="preserve">FOB  Thailand or China </t>
    </r>
    <r>
      <rPr>
        <sz val="8"/>
        <rFont val="PMingLiU-ExtB"/>
        <family val="1"/>
      </rPr>
      <t>PRICE PER</t>
    </r>
    <r>
      <rPr>
        <u/>
        <sz val="8"/>
        <rFont val="PMingLiU-ExtB"/>
        <family val="1"/>
      </rPr>
      <t> METER</t>
    </r>
    <r>
      <rPr>
        <sz val="8"/>
        <rFont val="PMingLiU-ExtB"/>
        <family val="1"/>
      </rPr>
      <t xml:space="preserve"> OR </t>
    </r>
    <r>
      <rPr>
        <u/>
        <sz val="8"/>
        <rFont val="PMingLiU-ExtB"/>
        <family val="1"/>
      </rPr>
      <t>PIECE</t>
    </r>
    <r>
      <rPr>
        <sz val="8"/>
        <rFont val="PMingLiU-ExtB"/>
        <family val="1"/>
      </rPr>
      <t xml:space="preserve"> IN</t>
    </r>
    <r>
      <rPr>
        <b/>
        <u/>
        <sz val="8"/>
        <rFont val="ＭＳ Ｐゴシック"/>
        <family val="1"/>
        <charset val="128"/>
      </rPr>
      <t> </t>
    </r>
    <r>
      <rPr>
        <b/>
        <u/>
        <sz val="8"/>
        <rFont val="Times New Roman"/>
        <family val="1"/>
      </rPr>
      <t>USD</t>
    </r>
    <phoneticPr fontId="2"/>
  </si>
  <si>
    <r>
      <t>AX212</t>
    </r>
    <r>
      <rPr>
        <sz val="9.5"/>
        <color rgb="FFFF0000"/>
        <rFont val="游ゴシック"/>
        <family val="1"/>
        <charset val="128"/>
      </rPr>
      <t>(←A187）</t>
    </r>
    <phoneticPr fontId="2"/>
  </si>
  <si>
    <t>10-8350</t>
  </si>
  <si>
    <t>8-5100</t>
  </si>
  <si>
    <t>NY-10</t>
  </si>
  <si>
    <t>701-10</t>
  </si>
  <si>
    <t>CM902-12</t>
  </si>
  <si>
    <t>OBP-10</t>
  </si>
  <si>
    <t>12-6034</t>
  </si>
  <si>
    <t>13-71S</t>
  </si>
  <si>
    <t>LN-9D</t>
  </si>
  <si>
    <t>SK-10</t>
  </si>
  <si>
    <t>SL-9</t>
  </si>
  <si>
    <t>LSD-10</t>
  </si>
  <si>
    <t>10-Y030</t>
  </si>
  <si>
    <t>10-TR040</t>
  </si>
  <si>
    <t>560-10</t>
  </si>
  <si>
    <t>9-R7097</t>
  </si>
  <si>
    <t>139-9</t>
  </si>
  <si>
    <t>NT-12</t>
  </si>
  <si>
    <t>FCD-11Y</t>
  </si>
  <si>
    <t>10-A044</t>
  </si>
  <si>
    <t>13-R802</t>
  </si>
  <si>
    <t>13-R305A</t>
  </si>
  <si>
    <t>16-R23</t>
  </si>
  <si>
    <t>15-R1545</t>
  </si>
  <si>
    <t>18-R005</t>
  </si>
  <si>
    <t>PK2-15</t>
  </si>
  <si>
    <t>品番</t>
    <rPh sb="0" eb="2">
      <t>ヒンバン</t>
    </rPh>
    <phoneticPr fontId="2"/>
  </si>
  <si>
    <t>現在庫</t>
    <rPh sb="0" eb="1">
      <t>ゲン</t>
    </rPh>
    <rPh sb="1" eb="3">
      <t>ザイコ</t>
    </rPh>
    <phoneticPr fontId="2"/>
  </si>
  <si>
    <t>3644-9</t>
    <phoneticPr fontId="2"/>
  </si>
  <si>
    <t>3657-10</t>
    <phoneticPr fontId="2"/>
  </si>
  <si>
    <t>10-910</t>
    <phoneticPr fontId="2"/>
  </si>
  <si>
    <t>#28 Hanger</t>
  </si>
  <si>
    <t>Motif</t>
  </si>
  <si>
    <t>ZET5912</t>
  </si>
  <si>
    <t>ZH89651</t>
  </si>
  <si>
    <t>ZET5742</t>
  </si>
  <si>
    <t>ZH89541</t>
  </si>
  <si>
    <t>ZET5982</t>
  </si>
  <si>
    <t>ZH89261</t>
  </si>
  <si>
    <t>ZEK0232</t>
  </si>
  <si>
    <t>ZH89281</t>
  </si>
  <si>
    <t>ZMT3943</t>
  </si>
  <si>
    <t>ZH89301</t>
  </si>
  <si>
    <t>ZMT3883</t>
  </si>
  <si>
    <t>ZH89381</t>
  </si>
  <si>
    <t>ZMG0982</t>
  </si>
  <si>
    <t>ZH89291</t>
  </si>
  <si>
    <t>ZMG0983</t>
  </si>
  <si>
    <t>ZH89431</t>
  </si>
  <si>
    <t>ZET5802</t>
  </si>
  <si>
    <t>ZH89571</t>
  </si>
  <si>
    <t>ZET5892</t>
  </si>
  <si>
    <t>ZH89471</t>
  </si>
  <si>
    <t>ZET4024</t>
  </si>
  <si>
    <t>ZH89401</t>
  </si>
  <si>
    <t>ZET1731</t>
  </si>
  <si>
    <t>ZH89781</t>
  </si>
  <si>
    <t>ZEG2781</t>
  </si>
  <si>
    <t>ZH89881</t>
  </si>
  <si>
    <t>ZEG2772</t>
  </si>
  <si>
    <t>ZH89791</t>
  </si>
  <si>
    <t>ZET6202</t>
  </si>
  <si>
    <t>ZH89891</t>
  </si>
  <si>
    <t>ZE14634</t>
  </si>
  <si>
    <t>ZH89871</t>
  </si>
  <si>
    <t>ZET6212</t>
  </si>
  <si>
    <t>ZH89831</t>
  </si>
  <si>
    <t>ZEG2762</t>
  </si>
  <si>
    <t>ZH89751</t>
  </si>
  <si>
    <t>ZET6192</t>
  </si>
  <si>
    <t>ZH89771</t>
  </si>
  <si>
    <t>ZET6242</t>
  </si>
  <si>
    <t>ZH89731</t>
  </si>
  <si>
    <t>ZET0814</t>
  </si>
  <si>
    <t>ZH89851</t>
  </si>
  <si>
    <t>ZET3603</t>
  </si>
  <si>
    <t>ZH89941</t>
  </si>
  <si>
    <t>ZET4235</t>
  </si>
  <si>
    <t>ZH89951</t>
  </si>
  <si>
    <t>ZET2894</t>
  </si>
  <si>
    <t>ZH89901</t>
  </si>
  <si>
    <t>ZET4175</t>
  </si>
  <si>
    <t>ZH89861</t>
  </si>
  <si>
    <t>ZET1566</t>
  </si>
  <si>
    <t>ZH89821</t>
  </si>
  <si>
    <t>ZET5913</t>
  </si>
  <si>
    <t>ZH8A011</t>
  </si>
  <si>
    <t>ZET5983</t>
  </si>
  <si>
    <t>ZH89981</t>
  </si>
  <si>
    <t>ZET6032</t>
  </si>
  <si>
    <t>ZH8A061</t>
  </si>
  <si>
    <t>ZET6142</t>
  </si>
  <si>
    <t>ZH89991</t>
  </si>
  <si>
    <t>ZH8A081</t>
  </si>
  <si>
    <t>ZH89911</t>
  </si>
  <si>
    <t>ZH8A051</t>
  </si>
  <si>
    <t>ZH89971</t>
  </si>
  <si>
    <t>ZH89811</t>
  </si>
  <si>
    <t>ZH89921</t>
  </si>
  <si>
    <t>ZH89461</t>
  </si>
  <si>
    <t>ZH89371</t>
  </si>
  <si>
    <t>ZH89411</t>
  </si>
  <si>
    <t>ZH89451</t>
  </si>
  <si>
    <t>ZH89251</t>
  </si>
  <si>
    <t>ZH89611</t>
  </si>
  <si>
    <t>ZH89601</t>
  </si>
  <si>
    <t>ZH89581</t>
  </si>
  <si>
    <t>ZH89621</t>
  </si>
  <si>
    <t>ZH89591</t>
  </si>
  <si>
    <t>New Corded Lace Pattern</t>
  </si>
  <si>
    <t>W221101</t>
  </si>
  <si>
    <t>W207101</t>
  </si>
  <si>
    <t>W188101</t>
  </si>
  <si>
    <t>W192101</t>
  </si>
  <si>
    <t>W220101</t>
  </si>
  <si>
    <t>Hanger in SF Osaka</t>
    <phoneticPr fontId="2"/>
  </si>
  <si>
    <t>swatch in SF Osaka</t>
    <phoneticPr fontId="2"/>
  </si>
  <si>
    <t xml:space="preserve">BBPLY  080124 </t>
    <phoneticPr fontId="2"/>
  </si>
  <si>
    <t>Charge</t>
    <phoneticPr fontId="2"/>
  </si>
  <si>
    <t>SF-8602</t>
    <phoneticPr fontId="2"/>
  </si>
  <si>
    <t>LA FASHION BRANS GROUP INC.</t>
    <phoneticPr fontId="2"/>
  </si>
  <si>
    <t>Leavers Lace 100% Nylon</t>
    <phoneticPr fontId="2"/>
  </si>
  <si>
    <t>ZMT1791</t>
    <phoneticPr fontId="2"/>
  </si>
  <si>
    <t>DTM SALT (11-4201)</t>
    <phoneticPr fontId="2"/>
  </si>
  <si>
    <r>
      <t>SHENZHEN WCX GARMENT CO.</t>
    </r>
    <r>
      <rPr>
        <sz val="12"/>
        <rFont val="游ゴシック"/>
        <family val="2"/>
        <charset val="128"/>
      </rPr>
      <t>，</t>
    </r>
    <r>
      <rPr>
        <sz val="12"/>
        <rFont val="Arial"/>
        <family val="2"/>
      </rPr>
      <t>LTD.(DOEN)</t>
    </r>
    <phoneticPr fontId="2"/>
  </si>
  <si>
    <t>ZH88221</t>
    <phoneticPr fontId="2"/>
  </si>
  <si>
    <t>ZH89571</t>
    <phoneticPr fontId="2"/>
  </si>
  <si>
    <t>DTM 13-1008TCX / 14-0751TCX</t>
    <phoneticPr fontId="2"/>
  </si>
  <si>
    <t>(per pieces)</t>
    <phoneticPr fontId="2"/>
  </si>
  <si>
    <r>
      <t>Y2024717-12</t>
    </r>
    <r>
      <rPr>
        <sz val="12"/>
        <color rgb="FF0070C0"/>
        <rFont val="Arial"/>
        <family val="2"/>
      </rPr>
      <t xml:space="preserve"> ship to HK</t>
    </r>
    <phoneticPr fontId="2"/>
  </si>
  <si>
    <t>Greige in stock</t>
    <phoneticPr fontId="2"/>
  </si>
  <si>
    <t>No Greige, Early Aug</t>
    <phoneticPr fontId="2"/>
  </si>
  <si>
    <t>Price per pc / pair</t>
    <phoneticPr fontId="2"/>
  </si>
  <si>
    <r>
      <t>DTM 13-1008TCX / 14-0751TCX</t>
    </r>
    <r>
      <rPr>
        <sz val="10"/>
        <color rgb="FF0070C0"/>
        <rFont val="Arial"/>
        <family val="2"/>
      </rPr>
      <t xml:space="preserve"> (L/D submitted)</t>
    </r>
    <phoneticPr fontId="2"/>
  </si>
  <si>
    <t>Mid Aug</t>
    <phoneticPr fontId="2"/>
  </si>
  <si>
    <t>XC20240805001</t>
    <phoneticPr fontId="2"/>
  </si>
  <si>
    <t>Rodarte 20240806</t>
    <phoneticPr fontId="2"/>
  </si>
  <si>
    <t>SG-9063 / Mill's Off White (undyed)</t>
    <phoneticPr fontId="2"/>
  </si>
  <si>
    <t>Art No. / Color</t>
    <phoneticPr fontId="2"/>
  </si>
  <si>
    <t>abt 19.8m/roll</t>
    <phoneticPr fontId="2"/>
  </si>
  <si>
    <r>
      <t xml:space="preserve">SG-9063 / Custom color based on </t>
    </r>
    <r>
      <rPr>
        <b/>
        <sz val="10"/>
        <rFont val="Arial"/>
        <family val="2"/>
      </rPr>
      <t>1 roll / col</t>
    </r>
    <phoneticPr fontId="2"/>
  </si>
  <si>
    <r>
      <t xml:space="preserve">SG-9063 / Custom color based on </t>
    </r>
    <r>
      <rPr>
        <b/>
        <sz val="10"/>
        <rFont val="Arial"/>
        <family val="2"/>
      </rPr>
      <t>2 rolls / col</t>
    </r>
    <phoneticPr fontId="2"/>
  </si>
  <si>
    <r>
      <t>SG-9063 / Custom color based on</t>
    </r>
    <r>
      <rPr>
        <b/>
        <sz val="10"/>
        <rFont val="Arial"/>
        <family val="2"/>
      </rPr>
      <t xml:space="preserve"> 3 rolls / col</t>
    </r>
    <phoneticPr fontId="2"/>
  </si>
  <si>
    <r>
      <t>SG-9063 / Custom color based on</t>
    </r>
    <r>
      <rPr>
        <b/>
        <sz val="10"/>
        <rFont val="Arial"/>
        <family val="2"/>
      </rPr>
      <t xml:space="preserve"> 4 - 6 rolls / col</t>
    </r>
    <phoneticPr fontId="2"/>
  </si>
  <si>
    <r>
      <t xml:space="preserve">SF-SU25-001(August 7, 2024) </t>
    </r>
    <r>
      <rPr>
        <sz val="12"/>
        <color rgb="FF0070C0"/>
        <rFont val="Arial"/>
        <family val="2"/>
      </rPr>
      <t>ship to Chinamine</t>
    </r>
    <phoneticPr fontId="2"/>
  </si>
  <si>
    <t>YDT-13595</t>
    <phoneticPr fontId="2"/>
  </si>
  <si>
    <t>216-002(August 8, 2024) ship to China</t>
    <phoneticPr fontId="2"/>
  </si>
  <si>
    <t>216-001(July 31,2024) ship to China</t>
    <phoneticPr fontId="2"/>
  </si>
  <si>
    <t>DTM WILD HONEYSUCKLE (13-0822)</t>
    <phoneticPr fontId="2"/>
  </si>
  <si>
    <t>End Aug</t>
    <phoneticPr fontId="2"/>
  </si>
  <si>
    <t xml:space="preserve"> Color</t>
    <phoneticPr fontId="2"/>
  </si>
  <si>
    <t>Qty</t>
    <phoneticPr fontId="2"/>
  </si>
  <si>
    <t>Estimate shipping date</t>
    <phoneticPr fontId="2"/>
  </si>
  <si>
    <t xml:space="preserve">14-16 August </t>
    <phoneticPr fontId="2"/>
  </si>
  <si>
    <t>BBPLY 080624</t>
    <phoneticPr fontId="2"/>
  </si>
  <si>
    <t>??</t>
    <phoneticPr fontId="2"/>
  </si>
  <si>
    <t>-</t>
    <phoneticPr fontId="2"/>
  </si>
  <si>
    <t>FWL-71286 / Custom color including Black</t>
    <phoneticPr fontId="2"/>
  </si>
  <si>
    <t>FWL-71286 / Mill's Off White (undyed)</t>
    <phoneticPr fontId="2"/>
  </si>
  <si>
    <t>FWL-71090 / Mill's Off White (undyed)</t>
    <phoneticPr fontId="2"/>
  </si>
  <si>
    <t>FWL-71090 / Custom color including Black</t>
    <phoneticPr fontId="2"/>
  </si>
  <si>
    <t>US$ 75/col</t>
    <phoneticPr fontId="2"/>
  </si>
  <si>
    <t>染色小口代 7,000円</t>
    <rPh sb="0" eb="2">
      <t>センショク</t>
    </rPh>
    <rPh sb="2" eb="4">
      <t>コグチ</t>
    </rPh>
    <rPh sb="4" eb="5">
      <t>ダイ</t>
    </rPh>
    <rPh sb="11" eb="12">
      <t>エン</t>
    </rPh>
    <phoneticPr fontId="2"/>
  </si>
  <si>
    <t>Grosgrain Stretch Ribbon   Polyester-80%/Polyurethane-20%</t>
    <phoneticPr fontId="2"/>
  </si>
  <si>
    <t>XC20240814003</t>
    <phoneticPr fontId="2"/>
  </si>
  <si>
    <t>SIC-EB007</t>
  </si>
  <si>
    <t>9MMX9MM</t>
  </si>
  <si>
    <t>9MM</t>
  </si>
  <si>
    <t>SIC-EB007</t>
    <phoneticPr fontId="2"/>
  </si>
  <si>
    <t xml:space="preserve">20240816 Monique </t>
    <phoneticPr fontId="2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</si>
  <si>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Arial  "/>
        <family val="2"/>
        <charset val="128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2"/>
  </si>
  <si>
    <t>色番</t>
    <rPh sb="0" eb="2">
      <t>イロバン</t>
    </rPh>
    <phoneticPr fontId="2"/>
  </si>
  <si>
    <t>仕立て</t>
    <rPh sb="0" eb="2">
      <t>シタ</t>
    </rPh>
    <phoneticPr fontId="2"/>
  </si>
  <si>
    <t>反数</t>
    <rPh sb="0" eb="1">
      <t>タン</t>
    </rPh>
    <rPh sb="1" eb="2">
      <t>スウ</t>
    </rPh>
    <phoneticPr fontId="2"/>
  </si>
  <si>
    <t>数量</t>
    <rPh sb="0" eb="2">
      <t>スウリョウ</t>
    </rPh>
    <phoneticPr fontId="2"/>
  </si>
  <si>
    <t>単価/m (円/m)</t>
    <rPh sb="0" eb="2">
      <t>タンカ</t>
    </rPh>
    <rPh sb="6" eb="7">
      <t>エン</t>
    </rPh>
    <phoneticPr fontId="2"/>
  </si>
  <si>
    <r>
      <t>BLACK(19-4007TCX)</t>
    </r>
    <r>
      <rPr>
        <sz val="10"/>
        <color rgb="FF0070C0"/>
        <rFont val="ＭＳ Ｐゴシック"/>
        <family val="2"/>
        <charset val="128"/>
      </rPr>
      <t>→</t>
    </r>
    <r>
      <rPr>
        <sz val="10"/>
        <color rgb="FF0070C0"/>
        <rFont val="Arial  "/>
        <family val="2"/>
      </rPr>
      <t>Col. 50</t>
    </r>
    <phoneticPr fontId="2"/>
  </si>
  <si>
    <r>
      <t xml:space="preserve">WHITE(11-0701TCX) </t>
    </r>
    <r>
      <rPr>
        <sz val="10"/>
        <color rgb="FF0070C0"/>
        <rFont val="Arial  "/>
        <family val="2"/>
      </rPr>
      <t xml:space="preserve">→Col. 135  </t>
    </r>
    <r>
      <rPr>
        <sz val="10"/>
        <rFont val="Arial  "/>
        <family val="2"/>
      </rPr>
      <t xml:space="preserve">                              </t>
    </r>
    <phoneticPr fontId="2"/>
  </si>
  <si>
    <r>
      <t>IVORY(11-4300TCX)</t>
    </r>
    <r>
      <rPr>
        <sz val="10"/>
        <color rgb="FF0070C0"/>
        <rFont val="Arial  "/>
        <family val="2"/>
      </rPr>
      <t xml:space="preserve">→Col. 00 </t>
    </r>
    <r>
      <rPr>
        <sz val="10"/>
        <rFont val="Arial  "/>
        <family val="2"/>
      </rPr>
      <t xml:space="preserve">        </t>
    </r>
    <phoneticPr fontId="2"/>
  </si>
  <si>
    <r>
      <t>VINE(16-0213TCX)</t>
    </r>
    <r>
      <rPr>
        <sz val="10"/>
        <color rgb="FF0070C0"/>
        <rFont val="Arial  "/>
        <family val="2"/>
      </rPr>
      <t xml:space="preserve">→Col. 27  </t>
    </r>
    <r>
      <rPr>
        <sz val="10"/>
        <rFont val="Arial  "/>
        <family val="2"/>
      </rPr>
      <t xml:space="preserve">    </t>
    </r>
    <phoneticPr fontId="2"/>
  </si>
  <si>
    <r>
      <t>BLACK(19-4007TCX)</t>
    </r>
    <r>
      <rPr>
        <sz val="10"/>
        <color rgb="FF0070C0"/>
        <rFont val="Arial  "/>
        <family val="2"/>
      </rPr>
      <t>→Col. 50</t>
    </r>
    <phoneticPr fontId="2"/>
  </si>
  <si>
    <r>
      <t>WHITE(11-0701TCX)</t>
    </r>
    <r>
      <rPr>
        <sz val="10"/>
        <color rgb="FF0070C0"/>
        <rFont val="Arial  "/>
        <family val="2"/>
      </rPr>
      <t xml:space="preserve">→Col. 135 </t>
    </r>
    <phoneticPr fontId="2"/>
  </si>
  <si>
    <r>
      <t xml:space="preserve">WHITE(11-0701TCX) </t>
    </r>
    <r>
      <rPr>
        <sz val="10"/>
        <color rgb="FF0070C0"/>
        <rFont val="Arial  "/>
        <family val="2"/>
      </rPr>
      <t>→Col. 135 ? TBC</t>
    </r>
    <r>
      <rPr>
        <sz val="10"/>
        <rFont val="Arial  "/>
        <family val="2"/>
      </rPr>
      <t xml:space="preserve">                      </t>
    </r>
    <phoneticPr fontId="2"/>
  </si>
  <si>
    <r>
      <t>IVORY(11-4300TCX)</t>
    </r>
    <r>
      <rPr>
        <sz val="10"/>
        <color rgb="FF0070C0"/>
        <rFont val="Arial  "/>
        <family val="2"/>
      </rPr>
      <t xml:space="preserve">→Col. 00 ? TBC         </t>
    </r>
    <r>
      <rPr>
        <sz val="10"/>
        <rFont val="Arial  "/>
        <family val="2"/>
      </rPr>
      <t xml:space="preserve"> </t>
    </r>
    <phoneticPr fontId="2"/>
  </si>
  <si>
    <r>
      <t>VINE(16-0213TCX)</t>
    </r>
    <r>
      <rPr>
        <sz val="10"/>
        <color rgb="FF0070C0"/>
        <rFont val="Arial  "/>
        <family val="2"/>
      </rPr>
      <t xml:space="preserve">→Col. 27 ? TBC   </t>
    </r>
    <r>
      <rPr>
        <sz val="10"/>
        <rFont val="Arial  "/>
        <family val="2"/>
      </rPr>
      <t xml:space="preserve">  </t>
    </r>
    <phoneticPr fontId="2"/>
  </si>
  <si>
    <r>
      <t>WHITE(11-0701TCX)</t>
    </r>
    <r>
      <rPr>
        <sz val="10"/>
        <color rgb="FF0070C0"/>
        <rFont val="Arial  "/>
        <family val="2"/>
      </rPr>
      <t xml:space="preserve">→Col. 135  ? TBC  </t>
    </r>
    <phoneticPr fontId="2"/>
  </si>
  <si>
    <t>Color</t>
    <phoneticPr fontId="2"/>
  </si>
  <si>
    <t>FWL-71286</t>
    <phoneticPr fontId="2"/>
  </si>
  <si>
    <t>300m</t>
    <phoneticPr fontId="2"/>
  </si>
  <si>
    <t>Camberley (DOEN) 20240819</t>
    <phoneticPr fontId="2"/>
  </si>
  <si>
    <t>クーリエ運賃：約 3,000円 + 3000円 = 6000円÷120÷300m = + USD 0.17/m →CIF HK</t>
    <rPh sb="4" eb="6">
      <t>ウンチン</t>
    </rPh>
    <rPh sb="7" eb="8">
      <t>ヤク</t>
    </rPh>
    <rPh sb="14" eb="15">
      <t>エン</t>
    </rPh>
    <rPh sb="22" eb="23">
      <t>エン</t>
    </rPh>
    <rPh sb="30" eb="31">
      <t>エン</t>
    </rPh>
    <phoneticPr fontId="2"/>
  </si>
  <si>
    <t>Mill's Black (piece dye)</t>
    <phoneticPr fontId="2"/>
  </si>
  <si>
    <t xml:space="preserve"># 60 Black  </t>
    <phoneticPr fontId="2"/>
  </si>
  <si>
    <t>CIF HK</t>
    <phoneticPr fontId="2"/>
  </si>
  <si>
    <t>CIF HK /m</t>
    <phoneticPr fontId="2"/>
  </si>
  <si>
    <t>??</t>
    <phoneticPr fontId="2"/>
  </si>
  <si>
    <t>Camberley Enterprises Ltd (DOEN)</t>
    <phoneticPr fontId="2"/>
  </si>
  <si>
    <t xml:space="preserve">International courier fee </t>
    <phoneticPr fontId="2"/>
  </si>
  <si>
    <t>CE-20240822</t>
    <phoneticPr fontId="2"/>
  </si>
  <si>
    <t>Rodarte 240822</t>
    <phoneticPr fontId="2"/>
  </si>
  <si>
    <t>SAG-7570</t>
    <phoneticPr fontId="2"/>
  </si>
  <si>
    <t>MOQ for Mill's Standard color</t>
    <phoneticPr fontId="2"/>
  </si>
  <si>
    <t>1 roll/col</t>
    <phoneticPr fontId="2"/>
  </si>
  <si>
    <t>現単価</t>
    <rPh sb="0" eb="3">
      <t>ゲンタンカ</t>
    </rPh>
    <phoneticPr fontId="2"/>
  </si>
  <si>
    <t>2025AW企画分より適用</t>
    <rPh sb="6" eb="8">
      <t>キカク</t>
    </rPh>
    <rPh sb="8" eb="9">
      <t>ブン</t>
    </rPh>
    <rPh sb="11" eb="13">
      <t>テキヨウ</t>
    </rPh>
    <phoneticPr fontId="2"/>
  </si>
  <si>
    <t>Current price</t>
    <phoneticPr fontId="2"/>
  </si>
  <si>
    <t>Applicable from the next order</t>
    <phoneticPr fontId="2"/>
  </si>
  <si>
    <t>AM-EO8/22/24</t>
    <phoneticPr fontId="2"/>
  </si>
  <si>
    <t>#52</t>
  </si>
  <si>
    <t>#62</t>
  </si>
  <si>
    <t>#45</t>
  </si>
  <si>
    <t>#56</t>
  </si>
  <si>
    <t>#57</t>
  </si>
  <si>
    <t>#OF</t>
    <phoneticPr fontId="2"/>
  </si>
  <si>
    <r>
      <t xml:space="preserve">230759 </t>
    </r>
    <r>
      <rPr>
        <sz val="12"/>
        <color rgb="FF0070C0"/>
        <rFont val="Arial"/>
        <family val="2"/>
      </rPr>
      <t>LA</t>
    </r>
    <phoneticPr fontId="2"/>
  </si>
  <si>
    <t># 68 Bellini</t>
    <phoneticPr fontId="2"/>
  </si>
  <si>
    <t># 9 Black</t>
    <phoneticPr fontId="2"/>
  </si>
  <si>
    <t># 2 Coral</t>
    <phoneticPr fontId="2"/>
  </si>
  <si>
    <t># 120 Grass</t>
    <phoneticPr fontId="2"/>
  </si>
  <si>
    <t># 132 Hibiscus</t>
    <phoneticPr fontId="2"/>
  </si>
  <si>
    <t># 26 Lapis</t>
    <phoneticPr fontId="2"/>
  </si>
  <si>
    <t># 73 Limoncello</t>
    <phoneticPr fontId="2"/>
  </si>
  <si>
    <t># 69 Powder Blue</t>
    <phoneticPr fontId="2"/>
  </si>
  <si>
    <t># 533 Rosè</t>
    <phoneticPr fontId="2"/>
  </si>
  <si>
    <t># 513 Sky Blue</t>
    <phoneticPr fontId="2"/>
  </si>
  <si>
    <r>
      <t>N2040</t>
    </r>
    <r>
      <rPr>
        <sz val="12"/>
        <color theme="9" tint="-0.249977111117893"/>
        <rFont val="ＭＳ Ｐゴシック"/>
        <family val="3"/>
        <charset val="128"/>
      </rPr>
      <t>（</t>
    </r>
    <r>
      <rPr>
        <sz val="12"/>
        <color theme="9" tint="-0.249977111117893"/>
        <rFont val="Arial"/>
        <family val="2"/>
      </rPr>
      <t>2440WIDE</t>
    </r>
    <r>
      <rPr>
        <sz val="12"/>
        <color theme="9" tint="-0.249977111117893"/>
        <rFont val="ＭＳ Ｐゴシック"/>
        <family val="3"/>
        <charset val="128"/>
      </rPr>
      <t>）</t>
    </r>
  </si>
  <si>
    <r>
      <t xml:space="preserve">230759 </t>
    </r>
    <r>
      <rPr>
        <sz val="10"/>
        <color rgb="FF0070C0"/>
        <rFont val="Arial"/>
        <family val="2"/>
      </rPr>
      <t>ship to LA</t>
    </r>
    <phoneticPr fontId="2"/>
  </si>
  <si>
    <t xml:space="preserve">PO# </t>
    <phoneticPr fontId="2"/>
  </si>
  <si>
    <t>Early October</t>
    <phoneticPr fontId="2"/>
  </si>
  <si>
    <t>End of Septeber</t>
    <phoneticPr fontId="2"/>
  </si>
  <si>
    <t>Early Oct</t>
    <phoneticPr fontId="2"/>
  </si>
  <si>
    <r>
      <rPr>
        <sz val="10"/>
        <rFont val="ＭＳ Ｐゴシック"/>
        <family val="3"/>
        <charset val="128"/>
      </rPr>
      <t>ビーカー代：</t>
    </r>
    <r>
      <rPr>
        <sz val="10"/>
        <rFont val="Arial"/>
        <family val="2"/>
      </rPr>
      <t xml:space="preserve"> 6000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US$ 65/col</t>
    </r>
    <rPh sb="4" eb="5">
      <t>ダイ</t>
    </rPh>
    <rPh sb="11" eb="12">
      <t>エン</t>
    </rPh>
    <phoneticPr fontId="2"/>
  </si>
  <si>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20% / 120</t>
    </r>
    <r>
      <rPr>
        <sz val="10"/>
        <rFont val="ＭＳ Ｐゴシック"/>
        <family val="3"/>
        <charset val="128"/>
      </rPr>
      <t>円</t>
    </r>
    <rPh sb="10" eb="11">
      <t>エン</t>
    </rPh>
    <phoneticPr fontId="2"/>
  </si>
  <si>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10% / 120</t>
    </r>
    <r>
      <rPr>
        <sz val="10"/>
        <rFont val="ＭＳ Ｐゴシック"/>
        <family val="3"/>
        <charset val="128"/>
      </rPr>
      <t>円</t>
    </r>
    <rPh sb="10" eb="11">
      <t>エン</t>
    </rPh>
    <phoneticPr fontId="2"/>
  </si>
  <si>
    <r>
      <rPr>
        <sz val="10"/>
        <rFont val="ＭＳ Ｐゴシック"/>
        <family val="3"/>
        <charset val="128"/>
      </rPr>
      <t>別注染色代：</t>
    </r>
    <r>
      <rPr>
        <sz val="10"/>
        <rFont val="Arial"/>
        <family val="2"/>
      </rPr>
      <t xml:space="preserve"> 27000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 xml:space="preserve"> US$ 250/col</t>
    </r>
    <rPh sb="0" eb="2">
      <t>ベッチュウ</t>
    </rPh>
    <rPh sb="2" eb="4">
      <t>センショク</t>
    </rPh>
    <rPh sb="4" eb="5">
      <t>ダイ</t>
    </rPh>
    <rPh sb="12" eb="13">
      <t>エン</t>
    </rPh>
    <phoneticPr fontId="2"/>
  </si>
  <si>
    <t>バルク特価1220+カット代</t>
    <rPh sb="3" eb="5">
      <t>トッカ</t>
    </rPh>
    <rPh sb="13" eb="14">
      <t>ダイ</t>
    </rPh>
    <phoneticPr fontId="2"/>
  </si>
  <si>
    <t>PS25-212</t>
    <phoneticPr fontId="2"/>
  </si>
  <si>
    <t>COL KW - WHITE</t>
    <phoneticPr fontId="2"/>
  </si>
  <si>
    <t>COL 9 - BLACK</t>
    <phoneticPr fontId="2"/>
  </si>
  <si>
    <t>COL 329 - OFF WHITE</t>
    <phoneticPr fontId="2"/>
  </si>
  <si>
    <t>COL Y625 - RED</t>
    <phoneticPr fontId="2"/>
  </si>
  <si>
    <t>COL 320 - BEIGE</t>
    <phoneticPr fontId="2"/>
  </si>
  <si>
    <t>HS-20240829</t>
    <phoneticPr fontId="2"/>
  </si>
  <si>
    <t>Poly yarn # Greige x Ribbon #135</t>
    <phoneticPr fontId="2"/>
  </si>
  <si>
    <t>ES-131</t>
    <phoneticPr fontId="2"/>
  </si>
  <si>
    <t>Monique 20240829</t>
    <phoneticPr fontId="2"/>
  </si>
  <si>
    <t>E3703</t>
    <phoneticPr fontId="2"/>
  </si>
  <si>
    <t>仕入 輸出単価</t>
    <rPh sb="0" eb="2">
      <t>シイレ</t>
    </rPh>
    <rPh sb="3" eb="5">
      <t>ユシュツ</t>
    </rPh>
    <rPh sb="5" eb="7">
      <t>タンカ</t>
    </rPh>
    <phoneticPr fontId="2"/>
  </si>
  <si>
    <t>Col. 66 VINE</t>
    <phoneticPr fontId="2"/>
  </si>
  <si>
    <t>Col. 50 Black</t>
    <phoneticPr fontId="2"/>
  </si>
  <si>
    <t>Col. 135 White</t>
    <phoneticPr fontId="2"/>
  </si>
  <si>
    <t>Col. 00 Ivory</t>
    <phoneticPr fontId="2"/>
  </si>
  <si>
    <t>PO9546</t>
    <phoneticPr fontId="2"/>
  </si>
  <si>
    <t>COL. 88</t>
    <phoneticPr fontId="2"/>
  </si>
  <si>
    <r>
      <t xml:space="preserve">230788 </t>
    </r>
    <r>
      <rPr>
        <sz val="12"/>
        <color rgb="FF0070C0"/>
        <rFont val="Arial"/>
        <family val="2"/>
      </rPr>
      <t>LA</t>
    </r>
    <phoneticPr fontId="2"/>
  </si>
  <si>
    <t>Recycled Polyester Petersham Ribbon   Recycled  Polyester-100%</t>
    <phoneticPr fontId="2"/>
  </si>
  <si>
    <r>
      <t xml:space="preserve">230787 </t>
    </r>
    <r>
      <rPr>
        <sz val="12"/>
        <color rgb="FF0070C0"/>
        <rFont val="Arial"/>
        <family val="2"/>
      </rPr>
      <t>LA</t>
    </r>
    <phoneticPr fontId="2"/>
  </si>
  <si>
    <t># 58 Dark Green</t>
    <phoneticPr fontId="2"/>
  </si>
  <si>
    <t>通常単価</t>
    <rPh sb="0" eb="4">
      <t>ツウジョウタンカ</t>
    </rPh>
    <phoneticPr fontId="2"/>
  </si>
  <si>
    <r>
      <t xml:space="preserve">230789 </t>
    </r>
    <r>
      <rPr>
        <sz val="12"/>
        <color rgb="FF0070C0"/>
        <rFont val="Arial"/>
        <family val="2"/>
      </rPr>
      <t>LA</t>
    </r>
    <phoneticPr fontId="2"/>
  </si>
  <si>
    <t># A1 Prosecco</t>
    <phoneticPr fontId="2"/>
  </si>
  <si>
    <t>ALC-240906</t>
    <phoneticPr fontId="2"/>
  </si>
  <si>
    <t>ALC</t>
    <phoneticPr fontId="2"/>
  </si>
  <si>
    <t>PFD(PREVENTATIVE YELLOWING PROCESS IS NOT DONE)</t>
    <phoneticPr fontId="2"/>
  </si>
  <si>
    <t>Greige: CHINA</t>
    <phoneticPr fontId="2"/>
  </si>
  <si>
    <t>FWL-92896 with ES131</t>
    <phoneticPr fontId="2"/>
  </si>
  <si>
    <r>
      <t>№92896(№24441</t>
    </r>
    <r>
      <rPr>
        <sz val="10"/>
        <rFont val="ＭＳ Ｐゴシック"/>
        <family val="3"/>
        <charset val="128"/>
      </rPr>
      <t>柄改</t>
    </r>
    <r>
      <rPr>
        <sz val="10"/>
        <rFont val="Arial"/>
        <family val="2"/>
      </rPr>
      <t>)</t>
    </r>
    <r>
      <rPr>
        <sz val="10"/>
        <rFont val="ＭＳ Ｐゴシック"/>
        <family val="3"/>
        <charset val="128"/>
      </rPr>
      <t>　＠</t>
    </r>
    <r>
      <rPr>
        <sz val="10"/>
        <rFont val="Arial"/>
        <family val="2"/>
      </rPr>
      <t>425/m</t>
    </r>
    <phoneticPr fontId="2"/>
  </si>
  <si>
    <t xml:space="preserve">
ミニマム：約 150 - 170m ( リボン200m巻き1反の仕上がり数量）
ミニマム未満の小口代：12,000円</t>
    <phoneticPr fontId="2"/>
  </si>
  <si>
    <t>Surcharge if below MOQ</t>
    <phoneticPr fontId="2"/>
  </si>
  <si>
    <t>US$ 165/art&amp;color&amp;order</t>
    <phoneticPr fontId="2"/>
  </si>
  <si>
    <t>→{(425x170m)+3600x2(リボンx2反分：半端数量が出ることを考えて）+2000（国内運賃)}÷150m=543
→小口代：12000+3600=15600円</t>
    <rPh sb="25" eb="26">
      <t>タン</t>
    </rPh>
    <rPh sb="26" eb="27">
      <t>ブン</t>
    </rPh>
    <rPh sb="28" eb="30">
      <t>ハンパ</t>
    </rPh>
    <rPh sb="30" eb="32">
      <t>スウリョウ</t>
    </rPh>
    <rPh sb="33" eb="34">
      <t>デ</t>
    </rPh>
    <rPh sb="38" eb="39">
      <t>カンガ</t>
    </rPh>
    <rPh sb="48" eb="50">
      <t>コクナイ</t>
    </rPh>
    <rPh sb="50" eb="52">
      <t>ウンチン</t>
    </rPh>
    <rPh sb="65" eb="67">
      <t>コグチ</t>
    </rPh>
    <rPh sb="67" eb="68">
      <t>ダイ</t>
    </rPh>
    <rPh sb="85" eb="86">
      <t>エン</t>
    </rPh>
    <phoneticPr fontId="2"/>
  </si>
  <si>
    <t>Based on Production MOQ : approx. 150-170m/art&amp;color&amp;order (*please accept the entire finished qty)</t>
    <phoneticPr fontId="2"/>
  </si>
  <si>
    <t>based on 50m</t>
    <phoneticPr fontId="2"/>
  </si>
  <si>
    <t>大阪負担</t>
    <rPh sb="0" eb="2">
      <t>オオサカ</t>
    </rPh>
    <rPh sb="2" eb="4">
      <t>フタン</t>
    </rPh>
    <phoneticPr fontId="2"/>
  </si>
  <si>
    <t>Lace Trim with Ribbon insertion 100% Polyester</t>
    <phoneticPr fontId="2"/>
  </si>
  <si>
    <t>Lace Trim with Ribbon insertion 100% Polyester / mock-up sample development fee</t>
    <phoneticPr fontId="2"/>
  </si>
  <si>
    <t>(per set)</t>
    <phoneticPr fontId="2"/>
  </si>
  <si>
    <t>Camberley (DOEN) 202400910</t>
    <phoneticPr fontId="2"/>
  </si>
  <si>
    <t>FWL-71552 / Mill's Off White (undyed)</t>
    <phoneticPr fontId="2"/>
  </si>
  <si>
    <t>クーリエ運賃：約 3,000円 + 3000円 = 6000円÷120÷200m = + USD 0.25/m →CIF HK</t>
    <rPh sb="4" eb="6">
      <t>ウンチン</t>
    </rPh>
    <rPh sb="7" eb="8">
      <t>ヤク</t>
    </rPh>
    <rPh sb="14" eb="15">
      <t>エン</t>
    </rPh>
    <rPh sb="22" eb="23">
      <t>エン</t>
    </rPh>
    <rPh sb="30" eb="31">
      <t>エン</t>
    </rPh>
    <phoneticPr fontId="2"/>
  </si>
  <si>
    <t xml:space="preserve">FWL-71552 / Custom color </t>
    <phoneticPr fontId="2"/>
  </si>
  <si>
    <t>2200</t>
    <phoneticPr fontId="272"/>
  </si>
  <si>
    <t xml:space="preserve">Double Faced Silk Satin Ribbon </t>
    <phoneticPr fontId="272"/>
  </si>
  <si>
    <t>Bemberg Grosgrain Ribbons</t>
  </si>
  <si>
    <t>12740</t>
    <phoneticPr fontId="2"/>
  </si>
  <si>
    <t>Metallic Velvet Ribbon</t>
    <phoneticPr fontId="2"/>
  </si>
  <si>
    <t>Sophia Kang 20240909</t>
    <phoneticPr fontId="2"/>
  </si>
  <si>
    <t>SK-240909</t>
    <phoneticPr fontId="2"/>
  </si>
  <si>
    <t>Sophia Kang</t>
    <phoneticPr fontId="2"/>
  </si>
  <si>
    <t># 3</t>
    <phoneticPr fontId="2"/>
  </si>
  <si>
    <t># 23</t>
    <phoneticPr fontId="2"/>
  </si>
  <si>
    <t># 79</t>
    <phoneticPr fontId="2"/>
  </si>
  <si>
    <t># 68</t>
    <phoneticPr fontId="2"/>
  </si>
  <si>
    <t>12740 sample card</t>
    <phoneticPr fontId="2"/>
  </si>
  <si>
    <t>e</t>
    <phoneticPr fontId="2"/>
  </si>
  <si>
    <t>based on 250m/col</t>
    <phoneticPr fontId="2"/>
  </si>
  <si>
    <t># 21</t>
    <phoneticPr fontId="2"/>
  </si>
  <si>
    <t># 44</t>
    <phoneticPr fontId="2"/>
  </si>
  <si>
    <t># 75</t>
    <phoneticPr fontId="2"/>
  </si>
  <si>
    <t>AH24PT09004</t>
    <phoneticPr fontId="2"/>
  </si>
  <si>
    <t xml:space="preserve">Total Amount </t>
    <phoneticPr fontId="2"/>
  </si>
  <si>
    <t xml:space="preserve">20240911 Rudy Jude </t>
    <phoneticPr fontId="2"/>
  </si>
  <si>
    <t>1 roll (13.7m/roll)</t>
    <phoneticPr fontId="2"/>
  </si>
  <si>
    <t>FWL-24505</t>
    <phoneticPr fontId="2"/>
  </si>
  <si>
    <t>Mill's Off White (undyed)</t>
    <phoneticPr fontId="2"/>
  </si>
  <si>
    <t>FWL-24543-3</t>
    <phoneticPr fontId="2"/>
  </si>
  <si>
    <t>Natural (undyed)</t>
    <phoneticPr fontId="2"/>
  </si>
  <si>
    <t>Monique</t>
    <phoneticPr fontId="2"/>
  </si>
  <si>
    <r>
      <t xml:space="preserve">230810 </t>
    </r>
    <r>
      <rPr>
        <sz val="12"/>
        <color rgb="FF0070C0"/>
        <rFont val="Arial"/>
        <family val="2"/>
      </rPr>
      <t>LA</t>
    </r>
    <phoneticPr fontId="2"/>
  </si>
  <si>
    <t># 20 Dusty Rose</t>
    <phoneticPr fontId="2"/>
  </si>
  <si>
    <t># 53 Chartreuse</t>
    <phoneticPr fontId="2"/>
  </si>
  <si>
    <t># 55 Olive</t>
    <phoneticPr fontId="2"/>
  </si>
  <si>
    <t># 21 Rose Pink</t>
    <phoneticPr fontId="2"/>
  </si>
  <si>
    <t># 44 Mustard</t>
    <phoneticPr fontId="2"/>
  </si>
  <si>
    <t># 75 Slate</t>
    <phoneticPr fontId="2"/>
  </si>
  <si>
    <t>ALC(DWB)  20240912</t>
    <phoneticPr fontId="2"/>
  </si>
  <si>
    <t>単価</t>
    <rPh sb="0" eb="2">
      <t>タンカ</t>
    </rPh>
    <phoneticPr fontId="2"/>
  </si>
  <si>
    <t xml:space="preserve">rice based on production minimum </t>
  </si>
  <si>
    <t>Art.#</t>
  </si>
  <si>
    <t>Qty</t>
  </si>
  <si>
    <t>Surcharge if below MOQ</t>
  </si>
  <si>
    <t>FWL-92896 with ES131</t>
  </si>
  <si>
    <t>Poly yarn # Greige x Ribbon #135</t>
  </si>
  <si>
    <t>Based on Production MOQ : approx. 150-170m/art&amp;color&amp;order (*please accept the entire finished qty)</t>
  </si>
  <si>
    <t>US$6.48/m</t>
  </si>
  <si>
    <t>US$ 165/art&amp;color&amp;order</t>
  </si>
  <si>
    <t>2200 sample card</t>
    <phoneticPr fontId="2"/>
  </si>
  <si>
    <t>a</t>
    <phoneticPr fontId="2"/>
  </si>
  <si>
    <t>SK-240909-add</t>
    <phoneticPr fontId="2"/>
  </si>
  <si>
    <t>AW24-LACE1</t>
    <phoneticPr fontId="2"/>
  </si>
  <si>
    <t>RUDY JUDE</t>
    <phoneticPr fontId="2"/>
  </si>
  <si>
    <t>Select from Poly yarn color card</t>
    <phoneticPr fontId="2"/>
  </si>
  <si>
    <t>FWL-92896 (Lace only)</t>
    <phoneticPr fontId="2"/>
  </si>
  <si>
    <t>100m/art&amp;color&amp;order</t>
    <phoneticPr fontId="2"/>
  </si>
  <si>
    <t>US$ 125/art&amp;color&amp;order</t>
    <phoneticPr fontId="2"/>
  </si>
  <si>
    <t>小口代 12,000円</t>
    <rPh sb="0" eb="2">
      <t>コグチ</t>
    </rPh>
    <rPh sb="2" eb="3">
      <t>ダイ</t>
    </rPh>
    <rPh sb="10" eb="11">
      <t>エン</t>
    </rPh>
    <phoneticPr fontId="2"/>
  </si>
  <si>
    <t>Lace Trim 100% Polyester</t>
    <phoneticPr fontId="2"/>
  </si>
  <si>
    <t>(per set)</t>
    <phoneticPr fontId="2"/>
  </si>
  <si>
    <t>SALT:Poly yarn # Greige</t>
    <phoneticPr fontId="2"/>
  </si>
  <si>
    <t>BLACK:Poly yarn # Black</t>
    <phoneticPr fontId="2"/>
  </si>
  <si>
    <t>Qty</t>
    <phoneticPr fontId="2"/>
  </si>
  <si>
    <t>FWL-92896</t>
    <phoneticPr fontId="2"/>
  </si>
  <si>
    <t>Mock-up sample development fee</t>
    <phoneticPr fontId="2"/>
  </si>
  <si>
    <t>Set-up fee</t>
    <phoneticPr fontId="2"/>
  </si>
  <si>
    <t>Total amount</t>
    <phoneticPr fontId="2"/>
  </si>
  <si>
    <r>
      <t>SALT:Poly yarn # Greige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acceptable?</t>
    </r>
    <phoneticPr fontId="2"/>
  </si>
  <si>
    <t>Up to 20m</t>
    <phoneticPr fontId="272"/>
  </si>
  <si>
    <t>Air Fabric Metal-sputtering</t>
  </si>
  <si>
    <t>Cocktail Satin Organza</t>
  </si>
  <si>
    <t>Glass Organza</t>
  </si>
  <si>
    <t>Glass Organza Color-sputtering</t>
  </si>
  <si>
    <t>5570N</t>
  </si>
  <si>
    <t>Soft Chambray Organza</t>
  </si>
  <si>
    <r>
      <t>NYLON 60</t>
    </r>
    <r>
      <rPr>
        <sz val="10"/>
        <color rgb="FF000000"/>
        <rFont val="ＭＳ Ｐゴシック"/>
        <family val="3"/>
        <charset val="128"/>
      </rPr>
      <t>％</t>
    </r>
    <r>
      <rPr>
        <sz val="10"/>
        <color rgb="FF000000"/>
        <rFont val="arial    "/>
        <family val="2"/>
      </rPr>
      <t>POLYESTER 40</t>
    </r>
    <r>
      <rPr>
        <sz val="10"/>
        <color rgb="FF000000"/>
        <rFont val="ＭＳ Ｐゴシック"/>
        <family val="3"/>
        <charset val="128"/>
      </rPr>
      <t>％</t>
    </r>
    <phoneticPr fontId="272"/>
  </si>
  <si>
    <t>Mirror Organza</t>
  </si>
  <si>
    <t>6000TN</t>
  </si>
  <si>
    <t>Spark Organza</t>
  </si>
  <si>
    <t>112×23</t>
  </si>
  <si>
    <t>Stateside</t>
    <phoneticPr fontId="2"/>
  </si>
  <si>
    <t>SS-240918</t>
    <phoneticPr fontId="2"/>
  </si>
  <si>
    <t>3770 &amp; 3780 Color Card</t>
    <phoneticPr fontId="2"/>
  </si>
  <si>
    <t>3710 &amp; 3720 &amp; 3730 Color Card</t>
    <phoneticPr fontId="2"/>
  </si>
  <si>
    <t>TIPPING PROCESS Color Card</t>
    <phoneticPr fontId="2"/>
  </si>
  <si>
    <t>216-003(September 17, 2024)</t>
    <phoneticPr fontId="2"/>
  </si>
  <si>
    <t>キャンセル</t>
    <phoneticPr fontId="2"/>
  </si>
  <si>
    <t>試編みからそのままサンプル進行したので、小口代不要</t>
    <rPh sb="0" eb="2">
      <t>シア</t>
    </rPh>
    <rPh sb="13" eb="15">
      <t>シンコウ</t>
    </rPh>
    <rPh sb="20" eb="23">
      <t>コグチダイ</t>
    </rPh>
    <rPh sb="23" eb="25">
      <t>フヨウ</t>
    </rPh>
    <phoneticPr fontId="2"/>
  </si>
  <si>
    <t xml:space="preserve">FWL-92896 </t>
    <phoneticPr fontId="2"/>
  </si>
  <si>
    <t>Poly yarn # Greige</t>
    <phoneticPr fontId="2"/>
  </si>
  <si>
    <t>Lauren Moshi Bulk price offer 20240918</t>
    <phoneticPr fontId="2"/>
  </si>
  <si>
    <t>DOEN 20240918</t>
    <phoneticPr fontId="2"/>
  </si>
  <si>
    <t>FWL-21901s / Mill's Off White (undyed)</t>
    <phoneticPr fontId="2"/>
  </si>
  <si>
    <t xml:space="preserve">FWL-21901s / Custom dye </t>
    <phoneticPr fontId="2"/>
  </si>
  <si>
    <t>FWL-2486s / Mill's Off White (undyed)</t>
    <phoneticPr fontId="2"/>
  </si>
  <si>
    <t xml:space="preserve">FWL-2486s / Custom dye </t>
    <phoneticPr fontId="2"/>
  </si>
  <si>
    <t>FWL-3131s / Mill's Off White (undyed)</t>
    <phoneticPr fontId="2"/>
  </si>
  <si>
    <t xml:space="preserve">FWL-3131s / Custom dye </t>
    <phoneticPr fontId="2"/>
  </si>
  <si>
    <t>染色小口代 8,000円</t>
    <rPh sb="0" eb="2">
      <t>センショク</t>
    </rPh>
    <rPh sb="2" eb="4">
      <t>コグチ</t>
    </rPh>
    <rPh sb="4" eb="5">
      <t>ダイ</t>
    </rPh>
    <rPh sb="11" eb="12">
      <t>エン</t>
    </rPh>
    <phoneticPr fontId="2"/>
  </si>
  <si>
    <t>US$ 85/col</t>
    <phoneticPr fontId="2"/>
  </si>
  <si>
    <t>Avalability</t>
    <phoneticPr fontId="2"/>
  </si>
  <si>
    <t>Made to order</t>
    <phoneticPr fontId="2"/>
  </si>
  <si>
    <t>7,600m of Mill's Off White</t>
    <phoneticPr fontId="2"/>
  </si>
  <si>
    <t>2,200m of Mill's Off White</t>
    <phoneticPr fontId="2"/>
  </si>
  <si>
    <t>2,100m of Mill's Off White</t>
    <phoneticPr fontId="2"/>
  </si>
  <si>
    <t>20240918　Simkhai</t>
    <phoneticPr fontId="2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</si>
  <si>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 xml:space="preserve">込）
</t>
    </r>
    <r>
      <rPr>
        <b/>
        <sz val="10"/>
        <color theme="1"/>
        <rFont val="Arial  "/>
        <family val="2"/>
        <charset val="129"/>
      </rPr>
      <t>CSP</t>
    </r>
    <r>
      <rPr>
        <b/>
        <sz val="10"/>
        <color theme="1"/>
        <rFont val="Microsoft JhengHei"/>
        <family val="2"/>
        <charset val="136"/>
      </rPr>
      <t>・</t>
    </r>
    <r>
      <rPr>
        <b/>
        <sz val="10"/>
        <color theme="1"/>
        <rFont val="Arial"/>
        <family val="2"/>
      </rPr>
      <t>SP</t>
    </r>
    <r>
      <rPr>
        <b/>
        <sz val="10"/>
        <color theme="1"/>
        <rFont val="Malgun Gothic"/>
        <family val="2"/>
        <charset val="129"/>
      </rPr>
      <t>は除く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rPh sb="24" eb="25">
      <t>ノゾ</t>
    </rPh>
    <phoneticPr fontId="2"/>
  </si>
  <si>
    <r>
      <t>NYLON 100</t>
    </r>
    <r>
      <rPr>
        <sz val="10"/>
        <color rgb="FF000000"/>
        <rFont val="ＭＳ Ｐゴシック"/>
        <family val="3"/>
        <charset val="128"/>
      </rPr>
      <t>％</t>
    </r>
  </si>
  <si>
    <t xml:space="preserve">DOEN </t>
    <phoneticPr fontId="2"/>
  </si>
  <si>
    <r>
      <t>企画リボン通しレース</t>
    </r>
    <r>
      <rPr>
        <sz val="10"/>
        <rFont val="ＭＳ Ｐゴシック"/>
        <family val="2"/>
        <charset val="128"/>
      </rPr>
      <t>　20240918</t>
    </r>
    <rPh sb="0" eb="2">
      <t>キカク</t>
    </rPh>
    <rPh sb="5" eb="6">
      <t>トオ</t>
    </rPh>
    <phoneticPr fontId="2"/>
  </si>
  <si>
    <t>FWL-92879 with 12740</t>
    <phoneticPr fontId="2"/>
  </si>
  <si>
    <t>Mill's Off White x # 05 Black</t>
    <phoneticPr fontId="2"/>
  </si>
  <si>
    <t>-</t>
    <phoneticPr fontId="2"/>
  </si>
  <si>
    <t>107860-WITH</t>
    <phoneticPr fontId="2"/>
  </si>
  <si>
    <r>
      <t xml:space="preserve">230833 </t>
    </r>
    <r>
      <rPr>
        <sz val="12"/>
        <color rgb="FF0070C0"/>
        <rFont val="Arial"/>
        <family val="2"/>
      </rPr>
      <t>LA</t>
    </r>
    <phoneticPr fontId="2"/>
  </si>
  <si>
    <t>TI-7000</t>
    <phoneticPr fontId="2"/>
  </si>
  <si>
    <t>Cationic Fine Grosgrain  Polyester 100%</t>
    <phoneticPr fontId="2"/>
  </si>
  <si>
    <t># 2 Blush</t>
    <phoneticPr fontId="2"/>
  </si>
  <si>
    <t>FWL-22200s / Mill's Off White (undyed)</t>
    <phoneticPr fontId="2"/>
  </si>
  <si>
    <t xml:space="preserve">FWL-22200s / Custom dye </t>
    <phoneticPr fontId="2"/>
  </si>
  <si>
    <t>400m of Mill's Off White</t>
    <phoneticPr fontId="2"/>
  </si>
  <si>
    <t>Monique 20240919</t>
    <phoneticPr fontId="2"/>
  </si>
  <si>
    <t>Organic Cotton-100%</t>
    <phoneticPr fontId="2"/>
  </si>
  <si>
    <t>Organic Cotton Petersham Ribbon</t>
    <phoneticPr fontId="2"/>
  </si>
  <si>
    <t>NANJING OUXU INDUSTRY&amp;TRADE CO.,LTD (ALC)</t>
    <phoneticPr fontId="2"/>
  </si>
  <si>
    <t>Col. 14  Black</t>
    <phoneticPr fontId="2"/>
  </si>
  <si>
    <t>International Courier</t>
    <phoneticPr fontId="2"/>
  </si>
  <si>
    <t>02122-00</t>
    <phoneticPr fontId="2"/>
  </si>
  <si>
    <t>FWL-92895 with E3030</t>
    <phoneticPr fontId="2"/>
  </si>
  <si>
    <t>Mill’s Black x # 5 Black</t>
    <phoneticPr fontId="2"/>
  </si>
  <si>
    <r>
      <t>FWL-92879</t>
    </r>
    <r>
      <rPr>
        <sz val="10"/>
        <rFont val="ＭＳ Ｐゴシック"/>
        <family val="3"/>
        <charset val="128"/>
      </rPr>
      <t>　＠150</t>
    </r>
    <r>
      <rPr>
        <sz val="10"/>
        <rFont val="Arial"/>
        <family val="2"/>
      </rPr>
      <t>/m</t>
    </r>
    <phoneticPr fontId="2"/>
  </si>
  <si>
    <r>
      <t>FWL-92895</t>
    </r>
    <r>
      <rPr>
        <sz val="10"/>
        <rFont val="ＭＳ Ｐゴシック"/>
        <family val="3"/>
        <charset val="128"/>
      </rPr>
      <t>　＠200</t>
    </r>
    <r>
      <rPr>
        <sz val="10"/>
        <rFont val="Arial"/>
        <family val="2"/>
      </rPr>
      <t>/m</t>
    </r>
    <phoneticPr fontId="2"/>
  </si>
  <si>
    <r>
      <t xml:space="preserve">
レースミニマム：約 150 - 170m ( リボン200m=10反の仕上がり数量）
ミニマム未満の小口代：</t>
    </r>
    <r>
      <rPr>
        <sz val="11"/>
        <rFont val="ＭＳ Ｐゴシック"/>
        <family val="3"/>
        <charset val="128"/>
      </rPr>
      <t>6,000円</t>
    </r>
    <rPh sb="34" eb="35">
      <t>タン</t>
    </rPh>
    <phoneticPr fontId="2"/>
  </si>
  <si>
    <r>
      <t xml:space="preserve">
レースミニマム：約 150 - 170m ( リボン210m=7反の仕上がり数量）
ミニマム未満の小口代：</t>
    </r>
    <r>
      <rPr>
        <sz val="11"/>
        <rFont val="ＭＳ Ｐゴシック"/>
        <family val="3"/>
        <charset val="128"/>
      </rPr>
      <t>6,000円</t>
    </r>
    <rPh sb="33" eb="34">
      <t>タン</t>
    </rPh>
    <phoneticPr fontId="2"/>
  </si>
  <si>
    <t>230833</t>
    <phoneticPr fontId="2"/>
  </si>
  <si>
    <t xml:space="preserve">FWL-92904 with E3703 </t>
    <phoneticPr fontId="2"/>
  </si>
  <si>
    <r>
      <t>FWL-92904</t>
    </r>
    <r>
      <rPr>
        <sz val="10"/>
        <rFont val="ＭＳ Ｐゴシック"/>
        <family val="3"/>
        <charset val="128"/>
      </rPr>
      <t>　＠178</t>
    </r>
    <r>
      <rPr>
        <sz val="10"/>
        <rFont val="Arial"/>
        <family val="2"/>
      </rPr>
      <t>/m</t>
    </r>
    <phoneticPr fontId="2"/>
  </si>
  <si>
    <t>charge</t>
    <phoneticPr fontId="2"/>
  </si>
  <si>
    <t>Mill's Off White x # 5 Black</t>
    <phoneticPr fontId="2"/>
  </si>
  <si>
    <t>based on sample 20-25m/art&amp;color&amp;order (*please accept the entire finished qty)</t>
    <phoneticPr fontId="2"/>
  </si>
  <si>
    <t>based on samlpe 10-15m/art&amp;color&amp;order (*please accept the entire finished qty)</t>
    <phoneticPr fontId="2"/>
  </si>
  <si>
    <t>FWL-92904 with E3703  (レース素材：100% Poly カラー# 生地)</t>
    <phoneticPr fontId="2"/>
  </si>
  <si>
    <t>FWL-92895 with E3030 (レース素材：100% Cotton 黒)</t>
    <phoneticPr fontId="2"/>
  </si>
  <si>
    <t>DOEN</t>
    <phoneticPr fontId="2"/>
  </si>
  <si>
    <t>→{(レース150円x150m)+リボン1062円x11(リボンx11反分：半端数量が出ることを考えて、１反余分めに）+2000円（国内運賃)}÷150m=241
→小口代 (for 10 ～ 15m=1反20mの仕上がり数量 ) ：6000+1062+2000=9062円</t>
    <rPh sb="9" eb="10">
      <t>エン</t>
    </rPh>
    <rPh sb="24" eb="25">
      <t>エン</t>
    </rPh>
    <rPh sb="35" eb="36">
      <t>タン</t>
    </rPh>
    <rPh sb="36" eb="37">
      <t>ブン</t>
    </rPh>
    <rPh sb="38" eb="40">
      <t>ハンパ</t>
    </rPh>
    <rPh sb="40" eb="42">
      <t>スウリョウ</t>
    </rPh>
    <rPh sb="43" eb="44">
      <t>デ</t>
    </rPh>
    <rPh sb="48" eb="49">
      <t>カンガ</t>
    </rPh>
    <rPh sb="53" eb="54">
      <t>タン</t>
    </rPh>
    <rPh sb="54" eb="56">
      <t>ヨブン</t>
    </rPh>
    <rPh sb="64" eb="65">
      <t>エン</t>
    </rPh>
    <rPh sb="66" eb="68">
      <t>コクナイ</t>
    </rPh>
    <rPh sb="68" eb="70">
      <t>ウンチン</t>
    </rPh>
    <rPh sb="83" eb="85">
      <t>コグチ</t>
    </rPh>
    <rPh sb="85" eb="86">
      <t>ダイ</t>
    </rPh>
    <rPh sb="102" eb="103">
      <t>タン</t>
    </rPh>
    <rPh sb="107" eb="109">
      <t>シア</t>
    </rPh>
    <rPh sb="111" eb="113">
      <t>スウリョウ</t>
    </rPh>
    <phoneticPr fontId="2"/>
  </si>
  <si>
    <t>→{(レース200円x150m)+リボン292円x8(リボンx8反分：半端数量が出ることを考えて、１反余分めに）+2000円（国内運賃)}÷150m=229
→小口代 (for 20 ～ 25m=1反30mの仕上がり数量 ) ：6000+292+2000=8292円</t>
    <rPh sb="9" eb="10">
      <t>エン</t>
    </rPh>
    <rPh sb="23" eb="24">
      <t>エン</t>
    </rPh>
    <rPh sb="32" eb="33">
      <t>タン</t>
    </rPh>
    <rPh sb="33" eb="34">
      <t>ブン</t>
    </rPh>
    <rPh sb="35" eb="37">
      <t>ハンパ</t>
    </rPh>
    <rPh sb="37" eb="39">
      <t>スウリョウ</t>
    </rPh>
    <rPh sb="40" eb="41">
      <t>デ</t>
    </rPh>
    <rPh sb="45" eb="46">
      <t>カンガ</t>
    </rPh>
    <rPh sb="50" eb="51">
      <t>タン</t>
    </rPh>
    <rPh sb="51" eb="53">
      <t>ヨブン</t>
    </rPh>
    <rPh sb="61" eb="62">
      <t>エン</t>
    </rPh>
    <rPh sb="63" eb="65">
      <t>コクナイ</t>
    </rPh>
    <rPh sb="65" eb="67">
      <t>ウンチン</t>
    </rPh>
    <rPh sb="80" eb="82">
      <t>コグチ</t>
    </rPh>
    <rPh sb="82" eb="83">
      <t>ダイ</t>
    </rPh>
    <rPh sb="99" eb="100">
      <t>タン</t>
    </rPh>
    <rPh sb="104" eb="106">
      <t>シア</t>
    </rPh>
    <rPh sb="108" eb="110">
      <t>スウリョウ</t>
    </rPh>
    <phoneticPr fontId="2"/>
  </si>
  <si>
    <t>→{(レース178円x150m)+リボン481円x8(リボンx8反分：半端数量が出ることを考えて、１反余分めに）+2000円（国内運賃)}÷150m=217
→小口代 (for 20 ～ 25m=1反30mの仕上がり数量 ) ：6000+481+2000=8481円</t>
    <rPh sb="9" eb="10">
      <t>エン</t>
    </rPh>
    <rPh sb="23" eb="24">
      <t>エン</t>
    </rPh>
    <rPh sb="32" eb="33">
      <t>タン</t>
    </rPh>
    <rPh sb="33" eb="34">
      <t>ブン</t>
    </rPh>
    <rPh sb="35" eb="37">
      <t>ハンパ</t>
    </rPh>
    <rPh sb="37" eb="39">
      <t>スウリョウ</t>
    </rPh>
    <rPh sb="40" eb="41">
      <t>デ</t>
    </rPh>
    <rPh sb="45" eb="46">
      <t>カンガ</t>
    </rPh>
    <rPh sb="50" eb="51">
      <t>タン</t>
    </rPh>
    <rPh sb="51" eb="53">
      <t>ヨブン</t>
    </rPh>
    <rPh sb="61" eb="62">
      <t>エン</t>
    </rPh>
    <rPh sb="63" eb="65">
      <t>コクナイ</t>
    </rPh>
    <rPh sb="65" eb="67">
      <t>ウンチン</t>
    </rPh>
    <rPh sb="80" eb="82">
      <t>コグチ</t>
    </rPh>
    <rPh sb="82" eb="83">
      <t>ダイ</t>
    </rPh>
    <rPh sb="99" eb="100">
      <t>タン</t>
    </rPh>
    <rPh sb="104" eb="106">
      <t>シア</t>
    </rPh>
    <rPh sb="108" eb="110">
      <t>スウリョウ</t>
    </rPh>
    <phoneticPr fontId="2"/>
  </si>
  <si>
    <t>US$ 100/art&amp;color&amp;order</t>
    <phoneticPr fontId="2"/>
  </si>
  <si>
    <t>US$ 90/art&amp;color&amp;order</t>
    <phoneticPr fontId="2"/>
  </si>
  <si>
    <t>FWL-92904 (Lace only)</t>
    <phoneticPr fontId="2"/>
  </si>
  <si>
    <t>US$ 65/art&amp;color&amp;order</t>
    <phoneticPr fontId="2"/>
  </si>
  <si>
    <t>小口代 6,000円</t>
    <rPh sb="0" eb="2">
      <t>コグチ</t>
    </rPh>
    <rPh sb="2" eb="3">
      <t>ダイ</t>
    </rPh>
    <rPh sb="9" eb="10">
      <t>エン</t>
    </rPh>
    <phoneticPr fontId="2"/>
  </si>
  <si>
    <t>Staud 20240925</t>
    <phoneticPr fontId="2"/>
  </si>
  <si>
    <t xml:space="preserve">Polyester lace </t>
    <phoneticPr fontId="2"/>
  </si>
  <si>
    <t>FWL-21106 (Lace only)</t>
    <phoneticPr fontId="2"/>
  </si>
  <si>
    <t>Cotton lace</t>
    <phoneticPr fontId="2"/>
  </si>
  <si>
    <t>レースのみの場合MOQ 200m</t>
    <rPh sb="6" eb="8">
      <t>バアイ</t>
    </rPh>
    <phoneticPr fontId="2"/>
  </si>
  <si>
    <t>200m/art&amp;color&amp;order</t>
    <phoneticPr fontId="2"/>
  </si>
  <si>
    <t>PO: SS25-08 (07/12/24)</t>
    <phoneticPr fontId="2"/>
  </si>
  <si>
    <r>
      <t xml:space="preserve">SUN-1001(September 25, 2024) </t>
    </r>
    <r>
      <rPr>
        <sz val="12"/>
        <color rgb="FF0070C0"/>
        <rFont val="Arial"/>
        <family val="2"/>
      </rPr>
      <t>ship to GT PORTUGAL</t>
    </r>
    <phoneticPr fontId="2"/>
  </si>
  <si>
    <t>FWL-2486s</t>
    <phoneticPr fontId="2"/>
  </si>
  <si>
    <r>
      <t xml:space="preserve">SUN-1002(September 25, 2024) </t>
    </r>
    <r>
      <rPr>
        <sz val="12"/>
        <color rgb="FF0070C0"/>
        <rFont val="Arial"/>
        <family val="2"/>
      </rPr>
      <t>ship to HS Fashion</t>
    </r>
    <phoneticPr fontId="2"/>
  </si>
  <si>
    <t>FWL-22200s</t>
    <phoneticPr fontId="2"/>
  </si>
  <si>
    <t>Lace trim  68% Cotton, 22% Rayon, 10% Polyurethane</t>
    <phoneticPr fontId="2"/>
  </si>
  <si>
    <t>Lace trim  75% Cotton, 14% Nylon, 11% Polyurethane</t>
    <phoneticPr fontId="2"/>
  </si>
  <si>
    <t>Lace trim  96% Cotton, 3% Rayon, 1% Polyurethane</t>
    <phoneticPr fontId="2"/>
  </si>
  <si>
    <t>SUN-1001(September 25, 2024) ship to GT PORTUGAL</t>
    <phoneticPr fontId="2"/>
  </si>
  <si>
    <t>SUN-1002(September 25, 2024) ship to HS Fashion</t>
    <phoneticPr fontId="2"/>
  </si>
  <si>
    <t>PO# / Ship to</t>
    <phoneticPr fontId="2"/>
  </si>
  <si>
    <t>XC202400927001</t>
    <phoneticPr fontId="2"/>
  </si>
  <si>
    <t>230870</t>
    <phoneticPr fontId="2"/>
  </si>
  <si>
    <t># 45 Grey</t>
    <phoneticPr fontId="2"/>
  </si>
  <si>
    <t># 46 Blue Grey</t>
    <phoneticPr fontId="2"/>
  </si>
  <si>
    <t>20241001 Monique 2440 使用カラー</t>
    <rPh sb="22" eb="24">
      <t>シヨウ</t>
    </rPh>
    <phoneticPr fontId="2"/>
  </si>
  <si>
    <t>Monique　オーダー量多く、比較的最近オーダーのもの</t>
    <rPh sb="12" eb="13">
      <t>リョウ</t>
    </rPh>
    <rPh sb="13" eb="14">
      <t>オオ</t>
    </rPh>
    <rPh sb="16" eb="19">
      <t>ヒカクテキ</t>
    </rPh>
    <rPh sb="19" eb="21">
      <t>サイキン</t>
    </rPh>
    <phoneticPr fontId="2"/>
  </si>
  <si>
    <t>20241001 Simkhai 2440 使用カラー</t>
    <rPh sb="22" eb="24">
      <t>シヨウ</t>
    </rPh>
    <phoneticPr fontId="2"/>
  </si>
  <si>
    <t>Simkhai　オーダー量多く、比較的最近オーダーのもの</t>
    <rPh sb="12" eb="13">
      <t>リョウ</t>
    </rPh>
    <rPh sb="13" eb="14">
      <t>オオ</t>
    </rPh>
    <rPh sb="16" eb="19">
      <t>ヒカクテキ</t>
    </rPh>
    <rPh sb="19" eb="21">
      <t>サイキン</t>
    </rPh>
    <phoneticPr fontId="2"/>
  </si>
  <si>
    <t>FWL-92879 with 12740 (レース素材：100% Cotton オフ白) →2反（40m）投入で、大体32m ( 16m +16m ) 仕上がり</t>
    <rPh sb="47" eb="48">
      <t>タン</t>
    </rPh>
    <rPh sb="53" eb="55">
      <t>トウニュウ</t>
    </rPh>
    <rPh sb="57" eb="59">
      <t>ダイタイ</t>
    </rPh>
    <rPh sb="76" eb="78">
      <t>シア</t>
    </rPh>
    <phoneticPr fontId="2"/>
  </si>
  <si>
    <t>SF093024-RS24</t>
    <phoneticPr fontId="2"/>
  </si>
  <si>
    <t># 96 INK</t>
    <phoneticPr fontId="2"/>
  </si>
  <si>
    <t># 50 BLACK</t>
    <phoneticPr fontId="2"/>
  </si>
  <si>
    <t>PHARAOH COLLECTION</t>
    <phoneticPr fontId="2"/>
  </si>
  <si>
    <t>14-0751 TCX (DAYLILY)</t>
    <phoneticPr fontId="2"/>
  </si>
  <si>
    <r>
      <t>108002</t>
    </r>
    <r>
      <rPr>
        <sz val="12"/>
        <rFont val="MS UI Gothic"/>
        <family val="2"/>
        <charset val="1"/>
      </rPr>
      <t>‐</t>
    </r>
    <r>
      <rPr>
        <sz val="12"/>
        <rFont val="Arial"/>
        <family val="2"/>
      </rPr>
      <t>WITH</t>
    </r>
    <phoneticPr fontId="2"/>
  </si>
  <si>
    <t>Simkhai 241003</t>
    <phoneticPr fontId="2"/>
  </si>
  <si>
    <t>SAG-7120-027</t>
    <phoneticPr fontId="2"/>
  </si>
  <si>
    <t>1 roll/col (abt 21m/col)</t>
    <phoneticPr fontId="2"/>
  </si>
  <si>
    <t>4 roll/col (abt 84m/col)</t>
    <phoneticPr fontId="2"/>
  </si>
  <si>
    <t>EXW JAPAN price/m</t>
    <phoneticPr fontId="2"/>
  </si>
  <si>
    <t>アップチャージ +300円/m</t>
    <rPh sb="12" eb="13">
      <t>エン</t>
    </rPh>
    <phoneticPr fontId="2"/>
  </si>
  <si>
    <t>バルクミニマム：4 roll/col (abt 84m/col)</t>
    <phoneticPr fontId="2"/>
  </si>
  <si>
    <t>48721</t>
    <phoneticPr fontId="2"/>
  </si>
  <si>
    <t>TT-241005</t>
    <phoneticPr fontId="2"/>
  </si>
  <si>
    <t>#ES-2302</t>
    <phoneticPr fontId="2"/>
  </si>
  <si>
    <t>Simkhai 241007</t>
    <phoneticPr fontId="2"/>
  </si>
  <si>
    <t>1400NP</t>
    <phoneticPr fontId="2"/>
  </si>
  <si>
    <t>1 roll/col (abt 24m/col)</t>
    <phoneticPr fontId="2"/>
  </si>
  <si>
    <t>4 roll/col (abt 96m/col)</t>
    <phoneticPr fontId="2"/>
  </si>
  <si>
    <r>
      <rPr>
        <sz val="10"/>
        <rFont val="ＭＳ ゴシック"/>
        <family val="3"/>
        <charset val="128"/>
      </rPr>
      <t>バルクミニマム：</t>
    </r>
    <r>
      <rPr>
        <sz val="10"/>
        <rFont val="Arial"/>
        <family val="2"/>
      </rPr>
      <t>4 roll/col (abt 96m/col)</t>
    </r>
    <phoneticPr fontId="2"/>
  </si>
  <si>
    <t>Staud 241007</t>
    <phoneticPr fontId="2"/>
  </si>
  <si>
    <t xml:space="preserve">Custom lace based on FWL-23358 x E3703 </t>
    <phoneticPr fontId="2"/>
  </si>
  <si>
    <t>please select from our color card</t>
    <phoneticPr fontId="2"/>
  </si>
  <si>
    <r>
      <rPr>
        <sz val="10"/>
        <rFont val="ＭＳ Ｐゴシック"/>
        <family val="3"/>
        <charset val="128"/>
      </rPr>
      <t>レース単価概算　＠95</t>
    </r>
    <r>
      <rPr>
        <sz val="10"/>
        <rFont val="Arial"/>
        <family val="2"/>
      </rPr>
      <t>/m</t>
    </r>
    <rPh sb="3" eb="5">
      <t>タンカ</t>
    </rPh>
    <rPh sb="5" eb="7">
      <t>ガイサン</t>
    </rPh>
    <phoneticPr fontId="2"/>
  </si>
  <si>
    <t>→{(レース95円x150m)+リボン481円x8(リボンx8反分：半端数量が出ることを考えて、１反余分めに）+2000円（国内運賃)}÷150m=217
→小口代 (for 20 ～ 25m=1反30mの仕上がり数量 ) ：6000+481+2000=8481円</t>
    <rPh sb="8" eb="9">
      <t>エン</t>
    </rPh>
    <rPh sb="22" eb="23">
      <t>エン</t>
    </rPh>
    <rPh sb="31" eb="32">
      <t>タン</t>
    </rPh>
    <rPh sb="32" eb="33">
      <t>ブン</t>
    </rPh>
    <rPh sb="34" eb="36">
      <t>ハンパ</t>
    </rPh>
    <rPh sb="36" eb="38">
      <t>スウリョウ</t>
    </rPh>
    <rPh sb="39" eb="40">
      <t>デ</t>
    </rPh>
    <rPh sb="44" eb="45">
      <t>カンガ</t>
    </rPh>
    <rPh sb="49" eb="50">
      <t>タン</t>
    </rPh>
    <rPh sb="50" eb="52">
      <t>ヨブン</t>
    </rPh>
    <rPh sb="60" eb="61">
      <t>エン</t>
    </rPh>
    <rPh sb="62" eb="64">
      <t>コクナイ</t>
    </rPh>
    <rPh sb="64" eb="66">
      <t>ウンチン</t>
    </rPh>
    <rPh sb="79" eb="81">
      <t>コグチ</t>
    </rPh>
    <rPh sb="81" eb="82">
      <t>ダイ</t>
    </rPh>
    <rPh sb="98" eb="99">
      <t>タン</t>
    </rPh>
    <rPh sb="103" eb="105">
      <t>シア</t>
    </rPh>
    <rPh sb="107" eb="109">
      <t>スウリョウ</t>
    </rPh>
    <phoneticPr fontId="2"/>
  </si>
  <si>
    <t>Custom lace based on FWL-23358 ポリ＆リボン通しバージョン　with E3703  (レース素材：100% Poly ）</t>
    <rPh sb="37" eb="38">
      <t>トオ</t>
    </rPh>
    <phoneticPr fontId="2"/>
  </si>
  <si>
    <t>SG-9058 / Mill's Off White (undyed)</t>
    <phoneticPr fontId="2"/>
  </si>
  <si>
    <t>20241008　Simkhai</t>
    <phoneticPr fontId="2"/>
  </si>
  <si>
    <t>CG5000</t>
  </si>
  <si>
    <t>Micro Wide Chiffon</t>
  </si>
  <si>
    <t>148×43</t>
  </si>
  <si>
    <t>Powder Touch Drapey Crepe de Chine</t>
  </si>
  <si>
    <t>146×50</t>
  </si>
  <si>
    <t>6120-FT</t>
  </si>
  <si>
    <t>Refined Mesh Organza</t>
  </si>
  <si>
    <t>Refined Organza</t>
  </si>
  <si>
    <t>OG1021-FT</t>
  </si>
  <si>
    <t>Melty Organza</t>
  </si>
  <si>
    <t>145×46</t>
  </si>
  <si>
    <t>7100K</t>
  </si>
  <si>
    <t>Dressy Satin</t>
  </si>
  <si>
    <t>148×25</t>
  </si>
  <si>
    <t>DC6015</t>
    <phoneticPr fontId="2"/>
  </si>
  <si>
    <t>2040RE-FT</t>
    <phoneticPr fontId="2"/>
  </si>
  <si>
    <t>プリントの見積もりですが、客注柄の場合一律</t>
  </si>
  <si>
    <t>11m~ \1,800/m</t>
  </si>
  <si>
    <t>51m~ \1,450/m</t>
  </si>
  <si>
    <t>201m~ \1,300/m</t>
  </si>
  <si>
    <t>501m~ \1,150/m</t>
  </si>
  <si>
    <t>運賃、カット賃別途必要</t>
  </si>
  <si>
    <t>1m~ \2,200/m</t>
    <phoneticPr fontId="2"/>
  </si>
  <si>
    <t>1m~</t>
    <phoneticPr fontId="2"/>
  </si>
  <si>
    <t>11m~</t>
    <phoneticPr fontId="2"/>
  </si>
  <si>
    <t>51m~</t>
    <phoneticPr fontId="2"/>
  </si>
  <si>
    <t xml:space="preserve">201m~ </t>
    <phoneticPr fontId="2"/>
  </si>
  <si>
    <t>501m~</t>
    <phoneticPr fontId="2"/>
  </si>
  <si>
    <t>Quantity  per pattern &amp; color</t>
    <phoneticPr fontId="2"/>
  </si>
  <si>
    <t>Print cost</t>
    <phoneticPr fontId="2"/>
  </si>
  <si>
    <t>Staud 20241010</t>
    <phoneticPr fontId="2"/>
  </si>
  <si>
    <t>FWL-23358</t>
    <phoneticPr fontId="2"/>
  </si>
  <si>
    <t>Pharaoh 20241008</t>
    <phoneticPr fontId="2"/>
  </si>
  <si>
    <t>Pharaoh 20241010</t>
    <phoneticPr fontId="2"/>
  </si>
  <si>
    <t>SG-9056 / Mill's Off White (undyed)</t>
    <phoneticPr fontId="2"/>
  </si>
  <si>
    <t>abt 27.4m(13.7m x 2)/roll or 19.8m/roll</t>
    <phoneticPr fontId="2"/>
  </si>
  <si>
    <t>FWL-92904 with E3703</t>
    <phoneticPr fontId="2"/>
  </si>
  <si>
    <t>Poly yarn # Greige x Ribbon #0</t>
    <phoneticPr fontId="2"/>
  </si>
  <si>
    <t>Surcharge for below MOQ (White)</t>
    <phoneticPr fontId="2"/>
  </si>
  <si>
    <t>Poly yarn # Black x Ribbon #5</t>
    <phoneticPr fontId="2"/>
  </si>
  <si>
    <t>Lace Trim 100% Cotton</t>
    <phoneticPr fontId="2"/>
  </si>
  <si>
    <t>FWL-23797</t>
    <phoneticPr fontId="2"/>
  </si>
  <si>
    <t>20241015 Staud</t>
    <phoneticPr fontId="2"/>
  </si>
  <si>
    <t>Surcharge for below MOQ (Black)</t>
    <phoneticPr fontId="2"/>
  </si>
  <si>
    <t>単価</t>
    <rPh sb="0" eb="2">
      <t>タンカ</t>
    </rPh>
    <phoneticPr fontId="2"/>
  </si>
  <si>
    <r>
      <t>178</t>
    </r>
    <r>
      <rPr>
        <sz val="10"/>
        <rFont val="ＭＳ Ｐゴシック"/>
        <family val="2"/>
        <charset val="128"/>
      </rPr>
      <t>円</t>
    </r>
    <rPh sb="3" eb="4">
      <t>エン</t>
    </rPh>
    <phoneticPr fontId="2"/>
  </si>
  <si>
    <r>
      <t>6000</t>
    </r>
    <r>
      <rPr>
        <sz val="10"/>
        <rFont val="ＭＳ Ｐゴシック"/>
        <family val="2"/>
        <charset val="128"/>
      </rPr>
      <t>円</t>
    </r>
    <rPh sb="4" eb="5">
      <t>エン</t>
    </rPh>
    <phoneticPr fontId="2"/>
  </si>
  <si>
    <t xml:space="preserve">Lace Trim 100% Cotton (Lace only) </t>
    <phoneticPr fontId="2"/>
  </si>
  <si>
    <t>Ready date</t>
    <phoneticPr fontId="2"/>
  </si>
  <si>
    <t>In stock</t>
    <phoneticPr fontId="2"/>
  </si>
  <si>
    <t>AH24PT10012</t>
    <phoneticPr fontId="2"/>
  </si>
  <si>
    <t>checking</t>
    <phoneticPr fontId="2"/>
  </si>
  <si>
    <t>Dye fee for below minimum</t>
    <phoneticPr fontId="2"/>
  </si>
  <si>
    <t>Mill's Black (yarn dye)</t>
    <phoneticPr fontId="2"/>
  </si>
  <si>
    <t>#0 Off White</t>
    <phoneticPr fontId="2"/>
  </si>
  <si>
    <t>#5 Black</t>
    <phoneticPr fontId="2"/>
  </si>
  <si>
    <t>FWL-21106(lace only)</t>
    <phoneticPr fontId="2"/>
  </si>
  <si>
    <t>FWL-23797(lace only)</t>
    <phoneticPr fontId="2"/>
  </si>
  <si>
    <t>20241016 宇仁見積もり</t>
    <rPh sb="9" eb="11">
      <t>ウジン</t>
    </rPh>
    <rPh sb="11" eb="13">
      <t>ミツ</t>
    </rPh>
    <phoneticPr fontId="2"/>
  </si>
  <si>
    <t>FUT3428 D/#1   KKF2317 D/#1</t>
    <phoneticPr fontId="272"/>
  </si>
  <si>
    <t>FUT3428 D/#1</t>
  </si>
  <si>
    <t>FUT0227-W   KKF9116-W</t>
    <phoneticPr fontId="272"/>
  </si>
  <si>
    <t>FUT0227-W</t>
  </si>
  <si>
    <t>FUT0219-W   KKF9108-W</t>
    <phoneticPr fontId="272"/>
  </si>
  <si>
    <t>FUT0219-W</t>
  </si>
  <si>
    <t>KFUT4791TH D/#F-2408  KF3680SG D/#F-2408</t>
    <phoneticPr fontId="272"/>
  </si>
  <si>
    <t>KFUT4791TH D/#F-2408</t>
    <phoneticPr fontId="272"/>
  </si>
  <si>
    <t>KFUT5116 D/#F-3445  KF4005 D/#F-3445</t>
    <phoneticPr fontId="272"/>
  </si>
  <si>
    <t>KFUT5116 D/#F-3445</t>
  </si>
  <si>
    <t>FUT3551-W  KKF2440-W</t>
    <phoneticPr fontId="272"/>
  </si>
  <si>
    <t>FUT3551-W</t>
  </si>
  <si>
    <t>FUT0225-W D/#1  KKF9114-W D/#1</t>
    <phoneticPr fontId="272"/>
  </si>
  <si>
    <t>FUT0225-W D/#1</t>
  </si>
  <si>
    <t>FUT3351DE-W D/#1  KKF2240CD-W D/#1</t>
    <phoneticPr fontId="272"/>
  </si>
  <si>
    <t>FUT3351DE-W D/#1</t>
    <phoneticPr fontId="272"/>
  </si>
  <si>
    <t>FUT2187-W D/#1  KKF1076-W D/#1</t>
    <phoneticPr fontId="272"/>
  </si>
  <si>
    <t>BZUT0474-W D/#SB-119  KBZ9363-W D/#SB-119</t>
    <phoneticPr fontId="272"/>
  </si>
  <si>
    <t>BZUT0474-W D/#SB-119</t>
  </si>
  <si>
    <t>KFUT5116 D/#F-3444  KF4005 D/#F-3444</t>
    <phoneticPr fontId="272"/>
  </si>
  <si>
    <t>KFUT5116 D/#F-3444</t>
  </si>
  <si>
    <t>FUT4796-W  KKF3685-W</t>
    <phoneticPr fontId="272"/>
  </si>
  <si>
    <t>FUT4796-W</t>
  </si>
  <si>
    <t>CUT219-W  KKC108-W</t>
    <phoneticPr fontId="272"/>
  </si>
  <si>
    <t>CUT219-W</t>
  </si>
  <si>
    <t>FUT4801-W  KKF3790-W</t>
    <phoneticPr fontId="272"/>
  </si>
  <si>
    <t>FUT4801-W</t>
  </si>
  <si>
    <t>FUT3091 D#1  KKF2980 D#1</t>
    <phoneticPr fontId="272"/>
  </si>
  <si>
    <t>FUT3091 D#1</t>
  </si>
  <si>
    <t>柄番</t>
  </si>
  <si>
    <t>単価</t>
  </si>
  <si>
    <t>KKF2317 </t>
  </si>
  <si>
    <t>KKF9116-W</t>
  </si>
  <si>
    <t>KKF9108-W</t>
  </si>
  <si>
    <t>KF3680SG</t>
  </si>
  <si>
    <t>F-2408</t>
  </si>
  <si>
    <t>KF4005 </t>
  </si>
  <si>
    <t>F-3445</t>
  </si>
  <si>
    <t>KKF2440-W</t>
  </si>
  <si>
    <t>KKF9114-W </t>
  </si>
  <si>
    <t>KKF2240CD-W </t>
  </si>
  <si>
    <t>KKF1076-W </t>
  </si>
  <si>
    <t>KBZ9363-W</t>
  </si>
  <si>
    <t>SB-119</t>
  </si>
  <si>
    <t>F-3444</t>
  </si>
  <si>
    <t>KKF3685-W</t>
  </si>
  <si>
    <t>KKC108-W</t>
  </si>
  <si>
    <t>KKF3790-W</t>
  </si>
  <si>
    <t>KKF2980 </t>
  </si>
  <si>
    <t xml:space="preserve">20241017 Bandit Running </t>
    <phoneticPr fontId="2"/>
  </si>
  <si>
    <t>NOBLAND INTERNATIONAL INC.(Staud)</t>
    <phoneticPr fontId="2"/>
  </si>
  <si>
    <t>EO-241017</t>
    <phoneticPr fontId="2"/>
  </si>
  <si>
    <t>DWACCC2401592</t>
    <phoneticPr fontId="2"/>
  </si>
  <si>
    <t>Madhappy</t>
    <phoneticPr fontId="2"/>
  </si>
  <si>
    <t>E7000</t>
    <phoneticPr fontId="2"/>
  </si>
  <si>
    <t>CO-Flexy cord</t>
    <phoneticPr fontId="2"/>
  </si>
  <si>
    <t>CO-Natural Material Cord Part 1</t>
    <phoneticPr fontId="2"/>
  </si>
  <si>
    <t>CO-Cotton Cord (51 col)</t>
    <phoneticPr fontId="2"/>
  </si>
  <si>
    <t>XC20241019001</t>
    <phoneticPr fontId="2"/>
  </si>
  <si>
    <t>FWL-71552</t>
    <phoneticPr fontId="2"/>
  </si>
  <si>
    <t>SHENZHEN WCK GARMENT CO., LTD. (DOEN)</t>
    <phoneticPr fontId="2"/>
  </si>
  <si>
    <r>
      <t xml:space="preserve">WCK-241021 </t>
    </r>
    <r>
      <rPr>
        <sz val="12"/>
        <color rgb="FF0070C0"/>
        <rFont val="Arial"/>
        <family val="2"/>
      </rPr>
      <t>ship to CAMBERLEY</t>
    </r>
    <phoneticPr fontId="2"/>
  </si>
  <si>
    <t>C&amp;F China price /m</t>
    <phoneticPr fontId="2"/>
  </si>
  <si>
    <t>Monique 保留分  20241021</t>
    <rPh sb="8" eb="10">
      <t>ホリュウ</t>
    </rPh>
    <rPh sb="10" eb="11">
      <t>ブン</t>
    </rPh>
    <phoneticPr fontId="2"/>
  </si>
  <si>
    <r>
      <t xml:space="preserve">230759 </t>
    </r>
    <r>
      <rPr>
        <sz val="10"/>
        <color rgb="FF0070C0"/>
        <rFont val="Arial"/>
        <family val="2"/>
      </rPr>
      <t>LA</t>
    </r>
    <phoneticPr fontId="2"/>
  </si>
  <si>
    <r>
      <t xml:space="preserve">230788 </t>
    </r>
    <r>
      <rPr>
        <sz val="10"/>
        <color rgb="FF0070C0"/>
        <rFont val="Arial"/>
        <family val="2"/>
      </rPr>
      <t>LA</t>
    </r>
    <phoneticPr fontId="2"/>
  </si>
  <si>
    <r>
      <t xml:space="preserve">20241022 THE SEI   T2023-CSP </t>
    </r>
    <r>
      <rPr>
        <sz val="10"/>
        <rFont val="ＭＳ Ｐゴシック"/>
        <family val="3"/>
        <charset val="128"/>
      </rPr>
      <t>→</t>
    </r>
    <r>
      <rPr>
        <sz val="10"/>
        <rFont val="Arial"/>
        <family val="2"/>
      </rPr>
      <t>20% 130</t>
    </r>
    <r>
      <rPr>
        <sz val="10"/>
        <rFont val="ＭＳ Ｐゴシック"/>
        <family val="3"/>
        <charset val="128"/>
      </rPr>
      <t>　　</t>
    </r>
    <phoneticPr fontId="2"/>
  </si>
  <si>
    <t>MH-241019</t>
    <phoneticPr fontId="2"/>
  </si>
  <si>
    <t>Monique 241024</t>
    <phoneticPr fontId="2"/>
  </si>
  <si>
    <t>SAG-7130 Mill's Standard color</t>
    <phoneticPr fontId="2"/>
  </si>
  <si>
    <t>1 roll/col (abt 44m/col)</t>
    <phoneticPr fontId="2"/>
  </si>
  <si>
    <t>sample cut( when in stock)</t>
    <phoneticPr fontId="2"/>
  </si>
  <si>
    <t>Based on Qty below</t>
    <phoneticPr fontId="2"/>
  </si>
  <si>
    <t>8000226</t>
    <phoneticPr fontId="2"/>
  </si>
  <si>
    <t>NINGBO ACTIVE SOURCING &amp; CONSULTING CO., LTD. (BANDIT RUNNING)</t>
    <phoneticPr fontId="2"/>
  </si>
  <si>
    <t>Based on quantities below</t>
    <phoneticPr fontId="272"/>
  </si>
  <si>
    <t>Sample Surcharge</t>
    <phoneticPr fontId="272"/>
  </si>
  <si>
    <t>FWL-92879 with 12740</t>
  </si>
  <si>
    <t>Mill's Off White x # 05 Black</t>
  </si>
  <si>
    <t>based on samlpe 10-15m/art&amp;color&amp;order (*please accept the entire finished qty)</t>
  </si>
  <si>
    <t>US$ 100/art&amp;color&amp;order</t>
    <phoneticPr fontId="272"/>
  </si>
  <si>
    <t xml:space="preserve">FWL-92904 with E3703 </t>
  </si>
  <si>
    <t>Mill's Off White x # 5 Black</t>
  </si>
  <si>
    <t>based on sample 20-25m/art&amp;color&amp;order (*please accept the entire finished qty)</t>
  </si>
  <si>
    <t>230926</t>
    <phoneticPr fontId="2"/>
  </si>
  <si>
    <t>SAG-7130</t>
    <phoneticPr fontId="2"/>
  </si>
  <si>
    <t>Velvet Fabric  Pile:100% Rayon, Ground:100% Cupro</t>
    <phoneticPr fontId="2"/>
  </si>
  <si>
    <t>C/#:502 Wine</t>
    <phoneticPr fontId="2"/>
  </si>
  <si>
    <t xml:space="preserve">DHL Collect </t>
    <phoneticPr fontId="2"/>
  </si>
  <si>
    <t>a</t>
    <phoneticPr fontId="2"/>
  </si>
  <si>
    <r>
      <rPr>
        <b/>
        <sz val="10"/>
        <rFont val="ＭＳ ゴシック"/>
        <family val="3"/>
        <charset val="128"/>
      </rPr>
      <t>単価</t>
    </r>
    <r>
      <rPr>
        <b/>
        <sz val="10"/>
        <rFont val="Arial"/>
        <family val="2"/>
      </rPr>
      <t xml:space="preserve">/m </t>
    </r>
    <rPh sb="0" eb="2">
      <t>タンカ</t>
    </rPh>
    <phoneticPr fontId="2"/>
  </si>
  <si>
    <t>168m</t>
    <phoneticPr fontId="2"/>
  </si>
  <si>
    <t>350m</t>
    <phoneticPr fontId="2"/>
  </si>
  <si>
    <t>1400m</t>
    <phoneticPr fontId="2"/>
  </si>
  <si>
    <t>900m</t>
    <phoneticPr fontId="2"/>
  </si>
  <si>
    <r>
      <t xml:space="preserve">Y20241028-15 </t>
    </r>
    <r>
      <rPr>
        <sz val="12"/>
        <color rgb="FF0070C0"/>
        <rFont val="Arial"/>
        <family val="2"/>
      </rPr>
      <t>ship to CAMBERLEY</t>
    </r>
    <phoneticPr fontId="2"/>
  </si>
  <si>
    <t>Shenzhen Wcx Garment Co., Ltd. (DOEN)</t>
    <phoneticPr fontId="2"/>
  </si>
  <si>
    <t>DTM Salt (piece dye)</t>
    <phoneticPr fontId="2"/>
  </si>
  <si>
    <t>202599(10/28/2024)</t>
    <phoneticPr fontId="2"/>
  </si>
  <si>
    <t>XIRENA (DDA Holdings, INC)</t>
    <phoneticPr fontId="2"/>
  </si>
  <si>
    <t>111-0052</t>
    <phoneticPr fontId="2"/>
  </si>
  <si>
    <r>
      <rPr>
        <sz val="11"/>
        <rFont val="MS UI Gothic"/>
        <family val="3"/>
        <charset val="128"/>
      </rPr>
      <t>東京都台東区柳橋</t>
    </r>
    <r>
      <rPr>
        <sz val="11"/>
        <rFont val="Times New Roman"/>
        <family val="3"/>
      </rPr>
      <t>2-16-14</t>
    </r>
    <r>
      <rPr>
        <sz val="11"/>
        <rFont val="游ゴシック"/>
        <family val="3"/>
        <charset val="128"/>
      </rPr>
      <t>バッグ会館</t>
    </r>
    <r>
      <rPr>
        <sz val="11"/>
        <rFont val="Times New Roman"/>
        <family val="3"/>
      </rPr>
      <t>5</t>
    </r>
    <r>
      <rPr>
        <sz val="11"/>
        <rFont val="游ゴシック"/>
        <family val="3"/>
        <charset val="128"/>
      </rPr>
      <t>階</t>
    </r>
    <phoneticPr fontId="2"/>
  </si>
  <si>
    <t>ITEM</t>
  </si>
  <si>
    <t>IMAGE</t>
  </si>
  <si>
    <t>SAMPLE Q'TY REQUEST</t>
  </si>
  <si>
    <t>CODE</t>
  </si>
  <si>
    <t>SIZE</t>
  </si>
  <si>
    <t>COLOR</t>
  </si>
  <si>
    <t xml:space="preserve"> UOM </t>
  </si>
  <si>
    <t>MOQ/MCQ</t>
  </si>
  <si>
    <t xml:space="preserve">under MOQ surcharge </t>
  </si>
  <si>
    <t>L/TIME SAMPLE</t>
  </si>
  <si>
    <t>L/TIME BULK</t>
  </si>
  <si>
    <t xml:space="preserve">20241030 Staud </t>
    <phoneticPr fontId="2"/>
  </si>
  <si>
    <t>PRICE PER PC</t>
    <phoneticPr fontId="2"/>
  </si>
  <si>
    <t>approx. 33mm</t>
    <phoneticPr fontId="2"/>
  </si>
  <si>
    <t>approx. 17mm</t>
    <phoneticPr fontId="2"/>
  </si>
  <si>
    <t>Select from Yarn color card &amp; ribbon color card</t>
    <phoneticPr fontId="2"/>
  </si>
  <si>
    <t xml:space="preserve">Select from Yarn color card </t>
    <phoneticPr fontId="2"/>
  </si>
  <si>
    <t xml:space="preserve"> Select from ribbon color card</t>
    <phoneticPr fontId="2"/>
  </si>
  <si>
    <t>Mill's Off White(undyed)</t>
    <phoneticPr fontId="2"/>
  </si>
  <si>
    <t>Mill's Black (yarn dyed)</t>
    <phoneticPr fontId="2"/>
  </si>
  <si>
    <t>EXW JAPAN: US$ 3.03/m</t>
    <phoneticPr fontId="2"/>
  </si>
  <si>
    <t>EXW JAPAN: US$ 2.48/m</t>
    <phoneticPr fontId="2"/>
  </si>
  <si>
    <r>
      <t xml:space="preserve">FWL-92904 with E3703 </t>
    </r>
    <r>
      <rPr>
        <sz val="10"/>
        <color rgb="FF0070C0"/>
        <rFont val="Arial  "/>
        <family val="2"/>
      </rPr>
      <t>(Poly lace x Poly grosgrain)</t>
    </r>
    <phoneticPr fontId="2"/>
  </si>
  <si>
    <t>EXW JAPAN: US$ 0.29/m</t>
    <phoneticPr fontId="2"/>
  </si>
  <si>
    <t>EXW JAPAN: US$ 0.81/m</t>
    <phoneticPr fontId="2"/>
  </si>
  <si>
    <t>EXW JAPAN: US$ 1.07/m</t>
    <phoneticPr fontId="2"/>
  </si>
  <si>
    <t>meter</t>
    <phoneticPr fontId="2"/>
  </si>
  <si>
    <t>Based on Production MOQ : approx. 150-170m/art&amp;color&amp;order (*please accept the entire finished qty)</t>
    <phoneticPr fontId="2"/>
  </si>
  <si>
    <t>approx. 150-170m/art&amp;color&amp;order (*please accept the entire finished qty)</t>
    <phoneticPr fontId="2"/>
  </si>
  <si>
    <t>US$ 90/art&amp;color&amp;order</t>
    <phoneticPr fontId="2"/>
  </si>
  <si>
    <r>
      <rPr>
        <sz val="10"/>
        <color rgb="FF000000"/>
        <rFont val="Segoe UI Symbol"/>
        <family val="2"/>
      </rPr>
      <t>◆</t>
    </r>
    <r>
      <rPr>
        <sz val="10"/>
        <color rgb="FF000000"/>
        <rFont val="Arial  "/>
        <family val="2"/>
      </rPr>
      <t xml:space="preserve">With ribbon stock→
15 - 20 working days
</t>
    </r>
    <r>
      <rPr>
        <sz val="10"/>
        <color rgb="FF000000"/>
        <rFont val="Segoe UI Symbol"/>
        <family val="2"/>
      </rPr>
      <t>◆</t>
    </r>
    <r>
      <rPr>
        <sz val="10"/>
        <color rgb="FF000000"/>
        <rFont val="Arial  "/>
        <family val="2"/>
      </rPr>
      <t>Without ribbon→TBC</t>
    </r>
    <phoneticPr fontId="2"/>
  </si>
  <si>
    <r>
      <rPr>
        <sz val="10"/>
        <color rgb="FF000000"/>
        <rFont val="Segoe UI Symbol"/>
        <family val="2"/>
      </rPr>
      <t>◆</t>
    </r>
    <r>
      <rPr>
        <sz val="10"/>
        <color rgb="FF000000"/>
        <rFont val="Arial  "/>
        <family val="2"/>
      </rPr>
      <t xml:space="preserve">With ribbon stock→
30 - 45 working days based on 1,000m
</t>
    </r>
    <r>
      <rPr>
        <sz val="10"/>
        <color rgb="FF000000"/>
        <rFont val="Segoe UI Symbol"/>
        <family val="2"/>
      </rPr>
      <t>◆</t>
    </r>
    <r>
      <rPr>
        <sz val="10"/>
        <color rgb="FF000000"/>
        <rFont val="Arial  "/>
        <family val="2"/>
      </rPr>
      <t>Without ribbon→TBC</t>
    </r>
    <phoneticPr fontId="2"/>
  </si>
  <si>
    <t xml:space="preserve">200m/art&amp;color&amp;order </t>
    <phoneticPr fontId="2"/>
  </si>
  <si>
    <t>US$ 65/art&amp;color&amp;order</t>
    <phoneticPr fontId="2"/>
  </si>
  <si>
    <t>15 - 20 working days</t>
    <phoneticPr fontId="2"/>
  </si>
  <si>
    <t>30 - 45 working days based on 1,000m</t>
    <phoneticPr fontId="2"/>
  </si>
  <si>
    <t xml:space="preserve">1 roll (30m/roll) /art&amp;color&amp;order </t>
    <phoneticPr fontId="2"/>
  </si>
  <si>
    <t>Please order by 1 roll</t>
    <phoneticPr fontId="2"/>
  </si>
  <si>
    <t>3 - 4 working days when in stock</t>
    <phoneticPr fontId="2"/>
  </si>
  <si>
    <t>TBC</t>
    <phoneticPr fontId="2"/>
  </si>
  <si>
    <t>1m</t>
    <phoneticPr fontId="2"/>
  </si>
  <si>
    <t>-</t>
    <phoneticPr fontId="2"/>
  </si>
  <si>
    <r>
      <t xml:space="preserve">FWL-92904 </t>
    </r>
    <r>
      <rPr>
        <sz val="10"/>
        <color rgb="FF0070C0"/>
        <rFont val="Arial  "/>
        <family val="2"/>
      </rPr>
      <t>(Poly lace only)</t>
    </r>
    <phoneticPr fontId="2"/>
  </si>
  <si>
    <r>
      <t>E3703</t>
    </r>
    <r>
      <rPr>
        <sz val="10"/>
        <color rgb="FF0070C0"/>
        <rFont val="Arial  "/>
        <family val="2"/>
      </rPr>
      <t xml:space="preserve"> (Poly grosgrain only)</t>
    </r>
    <phoneticPr fontId="2"/>
  </si>
  <si>
    <r>
      <t xml:space="preserve">FW-23797 </t>
    </r>
    <r>
      <rPr>
        <sz val="10"/>
        <color rgb="FF0070C0"/>
        <rFont val="Arial  "/>
        <family val="2"/>
      </rPr>
      <t>(Cotton lace only)</t>
    </r>
    <phoneticPr fontId="2"/>
  </si>
  <si>
    <t>approx. 4mm</t>
    <phoneticPr fontId="2"/>
  </si>
  <si>
    <t>N/A</t>
    <phoneticPr fontId="2"/>
  </si>
  <si>
    <t>UNIT PRICE</t>
    <phoneticPr fontId="2"/>
  </si>
  <si>
    <t>A&amp;FENG FASHION (Trina Turk)</t>
    <phoneticPr fontId="2"/>
  </si>
  <si>
    <r>
      <t xml:space="preserve">WAF24PT10089 </t>
    </r>
    <r>
      <rPr>
        <sz val="12"/>
        <color rgb="FF0070C0"/>
        <rFont val="Arial"/>
        <family val="2"/>
      </rPr>
      <t>ship to Huzhou China Feng Fashion Ltd</t>
    </r>
    <phoneticPr fontId="2"/>
  </si>
  <si>
    <t>over 10m</t>
    <phoneticPr fontId="2"/>
  </si>
  <si>
    <t>over 100m</t>
    <phoneticPr fontId="2"/>
  </si>
  <si>
    <t>over 300m</t>
    <phoneticPr fontId="2"/>
  </si>
  <si>
    <t>over 1000m</t>
    <phoneticPr fontId="2"/>
  </si>
  <si>
    <t>over 5000m</t>
    <phoneticPr fontId="2"/>
  </si>
  <si>
    <r>
      <rPr>
        <sz val="9.5"/>
        <rFont val="PMingLiU-ExtB"/>
        <family val="1"/>
      </rPr>
      <t>A1283</t>
    </r>
  </si>
  <si>
    <r>
      <rPr>
        <sz val="9.5"/>
        <rFont val="PMingLiU-ExtB"/>
        <family val="1"/>
      </rPr>
      <t>Nylon:50%,Cationic Polyester:40%,Polyurethane:10</t>
    </r>
  </si>
  <si>
    <r>
      <rPr>
        <sz val="9.5"/>
        <rFont val="PMingLiU-ExtB"/>
        <family val="1"/>
      </rPr>
      <t>ZEG2712</t>
    </r>
  </si>
  <si>
    <r>
      <rPr>
        <sz val="9.5"/>
        <rFont val="PMingLiU-ExtB"/>
        <family val="1"/>
      </rPr>
      <t>A1886</t>
    </r>
  </si>
  <si>
    <t>DOEN 20241101</t>
    <phoneticPr fontId="2"/>
  </si>
  <si>
    <t>DOEN  20241101</t>
    <phoneticPr fontId="2"/>
  </si>
  <si>
    <t>FWL-71642 / Mill's Off White (undyed)</t>
    <phoneticPr fontId="2"/>
  </si>
  <si>
    <t xml:space="preserve">FWL-71642 / Custom dye </t>
    <phoneticPr fontId="2"/>
  </si>
  <si>
    <t>FWL-71648 / Mill's Off White (undyed)</t>
    <phoneticPr fontId="2"/>
  </si>
  <si>
    <t xml:space="preserve">FWL-71648 / Custom dye </t>
    <phoneticPr fontId="2"/>
  </si>
  <si>
    <t>1,000m of Mill's Off White</t>
    <phoneticPr fontId="2"/>
  </si>
  <si>
    <t>AH24PT11001</t>
    <phoneticPr fontId="2"/>
  </si>
  <si>
    <t>SF-SH 20241105</t>
    <phoneticPr fontId="2"/>
  </si>
  <si>
    <t>KYL-T8237-1 / Mill's Off White (non-dyed)</t>
    <phoneticPr fontId="2"/>
  </si>
  <si>
    <t>KYL-T8237-1 / Custom color</t>
    <phoneticPr fontId="2"/>
  </si>
  <si>
    <t>JPY 15,000/col</t>
    <phoneticPr fontId="2"/>
  </si>
  <si>
    <r>
      <t xml:space="preserve">SUN-1003(November 6, 2024) </t>
    </r>
    <r>
      <rPr>
        <sz val="12"/>
        <color rgb="FF0070C0"/>
        <rFont val="Arial"/>
        <family val="2"/>
      </rPr>
      <t>ship to HS Fashion</t>
    </r>
    <phoneticPr fontId="2"/>
  </si>
  <si>
    <t>FWL-3131s</t>
    <phoneticPr fontId="2"/>
  </si>
  <si>
    <t>Lace trim  88% Cotton, 8% Rayon, 4% Polyurethane</t>
    <phoneticPr fontId="2"/>
  </si>
  <si>
    <t>202851(11/12/2024)</t>
    <phoneticPr fontId="2"/>
  </si>
  <si>
    <t>20241113 Trina Turk</t>
    <phoneticPr fontId="2"/>
  </si>
  <si>
    <t>KYL-23438 / Mill's Off White or Optic White</t>
    <phoneticPr fontId="2"/>
  </si>
  <si>
    <t>20241113 The Little Project</t>
    <phoneticPr fontId="2"/>
  </si>
  <si>
    <t>DOEN  20241118</t>
    <phoneticPr fontId="2"/>
  </si>
  <si>
    <t>FWL-24433 / Mill's Off White (undyed)</t>
    <phoneticPr fontId="2"/>
  </si>
  <si>
    <t xml:space="preserve">FWL-24433 / Custom dye </t>
    <phoneticPr fontId="2"/>
  </si>
  <si>
    <t>染色小口代 10,000円</t>
    <rPh sb="0" eb="2">
      <t>センショク</t>
    </rPh>
    <rPh sb="2" eb="4">
      <t>コグチ</t>
    </rPh>
    <rPh sb="4" eb="5">
      <t>ダイ</t>
    </rPh>
    <rPh sb="12" eb="13">
      <t>エン</t>
    </rPh>
    <phoneticPr fontId="2"/>
  </si>
  <si>
    <t>500m of Mill's Off White</t>
    <phoneticPr fontId="2"/>
  </si>
  <si>
    <t>仕入れ</t>
    <rPh sb="0" eb="2">
      <t>シイ</t>
    </rPh>
    <phoneticPr fontId="2"/>
  </si>
  <si>
    <t>Venus Walks 20241120</t>
    <phoneticPr fontId="2"/>
  </si>
  <si>
    <t xml:space="preserve">FWL-3131s with wider ribbon holes </t>
    <phoneticPr fontId="2"/>
  </si>
  <si>
    <t>Development fee</t>
    <phoneticPr fontId="2"/>
  </si>
  <si>
    <t>DTM MAGNOLIA 12-0703 tcx(piece dye)</t>
    <phoneticPr fontId="2"/>
  </si>
  <si>
    <t>DTM MAUVEWOOD 17-1522 tcx(piece dye)</t>
    <phoneticPr fontId="2"/>
  </si>
  <si>
    <t>FWL-41046s as Inset lace</t>
    <phoneticPr fontId="2"/>
  </si>
  <si>
    <t>Dye fee (No color rejection)</t>
    <phoneticPr fontId="2"/>
  </si>
  <si>
    <t xml:space="preserve">FWL-41046s &amp; FWL-41163s &amp; FWL-41179s </t>
    <phoneticPr fontId="2"/>
  </si>
  <si>
    <t xml:space="preserve"> FWL-41163s as Inset lace</t>
    <phoneticPr fontId="2"/>
  </si>
  <si>
    <t xml:space="preserve"> FWL-41179s  as Inset lace</t>
    <phoneticPr fontId="2"/>
  </si>
  <si>
    <t>??</t>
    <phoneticPr fontId="2"/>
  </si>
  <si>
    <t>Art.</t>
    <phoneticPr fontId="2"/>
  </si>
  <si>
    <r>
      <t xml:space="preserve">Dye fee (No color rejection </t>
    </r>
    <r>
      <rPr>
        <sz val="12"/>
        <rFont val="ＭＳ Ｐゴシック"/>
        <family val="2"/>
        <charset val="128"/>
      </rPr>
      <t>調整不可</t>
    </r>
    <r>
      <rPr>
        <sz val="12"/>
        <rFont val="Arial"/>
        <family val="2"/>
      </rPr>
      <t>)</t>
    </r>
    <rPh sb="28" eb="30">
      <t>チョウセイ</t>
    </rPh>
    <rPh sb="30" eb="32">
      <t>フカ</t>
    </rPh>
    <phoneticPr fontId="2"/>
  </si>
  <si>
    <t>EXW JAPAN /m or set</t>
    <phoneticPr fontId="2"/>
  </si>
  <si>
    <t xml:space="preserve">TBC </t>
    <phoneticPr fontId="2"/>
  </si>
  <si>
    <t>SS25-114 (11/21/24)</t>
    <phoneticPr fontId="2"/>
  </si>
  <si>
    <r>
      <rPr>
        <b/>
        <sz val="10"/>
        <rFont val="ＭＳ Ｐゴシック"/>
        <family val="2"/>
        <charset val="128"/>
      </rPr>
      <t>単価/</t>
    </r>
    <r>
      <rPr>
        <b/>
        <sz val="10"/>
        <rFont val="Arial"/>
        <family val="2"/>
      </rPr>
      <t>m</t>
    </r>
    <rPh sb="0" eb="2">
      <t>タンカ</t>
    </rPh>
    <phoneticPr fontId="2"/>
  </si>
  <si>
    <r>
      <t>280</t>
    </r>
    <r>
      <rPr>
        <sz val="10"/>
        <rFont val="ＭＳ Ｐゴシック"/>
        <family val="2"/>
        <charset val="128"/>
      </rPr>
      <t>円</t>
    </r>
    <rPh sb="3" eb="4">
      <t>エン</t>
    </rPh>
    <phoneticPr fontId="2"/>
  </si>
  <si>
    <t>SUN-1004(November 21, 2024)</t>
  </si>
  <si>
    <t>SUN-1004(November 21, 2024)</t>
    <phoneticPr fontId="2"/>
  </si>
  <si>
    <t>FWL-41179s &amp; FWL-41046s &amp; FWL-41163s</t>
    <phoneticPr fontId="2"/>
  </si>
  <si>
    <t>TBC after the trial</t>
    <phoneticPr fontId="2"/>
  </si>
  <si>
    <t>50540(11/22/2024)</t>
    <phoneticPr fontId="2"/>
  </si>
  <si>
    <t>20241125　Simkhai</t>
    <phoneticPr fontId="2"/>
  </si>
  <si>
    <t>Mill's Standard Color</t>
    <phoneticPr fontId="2"/>
  </si>
  <si>
    <t>US$12/cut</t>
    <phoneticPr fontId="2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</si>
  <si>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 xml:space="preserve">込）
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2"/>
  </si>
  <si>
    <t>DTM color based on 1 roll</t>
    <phoneticPr fontId="2"/>
  </si>
  <si>
    <t>N/A</t>
    <phoneticPr fontId="2"/>
  </si>
  <si>
    <t>5311</t>
    <phoneticPr fontId="2"/>
  </si>
  <si>
    <t>The color / size may slightly vary on each roll
because of the characteristic of coating.</t>
    <phoneticPr fontId="2"/>
  </si>
  <si>
    <t>20241125 Johnny Was</t>
    <phoneticPr fontId="2"/>
  </si>
  <si>
    <t>DOEN 20241125</t>
    <phoneticPr fontId="2"/>
  </si>
  <si>
    <t>FUT2187-W D/#1</t>
    <phoneticPr fontId="2"/>
  </si>
  <si>
    <t>DTM Chocolate(#19-1015 TCX)</t>
    <phoneticPr fontId="2"/>
  </si>
  <si>
    <t># 412 pomegranate</t>
    <phoneticPr fontId="2"/>
  </si>
  <si>
    <t>FW25 SMS FAB</t>
    <phoneticPr fontId="2"/>
  </si>
  <si>
    <r>
      <t>202997(11/26/2024)</t>
    </r>
    <r>
      <rPr>
        <sz val="12"/>
        <color rgb="FFFF0000"/>
        <rFont val="Arial"/>
        <family val="2"/>
      </rPr>
      <t xml:space="preserve">ship to India </t>
    </r>
    <phoneticPr fontId="2"/>
  </si>
  <si>
    <t>20241128  DDA</t>
    <phoneticPr fontId="2"/>
  </si>
  <si>
    <t>Regular price (less than 3,000m)</t>
    <phoneticPr fontId="2"/>
  </si>
  <si>
    <t>3,000m - 4,999m</t>
    <phoneticPr fontId="2"/>
  </si>
  <si>
    <t>単価</t>
    <rPh sb="0" eb="2">
      <t>タンカ</t>
    </rPh>
    <phoneticPr fontId="2"/>
  </si>
  <si>
    <t>5,000m -</t>
    <phoneticPr fontId="2"/>
  </si>
  <si>
    <t>AW24-LACE2 (12/2/2024)</t>
    <phoneticPr fontId="2"/>
  </si>
  <si>
    <t>FWL-92935s / Mill's Off White (undyed)</t>
    <phoneticPr fontId="2"/>
  </si>
  <si>
    <t xml:space="preserve">FWL-92935s / Custom dye </t>
    <phoneticPr fontId="2"/>
  </si>
  <si>
    <t>HANGZHOU HS FASHION CORPORATION LTD.(DOEN)</t>
    <phoneticPr fontId="2"/>
  </si>
  <si>
    <t>Art. # (Lace Trim 100% Polyester)</t>
    <phoneticPr fontId="2"/>
  </si>
  <si>
    <t xml:space="preserve">EXW JAPAN /m 
based on  5,775m </t>
    <phoneticPr fontId="2"/>
  </si>
  <si>
    <t>Lace min. 400m</t>
    <phoneticPr fontId="2"/>
  </si>
  <si>
    <t>Lace min. 400m, Dye min. 100m/col</t>
    <phoneticPr fontId="2"/>
  </si>
  <si>
    <t xml:space="preserve"> Minimum surcharge for orders below lace min. </t>
    <phoneticPr fontId="2"/>
  </si>
  <si>
    <t>US$ 65/order</t>
    <phoneticPr fontId="2"/>
  </si>
  <si>
    <t>US$ 75/col&amp;order</t>
    <phoneticPr fontId="2"/>
  </si>
  <si>
    <t>20241205 HS Fashion ( DOEN)</t>
    <phoneticPr fontId="2"/>
  </si>
  <si>
    <t>20241205  DOEN</t>
    <phoneticPr fontId="2"/>
  </si>
  <si>
    <t>202401209-1</t>
    <phoneticPr fontId="2"/>
  </si>
  <si>
    <t>T2120 (Micro Tulle)</t>
    <phoneticPr fontId="2"/>
  </si>
  <si>
    <t>US$12/cut (up to 25m)</t>
    <phoneticPr fontId="2"/>
  </si>
  <si>
    <t>150cm×50m</t>
    <phoneticPr fontId="2"/>
  </si>
  <si>
    <t>20241210　ALC</t>
    <phoneticPr fontId="2"/>
  </si>
  <si>
    <t># 33</t>
    <phoneticPr fontId="2"/>
  </si>
  <si>
    <t>ALC-241210</t>
    <phoneticPr fontId="2"/>
  </si>
  <si>
    <r>
      <t>20241210 Simkhai  50% 120</t>
    </r>
    <r>
      <rPr>
        <sz val="10"/>
        <color rgb="FF000000"/>
        <rFont val="ＭＳ Ｐゴシック"/>
        <family val="3"/>
        <charset val="128"/>
      </rPr>
      <t>円</t>
    </r>
    <rPh sb="25" eb="26">
      <t>エン</t>
    </rPh>
    <phoneticPr fontId="2"/>
  </si>
  <si>
    <t>TI-3657-10</t>
    <phoneticPr fontId="2"/>
  </si>
  <si>
    <r>
      <t>3,000m/col &amp; order 
(Dye fee if below Dye min./col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US$190/col &amp; order)</t>
    </r>
    <phoneticPr fontId="2"/>
  </si>
  <si>
    <t>FWL-92935s</t>
    <phoneticPr fontId="2"/>
  </si>
  <si>
    <r>
      <t>20241210 DOEN 20% 120</t>
    </r>
    <r>
      <rPr>
        <sz val="10"/>
        <color rgb="FF000000"/>
        <rFont val="ＭＳ Ｐゴシック"/>
        <family val="3"/>
        <charset val="128"/>
      </rPr>
      <t>円</t>
    </r>
    <rPh sb="21" eb="22">
      <t>エン</t>
    </rPh>
    <phoneticPr fontId="2"/>
  </si>
  <si>
    <t>GS-NS10-198TR</t>
    <phoneticPr fontId="2"/>
  </si>
  <si>
    <t>140/145cm×50m</t>
    <phoneticPr fontId="2"/>
  </si>
  <si>
    <t>Size (approx.)</t>
    <phoneticPr fontId="2"/>
  </si>
  <si>
    <t>Composition</t>
    <phoneticPr fontId="2"/>
  </si>
  <si>
    <t>Polyester x Rayon mix</t>
    <phoneticPr fontId="2"/>
  </si>
  <si>
    <t>仕入れ（キバタ生産アップチャージ含む）</t>
    <rPh sb="0" eb="2">
      <t>シイ</t>
    </rPh>
    <rPh sb="16" eb="17">
      <t>フク</t>
    </rPh>
    <phoneticPr fontId="2"/>
  </si>
  <si>
    <t>GS-NS0030TR</t>
    <phoneticPr fontId="2"/>
  </si>
  <si>
    <t>GS-NS4-095TR</t>
    <phoneticPr fontId="2"/>
  </si>
  <si>
    <t>GS-NS2487TR</t>
    <phoneticPr fontId="2"/>
  </si>
  <si>
    <t>Color</t>
    <phoneticPr fontId="2"/>
  </si>
  <si>
    <t>Mill's Off White &amp; Black</t>
    <phoneticPr fontId="2"/>
  </si>
  <si>
    <t>MOQ</t>
    <phoneticPr fontId="2"/>
  </si>
  <si>
    <t>1 roll/col</t>
    <phoneticPr fontId="2"/>
  </si>
  <si>
    <t>DTM Light Blue</t>
    <phoneticPr fontId="2"/>
  </si>
  <si>
    <t>DTM Baby Pink</t>
    <phoneticPr fontId="2"/>
  </si>
  <si>
    <t>Lab-dip fee</t>
    <phoneticPr fontId="2"/>
  </si>
  <si>
    <t>FWL-92938s</t>
    <phoneticPr fontId="2"/>
  </si>
  <si>
    <t>FWL-92939s</t>
    <phoneticPr fontId="2"/>
  </si>
  <si>
    <t>FWL-92940s</t>
    <phoneticPr fontId="2"/>
  </si>
  <si>
    <t>20241213  DOEN</t>
    <phoneticPr fontId="2"/>
  </si>
  <si>
    <r>
      <rPr>
        <sz val="10"/>
        <color rgb="FF0070C0"/>
        <rFont val="ＭＳ Ｐゴシック"/>
        <family val="2"/>
        <charset val="128"/>
      </rPr>
      <t>生産ミニマム400</t>
    </r>
    <r>
      <rPr>
        <sz val="10"/>
        <color rgb="FF0070C0"/>
        <rFont val="Arial"/>
        <family val="2"/>
      </rPr>
      <t xml:space="preserve">m , </t>
    </r>
    <r>
      <rPr>
        <sz val="10"/>
        <color rgb="FF0070C0"/>
        <rFont val="ＭＳ Ｐゴシック"/>
        <family val="2"/>
        <charset val="128"/>
      </rPr>
      <t>小口代6,000円</t>
    </r>
    <rPh sb="0" eb="2">
      <t>セイサン</t>
    </rPh>
    <rPh sb="13" eb="16">
      <t>コグチダイ</t>
    </rPh>
    <rPh sb="21" eb="22">
      <t>エン</t>
    </rPh>
    <phoneticPr fontId="2"/>
  </si>
  <si>
    <t xml:space="preserve">FWL-92938s / Mill's Off White (undyed)
→ FWL-41179s  as Inset lace </t>
    <phoneticPr fontId="2"/>
  </si>
  <si>
    <t xml:space="preserve">FWL-92938s / Custom dye 
→ FWL-41179s  as Inset lace </t>
    <phoneticPr fontId="2"/>
  </si>
  <si>
    <t>FWL-92939s / Mill's Off White (undyed)
→FWL-41046s as Inset lace</t>
    <phoneticPr fontId="2"/>
  </si>
  <si>
    <t>FWL-92939s / Custom dye 
→FWL-41046s as Inset lace</t>
    <phoneticPr fontId="2"/>
  </si>
  <si>
    <t>FWL-92940s / Mill's Off White (undyed)
→ FWL-41163s as Inset lace</t>
    <phoneticPr fontId="2"/>
  </si>
  <si>
    <t>FWL-92940s / Custom dye 
→ FWL-41163s as Inset lace</t>
    <phoneticPr fontId="2"/>
  </si>
  <si>
    <t>Lace trim  94% Cotton, 6% Polyurethane</t>
    <phoneticPr fontId="2"/>
  </si>
  <si>
    <t xml:space="preserve">20241216 Simkhai </t>
    <phoneticPr fontId="2"/>
  </si>
  <si>
    <t>TI-LN-9D</t>
    <phoneticPr fontId="2"/>
  </si>
  <si>
    <t>3,000m/col &amp; order 
(Dye fee if below Dye min./col→US$190/col &amp; order)</t>
    <phoneticPr fontId="2"/>
  </si>
  <si>
    <r>
      <t>Stretch Tape   Nylon 83%</t>
    </r>
    <r>
      <rPr>
        <sz val="12"/>
        <rFont val="ＭＳ ゴシック"/>
        <family val="3"/>
        <charset val="128"/>
      </rPr>
      <t>、</t>
    </r>
    <r>
      <rPr>
        <sz val="12"/>
        <rFont val="Arial"/>
        <family val="2"/>
      </rPr>
      <t>Polyurethane 17%</t>
    </r>
    <phoneticPr fontId="2"/>
  </si>
  <si>
    <t>0.37/m</t>
    <phoneticPr fontId="2"/>
  </si>
  <si>
    <t xml:space="preserve"> </t>
    <phoneticPr fontId="2"/>
  </si>
  <si>
    <t>108555</t>
    <phoneticPr fontId="2"/>
  </si>
  <si>
    <t>Textiles Opico, S.A. de C.V.</t>
    <phoneticPr fontId="2"/>
  </si>
  <si>
    <t>PROTEX INDUSTRIAL (H.K.) LIMITED(Simkhai)</t>
    <phoneticPr fontId="2"/>
  </si>
  <si>
    <t>PRT-241218</t>
    <phoneticPr fontId="2"/>
  </si>
  <si>
    <t>PFD: CHINA</t>
    <phoneticPr fontId="2"/>
  </si>
  <si>
    <t>Col. 00</t>
    <phoneticPr fontId="2"/>
  </si>
  <si>
    <t>Col. 56</t>
    <phoneticPr fontId="2"/>
  </si>
  <si>
    <t>Irmãos Rodrigues Confecções, S. A.(DOEN)</t>
    <phoneticPr fontId="2"/>
  </si>
  <si>
    <t>IRC-241219</t>
    <phoneticPr fontId="2"/>
  </si>
  <si>
    <t>THESEVENCONTINENTS</t>
    <phoneticPr fontId="2"/>
  </si>
  <si>
    <t>Col. 56 (Undyed)</t>
    <phoneticPr fontId="2"/>
  </si>
  <si>
    <t>SUN-1004(November 21, 2024)</t>
    <phoneticPr fontId="2"/>
  </si>
  <si>
    <t>294R</t>
    <phoneticPr fontId="2"/>
  </si>
  <si>
    <r>
      <t>20241220  Frankies Bikinis  40% 120</t>
    </r>
    <r>
      <rPr>
        <b/>
        <sz val="10"/>
        <rFont val="ＭＳ Ｐゴシック"/>
        <family val="3"/>
        <charset val="128"/>
      </rPr>
      <t>円</t>
    </r>
    <rPh sb="35" eb="36">
      <t>エン</t>
    </rPh>
    <phoneticPr fontId="2"/>
  </si>
  <si>
    <r>
      <t>20240201  Frankies Bikinis  50% 120</t>
    </r>
    <r>
      <rPr>
        <b/>
        <sz val="10"/>
        <rFont val="ＭＳ Ｐゴシック"/>
        <family val="3"/>
        <charset val="128"/>
      </rPr>
      <t>円</t>
    </r>
    <rPh sb="35" eb="36">
      <t>エン</t>
    </rPh>
    <phoneticPr fontId="2"/>
  </si>
  <si>
    <t>染色代 : 7000円→US$ 75 /col</t>
    <rPh sb="0" eb="2">
      <t>センショク</t>
    </rPh>
    <rPh sb="2" eb="3">
      <t>ダイ</t>
    </rPh>
    <rPh sb="10" eb="11">
      <t>エン</t>
    </rPh>
    <phoneticPr fontId="2"/>
  </si>
  <si>
    <t>4158</t>
    <phoneticPr fontId="2"/>
  </si>
  <si>
    <t>Frankies Bikinis, LLC</t>
    <phoneticPr fontId="2"/>
  </si>
  <si>
    <t>DTM Bright White (11-0601 TCX)</t>
    <phoneticPr fontId="2"/>
  </si>
  <si>
    <t>e</t>
    <phoneticPr fontId="2"/>
  </si>
  <si>
    <t>Dye Fee</t>
    <phoneticPr fontId="2"/>
  </si>
  <si>
    <t>Stretch Torchon Lace  74% Cotton, 15% Nylon,  11% Pu</t>
    <phoneticPr fontId="2"/>
  </si>
  <si>
    <t>濵田</t>
    <rPh sb="0" eb="1">
      <t>ハマ</t>
    </rPh>
    <rPh sb="1" eb="2">
      <t>タ</t>
    </rPh>
    <phoneticPr fontId="2"/>
  </si>
  <si>
    <r>
      <t>FWL-92938s &amp;</t>
    </r>
    <r>
      <rPr>
        <sz val="12"/>
        <rFont val="ＭＳ Ｐゴシック"/>
        <family val="2"/>
        <charset val="128"/>
      </rPr>
      <t>　</t>
    </r>
    <r>
      <rPr>
        <sz val="12"/>
        <rFont val="Arial"/>
        <family val="2"/>
      </rPr>
      <t>FWL-92939s &amp; FWL-92940s</t>
    </r>
    <phoneticPr fontId="2"/>
  </si>
  <si>
    <t>AAG (NINGBO) TECHNOLOGY SERVICE CO., LTD (BANDIT RUNNING)</t>
    <phoneticPr fontId="2"/>
  </si>
  <si>
    <t># 20 Deep Peri Blue</t>
    <phoneticPr fontId="2"/>
  </si>
  <si>
    <t># 109 Minty Blue</t>
    <phoneticPr fontId="2"/>
  </si>
  <si>
    <t>color</t>
    <phoneticPr fontId="2"/>
  </si>
  <si>
    <t>在庫</t>
    <rPh sb="0" eb="2">
      <t>ザイコ</t>
    </rPh>
    <phoneticPr fontId="2"/>
  </si>
  <si>
    <r>
      <t xml:space="preserve">SF-PF25-001(December 27, 2024) </t>
    </r>
    <r>
      <rPr>
        <sz val="12"/>
        <color rgb="FF0070C0"/>
        <rFont val="Arial"/>
        <family val="2"/>
      </rPr>
      <t xml:space="preserve">ship to Chinamine Trading </t>
    </r>
    <phoneticPr fontId="2"/>
  </si>
  <si>
    <t>Lace trim  100% Cotton</t>
    <phoneticPr fontId="2"/>
  </si>
  <si>
    <t>FWL-71642</t>
    <phoneticPr fontId="2"/>
  </si>
  <si>
    <t>FWL-24433</t>
    <phoneticPr fontId="2"/>
  </si>
  <si>
    <t>8000273 (2024-12-25)</t>
    <phoneticPr fontId="2"/>
  </si>
  <si>
    <t>Dye fee for revision</t>
    <phoneticPr fontId="2"/>
  </si>
  <si>
    <t>Y20241028-15 ship to CAMBERLEY</t>
    <phoneticPr fontId="2"/>
  </si>
  <si>
    <t>AH25PT01001</t>
    <phoneticPr fontId="2"/>
  </si>
  <si>
    <t>Bank Fee</t>
    <phoneticPr fontId="2"/>
  </si>
  <si>
    <t>TI-1420</t>
  </si>
  <si>
    <t xml:space="preserve">Cotton Cord 51 colors </t>
  </si>
  <si>
    <t>E3709</t>
  </si>
  <si>
    <t>TI-1190</t>
  </si>
  <si>
    <t>TI-1120</t>
  </si>
  <si>
    <t>TI-5400</t>
  </si>
  <si>
    <t xml:space="preserve">Elastic Book </t>
  </si>
  <si>
    <t>Article number (sample card)</t>
    <phoneticPr fontId="2"/>
  </si>
  <si>
    <t>Sample card price /set</t>
    <phoneticPr fontId="2"/>
  </si>
  <si>
    <t>we will waive</t>
    <phoneticPr fontId="2"/>
  </si>
  <si>
    <r>
      <t>CO-natural material cord PART1</t>
    </r>
    <r>
      <rPr>
        <sz val="10"/>
        <rFont val="BIZ UDPゴシック"/>
        <family val="3"/>
        <charset val="128"/>
      </rPr>
      <t xml:space="preserve">　
</t>
    </r>
    <r>
      <rPr>
        <sz val="10"/>
        <rFont val="Arial"/>
        <family val="2"/>
      </rPr>
      <t>as an alternative of 5259</t>
    </r>
    <phoneticPr fontId="2"/>
  </si>
  <si>
    <t>We do not have sample cards for these tapes. However, we will provide a color copy along with some available swatches</t>
    <phoneticPr fontId="2"/>
  </si>
  <si>
    <t>Strap 1 ( the page with 10-D11574)</t>
    <phoneticPr fontId="2"/>
  </si>
  <si>
    <t>Cord 1 (the page with 5-SLP)</t>
    <phoneticPr fontId="2"/>
  </si>
  <si>
    <t>Under tape 2 (the page with 10-7006)</t>
    <phoneticPr fontId="2"/>
  </si>
  <si>
    <t>Waist Tape 1 ( the page with 220-20)</t>
    <phoneticPr fontId="2"/>
  </si>
  <si>
    <t>Under tape 1 (the page with 10-D9315)</t>
    <phoneticPr fontId="2"/>
  </si>
  <si>
    <t>14552 (rayon grosgrain)</t>
    <phoneticPr fontId="2"/>
  </si>
  <si>
    <t>E3703 (poly grosgrain)</t>
    <phoneticPr fontId="2"/>
  </si>
  <si>
    <t>Total sample cost</t>
    <phoneticPr fontId="2"/>
  </si>
  <si>
    <t>16117</t>
    <phoneticPr fontId="2"/>
  </si>
  <si>
    <t xml:space="preserve">Swatches from Elastic Book </t>
    <phoneticPr fontId="2"/>
  </si>
  <si>
    <t>CO-natural material cord PART1 (as an alternative of 5259)</t>
    <phoneticPr fontId="2"/>
  </si>
  <si>
    <t>Eterne</t>
    <phoneticPr fontId="2"/>
  </si>
  <si>
    <t>ETN-250122</t>
    <phoneticPr fontId="2"/>
  </si>
  <si>
    <t>SF012725-SP25 (1/27/2025)</t>
    <phoneticPr fontId="2"/>
  </si>
  <si>
    <t># 135 BONE/PFD</t>
    <phoneticPr fontId="2"/>
  </si>
  <si>
    <t>315 (2025/1/27)</t>
    <phoneticPr fontId="2"/>
  </si>
  <si>
    <t>2025-SD-0036-26 (R25P1019VL)</t>
    <phoneticPr fontId="2"/>
  </si>
  <si>
    <t>2025-SD-0035-20 (R25P2173VL)</t>
    <phoneticPr fontId="2"/>
  </si>
  <si>
    <r>
      <t>20250210  Buck Mason  40% 120</t>
    </r>
    <r>
      <rPr>
        <b/>
        <sz val="10"/>
        <rFont val="ＭＳ Ｐゴシック"/>
        <family val="3"/>
        <charset val="128"/>
      </rPr>
      <t>円</t>
    </r>
    <rPh sb="29" eb="30">
      <t>エン</t>
    </rPh>
    <phoneticPr fontId="2"/>
  </si>
  <si>
    <t>FWL-75089 (Silk 100%)</t>
    <phoneticPr fontId="2"/>
  </si>
  <si>
    <t>400m /col</t>
    <phoneticPr fontId="2"/>
  </si>
  <si>
    <r>
      <rPr>
        <b/>
        <sz val="10"/>
        <rFont val="ＭＳ Ｐゴシック"/>
        <family val="3"/>
        <charset val="128"/>
      </rPr>
      <t>仕入れ単価</t>
    </r>
    <rPh sb="0" eb="2">
      <t>シイ</t>
    </rPh>
    <rPh sb="3" eb="5">
      <t>タンカ</t>
    </rPh>
    <phoneticPr fontId="2"/>
  </si>
  <si>
    <t>Shalom B</t>
    <phoneticPr fontId="2"/>
  </si>
  <si>
    <t>R10071-(Feb 10 25)</t>
    <phoneticPr fontId="2"/>
  </si>
  <si>
    <t xml:space="preserve"># 129 STEEL </t>
    <phoneticPr fontId="2"/>
  </si>
  <si>
    <t># 132 BLACK</t>
    <phoneticPr fontId="2"/>
  </si>
  <si>
    <t>BUCK MASON</t>
    <phoneticPr fontId="2"/>
  </si>
  <si>
    <t>BM-250213</t>
    <phoneticPr fontId="2"/>
  </si>
  <si>
    <t>Lace trim  100% Silk</t>
    <phoneticPr fontId="2"/>
  </si>
  <si>
    <t xml:space="preserve">FWL-75089 </t>
    <phoneticPr fontId="2"/>
  </si>
  <si>
    <t>BM-250213 ship to Chinamine</t>
    <phoneticPr fontId="2"/>
  </si>
  <si>
    <t>DTM color ( piece-dye)</t>
    <phoneticPr fontId="2"/>
  </si>
  <si>
    <t>Colors from our yarn color card (yarn-dye)</t>
    <phoneticPr fontId="2"/>
  </si>
  <si>
    <t>100m /col</t>
    <phoneticPr fontId="2"/>
  </si>
  <si>
    <t>20250220　The SEI</t>
    <phoneticPr fontId="2"/>
  </si>
  <si>
    <t xml:space="preserve">NN007-CB </t>
    <phoneticPr fontId="2"/>
  </si>
  <si>
    <t>5262</t>
    <phoneticPr fontId="2"/>
  </si>
  <si>
    <t>Stock as of 
Feb 25th, 2025</t>
    <phoneticPr fontId="2"/>
  </si>
  <si>
    <t>8,400m</t>
    <phoneticPr fontId="2"/>
  </si>
  <si>
    <t>600m</t>
    <phoneticPr fontId="2"/>
  </si>
  <si>
    <t>300m</t>
    <phoneticPr fontId="2"/>
  </si>
  <si>
    <t>5,900m</t>
    <phoneticPr fontId="2"/>
  </si>
  <si>
    <t>輸出梱包費用</t>
    <rPh sb="0" eb="2">
      <t>ユシュツ</t>
    </rPh>
    <rPh sb="2" eb="4">
      <t>コンポウ</t>
    </rPh>
    <rPh sb="4" eb="6">
      <t>ヒヨウ</t>
    </rPh>
    <phoneticPr fontId="2"/>
  </si>
  <si>
    <t>??</t>
    <phoneticPr fontId="2"/>
  </si>
  <si>
    <t># 17 LIGHT BLUE</t>
    <phoneticPr fontId="2"/>
  </si>
  <si>
    <t>109075(25-Feb-2025)</t>
    <phoneticPr fontId="2"/>
  </si>
  <si>
    <t>8000317 (2025-02-27)</t>
    <phoneticPr fontId="2"/>
  </si>
  <si>
    <t>Col.24 Black</t>
    <phoneticPr fontId="2"/>
  </si>
  <si>
    <t>54089(02/28/2025)</t>
    <phoneticPr fontId="2"/>
  </si>
  <si>
    <r>
      <t>20250302  Paige  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</si>
  <si>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FWL-71423</t>
    <phoneticPr fontId="2"/>
  </si>
  <si>
    <t>FWL-71052</t>
    <phoneticPr fontId="2"/>
  </si>
  <si>
    <t>FWL-71051</t>
    <phoneticPr fontId="2"/>
  </si>
  <si>
    <r>
      <t>Simkhai 20250304  20% 130</t>
    </r>
    <r>
      <rPr>
        <sz val="10"/>
        <rFont val="ＭＳ Ｐゴシック"/>
        <family val="3"/>
        <charset val="128"/>
      </rPr>
      <t>円</t>
    </r>
    <rPh sb="25" eb="26">
      <t>エン</t>
    </rPh>
    <phoneticPr fontId="2"/>
  </si>
  <si>
    <t>FUT9831 D/# 1 &amp; 2
Sample cut price (～2.9m→US$15/cut)</t>
    <phoneticPr fontId="2"/>
  </si>
  <si>
    <t>FUT9831 D/# 1 &amp; 2
based on Regular price</t>
    <phoneticPr fontId="2"/>
  </si>
  <si>
    <r>
      <t xml:space="preserve">231218 </t>
    </r>
    <r>
      <rPr>
        <sz val="12"/>
        <color rgb="FF0070C0"/>
        <rFont val="Arial"/>
        <family val="2"/>
      </rPr>
      <t>LA</t>
    </r>
    <phoneticPr fontId="2"/>
  </si>
  <si>
    <r>
      <t xml:space="preserve">231219 </t>
    </r>
    <r>
      <rPr>
        <sz val="12"/>
        <color rgb="FF0070C0"/>
        <rFont val="Arial"/>
        <family val="2"/>
      </rPr>
      <t>LA</t>
    </r>
    <phoneticPr fontId="2"/>
  </si>
  <si>
    <t xml:space="preserve"># 429 Ivory  </t>
    <phoneticPr fontId="2"/>
  </si>
  <si>
    <t xml:space="preserve"># 47 Dark Violet </t>
    <phoneticPr fontId="2"/>
  </si>
  <si>
    <t xml:space="preserve"># 504 Mint  </t>
    <phoneticPr fontId="2"/>
  </si>
  <si>
    <t>16214</t>
    <phoneticPr fontId="2"/>
  </si>
  <si>
    <t>Shipments on hold since 2024</t>
    <phoneticPr fontId="2"/>
  </si>
  <si>
    <t>230759 LA</t>
    <phoneticPr fontId="2"/>
  </si>
  <si>
    <t>230788 LA</t>
    <phoneticPr fontId="2"/>
  </si>
  <si>
    <t xml:space="preserve">New orders received on March 3rd </t>
    <phoneticPr fontId="2"/>
  </si>
  <si>
    <r>
      <t xml:space="preserve">231218 </t>
    </r>
    <r>
      <rPr>
        <sz val="10"/>
        <color rgb="FF0070C0"/>
        <rFont val="Arial"/>
        <family val="2"/>
      </rPr>
      <t>LA</t>
    </r>
    <phoneticPr fontId="2"/>
  </si>
  <si>
    <r>
      <t xml:space="preserve">231219 </t>
    </r>
    <r>
      <rPr>
        <sz val="10"/>
        <color rgb="FF0070C0"/>
        <rFont val="Arial"/>
        <family val="2"/>
      </rPr>
      <t>LA</t>
    </r>
    <phoneticPr fontId="2"/>
  </si>
  <si>
    <t xml:space="preserve">SUN-5035 (Hard tulle / 50d Tulle) </t>
    <phoneticPr fontId="2"/>
  </si>
  <si>
    <t>11700 / 24mm</t>
    <phoneticPr fontId="2"/>
  </si>
  <si>
    <r>
      <t xml:space="preserve">SUN-1005(March 6, 2025) </t>
    </r>
    <r>
      <rPr>
        <sz val="12"/>
        <color rgb="FF0070C0"/>
        <rFont val="Arial"/>
        <family val="2"/>
      </rPr>
      <t>ship to GT PORTUGAL</t>
    </r>
    <phoneticPr fontId="2"/>
  </si>
  <si>
    <r>
      <t>SUN-1005(March 6, 2025) ship to GT PORTUGAL</t>
    </r>
    <r>
      <rPr>
        <sz val="12"/>
        <color rgb="FF0070C0"/>
        <rFont val="Arial"/>
        <family val="2"/>
      </rPr>
      <t/>
    </r>
  </si>
  <si>
    <t>Minimum surcharge for lace min.</t>
    <phoneticPr fontId="2"/>
  </si>
  <si>
    <t>DTM Sea Salt (piece dye)</t>
    <phoneticPr fontId="2"/>
  </si>
  <si>
    <r>
      <rPr>
        <sz val="10"/>
        <rFont val="ＭＳ Ｐゴシック"/>
        <family val="2"/>
        <charset val="128"/>
      </rPr>
      <t>単価</t>
    </r>
    <r>
      <rPr>
        <sz val="10"/>
        <rFont val="Arial  "/>
        <family val="2"/>
      </rPr>
      <t>(</t>
    </r>
    <r>
      <rPr>
        <sz val="10"/>
        <rFont val="ＭＳ Ｐゴシック"/>
        <family val="2"/>
        <charset val="128"/>
      </rPr>
      <t>染色代</t>
    </r>
    <r>
      <rPr>
        <sz val="10"/>
        <rFont val="Arial  "/>
        <family val="2"/>
      </rPr>
      <t>70</t>
    </r>
    <r>
      <rPr>
        <sz val="10"/>
        <rFont val="ＭＳ Ｐゴシック"/>
        <family val="2"/>
        <charset val="128"/>
      </rPr>
      <t>円含）</t>
    </r>
    <rPh sb="0" eb="2">
      <t>タンカ</t>
    </rPh>
    <rPh sb="3" eb="5">
      <t>センショク</t>
    </rPh>
    <rPh sb="5" eb="6">
      <t>ダイ</t>
    </rPh>
    <rPh sb="8" eb="9">
      <t>エン</t>
    </rPh>
    <rPh sb="9" eb="10">
      <t>フク</t>
    </rPh>
    <phoneticPr fontId="2"/>
  </si>
  <si>
    <r>
      <rPr>
        <sz val="10"/>
        <rFont val="ＭＳ Ｐゴシック"/>
        <family val="2"/>
        <charset val="128"/>
      </rPr>
      <t>小計</t>
    </r>
    <rPh sb="0" eb="2">
      <t>ショウケイ</t>
    </rPh>
    <phoneticPr fontId="2"/>
  </si>
  <si>
    <r>
      <rPr>
        <b/>
        <sz val="10"/>
        <rFont val="ＭＳ Ｐゴシック"/>
        <family val="2"/>
        <charset val="128"/>
      </rPr>
      <t>合計</t>
    </r>
    <rPh sb="0" eb="2">
      <t>ゴウケイ</t>
    </rPh>
    <phoneticPr fontId="2"/>
  </si>
  <si>
    <t xml:space="preserve">Total Amount </t>
    <phoneticPr fontId="2"/>
  </si>
  <si>
    <t>8133 (2025/3/11)</t>
    <phoneticPr fontId="2"/>
  </si>
  <si>
    <t>MOQ/col</t>
    <phoneticPr fontId="2"/>
  </si>
  <si>
    <t>DTM (piece dye)</t>
    <phoneticPr fontId="2"/>
  </si>
  <si>
    <r>
      <t>202500313  LAgence 40% 120</t>
    </r>
    <r>
      <rPr>
        <b/>
        <sz val="10"/>
        <rFont val="ＭＳ Ｐゴシック"/>
        <family val="3"/>
        <charset val="128"/>
      </rPr>
      <t>円</t>
    </r>
    <rPh sb="26" eb="27">
      <t>エン</t>
    </rPh>
    <phoneticPr fontId="2"/>
  </si>
  <si>
    <t>KYL-76635</t>
    <phoneticPr fontId="2"/>
  </si>
  <si>
    <t>Stock in Mill's Off White as of March 13th, 2025</t>
    <phoneticPr fontId="2"/>
  </si>
  <si>
    <t>1,900m</t>
    <phoneticPr fontId="2"/>
  </si>
  <si>
    <r>
      <t>301m/col (Dye fee if below 
Dye min.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$125/art&amp;col&amp;order)</t>
    </r>
    <phoneticPr fontId="2"/>
  </si>
  <si>
    <r>
      <rPr>
        <b/>
        <i/>
        <sz val="8"/>
        <rFont val="Times New Roman"/>
        <family val="1"/>
      </rPr>
      <t xml:space="preserve">FOB  </t>
    </r>
    <r>
      <rPr>
        <sz val="8"/>
        <rFont val="PMingLiU-ExtB"/>
        <family val="1"/>
      </rPr>
      <t>PRICE PER</t>
    </r>
    <r>
      <rPr>
        <u/>
        <sz val="8"/>
        <rFont val="PMingLiU-ExtB"/>
        <family val="1"/>
      </rPr>
      <t> METER</t>
    </r>
    <r>
      <rPr>
        <sz val="8"/>
        <rFont val="PMingLiU-ExtB"/>
        <family val="1"/>
      </rPr>
      <t xml:space="preserve"> OR </t>
    </r>
    <r>
      <rPr>
        <u/>
        <sz val="8"/>
        <rFont val="PMingLiU-ExtB"/>
        <family val="1"/>
      </rPr>
      <t>PIECE</t>
    </r>
    <r>
      <rPr>
        <sz val="8"/>
        <rFont val="PMingLiU-ExtB"/>
        <family val="1"/>
      </rPr>
      <t xml:space="preserve"> IN</t>
    </r>
    <r>
      <rPr>
        <b/>
        <u/>
        <sz val="8"/>
        <rFont val="ＭＳ Ｐゴシック"/>
        <family val="1"/>
        <charset val="128"/>
      </rPr>
      <t> </t>
    </r>
    <r>
      <rPr>
        <b/>
        <u/>
        <sz val="8"/>
        <rFont val="Times New Roman"/>
        <family val="1"/>
      </rPr>
      <t>USD</t>
    </r>
    <phoneticPr fontId="2"/>
  </si>
  <si>
    <t>ZMG2421</t>
    <phoneticPr fontId="2"/>
  </si>
  <si>
    <r>
      <rPr>
        <b/>
        <sz val="10"/>
        <rFont val="ＭＳ Ｐゴシック"/>
        <family val="3"/>
        <charset val="128"/>
      </rPr>
      <t>仕入れ</t>
    </r>
    <rPh sb="0" eb="2">
      <t>シイ</t>
    </rPh>
    <phoneticPr fontId="2"/>
  </si>
  <si>
    <t>5659</t>
    <phoneticPr fontId="272"/>
  </si>
  <si>
    <t>SS</t>
    <phoneticPr fontId="2"/>
  </si>
  <si>
    <t>The color / size may slightly vary on each roll
because of the characteristic of coating.</t>
    <phoneticPr fontId="272"/>
  </si>
  <si>
    <t>100m /roll</t>
    <phoneticPr fontId="272"/>
  </si>
  <si>
    <t xml:space="preserve">100m /roll </t>
    <phoneticPr fontId="272"/>
  </si>
  <si>
    <t>50m /roll</t>
    <phoneticPr fontId="2"/>
  </si>
  <si>
    <t>ALC vendor 20250318</t>
    <phoneticPr fontId="2"/>
  </si>
  <si>
    <t>4/20以降仕入れ単価通常</t>
    <rPh sb="4" eb="6">
      <t>イコウ</t>
    </rPh>
    <rPh sb="6" eb="8">
      <t>シイ</t>
    </rPh>
    <rPh sb="9" eb="11">
      <t>タンカ</t>
    </rPh>
    <rPh sb="11" eb="13">
      <t>ツウジョウ</t>
    </rPh>
    <phoneticPr fontId="2"/>
  </si>
  <si>
    <t>TBC</t>
    <phoneticPr fontId="2"/>
  </si>
  <si>
    <t xml:space="preserve">20250320  Buck Mason </t>
    <phoneticPr fontId="2"/>
  </si>
  <si>
    <t>4/20以降仕入れ単価
今回オーダー限りの特価</t>
    <rPh sb="4" eb="6">
      <t>イコウ</t>
    </rPh>
    <rPh sb="6" eb="8">
      <t>シイ</t>
    </rPh>
    <rPh sb="9" eb="11">
      <t>タンカ</t>
    </rPh>
    <rPh sb="18" eb="19">
      <t>カギ</t>
    </rPh>
    <rPh sb="21" eb="23">
      <t>トッカ</t>
    </rPh>
    <phoneticPr fontId="2"/>
  </si>
  <si>
    <t>EXW JAPAN /m
The current unit price applicable until April 15</t>
    <phoneticPr fontId="2"/>
  </si>
  <si>
    <t>EXW JAPAN /m
The new unit price applicable from April 16 onward</t>
    <phoneticPr fontId="2"/>
  </si>
  <si>
    <t>EXW JAPAN /m
Special price offer for this order only</t>
    <phoneticPr fontId="2"/>
  </si>
  <si>
    <t>TBC</t>
    <phoneticPr fontId="2"/>
  </si>
  <si>
    <t>500671(03/19/2025)</t>
    <phoneticPr fontId="2"/>
  </si>
  <si>
    <r>
      <rPr>
        <sz val="10"/>
        <rFont val="ＭＳ Ｐゴシック"/>
        <family val="3"/>
        <charset val="128"/>
      </rPr>
      <t>若干巾広の綿バージョン　代替案</t>
    </r>
    <r>
      <rPr>
        <sz val="10"/>
        <rFont val="Arial"/>
        <family val="2"/>
      </rPr>
      <t xml:space="preserve"> </t>
    </r>
    <rPh sb="0" eb="2">
      <t>ジャッカン</t>
    </rPh>
    <rPh sb="2" eb="3">
      <t>ハバ</t>
    </rPh>
    <rPh sb="3" eb="4">
      <t>ヒロ</t>
    </rPh>
    <rPh sb="5" eb="6">
      <t>メン</t>
    </rPh>
    <rPh sb="12" eb="15">
      <t>ダイタイアン</t>
    </rPh>
    <phoneticPr fontId="2"/>
  </si>
  <si>
    <t>FWL-22386 (Cotton 100%)</t>
    <phoneticPr fontId="2"/>
  </si>
  <si>
    <t>need to check first if it's avaialble in yarn-dyed</t>
    <phoneticPr fontId="2"/>
  </si>
  <si>
    <t>DDA-250320</t>
    <phoneticPr fontId="2"/>
  </si>
  <si>
    <t>20250321 Skims</t>
    <phoneticPr fontId="2"/>
  </si>
  <si>
    <t>TI-TTR-10 (10mm)</t>
    <phoneticPr fontId="2"/>
  </si>
  <si>
    <t xml:space="preserve">3,000m/art &amp; col &amp; order </t>
    <phoneticPr fontId="2"/>
  </si>
  <si>
    <t>TI-LS-7 (7mm)</t>
    <phoneticPr fontId="2"/>
  </si>
  <si>
    <t>TI-DS-4 (4mm)</t>
    <phoneticPr fontId="2"/>
  </si>
  <si>
    <t>TI-KL-3 (3mm)</t>
    <phoneticPr fontId="2"/>
  </si>
  <si>
    <t>TI-TTR-6 (6mm)</t>
    <phoneticPr fontId="2"/>
  </si>
  <si>
    <t>Custom color 
Dye fee if below Dye min./col→US$190/art &amp;col &amp; order</t>
    <phoneticPr fontId="2"/>
  </si>
  <si>
    <t>16142</t>
    <phoneticPr fontId="2"/>
  </si>
  <si>
    <t>Gemini Brothers, Inc.(SKIMS)</t>
    <phoneticPr fontId="2"/>
  </si>
  <si>
    <t>TI-DS-4</t>
    <phoneticPr fontId="2"/>
  </si>
  <si>
    <t>Hero-25006880</t>
    <phoneticPr fontId="2"/>
  </si>
  <si>
    <t>DONG GUAN HE XUN FASHION DESIGN LTD(SKIMS)</t>
    <phoneticPr fontId="2"/>
  </si>
  <si>
    <r>
      <t>Stretch Tape   Nylon 80%,</t>
    </r>
    <r>
      <rPr>
        <sz val="12"/>
        <rFont val="Arial"/>
        <family val="2"/>
      </rPr>
      <t>Polyurethane 20%</t>
    </r>
    <phoneticPr fontId="2"/>
  </si>
  <si>
    <t>AM-EO 3/24/25</t>
    <phoneticPr fontId="2"/>
  </si>
  <si>
    <t># 45</t>
    <phoneticPr fontId="2"/>
  </si>
  <si>
    <r>
      <t>4/21</t>
    </r>
    <r>
      <rPr>
        <b/>
        <sz val="10"/>
        <rFont val="ＭＳ Ｐゴシック"/>
        <family val="3"/>
        <charset val="128"/>
      </rPr>
      <t>以降
今回オーダー限りの特価</t>
    </r>
    <rPh sb="4" eb="6">
      <t>イコウ</t>
    </rPh>
    <rPh sb="13" eb="14">
      <t>カギ</t>
    </rPh>
    <rPh sb="16" eb="18">
      <t>トッカ</t>
    </rPh>
    <phoneticPr fontId="2"/>
  </si>
  <si>
    <t>AH25PT03040</t>
    <phoneticPr fontId="2"/>
  </si>
  <si>
    <t>FWL 社内在庫 for Johnny Was 20250325</t>
    <rPh sb="4" eb="6">
      <t>シャナイ</t>
    </rPh>
    <rPh sb="6" eb="8">
      <t>ザイコ</t>
    </rPh>
    <phoneticPr fontId="2"/>
  </si>
  <si>
    <t>Sun Fashion Internal inventory (as of 25th March)</t>
    <phoneticPr fontId="2"/>
  </si>
  <si>
    <t>BM-250327</t>
    <phoneticPr fontId="2"/>
  </si>
  <si>
    <t>DTM W NATURAL 119 (Piece dye)</t>
    <phoneticPr fontId="2"/>
  </si>
  <si>
    <t>DTM BLACK (Piece dye)</t>
    <phoneticPr fontId="2"/>
  </si>
  <si>
    <t>Dye fee</t>
    <phoneticPr fontId="2"/>
  </si>
  <si>
    <t>e</t>
    <phoneticPr fontId="2"/>
  </si>
  <si>
    <t>単価</t>
    <rPh sb="0" eb="2">
      <t>タンカ</t>
    </rPh>
    <phoneticPr fontId="2"/>
  </si>
  <si>
    <t>8000338 (2025-03-27)</t>
    <phoneticPr fontId="2"/>
  </si>
  <si>
    <t># 85 Navy</t>
    <phoneticPr fontId="2"/>
  </si>
  <si>
    <t># 9 Intense Red</t>
    <phoneticPr fontId="2"/>
  </si>
  <si>
    <r>
      <t>20250328  Trina Turk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2"/>
  </si>
  <si>
    <t>Stock in Mill's Off White as of March 28th, 2025</t>
    <phoneticPr fontId="2"/>
  </si>
  <si>
    <t>420m</t>
    <phoneticPr fontId="2"/>
  </si>
  <si>
    <t>US$125/art &amp; col &amp;order</t>
    <phoneticPr fontId="2"/>
  </si>
  <si>
    <t>↓</t>
    <phoneticPr fontId="2"/>
  </si>
  <si>
    <t>Qty</t>
    <phoneticPr fontId="2"/>
  </si>
  <si>
    <t>800m</t>
    <phoneticPr fontId="2"/>
  </si>
  <si>
    <r>
      <t>CIF India  （</t>
    </r>
    <r>
      <rPr>
        <sz val="10"/>
        <color theme="1"/>
        <rFont val="ＭＳ ゴシック"/>
        <family val="3"/>
        <charset val="128"/>
      </rPr>
      <t>運賃</t>
    </r>
    <r>
      <rPr>
        <sz val="10"/>
        <color theme="1"/>
        <rFont val="Arial"/>
        <family val="2"/>
      </rPr>
      <t xml:space="preserve"> $120+Insurance $ 25</t>
    </r>
    <r>
      <rPr>
        <sz val="10"/>
        <color theme="1"/>
        <rFont val="ＭＳ ゴシック"/>
        <family val="2"/>
        <charset val="128"/>
      </rPr>
      <t>）÷800m = $0.20/m プラス</t>
    </r>
    <rPh sb="12" eb="14">
      <t>ウンチン</t>
    </rPh>
    <phoneticPr fontId="2"/>
  </si>
  <si>
    <r>
      <t xml:space="preserve">CIF India price  /m </t>
    </r>
    <r>
      <rPr>
        <b/>
        <sz val="10"/>
        <color rgb="FF0070C0"/>
        <rFont val="Arial  "/>
        <family val="2"/>
      </rPr>
      <t xml:space="preserve">(Regular price) </t>
    </r>
    <phoneticPr fontId="2"/>
  </si>
  <si>
    <r>
      <t xml:space="preserve">CIF India price  /m </t>
    </r>
    <r>
      <rPr>
        <b/>
        <sz val="10"/>
        <color rgb="FF0070C0"/>
        <rFont val="Arial  "/>
        <family val="2"/>
      </rPr>
      <t>*Discount price applied exclusively to our internal inventory</t>
    </r>
    <phoneticPr fontId="2"/>
  </si>
  <si>
    <t>Article Number</t>
    <phoneticPr fontId="2"/>
  </si>
  <si>
    <t>Cotton Cord</t>
  </si>
  <si>
    <t>CO-CCR02</t>
    <phoneticPr fontId="272"/>
  </si>
  <si>
    <r>
      <t xml:space="preserve">SIZE
</t>
    </r>
    <r>
      <rPr>
        <b/>
        <sz val="10"/>
        <rFont val="ＭＳ Ｐゴシック"/>
        <family val="3"/>
        <charset val="128"/>
      </rPr>
      <t/>
    </r>
    <phoneticPr fontId="2"/>
  </si>
  <si>
    <t>MOQ for Mill's 
Standard colors</t>
    <phoneticPr fontId="2"/>
  </si>
  <si>
    <t>EXW JAPAN USD /m for Mill's Standard colors</t>
    <phoneticPr fontId="2"/>
  </si>
  <si>
    <t>Colors on C/C</t>
    <phoneticPr fontId="272"/>
  </si>
  <si>
    <t>20250401 Honyes International Trade Co., LTD</t>
    <phoneticPr fontId="2"/>
  </si>
  <si>
    <t>PO#854200</t>
    <phoneticPr fontId="2"/>
  </si>
  <si>
    <r>
      <t>109348</t>
    </r>
    <r>
      <rPr>
        <sz val="12"/>
        <rFont val="MS UI Gothic"/>
        <family val="2"/>
        <charset val="1"/>
      </rPr>
      <t>‐</t>
    </r>
    <r>
      <rPr>
        <sz val="12"/>
        <rFont val="Arial"/>
        <family val="2"/>
      </rPr>
      <t>WITH(02-Apr-2025)</t>
    </r>
    <r>
      <rPr>
        <sz val="12"/>
        <color rgb="FF0070C0"/>
        <rFont val="Arial"/>
        <family val="2"/>
      </rPr>
      <t>ship to Textiles Opico</t>
    </r>
    <phoneticPr fontId="2"/>
  </si>
  <si>
    <t xml:space="preserve">Already shipped on March 28th </t>
    <phoneticPr fontId="2"/>
  </si>
  <si>
    <t>NOTES</t>
    <phoneticPr fontId="2"/>
  </si>
  <si>
    <t xml:space="preserve">In production </t>
    <phoneticPr fontId="2"/>
  </si>
  <si>
    <r>
      <rPr>
        <sz val="10"/>
        <rFont val="BIZ UDPゴシック"/>
        <family val="3"/>
        <charset val="128"/>
      </rPr>
      <t>オーダー済</t>
    </r>
    <rPh sb="4" eb="5">
      <t>スミ</t>
    </rPh>
    <phoneticPr fontId="2"/>
  </si>
  <si>
    <r>
      <rPr>
        <sz val="10"/>
        <rFont val="BIZ UDPゴシック"/>
        <family val="3"/>
        <charset val="128"/>
      </rPr>
      <t>追加分</t>
    </r>
    <rPh sb="0" eb="2">
      <t>ツイカ</t>
    </rPh>
    <rPh sb="2" eb="3">
      <t>ブン</t>
    </rPh>
    <phoneticPr fontId="2"/>
  </si>
  <si>
    <t>ARTICLE #</t>
  </si>
  <si>
    <t>TOTAL</t>
  </si>
  <si>
    <t>FWL-92935</t>
  </si>
  <si>
    <t>sea salt</t>
  </si>
  <si>
    <t>FWL-92938</t>
  </si>
  <si>
    <t>FWL-92939</t>
  </si>
  <si>
    <t>FWL-92940S</t>
  </si>
  <si>
    <t>1073m</t>
    <phoneticPr fontId="2"/>
  </si>
  <si>
    <t>558m</t>
    <phoneticPr fontId="2"/>
  </si>
  <si>
    <t>173m</t>
    <phoneticPr fontId="2"/>
  </si>
  <si>
    <t>345m</t>
    <phoneticPr fontId="2"/>
  </si>
  <si>
    <t>単価</t>
    <rPh sb="0" eb="2">
      <t>タンカ</t>
    </rPh>
    <phoneticPr fontId="2"/>
  </si>
  <si>
    <r>
      <t>N2040</t>
    </r>
    <r>
      <rPr>
        <sz val="12"/>
        <color theme="1"/>
        <rFont val="ＭＳ Ｐゴシック"/>
        <family val="3"/>
        <charset val="128"/>
      </rPr>
      <t>（</t>
    </r>
    <r>
      <rPr>
        <sz val="12"/>
        <color theme="1"/>
        <rFont val="Arial"/>
        <family val="2"/>
      </rPr>
      <t>2440WIDE</t>
    </r>
    <r>
      <rPr>
        <sz val="12"/>
        <color theme="1"/>
        <rFont val="ＭＳ Ｐゴシック"/>
        <family val="3"/>
        <charset val="128"/>
      </rPr>
      <t>）</t>
    </r>
    <phoneticPr fontId="2"/>
  </si>
  <si>
    <r>
      <t>N2040</t>
    </r>
    <r>
      <rPr>
        <sz val="12"/>
        <color theme="1"/>
        <rFont val="ＭＳ Ｐゴシック"/>
        <family val="3"/>
        <charset val="128"/>
      </rPr>
      <t>（</t>
    </r>
    <r>
      <rPr>
        <sz val="12"/>
        <color theme="1"/>
        <rFont val="Arial"/>
        <family val="2"/>
      </rPr>
      <t>2440WIDE</t>
    </r>
    <r>
      <rPr>
        <sz val="12"/>
        <color theme="1"/>
        <rFont val="ＭＳ Ｐゴシック"/>
        <family val="3"/>
        <charset val="128"/>
      </rPr>
      <t>）</t>
    </r>
  </si>
  <si>
    <t>EXW JAPAN /m 
Regular Price</t>
    <phoneticPr fontId="2"/>
  </si>
  <si>
    <t>EXW JAPAN /m 
Special offer based on the order qty indicated</t>
    <phoneticPr fontId="2"/>
  </si>
  <si>
    <t>5267</t>
  </si>
  <si>
    <t>CO-C162S</t>
    <phoneticPr fontId="2"/>
  </si>
  <si>
    <t>CO-C321S</t>
    <phoneticPr fontId="2"/>
  </si>
  <si>
    <t>PO/E16/25-26/TRM0049</t>
    <phoneticPr fontId="2"/>
  </si>
  <si>
    <t>AVAL FASHION HOUSE (Johnny Was)</t>
    <phoneticPr fontId="2"/>
  </si>
  <si>
    <t xml:space="preserve">20250411 ALC </t>
    <phoneticPr fontId="2"/>
  </si>
  <si>
    <t>TI-10-D11574 (10mm)</t>
    <phoneticPr fontId="2"/>
  </si>
  <si>
    <r>
      <t xml:space="preserve">231347 </t>
    </r>
    <r>
      <rPr>
        <sz val="12"/>
        <color rgb="FF0070C0"/>
        <rFont val="Arial"/>
        <family val="2"/>
      </rPr>
      <t>LA</t>
    </r>
    <phoneticPr fontId="2"/>
  </si>
  <si>
    <t># 533 Blush</t>
    <phoneticPr fontId="2"/>
  </si>
  <si>
    <t xml:space="preserve"># 68 Honey Peach </t>
    <phoneticPr fontId="2"/>
  </si>
  <si>
    <t># 26 Navy</t>
    <phoneticPr fontId="2"/>
  </si>
  <si>
    <t># 412 Siren</t>
    <phoneticPr fontId="2"/>
  </si>
  <si>
    <r>
      <t xml:space="preserve">231348 </t>
    </r>
    <r>
      <rPr>
        <sz val="12"/>
        <color rgb="FF0070C0"/>
        <rFont val="Arial"/>
        <family val="2"/>
      </rPr>
      <t>LA</t>
    </r>
    <phoneticPr fontId="2"/>
  </si>
  <si>
    <t>DWACCC2500498</t>
    <phoneticPr fontId="2"/>
  </si>
  <si>
    <t>DEUTSCHE BEKLEIDUNGSWERKE LIMITED (ALC)</t>
    <phoneticPr fontId="2"/>
  </si>
  <si>
    <t>SUNFASHION-HO25-4001</t>
    <phoneticPr fontId="2"/>
  </si>
  <si>
    <t>Sunnyside LLC dba Sundry</t>
    <phoneticPr fontId="2"/>
  </si>
  <si>
    <t>CO-COTTON 2</t>
    <phoneticPr fontId="2"/>
  </si>
  <si>
    <t>輸出梱包15円込み</t>
    <rPh sb="0" eb="2">
      <t>ユシュツ</t>
    </rPh>
    <rPh sb="2" eb="4">
      <t>コンポウ</t>
    </rPh>
    <rPh sb="6" eb="7">
      <t>エン</t>
    </rPh>
    <rPh sb="7" eb="8">
      <t>コ</t>
    </rPh>
    <phoneticPr fontId="2"/>
  </si>
  <si>
    <t>バルク単価(輸出梱包込み)</t>
    <rPh sb="3" eb="5">
      <t>タンカ</t>
    </rPh>
    <rPh sb="6" eb="8">
      <t>ユシュツ</t>
    </rPh>
    <rPh sb="8" eb="10">
      <t>コンポウ</t>
    </rPh>
    <rPh sb="10" eb="11">
      <t>コ</t>
    </rPh>
    <phoneticPr fontId="2"/>
  </si>
  <si>
    <t>ドロップ</t>
    <phoneticPr fontId="2"/>
  </si>
  <si>
    <t xml:space="preserve">20250429 Are you am I </t>
    <phoneticPr fontId="2"/>
  </si>
  <si>
    <r>
      <rPr>
        <b/>
        <sz val="10"/>
        <rFont val="ＭＳ Ｐゴシック"/>
        <family val="3"/>
        <charset val="128"/>
      </rPr>
      <t>梱包費用</t>
    </r>
    <r>
      <rPr>
        <b/>
        <sz val="10"/>
        <rFont val="Arial  "/>
        <family val="2"/>
      </rPr>
      <t>+10</t>
    </r>
    <r>
      <rPr>
        <b/>
        <sz val="10"/>
        <rFont val="ＭＳ Ｐゴシック"/>
        <family val="3"/>
        <charset val="128"/>
      </rPr>
      <t>円?　30円？</t>
    </r>
    <rPh sb="0" eb="2">
      <t>コンポウ</t>
    </rPh>
    <rPh sb="2" eb="4">
      <t>ヒヨウ</t>
    </rPh>
    <rPh sb="7" eb="8">
      <t>エン</t>
    </rPh>
    <rPh sb="12" eb="13">
      <t>エン</t>
    </rPh>
    <phoneticPr fontId="2"/>
  </si>
  <si>
    <r>
      <t xml:space="preserve">MOQ : 1 roll (abt 50m/roll) -
*sample cut available </t>
    </r>
    <r>
      <rPr>
        <sz val="10"/>
        <rFont val="ＭＳ Ｐゴシック"/>
        <family val="3"/>
        <charset val="128"/>
      </rPr>
      <t xml:space="preserve">→
</t>
    </r>
    <r>
      <rPr>
        <sz val="10"/>
        <rFont val="Arial"/>
        <family val="2"/>
      </rPr>
      <t xml:space="preserve"> 1M up to 20M with cut fee 
US$ 25/cut </t>
    </r>
    <phoneticPr fontId="2"/>
  </si>
  <si>
    <t>Black - pantone 19-0303 TCX</t>
    <phoneticPr fontId="2"/>
  </si>
  <si>
    <t>Salt – pantone 11-4201 TCX</t>
    <phoneticPr fontId="2"/>
  </si>
  <si>
    <r>
      <rPr>
        <b/>
        <sz val="10"/>
        <rFont val="ＭＳ Ｐゴシック"/>
        <family val="2"/>
        <charset val="128"/>
      </rPr>
      <t>単価(円）/</t>
    </r>
    <r>
      <rPr>
        <b/>
        <sz val="10"/>
        <rFont val="Arial"/>
        <family val="2"/>
      </rPr>
      <t xml:space="preserve">m </t>
    </r>
    <rPh sb="0" eb="2">
      <t>タンカ</t>
    </rPh>
    <rPh sb="3" eb="4">
      <t>エン</t>
    </rPh>
    <phoneticPr fontId="2"/>
  </si>
  <si>
    <t>Stock in Mill's Off White as of April 23rd, 2025</t>
    <phoneticPr fontId="2"/>
  </si>
  <si>
    <r>
      <t>20250505 Bella Dahl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2"/>
  </si>
  <si>
    <t>FWL-2487s</t>
    <phoneticPr fontId="2"/>
  </si>
  <si>
    <t>FWL-22176s</t>
    <phoneticPr fontId="2"/>
  </si>
  <si>
    <t>BM-250507</t>
    <phoneticPr fontId="2"/>
  </si>
  <si>
    <t>DTM Ivory (Piece dye)</t>
    <phoneticPr fontId="2"/>
  </si>
  <si>
    <t>無償サンプルとして処理済</t>
    <rPh sb="0" eb="2">
      <t>ムショウ</t>
    </rPh>
    <rPh sb="9" eb="11">
      <t>ショリ</t>
    </rPh>
    <rPh sb="11" eb="12">
      <t>スミ</t>
    </rPh>
    <phoneticPr fontId="2"/>
  </si>
  <si>
    <t>FRQA2025/0508</t>
    <phoneticPr fontId="2"/>
  </si>
  <si>
    <t xml:space="preserve">DTM Black </t>
    <phoneticPr fontId="2"/>
  </si>
  <si>
    <t xml:space="preserve">DTM Sea Salt </t>
    <phoneticPr fontId="2"/>
  </si>
  <si>
    <t xml:space="preserve">DTM SALT </t>
    <phoneticPr fontId="2"/>
  </si>
  <si>
    <t xml:space="preserve">DTM SEA MIST </t>
    <phoneticPr fontId="2"/>
  </si>
  <si>
    <t xml:space="preserve">単価(円/m) </t>
    <rPh sb="0" eb="2">
      <t>タンカ</t>
    </rPh>
    <rPh sb="3" eb="4">
      <t>エン</t>
    </rPh>
    <phoneticPr fontId="2"/>
  </si>
  <si>
    <t>AM-EO 5/09/25</t>
    <phoneticPr fontId="2"/>
  </si>
  <si>
    <t># 57</t>
    <phoneticPr fontId="2"/>
  </si>
  <si>
    <t>??</t>
    <phoneticPr fontId="2"/>
  </si>
  <si>
    <t>Sub-total</t>
    <phoneticPr fontId="2"/>
  </si>
  <si>
    <t xml:space="preserve">Total Amount </t>
    <phoneticPr fontId="2"/>
  </si>
  <si>
    <t>Stock in Mill's Off White as of May 9th, 2025</t>
    <phoneticPr fontId="2"/>
  </si>
  <si>
    <r>
      <t>20250509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</si>
  <si>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YDT-13493</t>
    <phoneticPr fontId="2"/>
  </si>
  <si>
    <t>No stock</t>
    <phoneticPr fontId="2"/>
  </si>
  <si>
    <t>100 m/ art&amp;col&amp;order</t>
    <phoneticPr fontId="2"/>
  </si>
  <si>
    <t>FWL-23648</t>
    <phoneticPr fontId="2"/>
  </si>
  <si>
    <t>270m</t>
    <phoneticPr fontId="2"/>
  </si>
  <si>
    <t>Nobland International Inc(DOEN)</t>
    <phoneticPr fontId="2"/>
  </si>
  <si>
    <t>CO-C442A</t>
    <phoneticPr fontId="272"/>
  </si>
  <si>
    <t>1 roll (=50m)</t>
    <phoneticPr fontId="2"/>
  </si>
  <si>
    <r>
      <t>FWL-92938s &amp;</t>
    </r>
    <r>
      <rPr>
        <sz val="10"/>
        <rFont val="ＭＳ Ｐゴシック"/>
        <family val="2"/>
        <charset val="128"/>
      </rPr>
      <t>　</t>
    </r>
    <r>
      <rPr>
        <sz val="10"/>
        <rFont val="Arial"/>
        <family val="2"/>
      </rPr>
      <t>FWL-92939s &amp; FWL-92940s</t>
    </r>
    <phoneticPr fontId="2"/>
  </si>
  <si>
    <t>小計</t>
    <rPh sb="0" eb="2">
      <t>ショウケイ</t>
    </rPh>
    <phoneticPr fontId="2"/>
  </si>
  <si>
    <r>
      <rPr>
        <b/>
        <sz val="10"/>
        <rFont val="ＭＳ Ｐゴシック"/>
        <family val="2"/>
        <charset val="128"/>
      </rPr>
      <t>単価(円）/</t>
    </r>
    <r>
      <rPr>
        <b/>
        <sz val="10"/>
        <rFont val="Arial"/>
        <family val="2"/>
      </rPr>
      <t xml:space="preserve">m or set </t>
    </r>
    <rPh sb="0" eb="2">
      <t>タンカ</t>
    </rPh>
    <rPh sb="3" eb="4">
      <t>エン</t>
    </rPh>
    <phoneticPr fontId="2"/>
  </si>
  <si>
    <r>
      <t>20250512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</si>
  <si>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FWL-2513</t>
    <phoneticPr fontId="2"/>
  </si>
  <si>
    <t>Stock in Mill's Off White as of May 12th, 2025</t>
    <phoneticPr fontId="2"/>
  </si>
  <si>
    <t>3,000m</t>
    <phoneticPr fontId="2"/>
  </si>
  <si>
    <t>50m</t>
    <phoneticPr fontId="2"/>
  </si>
  <si>
    <t>-</t>
    <phoneticPr fontId="2"/>
  </si>
  <si>
    <t>FWL-2587</t>
    <phoneticPr fontId="2"/>
  </si>
  <si>
    <t xml:space="preserve"> FWL-92940s</t>
    <phoneticPr fontId="2"/>
  </si>
  <si>
    <r>
      <t xml:space="preserve">SWIM26--001(May 12, 2025) </t>
    </r>
    <r>
      <rPr>
        <sz val="12"/>
        <color rgb="FF0070C0"/>
        <rFont val="Arial"/>
        <family val="2"/>
      </rPr>
      <t>ship to India</t>
    </r>
    <phoneticPr fontId="2"/>
  </si>
  <si>
    <t>4875-6227 WC25</t>
    <phoneticPr fontId="2"/>
  </si>
  <si>
    <t>2753-6227 PL26</t>
    <phoneticPr fontId="2"/>
  </si>
  <si>
    <t>2753-6239 PL26</t>
    <phoneticPr fontId="2"/>
  </si>
  <si>
    <t xml:space="preserve">2753-6227&amp;6239 PL26 </t>
    <phoneticPr fontId="2"/>
  </si>
  <si>
    <t xml:space="preserve">4875-6227 WC25/ 2753-6227&amp;6239 PL26 </t>
    <phoneticPr fontId="2"/>
  </si>
  <si>
    <t>4875-6227 WC25/2753-6227&amp;6239 PL26</t>
    <phoneticPr fontId="2"/>
  </si>
  <si>
    <t xml:space="preserve">RCVD on May 16th </t>
    <phoneticPr fontId="2"/>
  </si>
  <si>
    <t xml:space="preserve">To be charged </t>
    <phoneticPr fontId="2"/>
  </si>
  <si>
    <r>
      <t>20250525  Simkhai  40% 120</t>
    </r>
    <r>
      <rPr>
        <b/>
        <sz val="10"/>
        <rFont val="ＭＳ Ｐゴシック"/>
        <family val="3"/>
        <charset val="128"/>
      </rPr>
      <t>円</t>
    </r>
    <rPh sb="26" eb="27">
      <t>エン</t>
    </rPh>
    <phoneticPr fontId="2"/>
  </si>
  <si>
    <t>FWL-24455</t>
    <phoneticPr fontId="2"/>
  </si>
  <si>
    <t>FWL-24460</t>
    <phoneticPr fontId="2"/>
  </si>
  <si>
    <t>FWL-24497</t>
    <phoneticPr fontId="2"/>
  </si>
  <si>
    <t>Stock in Mill's Off White as of May 26th, 2025</t>
    <phoneticPr fontId="2"/>
  </si>
  <si>
    <t>150 m</t>
    <phoneticPr fontId="2"/>
  </si>
  <si>
    <t>100 m</t>
    <phoneticPr fontId="2"/>
  </si>
  <si>
    <t>Minimum surcharge for lace min.</t>
  </si>
  <si>
    <t>Dye fee</t>
  </si>
  <si>
    <t xml:space="preserve">20250609 Buck Mason </t>
    <phoneticPr fontId="2"/>
  </si>
  <si>
    <t>FWL-22251</t>
    <phoneticPr fontId="2"/>
  </si>
  <si>
    <t>仕入れ単価</t>
    <rPh sb="0" eb="2">
      <t>シイ</t>
    </rPh>
    <rPh sb="3" eb="5">
      <t>タンカ</t>
    </rPh>
    <phoneticPr fontId="2"/>
  </si>
  <si>
    <t>Stock in Mill's Off White as of June 9th, 2025</t>
    <phoneticPr fontId="2"/>
  </si>
  <si>
    <t>250 m</t>
    <phoneticPr fontId="2"/>
  </si>
  <si>
    <t>-</t>
    <phoneticPr fontId="2"/>
  </si>
  <si>
    <t>Sub total</t>
  </si>
  <si>
    <t>FWL-92938s</t>
  </si>
  <si>
    <r>
      <t xml:space="preserve">US$65.00 </t>
    </r>
    <r>
      <rPr>
        <sz val="10"/>
        <color rgb="FFFF0000"/>
        <rFont val="ＭＳ Ｐゴシック"/>
        <family val="3"/>
        <charset val="128"/>
      </rPr>
      <t>→</t>
    </r>
    <r>
      <rPr>
        <sz val="10"/>
        <color rgb="FFFF0000"/>
        <rFont val="Arial"/>
        <family val="2"/>
      </rPr>
      <t>waive</t>
    </r>
  </si>
  <si>
    <t xml:space="preserve">DTM SEA MIST </t>
  </si>
  <si>
    <t>25 m</t>
  </si>
  <si>
    <r>
      <t>US$40.00</t>
    </r>
    <r>
      <rPr>
        <sz val="10"/>
        <color rgb="FFFF0000"/>
        <rFont val="ＭＳ Ｐゴシック"/>
        <family val="3"/>
        <charset val="128"/>
      </rPr>
      <t>→</t>
    </r>
    <r>
      <rPr>
        <sz val="10"/>
        <color rgb="FFFF0000"/>
        <rFont val="Arial"/>
        <family val="2"/>
      </rPr>
      <t>waive $20</t>
    </r>
  </si>
  <si>
    <t>FWL-92939s</t>
  </si>
  <si>
    <r>
      <t>US$65.00</t>
    </r>
    <r>
      <rPr>
        <sz val="10"/>
        <color rgb="FFFF0000"/>
        <rFont val="ＭＳ Ｐゴシック"/>
        <family val="3"/>
        <charset val="128"/>
      </rPr>
      <t>→</t>
    </r>
    <r>
      <rPr>
        <sz val="10"/>
        <color rgb="FFFF0000"/>
        <rFont val="Arial"/>
        <family val="2"/>
      </rPr>
      <t>waive</t>
    </r>
  </si>
  <si>
    <t>15 m</t>
  </si>
  <si>
    <r>
      <t>US$29.25</t>
    </r>
    <r>
      <rPr>
        <sz val="10"/>
        <color rgb="FFFF0000"/>
        <rFont val="ＭＳ Ｐゴシック"/>
        <family val="3"/>
        <charset val="128"/>
      </rPr>
      <t>→</t>
    </r>
    <r>
      <rPr>
        <sz val="10"/>
        <color rgb="FFFF0000"/>
        <rFont val="Arial"/>
        <family val="2"/>
      </rPr>
      <t xml:space="preserve">waive $14.63 </t>
    </r>
  </si>
  <si>
    <t>FWL-92940s</t>
  </si>
  <si>
    <r>
      <t>US$52.50</t>
    </r>
    <r>
      <rPr>
        <sz val="10"/>
        <color rgb="FFFF0000"/>
        <rFont val="ＭＳ Ｐゴシック"/>
        <family val="3"/>
        <charset val="128"/>
      </rPr>
      <t>→</t>
    </r>
    <r>
      <rPr>
        <sz val="10"/>
        <color rgb="FFFF0000"/>
        <rFont val="Arial"/>
        <family val="2"/>
      </rPr>
      <t>waive $26.25</t>
    </r>
  </si>
  <si>
    <t xml:space="preserve">The amount you need to pay </t>
    <phoneticPr fontId="2"/>
  </si>
  <si>
    <t>The total amount you need to pay</t>
    <phoneticPr fontId="2"/>
  </si>
  <si>
    <t xml:space="preserve">DTM SEA MIST (50% discount) </t>
    <phoneticPr fontId="2"/>
  </si>
  <si>
    <t>2753-6227 PL26-RE</t>
    <phoneticPr fontId="2"/>
  </si>
  <si>
    <t>2753-6239 PL26-RE</t>
    <phoneticPr fontId="2"/>
  </si>
  <si>
    <t>4875-6227 WC25-RE</t>
    <phoneticPr fontId="2"/>
  </si>
  <si>
    <t>2753-6227&amp;6239 PL26-RE</t>
    <phoneticPr fontId="2"/>
  </si>
  <si>
    <r>
      <t>2025/6/10</t>
    </r>
    <r>
      <rPr>
        <sz val="10"/>
        <color rgb="FFFF0000"/>
        <rFont val="ＭＳ Ｐゴシック"/>
        <family val="3"/>
        <charset val="128"/>
      </rPr>
      <t>出荷見本先方発送済</t>
    </r>
    <rPh sb="9" eb="11">
      <t>シュッカ</t>
    </rPh>
    <rPh sb="11" eb="13">
      <t>ミホン</t>
    </rPh>
    <rPh sb="13" eb="15">
      <t>センポウ</t>
    </rPh>
    <rPh sb="15" eb="17">
      <t>ハッソウ</t>
    </rPh>
    <rPh sb="17" eb="18">
      <t>スミ</t>
    </rPh>
    <phoneticPr fontId="2"/>
  </si>
  <si>
    <r>
      <t>6/16-17</t>
    </r>
    <r>
      <rPr>
        <sz val="10"/>
        <color rgb="FFFF0000"/>
        <rFont val="ＭＳ Ｐゴシック"/>
        <family val="3"/>
        <charset val="128"/>
      </rPr>
      <t>出荷見本着予定</t>
    </r>
    <rPh sb="7" eb="9">
      <t>シュッカ</t>
    </rPh>
    <rPh sb="9" eb="11">
      <t>ミホン</t>
    </rPh>
    <rPh sb="11" eb="12">
      <t>チャク</t>
    </rPh>
    <rPh sb="12" eb="14">
      <t>ヨテイ</t>
    </rPh>
    <phoneticPr fontId="2"/>
  </si>
  <si>
    <t>11462(06/16/25)</t>
    <phoneticPr fontId="2"/>
  </si>
  <si>
    <t>58383(06/16/2025)</t>
    <phoneticPr fontId="2"/>
  </si>
  <si>
    <t>Hero-25017906</t>
    <phoneticPr fontId="2"/>
  </si>
  <si>
    <r>
      <t>110026</t>
    </r>
    <r>
      <rPr>
        <sz val="12"/>
        <rFont val="MS UI Gothic"/>
        <family val="2"/>
        <charset val="1"/>
      </rPr>
      <t>‐</t>
    </r>
    <r>
      <rPr>
        <sz val="12"/>
        <rFont val="Arial"/>
        <family val="2"/>
      </rPr>
      <t>WITH(24-Jun-2025)</t>
    </r>
    <r>
      <rPr>
        <sz val="12"/>
        <color rgb="FF0070C0"/>
        <rFont val="Arial"/>
        <family val="2"/>
      </rPr>
      <t>ship to Textiles Opico</t>
    </r>
    <phoneticPr fontId="2"/>
  </si>
  <si>
    <t>DTM SALT 11-4201 TCX</t>
    <phoneticPr fontId="2"/>
  </si>
  <si>
    <r>
      <t xml:space="preserve">WCK-250626 </t>
    </r>
    <r>
      <rPr>
        <sz val="12"/>
        <color rgb="FF0070C0"/>
        <rFont val="Arial"/>
        <family val="2"/>
      </rPr>
      <t>ship to CAMBERLEY</t>
    </r>
    <phoneticPr fontId="2"/>
  </si>
  <si>
    <r>
      <t xml:space="preserve">SWIM26--002 (June 25, 2025) </t>
    </r>
    <r>
      <rPr>
        <sz val="12"/>
        <color rgb="FF0070C0"/>
        <rFont val="Arial"/>
        <family val="2"/>
      </rPr>
      <t>ship to India</t>
    </r>
    <phoneticPr fontId="2"/>
  </si>
  <si>
    <t>FWL-71680</t>
    <phoneticPr fontId="2"/>
  </si>
  <si>
    <r>
      <t xml:space="preserve">BM-250627 </t>
    </r>
    <r>
      <rPr>
        <sz val="12"/>
        <color rgb="FF0070C0"/>
        <rFont val="Arial"/>
        <family val="2"/>
      </rPr>
      <t>ship to Chinamine</t>
    </r>
    <phoneticPr fontId="2"/>
  </si>
  <si>
    <t xml:space="preserve">20250630  Buck Mason </t>
    <phoneticPr fontId="2"/>
  </si>
  <si>
    <t>FWL-71680 ( 100% Cotton )</t>
    <phoneticPr fontId="2"/>
  </si>
  <si>
    <t>Stock in Mill's Off White as of 
June 30th, 2025</t>
    <phoneticPr fontId="2"/>
  </si>
  <si>
    <t>FWL-71680 ( 100% Silk ) - 1 1/8" same as original width</t>
    <phoneticPr fontId="2"/>
  </si>
  <si>
    <t>Lace min. 200m &amp; Dye min. 100m/col</t>
    <phoneticPr fontId="2"/>
  </si>
  <si>
    <t xml:space="preserve">FWL-71680 ( 100% Silk ) - 3/4" </t>
    <phoneticPr fontId="2"/>
  </si>
  <si>
    <r>
      <t>20250701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</si>
  <si>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FWL-21558</t>
    <phoneticPr fontId="2"/>
  </si>
  <si>
    <r>
      <t xml:space="preserve">SWIM26--003 (June 25, 2025) </t>
    </r>
    <r>
      <rPr>
        <sz val="12"/>
        <color rgb="FF0070C0"/>
        <rFont val="Arial"/>
        <family val="2"/>
      </rPr>
      <t>ship to India</t>
    </r>
    <phoneticPr fontId="2"/>
  </si>
  <si>
    <t>FWL-71680 ( 100% Silk ver. ) - 1 1/8" same as original width</t>
    <phoneticPr fontId="2"/>
  </si>
  <si>
    <t>Natural(undyed)</t>
    <phoneticPr fontId="2"/>
  </si>
  <si>
    <t>FWL-71680 ( 100% Silk ver.) - 3/4"</t>
    <phoneticPr fontId="2"/>
  </si>
  <si>
    <t>Development Fee</t>
    <phoneticPr fontId="2"/>
  </si>
  <si>
    <t>US$ 5.35/m for Natural (undyed) &amp; US$ 6.46/m for DTM</t>
    <phoneticPr fontId="2"/>
  </si>
  <si>
    <t xml:space="preserve">US$ 6.32/m for Natural (undyed) &amp; 
US$ 7.57/m for DTM </t>
    <phoneticPr fontId="2"/>
  </si>
  <si>
    <t>2 sets (US$ 65 x 2 sets)</t>
    <phoneticPr fontId="2"/>
  </si>
  <si>
    <t>8000380 (2025-07-08)</t>
    <phoneticPr fontId="2"/>
  </si>
  <si>
    <t>BM-250709</t>
    <phoneticPr fontId="2"/>
  </si>
  <si>
    <t>Mill's Off White (undyed) for SALT 11-4201 TCX</t>
    <phoneticPr fontId="2"/>
  </si>
  <si>
    <t xml:space="preserve">ALC 20250714  </t>
    <phoneticPr fontId="2"/>
  </si>
  <si>
    <t>CO-11AY</t>
    <phoneticPr fontId="272"/>
  </si>
  <si>
    <r>
      <t>20250715  SIMKHAI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</si>
  <si>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FWL-24445-3 (organic cotton)</t>
    <phoneticPr fontId="2"/>
  </si>
  <si>
    <t>FWL-24144</t>
    <phoneticPr fontId="2"/>
  </si>
  <si>
    <t>FWL-22759s</t>
    <phoneticPr fontId="2"/>
  </si>
  <si>
    <t>Stock in Mill's Off White / Natural(undyed)  as of July 15th, 2025</t>
    <phoneticPr fontId="2"/>
  </si>
  <si>
    <t>100m in Natural (undyed)</t>
    <phoneticPr fontId="2"/>
  </si>
  <si>
    <t>-</t>
    <phoneticPr fontId="2"/>
  </si>
  <si>
    <t>600m in Mill's Off White (undyed)</t>
    <phoneticPr fontId="2"/>
  </si>
  <si>
    <t>30m in Mill's Off White (undyed)</t>
    <phoneticPr fontId="2"/>
  </si>
  <si>
    <r>
      <t>20250717  SIMKHAI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</si>
  <si>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FWL-24095</t>
    <phoneticPr fontId="2"/>
  </si>
  <si>
    <t>FWL-21460</t>
    <phoneticPr fontId="2"/>
  </si>
  <si>
    <t>1,000 m in Mill's Off White (undyed)</t>
    <phoneticPr fontId="2"/>
  </si>
  <si>
    <t>550 m in Mill's Off White (undyed)</t>
    <phoneticPr fontId="2"/>
  </si>
  <si>
    <t>Stock in Mill's Off White 
as of July 17th, 2025</t>
    <phoneticPr fontId="2"/>
  </si>
  <si>
    <t>11696 (07/16/25)</t>
    <phoneticPr fontId="2"/>
  </si>
  <si>
    <t>FWL-93033 (FWL-71680 - 100% Silk ver. - 3/4")</t>
    <phoneticPr fontId="2"/>
  </si>
  <si>
    <t>FWL-93034 (FWL-71680 - 100% Silk ver. - 1 1/8" same as original width)</t>
    <phoneticPr fontId="2"/>
  </si>
  <si>
    <t>品番</t>
    <rPh sb="0" eb="2">
      <t>ヒンバン</t>
    </rPh>
    <phoneticPr fontId="2"/>
  </si>
  <si>
    <t>カラー</t>
    <phoneticPr fontId="2"/>
  </si>
  <si>
    <t>数量</t>
    <rPh sb="0" eb="2">
      <t>スウリョウ</t>
    </rPh>
    <phoneticPr fontId="2"/>
  </si>
  <si>
    <t xml:space="preserve">単価/m </t>
    <rPh sb="0" eb="2">
      <t>タンカ</t>
    </rPh>
    <phoneticPr fontId="2"/>
  </si>
  <si>
    <t xml:space="preserve">BABY, THE STARS SHINE BRIGHT </t>
    <phoneticPr fontId="2"/>
  </si>
  <si>
    <t xml:space="preserve">ZE12243 </t>
    <phoneticPr fontId="2"/>
  </si>
  <si>
    <t xml:space="preserve">ZET6092 </t>
    <phoneticPr fontId="2"/>
  </si>
  <si>
    <t xml:space="preserve">ZET4942 </t>
    <phoneticPr fontId="2"/>
  </si>
  <si>
    <t xml:space="preserve">ZEG2033 </t>
    <phoneticPr fontId="2"/>
  </si>
  <si>
    <t xml:space="preserve">ZET4934 </t>
    <phoneticPr fontId="2"/>
  </si>
  <si>
    <t xml:space="preserve">ZET4202 </t>
    <phoneticPr fontId="2"/>
  </si>
  <si>
    <t xml:space="preserve">ZET4281 </t>
    <phoneticPr fontId="2"/>
  </si>
  <si>
    <t xml:space="preserve">ZEG2501 </t>
    <phoneticPr fontId="2"/>
  </si>
  <si>
    <t xml:space="preserve">ZET2244 </t>
    <phoneticPr fontId="2"/>
  </si>
  <si>
    <t>ZKC4121</t>
    <phoneticPr fontId="2"/>
  </si>
  <si>
    <t xml:space="preserve">ZMT4791 </t>
    <phoneticPr fontId="2"/>
  </si>
  <si>
    <r>
      <rPr>
        <b/>
        <sz val="10"/>
        <rFont val="ＭＳ Ｐゴシック"/>
        <family val="3"/>
        <charset val="128"/>
      </rPr>
      <t>品番</t>
    </r>
    <rPh sb="0" eb="2">
      <t>ヒンバン</t>
    </rPh>
    <phoneticPr fontId="2"/>
  </si>
  <si>
    <r>
      <rPr>
        <b/>
        <sz val="10"/>
        <rFont val="ＭＳ Ｐゴシック"/>
        <family val="3"/>
        <charset val="128"/>
      </rPr>
      <t>サンプルコスト（</t>
    </r>
    <r>
      <rPr>
        <b/>
        <sz val="10"/>
        <rFont val="Arial  "/>
        <family val="2"/>
      </rPr>
      <t>0.3m)</t>
    </r>
    <phoneticPr fontId="2"/>
  </si>
  <si>
    <t>計</t>
    <rPh sb="0" eb="1">
      <t>ケイ</t>
    </rPh>
    <phoneticPr fontId="2"/>
  </si>
  <si>
    <t>栄レース→SF 仕入れ値</t>
    <rPh sb="0" eb="1">
      <t>サカエ</t>
    </rPh>
    <rPh sb="8" eb="10">
      <t>シイ</t>
    </rPh>
    <rPh sb="11" eb="12">
      <t>ネ</t>
    </rPh>
    <phoneticPr fontId="2"/>
  </si>
  <si>
    <r>
      <t>20250722  SIMKHAI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</si>
  <si>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FWL-22178s</t>
    <phoneticPr fontId="2"/>
  </si>
  <si>
    <t>Stock in Mill's Off White 
as of July 22nd, 2025</t>
    <phoneticPr fontId="2"/>
  </si>
  <si>
    <t>3,450 m in Mill's Off White (undyed)</t>
    <phoneticPr fontId="2"/>
  </si>
  <si>
    <t>ALC-250723</t>
    <phoneticPr fontId="2"/>
  </si>
  <si>
    <t>CO-11AY</t>
    <phoneticPr fontId="2"/>
  </si>
  <si>
    <t xml:space="preserve"># 998 </t>
    <phoneticPr fontId="2"/>
  </si>
  <si>
    <t># 950</t>
    <phoneticPr fontId="2"/>
  </si>
  <si>
    <t># 296</t>
    <phoneticPr fontId="2"/>
  </si>
  <si>
    <r>
      <t>20250724  SIMKHAI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</si>
  <si>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FWL-75002 (silk 100%)</t>
    <phoneticPr fontId="2"/>
  </si>
  <si>
    <t>Stock in Natural (undyed)
as of July 24th, 2025</t>
    <phoneticPr fontId="2"/>
  </si>
  <si>
    <t>150 m in Natural (undyed)</t>
    <phoneticPr fontId="2"/>
  </si>
  <si>
    <t>8000401 (2025-07-25)</t>
    <phoneticPr fontId="2"/>
  </si>
  <si>
    <t>11715 (07/25/25)</t>
    <phoneticPr fontId="2"/>
  </si>
  <si>
    <t>FWL-75002</t>
    <phoneticPr fontId="2"/>
  </si>
  <si>
    <t>DTM Black(piece dye)</t>
    <phoneticPr fontId="2"/>
  </si>
  <si>
    <r>
      <t>20250728  Frame 40% 120</t>
    </r>
    <r>
      <rPr>
        <b/>
        <sz val="10"/>
        <rFont val="ＭＳ Ｐゴシック"/>
        <family val="3"/>
        <charset val="128"/>
      </rPr>
      <t>円</t>
    </r>
    <rPh sb="23" eb="24">
      <t>エン</t>
    </rPh>
    <phoneticPr fontId="2"/>
  </si>
  <si>
    <t>FWL-71209</t>
    <phoneticPr fontId="2"/>
  </si>
  <si>
    <t>FWL-71207</t>
    <phoneticPr fontId="2"/>
  </si>
  <si>
    <t>Stock in Mill's Off White 
as of July 28th, 2025</t>
    <phoneticPr fontId="2"/>
  </si>
  <si>
    <t>1,200m</t>
    <phoneticPr fontId="2"/>
  </si>
  <si>
    <t>250m</t>
    <phoneticPr fontId="2"/>
  </si>
  <si>
    <t>Mill's Black(piece dye)</t>
    <phoneticPr fontId="2"/>
  </si>
  <si>
    <t>ZLC2062</t>
  </si>
  <si>
    <t>A1617</t>
  </si>
  <si>
    <t>Cationic Polyester:45%,Nylon:40%,Polyurethane:15%</t>
  </si>
  <si>
    <t>6cm ( 2.4")</t>
    <phoneticPr fontId="2"/>
  </si>
  <si>
    <r>
      <rPr>
        <b/>
        <i/>
        <sz val="10"/>
        <rFont val="Arial  "/>
        <family val="2"/>
      </rPr>
      <t xml:space="preserve">FOB Thailand or China  </t>
    </r>
    <r>
      <rPr>
        <sz val="10"/>
        <rFont val="Arial  "/>
        <family val="2"/>
      </rPr>
      <t>PRICE PER</t>
    </r>
    <r>
      <rPr>
        <u/>
        <sz val="10"/>
        <rFont val="Arial  "/>
        <family val="2"/>
      </rPr>
      <t> METER</t>
    </r>
    <r>
      <rPr>
        <sz val="10"/>
        <rFont val="Arial  "/>
        <family val="2"/>
      </rPr>
      <t xml:space="preserve"> IN</t>
    </r>
    <r>
      <rPr>
        <b/>
        <u/>
        <sz val="10"/>
        <rFont val="Arial  "/>
        <family val="2"/>
      </rPr>
      <t> USD</t>
    </r>
    <phoneticPr fontId="2"/>
  </si>
  <si>
    <r>
      <t>20250731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</si>
  <si>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YDT-13298</t>
    <phoneticPr fontId="2"/>
  </si>
  <si>
    <t>Stock in Mill's Off White 
as of July 31st, 2025</t>
    <phoneticPr fontId="2"/>
  </si>
  <si>
    <t>20m</t>
    <phoneticPr fontId="2"/>
  </si>
  <si>
    <t xml:space="preserve">YDT-13298 </t>
    <phoneticPr fontId="2"/>
  </si>
  <si>
    <t>Lace trim  89% Cotton, 8% Rayon, 3% Polyurethane</t>
    <phoneticPr fontId="2"/>
  </si>
  <si>
    <r>
      <t xml:space="preserve">11721 (07/31/25) </t>
    </r>
    <r>
      <rPr>
        <sz val="12"/>
        <color rgb="FF0070C0"/>
        <rFont val="Arial"/>
        <family val="2"/>
      </rPr>
      <t>ship to China</t>
    </r>
    <phoneticPr fontId="2"/>
  </si>
  <si>
    <t>Grosgrain Stretch   Nylon 76%, Pu 24%</t>
    <phoneticPr fontId="2"/>
  </si>
  <si>
    <t>バルクの場合waive</t>
    <rPh sb="4" eb="6">
      <t>バアイ</t>
    </rPh>
    <phoneticPr fontId="2"/>
  </si>
  <si>
    <t>DOEN-250731 ship to India</t>
  </si>
  <si>
    <t>DOEN-250731 ship to India</t>
    <phoneticPr fontId="2"/>
  </si>
  <si>
    <t>XCSG-250804</t>
    <phoneticPr fontId="2"/>
  </si>
  <si>
    <r>
      <rPr>
        <sz val="12"/>
        <rFont val="ＭＳ Ｐゴシック"/>
        <family val="2"/>
        <charset val="128"/>
      </rPr>
      <t>サンプルカット</t>
    </r>
    <r>
      <rPr>
        <sz val="12"/>
        <rFont val="Arial"/>
        <family val="2"/>
      </rPr>
      <t>2</t>
    </r>
    <r>
      <rPr>
        <sz val="12"/>
        <rFont val="ＭＳ Ｐゴシック"/>
        <family val="2"/>
        <charset val="128"/>
      </rPr>
      <t>倍単価</t>
    </r>
    <rPh sb="8" eb="9">
      <t>バイ</t>
    </rPh>
    <rPh sb="9" eb="11">
      <t>タンカ</t>
    </rPh>
    <phoneticPr fontId="2"/>
  </si>
  <si>
    <t>7329 Revised</t>
    <phoneticPr fontId="2"/>
  </si>
  <si>
    <t>7275-R</t>
    <phoneticPr fontId="2"/>
  </si>
  <si>
    <t>NOBLAND INTERNATIONAL INC. (DOEN)</t>
    <phoneticPr fontId="2"/>
  </si>
  <si>
    <r>
      <rPr>
        <sz val="12"/>
        <rFont val="ＭＳ Ｐゴシック"/>
        <family val="2"/>
        <charset val="128"/>
      </rPr>
      <t>染色代8</t>
    </r>
    <r>
      <rPr>
        <sz val="12"/>
        <rFont val="Arial"/>
        <family val="2"/>
      </rPr>
      <t>0</t>
    </r>
    <r>
      <rPr>
        <sz val="12"/>
        <rFont val="ＭＳ Ｐゴシック"/>
        <family val="2"/>
        <charset val="128"/>
      </rPr>
      <t>円込</t>
    </r>
    <rPh sb="0" eb="2">
      <t>センショク</t>
    </rPh>
    <rPh sb="2" eb="3">
      <t>ダイ</t>
    </rPh>
    <rPh sb="5" eb="6">
      <t>エン</t>
    </rPh>
    <rPh sb="6" eb="7">
      <t>コ</t>
    </rPh>
    <phoneticPr fontId="2"/>
  </si>
  <si>
    <t>2025-DO-0002-02 (2025-08-05)ship to Vietnam</t>
    <phoneticPr fontId="2"/>
  </si>
  <si>
    <t>色確認用</t>
    <rPh sb="0" eb="3">
      <t>イロカクニン</t>
    </rPh>
    <rPh sb="3" eb="4">
      <t>ヨウ</t>
    </rPh>
    <phoneticPr fontId="2"/>
  </si>
  <si>
    <r>
      <t>20250808  Simkhai 40% 120</t>
    </r>
    <r>
      <rPr>
        <b/>
        <sz val="10"/>
        <rFont val="ＭＳ Ｐゴシック"/>
        <family val="3"/>
        <charset val="128"/>
      </rPr>
      <t>円</t>
    </r>
    <rPh sb="25" eb="26">
      <t>エン</t>
    </rPh>
    <phoneticPr fontId="2"/>
  </si>
  <si>
    <t>FWL-21634S</t>
    <phoneticPr fontId="2"/>
  </si>
  <si>
    <t>Stock in Mill's Off White 
as of Aug 8th, 2025</t>
    <phoneticPr fontId="2"/>
  </si>
  <si>
    <t>4,000m</t>
    <phoneticPr fontId="2"/>
  </si>
  <si>
    <t xml:space="preserve">20250808  Buck Mason </t>
    <phoneticPr fontId="2"/>
  </si>
  <si>
    <t>FWL-22517 ( 100% Cotton )</t>
    <phoneticPr fontId="2"/>
  </si>
  <si>
    <t>FWL-22517 ( 100% Silk vesion)</t>
    <phoneticPr fontId="2"/>
  </si>
  <si>
    <t>Stock in Mill's Off White as of 
August 8th, 2025</t>
    <phoneticPr fontId="2"/>
  </si>
  <si>
    <t>FWL-22506 ( 100% Cotton )</t>
    <phoneticPr fontId="2"/>
  </si>
  <si>
    <t>FWL-22506 ( 100% Silk vesion)</t>
    <phoneticPr fontId="2"/>
  </si>
  <si>
    <t xml:space="preserve">FWL-93034 </t>
    <phoneticPr fontId="2"/>
  </si>
  <si>
    <t xml:space="preserve">FWL-93033 </t>
    <phoneticPr fontId="2"/>
  </si>
  <si>
    <t xml:space="preserve">20250815  Buck Mason </t>
    <phoneticPr fontId="2"/>
  </si>
  <si>
    <t>200 m/ art&amp;col&amp;order</t>
    <phoneticPr fontId="2"/>
  </si>
  <si>
    <t>Lace min. 200m/art&amp;order &amp; 
Dye min. 100 m/ art&amp;col&amp;order</t>
    <phoneticPr fontId="2"/>
  </si>
  <si>
    <t>PRT-250820</t>
    <phoneticPr fontId="2"/>
  </si>
  <si>
    <t>PROTEX INDUSTRIAL (H.K.) LIMITED (Frame)</t>
    <phoneticPr fontId="2"/>
  </si>
  <si>
    <r>
      <t>20250821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</si>
  <si>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FWL-23366</t>
    <phoneticPr fontId="2"/>
  </si>
  <si>
    <t>FWL-71517</t>
    <phoneticPr fontId="2"/>
  </si>
  <si>
    <t>FWL-71115</t>
    <phoneticPr fontId="2"/>
  </si>
  <si>
    <t>Stock in Mill's Off White 
as of August 21st, 2025</t>
    <phoneticPr fontId="2"/>
  </si>
  <si>
    <t>2,200m</t>
    <phoneticPr fontId="2"/>
  </si>
  <si>
    <t>1,000m</t>
    <phoneticPr fontId="2"/>
  </si>
  <si>
    <r>
      <t>110531</t>
    </r>
    <r>
      <rPr>
        <sz val="12"/>
        <rFont val="MS UI Gothic"/>
        <family val="2"/>
        <charset val="1"/>
      </rPr>
      <t>‐</t>
    </r>
    <r>
      <rPr>
        <sz val="12"/>
        <rFont val="Arial"/>
        <family val="2"/>
      </rPr>
      <t>WITH(21-Aug-2025)</t>
    </r>
    <r>
      <rPr>
        <sz val="12"/>
        <color rgb="FF0070C0"/>
        <rFont val="Arial"/>
        <family val="2"/>
      </rPr>
      <t>ship to Textiles Opico</t>
    </r>
    <phoneticPr fontId="2"/>
  </si>
  <si>
    <t>NEW VANTAGE (Simkhai)</t>
    <phoneticPr fontId="2"/>
  </si>
  <si>
    <t>Lace trim  82% Cotton, 10% Polyurethane, 8% Nylon</t>
    <phoneticPr fontId="2"/>
  </si>
  <si>
    <t>DTM WASABI/16-0435TCX</t>
    <phoneticPr fontId="2"/>
  </si>
  <si>
    <t>DTM MINT /13-5305 TCX</t>
    <phoneticPr fontId="2"/>
  </si>
  <si>
    <t>DTM MANGO /13-0939 TCX</t>
    <phoneticPr fontId="2"/>
  </si>
  <si>
    <t>DTM CLEMENTINE /16-1350 TCX</t>
    <phoneticPr fontId="2"/>
  </si>
  <si>
    <t xml:space="preserve">Total amount </t>
    <phoneticPr fontId="2"/>
  </si>
  <si>
    <r>
      <t xml:space="preserve">BM-250904 </t>
    </r>
    <r>
      <rPr>
        <sz val="12"/>
        <color rgb="FF0070C0"/>
        <rFont val="Arial"/>
        <family val="2"/>
      </rPr>
      <t>ship to Chinamine</t>
    </r>
    <phoneticPr fontId="2"/>
  </si>
  <si>
    <t>FWL-22517</t>
    <phoneticPr fontId="2"/>
  </si>
  <si>
    <t>FWL-22506</t>
    <phoneticPr fontId="2"/>
  </si>
  <si>
    <t>7329 Revised</t>
    <phoneticPr fontId="2"/>
  </si>
  <si>
    <t>PS26-109 (9/4/25)</t>
    <phoneticPr fontId="2"/>
  </si>
  <si>
    <t>Rodarte</t>
    <phoneticPr fontId="2"/>
  </si>
  <si>
    <t>9 -BLACK</t>
    <phoneticPr fontId="2"/>
  </si>
  <si>
    <t>320 BEIGE</t>
    <phoneticPr fontId="2"/>
  </si>
  <si>
    <t>18-LIGHT PINK</t>
    <phoneticPr fontId="2"/>
  </si>
  <si>
    <t>A10</t>
    <phoneticPr fontId="2"/>
  </si>
  <si>
    <t>A3</t>
    <phoneticPr fontId="2"/>
  </si>
  <si>
    <t>329 OF</t>
    <phoneticPr fontId="2"/>
  </si>
  <si>
    <t>SO</t>
    <phoneticPr fontId="2"/>
  </si>
  <si>
    <t>LF001</t>
    <phoneticPr fontId="2"/>
  </si>
  <si>
    <t>4145</t>
  </si>
  <si>
    <t>30m/roll</t>
    <phoneticPr fontId="2"/>
  </si>
  <si>
    <t>4156</t>
    <phoneticPr fontId="2"/>
  </si>
  <si>
    <t>15m/roll</t>
    <phoneticPr fontId="2"/>
  </si>
  <si>
    <t>20250905 Savagex</t>
    <phoneticPr fontId="2"/>
  </si>
  <si>
    <t>TI-10-7006 (10mm)</t>
    <phoneticPr fontId="2"/>
  </si>
  <si>
    <t>TI-10-D4812 (10mm)</t>
    <phoneticPr fontId="2"/>
  </si>
  <si>
    <t>TI-15-7875 (15mm)</t>
    <phoneticPr fontId="2"/>
  </si>
  <si>
    <t>PFD(anti-yellowing finish is NOT done)</t>
    <phoneticPr fontId="2"/>
  </si>
  <si>
    <t>Custom color 
Dye fee if below Dye min./col→
US$190/art &amp;col &amp; order</t>
    <phoneticPr fontId="2"/>
  </si>
  <si>
    <r>
      <t>20250905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</si>
  <si>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FWL-3266</t>
    <phoneticPr fontId="2"/>
  </si>
  <si>
    <t>R13901(Sep 8 25)</t>
    <phoneticPr fontId="2"/>
  </si>
  <si>
    <t>SHALOM B LLC</t>
    <phoneticPr fontId="2"/>
  </si>
  <si>
    <t>Knit Stretch Binder Tape  Polyester-95%/Polyurethane-5%</t>
    <phoneticPr fontId="2"/>
  </si>
  <si>
    <t>15MM X 2</t>
    <phoneticPr fontId="2"/>
  </si>
  <si>
    <t>Naked Wardrobe 20250909</t>
    <phoneticPr fontId="2"/>
  </si>
  <si>
    <t>5259</t>
  </si>
  <si>
    <t>Braid</t>
    <phoneticPr fontId="2"/>
  </si>
  <si>
    <t>Acrylic-70%/Linen-30%</t>
    <phoneticPr fontId="2"/>
  </si>
  <si>
    <t>5260</t>
  </si>
  <si>
    <t>5261</t>
    <phoneticPr fontId="2"/>
  </si>
  <si>
    <t>5263</t>
    <phoneticPr fontId="2"/>
  </si>
  <si>
    <t>5264</t>
  </si>
  <si>
    <t>5266</t>
    <phoneticPr fontId="2"/>
  </si>
  <si>
    <t>5268</t>
  </si>
  <si>
    <t>5269</t>
  </si>
  <si>
    <t>5270</t>
    <phoneticPr fontId="2"/>
  </si>
  <si>
    <t>Cord</t>
    <phoneticPr fontId="2"/>
  </si>
  <si>
    <t xml:space="preserve">COLOR# 2 </t>
    <phoneticPr fontId="2"/>
  </si>
  <si>
    <t>COLOR# 2</t>
    <phoneticPr fontId="2"/>
  </si>
  <si>
    <t>DISCON</t>
    <phoneticPr fontId="2"/>
  </si>
  <si>
    <t>CUT6641
Sample cut price ( up to 2m→US$15/cut)</t>
    <phoneticPr fontId="2"/>
  </si>
  <si>
    <r>
      <t xml:space="preserve">CUT6641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"/>
        <family val="2"/>
      </rPr>
      <t xml:space="preserve"> (1 roll=abt 50m)</t>
    </r>
    <phoneticPr fontId="2"/>
  </si>
  <si>
    <t>8000451 (2025-09-11)</t>
    <phoneticPr fontId="2"/>
  </si>
  <si>
    <t># 23 ? Tranquil Blue</t>
    <phoneticPr fontId="2"/>
  </si>
  <si>
    <t>SAG-7500 Mill's Standard color</t>
    <phoneticPr fontId="2"/>
  </si>
  <si>
    <t>SAG-7570  Mill's Standard color</t>
    <phoneticPr fontId="2"/>
  </si>
  <si>
    <t>Rodarte  250916</t>
    <phoneticPr fontId="2"/>
  </si>
  <si>
    <t>Article / Qty for Mill's Colors</t>
    <phoneticPr fontId="2"/>
  </si>
  <si>
    <t>CUT6641
500 m/COLOR, 1,000 m/ORDER</t>
    <phoneticPr fontId="2"/>
  </si>
  <si>
    <t>CUT6641
1,000 m/COLOR, 1,000-3,000 m/ORDER</t>
    <phoneticPr fontId="2"/>
  </si>
  <si>
    <t>CUT6641
1,000 m/COLOR, 3,000 m/ORDER</t>
    <phoneticPr fontId="2"/>
  </si>
  <si>
    <r>
      <t>DOEN 20250910 &amp; 916  20% 120</t>
    </r>
    <r>
      <rPr>
        <sz val="10"/>
        <rFont val="ＭＳ Ｐゴシック"/>
        <family val="3"/>
        <charset val="128"/>
      </rPr>
      <t>円</t>
    </r>
    <rPh sb="28" eb="29">
      <t>エン</t>
    </rPh>
    <phoneticPr fontId="2"/>
  </si>
  <si>
    <t>Article / Qty for DTM Colors</t>
    <phoneticPr fontId="2"/>
  </si>
  <si>
    <t>It varies depending on the qty, let me confirm each time</t>
    <phoneticPr fontId="2"/>
  </si>
  <si>
    <t xml:space="preserve">CUT6641
Based on Dye lot MOQ 8rolls/col (400mts/col) </t>
    <phoneticPr fontId="2"/>
  </si>
  <si>
    <t>CUT6641
below Dye lot</t>
    <phoneticPr fontId="2"/>
  </si>
  <si>
    <t># 108 Tranquil Blue</t>
    <phoneticPr fontId="2"/>
  </si>
  <si>
    <r>
      <t xml:space="preserve">231746 </t>
    </r>
    <r>
      <rPr>
        <sz val="12"/>
        <color rgb="FF0070C0"/>
        <rFont val="Arial"/>
        <family val="2"/>
      </rPr>
      <t>LA</t>
    </r>
    <phoneticPr fontId="2"/>
  </si>
  <si>
    <t>2440W</t>
    <phoneticPr fontId="2"/>
  </si>
  <si>
    <t># 407 Scarlet</t>
    <phoneticPr fontId="2"/>
  </si>
  <si>
    <t>in stock</t>
    <phoneticPr fontId="2"/>
  </si>
  <si>
    <t>COO</t>
    <phoneticPr fontId="2"/>
  </si>
  <si>
    <t>Availability</t>
    <phoneticPr fontId="2"/>
  </si>
  <si>
    <t>End of October</t>
    <phoneticPr fontId="2"/>
  </si>
  <si>
    <t>End of September</t>
    <phoneticPr fontId="2"/>
  </si>
  <si>
    <t>DTM W NATURAL 161</t>
    <phoneticPr fontId="2"/>
  </si>
  <si>
    <t>100% Cotton Tulle</t>
    <phoneticPr fontId="2"/>
  </si>
  <si>
    <t>CUT6641</t>
    <phoneticPr fontId="2"/>
  </si>
  <si>
    <t>abt 105/110cm</t>
    <phoneticPr fontId="2"/>
  </si>
  <si>
    <t>Col. 21</t>
    <phoneticPr fontId="2"/>
  </si>
  <si>
    <t>Col. 8</t>
    <phoneticPr fontId="2"/>
  </si>
  <si>
    <t>カット代400円/m 込み</t>
    <rPh sb="3" eb="4">
      <t>ダイ</t>
    </rPh>
    <rPh sb="7" eb="8">
      <t>エン</t>
    </rPh>
    <rPh sb="11" eb="12">
      <t>コ</t>
    </rPh>
    <phoneticPr fontId="2"/>
  </si>
  <si>
    <r>
      <t>110783</t>
    </r>
    <r>
      <rPr>
        <sz val="12"/>
        <rFont val="MS UI Gothic"/>
        <family val="2"/>
        <charset val="1"/>
      </rPr>
      <t>‐</t>
    </r>
    <r>
      <rPr>
        <sz val="12"/>
        <rFont val="Arial"/>
        <family val="2"/>
      </rPr>
      <t>WITH(24-Sep-2025)</t>
    </r>
    <r>
      <rPr>
        <sz val="12"/>
        <color rgb="FF0070C0"/>
        <rFont val="Arial"/>
        <family val="2"/>
      </rPr>
      <t>ship to Textiles Opico</t>
    </r>
    <phoneticPr fontId="2"/>
  </si>
  <si>
    <r>
      <t xml:space="preserve">SF_FA26_CUT664_2 (September 24, 2025) </t>
    </r>
    <r>
      <rPr>
        <sz val="12"/>
        <color rgb="FF0070C0"/>
        <rFont val="Arial"/>
        <family val="2"/>
      </rPr>
      <t>HK</t>
    </r>
    <phoneticPr fontId="2"/>
  </si>
  <si>
    <r>
      <t xml:space="preserve">SF_SU26_CUT664_2(September 24, 2025) </t>
    </r>
    <r>
      <rPr>
        <sz val="12"/>
        <color rgb="FF0070C0"/>
        <rFont val="Arial"/>
        <family val="2"/>
      </rPr>
      <t>India</t>
    </r>
    <phoneticPr fontId="2"/>
  </si>
  <si>
    <t>2440W</t>
    <phoneticPr fontId="2"/>
  </si>
  <si>
    <r>
      <t xml:space="preserve">231783 </t>
    </r>
    <r>
      <rPr>
        <sz val="12"/>
        <color rgb="FF0070C0"/>
        <rFont val="Arial"/>
        <family val="2"/>
      </rPr>
      <t>LA</t>
    </r>
    <phoneticPr fontId="2"/>
  </si>
  <si>
    <t># 97 Yellow</t>
    <phoneticPr fontId="2"/>
  </si>
  <si>
    <t>-</t>
    <phoneticPr fontId="2"/>
  </si>
  <si>
    <t xml:space="preserve">FWL-71680 ( 100% Silk ver. ) - 1 1/8" same as original width  </t>
    <phoneticPr fontId="2"/>
  </si>
  <si>
    <t># 14 Red</t>
    <phoneticPr fontId="2"/>
  </si>
  <si>
    <t>4149</t>
    <phoneticPr fontId="2"/>
  </si>
  <si>
    <t>Col. 19 Red (C/C of TI-8600)</t>
    <phoneticPr fontId="2"/>
  </si>
  <si>
    <t>Col. 27 Brown (C/C of TI-8600)</t>
    <phoneticPr fontId="2"/>
  </si>
  <si>
    <t>Col. 2 Off White (C/C of TI-8600)</t>
    <phoneticPr fontId="2"/>
  </si>
  <si>
    <t>Total Amount</t>
    <phoneticPr fontId="2"/>
  </si>
  <si>
    <t>Frame 20251002</t>
    <phoneticPr fontId="2"/>
  </si>
  <si>
    <t>1 roll (=20m)</t>
    <phoneticPr fontId="2"/>
  </si>
  <si>
    <t>0907200 (10/03/25)</t>
    <phoneticPr fontId="2"/>
  </si>
  <si>
    <t>??</t>
    <phoneticPr fontId="2"/>
  </si>
  <si>
    <t>DDA</t>
    <phoneticPr fontId="2"/>
  </si>
  <si>
    <t>DDA-251008</t>
    <phoneticPr fontId="2"/>
  </si>
  <si>
    <t>Based on 850yd (abt 780m)</t>
    <phoneticPr fontId="2"/>
  </si>
  <si>
    <t xml:space="preserve">Frame 20251008 speicial offer </t>
    <phoneticPr fontId="2"/>
  </si>
  <si>
    <t>Mill's Off White (undyed)</t>
  </si>
  <si>
    <t>SF_SU26_270-20544(October 8, 2025) ship to India</t>
    <phoneticPr fontId="2"/>
  </si>
  <si>
    <t>Qty</t>
    <phoneticPr fontId="2"/>
  </si>
  <si>
    <t>AT25PT10004</t>
    <phoneticPr fontId="2"/>
  </si>
  <si>
    <t>仕入れ・請求無し</t>
    <rPh sb="0" eb="2">
      <t>シイ</t>
    </rPh>
    <rPh sb="4" eb="6">
      <t>セイキュウ</t>
    </rPh>
    <rPh sb="6" eb="7">
      <t>ナ</t>
    </rPh>
    <phoneticPr fontId="2"/>
  </si>
  <si>
    <t>BM-2510-005 (2025/10/14)</t>
    <phoneticPr fontId="2"/>
  </si>
  <si>
    <r>
      <rPr>
        <sz val="10"/>
        <color theme="1"/>
        <rFont val="BIZ UDPゴシック"/>
        <family val="3"/>
        <charset val="128"/>
      </rPr>
      <t>特価</t>
    </r>
    <r>
      <rPr>
        <sz val="10"/>
        <color theme="1"/>
        <rFont val="Arial  "/>
        <family val="2"/>
      </rPr>
      <t xml:space="preserve"> 160</t>
    </r>
    <r>
      <rPr>
        <sz val="10"/>
        <color theme="1"/>
        <rFont val="BIZ UDPゴシック"/>
        <family val="3"/>
        <charset val="128"/>
      </rPr>
      <t>円</t>
    </r>
    <r>
      <rPr>
        <sz val="10"/>
        <color theme="1"/>
        <rFont val="Arial  "/>
        <family val="2"/>
      </rPr>
      <t xml:space="preserve"> + 70</t>
    </r>
    <r>
      <rPr>
        <sz val="10"/>
        <color theme="1"/>
        <rFont val="BIZ UDPゴシック"/>
        <family val="3"/>
        <charset val="128"/>
      </rPr>
      <t>円＝</t>
    </r>
    <r>
      <rPr>
        <sz val="10"/>
        <color theme="1"/>
        <rFont val="Arial  "/>
        <family val="2"/>
      </rPr>
      <t>230</t>
    </r>
    <r>
      <rPr>
        <sz val="10"/>
        <color theme="1"/>
        <rFont val="BIZ UDPゴシック"/>
        <family val="3"/>
        <charset val="128"/>
      </rPr>
      <t>円</t>
    </r>
    <rPh sb="0" eb="2">
      <t>トッカ</t>
    </rPh>
    <rPh sb="6" eb="7">
      <t>エン</t>
    </rPh>
    <rPh sb="12" eb="13">
      <t>エン</t>
    </rPh>
    <rPh sb="17" eb="18">
      <t>エン</t>
    </rPh>
    <phoneticPr fontId="2"/>
  </si>
  <si>
    <t>DTM Black (Piece dye)</t>
    <phoneticPr fontId="2"/>
  </si>
  <si>
    <t>染色代 70円込み</t>
    <rPh sb="0" eb="2">
      <t>センショク</t>
    </rPh>
    <rPh sb="2" eb="3">
      <t>ダイ</t>
    </rPh>
    <rPh sb="6" eb="7">
      <t>エン</t>
    </rPh>
    <rPh sb="7" eb="8">
      <t>コ</t>
    </rPh>
    <phoneticPr fontId="2"/>
  </si>
  <si>
    <r>
      <t xml:space="preserve">HEROIC MOTTO LIMITED </t>
    </r>
    <r>
      <rPr>
        <sz val="12"/>
        <rFont val="ＭＳ Ｐゴシック"/>
        <family val="2"/>
        <charset val="128"/>
      </rPr>
      <t>（</t>
    </r>
    <r>
      <rPr>
        <sz val="12"/>
        <rFont val="Arial"/>
        <family val="2"/>
      </rPr>
      <t>BUCK MASON</t>
    </r>
    <r>
      <rPr>
        <sz val="12"/>
        <rFont val="ＭＳ Ｐゴシック"/>
        <family val="2"/>
        <charset val="128"/>
      </rPr>
      <t>）</t>
    </r>
    <phoneticPr fontId="2"/>
  </si>
  <si>
    <t>CISSA</t>
    <phoneticPr fontId="2"/>
  </si>
  <si>
    <t>MOQ for Mill's Off White(undyed)</t>
    <phoneticPr fontId="2"/>
  </si>
  <si>
    <t>14m /roll</t>
    <phoneticPr fontId="2"/>
  </si>
  <si>
    <t>Stock in Mill's Off White 
as of October 22nd, 2025</t>
    <phoneticPr fontId="2"/>
  </si>
  <si>
    <t>70m in stock, 126m will be replenished in End Oct.</t>
    <phoneticPr fontId="2"/>
  </si>
  <si>
    <t xml:space="preserve">266m in stock </t>
    <phoneticPr fontId="2"/>
  </si>
  <si>
    <t>168m in stock</t>
    <phoneticPr fontId="2"/>
  </si>
  <si>
    <t>only sample yds, 168m will be replenished in End Oct.</t>
    <phoneticPr fontId="2"/>
  </si>
  <si>
    <t>112m in stock</t>
    <phoneticPr fontId="2"/>
  </si>
  <si>
    <r>
      <t>20251023  Asher 40% 120</t>
    </r>
    <r>
      <rPr>
        <b/>
        <sz val="10"/>
        <rFont val="ＭＳ Ｐゴシック"/>
        <family val="3"/>
        <charset val="128"/>
      </rPr>
      <t>円</t>
    </r>
    <rPh sb="23" eb="24">
      <t>エン</t>
    </rPh>
    <phoneticPr fontId="2"/>
  </si>
  <si>
    <t>FWL-71138</t>
    <phoneticPr fontId="2"/>
  </si>
  <si>
    <t>FWL-22497</t>
    <phoneticPr fontId="2"/>
  </si>
  <si>
    <t>FWL-22500</t>
    <phoneticPr fontId="2"/>
  </si>
  <si>
    <t>FWL-22503</t>
    <phoneticPr fontId="2"/>
  </si>
  <si>
    <t>FWL-22501</t>
    <phoneticPr fontId="2"/>
  </si>
  <si>
    <t>FWL-22498</t>
    <phoneticPr fontId="2"/>
  </si>
  <si>
    <t>FWL-22231</t>
    <phoneticPr fontId="2"/>
  </si>
  <si>
    <t>FWL-22263</t>
    <phoneticPr fontId="2"/>
  </si>
  <si>
    <t>FWL-22298</t>
    <phoneticPr fontId="2"/>
  </si>
  <si>
    <t>FWL-22449</t>
    <phoneticPr fontId="2"/>
  </si>
  <si>
    <t>FWL-71130</t>
    <phoneticPr fontId="2"/>
  </si>
  <si>
    <t>FWL-71132</t>
    <phoneticPr fontId="2"/>
  </si>
  <si>
    <t>FWL-71131</t>
    <phoneticPr fontId="2"/>
  </si>
  <si>
    <t>FWL-71143</t>
    <phoneticPr fontId="2"/>
  </si>
  <si>
    <t>FWL-71123</t>
    <phoneticPr fontId="2"/>
  </si>
  <si>
    <t>FWL-75081 (silk)</t>
    <phoneticPr fontId="2"/>
  </si>
  <si>
    <t>FWL-75072 (silk)</t>
    <phoneticPr fontId="2"/>
  </si>
  <si>
    <t>FWL-75076 (silk)</t>
    <phoneticPr fontId="2"/>
  </si>
  <si>
    <t>FWL-75084 (silk)</t>
    <phoneticPr fontId="2"/>
  </si>
  <si>
    <t>FWL-22228</t>
    <phoneticPr fontId="2"/>
  </si>
  <si>
    <t>FWL-71172</t>
    <phoneticPr fontId="2"/>
  </si>
  <si>
    <t>FWL-71191</t>
    <phoneticPr fontId="2"/>
  </si>
  <si>
    <t>FWL-22412</t>
    <phoneticPr fontId="2"/>
  </si>
  <si>
    <t>FWL-22377</t>
    <phoneticPr fontId="2"/>
  </si>
  <si>
    <t>FWL-71557</t>
    <phoneticPr fontId="2"/>
  </si>
  <si>
    <t>FWL-71569</t>
    <phoneticPr fontId="2"/>
  </si>
  <si>
    <t>FWL-71612</t>
    <phoneticPr fontId="2"/>
  </si>
  <si>
    <t>Stock in Mill's Off White 
as of October 23rd, 2025</t>
    <phoneticPr fontId="2"/>
  </si>
  <si>
    <t>-</t>
    <phoneticPr fontId="2"/>
  </si>
  <si>
    <t>2000m</t>
    <phoneticPr fontId="2"/>
  </si>
  <si>
    <t>1000m</t>
    <phoneticPr fontId="2"/>
  </si>
  <si>
    <t>100m</t>
    <phoneticPr fontId="2"/>
  </si>
  <si>
    <t>400m</t>
    <phoneticPr fontId="2"/>
  </si>
  <si>
    <t>700m</t>
    <phoneticPr fontId="2"/>
  </si>
  <si>
    <t>200m</t>
    <phoneticPr fontId="2"/>
  </si>
  <si>
    <t>1200m</t>
    <phoneticPr fontId="2"/>
  </si>
  <si>
    <t>30m</t>
    <phoneticPr fontId="2"/>
  </si>
  <si>
    <t>50m</t>
    <phoneticPr fontId="2"/>
  </si>
  <si>
    <t>1500m</t>
    <phoneticPr fontId="2"/>
  </si>
  <si>
    <t>1600m</t>
    <phoneticPr fontId="2"/>
  </si>
  <si>
    <t>3600m</t>
    <phoneticPr fontId="2"/>
  </si>
  <si>
    <t>1650m</t>
    <phoneticPr fontId="2"/>
  </si>
  <si>
    <t>600m</t>
    <phoneticPr fontId="2"/>
  </si>
  <si>
    <t>900m</t>
    <phoneticPr fontId="2"/>
  </si>
  <si>
    <t>650m</t>
    <phoneticPr fontId="2"/>
  </si>
  <si>
    <t>800m</t>
    <phoneticPr fontId="2"/>
  </si>
  <si>
    <t>1900m</t>
    <phoneticPr fontId="2"/>
  </si>
  <si>
    <t>1100m</t>
    <phoneticPr fontId="2"/>
  </si>
  <si>
    <t>1050m</t>
    <phoneticPr fontId="2"/>
  </si>
  <si>
    <t>FWL-22582</t>
    <phoneticPr fontId="2"/>
  </si>
  <si>
    <t>C-251024</t>
    <phoneticPr fontId="2"/>
  </si>
  <si>
    <t>Asher</t>
    <phoneticPr fontId="2"/>
  </si>
  <si>
    <t>Asher-251029</t>
    <phoneticPr fontId="2"/>
  </si>
  <si>
    <t xml:space="preserve">Sample  </t>
    <phoneticPr fontId="2"/>
  </si>
  <si>
    <t xml:space="preserve">Sample Freight Fee (UPS) </t>
    <phoneticPr fontId="2"/>
  </si>
  <si>
    <t>SF102925-SP26 (October 29, 2025)</t>
    <phoneticPr fontId="2"/>
  </si>
  <si>
    <t># 72 ARMY</t>
    <phoneticPr fontId="2"/>
  </si>
  <si>
    <t>PHARAOH COLLECTION 20251030</t>
    <phoneticPr fontId="2"/>
  </si>
  <si>
    <t>3846</t>
  </si>
  <si>
    <r>
      <t>20251030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</si>
  <si>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r>
      <t>20251031  Wantable 40% 120</t>
    </r>
    <r>
      <rPr>
        <b/>
        <sz val="10"/>
        <rFont val="ＭＳ Ｐゴシック"/>
        <family val="3"/>
        <charset val="128"/>
      </rPr>
      <t>円</t>
    </r>
    <rPh sb="26" eb="27">
      <t>エン</t>
    </rPh>
    <phoneticPr fontId="2"/>
  </si>
  <si>
    <t>Herringbone Tape</t>
    <phoneticPr fontId="2"/>
  </si>
  <si>
    <t>50m/ roll</t>
    <phoneticPr fontId="2"/>
  </si>
  <si>
    <t>30m/ roll</t>
    <phoneticPr fontId="2"/>
  </si>
  <si>
    <t>E3707</t>
    <phoneticPr fontId="2"/>
  </si>
  <si>
    <t>E3920</t>
    <phoneticPr fontId="2"/>
  </si>
  <si>
    <t>Recycled Polyester：100%</t>
    <phoneticPr fontId="2"/>
  </si>
  <si>
    <t>Organic Cotton：100%</t>
    <phoneticPr fontId="2"/>
  </si>
  <si>
    <r>
      <t>Recycled</t>
    </r>
    <r>
      <rPr>
        <sz val="10"/>
        <rFont val="Arial"/>
        <family val="2"/>
      </rPr>
      <t xml:space="preserve"> Polyester Taffeta</t>
    </r>
    <phoneticPr fontId="2"/>
  </si>
  <si>
    <r>
      <t xml:space="preserve">Organic Cotton </t>
    </r>
    <r>
      <rPr>
        <sz val="10"/>
        <rFont val="Arial"/>
        <family val="2"/>
      </rPr>
      <t>Herringbone Tapes</t>
    </r>
    <phoneticPr fontId="2"/>
  </si>
  <si>
    <t>OL-354040-1</t>
    <phoneticPr fontId="2"/>
  </si>
  <si>
    <t>247 m/ art&amp;col&amp;order</t>
    <phoneticPr fontId="2"/>
  </si>
  <si>
    <t>400m</t>
    <phoneticPr fontId="2"/>
  </si>
  <si>
    <t>OL-354377-1</t>
    <phoneticPr fontId="2"/>
  </si>
  <si>
    <t>Stock in Mill's Off White 
as of November 4th, 2025</t>
    <phoneticPr fontId="2"/>
  </si>
  <si>
    <t>180m</t>
    <phoneticPr fontId="2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</si>
  <si>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2"/>
  </si>
  <si>
    <t>DOEN 20251105</t>
    <phoneticPr fontId="2"/>
  </si>
  <si>
    <t>T1801CB</t>
    <phoneticPr fontId="2"/>
  </si>
  <si>
    <t>Monique  20251105</t>
    <phoneticPr fontId="2"/>
  </si>
  <si>
    <t>M600</t>
    <phoneticPr fontId="2"/>
  </si>
  <si>
    <t xml:space="preserve">1 roll (= abt 25m) </t>
    <phoneticPr fontId="2"/>
  </si>
  <si>
    <t xml:space="preserve">Size / weight </t>
    <phoneticPr fontId="2"/>
  </si>
  <si>
    <t>abt 134cm x abt 25m ,  abt 120g/sqm</t>
    <phoneticPr fontId="2"/>
  </si>
  <si>
    <r>
      <t>DOEN 20251105  20% 120</t>
    </r>
    <r>
      <rPr>
        <sz val="10"/>
        <rFont val="ＭＳ Ｐゴシック"/>
        <family val="3"/>
        <charset val="128"/>
      </rPr>
      <t>円</t>
    </r>
    <rPh sb="22" eb="23">
      <t>エン</t>
    </rPh>
    <phoneticPr fontId="2"/>
  </si>
  <si>
    <r>
      <t xml:space="preserve">T1801CB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"/>
        <family val="2"/>
      </rPr>
      <t xml:space="preserve"> (1 roll=abt 50m)</t>
    </r>
    <phoneticPr fontId="2"/>
  </si>
  <si>
    <t>T1801CB
500 m/COLOR, 1,000 m/ORDER</t>
    <phoneticPr fontId="2"/>
  </si>
  <si>
    <t>T1801CB
1,000 m/COLOR, 1,000-3,000 m/ORDER</t>
    <phoneticPr fontId="2"/>
  </si>
  <si>
    <t>T1801CB
1,000 m/COLOR, 3,000 m/ORDER</t>
    <phoneticPr fontId="2"/>
  </si>
  <si>
    <r>
      <t>Frame 20251106  40% 120</t>
    </r>
    <r>
      <rPr>
        <sz val="10"/>
        <rFont val="ＭＳ Ｐゴシック"/>
        <family val="3"/>
        <charset val="128"/>
      </rPr>
      <t>円</t>
    </r>
    <rPh sb="23" eb="24">
      <t>エン</t>
    </rPh>
    <phoneticPr fontId="2"/>
  </si>
  <si>
    <t>FWL-22819</t>
    <phoneticPr fontId="2"/>
  </si>
  <si>
    <t>Stock in Mill's Off White 
as of November 6th, 2025</t>
    <phoneticPr fontId="2"/>
  </si>
  <si>
    <t>DOEN-251107 ship to Camberly</t>
    <phoneticPr fontId="2"/>
  </si>
  <si>
    <t>Tulle Fabric    Polyester  56%, Nylon  44%</t>
    <phoneticPr fontId="2"/>
  </si>
  <si>
    <t>abt 130/135cm</t>
    <phoneticPr fontId="2"/>
  </si>
  <si>
    <t>BK</t>
    <phoneticPr fontId="2"/>
  </si>
  <si>
    <t>DDA 20251107</t>
    <phoneticPr fontId="2"/>
  </si>
  <si>
    <t>1930-17</t>
    <phoneticPr fontId="2"/>
  </si>
  <si>
    <t>30 rolls /col (900m/col)</t>
    <phoneticPr fontId="2"/>
  </si>
  <si>
    <r>
      <t xml:space="preserve">SF-PF26-002(November 6, 2025)  </t>
    </r>
    <r>
      <rPr>
        <sz val="12"/>
        <color rgb="FF0070C0"/>
        <rFont val="Arial"/>
        <family val="2"/>
      </rPr>
      <t>ship to India</t>
    </r>
    <phoneticPr fontId="2"/>
  </si>
  <si>
    <r>
      <t xml:space="preserve">SF-PF26-001(November 6, 2025)  </t>
    </r>
    <r>
      <rPr>
        <sz val="12"/>
        <color rgb="FF0070C0"/>
        <rFont val="Arial"/>
        <family val="2"/>
      </rPr>
      <t>ship to Chinamine</t>
    </r>
    <phoneticPr fontId="2"/>
  </si>
  <si>
    <t>HENGTONGDA FASHION INC.CO.LIMITED (Simkhai)</t>
    <phoneticPr fontId="2"/>
  </si>
  <si>
    <t>JSSS2602-16 (2025.11.11)</t>
    <phoneticPr fontId="2"/>
  </si>
  <si>
    <t>DTM Ivor (Piece dye)</t>
    <phoneticPr fontId="2"/>
  </si>
  <si>
    <t>DTM Black(Piece dye)</t>
    <phoneticPr fontId="2"/>
  </si>
  <si>
    <t>FWL-75002 ( 100% Silk)</t>
    <phoneticPr fontId="2"/>
  </si>
  <si>
    <t>ZEG2712</t>
    <phoneticPr fontId="428" type="noConversion"/>
  </si>
  <si>
    <t>A1886</t>
  </si>
  <si>
    <r>
      <rPr>
        <b/>
        <i/>
        <sz val="10"/>
        <rFont val="Arial  "/>
        <family val="2"/>
      </rPr>
      <t>USD (FOB)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r>
      <rPr>
        <b/>
        <sz val="10"/>
        <rFont val="Arial  "/>
        <family val="2"/>
      </rPr>
      <t xml:space="preserve"> OR </t>
    </r>
    <r>
      <rPr>
        <b/>
        <u/>
        <sz val="10"/>
        <rFont val="Arial  "/>
        <family val="2"/>
      </rPr>
      <t>PIECE</t>
    </r>
    <r>
      <rPr>
        <b/>
        <sz val="10"/>
        <rFont val="Arial  "/>
        <family val="2"/>
      </rPr>
      <t xml:space="preserve"> in USD</t>
    </r>
    <phoneticPr fontId="2"/>
  </si>
  <si>
    <t>Piece Length</t>
  </si>
  <si>
    <t>Weaving min.</t>
  </si>
  <si>
    <t>Dye to match</t>
  </si>
  <si>
    <t>WIDTHCM</t>
  </si>
  <si>
    <t>X Stock color</t>
  </si>
  <si>
    <t>X Dye to match</t>
  </si>
  <si>
    <t xml:space="preserve">DOEN </t>
    <phoneticPr fontId="2"/>
  </si>
  <si>
    <t>Pattern#</t>
    <phoneticPr fontId="2"/>
  </si>
  <si>
    <t>R15361- Nov 11 25</t>
    <phoneticPr fontId="2"/>
  </si>
  <si>
    <t>Dye Fee for FWL-22231/Mill's Black</t>
    <phoneticPr fontId="2"/>
  </si>
  <si>
    <t>Dye Fee for FWL-22497/Mill's Black</t>
    <phoneticPr fontId="2"/>
  </si>
  <si>
    <t>Shalom B(Asher LA)</t>
    <phoneticPr fontId="2"/>
  </si>
  <si>
    <t xml:space="preserve">梱包費用 +30 </t>
    <rPh sb="0" eb="2">
      <t>コンポウ</t>
    </rPh>
    <rPh sb="2" eb="4">
      <t>ヒヨウ</t>
    </rPh>
    <phoneticPr fontId="2"/>
  </si>
  <si>
    <t>20251114 DOEN  20% レート</t>
    <phoneticPr fontId="2"/>
  </si>
  <si>
    <r>
      <t xml:space="preserve">FUT9978 D/#1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2"/>
  </si>
  <si>
    <r>
      <t xml:space="preserve">FUT9978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2"/>
  </si>
  <si>
    <t xml:space="preserve">112/115cm x approx. 50m
100% Polyester </t>
    <phoneticPr fontId="2"/>
  </si>
  <si>
    <t>Size/Composition</t>
    <phoneticPr fontId="2"/>
  </si>
  <si>
    <t>Chinamine Trading Ltd.(BUCK MASON)</t>
    <phoneticPr fontId="2"/>
  </si>
  <si>
    <t>DTM Black (piece-dye)</t>
    <phoneticPr fontId="2"/>
  </si>
  <si>
    <t>DTM W BURGUNDY 2 (piece-dye)</t>
    <phoneticPr fontId="2"/>
  </si>
  <si>
    <t>Dye fee for FWL-22517</t>
    <phoneticPr fontId="2"/>
  </si>
  <si>
    <t>Dye fee for FWL-22506</t>
    <phoneticPr fontId="2"/>
  </si>
  <si>
    <t>Col. 31</t>
    <phoneticPr fontId="2"/>
  </si>
  <si>
    <t>Thuraya trim samples</t>
    <phoneticPr fontId="2"/>
  </si>
  <si>
    <t xml:space="preserve">DDA </t>
    <phoneticPr fontId="2"/>
  </si>
  <si>
    <t>P012080 (F-251111)</t>
    <phoneticPr fontId="2"/>
  </si>
  <si>
    <t xml:space="preserve"> W NATURAL 161  (piece-dye)</t>
    <phoneticPr fontId="2"/>
  </si>
  <si>
    <t xml:space="preserve">Total Amount </t>
    <phoneticPr fontId="2"/>
  </si>
  <si>
    <t>Dye fee for FWL-22517 &amp; FWL-22506 (same dye batch)</t>
    <phoneticPr fontId="2"/>
  </si>
  <si>
    <r>
      <rPr>
        <sz val="12"/>
        <rFont val="ＭＳ Ｐゴシック"/>
        <family val="2"/>
        <charset val="128"/>
      </rPr>
      <t>同釜染色（</t>
    </r>
    <r>
      <rPr>
        <sz val="12"/>
        <rFont val="Arial"/>
        <family val="2"/>
      </rPr>
      <t>no color reject)</t>
    </r>
    <rPh sb="0" eb="1">
      <t>オナ</t>
    </rPh>
    <rPh sb="1" eb="2">
      <t>カマ</t>
    </rPh>
    <rPh sb="2" eb="4">
      <t>センショク</t>
    </rPh>
    <phoneticPr fontId="2"/>
  </si>
  <si>
    <t>Polyester Piping Tape   Polyester-100%</t>
    <phoneticPr fontId="2"/>
  </si>
  <si>
    <t>Paly</t>
    <phoneticPr fontId="2"/>
  </si>
  <si>
    <t># 50 Red</t>
    <phoneticPr fontId="2"/>
  </si>
  <si>
    <t>a</t>
    <phoneticPr fontId="2"/>
  </si>
  <si>
    <t>FWL-23968</t>
  </si>
  <si>
    <t>FWL-21862</t>
  </si>
  <si>
    <t>FWL-22343</t>
  </si>
  <si>
    <t>FWL-22482</t>
    <phoneticPr fontId="2"/>
  </si>
  <si>
    <t>FWL-22372</t>
    <phoneticPr fontId="2"/>
  </si>
  <si>
    <t>FWL-2567</t>
    <phoneticPr fontId="2"/>
  </si>
  <si>
    <t>FWL-21732</t>
    <phoneticPr fontId="2"/>
  </si>
  <si>
    <t>FWL-2593</t>
    <phoneticPr fontId="2"/>
  </si>
  <si>
    <t>Frame 20251118 40%</t>
    <phoneticPr fontId="2"/>
  </si>
  <si>
    <t>BM-251119 ship to Chinamine</t>
    <phoneticPr fontId="2"/>
  </si>
  <si>
    <t>63403(11/19/2025)</t>
    <phoneticPr fontId="2"/>
  </si>
  <si>
    <t>PO-00154 (NOVEMBER 18, 2025)</t>
    <phoneticPr fontId="2"/>
  </si>
  <si>
    <t>Katherine Tash</t>
    <phoneticPr fontId="2"/>
  </si>
  <si>
    <t>#  Y604</t>
    <phoneticPr fontId="2"/>
  </si>
  <si>
    <t>#  Y12</t>
    <phoneticPr fontId="2"/>
  </si>
  <si>
    <t>Light Tulle- T3500C Color    Y12- 100 m　…廃番</t>
  </si>
  <si>
    <r>
      <t> Color   Y604 - 30 m 　…12月5日頃入荷予定　</t>
    </r>
    <r>
      <rPr>
        <sz val="11"/>
        <color rgb="FF0070C0"/>
        <rFont val="游ゴシック"/>
        <family val="3"/>
        <charset val="128"/>
      </rPr>
      <t>→キープ依頼済</t>
    </r>
  </si>
  <si>
    <t>Color   Y427 - 30 m　…廃番</t>
  </si>
  <si>
    <r>
      <t>Stiffer Tulle- T3000- Color     KW - 30 m　…在庫あり　</t>
    </r>
    <r>
      <rPr>
        <sz val="11"/>
        <color rgb="FF0070C0"/>
        <rFont val="游ゴシック"/>
        <family val="3"/>
        <charset val="128"/>
      </rPr>
      <t>→キープ済</t>
    </r>
  </si>
  <si>
    <t>8000516 (2025-11-27)</t>
    <phoneticPr fontId="2"/>
  </si>
  <si>
    <t>白メンコ付け替え35円/反込み</t>
    <rPh sb="0" eb="1">
      <t>シロ</t>
    </rPh>
    <rPh sb="4" eb="5">
      <t>ツ</t>
    </rPh>
    <rPh sb="6" eb="7">
      <t>カ</t>
    </rPh>
    <rPh sb="10" eb="11">
      <t>エン</t>
    </rPh>
    <rPh sb="12" eb="13">
      <t>タン</t>
    </rPh>
    <rPh sb="13" eb="14">
      <t>コ</t>
    </rPh>
    <phoneticPr fontId="2"/>
  </si>
  <si>
    <t>Pattern#</t>
  </si>
  <si>
    <t>ZMA3841</t>
  </si>
  <si>
    <t>AX439</t>
  </si>
  <si>
    <t>ZMA2752</t>
  </si>
  <si>
    <t>A1497</t>
  </si>
  <si>
    <t>Nylon:85%,Wool:15%</t>
  </si>
  <si>
    <t>ZMG0273</t>
  </si>
  <si>
    <t>A1611</t>
  </si>
  <si>
    <t>ZMT2401</t>
  </si>
  <si>
    <t>P1</t>
  </si>
  <si>
    <t>ZMT1791</t>
  </si>
  <si>
    <t>A1183</t>
  </si>
  <si>
    <t>ZKC4161</t>
  </si>
  <si>
    <t>AX389</t>
  </si>
  <si>
    <t>ZKC4241</t>
  </si>
  <si>
    <t>A1717</t>
  </si>
  <si>
    <r>
      <rPr>
        <b/>
        <i/>
        <sz val="10"/>
        <rFont val="Arial  "/>
        <family val="2"/>
      </rPr>
      <t>USD (FOB)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r>
      <rPr>
        <b/>
        <sz val="10"/>
        <rFont val="Arial  "/>
        <family val="2"/>
      </rPr>
      <t xml:space="preserve"> in USD</t>
    </r>
    <phoneticPr fontId="2"/>
  </si>
  <si>
    <t>DOEN 20251201 40%</t>
    <phoneticPr fontId="2"/>
  </si>
  <si>
    <t>YDT-13595</t>
    <phoneticPr fontId="2"/>
  </si>
  <si>
    <t>-</t>
    <phoneticPr fontId="2"/>
  </si>
  <si>
    <t>US$105/ art&amp;col&amp;order</t>
    <phoneticPr fontId="2"/>
  </si>
  <si>
    <t>SF_SU26_270-20544(December 1, 2025) ship to India</t>
    <phoneticPr fontId="2"/>
  </si>
  <si>
    <t>DDA-251205</t>
    <phoneticPr fontId="2"/>
  </si>
  <si>
    <t>KYL-3423-1</t>
    <phoneticPr fontId="2"/>
  </si>
  <si>
    <t xml:space="preserve"> By T/T or ACH (Check is N/A)</t>
    <phoneticPr fontId="2"/>
  </si>
  <si>
    <t xml:space="preserve"> By T/T or ACH only (Check:N/A)</t>
    <phoneticPr fontId="2"/>
  </si>
  <si>
    <t xml:space="preserve">
13298　オフ　5600ヤード（約5120ｍ）
単価＠220/ｍ→特価＠210/ｍ</t>
    <phoneticPr fontId="2"/>
  </si>
  <si>
    <r>
      <t>20251208  DOEN 40% 120</t>
    </r>
    <r>
      <rPr>
        <b/>
        <sz val="10"/>
        <rFont val="ＭＳ Ｐゴシック"/>
        <family val="3"/>
        <charset val="128"/>
      </rPr>
      <t>円</t>
    </r>
    <r>
      <rPr>
        <b/>
        <sz val="10"/>
        <rFont val="Arial Black"/>
        <family val="2"/>
      </rPr>
      <t xml:space="preserve">  based on </t>
    </r>
    <r>
      <rPr>
        <b/>
        <sz val="10"/>
        <rFont val="游ゴシック"/>
        <family val="2"/>
        <charset val="128"/>
      </rPr>
      <t>オフ　</t>
    </r>
    <r>
      <rPr>
        <b/>
        <sz val="10"/>
        <rFont val="Arial Black"/>
        <family val="2"/>
      </rPr>
      <t>5600</t>
    </r>
    <r>
      <rPr>
        <b/>
        <sz val="10"/>
        <rFont val="游ゴシック"/>
        <family val="2"/>
        <charset val="128"/>
      </rPr>
      <t>ヤード（約</t>
    </r>
    <r>
      <rPr>
        <b/>
        <sz val="10"/>
        <rFont val="Arial Black"/>
        <family val="2"/>
      </rPr>
      <t>5120</t>
    </r>
    <r>
      <rPr>
        <b/>
        <sz val="10"/>
        <rFont val="游ゴシック"/>
        <family val="2"/>
        <charset val="128"/>
      </rPr>
      <t>ｍ）</t>
    </r>
    <rPh sb="22" eb="23">
      <t>エン</t>
    </rPh>
    <phoneticPr fontId="2"/>
  </si>
  <si>
    <t xml:space="preserve">Based on Bulk qty below </t>
    <phoneticPr fontId="2"/>
  </si>
  <si>
    <t xml:space="preserve">5,600yds ( =abt 5,120m) </t>
    <phoneticPr fontId="2"/>
  </si>
  <si>
    <t>通常単価</t>
    <rPh sb="0" eb="2">
      <t>ツウジョウ</t>
    </rPh>
    <rPh sb="2" eb="4">
      <t>タンカ</t>
    </rPh>
    <phoneticPr fontId="2"/>
  </si>
  <si>
    <t>SL-120525 (12/8/2025)</t>
    <phoneticPr fontId="2"/>
  </si>
  <si>
    <t xml:space="preserve">20251209 Buck Mason </t>
    <phoneticPr fontId="2"/>
  </si>
  <si>
    <t>ZET2903</t>
  </si>
  <si>
    <t>A1896</t>
  </si>
  <si>
    <t>ZEA3852</t>
  </si>
  <si>
    <t>A1483</t>
  </si>
  <si>
    <t>ZEA2723</t>
  </si>
  <si>
    <t>A1772</t>
  </si>
  <si>
    <t>Cotton:55%,Nylon:45%</t>
  </si>
  <si>
    <r>
      <rPr>
        <b/>
        <i/>
        <sz val="10"/>
        <rFont val="Arial  "/>
        <family val="2"/>
      </rPr>
      <t>USD (FOB) Thailand or China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phoneticPr fontId="2"/>
  </si>
  <si>
    <t>Tara LaTour  20251210</t>
    <phoneticPr fontId="2"/>
  </si>
  <si>
    <t>7400</t>
    <phoneticPr fontId="2"/>
  </si>
  <si>
    <t>2020RE-WS</t>
    <phoneticPr fontId="2"/>
  </si>
  <si>
    <t>DB5200</t>
    <phoneticPr fontId="2"/>
  </si>
  <si>
    <t>ON242</t>
    <phoneticPr fontId="2"/>
  </si>
  <si>
    <t>2580K</t>
    <phoneticPr fontId="2"/>
  </si>
  <si>
    <r>
      <t xml:space="preserve">FUT3428 D#1 (Mill's color) 
Sample cut price ( up to </t>
    </r>
    <r>
      <rPr>
        <sz val="10"/>
        <rFont val="Arial  "/>
        <family val="2"/>
      </rPr>
      <t>2m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2"/>
  </si>
  <si>
    <r>
      <t xml:space="preserve">FUT3428 D#1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2"/>
  </si>
  <si>
    <t xml:space="preserve">20251211  Buck Mason </t>
    <phoneticPr fontId="2"/>
  </si>
  <si>
    <t>FWL-71303 (100% Cotton-100/3 count )</t>
    <phoneticPr fontId="2"/>
  </si>
  <si>
    <t>Stock in Mill's Off White as of 
December 11th, 2025</t>
    <phoneticPr fontId="2"/>
  </si>
  <si>
    <t>2470A</t>
    <phoneticPr fontId="2"/>
  </si>
  <si>
    <r>
      <t xml:space="preserve">231946 </t>
    </r>
    <r>
      <rPr>
        <sz val="12"/>
        <color rgb="FF0070C0"/>
        <rFont val="Arial"/>
        <family val="2"/>
      </rPr>
      <t>LA</t>
    </r>
    <phoneticPr fontId="2"/>
  </si>
  <si>
    <t># 42 Bright Blue</t>
    <phoneticPr fontId="2"/>
  </si>
  <si>
    <t># 56 Bright Green</t>
    <phoneticPr fontId="2"/>
  </si>
  <si>
    <r>
      <t xml:space="preserve">231947 </t>
    </r>
    <r>
      <rPr>
        <sz val="12"/>
        <color rgb="FF0070C0"/>
        <rFont val="Arial"/>
        <family val="2"/>
      </rPr>
      <t>LA</t>
    </r>
    <phoneticPr fontId="2"/>
  </si>
  <si>
    <t># 130 Ivory</t>
    <phoneticPr fontId="2"/>
  </si>
  <si>
    <t xml:space="preserve">in stock </t>
    <phoneticPr fontId="2"/>
  </si>
  <si>
    <t>Only 5 rolls in stock</t>
    <phoneticPr fontId="2"/>
  </si>
  <si>
    <t xml:space="preserve">will be ready on December 17th-18th </t>
    <phoneticPr fontId="2"/>
  </si>
  <si>
    <r>
      <t xml:space="preserve">231946 </t>
    </r>
    <r>
      <rPr>
        <sz val="10"/>
        <color rgb="FF0070C0"/>
        <rFont val="Arial  "/>
        <family val="2"/>
      </rPr>
      <t>LA</t>
    </r>
    <phoneticPr fontId="2"/>
  </si>
  <si>
    <r>
      <t xml:space="preserve">231947 </t>
    </r>
    <r>
      <rPr>
        <sz val="10"/>
        <color rgb="FF0070C0"/>
        <rFont val="Arial  "/>
        <family val="2"/>
      </rPr>
      <t>LA</t>
    </r>
    <phoneticPr fontId="2"/>
  </si>
  <si>
    <t>502304</t>
    <phoneticPr fontId="2"/>
  </si>
  <si>
    <t>502307</t>
    <phoneticPr fontId="2"/>
  </si>
  <si>
    <t>502306</t>
    <phoneticPr fontId="2"/>
  </si>
  <si>
    <t>XIRENA (DDA)</t>
    <phoneticPr fontId="2"/>
  </si>
  <si>
    <t>only 490m in stock, the balance will be ready Early - Mid Feb</t>
    <phoneticPr fontId="2"/>
  </si>
  <si>
    <t>only 378m in stock, the balance will be ready Early - Mid Feb</t>
    <phoneticPr fontId="2"/>
  </si>
  <si>
    <t>only 1,117.5m in stock, the balance will be ready End Feb - Early March</t>
    <phoneticPr fontId="2"/>
  </si>
  <si>
    <t>A.PO-5027/46932(12-Dec-2025) ship to India</t>
    <phoneticPr fontId="2"/>
  </si>
  <si>
    <t>SAIVANA GARMENTS PVT.LTD.(DOEN)</t>
    <phoneticPr fontId="2"/>
  </si>
  <si>
    <r>
      <t>20251216  Frame 40% 120</t>
    </r>
    <r>
      <rPr>
        <b/>
        <sz val="10"/>
        <rFont val="ＭＳ Ｐゴシック"/>
        <family val="3"/>
        <charset val="128"/>
      </rPr>
      <t>円</t>
    </r>
    <rPh sb="23" eb="24">
      <t>エン</t>
    </rPh>
    <phoneticPr fontId="2"/>
  </si>
  <si>
    <t>OL-351031</t>
    <phoneticPr fontId="2"/>
  </si>
  <si>
    <t>342.5 m/ art&amp;col&amp;order</t>
    <phoneticPr fontId="2"/>
  </si>
  <si>
    <t>Stock in Mill's Off White 
as of December 16th, 2025</t>
    <phoneticPr fontId="2"/>
  </si>
  <si>
    <t>480m</t>
    <phoneticPr fontId="2"/>
  </si>
  <si>
    <t>R16081-Dec 16 25</t>
    <phoneticPr fontId="2"/>
  </si>
  <si>
    <t>only 30m in stock, L/T 5wks based on working days in Japan</t>
    <phoneticPr fontId="2"/>
  </si>
  <si>
    <t>in stock</t>
    <phoneticPr fontId="2"/>
  </si>
  <si>
    <t># 72 Bright Blue</t>
    <phoneticPr fontId="2"/>
  </si>
  <si>
    <t>COLOR#2 WHITE</t>
    <phoneticPr fontId="2"/>
  </si>
  <si>
    <t>MOQ/col</t>
  </si>
  <si>
    <t>Stock in Mill's Off White</t>
  </si>
  <si>
    <t>as of December 15th, 2025</t>
  </si>
  <si>
    <t>YDT-13595</t>
  </si>
  <si>
    <t>10 m</t>
  </si>
  <si>
    <t>US$2.52/m</t>
  </si>
  <si>
    <t>We cannot produce this time</t>
  </si>
  <si>
    <t>DS-1243</t>
  </si>
  <si>
    <t>US$2.38/m</t>
  </si>
  <si>
    <t>800m, shortage : Mid-January</t>
  </si>
  <si>
    <t>DS-1276</t>
  </si>
  <si>
    <t>US$2.30/m</t>
  </si>
  <si>
    <t>1,200m</t>
  </si>
  <si>
    <t>DS-281</t>
  </si>
  <si>
    <r>
      <t>US$2.80/m</t>
    </r>
    <r>
      <rPr>
        <sz val="10"/>
        <color rgb="FF0070C0"/>
        <rFont val="Arial"/>
        <family val="2"/>
      </rPr>
      <t>→For this order only, we offer $ 2.52/m</t>
    </r>
  </si>
  <si>
    <t>2,200m</t>
  </si>
  <si>
    <t>DS-1266</t>
  </si>
  <si>
    <r>
      <t>US$2.77/m</t>
    </r>
    <r>
      <rPr>
        <sz val="10"/>
        <color rgb="FF0070C0"/>
        <rFont val="Arial"/>
        <family val="2"/>
      </rPr>
      <t>→For this order only, we offer $ 2.52/m</t>
    </r>
  </si>
  <si>
    <t>only sample yds, shortage : Late January</t>
  </si>
  <si>
    <r>
      <t>20251218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</si>
  <si>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FWL-24579</t>
    <phoneticPr fontId="2"/>
  </si>
  <si>
    <t>abt 200m, shortage : Mid February</t>
    <phoneticPr fontId="2"/>
  </si>
  <si>
    <t>Stock in Mill's Off White 
as of December 18th, 2025</t>
    <phoneticPr fontId="2"/>
  </si>
  <si>
    <t>キャンセル</t>
    <phoneticPr fontId="2"/>
  </si>
  <si>
    <t>8000534 (2025-12-18)</t>
    <phoneticPr fontId="2"/>
  </si>
  <si>
    <t># 141</t>
    <phoneticPr fontId="2"/>
  </si>
  <si>
    <t># 110</t>
    <phoneticPr fontId="2"/>
  </si>
  <si>
    <t>no stock, L/T 4-5wks</t>
    <phoneticPr fontId="2"/>
  </si>
  <si>
    <t>RADNIK EXPORTS GLOBAL PRIVATE LIMITED(DOEN)</t>
    <phoneticPr fontId="2"/>
  </si>
  <si>
    <t>RGN4/I000000814 (19/12/2025)</t>
    <phoneticPr fontId="2"/>
  </si>
  <si>
    <t>SUN25 12.17</t>
    <phoneticPr fontId="2"/>
  </si>
  <si>
    <t>Tara LaTour</t>
    <phoneticPr fontId="2"/>
  </si>
  <si>
    <t>Bright Mikado Fabric 100% Polyester</t>
    <phoneticPr fontId="2"/>
  </si>
  <si>
    <t xml:space="preserve">Color: SO </t>
    <phoneticPr fontId="2"/>
  </si>
  <si>
    <t>Gazar Organza 100% Polyester</t>
    <phoneticPr fontId="2"/>
  </si>
  <si>
    <t>shipping schedule</t>
    <phoneticPr fontId="2"/>
  </si>
  <si>
    <t>no stock, new production</t>
    <phoneticPr fontId="2"/>
  </si>
  <si>
    <t>In stock, ship first for PPS ?</t>
    <phoneticPr fontId="2"/>
  </si>
  <si>
    <t>RGN4/I000000843 (24/12/2025)</t>
    <phoneticPr fontId="2"/>
  </si>
  <si>
    <t>SFD-251230</t>
    <phoneticPr fontId="2"/>
  </si>
  <si>
    <t>返品</t>
    <rPh sb="0" eb="2">
      <t>ヘンピン</t>
    </rPh>
    <phoneticPr fontId="2"/>
  </si>
  <si>
    <t>輸出梱包費用のみ請求あり</t>
    <rPh sb="0" eb="2">
      <t>ユシュツ</t>
    </rPh>
    <rPh sb="2" eb="4">
      <t>コンポウ</t>
    </rPh>
    <rPh sb="4" eb="6">
      <t>ヒヨウ</t>
    </rPh>
    <rPh sb="8" eb="10">
      <t>セイキュウ</t>
    </rPh>
    <phoneticPr fontId="2"/>
  </si>
  <si>
    <r>
      <t>SF Osaka</t>
    </r>
    <r>
      <rPr>
        <sz val="10"/>
        <rFont val="ＭＳ Ｐゴシック"/>
        <family val="2"/>
        <charset val="128"/>
      </rPr>
      <t>負担</t>
    </r>
    <rPh sb="8" eb="10">
      <t>フタン</t>
    </rPh>
    <phoneticPr fontId="2"/>
  </si>
  <si>
    <t>TBC</t>
    <phoneticPr fontId="2"/>
  </si>
  <si>
    <t>20260107 DDA</t>
    <phoneticPr fontId="2"/>
  </si>
  <si>
    <t>Buck Mason</t>
    <phoneticPr fontId="2"/>
  </si>
  <si>
    <t>FWL-71303 (Cotton-100/3 count )</t>
    <phoneticPr fontId="2"/>
  </si>
  <si>
    <t>Suite 716, 15 West 38th Street,</t>
    <phoneticPr fontId="2"/>
  </si>
  <si>
    <t>Megumi Chiba</t>
    <phoneticPr fontId="2"/>
  </si>
  <si>
    <t>BM-260109 ship to Chinamine</t>
    <phoneticPr fontId="2"/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</si>
  <si>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Suite 716, 15 West 38th Street,
New York, NY 10018, U.S.A.
TEL: 81-80-4860-0203
&lt;Shipper: Sun Fashion Corp. in Japan&gt;</t>
    </r>
    <phoneticPr fontId="2"/>
  </si>
  <si>
    <r>
      <t xml:space="preserve">232004 </t>
    </r>
    <r>
      <rPr>
        <sz val="12"/>
        <color rgb="FF0070C0"/>
        <rFont val="Arial"/>
        <family val="2"/>
      </rPr>
      <t>LA</t>
    </r>
    <phoneticPr fontId="2"/>
  </si>
  <si>
    <r>
      <t>20260115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</si>
  <si>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FWL-24441</t>
    <phoneticPr fontId="2"/>
  </si>
  <si>
    <t>Stock in Mill's Off White 
as of January 15th, 2026</t>
    <phoneticPr fontId="2"/>
  </si>
  <si>
    <t>170m</t>
    <phoneticPr fontId="2"/>
  </si>
  <si>
    <r>
      <t>SF-PF26-003(January 16, 2026)</t>
    </r>
    <r>
      <rPr>
        <sz val="12"/>
        <color rgb="FF0070C0"/>
        <rFont val="Arial"/>
        <family val="2"/>
      </rPr>
      <t xml:space="preserve"> HK</t>
    </r>
    <phoneticPr fontId="2"/>
  </si>
  <si>
    <t>F-260117</t>
    <phoneticPr fontId="2"/>
  </si>
  <si>
    <t>Mill’s Black (yarn-dyed)</t>
    <phoneticPr fontId="2"/>
  </si>
  <si>
    <t>PF26-118(1/16/26)</t>
    <phoneticPr fontId="2"/>
  </si>
  <si>
    <t xml:space="preserve">20260119 Monique </t>
    <phoneticPr fontId="2"/>
  </si>
  <si>
    <t>KLS-KL-0334</t>
    <phoneticPr fontId="2"/>
  </si>
  <si>
    <t>Bulk order  (MOQ: 180m/col)</t>
    <phoneticPr fontId="2"/>
  </si>
  <si>
    <t>Sample order (MOQ: 15m/col - )</t>
    <phoneticPr fontId="2"/>
  </si>
  <si>
    <t>Base fabric color : select from a yarn color card
Lame color : Gold or Silver</t>
    <phoneticPr fontId="2"/>
  </si>
  <si>
    <t>Sample cut fee US$ 15/cut</t>
    <phoneticPr fontId="2"/>
  </si>
  <si>
    <t>??</t>
    <phoneticPr fontId="2"/>
  </si>
  <si>
    <r>
      <t>20260121  Asher 40% 120</t>
    </r>
    <r>
      <rPr>
        <b/>
        <sz val="10"/>
        <rFont val="ＭＳ Ｐゴシック"/>
        <family val="3"/>
        <charset val="128"/>
      </rPr>
      <t>円</t>
    </r>
    <rPh sb="23" eb="24">
      <t>エン</t>
    </rPh>
    <phoneticPr fontId="2"/>
  </si>
  <si>
    <t>Stock in Mill's Off White 
as of January 21st, 2026</t>
    <phoneticPr fontId="2"/>
  </si>
  <si>
    <t>FWL-22520</t>
    <phoneticPr fontId="2"/>
  </si>
  <si>
    <t>Rodarte  260121</t>
    <phoneticPr fontId="2"/>
  </si>
  <si>
    <t>FWL-93152(=FWL-23283 + 1/4” to non-scallop edge) Development fee</t>
    <phoneticPr fontId="2"/>
  </si>
  <si>
    <t>FWL-93153(=FWL-23808 + 1/4” to both sides) Development fee</t>
    <phoneticPr fontId="2"/>
  </si>
  <si>
    <t xml:space="preserve">20260127  Frame </t>
    <phoneticPr fontId="2"/>
  </si>
  <si>
    <t>FWL-93152</t>
    <phoneticPr fontId="2"/>
  </si>
  <si>
    <t>X-260128 to China</t>
    <phoneticPr fontId="2"/>
  </si>
  <si>
    <t>X-260127</t>
    <phoneticPr fontId="2"/>
  </si>
  <si>
    <t>KYL-23706</t>
    <phoneticPr fontId="2"/>
  </si>
  <si>
    <t xml:space="preserve">Cotton lace trim   100% Cotton </t>
    <phoneticPr fontId="2"/>
  </si>
  <si>
    <r>
      <t>TOTAL 5,900m(</t>
    </r>
    <r>
      <rPr>
        <sz val="12"/>
        <color theme="1"/>
        <rFont val="ＭＳ Ｐゴシック"/>
        <family val="2"/>
        <charset val="128"/>
      </rPr>
      <t>内訳調整有)</t>
    </r>
    <rPh sb="13" eb="15">
      <t>ウチワケ</t>
    </rPh>
    <rPh sb="15" eb="17">
      <t>チョウセイ</t>
    </rPh>
    <rPh sb="17" eb="18">
      <t>アリ</t>
    </rPh>
    <phoneticPr fontId="2"/>
  </si>
  <si>
    <t>R16758-Jan 30 26</t>
    <phoneticPr fontId="2"/>
  </si>
  <si>
    <t>Natural</t>
  </si>
  <si>
    <t xml:space="preserve">FWL-93153(=FWL-23808 + 1/4” to both sides) </t>
    <phoneticPr fontId="2"/>
  </si>
  <si>
    <t># 30 Black</t>
  </si>
  <si>
    <t>X-260128 to China</t>
  </si>
  <si>
    <t xml:space="preserve">Cotton Cord   100% Cotton </t>
  </si>
  <si>
    <t xml:space="preserve">20260204  Frame </t>
    <phoneticPr fontId="2"/>
  </si>
  <si>
    <t>FWL-93153</t>
    <phoneticPr fontId="2"/>
  </si>
  <si>
    <t>F-260117 ship to Chinamine</t>
    <phoneticPr fontId="2"/>
  </si>
  <si>
    <r>
      <t xml:space="preserve">232012 </t>
    </r>
    <r>
      <rPr>
        <sz val="12"/>
        <color rgb="FF0070C0"/>
        <rFont val="Arial"/>
        <family val="2"/>
      </rPr>
      <t>LA</t>
    </r>
    <phoneticPr fontId="2"/>
  </si>
  <si>
    <t># 184 Bluebelle</t>
    <phoneticPr fontId="2"/>
  </si>
  <si>
    <t># 405 Dark Navy</t>
    <phoneticPr fontId="2"/>
  </si>
  <si>
    <t># 329  Silk White</t>
    <phoneticPr fontId="2"/>
  </si>
  <si>
    <t># 180 Yellow</t>
    <phoneticPr fontId="2"/>
  </si>
  <si>
    <t>株式会社SHINDO</t>
  </si>
  <si>
    <t>C 20260202</t>
    <phoneticPr fontId="2"/>
  </si>
  <si>
    <t>FWL-93139(=FWL-24596+1/4” to non-scallop edge) Development fee</t>
    <phoneticPr fontId="2"/>
  </si>
  <si>
    <t>#116</t>
    <phoneticPr fontId="2"/>
  </si>
  <si>
    <t>FWL-93139</t>
    <phoneticPr fontId="2"/>
  </si>
  <si>
    <r>
      <t>20260131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</si>
  <si>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Stock in Mill's Off White 
as of January 30th, 2026</t>
    <phoneticPr fontId="2"/>
  </si>
  <si>
    <t>FWL-24406-3 (Organic Cotton)</t>
    <phoneticPr fontId="2"/>
  </si>
  <si>
    <t xml:space="preserve">Natural (undyed) </t>
    <phoneticPr fontId="2"/>
  </si>
  <si>
    <t>WTS (Frame )</t>
    <phoneticPr fontId="2"/>
  </si>
  <si>
    <t>WTS-260210</t>
    <phoneticPr fontId="2"/>
  </si>
  <si>
    <t xml:space="preserve">100% Organic Cotton Lace Trim  </t>
    <phoneticPr fontId="2"/>
  </si>
  <si>
    <t xml:space="preserve">FWL-24406-3 </t>
    <phoneticPr fontId="2"/>
  </si>
  <si>
    <r>
      <t>20260210  Buck Mason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2"/>
  </si>
  <si>
    <t>FWL-22917</t>
    <phoneticPr fontId="2"/>
  </si>
  <si>
    <t>BM-260210</t>
    <phoneticPr fontId="2"/>
  </si>
  <si>
    <t>DTM Natural (piece dye)</t>
    <phoneticPr fontId="2"/>
  </si>
  <si>
    <t>染色代 80円/m 込み</t>
    <rPh sb="0" eb="2">
      <t>センショク</t>
    </rPh>
    <rPh sb="2" eb="3">
      <t>ダイ</t>
    </rPh>
    <rPh sb="6" eb="7">
      <t>エン</t>
    </rPh>
    <rPh sb="10" eb="11">
      <t>コ</t>
    </rPh>
    <phoneticPr fontId="2"/>
  </si>
  <si>
    <t>FWL-22917(60/3)</t>
    <phoneticPr fontId="2"/>
  </si>
  <si>
    <t>3008336-09(Feb 13, 2026)</t>
    <phoneticPr fontId="2"/>
  </si>
  <si>
    <t># 8 Black</t>
    <phoneticPr fontId="2"/>
  </si>
  <si>
    <t>66330(02/20/2026)</t>
    <phoneticPr fontId="2"/>
  </si>
  <si>
    <t>F-260129  ship to Chinamine</t>
    <phoneticPr fontId="2"/>
  </si>
  <si>
    <r>
      <t xml:space="preserve">232079 </t>
    </r>
    <r>
      <rPr>
        <sz val="12"/>
        <color rgb="FF0070C0"/>
        <rFont val="Arial"/>
        <family val="2"/>
      </rPr>
      <t>LA</t>
    </r>
    <phoneticPr fontId="2"/>
  </si>
  <si>
    <t>Width</t>
    <phoneticPr fontId="2"/>
  </si>
  <si>
    <t>ALC vendor 20260303</t>
    <phoneticPr fontId="2"/>
  </si>
  <si>
    <r>
      <t>20260303  Christy Dawn 40% 120</t>
    </r>
    <r>
      <rPr>
        <b/>
        <sz val="10"/>
        <rFont val="ＭＳ Ｐゴシック"/>
        <family val="3"/>
        <charset val="128"/>
      </rPr>
      <t>円</t>
    </r>
    <rPh sb="30" eb="31">
      <t>エン</t>
    </rPh>
    <phoneticPr fontId="2"/>
  </si>
  <si>
    <t>FWL-22483</t>
    <phoneticPr fontId="2"/>
  </si>
  <si>
    <t>FWL-22464</t>
    <phoneticPr fontId="2"/>
  </si>
  <si>
    <t>Stock in Mill's Off White 
as of March 3rd, 2026</t>
    <phoneticPr fontId="2"/>
  </si>
  <si>
    <t>Toray Industries (HK) Ltd. (BANDIT RUNNING)</t>
    <phoneticPr fontId="2"/>
  </si>
  <si>
    <t xml:space="preserve"># 223 </t>
    <phoneticPr fontId="2"/>
  </si>
  <si>
    <t># 85</t>
    <phoneticPr fontId="2"/>
  </si>
  <si>
    <r>
      <t xml:space="preserve">3/6 </t>
    </r>
    <r>
      <rPr>
        <b/>
        <sz val="11"/>
        <color rgb="FFFF0000"/>
        <rFont val="ＭＳ Ｐゴシック"/>
        <family val="2"/>
        <charset val="128"/>
      </rPr>
      <t>入金済</t>
    </r>
    <rPh sb="4" eb="6">
      <t>ニュウキン</t>
    </rPh>
    <rPh sb="6" eb="7">
      <t>スミ</t>
    </rPh>
    <phoneticPr fontId="2"/>
  </si>
  <si>
    <t>BR_Sun Fashion_20260309 (9-Mar-26)</t>
    <phoneticPr fontId="2"/>
  </si>
  <si>
    <r>
      <t>20260313  Christy Dawn 40% 120</t>
    </r>
    <r>
      <rPr>
        <b/>
        <sz val="10"/>
        <rFont val="ＭＳ Ｐゴシック"/>
        <family val="3"/>
        <charset val="128"/>
      </rPr>
      <t>円</t>
    </r>
    <rPh sb="30" eb="31">
      <t>エン</t>
    </rPh>
    <phoneticPr fontId="2"/>
  </si>
  <si>
    <t xml:space="preserve"> 250m</t>
    <phoneticPr fontId="2"/>
  </si>
  <si>
    <t>450m</t>
    <phoneticPr fontId="2"/>
  </si>
  <si>
    <t>300m</t>
    <phoneticPr fontId="2"/>
  </si>
  <si>
    <t>400m</t>
    <phoneticPr fontId="2"/>
  </si>
  <si>
    <t xml:space="preserve"> 200m</t>
    <phoneticPr fontId="2"/>
  </si>
  <si>
    <t xml:space="preserve">500m </t>
    <phoneticPr fontId="2"/>
  </si>
  <si>
    <t>FWL-22251</t>
    <phoneticPr fontId="2"/>
  </si>
  <si>
    <t>FWL-22242</t>
    <phoneticPr fontId="2"/>
  </si>
  <si>
    <t>FWL-22265</t>
    <phoneticPr fontId="2"/>
  </si>
  <si>
    <t>FWL-22257</t>
    <phoneticPr fontId="2"/>
  </si>
  <si>
    <t xml:space="preserve">FWL-22807 </t>
    <phoneticPr fontId="2"/>
  </si>
  <si>
    <t xml:space="preserve">FWL-22827 </t>
    <phoneticPr fontId="2"/>
  </si>
  <si>
    <t>FWL-22820</t>
    <phoneticPr fontId="2"/>
  </si>
  <si>
    <t>FWL-22812</t>
    <phoneticPr fontId="2"/>
  </si>
  <si>
    <t>Stock in Mill's Off White 
as of March 12th, 2026</t>
    <phoneticPr fontId="2"/>
  </si>
  <si>
    <t>Rodarte  260316</t>
    <phoneticPr fontId="2"/>
  </si>
  <si>
    <t>SAG-1300  Mill's Standard color</t>
    <phoneticPr fontId="2"/>
  </si>
  <si>
    <t>SAG-7110  Mill's Standard color</t>
    <phoneticPr fontId="2"/>
  </si>
  <si>
    <t>SAG-7110 Mill's Standard color</t>
    <phoneticPr fontId="2"/>
  </si>
  <si>
    <t>BM-2603-0011(2026/3/23)</t>
    <phoneticPr fontId="2"/>
  </si>
  <si>
    <t>HEROIC MOTTO LIMITED (BUCK MASON)</t>
    <phoneticPr fontId="2"/>
  </si>
  <si>
    <t>染色代込み/3/31まで単価据え置き</t>
    <rPh sb="0" eb="2">
      <t>センショク</t>
    </rPh>
    <rPh sb="2" eb="3">
      <t>ダイ</t>
    </rPh>
    <rPh sb="3" eb="4">
      <t>コ</t>
    </rPh>
    <rPh sb="12" eb="14">
      <t>タンカ</t>
    </rPh>
    <rPh sb="14" eb="15">
      <t>ス</t>
    </rPh>
    <rPh sb="16" eb="17">
      <t>オ</t>
    </rPh>
    <phoneticPr fontId="2"/>
  </si>
  <si>
    <t>65mm (+/- 2MM)</t>
    <phoneticPr fontId="2"/>
  </si>
  <si>
    <t>44mm (+/- 2MM)</t>
    <phoneticPr fontId="2"/>
  </si>
  <si>
    <t>単価 (3/31まで単価据え置き)</t>
    <rPh sb="0" eb="2">
      <t>タンカ</t>
    </rPh>
    <rPh sb="10" eb="12">
      <t>タンカ</t>
    </rPh>
    <rPh sb="12" eb="13">
      <t>ス</t>
    </rPh>
    <rPh sb="14" eb="15">
      <t>オ</t>
    </rPh>
    <phoneticPr fontId="2"/>
  </si>
  <si>
    <t>仕入れ単価</t>
    <rPh sb="0" eb="2">
      <t>シイ</t>
    </rPh>
    <rPh sb="3" eb="5">
      <t>タンカ</t>
    </rPh>
    <phoneticPr fontId="2"/>
  </si>
  <si>
    <r>
      <t>5/15</t>
    </r>
    <r>
      <rPr>
        <sz val="10"/>
        <color rgb="FFFF0000"/>
        <rFont val="ＭＳ Ｐゴシック"/>
        <family val="2"/>
        <charset val="128"/>
      </rPr>
      <t>までに最終到着</t>
    </r>
    <rPh sb="7" eb="9">
      <t>サイシュウ</t>
    </rPh>
    <rPh sb="9" eb="11">
      <t>トウチャク</t>
    </rPh>
    <phoneticPr fontId="2"/>
  </si>
  <si>
    <t xml:space="preserve">20260323  Buck Mason </t>
    <phoneticPr fontId="2"/>
  </si>
  <si>
    <t>The Good Shirt DBA WEARCISSA</t>
    <phoneticPr fontId="2"/>
  </si>
  <si>
    <t>1148(03/24/2026)</t>
    <phoneticPr fontId="2"/>
  </si>
  <si>
    <r>
      <t>20260325  Christy Dawn 40% 120</t>
    </r>
    <r>
      <rPr>
        <b/>
        <sz val="10"/>
        <rFont val="ＭＳ Ｐゴシック"/>
        <family val="3"/>
        <charset val="128"/>
      </rPr>
      <t>円</t>
    </r>
    <rPh sb="30" eb="31">
      <t>エン</t>
    </rPh>
    <phoneticPr fontId="2"/>
  </si>
  <si>
    <t>FWL-22901</t>
    <phoneticPr fontId="2"/>
  </si>
  <si>
    <r>
      <rPr>
        <b/>
        <sz val="10"/>
        <rFont val="Arial"/>
        <family val="2"/>
      </rPr>
      <t>FWL-93194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 xml:space="preserve">FWL-93033 ( 100% cotton version ) - 3/4" </t>
    </r>
    <phoneticPr fontId="2"/>
  </si>
  <si>
    <t>??</t>
    <phoneticPr fontId="2"/>
  </si>
  <si>
    <t>R17508-Mar 13 26</t>
    <phoneticPr fontId="2"/>
  </si>
  <si>
    <t>AT26PT03091</t>
    <phoneticPr fontId="2"/>
  </si>
  <si>
    <r>
      <t>20260402  Buck Mason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2"/>
  </si>
  <si>
    <t>FWL-22451</t>
    <phoneticPr fontId="2"/>
  </si>
  <si>
    <t>FWL-22441</t>
    <phoneticPr fontId="2"/>
  </si>
  <si>
    <t>FWL-22386</t>
    <phoneticPr fontId="2"/>
  </si>
  <si>
    <t>Stock in Mill's Off White 
as of April 2, 2026</t>
    <phoneticPr fontId="2"/>
  </si>
  <si>
    <t>1,000m</t>
    <phoneticPr fontId="2"/>
  </si>
  <si>
    <t>-</t>
    <phoneticPr fontId="2"/>
  </si>
  <si>
    <t>600m</t>
    <phoneticPr fontId="2"/>
  </si>
  <si>
    <t>4,200m</t>
    <phoneticPr fontId="2"/>
  </si>
  <si>
    <r>
      <t>20260402  DOEN 40% 120</t>
    </r>
    <r>
      <rPr>
        <b/>
        <sz val="10"/>
        <rFont val="ＭＳ Ｐゴシック"/>
        <family val="3"/>
        <charset val="128"/>
      </rPr>
      <t>円</t>
    </r>
    <rPh sb="22" eb="23">
      <t>エン</t>
    </rPh>
    <phoneticPr fontId="2"/>
  </si>
  <si>
    <t>FWL-23385</t>
    <phoneticPr fontId="2"/>
  </si>
  <si>
    <t>2,100m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</si>
</sst>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0">
    <numFmt numFmtId="5" formatCode="&quot;¥&quot;#,##0;&quot;¥&quot;\-#,##0"/>
    <numFmt numFmtId="6" formatCode="&quot;¥&quot;#,##0;[Red]&quot;¥&quot;\-#,##0"/>
    <numFmt numFmtId="7" formatCode="&quot;¥&quot;#,##0.00;&quot;¥&quot;\-#,##0.00"/>
    <numFmt numFmtId="26" formatCode="\$#,##0.00_);[Red]\(\$#,##0.00\)"/>
    <numFmt numFmtId="176" formatCode="#,##0&quot;mm&quot;"/>
    <numFmt numFmtId="177" formatCode="&quot;#&quot;General"/>
    <numFmt numFmtId="178" formatCode="#,##0&quot; m&quot;"/>
    <numFmt numFmtId="179" formatCode="[$-409]d\-mmm;@"/>
    <numFmt numFmtId="180" formatCode="#,##0&quot; rolls&quot;"/>
    <numFmt numFmtId="181" formatCode="&quot;S-&quot;General"/>
    <numFmt numFmtId="182" formatCode="&quot;@&quot;&quot;¥&quot;#,##0.\-"/>
    <numFmt numFmtId="183" formatCode="&quot;SF-&quot;General"/>
    <numFmt numFmtId="184" formatCode="#,##0.0&quot; m&quot;"/>
    <numFmt numFmtId="185" formatCode="#,##0&quot; set&quot;"/>
    <numFmt numFmtId="186" formatCode="&quot;@US$&quot;#,##0.00\-"/>
    <numFmt numFmtId="187" formatCode="#,##0&quot;cm&quot;"/>
    <numFmt numFmtId="188" formatCode="#,##0\ &quot;mm&quot;"/>
    <numFmt numFmtId="189" formatCode="#,##0\ &quot;cm&quot;"/>
    <numFmt numFmtId="190" formatCode="#,##0\ &quot;mmx2&quot;"/>
    <numFmt numFmtId="191" formatCode="&quot;US$&quot;#,##0.00"/>
    <numFmt numFmtId="192" formatCode="&quot;&quot;General"/>
    <numFmt numFmtId="193" formatCode="General&quot; m&quot;"/>
    <numFmt numFmtId="194" formatCode="General&quot; rolls&quot;"/>
    <numFmt numFmtId="195" formatCode="&quot;US$&quot;#,##0.00;\-&quot;US$&quot;#,##0.00"/>
    <numFmt numFmtId="196" formatCode="###0.0\ &quot;m&quot;"/>
    <numFmt numFmtId="197" formatCode="&quot;KYL-&quot;General&quot;-1&quot;"/>
    <numFmt numFmtId="198" formatCode="###0\ &quot;m&quot;"/>
    <numFmt numFmtId="199" formatCode="&quot;SG- &quot;General"/>
    <numFmt numFmtId="200" formatCode="General\ &quot;m&quot;"/>
    <numFmt numFmtId="201" formatCode="[$¥-411]#,##0;[Red]\-[$¥-411]#,##0"/>
    <numFmt numFmtId="202" formatCode="0&quot;mm&quot;"/>
    <numFmt numFmtId="203" formatCode="00&quot;m/roll&quot;"/>
    <numFmt numFmtId="204" formatCode="&quot;@&quot;#,###.00&quot;-&quot;"/>
    <numFmt numFmtId="205" formatCode="&quot;@&quot;#,###.#&quot;-&quot;"/>
    <numFmt numFmtId="206" formatCode="###\ &quot;m&quot;"/>
    <numFmt numFmtId="207" formatCode="#,##0\ &quot;m&quot;"/>
    <numFmt numFmtId="208" formatCode="General&quot; /roll&quot;"/>
    <numFmt numFmtId="209" formatCode="[$¥-411]#,##0;[$¥-411]#,##0"/>
    <numFmt numFmtId="210" formatCode="&quot;US$&quot;#,##0.00_);\(&quot;US$&quot;#,##0.00\)"/>
    <numFmt numFmtId="211" formatCode="#,##0&quot; pcs&quot;"/>
    <numFmt numFmtId="212" formatCode="&quot;US$&quot;#,##0.00_);[Red]\(&quot;US$&quot;#,##0.00\)"/>
    <numFmt numFmtId="213" formatCode="&quot;¥&quot;#,##0_);[Red]\(&quot;¥&quot;#,##0\)"/>
    <numFmt numFmtId="214" formatCode="&quot;FLR-&quot;General"/>
    <numFmt numFmtId="215" formatCode="&quot;US$&quot;#,##0.00;[Red]\-&quot;US$&quot;#,##0.00"/>
    <numFmt numFmtId="216" formatCode="#,##0&quot; sets&quot;"/>
    <numFmt numFmtId="217" formatCode="#,##0&quot;m&quot;"/>
    <numFmt numFmtId="218" formatCode="&quot;No.&quot;General"/>
    <numFmt numFmtId="219" formatCode="General&quot; mm&quot;"/>
    <numFmt numFmtId="220" formatCode="&quot;No. 8a-&quot;General"/>
    <numFmt numFmtId="221" formatCode="0;\-0;;@"/>
    <numFmt numFmtId="222" formatCode="General\ &quot;mm&quot;"/>
    <numFmt numFmtId="223" formatCode="&quot;@US$&quot;#,##0.00\-&quot;/roll&quot;"/>
    <numFmt numFmtId="224" formatCode="##&quot;g/㎡&quot;"/>
    <numFmt numFmtId="225" formatCode="#,##0_);[Red]\(#,##0\)"/>
    <numFmt numFmtId="226" formatCode="General&quot; pcs&quot;"/>
    <numFmt numFmtId="227" formatCode="General\ &quot;pcs&quot;"/>
    <numFmt numFmtId="228" formatCode="&quot;No. 6-&quot;General"/>
    <numFmt numFmtId="229" formatCode="&quot;KYL-&quot;General"/>
    <numFmt numFmtId="230" formatCode="&quot;US$&quot;General\ &quot;/col&quot;"/>
    <numFmt numFmtId="231" formatCode="&quot;@&quot;#,###.#0&quot;-&quot;"/>
    <numFmt numFmtId="232" formatCode="&quot;@&quot;#,###.##&quot;-&quot;"/>
    <numFmt numFmtId="233" formatCode="&quot;@&quot;#,###&quot;.-&quot;"/>
    <numFmt numFmtId="234" formatCode="&quot;@&quot;#,###&quot;-&quot;"/>
    <numFmt numFmtId="235" formatCode="[$¥-411]#,##0.00;[$¥-411]#,##0.00"/>
    <numFmt numFmtId="236" formatCode="General\ &quot;円&quot;"/>
    <numFmt numFmtId="237" formatCode="#,##0&quot; m hank&quot;"/>
    <numFmt numFmtId="238" formatCode="&quot;¥&quot;#,##0.\-"/>
    <numFmt numFmtId="239" formatCode="General&quot;mm&quot;"/>
    <numFmt numFmtId="240" formatCode="&quot;YDT-&quot;General"/>
    <numFmt numFmtId="241" formatCode="#,##0.0&quot;mm&quot;"/>
    <numFmt numFmtId="242" formatCode="&quot;FWL-&quot;General"/>
    <numFmt numFmtId="243" formatCode="&quot;No. 1-&quot;General"/>
    <numFmt numFmtId="244" formatCode="&quot;No. 2-&quot;General"/>
    <numFmt numFmtId="245" formatCode="&quot;No. 12-&quot;General"/>
    <numFmt numFmtId="246" formatCode="&quot;No. 8-&quot;General"/>
    <numFmt numFmtId="247" formatCode="[$€-2]\ #,##0.00_)&quot;/m&quot;;[Red]\([$€-2]\ #,##0.00\)"/>
    <numFmt numFmtId="248" formatCode="General\ &quot;円/m&quot;"/>
    <numFmt numFmtId="249" formatCode="#,##0.0_);[Red]\(#,##0.0\)"/>
    <numFmt numFmtId="250" formatCode="_-* #,##0_-;\-* #,##0_-;_-* &quot;-&quot;_-;_-@_-"/>
    <numFmt numFmtId="251" formatCode="#,##0.0;[Red]\-#,##0.0"/>
    <numFmt numFmtId="252" formatCode="0.0_ "/>
    <numFmt numFmtId="253" formatCode="_-[$$-409]* #,##0.00_ ;_-[$$-409]* \-#,##0.00\ ;_-[$$-409]* &quot;-&quot;??_ ;_-@_ "/>
    <numFmt numFmtId="254" formatCode="[$$-409]#,##0.00_);\([$$-409]#,##0.00\)"/>
    <numFmt numFmtId="255" formatCode="[$¥-411]#,##0;\-[$¥-411]#,##0"/>
    <numFmt numFmtId="256" formatCode="#,##0.0_ "/>
    <numFmt numFmtId="257" formatCode="[$-409]d\-mmm\-yyyy;@"/>
    <numFmt numFmtId="258" formatCode="###0.0&quot; m&quot;"/>
    <numFmt numFmtId="259" formatCode="###0&quot; roll(s)&quot;"/>
    <numFmt numFmtId="260" formatCode="[$$-409]#,##0.00;[$$-409]#,##0.00"/>
    <numFmt numFmtId="261" formatCode="[$-F800]dddd\,\ mmmm\ dd\,\ yyyy"/>
    <numFmt numFmtId="262" formatCode="[$¥-411]#,##0_);\([$¥-411]#,##0\)"/>
    <numFmt numFmtId="263" formatCode="&quot;US&quot;\$#,##0.00\-"/>
    <numFmt numFmtId="264" formatCode="&quot;&quot;General\ &quot;KG&quot;"/>
    <numFmt numFmtId="265" formatCode="&quot;&amp;&quot;\ #,##0\ &quot;m&quot;"/>
    <numFmt numFmtId="266" formatCode="General\ &quot;KG&quot;"/>
    <numFmt numFmtId="267" formatCode="&quot;¥&quot;#,##0.\-;\-&quot;¥&quot;#,##0.\-"/>
    <numFmt numFmtId="268" formatCode="d\ mmmm\,\ yyyy"/>
    <numFmt numFmtId="269" formatCode="&quot;SF-0&quot;General"/>
    <numFmt numFmtId="270" formatCode="&quot;No. 3-&quot;General"/>
    <numFmt numFmtId="271" formatCode="&quot;開始行: &quot;#"/>
    <numFmt numFmtId="272" formatCode="&quot;終了行: &quot;#"/>
    <numFmt numFmtId="273" formatCode="0.0%"/>
    <numFmt numFmtId="274" formatCode="&quot;US$&quot;##,##0&quot;/col&quot;"/>
    <numFmt numFmtId="275" formatCode="mm/dd/yyyy;@"/>
    <numFmt numFmtId="276" formatCode="_-\$* #,##0.00_ ;_-\$* \-#,##0.00\ ;_-\$* &quot;-&quot;??_ ;_-@_ "/>
    <numFmt numFmtId="277" formatCode="#,##0.0\ &quot;mm&quot;"/>
    <numFmt numFmtId="278" formatCode="[$¥-411]#,##0.0;[$¥-411]#,##0.0"/>
    <numFmt numFmtId="279" formatCode="yyyy/mm/dd"/>
    <numFmt numFmtId="280" formatCode="0.0\ &quot;m&quot;"/>
    <numFmt numFmtId="281" formatCode="#,##0;[Red]\-#,##0\ &quot;m&quot;"/>
    <numFmt numFmtId="282" formatCode="General\ &quot;rolls&quot;"/>
    <numFmt numFmtId="283" formatCode="&quot;TI-&quot;General"/>
    <numFmt numFmtId="284" formatCode="&quot;¥&quot;#,##0.00.\-&quot;/m&quot;"/>
    <numFmt numFmtId="285" formatCode="\$0.00"/>
    <numFmt numFmtId="286" formatCode="0.0"/>
    <numFmt numFmtId="287" formatCode="&quot;¥&quot;#,##0.0;[Red]&quot;¥&quot;\-#,##0.0"/>
    <numFmt numFmtId="288" formatCode="\€#,##0.00&quot;/m&quot;"/>
    <numFmt numFmtId="289" formatCode="\€#,##0&quot;/col&quot;"/>
    <numFmt numFmtId="290" formatCode="General&quot; m/roll&quot;"/>
    <numFmt numFmtId="291" formatCode="#,##0\ &quot;m/roll&quot;"/>
    <numFmt numFmtId="292" formatCode="#,##0&quot; pairs&quot;"/>
    <numFmt numFmtId="293" formatCode="#,##0.00&quot; m&quot;"/>
    <numFmt numFmtId="294" formatCode="0.000"/>
    <numFmt numFmtId="295" formatCode="General\ &quot;/m&quot;"/>
    <numFmt numFmtId="296" formatCode="[$JPY]\ #,##0;[Red][$JPY]\ \-#,##0"/>
    <numFmt numFmtId="297" formatCode="&quot;@&quot;#,###.##0&quot;-&quot;"/>
    <numFmt numFmtId="298" formatCode="#,##0_ "/>
    <numFmt numFmtId="299" formatCode="[$USD]\ #,##0.00;[Red][$USD]\ \-#,##0.00"/>
    <numFmt numFmtId="300" formatCode="General\ &quot;m/roll&quot;"/>
    <numFmt numFmtId="301" formatCode="&quot;$&quot;#,##0.0"/>
  </numFmts>
  <fonts count="44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8"/>
      <name val="Arial"/>
      <family val="2"/>
    </font>
    <font>
      <sz val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0"/>
      <color indexed="8"/>
      <name val="Arial"/>
      <family val="2"/>
    </font>
    <font>
      <sz val="12"/>
      <name val="Arial  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1"/>
      <name val="Arial  "/>
      <family val="2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  "/>
      <family val="2"/>
    </font>
    <font>
      <sz val="9"/>
      <name val="Arial  "/>
      <family val="2"/>
    </font>
    <font>
      <sz val="9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b/>
      <sz val="11"/>
      <name val="Arial  "/>
      <family val="2"/>
    </font>
    <font>
      <b/>
      <sz val="1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9"/>
      <name val="Arial  "/>
      <family val="2"/>
    </font>
    <font>
      <sz val="12"/>
      <color indexed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indexed="30"/>
      <name val="Arial"/>
      <family val="2"/>
    </font>
    <font>
      <sz val="11"/>
      <name val="BIZ UDPゴシック"/>
      <family val="3"/>
      <charset val="128"/>
    </font>
    <font>
      <b/>
      <sz val="10"/>
      <color indexed="10"/>
      <name val="Arial"/>
      <family val="2"/>
    </font>
    <font>
      <b/>
      <sz val="10"/>
      <color indexed="10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Arial   "/>
      <family val="2"/>
    </font>
    <font>
      <b/>
      <sz val="10"/>
      <name val="ＭＳ Ｐゴシック"/>
      <family val="3"/>
      <charset val="128"/>
    </font>
    <font>
      <b/>
      <sz val="12"/>
      <name val="Arial   "/>
      <family val="2"/>
    </font>
    <font>
      <sz val="8"/>
      <name val="Arial  "/>
      <family val="2"/>
    </font>
    <font>
      <sz val="8"/>
      <name val="ＭＳ Ｐゴシック"/>
      <family val="3"/>
      <charset val="128"/>
    </font>
    <font>
      <sz val="10"/>
      <name val="Arial  "/>
      <family val="2"/>
    </font>
    <font>
      <sz val="8"/>
      <name val="Arial"/>
      <family val="2"/>
    </font>
    <font>
      <b/>
      <sz val="12"/>
      <name val="Arial  "/>
      <family val="2"/>
    </font>
    <font>
      <sz val="9"/>
      <name val="Meiryo UI"/>
      <family val="3"/>
      <charset val="128"/>
    </font>
    <font>
      <sz val="8"/>
      <name val="Meiryo UI"/>
      <family val="3"/>
      <charset val="128"/>
    </font>
    <font>
      <sz val="11"/>
      <name val="Arial  "/>
      <family val="2"/>
    </font>
    <font>
      <b/>
      <sz val="12"/>
      <color indexed="30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  <font>
      <b/>
      <sz val="10"/>
      <name val="Arial"/>
      <family val="2"/>
    </font>
    <font>
      <b/>
      <sz val="8"/>
      <name val="Meiryo UI"/>
      <family val="3"/>
      <charset val="128"/>
    </font>
    <font>
      <sz val="12"/>
      <color indexed="8"/>
      <name val="Arial   "/>
      <family val="2"/>
    </font>
    <font>
      <sz val="11"/>
      <name val="Arial   "/>
      <family val="2"/>
    </font>
    <font>
      <b/>
      <sz val="12"/>
      <name val="Meiryo UI"/>
      <family val="3"/>
      <charset val="128"/>
    </font>
    <font>
      <sz val="12"/>
      <name val="Meiryo UI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  "/>
      <family val="2"/>
    </font>
    <font>
      <sz val="10"/>
      <color indexed="30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sz val="11"/>
      <color indexed="8"/>
      <name val="Arial   "/>
      <family val="2"/>
    </font>
    <font>
      <vertAlign val="superscript"/>
      <sz val="10"/>
      <name val="Arial"/>
      <family val="2"/>
    </font>
    <font>
      <sz val="10"/>
      <color indexed="10"/>
      <name val="Arial"/>
      <family val="2"/>
    </font>
    <font>
      <sz val="10"/>
      <name val="游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6"/>
      <name val="Arial  "/>
      <family val="2"/>
    </font>
    <font>
      <b/>
      <sz val="9"/>
      <color indexed="10"/>
      <name val="Arial  "/>
      <family val="2"/>
    </font>
    <font>
      <b/>
      <sz val="9"/>
      <color indexed="10"/>
      <name val="ＭＳ Ｐゴシック"/>
      <family val="3"/>
      <charset val="128"/>
    </font>
    <font>
      <sz val="5"/>
      <name val="Arial  "/>
      <family val="2"/>
    </font>
    <font>
      <b/>
      <sz val="11"/>
      <name val="arial    "/>
      <family val="2"/>
    </font>
    <font>
      <b/>
      <sz val="16"/>
      <name val="arial    "/>
      <family val="2"/>
    </font>
    <font>
      <b/>
      <sz val="9"/>
      <color indexed="10"/>
      <name val="arial    "/>
      <family val="2"/>
    </font>
    <font>
      <sz val="8"/>
      <color indexed="8"/>
      <name val="arial    "/>
      <family val="2"/>
    </font>
    <font>
      <sz val="11"/>
      <color indexed="10"/>
      <name val="Arial"/>
      <family val="2"/>
    </font>
    <font>
      <sz val="11"/>
      <color indexed="10"/>
      <name val="ＭＳ Ｐゴシック"/>
      <family val="3"/>
      <charset val="128"/>
    </font>
    <font>
      <sz val="12"/>
      <color indexed="8"/>
      <name val="arial    "/>
      <family val="2"/>
    </font>
    <font>
      <b/>
      <sz val="10"/>
      <name val="arial    "/>
      <family val="2"/>
    </font>
    <font>
      <sz val="10"/>
      <name val="Arial   "/>
      <family val="2"/>
    </font>
    <font>
      <b/>
      <sz val="10"/>
      <name val="Arial  "/>
      <family val="2"/>
    </font>
    <font>
      <b/>
      <sz val="10"/>
      <name val="Arial   "/>
      <family val="2"/>
    </font>
    <font>
      <sz val="10"/>
      <color indexed="8"/>
      <name val="Arial   "/>
      <family val="2"/>
    </font>
    <font>
      <sz val="10"/>
      <color indexed="8"/>
      <name val="ＭＳ Ｐゴシック"/>
      <family val="3"/>
      <charset val="128"/>
    </font>
    <font>
      <sz val="10"/>
      <color indexed="8"/>
      <name val="Arial  "/>
      <family val="2"/>
    </font>
    <font>
      <sz val="10"/>
      <color indexed="8"/>
      <name val="游ゴシック"/>
      <family val="3"/>
      <charset val="128"/>
    </font>
    <font>
      <b/>
      <sz val="10"/>
      <color indexed="8"/>
      <name val="Arial  "/>
      <family val="2"/>
    </font>
    <font>
      <sz val="11"/>
      <color indexed="10"/>
      <name val="Arial  "/>
      <family val="2"/>
    </font>
    <font>
      <b/>
      <sz val="10"/>
      <color indexed="8"/>
      <name val="ＭＳ Ｐゴシック"/>
      <family val="3"/>
      <charset val="128"/>
    </font>
    <font>
      <sz val="10"/>
      <color indexed="10"/>
      <name val="Arial  "/>
      <family val="2"/>
    </font>
    <font>
      <sz val="12"/>
      <color indexed="53"/>
      <name val="Arial"/>
      <family val="2"/>
    </font>
    <font>
      <sz val="12"/>
      <color indexed="53"/>
      <name val="ＭＳ Ｐゴシック"/>
      <family val="3"/>
      <charset val="128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10"/>
      <color indexed="53"/>
      <name val="Arial"/>
      <family val="2"/>
    </font>
    <font>
      <sz val="10"/>
      <color indexed="53"/>
      <name val="ＭＳ Ｐゴシック"/>
      <family val="3"/>
      <charset val="128"/>
    </font>
    <font>
      <sz val="18"/>
      <color indexed="56"/>
      <name val="ＭＳ Ｐゴシック"/>
      <family val="3"/>
      <charset val="128"/>
    </font>
    <font>
      <sz val="11"/>
      <name val="Calibri"/>
      <family val="2"/>
    </font>
    <font>
      <sz val="10"/>
      <color indexed="40"/>
      <name val="ＭＳ Ｐゴシック"/>
      <family val="3"/>
      <charset val="128"/>
    </font>
    <font>
      <sz val="10"/>
      <color indexed="40"/>
      <name val="Arial"/>
      <family val="2"/>
    </font>
    <font>
      <sz val="12"/>
      <name val="Arial"/>
      <family val="2"/>
    </font>
    <font>
      <sz val="10"/>
      <name val="Meiryo UI"/>
      <family val="3"/>
      <charset val="128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ＭＳ Ｐ明朝"/>
      <family val="1"/>
      <charset val="128"/>
    </font>
    <font>
      <sz val="10.5"/>
      <name val="游ゴシック"/>
      <family val="3"/>
      <charset val="128"/>
    </font>
    <font>
      <sz val="10.5"/>
      <color indexed="8"/>
      <name val="Microsoft JhengHei"/>
      <family val="2"/>
      <charset val="136"/>
    </font>
    <font>
      <sz val="12"/>
      <name val="游ゴシック"/>
      <family val="3"/>
      <charset val="128"/>
    </font>
    <font>
      <sz val="10.5"/>
      <color indexed="8"/>
      <name val="Calibri"/>
      <family val="2"/>
    </font>
    <font>
      <sz val="10.5"/>
      <color indexed="8"/>
      <name val="游ゴシック"/>
      <family val="3"/>
      <charset val="128"/>
    </font>
    <font>
      <sz val="10"/>
      <name val="Arial  "/>
      <family val="2"/>
    </font>
    <font>
      <sz val="10"/>
      <name val="Arial  "/>
      <family val="2"/>
    </font>
    <font>
      <sz val="10"/>
      <name val="Arial  "/>
      <family val="2"/>
    </font>
    <font>
      <sz val="10"/>
      <color indexed="8"/>
      <name val="BIZ UDPゴシック"/>
      <family val="3"/>
      <charset val="128"/>
    </font>
    <font>
      <sz val="6"/>
      <name val="ＭＳ Ｐゴシック"/>
      <family val="3"/>
      <charset val="128"/>
    </font>
    <font>
      <b/>
      <sz val="12"/>
      <color indexed="8"/>
      <name val="Times New Roman"/>
      <family val="1"/>
    </font>
    <font>
      <sz val="11"/>
      <name val="Times New Roman"/>
      <family val="1"/>
    </font>
    <font>
      <b/>
      <sz val="2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ＭＳ Ｐゴシック"/>
      <family val="3"/>
      <charset val="128"/>
      <scheme val="minor"/>
    </font>
    <font>
      <sz val="12"/>
      <color rgb="FF7030A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0"/>
      <color theme="1"/>
      <name val="Arial"/>
      <family val="2"/>
    </font>
    <font>
      <sz val="12"/>
      <color theme="9" tint="-0.249977111117893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theme="9" tint="-0.249977111117893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1"/>
      <color rgb="FFFF0000"/>
      <name val="Arial"/>
      <family val="2"/>
    </font>
    <font>
      <sz val="11"/>
      <color theme="1"/>
      <name val="Arial  "/>
      <family val="2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2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7" tint="-0.249977111117893"/>
      <name val="Arial"/>
      <family val="2"/>
    </font>
    <font>
      <b/>
      <sz val="10"/>
      <color rgb="FF0070C0"/>
      <name val="Arial"/>
      <family val="2"/>
    </font>
    <font>
      <sz val="12"/>
      <color theme="7" tint="-0.249977111117893"/>
      <name val="Arial"/>
      <family val="2"/>
    </font>
    <font>
      <sz val="10"/>
      <color rgb="FFFF0000"/>
      <name val="Arial"/>
      <family val="2"/>
    </font>
    <font>
      <b/>
      <sz val="11"/>
      <color rgb="FF0070C0"/>
      <name val="Arial"/>
      <family val="2"/>
    </font>
    <font>
      <sz val="11"/>
      <color rgb="FF0070C0"/>
      <name val="ＭＳ Ｐゴシック"/>
      <family val="3"/>
      <charset val="128"/>
    </font>
    <font>
      <sz val="12"/>
      <color rgb="FFFF00FF"/>
      <name val="Arial"/>
      <family val="2"/>
    </font>
    <font>
      <sz val="11"/>
      <color rgb="FF0070C0"/>
      <name val="Arial  "/>
      <family val="2"/>
    </font>
    <font>
      <sz val="11"/>
      <color theme="1"/>
      <name val="Arial   "/>
      <family val="2"/>
    </font>
    <font>
      <sz val="10"/>
      <color rgb="FF26282A"/>
      <name val="Arial"/>
      <family val="2"/>
    </font>
    <font>
      <sz val="11"/>
      <color rgb="FF000000"/>
      <name val="Arial"/>
      <family val="2"/>
    </font>
    <font>
      <b/>
      <sz val="12"/>
      <color rgb="FF0070C0"/>
      <name val="ＭＳ Ｐゴシック"/>
      <family val="3"/>
      <charset val="128"/>
    </font>
    <font>
      <sz val="9"/>
      <color theme="0" tint="-4.9989318521683403E-2"/>
      <name val="Arial  "/>
      <family val="2"/>
    </font>
    <font>
      <sz val="12"/>
      <color rgb="FF00B0F0"/>
      <name val="Arial"/>
      <family val="2"/>
    </font>
    <font>
      <b/>
      <sz val="10"/>
      <color rgb="FFFF0000"/>
      <name val="ＭＳ Ｐゴシック"/>
      <family val="3"/>
      <charset val="128"/>
    </font>
    <font>
      <b/>
      <sz val="12"/>
      <color theme="1"/>
      <name val="Arial  "/>
      <family val="2"/>
    </font>
    <font>
      <sz val="12"/>
      <color rgb="FF0070C0"/>
      <name val="Arial  "/>
      <family val="2"/>
    </font>
    <font>
      <b/>
      <sz val="12"/>
      <color rgb="FF0070C0"/>
      <name val="Arial  "/>
      <family val="2"/>
    </font>
    <font>
      <sz val="10.5"/>
      <color rgb="FF000000"/>
      <name val="Arial  "/>
      <family val="2"/>
    </font>
    <font>
      <b/>
      <sz val="10"/>
      <color rgb="FFFF0000"/>
      <name val="Arial"/>
      <family val="2"/>
    </font>
    <font>
      <b/>
      <sz val="12"/>
      <color rgb="FFFFFF00"/>
      <name val="ＭＳ Ｐゴシック"/>
      <family val="3"/>
      <charset val="128"/>
    </font>
    <font>
      <b/>
      <sz val="12"/>
      <color rgb="FFFFFF00"/>
      <name val="Arial"/>
      <family val="2"/>
    </font>
    <font>
      <sz val="12"/>
      <color theme="1"/>
      <name val="ＭＳ Ｐゴシック"/>
      <family val="3"/>
      <charset val="128"/>
    </font>
    <font>
      <sz val="10"/>
      <color rgb="FF000000"/>
      <name val="Arial"/>
      <family val="2"/>
    </font>
    <font>
      <b/>
      <sz val="10"/>
      <color theme="7" tint="-0.249977111117893"/>
      <name val="Arial"/>
      <family val="2"/>
    </font>
    <font>
      <sz val="10"/>
      <color theme="9" tint="-0.249977111117893"/>
      <name val="Arial"/>
      <family val="2"/>
    </font>
    <font>
      <sz val="12"/>
      <color rgb="FF000000"/>
      <name val="Calibri"/>
      <family val="2"/>
    </font>
    <font>
      <sz val="12"/>
      <color rgb="FF000000"/>
      <name val="Arial   "/>
      <family val="2"/>
    </font>
    <font>
      <sz val="12"/>
      <color rgb="FF000000"/>
      <name val="Arial  "/>
      <family val="2"/>
    </font>
    <font>
      <sz val="12"/>
      <name val="ＭＳ Ｐゴシック"/>
      <family val="3"/>
      <charset val="128"/>
      <scheme val="minor"/>
    </font>
    <font>
      <sz val="11"/>
      <color theme="1"/>
      <name val="Calibri"/>
      <family val="2"/>
    </font>
    <font>
      <b/>
      <sz val="11"/>
      <color theme="1"/>
      <name val="Arial  "/>
      <family val="2"/>
    </font>
    <font>
      <b/>
      <sz val="9"/>
      <color rgb="FFFF0000"/>
      <name val="Arial  "/>
      <family val="2"/>
    </font>
    <font>
      <sz val="12"/>
      <color rgb="FF000000"/>
      <name val="arial    "/>
      <family val="2"/>
    </font>
    <font>
      <b/>
      <sz val="9"/>
      <color rgb="FFFF0000"/>
      <name val="arial    "/>
      <family val="2"/>
    </font>
    <font>
      <sz val="11"/>
      <color theme="1"/>
      <name val="arial    "/>
      <family val="2"/>
    </font>
    <font>
      <b/>
      <sz val="11"/>
      <color theme="1"/>
      <name val="arial    "/>
      <family val="2"/>
    </font>
    <font>
      <sz val="8"/>
      <color rgb="FF000000"/>
      <name val="arial    "/>
      <family val="2"/>
    </font>
    <font>
      <b/>
      <sz val="10"/>
      <color rgb="FFFF0000"/>
      <name val="arial    "/>
      <family val="2"/>
    </font>
    <font>
      <sz val="12"/>
      <color theme="1"/>
      <name val="Arial   "/>
      <family val="2"/>
    </font>
    <font>
      <sz val="10"/>
      <color rgb="FF000000"/>
      <name val="Arial  "/>
      <family val="2"/>
    </font>
    <font>
      <b/>
      <sz val="10"/>
      <color theme="1"/>
      <name val="Arial"/>
      <family val="2"/>
    </font>
    <font>
      <b/>
      <sz val="10"/>
      <color theme="1"/>
      <name val="Arial  "/>
      <family val="2"/>
    </font>
    <font>
      <sz val="10"/>
      <color theme="1"/>
      <name val="Arial   "/>
      <family val="2"/>
    </font>
    <font>
      <sz val="10"/>
      <color rgb="FF0070C0"/>
      <name val="Arial"/>
      <family val="2"/>
    </font>
    <font>
      <b/>
      <sz val="10"/>
      <color theme="1"/>
      <name val="arial    "/>
      <family val="2"/>
    </font>
    <font>
      <sz val="10"/>
      <color rgb="FF000000"/>
      <name val="arial    "/>
      <family val="2"/>
    </font>
    <font>
      <sz val="10"/>
      <color rgb="FF000000"/>
      <name val="Arial   "/>
      <family val="2"/>
    </font>
    <font>
      <sz val="10"/>
      <color theme="1"/>
      <name val="Arial  "/>
      <family val="2"/>
    </font>
    <font>
      <sz val="12"/>
      <color theme="1"/>
      <name val="Arial  "/>
      <family val="2"/>
    </font>
    <font>
      <b/>
      <sz val="10"/>
      <color theme="7" tint="-0.249977111117893"/>
      <name val="ＭＳ Ｐゴシック"/>
      <family val="3"/>
      <charset val="128"/>
    </font>
    <font>
      <b/>
      <sz val="10"/>
      <color rgb="FF0070C0"/>
      <name val="Arial  "/>
      <family val="2"/>
    </font>
    <font>
      <sz val="10"/>
      <color rgb="FFFF0000"/>
      <name val="Arial  "/>
      <family val="2"/>
    </font>
    <font>
      <sz val="11"/>
      <color theme="1"/>
      <name val="ＭＳ Ｐゴシック"/>
      <family val="3"/>
      <charset val="128"/>
    </font>
    <font>
      <sz val="10"/>
      <name val="ＭＳ Ｐゴシック"/>
      <family val="3"/>
      <charset val="128"/>
      <scheme val="minor"/>
    </font>
    <font>
      <sz val="10"/>
      <color theme="1"/>
      <name val="arial    "/>
      <family val="2"/>
    </font>
    <font>
      <sz val="10"/>
      <color rgb="FFFF0000"/>
      <name val="ＭＳ Ｐゴシック"/>
      <family val="3"/>
      <charset val="128"/>
    </font>
    <font>
      <b/>
      <sz val="10"/>
      <color theme="9" tint="-0.249977111117893"/>
      <name val="Arial"/>
      <family val="2"/>
    </font>
    <font>
      <sz val="10.5"/>
      <color rgb="FF00B0F0"/>
      <name val="ＭＳ ゴシック"/>
      <family val="3"/>
      <charset val="128"/>
    </font>
    <font>
      <sz val="10"/>
      <color rgb="FF00B0F0"/>
      <name val="ＭＳ Ｐゴシック"/>
      <family val="3"/>
      <charset val="128"/>
    </font>
    <font>
      <sz val="12"/>
      <color theme="9" tint="-0.249977111117893"/>
      <name val="Arial  "/>
      <family val="2"/>
    </font>
    <font>
      <sz val="11"/>
      <color rgb="FF1F497D"/>
      <name val="游ゴシック"/>
      <family val="3"/>
      <charset val="128"/>
    </font>
    <font>
      <sz val="10"/>
      <color rgb="FF0070C0"/>
      <name val="Arial  "/>
      <family val="2"/>
    </font>
    <font>
      <sz val="10"/>
      <color theme="1"/>
      <name val="Times New Roman"/>
      <family val="1"/>
    </font>
    <font>
      <sz val="10.5"/>
      <color rgb="FF000000"/>
      <name val="Times New Roman"/>
      <family val="1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sz val="9"/>
      <color theme="0" tint="-4.9989318521683403E-2"/>
      <name val="ＭＳ Ｐゴシック"/>
      <family val="3"/>
      <charset val="128"/>
    </font>
    <font>
      <b/>
      <sz val="11"/>
      <color rgb="FF0070C0"/>
      <name val="Arial  "/>
      <family val="2"/>
    </font>
    <font>
      <sz val="9"/>
      <color theme="0"/>
      <name val="Arial  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ｔ"/>
      <family val="3"/>
      <charset val="128"/>
    </font>
    <font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name val="Yu Gothic"/>
      <family val="3"/>
      <charset val="128"/>
    </font>
    <font>
      <sz val="11"/>
      <name val="Times New Roman"/>
      <family val="3"/>
      <charset val="128"/>
    </font>
    <font>
      <b/>
      <sz val="14"/>
      <name val="Times New Roman"/>
      <family val="1"/>
    </font>
    <font>
      <sz val="11"/>
      <color rgb="FFFF0000"/>
      <name val="Times New Roman"/>
      <family val="1"/>
    </font>
    <font>
      <u/>
      <sz val="11"/>
      <name val="Times New Roman"/>
      <family val="1"/>
    </font>
    <font>
      <b/>
      <u/>
      <sz val="11"/>
      <name val="Times New Roman"/>
      <family val="1"/>
    </font>
    <font>
      <sz val="11"/>
      <name val="MS UI Gothic"/>
      <family val="3"/>
      <charset val="128"/>
    </font>
    <font>
      <sz val="11"/>
      <name val="Yu Gothic"/>
      <family val="1"/>
      <charset val="128"/>
    </font>
    <font>
      <b/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u/>
      <sz val="11"/>
      <color rgb="FFFF0000"/>
      <name val="ＭＳ Ｐゴシック"/>
      <family val="3"/>
      <charset val="128"/>
      <scheme val="minor"/>
    </font>
    <font>
      <b/>
      <u/>
      <sz val="11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b/>
      <sz val="11"/>
      <name val="MS UI Gothic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2"/>
      <color indexed="8"/>
      <name val="Arial"/>
      <family val="3"/>
      <charset val="128"/>
    </font>
    <font>
      <sz val="11"/>
      <color theme="1"/>
      <name val="ＭＳ Ｐ明朝"/>
      <family val="1"/>
      <charset val="128"/>
    </font>
    <font>
      <sz val="10"/>
      <name val="Arial  "/>
    </font>
    <font>
      <b/>
      <sz val="10"/>
      <name val="Arial  "/>
      <family val="3"/>
      <charset val="128"/>
    </font>
    <font>
      <sz val="14"/>
      <name val="Arial"/>
      <family val="2"/>
    </font>
    <font>
      <sz val="14"/>
      <color indexed="8"/>
      <name val="Arial"/>
      <family val="2"/>
    </font>
    <font>
      <sz val="24"/>
      <color indexed="8"/>
      <name val="Arial"/>
      <family val="2"/>
    </font>
    <font>
      <sz val="18"/>
      <name val="Arial"/>
      <family val="2"/>
    </font>
    <font>
      <sz val="20"/>
      <color indexed="8"/>
      <name val="Arial"/>
      <family val="2"/>
    </font>
    <font>
      <sz val="24"/>
      <color indexed="8"/>
      <name val="ＭＳ Ｐゴシック"/>
      <family val="3"/>
      <charset val="128"/>
    </font>
    <font>
      <b/>
      <sz val="26"/>
      <color indexed="8"/>
      <name val="Times New Roman"/>
      <family val="1"/>
    </font>
    <font>
      <b/>
      <sz val="18"/>
      <color indexed="8"/>
      <name val="Times New Roman"/>
      <family val="1"/>
    </font>
    <font>
      <sz val="16"/>
      <color indexed="8"/>
      <name val="Times New Roman"/>
      <family val="1"/>
    </font>
    <font>
      <sz val="11"/>
      <color indexed="8"/>
      <name val="Times New Roman"/>
      <family val="1"/>
    </font>
    <font>
      <sz val="14"/>
      <color indexed="8"/>
      <name val="Times New Roman"/>
      <family val="1"/>
    </font>
    <font>
      <sz val="18"/>
      <color indexed="8"/>
      <name val="Times New Roman"/>
      <family val="1"/>
    </font>
    <font>
      <b/>
      <sz val="18"/>
      <name val="Times New Roman"/>
      <family val="1"/>
    </font>
    <font>
      <sz val="12"/>
      <color indexed="8"/>
      <name val="Times New Roman"/>
      <family val="1"/>
    </font>
    <font>
      <sz val="14"/>
      <name val="Times New Roman"/>
      <family val="1"/>
    </font>
    <font>
      <b/>
      <sz val="14"/>
      <color indexed="8"/>
      <name val="Times New Roman"/>
      <family val="1"/>
    </font>
    <font>
      <u/>
      <sz val="12"/>
      <color indexed="8"/>
      <name val="Times New Roman"/>
      <family val="1"/>
    </font>
    <font>
      <u/>
      <sz val="10"/>
      <name val="Times New Roman"/>
      <family val="1"/>
    </font>
    <font>
      <sz val="12"/>
      <name val="Times New Roman"/>
      <family val="1"/>
    </font>
    <font>
      <b/>
      <u/>
      <sz val="14"/>
      <name val="Times New Roman"/>
      <family val="1"/>
    </font>
    <font>
      <sz val="16"/>
      <name val="Times New Roman"/>
      <family val="1"/>
    </font>
    <font>
      <b/>
      <u/>
      <sz val="16"/>
      <name val="Times New Roman"/>
      <family val="1"/>
    </font>
    <font>
      <b/>
      <sz val="16"/>
      <name val="Times New Roman"/>
      <family val="1"/>
    </font>
    <font>
      <sz val="11.5"/>
      <name val="Times New Roman"/>
      <family val="1"/>
    </font>
    <font>
      <b/>
      <u/>
      <sz val="14"/>
      <color theme="1"/>
      <name val="Times New Roman"/>
      <family val="1"/>
    </font>
    <font>
      <sz val="11"/>
      <name val="Times New Roman"/>
      <family val="1"/>
      <charset val="128"/>
    </font>
    <font>
      <b/>
      <sz val="10"/>
      <name val="Arial  "/>
    </font>
    <font>
      <sz val="6"/>
      <name val="ＭＳ Ｐゴシック"/>
      <family val="2"/>
      <charset val="128"/>
      <scheme val="minor"/>
    </font>
    <font>
      <sz val="12"/>
      <color theme="5" tint="-0.24997711111789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sz val="12"/>
      <color rgb="FFFF0000"/>
      <name val="Arial"/>
      <family val="3"/>
      <charset val="128"/>
    </font>
    <font>
      <sz val="10"/>
      <name val="Arial  "/>
      <family val="3"/>
      <charset val="128"/>
    </font>
    <font>
      <b/>
      <sz val="10"/>
      <color rgb="FF000000"/>
      <name val="Arial Black"/>
      <family val="2"/>
    </font>
    <font>
      <b/>
      <sz val="10"/>
      <name val="Arial Black"/>
      <family val="2"/>
    </font>
    <font>
      <b/>
      <sz val="10"/>
      <color rgb="FF000000"/>
      <name val="BIZ UDPゴシック"/>
      <family val="3"/>
      <charset val="128"/>
    </font>
    <font>
      <sz val="12"/>
      <color indexed="30"/>
      <name val="ＭＳ Ｐゴシック"/>
      <family val="3"/>
      <charset val="128"/>
    </font>
    <font>
      <sz val="12"/>
      <name val="Arial"/>
      <family val="3"/>
      <charset val="128"/>
    </font>
    <font>
      <sz val="10"/>
      <color rgb="FF000000"/>
      <name val="BIZ UDPゴシック"/>
      <family val="3"/>
      <charset val="128"/>
    </font>
    <font>
      <sz val="10"/>
      <color rgb="FFFF0000"/>
      <name val="BIZ UDPゴシック"/>
      <family val="3"/>
      <charset val="128"/>
    </font>
    <font>
      <sz val="10"/>
      <color indexed="8"/>
      <name val="Arial"/>
      <family val="3"/>
      <charset val="128"/>
    </font>
    <font>
      <sz val="10"/>
      <color theme="1"/>
      <name val="Arial  "/>
      <family val="3"/>
      <charset val="128"/>
    </font>
    <font>
      <b/>
      <sz val="10"/>
      <color theme="1"/>
      <name val="ＭＳ Ｐゴシック"/>
      <family val="3"/>
      <charset val="128"/>
    </font>
    <font>
      <b/>
      <sz val="10"/>
      <color theme="1"/>
      <name val="Arial  "/>
      <family val="3"/>
      <charset val="128"/>
    </font>
    <font>
      <sz val="11"/>
      <name val="Arial  "/>
    </font>
    <font>
      <sz val="11"/>
      <color rgb="FFFF0000"/>
      <name val="ＭＳ Ｐゴシック"/>
      <family val="3"/>
      <charset val="128"/>
    </font>
    <font>
      <sz val="12"/>
      <name val="Arial  "/>
    </font>
    <font>
      <b/>
      <sz val="12"/>
      <name val="Arial  "/>
      <family val="3"/>
      <charset val="128"/>
    </font>
    <font>
      <sz val="10"/>
      <color indexed="63"/>
      <name val="Arial  "/>
      <family val="2"/>
    </font>
    <font>
      <sz val="10"/>
      <color theme="1"/>
      <name val="Arial  "/>
    </font>
    <font>
      <b/>
      <sz val="10"/>
      <color rgb="FFFF0000"/>
      <name val="Arial  "/>
      <family val="2"/>
    </font>
    <font>
      <b/>
      <sz val="8"/>
      <name val="Arial  "/>
      <family val="2"/>
    </font>
    <font>
      <b/>
      <sz val="8"/>
      <name val="ＭＳ Ｐゴシック"/>
      <family val="3"/>
      <charset val="128"/>
    </font>
    <font>
      <sz val="10"/>
      <color rgb="FF1F497D"/>
      <name val="Arial"/>
      <family val="2"/>
    </font>
    <font>
      <b/>
      <sz val="10"/>
      <color rgb="FF000000"/>
      <name val="Arial"/>
      <family val="2"/>
    </font>
    <font>
      <b/>
      <sz val="10"/>
      <color rgb="FF00B050"/>
      <name val="Arial"/>
      <family val="2"/>
    </font>
    <font>
      <b/>
      <sz val="10"/>
      <color rgb="FF000000"/>
      <name val="ＭＳ Ｐゴシック"/>
      <family val="3"/>
      <charset val="128"/>
    </font>
    <font>
      <b/>
      <sz val="10"/>
      <color rgb="FF000000"/>
      <name val="Arial"/>
      <family val="2"/>
      <charset val="128"/>
    </font>
    <font>
      <sz val="10"/>
      <color rgb="FF000000"/>
      <name val="Arial"/>
      <family val="3"/>
      <charset val="128"/>
    </font>
    <font>
      <b/>
      <sz val="10"/>
      <color rgb="FF0070C0"/>
      <name val="Arial  "/>
    </font>
    <font>
      <sz val="10"/>
      <name val="ＭＳ ゴシック"/>
      <family val="3"/>
      <charset val="128"/>
    </font>
    <font>
      <b/>
      <sz val="11"/>
      <color rgb="FF0070C0"/>
      <name val="ＭＳ Ｐゴシック"/>
      <family val="3"/>
      <charset val="128"/>
    </font>
    <font>
      <i/>
      <sz val="10"/>
      <name val="Arial"/>
      <family val="2"/>
    </font>
    <font>
      <sz val="12"/>
      <color rgb="FF7030A0"/>
      <name val="Arial  "/>
    </font>
    <font>
      <b/>
      <sz val="11"/>
      <color rgb="FF00B050"/>
      <name val="Arial"/>
      <family val="2"/>
    </font>
    <font>
      <b/>
      <sz val="11"/>
      <color rgb="FF00B050"/>
      <name val="ＭＳ Ｐゴシック"/>
      <family val="3"/>
      <charset val="128"/>
    </font>
    <font>
      <sz val="10"/>
      <name val="游ゴシック Medium"/>
      <family val="3"/>
      <charset val="128"/>
    </font>
    <font>
      <sz val="10"/>
      <color rgb="FF00B050"/>
      <name val="游ゴシック Medium"/>
      <family val="3"/>
      <charset val="128"/>
    </font>
    <font>
      <b/>
      <sz val="10"/>
      <name val="游ゴシック Medium"/>
      <family val="3"/>
      <charset val="128"/>
    </font>
    <font>
      <sz val="11"/>
      <color theme="0" tint="-0.499984740745262"/>
      <name val="Arial"/>
      <family val="2"/>
    </font>
    <font>
      <sz val="11"/>
      <name val="游ゴシック"/>
      <family val="3"/>
      <charset val="128"/>
    </font>
    <font>
      <b/>
      <sz val="11"/>
      <name val="Arial  "/>
      <family val="3"/>
      <charset val="128"/>
    </font>
    <font>
      <i/>
      <sz val="10"/>
      <name val="Arial  "/>
      <family val="2"/>
    </font>
    <font>
      <b/>
      <i/>
      <sz val="10"/>
      <name val="Arial  "/>
      <family val="2"/>
    </font>
    <font>
      <sz val="12"/>
      <name val="Calibri"/>
      <family val="2"/>
    </font>
    <font>
      <b/>
      <u/>
      <sz val="10"/>
      <name val="Arial  "/>
      <family val="2"/>
    </font>
    <font>
      <b/>
      <sz val="9"/>
      <color rgb="FFFF0000"/>
      <name val="arial    "/>
    </font>
    <font>
      <b/>
      <sz val="9"/>
      <color rgb="FFFF0000"/>
      <name val="ＭＳ Ｐゴシック"/>
      <family val="3"/>
      <charset val="128"/>
    </font>
    <font>
      <sz val="10"/>
      <color rgb="FF000000"/>
      <name val="Arial  "/>
    </font>
    <font>
      <i/>
      <sz val="12"/>
      <name val="Times New Roman"/>
      <family val="1"/>
    </font>
    <font>
      <u/>
      <sz val="12"/>
      <name val="Times New Roman"/>
      <family val="1"/>
    </font>
    <font>
      <sz val="12"/>
      <color theme="1"/>
      <name val="Times New Roman"/>
      <family val="1"/>
    </font>
    <font>
      <b/>
      <sz val="10"/>
      <color rgb="FFFF00FF"/>
      <name val="Arial  "/>
      <family val="2"/>
    </font>
    <font>
      <b/>
      <sz val="10"/>
      <color rgb="FFFF00FF"/>
      <name val="ＭＳ Ｐゴシック"/>
      <family val="3"/>
      <charset val="128"/>
    </font>
    <font>
      <sz val="10"/>
      <color rgb="FFFF00FF"/>
      <name val="Arial  "/>
      <family val="2"/>
    </font>
    <font>
      <sz val="12"/>
      <color rgb="FF000000"/>
      <name val="ＭＳ Ｐゴシック"/>
      <family val="3"/>
      <charset val="128"/>
    </font>
    <font>
      <sz val="12"/>
      <color theme="1"/>
      <name val="游ゴシック"/>
      <family val="2"/>
      <charset val="128"/>
    </font>
    <font>
      <sz val="10"/>
      <name val="Arial"/>
      <family val="3"/>
      <charset val="128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b/>
      <sz val="12"/>
      <color rgb="FFFF00FF"/>
      <name val="Arial  "/>
      <family val="3"/>
      <charset val="128"/>
    </font>
    <font>
      <b/>
      <sz val="12"/>
      <color rgb="FFFF00FF"/>
      <name val="ＭＳ Ｐゴシック"/>
      <family val="3"/>
      <charset val="128"/>
    </font>
    <font>
      <b/>
      <sz val="12"/>
      <color rgb="FFFF00FF"/>
      <name val="Arial  "/>
      <family val="2"/>
    </font>
    <font>
      <sz val="12"/>
      <color rgb="FFFF00FF"/>
      <name val="Arial  "/>
      <family val="2"/>
    </font>
    <font>
      <b/>
      <sz val="8"/>
      <name val="Times New Roman"/>
      <family val="1"/>
    </font>
    <font>
      <sz val="8"/>
      <name val="PMingLiU-ExtB"/>
      <family val="1"/>
      <charset val="136"/>
    </font>
    <font>
      <sz val="8"/>
      <name val="PMingLiU-ExtB"/>
      <family val="1"/>
    </font>
    <font>
      <b/>
      <i/>
      <sz val="8"/>
      <name val="Times New Roman"/>
      <family val="1"/>
    </font>
    <font>
      <u/>
      <sz val="8"/>
      <name val="PMingLiU-ExtB"/>
      <family val="1"/>
    </font>
    <font>
      <b/>
      <u/>
      <sz val="8"/>
      <name val="Times New Roman"/>
      <family val="1"/>
    </font>
    <font>
      <sz val="9.5"/>
      <name val="PMingLiU-ExtB"/>
      <family val="1"/>
      <charset val="136"/>
    </font>
    <font>
      <sz val="9.5"/>
      <name val="PMingLiU-ExtB"/>
      <family val="1"/>
    </font>
    <font>
      <sz val="9.5"/>
      <color rgb="FF000000"/>
      <name val="PMingLiU-ExtB"/>
      <family val="2"/>
    </font>
    <font>
      <u/>
      <sz val="8"/>
      <name val="ＭＳ Ｐ明朝"/>
      <family val="1"/>
      <charset val="128"/>
    </font>
    <font>
      <sz val="8"/>
      <name val="ＭＳ Ｐゴシック"/>
      <family val="1"/>
      <charset val="128"/>
    </font>
    <font>
      <sz val="12"/>
      <color rgb="FFFF0000"/>
      <name val="Arial  "/>
      <family val="2"/>
    </font>
    <font>
      <sz val="10"/>
      <name val="ＭＳ Ｐゴシック"/>
      <family val="2"/>
      <charset val="128"/>
    </font>
    <font>
      <sz val="10"/>
      <color rgb="FF000000"/>
      <name val="Wingdings"/>
      <charset val="2"/>
    </font>
    <font>
      <sz val="7"/>
      <color rgb="FF000000"/>
      <name val="Times New Roman"/>
      <family val="1"/>
    </font>
    <font>
      <sz val="10"/>
      <color rgb="FF409FFF"/>
      <name val="Arial"/>
      <family val="2"/>
    </font>
    <font>
      <sz val="10"/>
      <color rgb="FF409FFF"/>
      <name val="BIZ UDPゴシック"/>
      <family val="3"/>
      <charset val="128"/>
    </font>
    <font>
      <sz val="10"/>
      <color rgb="FF409FFF"/>
      <name val="メイリオ"/>
      <family val="3"/>
      <charset val="128"/>
    </font>
    <font>
      <b/>
      <sz val="10"/>
      <name val="ＭＳ Ｐゴシック"/>
      <family val="2"/>
      <charset val="128"/>
    </font>
    <font>
      <sz val="10"/>
      <name val="Arial   "/>
    </font>
    <font>
      <b/>
      <sz val="10"/>
      <name val="Arial   "/>
    </font>
    <font>
      <sz val="10"/>
      <name val="BIZ UDPゴシック"/>
      <family val="3"/>
      <charset val="128"/>
    </font>
    <font>
      <sz val="12"/>
      <name val="游ゴシック"/>
      <family val="2"/>
      <charset val="128"/>
    </font>
    <font>
      <sz val="10"/>
      <color theme="1"/>
      <name val="游ゴシック"/>
      <family val="2"/>
      <charset val="128"/>
    </font>
    <font>
      <b/>
      <sz val="10"/>
      <color theme="1"/>
      <name val="Malgun Gothic"/>
      <family val="2"/>
      <charset val="129"/>
    </font>
    <font>
      <sz val="12"/>
      <name val="ＭＳ Ｐゴシック"/>
      <family val="2"/>
      <charset val="128"/>
    </font>
    <font>
      <b/>
      <u/>
      <sz val="8"/>
      <name val="ＭＳ Ｐゴシック"/>
      <family val="1"/>
      <charset val="128"/>
    </font>
    <font>
      <b/>
      <sz val="8"/>
      <name val="PMingLiU-ExtB"/>
      <family val="1"/>
      <charset val="136"/>
    </font>
    <font>
      <sz val="9.5"/>
      <color rgb="FFFF0000"/>
      <name val="PMingLiU-ExtB"/>
      <family val="1"/>
    </font>
    <font>
      <sz val="9.5"/>
      <color rgb="FFFF0000"/>
      <name val="游ゴシック"/>
      <family val="1"/>
      <charset val="128"/>
    </font>
    <font>
      <b/>
      <sz val="9.5"/>
      <name val="PMingLiU-ExtB"/>
      <family val="1"/>
      <charset val="136"/>
    </font>
    <font>
      <b/>
      <sz val="9.5"/>
      <name val="ＭＳ Ｐゴシック"/>
      <family val="3"/>
      <charset val="128"/>
    </font>
    <font>
      <sz val="11"/>
      <name val="Aptos"/>
      <family val="2"/>
    </font>
    <font>
      <b/>
      <sz val="11"/>
      <color rgb="FF000000"/>
      <name val="Calibri"/>
      <family val="2"/>
    </font>
    <font>
      <u/>
      <sz val="11"/>
      <name val="Aptos"/>
      <family val="2"/>
    </font>
    <font>
      <b/>
      <sz val="10"/>
      <color theme="1"/>
      <name val="BIZ UDPゴシック"/>
      <family val="3"/>
      <charset val="128"/>
    </font>
    <font>
      <b/>
      <sz val="10"/>
      <color theme="1"/>
      <name val="Arial  "/>
      <family val="2"/>
      <charset val="129"/>
    </font>
    <font>
      <b/>
      <sz val="10"/>
      <color theme="1"/>
      <name val="Arial  "/>
      <family val="2"/>
      <charset val="128"/>
    </font>
    <font>
      <sz val="10"/>
      <color rgb="FF0070C0"/>
      <name val="ＭＳ Ｐゴシック"/>
      <family val="2"/>
      <charset val="128"/>
    </font>
    <font>
      <sz val="10"/>
      <color rgb="FFFF0000"/>
      <name val="ＭＳ Ｐゴシック"/>
      <family val="2"/>
      <charset val="128"/>
    </font>
    <font>
      <sz val="12"/>
      <color theme="9" tint="-0.249977111117893"/>
      <name val="ＭＳ Ｐゴシック"/>
      <family val="3"/>
      <charset val="128"/>
    </font>
    <font>
      <sz val="10"/>
      <name val="Arial"/>
      <family val="2"/>
      <charset val="128"/>
    </font>
    <font>
      <sz val="12"/>
      <color rgb="FF00B050"/>
      <name val="Arial"/>
      <family val="2"/>
    </font>
    <font>
      <sz val="12"/>
      <color rgb="FF1F497D"/>
      <name val="Arial"/>
      <family val="2"/>
    </font>
    <font>
      <b/>
      <sz val="10"/>
      <color theme="1"/>
      <name val="Microsoft JhengHei"/>
      <family val="2"/>
      <charset val="136"/>
    </font>
    <font>
      <b/>
      <sz val="11"/>
      <color rgb="FFFF0000"/>
      <name val="ＭＳ Ｐゴシック"/>
      <family val="3"/>
      <charset val="128"/>
    </font>
    <font>
      <sz val="12"/>
      <name val="MS UI Gothic"/>
      <family val="2"/>
      <charset val="1"/>
    </font>
    <font>
      <b/>
      <sz val="10"/>
      <color rgb="FF000000"/>
      <name val="Arial  "/>
    </font>
    <font>
      <b/>
      <sz val="10"/>
      <color rgb="FF000000"/>
      <name val="Arial  "/>
      <family val="2"/>
    </font>
    <font>
      <sz val="10.5"/>
      <name val="メイリオ"/>
      <family val="3"/>
      <charset val="128"/>
    </font>
    <font>
      <b/>
      <sz val="12"/>
      <color rgb="FF000000"/>
      <name val="游ゴシック"/>
      <family val="3"/>
      <charset val="128"/>
    </font>
    <font>
      <b/>
      <sz val="11"/>
      <name val="ＭＳ Ｐゴシック"/>
      <family val="2"/>
      <charset val="128"/>
    </font>
    <font>
      <sz val="10"/>
      <color rgb="FF7030A0"/>
      <name val="Arial"/>
      <family val="2"/>
    </font>
    <font>
      <b/>
      <sz val="10"/>
      <name val="ＭＳ ゴシック"/>
      <family val="3"/>
      <charset val="128"/>
    </font>
    <font>
      <sz val="10"/>
      <color theme="1"/>
      <name val="arial    "/>
    </font>
    <font>
      <sz val="11"/>
      <name val="Times New Roman"/>
      <family val="3"/>
    </font>
    <font>
      <sz val="10"/>
      <color rgb="FF000000"/>
      <name val="Segoe UI Symbol"/>
      <family val="2"/>
    </font>
    <font>
      <b/>
      <sz val="10"/>
      <name val="Arial"/>
      <family val="2"/>
      <charset val="128"/>
    </font>
    <font>
      <sz val="10"/>
      <color rgb="FF0070C0"/>
      <name val="Arial"/>
      <family val="2"/>
      <charset val="128"/>
    </font>
    <font>
      <sz val="12"/>
      <name val="ＭＳ ゴシック"/>
      <family val="3"/>
      <charset val="128"/>
    </font>
    <font>
      <sz val="12"/>
      <color rgb="FF7030A0"/>
      <name val="ＭＳ Ｐゴシック"/>
      <family val="3"/>
      <charset val="128"/>
    </font>
    <font>
      <b/>
      <sz val="11"/>
      <color theme="1"/>
      <name val="Arial"/>
      <family val="2"/>
    </font>
    <font>
      <b/>
      <sz val="14"/>
      <color indexed="81"/>
      <name val="MS P ゴシック"/>
      <family val="3"/>
      <charset val="128"/>
    </font>
    <font>
      <sz val="16"/>
      <color indexed="81"/>
      <name val="MS P ゴシック"/>
      <family val="3"/>
      <charset val="128"/>
    </font>
    <font>
      <b/>
      <sz val="11"/>
      <color indexed="81"/>
      <name val="MS P ゴシック"/>
      <family val="3"/>
      <charset val="128"/>
    </font>
    <font>
      <sz val="11"/>
      <color rgb="FFFF0000"/>
      <name val="Arial  "/>
      <family val="2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.5"/>
      <name val="Aptos"/>
      <family val="2"/>
    </font>
    <font>
      <sz val="10.5"/>
      <color rgb="FF000000"/>
      <name val="Aptos Narrow"/>
      <family val="2"/>
    </font>
    <font>
      <sz val="10.5"/>
      <color rgb="FF000000"/>
      <name val="Century Gothic"/>
      <family val="2"/>
    </font>
    <font>
      <sz val="10"/>
      <color rgb="FF000000"/>
      <name val="Century Gothic"/>
      <family val="2"/>
    </font>
    <font>
      <b/>
      <sz val="16"/>
      <color indexed="81"/>
      <name val="MS P ゴシック"/>
      <family val="3"/>
      <charset val="128"/>
    </font>
    <font>
      <b/>
      <sz val="12"/>
      <color rgb="FF7030A0"/>
      <name val="Arial"/>
      <family val="2"/>
    </font>
    <font>
      <b/>
      <sz val="12"/>
      <color indexed="81"/>
      <name val="MS P ゴシック"/>
      <family val="3"/>
      <charset val="128"/>
    </font>
    <font>
      <sz val="12"/>
      <color indexed="81"/>
      <name val="MS P ゴシック"/>
      <family val="3"/>
      <charset val="128"/>
    </font>
    <font>
      <sz val="10.5"/>
      <color theme="1"/>
      <name val="游ゴシック"/>
      <family val="3"/>
      <charset val="128"/>
    </font>
    <font>
      <sz val="11"/>
      <name val="Arial"/>
      <family val="2"/>
      <charset val="128"/>
    </font>
    <font>
      <sz val="10"/>
      <color rgb="FFEE0000"/>
      <name val="ＭＳ Ｐゴシック"/>
      <family val="2"/>
      <charset val="128"/>
    </font>
    <font>
      <u/>
      <sz val="10"/>
      <name val="Arial  "/>
      <family val="2"/>
    </font>
    <font>
      <sz val="12"/>
      <name val="Arial"/>
      <family val="2"/>
      <charset val="128"/>
    </font>
    <font>
      <sz val="10"/>
      <color rgb="FF000000"/>
      <name val="ＭＳ ゴシック"/>
      <family val="3"/>
      <charset val="128"/>
    </font>
    <font>
      <sz val="10"/>
      <name val="游ゴシック"/>
      <family val="2"/>
      <charset val="128"/>
    </font>
    <font>
      <sz val="10"/>
      <color theme="1"/>
      <name val="BIZ UDPゴシック"/>
      <family val="3"/>
      <charset val="128"/>
    </font>
    <font>
      <b/>
      <sz val="10"/>
      <color rgb="FF0070C0"/>
      <name val="ＭＳ Ｐゴシック"/>
      <family val="3"/>
      <charset val="128"/>
    </font>
    <font>
      <sz val="10"/>
      <color theme="1"/>
      <name val="Arial"/>
      <family val="2"/>
      <charset val="128"/>
    </font>
    <font>
      <sz val="12"/>
      <name val="ＭＳ Ｐゴシック"/>
      <family val="2"/>
      <scheme val="minor"/>
    </font>
    <font>
      <sz val="8"/>
      <name val="ＭＳ Ｐゴシック"/>
      <family val="2"/>
      <scheme val="minor"/>
    </font>
    <font>
      <sz val="11"/>
      <color rgb="FF0070C0"/>
      <name val="游ゴシック"/>
      <family val="3"/>
      <charset val="128"/>
    </font>
    <font>
      <b/>
      <sz val="10"/>
      <color rgb="FFFF0000"/>
      <name val="Times New Roman"/>
      <family val="1"/>
    </font>
    <font>
      <b/>
      <sz val="9.5"/>
      <color rgb="FFFF0000"/>
      <name val="Times New Roman"/>
      <family val="1"/>
    </font>
    <font>
      <sz val="9.5"/>
      <name val="Times New Roman"/>
      <family val="1"/>
    </font>
    <font>
      <b/>
      <sz val="10"/>
      <name val="游ゴシック"/>
      <family val="2"/>
      <charset val="128"/>
    </font>
    <font>
      <sz val="10"/>
      <color rgb="FF1F497D"/>
      <name val="Arial  "/>
      <family val="2"/>
    </font>
    <font>
      <sz val="10"/>
      <name val="Wingdings"/>
      <charset val="2"/>
    </font>
    <font>
      <sz val="10"/>
      <color rgb="FF00B050"/>
      <name val="Arial"/>
      <family val="2"/>
    </font>
    <font>
      <sz val="10"/>
      <name val="SimSun"/>
      <charset val="134"/>
    </font>
    <font>
      <sz val="12"/>
      <color theme="1"/>
      <name val="ＭＳ Ｐゴシック"/>
      <family val="2"/>
      <charset val="128"/>
    </font>
    <font>
      <b/>
      <sz val="11"/>
      <color rgb="FFFF0000"/>
      <name val="ＭＳ Ｐゴシック"/>
      <family val="2"/>
      <charset val="128"/>
    </font>
    <font>
      <b/>
      <sz val="11"/>
      <color rgb="FF7030A0"/>
      <name val="Arial"/>
      <family val="2"/>
    </font>
    <font>
      <sz val="10.5"/>
      <color rgb="FFFF0000"/>
      <name val="游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BE3D5"/>
      </patternFill>
    </fill>
    <fill>
      <patternFill patternType="solid">
        <fgColor rgb="FF8EA9D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E699"/>
        <bgColor indexed="64"/>
      </patternFill>
    </fill>
  </fills>
  <borders count="2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/>
      <top style="double">
        <color rgb="FF000000"/>
      </top>
      <bottom style="medium">
        <color indexed="64"/>
      </bottom>
      <diagonal/>
    </border>
    <border>
      <left/>
      <right style="medium">
        <color indexed="64"/>
      </right>
      <top style="double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rgb="FF000000"/>
      </bottom>
      <diagonal/>
    </border>
    <border>
      <left/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/>
      <top style="double">
        <color rgb="FF000000"/>
      </top>
      <bottom/>
      <diagonal/>
    </border>
    <border>
      <left/>
      <right style="medium">
        <color indexed="64"/>
      </right>
      <top style="double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4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250" fontId="119" fillId="0" borderId="0" applyFont="0" applyFill="0" applyBorder="0" applyAlignment="0" applyProtection="0"/>
    <xf numFmtId="6" fontId="1" fillId="0" borderId="0" applyFont="0" applyFill="0" applyBorder="0" applyAlignment="0" applyProtection="0">
      <alignment vertical="center"/>
    </xf>
    <xf numFmtId="213" fontId="119" fillId="0" borderId="0" applyFont="0" applyFill="0" applyBorder="0" applyAlignment="0" applyProtection="0">
      <alignment vertical="center"/>
    </xf>
    <xf numFmtId="213" fontId="1" fillId="0" borderId="0" applyFont="0" applyFill="0" applyBorder="0" applyAlignment="0" applyProtection="0">
      <alignment vertical="center"/>
    </xf>
    <xf numFmtId="0" fontId="119" fillId="0" borderId="0">
      <alignment vertical="center"/>
    </xf>
    <xf numFmtId="0" fontId="119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119" fillId="0" borderId="0">
      <alignment vertical="center"/>
    </xf>
    <xf numFmtId="0" fontId="119" fillId="0" borderId="0"/>
    <xf numFmtId="0" fontId="1" fillId="0" borderId="0">
      <alignment vertical="center"/>
    </xf>
    <xf numFmtId="0" fontId="100" fillId="0" borderId="0">
      <alignment vertical="center"/>
    </xf>
    <xf numFmtId="0" fontId="1" fillId="0" borderId="0"/>
    <xf numFmtId="0" fontId="35" fillId="0" borderId="0"/>
    <xf numFmtId="0" fontId="170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</cellStyleXfs>
  <cellXfs count="3142">
    <xf numFmtId="0" fontId="0" fillId="0" borderId="0" xfId="0">
      <alignment vertical="center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3" fontId="4" fillId="0" borderId="0" xfId="0" applyNumberFormat="1" applyFont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0" xfId="0" applyFont="1">
      <alignment vertical="center"/>
    </xf>
    <xf numFmtId="178" fontId="5" fillId="0" borderId="1" xfId="0" applyNumberFormat="1" applyFont="1" applyBorder="1" applyAlignment="1">
      <alignment horizontal="right" vertical="center"/>
    </xf>
    <xf numFmtId="179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79" fontId="5" fillId="0" borderId="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79" fontId="120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88" fontId="5" fillId="0" borderId="1" xfId="0" applyNumberFormat="1" applyFont="1" applyBorder="1" applyAlignment="1"/>
    <xf numFmtId="0" fontId="7" fillId="0" borderId="1" xfId="0" applyFont="1" applyBorder="1" applyAlignment="1">
      <alignment horizontal="center"/>
    </xf>
    <xf numFmtId="0" fontId="5" fillId="0" borderId="0" xfId="0" applyFont="1" applyAlignment="1"/>
    <xf numFmtId="184" fontId="121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49" fontId="122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/>
    <xf numFmtId="18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91" fontId="121" fillId="0" borderId="1" xfId="0" applyNumberFormat="1" applyFont="1" applyBorder="1">
      <alignment vertical="center"/>
    </xf>
    <xf numFmtId="188" fontId="5" fillId="0" borderId="1" xfId="0" applyNumberFormat="1" applyFont="1" applyBorder="1" applyAlignment="1">
      <alignment horizontal="center"/>
    </xf>
    <xf numFmtId="0" fontId="12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88" fontId="5" fillId="0" borderId="1" xfId="0" applyNumberFormat="1" applyFont="1" applyBorder="1" applyAlignment="1">
      <alignment horizontal="center" vertical="center"/>
    </xf>
    <xf numFmtId="190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178" fontId="121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78" fontId="3" fillId="0" borderId="1" xfId="0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0" fontId="3" fillId="0" borderId="1" xfId="0" applyNumberFormat="1" applyFont="1" applyBorder="1" applyAlignment="1">
      <alignment horizontal="right" vertical="center"/>
    </xf>
    <xf numFmtId="192" fontId="11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 wrapText="1"/>
    </xf>
    <xf numFmtId="191" fontId="3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right" vertical="center"/>
    </xf>
    <xf numFmtId="176" fontId="120" fillId="0" borderId="1" xfId="0" applyNumberFormat="1" applyFont="1" applyBorder="1" applyAlignment="1">
      <alignment horizontal="center" vertical="center"/>
    </xf>
    <xf numFmtId="185" fontId="120" fillId="0" borderId="1" xfId="0" applyNumberFormat="1" applyFont="1" applyBorder="1" applyAlignment="1">
      <alignment horizontal="right" vertical="center"/>
    </xf>
    <xf numFmtId="176" fontId="5" fillId="0" borderId="1" xfId="0" applyNumberFormat="1" applyFont="1" applyBorder="1" applyAlignment="1">
      <alignment horizontal="center" vertical="center"/>
    </xf>
    <xf numFmtId="185" fontId="5" fillId="0" borderId="1" xfId="0" applyNumberFormat="1" applyFont="1" applyBorder="1" applyAlignment="1">
      <alignment horizontal="right" vertical="center"/>
    </xf>
    <xf numFmtId="191" fontId="5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/>
    </xf>
    <xf numFmtId="178" fontId="4" fillId="0" borderId="1" xfId="0" applyNumberFormat="1" applyFont="1" applyBorder="1" applyAlignment="1">
      <alignment horizontal="center" vertical="center"/>
    </xf>
    <xf numFmtId="178" fontId="124" fillId="0" borderId="1" xfId="0" applyNumberFormat="1" applyFont="1" applyBorder="1" applyAlignment="1">
      <alignment horizontal="right" vertical="center"/>
    </xf>
    <xf numFmtId="191" fontId="12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93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3" fillId="0" borderId="0" xfId="0" applyFont="1">
      <alignment vertical="center"/>
    </xf>
    <xf numFmtId="5" fontId="121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left" vertical="center"/>
    </xf>
    <xf numFmtId="187" fontId="3" fillId="0" borderId="1" xfId="0" applyNumberFormat="1" applyFont="1" applyBorder="1">
      <alignment vertical="center"/>
    </xf>
    <xf numFmtId="194" fontId="3" fillId="0" borderId="1" xfId="0" applyNumberFormat="1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178" fontId="126" fillId="0" borderId="1" xfId="0" applyNumberFormat="1" applyFont="1" applyBorder="1" applyAlignment="1">
      <alignment horizontal="right" vertical="center"/>
    </xf>
    <xf numFmtId="178" fontId="121" fillId="0" borderId="1" xfId="0" applyNumberFormat="1" applyFont="1" applyBorder="1" applyAlignment="1">
      <alignment horizontal="right" vertical="center"/>
    </xf>
    <xf numFmtId="180" fontId="121" fillId="0" borderId="1" xfId="0" applyNumberFormat="1" applyFont="1" applyBorder="1" applyAlignment="1">
      <alignment horizontal="right" vertical="center"/>
    </xf>
    <xf numFmtId="196" fontId="3" fillId="0" borderId="1" xfId="0" applyNumberFormat="1" applyFont="1" applyBorder="1">
      <alignment vertical="center"/>
    </xf>
    <xf numFmtId="0" fontId="3" fillId="0" borderId="3" xfId="0" applyFont="1" applyBorder="1" applyAlignment="1">
      <alignment horizontal="center"/>
    </xf>
    <xf numFmtId="176" fontId="3" fillId="0" borderId="1" xfId="0" applyNumberFormat="1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/>
    </xf>
    <xf numFmtId="189" fontId="3" fillId="0" borderId="1" xfId="0" applyNumberFormat="1" applyFont="1" applyBorder="1" applyAlignment="1"/>
    <xf numFmtId="198" fontId="3" fillId="0" borderId="1" xfId="0" applyNumberFormat="1" applyFont="1" applyBorder="1">
      <alignment vertical="center"/>
    </xf>
    <xf numFmtId="49" fontId="5" fillId="2" borderId="1" xfId="0" applyNumberFormat="1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88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178" fontId="126" fillId="0" borderId="1" xfId="0" applyNumberFormat="1" applyFont="1" applyBorder="1" applyAlignment="1">
      <alignment horizontal="center" vertical="center"/>
    </xf>
    <xf numFmtId="191" fontId="121" fillId="0" borderId="1" xfId="0" applyNumberFormat="1" applyFont="1" applyBorder="1" applyAlignment="1">
      <alignment horizontal="center" vertical="center"/>
    </xf>
    <xf numFmtId="189" fontId="3" fillId="0" borderId="1" xfId="0" applyNumberFormat="1" applyFont="1" applyBorder="1" applyAlignment="1">
      <alignment horizontal="center"/>
    </xf>
    <xf numFmtId="178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93" fontId="3" fillId="0" borderId="1" xfId="0" applyNumberFormat="1" applyFont="1" applyBorder="1" applyAlignment="1">
      <alignment horizontal="center" vertical="center"/>
    </xf>
    <xf numFmtId="185" fontId="3" fillId="0" borderId="1" xfId="0" applyNumberFormat="1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78" fontId="12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5" fillId="0" borderId="1" xfId="0" applyFont="1" applyBorder="1" applyAlignment="1">
      <alignment horizontal="right" vertical="center"/>
    </xf>
    <xf numFmtId="0" fontId="130" fillId="0" borderId="1" xfId="0" applyFont="1" applyBorder="1" applyAlignment="1">
      <alignment horizontal="center" vertical="center"/>
    </xf>
    <xf numFmtId="0" fontId="131" fillId="0" borderId="1" xfId="0" applyFont="1" applyBorder="1" applyAlignment="1">
      <alignment horizontal="center" vertical="center"/>
    </xf>
    <xf numFmtId="196" fontId="132" fillId="0" borderId="1" xfId="0" applyNumberFormat="1" applyFont="1" applyBorder="1">
      <alignment vertical="center"/>
    </xf>
    <xf numFmtId="179" fontId="120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93" fontId="3" fillId="0" borderId="1" xfId="0" applyNumberFormat="1" applyFont="1" applyBorder="1" applyAlignment="1">
      <alignment horizontal="right" vertical="center"/>
    </xf>
    <xf numFmtId="0" fontId="16" fillId="0" borderId="1" xfId="0" applyFont="1" applyBorder="1" applyAlignment="1">
      <alignment horizontal="center" vertical="center"/>
    </xf>
    <xf numFmtId="199" fontId="133" fillId="0" borderId="1" xfId="0" applyNumberFormat="1" applyFont="1" applyBorder="1" applyAlignment="1">
      <alignment horizontal="center" vertical="center"/>
    </xf>
    <xf numFmtId="0" fontId="133" fillId="0" borderId="1" xfId="0" applyFont="1" applyBorder="1" applyAlignment="1">
      <alignment horizontal="center" vertical="center"/>
    </xf>
    <xf numFmtId="200" fontId="133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76" fontId="17" fillId="0" borderId="1" xfId="0" applyNumberFormat="1" applyFont="1" applyBorder="1" applyAlignment="1">
      <alignment horizontal="center" vertical="center"/>
    </xf>
    <xf numFmtId="0" fontId="120" fillId="0" borderId="1" xfId="0" applyFont="1" applyBorder="1">
      <alignment vertical="center"/>
    </xf>
    <xf numFmtId="189" fontId="127" fillId="0" borderId="1" xfId="0" applyNumberFormat="1" applyFont="1" applyBorder="1" applyAlignment="1"/>
    <xf numFmtId="178" fontId="127" fillId="0" borderId="1" xfId="0" applyNumberFormat="1" applyFont="1" applyBorder="1" applyAlignment="1">
      <alignment horizontal="right" vertical="center"/>
    </xf>
    <xf numFmtId="191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34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135" fillId="0" borderId="1" xfId="0" applyFont="1" applyBorder="1" applyAlignment="1">
      <alignment horizontal="left" vertical="center"/>
    </xf>
    <xf numFmtId="0" fontId="13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7" fillId="0" borderId="1" xfId="0" applyFont="1" applyBorder="1" applyAlignment="1">
      <alignment horizontal="center"/>
    </xf>
    <xf numFmtId="178" fontId="5" fillId="0" borderId="1" xfId="0" applyNumberFormat="1" applyFont="1" applyBorder="1" applyAlignment="1">
      <alignment horizontal="center" vertical="center"/>
    </xf>
    <xf numFmtId="191" fontId="121" fillId="0" borderId="1" xfId="0" applyNumberFormat="1" applyFont="1" applyBorder="1" applyAlignment="1">
      <alignment horizontal="right" vertical="center"/>
    </xf>
    <xf numFmtId="191" fontId="3" fillId="0" borderId="1" xfId="0" applyNumberFormat="1" applyFont="1" applyBorder="1" applyAlignment="1">
      <alignment horizontal="right" vertical="center"/>
    </xf>
    <xf numFmtId="49" fontId="19" fillId="3" borderId="1" xfId="0" applyNumberFormat="1" applyFont="1" applyFill="1" applyBorder="1" applyAlignment="1">
      <alignment horizontal="center" vertical="center" shrinkToFit="1"/>
    </xf>
    <xf numFmtId="202" fontId="20" fillId="0" borderId="1" xfId="0" applyNumberFormat="1" applyFont="1" applyBorder="1" applyAlignment="1">
      <alignment horizontal="center" vertical="center" shrinkToFit="1"/>
    </xf>
    <xf numFmtId="203" fontId="20" fillId="0" borderId="1" xfId="0" applyNumberFormat="1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202" fontId="20" fillId="0" borderId="1" xfId="0" applyNumberFormat="1" applyFont="1" applyBorder="1" applyAlignment="1">
      <alignment horizontal="center" vertical="center"/>
    </xf>
    <xf numFmtId="203" fontId="20" fillId="0" borderId="1" xfId="0" applyNumberFormat="1" applyFont="1" applyBorder="1" applyAlignment="1">
      <alignment horizontal="center" vertical="center"/>
    </xf>
    <xf numFmtId="204" fontId="16" fillId="0" borderId="1" xfId="0" applyNumberFormat="1" applyFont="1" applyBorder="1" applyAlignment="1">
      <alignment horizontal="center" vertical="center"/>
    </xf>
    <xf numFmtId="205" fontId="16" fillId="0" borderId="1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wrapText="1"/>
    </xf>
    <xf numFmtId="0" fontId="22" fillId="0" borderId="6" xfId="0" applyFont="1" applyBorder="1" applyAlignment="1">
      <alignment horizontal="left" wrapText="1"/>
    </xf>
    <xf numFmtId="0" fontId="21" fillId="0" borderId="6" xfId="0" applyFont="1" applyBorder="1" applyAlignment="1">
      <alignment horizontal="right" wrapText="1"/>
    </xf>
    <xf numFmtId="0" fontId="23" fillId="0" borderId="1" xfId="0" applyFont="1" applyBorder="1" applyAlignment="1">
      <alignment horizontal="center"/>
    </xf>
    <xf numFmtId="0" fontId="16" fillId="0" borderId="1" xfId="0" applyFont="1" applyBorder="1">
      <alignment vertical="center"/>
    </xf>
    <xf numFmtId="201" fontId="121" fillId="0" borderId="1" xfId="0" applyNumberFormat="1" applyFont="1" applyBorder="1">
      <alignment vertical="center"/>
    </xf>
    <xf numFmtId="189" fontId="5" fillId="0" borderId="1" xfId="0" applyNumberFormat="1" applyFont="1" applyBorder="1" applyAlignment="1"/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91" fontId="121" fillId="0" borderId="0" xfId="0" applyNumberFormat="1" applyFont="1">
      <alignment vertical="center"/>
    </xf>
    <xf numFmtId="206" fontId="3" fillId="0" borderId="1" xfId="0" applyNumberFormat="1" applyFont="1" applyBorder="1">
      <alignment vertical="center"/>
    </xf>
    <xf numFmtId="187" fontId="3" fillId="0" borderId="1" xfId="0" applyNumberFormat="1" applyFont="1" applyBorder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207" fontId="5" fillId="0" borderId="1" xfId="0" applyNumberFormat="1" applyFont="1" applyBorder="1" applyAlignment="1"/>
    <xf numFmtId="178" fontId="131" fillId="0" borderId="1" xfId="0" applyNumberFormat="1" applyFont="1" applyBorder="1" applyAlignment="1">
      <alignment horizontal="right" vertical="center"/>
    </xf>
    <xf numFmtId="187" fontId="5" fillId="0" borderId="1" xfId="0" applyNumberFormat="1" applyFont="1" applyBorder="1">
      <alignment vertical="center"/>
    </xf>
    <xf numFmtId="193" fontId="5" fillId="0" borderId="1" xfId="0" applyNumberFormat="1" applyFont="1" applyBorder="1">
      <alignment vertical="center"/>
    </xf>
    <xf numFmtId="194" fontId="5" fillId="0" borderId="1" xfId="0" applyNumberFormat="1" applyFont="1" applyBorder="1">
      <alignment vertical="center"/>
    </xf>
    <xf numFmtId="0" fontId="5" fillId="0" borderId="3" xfId="0" applyFont="1" applyBorder="1" applyAlignment="1">
      <alignment horizontal="center"/>
    </xf>
    <xf numFmtId="192" fontId="15" fillId="0" borderId="1" xfId="0" applyNumberFormat="1" applyFont="1" applyBorder="1" applyAlignment="1">
      <alignment horizontal="center" vertical="center"/>
    </xf>
    <xf numFmtId="187" fontId="5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/>
    </xf>
    <xf numFmtId="49" fontId="136" fillId="0" borderId="1" xfId="0" applyNumberFormat="1" applyFont="1" applyBorder="1" applyAlignment="1">
      <alignment horizontal="center" vertical="center"/>
    </xf>
    <xf numFmtId="189" fontId="120" fillId="0" borderId="1" xfId="0" applyNumberFormat="1" applyFont="1" applyBorder="1" applyAlignment="1"/>
    <xf numFmtId="178" fontId="130" fillId="0" borderId="1" xfId="0" applyNumberFormat="1" applyFont="1" applyBorder="1" applyAlignment="1">
      <alignment horizontal="right" vertical="center"/>
    </xf>
    <xf numFmtId="191" fontId="15" fillId="0" borderId="1" xfId="0" applyNumberFormat="1" applyFont="1" applyBorder="1" applyAlignment="1">
      <alignment horizontal="center" vertical="center"/>
    </xf>
    <xf numFmtId="191" fontId="15" fillId="0" borderId="1" xfId="0" applyNumberFormat="1" applyFont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209" fontId="121" fillId="0" borderId="1" xfId="0" applyNumberFormat="1" applyFont="1" applyBorder="1">
      <alignment vertical="center"/>
    </xf>
    <xf numFmtId="191" fontId="131" fillId="0" borderId="1" xfId="0" applyNumberFormat="1" applyFont="1" applyBorder="1">
      <alignment vertical="center"/>
    </xf>
    <xf numFmtId="0" fontId="137" fillId="0" borderId="7" xfId="0" applyFont="1" applyBorder="1" applyAlignment="1">
      <alignment horizontal="center" vertical="center"/>
    </xf>
    <xf numFmtId="0" fontId="137" fillId="0" borderId="8" xfId="0" applyFont="1" applyBorder="1" applyAlignment="1">
      <alignment horizontal="center" vertical="center"/>
    </xf>
    <xf numFmtId="0" fontId="138" fillId="0" borderId="8" xfId="0" applyFont="1" applyBorder="1" applyAlignment="1">
      <alignment horizontal="center" vertical="center"/>
    </xf>
    <xf numFmtId="0" fontId="139" fillId="0" borderId="9" xfId="0" applyFont="1" applyBorder="1" applyAlignment="1">
      <alignment horizontal="center" vertical="center"/>
    </xf>
    <xf numFmtId="0" fontId="139" fillId="0" borderId="10" xfId="0" applyFont="1" applyBorder="1" applyAlignment="1">
      <alignment horizontal="center" vertical="center"/>
    </xf>
    <xf numFmtId="191" fontId="136" fillId="0" borderId="1" xfId="0" applyNumberFormat="1" applyFont="1" applyBorder="1">
      <alignment vertical="center"/>
    </xf>
    <xf numFmtId="0" fontId="137" fillId="0" borderId="1" xfId="0" applyFont="1" applyBorder="1" applyAlignment="1">
      <alignment horizontal="center" vertical="center"/>
    </xf>
    <xf numFmtId="0" fontId="138" fillId="0" borderId="1" xfId="0" applyFont="1" applyBorder="1" applyAlignment="1">
      <alignment horizontal="center" vertical="center"/>
    </xf>
    <xf numFmtId="186" fontId="121" fillId="0" borderId="1" xfId="0" applyNumberFormat="1" applyFont="1" applyBorder="1">
      <alignment vertical="center"/>
    </xf>
    <xf numFmtId="188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191" fontId="5" fillId="0" borderId="0" xfId="0" applyNumberFormat="1" applyFont="1">
      <alignment vertical="center"/>
    </xf>
    <xf numFmtId="193" fontId="130" fillId="0" borderId="1" xfId="0" applyNumberFormat="1" applyFont="1" applyBorder="1">
      <alignment vertical="center"/>
    </xf>
    <xf numFmtId="193" fontId="5" fillId="0" borderId="1" xfId="0" applyNumberFormat="1" applyFont="1" applyBorder="1" applyAlignment="1">
      <alignment horizontal="right" vertical="center"/>
    </xf>
    <xf numFmtId="192" fontId="5" fillId="0" borderId="1" xfId="0" applyNumberFormat="1" applyFont="1" applyBorder="1" applyAlignment="1">
      <alignment horizontal="right" vertical="center"/>
    </xf>
    <xf numFmtId="176" fontId="8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right" vertical="center"/>
    </xf>
    <xf numFmtId="178" fontId="3" fillId="5" borderId="1" xfId="0" applyNumberFormat="1" applyFont="1" applyFill="1" applyBorder="1" applyAlignment="1">
      <alignment horizontal="right" vertical="center"/>
    </xf>
    <xf numFmtId="176" fontId="5" fillId="5" borderId="1" xfId="0" applyNumberFormat="1" applyFont="1" applyFill="1" applyBorder="1" applyAlignment="1">
      <alignment horizontal="center" vertical="center"/>
    </xf>
    <xf numFmtId="193" fontId="5" fillId="5" borderId="1" xfId="0" applyNumberFormat="1" applyFont="1" applyFill="1" applyBorder="1" applyAlignment="1">
      <alignment horizontal="right" vertical="center"/>
    </xf>
    <xf numFmtId="0" fontId="11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176" fontId="11" fillId="5" borderId="1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9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right" vertical="center"/>
    </xf>
    <xf numFmtId="196" fontId="5" fillId="0" borderId="1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91" fontId="5" fillId="5" borderId="1" xfId="0" applyNumberFormat="1" applyFont="1" applyFill="1" applyBorder="1">
      <alignment vertical="center"/>
    </xf>
    <xf numFmtId="187" fontId="5" fillId="0" borderId="1" xfId="0" applyNumberFormat="1" applyFont="1" applyBorder="1" applyAlignment="1">
      <alignment horizontal="right" vertical="center"/>
    </xf>
    <xf numFmtId="192" fontId="11" fillId="5" borderId="1" xfId="0" applyNumberFormat="1" applyFont="1" applyFill="1" applyBorder="1" applyAlignment="1">
      <alignment horizontal="center" vertical="center"/>
    </xf>
    <xf numFmtId="179" fontId="140" fillId="5" borderId="1" xfId="0" applyNumberFormat="1" applyFont="1" applyFill="1" applyBorder="1" applyAlignment="1">
      <alignment horizontal="center" vertical="center" wrapText="1"/>
    </xf>
    <xf numFmtId="176" fontId="130" fillId="0" borderId="1" xfId="0" applyNumberFormat="1" applyFont="1" applyBorder="1" applyAlignment="1">
      <alignment horizontal="center" vertical="center"/>
    </xf>
    <xf numFmtId="193" fontId="130" fillId="0" borderId="1" xfId="0" applyNumberFormat="1" applyFont="1" applyBorder="1" applyAlignment="1">
      <alignment horizontal="right" vertical="center"/>
    </xf>
    <xf numFmtId="191" fontId="5" fillId="0" borderId="1" xfId="0" applyNumberFormat="1" applyFont="1" applyBorder="1" applyAlignment="1">
      <alignment horizontal="right" vertical="center"/>
    </xf>
    <xf numFmtId="179" fontId="141" fillId="0" borderId="1" xfId="0" applyNumberFormat="1" applyFont="1" applyBorder="1" applyAlignment="1">
      <alignment horizontal="center" vertical="center" wrapText="1"/>
    </xf>
    <xf numFmtId="176" fontId="5" fillId="4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right" vertical="center"/>
    </xf>
    <xf numFmtId="193" fontId="16" fillId="0" borderId="1" xfId="0" applyNumberFormat="1" applyFont="1" applyBorder="1">
      <alignment vertical="center"/>
    </xf>
    <xf numFmtId="181" fontId="122" fillId="0" borderId="1" xfId="0" applyNumberFormat="1" applyFont="1" applyBorder="1" applyAlignment="1">
      <alignment horizontal="center" vertical="center"/>
    </xf>
    <xf numFmtId="179" fontId="140" fillId="0" borderId="1" xfId="0" applyNumberFormat="1" applyFont="1" applyBorder="1" applyAlignment="1">
      <alignment horizontal="center" vertical="center" wrapText="1"/>
    </xf>
    <xf numFmtId="178" fontId="120" fillId="0" borderId="1" xfId="0" applyNumberFormat="1" applyFont="1" applyBorder="1" applyAlignment="1">
      <alignment horizontal="right" vertical="center"/>
    </xf>
    <xf numFmtId="180" fontId="120" fillId="0" borderId="1" xfId="0" applyNumberFormat="1" applyFont="1" applyBorder="1" applyAlignment="1">
      <alignment horizontal="right" vertical="center"/>
    </xf>
    <xf numFmtId="49" fontId="120" fillId="0" borderId="1" xfId="0" applyNumberFormat="1" applyFont="1" applyBorder="1" applyAlignment="1">
      <alignment horizontal="left" vertical="center"/>
    </xf>
    <xf numFmtId="0" fontId="127" fillId="0" borderId="0" xfId="0" applyFont="1">
      <alignment vertical="center"/>
    </xf>
    <xf numFmtId="0" fontId="120" fillId="0" borderId="0" xfId="0" applyFont="1">
      <alignment vertical="center"/>
    </xf>
    <xf numFmtId="179" fontId="142" fillId="0" borderId="1" xfId="0" applyNumberFormat="1" applyFont="1" applyBorder="1" applyAlignment="1">
      <alignment horizontal="center" vertical="center" wrapText="1"/>
    </xf>
    <xf numFmtId="49" fontId="5" fillId="5" borderId="1" xfId="0" applyNumberFormat="1" applyFont="1" applyFill="1" applyBorder="1" applyAlignment="1">
      <alignment horizontal="left" vertical="center"/>
    </xf>
    <xf numFmtId="178" fontId="121" fillId="5" borderId="1" xfId="0" applyNumberFormat="1" applyFont="1" applyFill="1" applyBorder="1" applyAlignment="1">
      <alignment horizontal="right" vertical="center"/>
    </xf>
    <xf numFmtId="0" fontId="5" fillId="5" borderId="0" xfId="0" applyFont="1" applyFill="1">
      <alignment vertical="center"/>
    </xf>
    <xf numFmtId="193" fontId="5" fillId="5" borderId="1" xfId="0" applyNumberFormat="1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25" fillId="5" borderId="1" xfId="0" applyFont="1" applyFill="1" applyBorder="1" applyAlignment="1">
      <alignment horizontal="center" vertical="center"/>
    </xf>
    <xf numFmtId="178" fontId="5" fillId="5" borderId="1" xfId="0" applyNumberFormat="1" applyFont="1" applyFill="1" applyBorder="1" applyAlignment="1">
      <alignment horizontal="right" vertical="center"/>
    </xf>
    <xf numFmtId="180" fontId="5" fillId="5" borderId="1" xfId="0" applyNumberFormat="1" applyFont="1" applyFill="1" applyBorder="1" applyAlignment="1">
      <alignment horizontal="right" vertical="center"/>
    </xf>
    <xf numFmtId="0" fontId="120" fillId="0" borderId="1" xfId="0" applyFont="1" applyBorder="1" applyAlignment="1">
      <alignment horizontal="center" vertical="center"/>
    </xf>
    <xf numFmtId="191" fontId="120" fillId="0" borderId="1" xfId="0" applyNumberFormat="1" applyFont="1" applyBorder="1">
      <alignment vertical="center"/>
    </xf>
    <xf numFmtId="186" fontId="5" fillId="0" borderId="0" xfId="0" applyNumberFormat="1" applyFont="1">
      <alignment vertical="center"/>
    </xf>
    <xf numFmtId="194" fontId="5" fillId="5" borderId="1" xfId="0" applyNumberFormat="1" applyFont="1" applyFill="1" applyBorder="1">
      <alignment vertical="center"/>
    </xf>
    <xf numFmtId="0" fontId="5" fillId="5" borderId="0" xfId="0" applyFont="1" applyFill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right" vertical="center"/>
    </xf>
    <xf numFmtId="176" fontId="5" fillId="7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96" fontId="16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9" fontId="143" fillId="0" borderId="1" xfId="0" applyNumberFormat="1" applyFont="1" applyBorder="1" applyAlignment="1">
      <alignment horizontal="center" vertical="center" wrapText="1"/>
    </xf>
    <xf numFmtId="191" fontId="131" fillId="0" borderId="1" xfId="0" applyNumberFormat="1" applyFont="1" applyBorder="1" applyAlignment="1">
      <alignment horizontal="center" vertical="center"/>
    </xf>
    <xf numFmtId="0" fontId="139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right" vertical="center"/>
    </xf>
    <xf numFmtId="49" fontId="5" fillId="0" borderId="12" xfId="0" applyNumberFormat="1" applyFont="1" applyBorder="1" applyAlignment="1">
      <alignment horizontal="left" vertical="center"/>
    </xf>
    <xf numFmtId="176" fontId="144" fillId="0" borderId="1" xfId="0" applyNumberFormat="1" applyFont="1" applyBorder="1" applyAlignment="1">
      <alignment horizontal="center" vertical="center"/>
    </xf>
    <xf numFmtId="0" fontId="145" fillId="0" borderId="0" xfId="0" applyFont="1">
      <alignment vertical="center"/>
    </xf>
    <xf numFmtId="188" fontId="5" fillId="0" borderId="1" xfId="0" applyNumberFormat="1" applyFont="1" applyBorder="1" applyAlignment="1">
      <alignment horizontal="right"/>
    </xf>
    <xf numFmtId="178" fontId="121" fillId="2" borderId="1" xfId="0" applyNumberFormat="1" applyFont="1" applyFill="1" applyBorder="1" applyAlignment="1">
      <alignment horizontal="right" vertical="center"/>
    </xf>
    <xf numFmtId="180" fontId="121" fillId="2" borderId="1" xfId="0" applyNumberFormat="1" applyFont="1" applyFill="1" applyBorder="1" applyAlignment="1">
      <alignment horizontal="right" vertical="center"/>
    </xf>
    <xf numFmtId="0" fontId="125" fillId="2" borderId="1" xfId="0" applyFont="1" applyFill="1" applyBorder="1" applyAlignment="1">
      <alignment horizontal="center" vertical="center"/>
    </xf>
    <xf numFmtId="191" fontId="5" fillId="2" borderId="1" xfId="0" applyNumberFormat="1" applyFont="1" applyFill="1" applyBorder="1">
      <alignment vertical="center"/>
    </xf>
    <xf numFmtId="184" fontId="146" fillId="0" borderId="1" xfId="0" applyNumberFormat="1" applyFont="1" applyBorder="1" applyAlignment="1">
      <alignment horizontal="right" vertical="center"/>
    </xf>
    <xf numFmtId="0" fontId="5" fillId="2" borderId="1" xfId="0" applyFont="1" applyFill="1" applyBorder="1" applyAlignment="1">
      <alignment horizontal="left" vertical="center"/>
    </xf>
    <xf numFmtId="193" fontId="5" fillId="2" borderId="1" xfId="0" applyNumberFormat="1" applyFont="1" applyFill="1" applyBorder="1">
      <alignment vertical="center"/>
    </xf>
    <xf numFmtId="194" fontId="5" fillId="2" borderId="1" xfId="0" applyNumberFormat="1" applyFont="1" applyFill="1" applyBorder="1">
      <alignment vertical="center"/>
    </xf>
    <xf numFmtId="0" fontId="130" fillId="2" borderId="1" xfId="0" applyFont="1" applyFill="1" applyBorder="1" applyAlignment="1">
      <alignment horizontal="center" vertical="center"/>
    </xf>
    <xf numFmtId="178" fontId="5" fillId="2" borderId="1" xfId="0" applyNumberFormat="1" applyFont="1" applyFill="1" applyBorder="1" applyAlignment="1">
      <alignment horizontal="right" vertical="center"/>
    </xf>
    <xf numFmtId="191" fontId="121" fillId="2" borderId="1" xfId="0" applyNumberFormat="1" applyFont="1" applyFill="1" applyBorder="1">
      <alignment vertical="center"/>
    </xf>
    <xf numFmtId="193" fontId="5" fillId="0" borderId="1" xfId="0" applyNumberFormat="1" applyFont="1" applyBorder="1" applyAlignment="1">
      <alignment horizontal="center" vertical="center"/>
    </xf>
    <xf numFmtId="0" fontId="32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/>
    </xf>
    <xf numFmtId="211" fontId="5" fillId="0" borderId="1" xfId="0" applyNumberFormat="1" applyFont="1" applyBorder="1" applyAlignment="1">
      <alignment horizontal="right" vertical="center"/>
    </xf>
    <xf numFmtId="176" fontId="16" fillId="0" borderId="1" xfId="0" applyNumberFormat="1" applyFont="1" applyBorder="1">
      <alignment vertical="center"/>
    </xf>
    <xf numFmtId="191" fontId="16" fillId="0" borderId="1" xfId="0" applyNumberFormat="1" applyFont="1" applyBorder="1">
      <alignment vertical="center"/>
    </xf>
    <xf numFmtId="176" fontId="16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 applyAlignment="1">
      <alignment horizontal="right" vertical="center"/>
    </xf>
    <xf numFmtId="211" fontId="16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211" fontId="130" fillId="0" borderId="1" xfId="0" applyNumberFormat="1" applyFont="1" applyBorder="1" applyAlignment="1">
      <alignment horizontal="right" vertical="center"/>
    </xf>
    <xf numFmtId="0" fontId="5" fillId="0" borderId="13" xfId="0" applyFont="1" applyBorder="1" applyAlignment="1">
      <alignment horizontal="center"/>
    </xf>
    <xf numFmtId="56" fontId="16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3" fillId="4" borderId="1" xfId="0" applyFont="1" applyFill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176" fontId="121" fillId="4" borderId="0" xfId="0" applyNumberFormat="1" applyFont="1" applyFill="1" applyAlignment="1">
      <alignment horizontal="center" vertical="center"/>
    </xf>
    <xf numFmtId="177" fontId="6" fillId="4" borderId="1" xfId="0" applyNumberFormat="1" applyFont="1" applyFill="1" applyBorder="1" applyAlignment="1">
      <alignment horizontal="center" vertical="center"/>
    </xf>
    <xf numFmtId="178" fontId="5" fillId="4" borderId="1" xfId="0" applyNumberFormat="1" applyFont="1" applyFill="1" applyBorder="1" applyAlignment="1">
      <alignment horizontal="right" vertical="center"/>
    </xf>
    <xf numFmtId="185" fontId="121" fillId="4" borderId="1" xfId="0" applyNumberFormat="1" applyFont="1" applyFill="1" applyBorder="1" applyAlignment="1">
      <alignment horizontal="right" vertical="center"/>
    </xf>
    <xf numFmtId="182" fontId="6" fillId="4" borderId="1" xfId="0" applyNumberFormat="1" applyFont="1" applyFill="1" applyBorder="1" applyAlignment="1">
      <alignment horizontal="right" vertical="center"/>
    </xf>
    <xf numFmtId="181" fontId="122" fillId="4" borderId="1" xfId="0" applyNumberFormat="1" applyFont="1" applyFill="1" applyBorder="1" applyAlignment="1">
      <alignment horizontal="center" vertical="center"/>
    </xf>
    <xf numFmtId="179" fontId="121" fillId="4" borderId="1" xfId="0" applyNumberFormat="1" applyFont="1" applyFill="1" applyBorder="1" applyAlignment="1">
      <alignment horizontal="center" vertical="center"/>
    </xf>
    <xf numFmtId="56" fontId="147" fillId="0" borderId="1" xfId="0" applyNumberFormat="1" applyFont="1" applyBorder="1" applyAlignment="1">
      <alignment horizontal="center" vertical="center"/>
    </xf>
    <xf numFmtId="191" fontId="15" fillId="0" borderId="1" xfId="0" applyNumberFormat="1" applyFont="1" applyBorder="1" applyAlignment="1">
      <alignment horizontal="right" vertical="center"/>
    </xf>
    <xf numFmtId="0" fontId="131" fillId="0" borderId="1" xfId="0" applyFont="1" applyBorder="1" applyAlignment="1">
      <alignment horizontal="center"/>
    </xf>
    <xf numFmtId="176" fontId="143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wrapText="1"/>
    </xf>
    <xf numFmtId="0" fontId="148" fillId="0" borderId="1" xfId="9" applyFont="1" applyBorder="1" applyAlignment="1">
      <alignment horizontal="center" vertical="center"/>
    </xf>
    <xf numFmtId="212" fontId="148" fillId="0" borderId="1" xfId="9" applyNumberFormat="1" applyFont="1" applyBorder="1" applyAlignment="1">
      <alignment horizontal="center" vertical="center"/>
    </xf>
    <xf numFmtId="0" fontId="148" fillId="0" borderId="1" xfId="9" applyFont="1" applyBorder="1">
      <alignment vertical="center"/>
    </xf>
    <xf numFmtId="213" fontId="148" fillId="0" borderId="1" xfId="6" applyFont="1" applyFill="1" applyBorder="1" applyAlignment="1">
      <alignment horizontal="center" vertical="center" wrapText="1"/>
    </xf>
    <xf numFmtId="195" fontId="36" fillId="8" borderId="1" xfId="0" applyNumberFormat="1" applyFont="1" applyFill="1" applyBorder="1">
      <alignment vertical="center"/>
    </xf>
    <xf numFmtId="213" fontId="133" fillId="0" borderId="1" xfId="0" applyNumberFormat="1" applyFont="1" applyBorder="1" applyAlignment="1">
      <alignment horizontal="center" vertical="center"/>
    </xf>
    <xf numFmtId="0" fontId="149" fillId="0" borderId="0" xfId="0" applyFont="1">
      <alignment vertical="center"/>
    </xf>
    <xf numFmtId="0" fontId="150" fillId="0" borderId="14" xfId="0" applyFont="1" applyBorder="1" applyAlignment="1">
      <alignment horizontal="center" vertical="center" wrapText="1"/>
    </xf>
    <xf numFmtId="0" fontId="150" fillId="0" borderId="15" xfId="0" applyFont="1" applyBorder="1" applyAlignment="1">
      <alignment horizontal="center" vertical="center" wrapText="1"/>
    </xf>
    <xf numFmtId="0" fontId="150" fillId="0" borderId="10" xfId="0" applyFont="1" applyBorder="1" applyAlignment="1">
      <alignment horizontal="center" vertical="center" wrapText="1"/>
    </xf>
    <xf numFmtId="0" fontId="150" fillId="0" borderId="9" xfId="0" applyFont="1" applyBorder="1" applyAlignment="1">
      <alignment horizontal="right" vertical="center"/>
    </xf>
    <xf numFmtId="0" fontId="150" fillId="0" borderId="10" xfId="0" applyFont="1" applyBorder="1">
      <alignment vertical="center"/>
    </xf>
    <xf numFmtId="0" fontId="150" fillId="0" borderId="10" xfId="0" applyFont="1" applyBorder="1" applyAlignment="1">
      <alignment horizontal="center" vertical="center"/>
    </xf>
    <xf numFmtId="210" fontId="139" fillId="9" borderId="10" xfId="0" applyNumberFormat="1" applyFont="1" applyFill="1" applyBorder="1" applyAlignment="1">
      <alignment horizontal="right" vertical="center"/>
    </xf>
    <xf numFmtId="214" fontId="133" fillId="0" borderId="1" xfId="0" applyNumberFormat="1" applyFont="1" applyBorder="1" applyAlignment="1">
      <alignment horizontal="center" vertical="center"/>
    </xf>
    <xf numFmtId="0" fontId="3" fillId="4" borderId="0" xfId="0" applyFont="1" applyFill="1">
      <alignment vertical="center"/>
    </xf>
    <xf numFmtId="49" fontId="5" fillId="10" borderId="1" xfId="0" applyNumberFormat="1" applyFont="1" applyFill="1" applyBorder="1" applyAlignment="1">
      <alignment horizontal="left" vertical="center"/>
    </xf>
    <xf numFmtId="0" fontId="5" fillId="10" borderId="1" xfId="0" applyFont="1" applyFill="1" applyBorder="1">
      <alignment vertical="center"/>
    </xf>
    <xf numFmtId="0" fontId="125" fillId="10" borderId="1" xfId="0" applyFont="1" applyFill="1" applyBorder="1" applyAlignment="1">
      <alignment horizontal="center" vertical="center"/>
    </xf>
    <xf numFmtId="176" fontId="5" fillId="10" borderId="1" xfId="0" applyNumberFormat="1" applyFont="1" applyFill="1" applyBorder="1" applyAlignment="1">
      <alignment horizontal="center" vertical="center"/>
    </xf>
    <xf numFmtId="193" fontId="5" fillId="10" borderId="1" xfId="0" applyNumberFormat="1" applyFont="1" applyFill="1" applyBorder="1">
      <alignment vertical="center"/>
    </xf>
    <xf numFmtId="185" fontId="5" fillId="10" borderId="1" xfId="0" applyNumberFormat="1" applyFont="1" applyFill="1" applyBorder="1" applyAlignment="1">
      <alignment horizontal="right" vertical="center"/>
    </xf>
    <xf numFmtId="194" fontId="5" fillId="10" borderId="1" xfId="0" applyNumberFormat="1" applyFont="1" applyFill="1" applyBorder="1">
      <alignment vertical="center"/>
    </xf>
    <xf numFmtId="192" fontId="11" fillId="10" borderId="1" xfId="0" applyNumberFormat="1" applyFont="1" applyFill="1" applyBorder="1" applyAlignment="1">
      <alignment horizontal="center" vertical="center"/>
    </xf>
    <xf numFmtId="179" fontId="4" fillId="10" borderId="1" xfId="0" applyNumberFormat="1" applyFont="1" applyFill="1" applyBorder="1" applyAlignment="1">
      <alignment horizontal="center" vertical="center" wrapText="1"/>
    </xf>
    <xf numFmtId="179" fontId="140" fillId="10" borderId="1" xfId="0" applyNumberFormat="1" applyFont="1" applyFill="1" applyBorder="1" applyAlignment="1">
      <alignment horizontal="center" vertical="center" wrapText="1"/>
    </xf>
    <xf numFmtId="0" fontId="5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>
      <alignment vertical="center"/>
    </xf>
    <xf numFmtId="191" fontId="5" fillId="10" borderId="1" xfId="0" applyNumberFormat="1" applyFont="1" applyFill="1" applyBorder="1">
      <alignment vertical="center"/>
    </xf>
    <xf numFmtId="215" fontId="5" fillId="10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180" fontId="130" fillId="0" borderId="1" xfId="0" applyNumberFormat="1" applyFont="1" applyBorder="1" applyAlignment="1">
      <alignment horizontal="right" vertical="center"/>
    </xf>
    <xf numFmtId="216" fontId="5" fillId="0" borderId="1" xfId="0" applyNumberFormat="1" applyFont="1" applyBorder="1" applyAlignment="1">
      <alignment horizontal="right" vertical="center"/>
    </xf>
    <xf numFmtId="198" fontId="5" fillId="0" borderId="1" xfId="0" applyNumberFormat="1" applyFont="1" applyBorder="1">
      <alignment vertical="center"/>
    </xf>
    <xf numFmtId="0" fontId="5" fillId="10" borderId="0" xfId="0" applyFont="1" applyFill="1" applyAlignment="1">
      <alignment horizontal="right" vertical="center"/>
    </xf>
    <xf numFmtId="0" fontId="3" fillId="10" borderId="0" xfId="0" applyFont="1" applyFill="1" applyAlignment="1">
      <alignment horizontal="right" vertical="center"/>
    </xf>
    <xf numFmtId="0" fontId="24" fillId="0" borderId="1" xfId="0" applyFont="1" applyBorder="1" applyAlignment="1">
      <alignment horizontal="center"/>
    </xf>
    <xf numFmtId="0" fontId="151" fillId="0" borderId="1" xfId="0" applyFont="1" applyBorder="1" applyAlignment="1">
      <alignment horizontal="center"/>
    </xf>
    <xf numFmtId="0" fontId="120" fillId="0" borderId="11" xfId="0" applyFont="1" applyBorder="1">
      <alignment vertical="center"/>
    </xf>
    <xf numFmtId="194" fontId="120" fillId="0" borderId="1" xfId="0" applyNumberFormat="1" applyFont="1" applyBorder="1">
      <alignment vertical="center"/>
    </xf>
    <xf numFmtId="179" fontId="136" fillId="0" borderId="1" xfId="0" quotePrefix="1" applyNumberFormat="1" applyFont="1" applyBorder="1" applyAlignment="1">
      <alignment horizontal="center" vertical="center"/>
    </xf>
    <xf numFmtId="191" fontId="5" fillId="4" borderId="1" xfId="0" applyNumberFormat="1" applyFont="1" applyFill="1" applyBorder="1">
      <alignment vertical="center"/>
    </xf>
    <xf numFmtId="191" fontId="5" fillId="10" borderId="1" xfId="0" applyNumberFormat="1" applyFont="1" applyFill="1" applyBorder="1" applyAlignment="1">
      <alignment horizontal="right" vertical="center"/>
    </xf>
    <xf numFmtId="49" fontId="5" fillId="11" borderId="1" xfId="0" applyNumberFormat="1" applyFont="1" applyFill="1" applyBorder="1" applyAlignment="1">
      <alignment horizontal="left" vertical="center"/>
    </xf>
    <xf numFmtId="0" fontId="5" fillId="11" borderId="1" xfId="0" applyFont="1" applyFill="1" applyBorder="1">
      <alignment vertical="center"/>
    </xf>
    <xf numFmtId="0" fontId="5" fillId="11" borderId="1" xfId="0" applyFont="1" applyFill="1" applyBorder="1" applyAlignment="1">
      <alignment horizontal="left" vertical="center"/>
    </xf>
    <xf numFmtId="188" fontId="5" fillId="11" borderId="1" xfId="0" applyNumberFormat="1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/>
    </xf>
    <xf numFmtId="185" fontId="5" fillId="11" borderId="1" xfId="0" applyNumberFormat="1" applyFont="1" applyFill="1" applyBorder="1" applyAlignment="1">
      <alignment horizontal="right" vertical="center"/>
    </xf>
    <xf numFmtId="178" fontId="121" fillId="11" borderId="1" xfId="0" applyNumberFormat="1" applyFont="1" applyFill="1" applyBorder="1" applyAlignment="1">
      <alignment horizontal="right" vertical="center"/>
    </xf>
    <xf numFmtId="180" fontId="121" fillId="11" borderId="1" xfId="0" applyNumberFormat="1" applyFont="1" applyFill="1" applyBorder="1" applyAlignment="1">
      <alignment horizontal="right" vertical="center"/>
    </xf>
    <xf numFmtId="191" fontId="121" fillId="11" borderId="1" xfId="0" applyNumberFormat="1" applyFont="1" applyFill="1" applyBorder="1">
      <alignment vertical="center"/>
    </xf>
    <xf numFmtId="192" fontId="11" fillId="11" borderId="1" xfId="0" applyNumberFormat="1" applyFont="1" applyFill="1" applyBorder="1" applyAlignment="1">
      <alignment horizontal="center" vertical="center"/>
    </xf>
    <xf numFmtId="179" fontId="140" fillId="11" borderId="1" xfId="0" applyNumberFormat="1" applyFont="1" applyFill="1" applyBorder="1" applyAlignment="1">
      <alignment horizontal="center" vertical="center" wrapText="1"/>
    </xf>
    <xf numFmtId="0" fontId="5" fillId="11" borderId="0" xfId="0" applyFont="1" applyFill="1">
      <alignment vertical="center"/>
    </xf>
    <xf numFmtId="0" fontId="150" fillId="0" borderId="1" xfId="0" applyFont="1" applyBorder="1" applyAlignment="1">
      <alignment horizontal="center" vertical="center"/>
    </xf>
    <xf numFmtId="0" fontId="150" fillId="0" borderId="1" xfId="0" applyFont="1" applyBorder="1" applyAlignment="1">
      <alignment horizontal="right" vertical="center"/>
    </xf>
    <xf numFmtId="210" fontId="139" fillId="0" borderId="1" xfId="0" applyNumberFormat="1" applyFont="1" applyBorder="1" applyAlignment="1">
      <alignment horizontal="right" vertical="center"/>
    </xf>
    <xf numFmtId="0" fontId="17" fillId="0" borderId="0" xfId="0" applyFont="1">
      <alignment vertical="center"/>
    </xf>
    <xf numFmtId="0" fontId="4" fillId="0" borderId="1" xfId="0" applyFont="1" applyBorder="1" applyAlignment="1">
      <alignment horizontal="right" vertical="center"/>
    </xf>
    <xf numFmtId="179" fontId="37" fillId="11" borderId="1" xfId="0" applyNumberFormat="1" applyFont="1" applyFill="1" applyBorder="1" applyAlignment="1">
      <alignment horizontal="center" vertical="center"/>
    </xf>
    <xf numFmtId="3" fontId="5" fillId="10" borderId="0" xfId="0" applyNumberFormat="1" applyFont="1" applyFill="1" applyAlignment="1">
      <alignment horizontal="right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13" borderId="1" xfId="0" applyNumberFormat="1" applyFont="1" applyFill="1" applyBorder="1" applyAlignment="1">
      <alignment horizontal="center" vertical="center"/>
    </xf>
    <xf numFmtId="176" fontId="5" fillId="14" borderId="1" xfId="0" applyNumberFormat="1" applyFont="1" applyFill="1" applyBorder="1" applyAlignment="1">
      <alignment horizontal="center" vertical="center"/>
    </xf>
    <xf numFmtId="191" fontId="123" fillId="0" borderId="1" xfId="0" applyNumberFormat="1" applyFont="1" applyBorder="1">
      <alignment vertical="center"/>
    </xf>
    <xf numFmtId="0" fontId="5" fillId="4" borderId="1" xfId="0" applyFont="1" applyFill="1" applyBorder="1">
      <alignment vertical="center"/>
    </xf>
    <xf numFmtId="176" fontId="4" fillId="4" borderId="1" xfId="0" applyNumberFormat="1" applyFont="1" applyFill="1" applyBorder="1" applyAlignment="1">
      <alignment horizontal="center" vertical="center"/>
    </xf>
    <xf numFmtId="211" fontId="5" fillId="4" borderId="1" xfId="0" applyNumberFormat="1" applyFont="1" applyFill="1" applyBorder="1" applyAlignment="1">
      <alignment horizontal="right" vertical="center"/>
    </xf>
    <xf numFmtId="0" fontId="5" fillId="4" borderId="0" xfId="0" applyFont="1" applyFill="1">
      <alignment vertical="center"/>
    </xf>
    <xf numFmtId="189" fontId="5" fillId="4" borderId="1" xfId="0" applyNumberFormat="1" applyFont="1" applyFill="1" applyBorder="1" applyAlignment="1"/>
    <xf numFmtId="185" fontId="5" fillId="4" borderId="1" xfId="0" applyNumberFormat="1" applyFont="1" applyFill="1" applyBorder="1" applyAlignment="1">
      <alignment horizontal="right" vertical="center"/>
    </xf>
    <xf numFmtId="180" fontId="5" fillId="4" borderId="1" xfId="0" applyNumberFormat="1" applyFont="1" applyFill="1" applyBorder="1" applyAlignment="1">
      <alignment horizontal="right" vertical="center"/>
    </xf>
    <xf numFmtId="219" fontId="5" fillId="0" borderId="1" xfId="0" applyNumberFormat="1" applyFont="1" applyBorder="1" applyAlignment="1">
      <alignment horizontal="center"/>
    </xf>
    <xf numFmtId="49" fontId="38" fillId="0" borderId="1" xfId="0" applyNumberFormat="1" applyFont="1" applyBorder="1" applyAlignment="1">
      <alignment horizontal="center"/>
    </xf>
    <xf numFmtId="220" fontId="5" fillId="0" borderId="1" xfId="0" applyNumberFormat="1" applyFont="1" applyBorder="1" applyAlignment="1"/>
    <xf numFmtId="0" fontId="152" fillId="15" borderId="16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221" fontId="19" fillId="0" borderId="1" xfId="0" applyNumberFormat="1" applyFont="1" applyBorder="1" applyAlignment="1">
      <alignment horizontal="center" vertical="center" shrinkToFit="1"/>
    </xf>
    <xf numFmtId="49" fontId="41" fillId="0" borderId="1" xfId="0" applyNumberFormat="1" applyFont="1" applyBorder="1" applyAlignment="1">
      <alignment horizontal="center" vertical="center" shrinkToFit="1"/>
    </xf>
    <xf numFmtId="221" fontId="39" fillId="0" borderId="1" xfId="0" applyNumberFormat="1" applyFont="1" applyBorder="1" applyAlignment="1">
      <alignment horizontal="center" shrinkToFit="1"/>
    </xf>
    <xf numFmtId="176" fontId="42" fillId="0" borderId="1" xfId="0" applyNumberFormat="1" applyFont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179" fontId="37" fillId="0" borderId="1" xfId="0" applyNumberFormat="1" applyFont="1" applyBorder="1" applyAlignment="1">
      <alignment horizontal="center" vertical="center"/>
    </xf>
    <xf numFmtId="0" fontId="153" fillId="0" borderId="1" xfId="0" applyFont="1" applyBorder="1" applyAlignment="1">
      <alignment horizontal="center" vertical="center"/>
    </xf>
    <xf numFmtId="179" fontId="154" fillId="5" borderId="1" xfId="0" applyNumberFormat="1" applyFont="1" applyFill="1" applyBorder="1" applyAlignment="1">
      <alignment horizontal="center" vertical="center" wrapText="1"/>
    </xf>
    <xf numFmtId="197" fontId="130" fillId="0" borderId="1" xfId="0" applyNumberFormat="1" applyFont="1" applyBorder="1" applyAlignment="1">
      <alignment horizontal="center" vertical="center"/>
    </xf>
    <xf numFmtId="0" fontId="5" fillId="10" borderId="0" xfId="0" applyFont="1" applyFill="1">
      <alignment vertical="center"/>
    </xf>
    <xf numFmtId="188" fontId="5" fillId="0" borderId="0" xfId="0" applyNumberFormat="1" applyFont="1" applyAlignment="1">
      <alignment horizontal="center"/>
    </xf>
    <xf numFmtId="0" fontId="130" fillId="0" borderId="1" xfId="0" applyFont="1" applyBorder="1" applyAlignment="1">
      <alignment horizontal="left" vertical="center"/>
    </xf>
    <xf numFmtId="0" fontId="155" fillId="11" borderId="1" xfId="0" applyFont="1" applyFill="1" applyBorder="1" applyAlignment="1">
      <alignment horizontal="center" vertical="center"/>
    </xf>
    <xf numFmtId="217" fontId="43" fillId="11" borderId="1" xfId="0" applyNumberFormat="1" applyFont="1" applyFill="1" applyBorder="1" applyAlignment="1">
      <alignment horizontal="center" wrapText="1"/>
    </xf>
    <xf numFmtId="0" fontId="155" fillId="11" borderId="1" xfId="0" applyFont="1" applyFill="1" applyBorder="1" applyAlignment="1">
      <alignment horizontal="center" vertical="center" wrapText="1"/>
    </xf>
    <xf numFmtId="212" fontId="155" fillId="11" borderId="1" xfId="0" applyNumberFormat="1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37" fillId="11" borderId="1" xfId="0" applyFont="1" applyFill="1" applyBorder="1" applyAlignment="1">
      <alignment horizontal="center" vertical="center"/>
    </xf>
    <xf numFmtId="178" fontId="5" fillId="0" borderId="13" xfId="0" applyNumberFormat="1" applyFont="1" applyBorder="1" applyAlignment="1">
      <alignment horizontal="center" vertical="center"/>
    </xf>
    <xf numFmtId="0" fontId="4" fillId="0" borderId="0" xfId="0" applyFont="1" applyAlignment="1">
      <alignment horizontal="justify" vertical="center"/>
    </xf>
    <xf numFmtId="0" fontId="45" fillId="0" borderId="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 wrapText="1"/>
    </xf>
    <xf numFmtId="0" fontId="44" fillId="0" borderId="9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6" fontId="44" fillId="0" borderId="10" xfId="0" applyNumberFormat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92" fontId="144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>
      <alignment vertical="center"/>
    </xf>
    <xf numFmtId="185" fontId="16" fillId="0" borderId="1" xfId="0" applyNumberFormat="1" applyFont="1" applyBorder="1">
      <alignment vertical="center"/>
    </xf>
    <xf numFmtId="0" fontId="148" fillId="0" borderId="0" xfId="9" applyFont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191" fontId="16" fillId="0" borderId="0" xfId="0" applyNumberFormat="1" applyFont="1">
      <alignment vertical="center"/>
    </xf>
    <xf numFmtId="184" fontId="16" fillId="0" borderId="1" xfId="0" applyNumberFormat="1" applyFont="1" applyBorder="1">
      <alignment vertical="center"/>
    </xf>
    <xf numFmtId="0" fontId="1" fillId="0" borderId="0" xfId="0" applyFont="1">
      <alignment vertical="center"/>
    </xf>
    <xf numFmtId="0" fontId="18" fillId="0" borderId="0" xfId="0" applyFont="1" applyAlignment="1">
      <alignment horizontal="left" vertical="center" shrinkToFit="1"/>
    </xf>
    <xf numFmtId="0" fontId="13" fillId="0" borderId="1" xfId="0" applyFont="1" applyBorder="1" applyAlignment="1">
      <alignment horizontal="center" vertical="center"/>
    </xf>
    <xf numFmtId="202" fontId="13" fillId="0" borderId="1" xfId="0" applyNumberFormat="1" applyFont="1" applyBorder="1" applyAlignment="1">
      <alignment horizontal="center" vertical="center"/>
    </xf>
    <xf numFmtId="203" fontId="13" fillId="0" borderId="1" xfId="0" applyNumberFormat="1" applyFont="1" applyBorder="1" applyAlignment="1">
      <alignment horizontal="center" vertical="center"/>
    </xf>
    <xf numFmtId="178" fontId="5" fillId="10" borderId="1" xfId="0" applyNumberFormat="1" applyFont="1" applyFill="1" applyBorder="1" applyAlignment="1">
      <alignment horizontal="right" vertical="center"/>
    </xf>
    <xf numFmtId="191" fontId="5" fillId="0" borderId="12" xfId="0" applyNumberFormat="1" applyFont="1" applyBorder="1" applyAlignment="1">
      <alignment horizontal="center" vertical="center"/>
    </xf>
    <xf numFmtId="176" fontId="43" fillId="0" borderId="1" xfId="0" applyNumberFormat="1" applyFont="1" applyBorder="1" applyAlignment="1">
      <alignment horizontal="center" vertical="center"/>
    </xf>
    <xf numFmtId="0" fontId="43" fillId="0" borderId="1" xfId="0" applyFont="1" applyBorder="1" applyAlignment="1">
      <alignment horizontal="center"/>
    </xf>
    <xf numFmtId="191" fontId="5" fillId="0" borderId="13" xfId="0" applyNumberFormat="1" applyFont="1" applyBorder="1" applyAlignment="1">
      <alignment horizontal="center" vertical="center"/>
    </xf>
    <xf numFmtId="0" fontId="156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179" fontId="37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191" fontId="123" fillId="0" borderId="1" xfId="0" applyNumberFormat="1" applyFont="1" applyBorder="1" applyAlignment="1">
      <alignment horizontal="center" vertical="center"/>
    </xf>
    <xf numFmtId="3" fontId="8" fillId="10" borderId="0" xfId="0" applyNumberFormat="1" applyFont="1" applyFill="1" applyAlignment="1">
      <alignment horizontal="right" vertical="center"/>
    </xf>
    <xf numFmtId="0" fontId="157" fillId="0" borderId="1" xfId="0" applyFont="1" applyBorder="1" applyAlignment="1">
      <alignment horizontal="center"/>
    </xf>
    <xf numFmtId="0" fontId="46" fillId="0" borderId="0" xfId="0" applyFont="1">
      <alignment vertical="center"/>
    </xf>
    <xf numFmtId="0" fontId="46" fillId="0" borderId="1" xfId="0" applyFont="1" applyBorder="1" applyAlignment="1">
      <alignment horizontal="center" vertical="center"/>
    </xf>
    <xf numFmtId="0" fontId="158" fillId="0" borderId="1" xfId="0" applyFont="1" applyBorder="1" applyAlignment="1">
      <alignment horizontal="center" vertical="center"/>
    </xf>
    <xf numFmtId="222" fontId="16" fillId="0" borderId="1" xfId="0" applyNumberFormat="1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/>
    </xf>
    <xf numFmtId="192" fontId="11" fillId="2" borderId="1" xfId="0" applyNumberFormat="1" applyFont="1" applyFill="1" applyBorder="1" applyAlignment="1">
      <alignment horizontal="center" vertical="center"/>
    </xf>
    <xf numFmtId="179" fontId="140" fillId="2" borderId="1" xfId="0" applyNumberFormat="1" applyFont="1" applyFill="1" applyBorder="1" applyAlignment="1">
      <alignment horizontal="center" vertical="center" wrapText="1"/>
    </xf>
    <xf numFmtId="179" fontId="37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217" fontId="38" fillId="11" borderId="1" xfId="0" applyNumberFormat="1" applyFont="1" applyFill="1" applyBorder="1" applyAlignment="1">
      <alignment horizontal="center" wrapText="1"/>
    </xf>
    <xf numFmtId="223" fontId="38" fillId="11" borderId="1" xfId="0" applyNumberFormat="1" applyFont="1" applyFill="1" applyBorder="1" applyAlignment="1">
      <alignment horizontal="center" wrapText="1"/>
    </xf>
    <xf numFmtId="195" fontId="36" fillId="0" borderId="1" xfId="0" applyNumberFormat="1" applyFont="1" applyBorder="1">
      <alignment vertical="center"/>
    </xf>
    <xf numFmtId="186" fontId="121" fillId="0" borderId="0" xfId="0" applyNumberFormat="1" applyFont="1">
      <alignment vertical="center"/>
    </xf>
    <xf numFmtId="49" fontId="5" fillId="4" borderId="0" xfId="0" applyNumberFormat="1" applyFont="1" applyFill="1" applyAlignment="1">
      <alignment horizontal="left" vertical="center"/>
    </xf>
    <xf numFmtId="49" fontId="5" fillId="11" borderId="0" xfId="0" applyNumberFormat="1" applyFont="1" applyFill="1" applyAlignment="1">
      <alignment horizontal="left" vertical="center"/>
    </xf>
    <xf numFmtId="186" fontId="121" fillId="0" borderId="0" xfId="0" applyNumberFormat="1" applyFont="1" applyAlignment="1">
      <alignment horizontal="center" vertical="center"/>
    </xf>
    <xf numFmtId="215" fontId="19" fillId="11" borderId="1" xfId="0" applyNumberFormat="1" applyFont="1" applyFill="1" applyBorder="1" applyAlignment="1">
      <alignment horizontal="center" vertical="center"/>
    </xf>
    <xf numFmtId="215" fontId="19" fillId="8" borderId="1" xfId="0" applyNumberFormat="1" applyFont="1" applyFill="1" applyBorder="1" applyAlignment="1">
      <alignment horizontal="center" vertical="center"/>
    </xf>
    <xf numFmtId="221" fontId="39" fillId="0" borderId="1" xfId="0" applyNumberFormat="1" applyFont="1" applyBorder="1" applyAlignment="1">
      <alignment horizontal="center" vertical="center" shrinkToFit="1"/>
    </xf>
    <xf numFmtId="192" fontId="3" fillId="0" borderId="1" xfId="0" applyNumberFormat="1" applyFont="1" applyBorder="1" applyAlignment="1">
      <alignment horizontal="center" vertical="center"/>
    </xf>
    <xf numFmtId="188" fontId="38" fillId="10" borderId="1" xfId="0" applyNumberFormat="1" applyFont="1" applyFill="1" applyBorder="1" applyAlignment="1">
      <alignment horizontal="center"/>
    </xf>
    <xf numFmtId="217" fontId="38" fillId="10" borderId="1" xfId="0" applyNumberFormat="1" applyFont="1" applyFill="1" applyBorder="1" applyAlignment="1">
      <alignment horizontal="center"/>
    </xf>
    <xf numFmtId="217" fontId="38" fillId="10" borderId="1" xfId="0" applyNumberFormat="1" applyFont="1" applyFill="1" applyBorder="1" applyAlignment="1">
      <alignment horizontal="center" wrapText="1"/>
    </xf>
    <xf numFmtId="0" fontId="43" fillId="10" borderId="1" xfId="0" applyFont="1" applyFill="1" applyBorder="1" applyAlignment="1">
      <alignment horizontal="center"/>
    </xf>
    <xf numFmtId="178" fontId="5" fillId="0" borderId="1" xfId="0" applyNumberFormat="1" applyFont="1" applyBorder="1" applyAlignment="1"/>
    <xf numFmtId="0" fontId="137" fillId="10" borderId="1" xfId="0" applyFont="1" applyFill="1" applyBorder="1" applyAlignment="1">
      <alignment horizontal="center" vertical="center"/>
    </xf>
    <xf numFmtId="0" fontId="159" fillId="4" borderId="1" xfId="0" applyFont="1" applyFill="1" applyBorder="1" applyAlignment="1">
      <alignment horizontal="left" vertical="center"/>
    </xf>
    <xf numFmtId="49" fontId="38" fillId="11" borderId="1" xfId="0" applyNumberFormat="1" applyFont="1" applyFill="1" applyBorder="1" applyAlignment="1">
      <alignment horizontal="center"/>
    </xf>
    <xf numFmtId="179" fontId="154" fillId="0" borderId="1" xfId="0" applyNumberFormat="1" applyFont="1" applyBorder="1" applyAlignment="1">
      <alignment horizontal="center" vertical="center" wrapText="1"/>
    </xf>
    <xf numFmtId="178" fontId="123" fillId="0" borderId="1" xfId="0" applyNumberFormat="1" applyFont="1" applyBorder="1" applyAlignment="1">
      <alignment horizontal="right" vertical="center"/>
    </xf>
    <xf numFmtId="178" fontId="5" fillId="0" borderId="0" xfId="0" applyNumberFormat="1" applyFont="1" applyAlignment="1">
      <alignment horizontal="right" vertical="center"/>
    </xf>
    <xf numFmtId="180" fontId="5" fillId="0" borderId="0" xfId="0" applyNumberFormat="1" applyFont="1" applyAlignment="1">
      <alignment horizontal="right" vertical="center"/>
    </xf>
    <xf numFmtId="192" fontId="11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 wrapText="1"/>
    </xf>
    <xf numFmtId="179" fontId="140" fillId="0" borderId="0" xfId="0" applyNumberFormat="1" applyFont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center" vertical="center"/>
    </xf>
    <xf numFmtId="176" fontId="15" fillId="4" borderId="0" xfId="0" applyNumberFormat="1" applyFont="1" applyFill="1" applyAlignment="1">
      <alignment horizontal="center" vertical="center"/>
    </xf>
    <xf numFmtId="177" fontId="15" fillId="4" borderId="0" xfId="0" applyNumberFormat="1" applyFont="1" applyFill="1" applyAlignment="1">
      <alignment horizontal="center" vertical="center"/>
    </xf>
    <xf numFmtId="178" fontId="15" fillId="4" borderId="0" xfId="0" applyNumberFormat="1" applyFont="1" applyFill="1" applyAlignment="1">
      <alignment horizontal="right" vertical="center"/>
    </xf>
    <xf numFmtId="185" fontId="15" fillId="4" borderId="0" xfId="0" applyNumberFormat="1" applyFont="1" applyFill="1" applyAlignment="1">
      <alignment horizontal="right" vertical="center"/>
    </xf>
    <xf numFmtId="181" fontId="15" fillId="4" borderId="0" xfId="0" applyNumberFormat="1" applyFont="1" applyFill="1" applyAlignment="1">
      <alignment horizontal="center" vertical="center"/>
    </xf>
    <xf numFmtId="179" fontId="15" fillId="4" borderId="0" xfId="0" applyNumberFormat="1" applyFont="1" applyFill="1" applyAlignment="1">
      <alignment horizontal="center" vertical="center"/>
    </xf>
    <xf numFmtId="0" fontId="24" fillId="4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23" fillId="16" borderId="21" xfId="0" applyFont="1" applyFill="1" applyBorder="1">
      <alignment vertical="center"/>
    </xf>
    <xf numFmtId="40" fontId="23" fillId="16" borderId="21" xfId="2" applyNumberFormat="1" applyFont="1" applyFill="1" applyBorder="1" applyAlignment="1">
      <alignment horizontal="center" vertical="center"/>
    </xf>
    <xf numFmtId="40" fontId="23" fillId="16" borderId="22" xfId="2" applyNumberFormat="1" applyFont="1" applyFill="1" applyBorder="1" applyAlignment="1">
      <alignment horizontal="center" vertical="center"/>
    </xf>
    <xf numFmtId="0" fontId="23" fillId="16" borderId="23" xfId="0" applyFont="1" applyFill="1" applyBorder="1" applyAlignment="1">
      <alignment horizontal="center" vertical="center"/>
    </xf>
    <xf numFmtId="0" fontId="23" fillId="16" borderId="1" xfId="0" applyFont="1" applyFill="1" applyBorder="1">
      <alignment vertical="center"/>
    </xf>
    <xf numFmtId="40" fontId="23" fillId="16" borderId="1" xfId="2" applyNumberFormat="1" applyFont="1" applyFill="1" applyBorder="1" applyAlignment="1">
      <alignment horizontal="center" vertical="center"/>
    </xf>
    <xf numFmtId="40" fontId="23" fillId="16" borderId="24" xfId="2" applyNumberFormat="1" applyFont="1" applyFill="1" applyBorder="1" applyAlignment="1">
      <alignment horizontal="center" vertical="center"/>
    </xf>
    <xf numFmtId="0" fontId="23" fillId="16" borderId="25" xfId="0" applyFont="1" applyFill="1" applyBorder="1" applyAlignment="1">
      <alignment horizontal="center" vertical="center"/>
    </xf>
    <xf numFmtId="186" fontId="121" fillId="0" borderId="12" xfId="0" applyNumberFormat="1" applyFont="1" applyBorder="1">
      <alignment vertical="center"/>
    </xf>
    <xf numFmtId="191" fontId="121" fillId="0" borderId="12" xfId="0" applyNumberFormat="1" applyFont="1" applyBorder="1">
      <alignment vertical="center"/>
    </xf>
    <xf numFmtId="191" fontId="5" fillId="0" borderId="12" xfId="0" applyNumberFormat="1" applyFont="1" applyBorder="1">
      <alignment vertical="center"/>
    </xf>
    <xf numFmtId="191" fontId="5" fillId="5" borderId="12" xfId="0" applyNumberFormat="1" applyFont="1" applyFill="1" applyBorder="1">
      <alignment vertical="center"/>
    </xf>
    <xf numFmtId="191" fontId="121" fillId="10" borderId="12" xfId="0" applyNumberFormat="1" applyFont="1" applyFill="1" applyBorder="1">
      <alignment vertical="center"/>
    </xf>
    <xf numFmtId="191" fontId="5" fillId="4" borderId="12" xfId="0" applyNumberFormat="1" applyFont="1" applyFill="1" applyBorder="1">
      <alignment vertical="center"/>
    </xf>
    <xf numFmtId="186" fontId="121" fillId="2" borderId="12" xfId="0" applyNumberFormat="1" applyFont="1" applyFill="1" applyBorder="1">
      <alignment vertical="center"/>
    </xf>
    <xf numFmtId="0" fontId="3" fillId="0" borderId="26" xfId="0" applyFont="1" applyBorder="1">
      <alignment vertical="center"/>
    </xf>
    <xf numFmtId="0" fontId="5" fillId="0" borderId="26" xfId="0" applyFont="1" applyBorder="1">
      <alignment vertical="center"/>
    </xf>
    <xf numFmtId="0" fontId="130" fillId="0" borderId="26" xfId="0" applyFont="1" applyBorder="1">
      <alignment vertical="center"/>
    </xf>
    <xf numFmtId="0" fontId="5" fillId="2" borderId="26" xfId="0" applyFont="1" applyFill="1" applyBorder="1">
      <alignment vertical="center"/>
    </xf>
    <xf numFmtId="0" fontId="120" fillId="0" borderId="26" xfId="0" applyFont="1" applyBorder="1">
      <alignment vertical="center"/>
    </xf>
    <xf numFmtId="0" fontId="5" fillId="5" borderId="26" xfId="0" applyFont="1" applyFill="1" applyBorder="1">
      <alignment vertical="center"/>
    </xf>
    <xf numFmtId="0" fontId="5" fillId="0" borderId="26" xfId="0" applyFont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11" borderId="26" xfId="0" applyFont="1" applyFill="1" applyBorder="1">
      <alignment vertical="center"/>
    </xf>
    <xf numFmtId="0" fontId="5" fillId="4" borderId="26" xfId="0" applyFont="1" applyFill="1" applyBorder="1">
      <alignment vertical="center"/>
    </xf>
    <xf numFmtId="0" fontId="3" fillId="0" borderId="27" xfId="0" applyFont="1" applyBorder="1">
      <alignment vertical="center"/>
    </xf>
    <xf numFmtId="186" fontId="121" fillId="0" borderId="28" xfId="0" applyNumberFormat="1" applyFont="1" applyBorder="1">
      <alignment vertical="center"/>
    </xf>
    <xf numFmtId="186" fontId="5" fillId="0" borderId="28" xfId="0" applyNumberFormat="1" applyFont="1" applyBorder="1">
      <alignment vertical="center"/>
    </xf>
    <xf numFmtId="191" fontId="121" fillId="0" borderId="28" xfId="0" applyNumberFormat="1" applyFont="1" applyBorder="1">
      <alignment vertical="center"/>
    </xf>
    <xf numFmtId="186" fontId="130" fillId="0" borderId="28" xfId="0" applyNumberFormat="1" applyFont="1" applyBorder="1">
      <alignment vertical="center"/>
    </xf>
    <xf numFmtId="186" fontId="120" fillId="0" borderId="28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5" fillId="0" borderId="28" xfId="0" applyFont="1" applyBorder="1">
      <alignment vertical="center"/>
    </xf>
    <xf numFmtId="191" fontId="5" fillId="0" borderId="28" xfId="0" applyNumberFormat="1" applyFont="1" applyBorder="1">
      <alignment vertical="center"/>
    </xf>
    <xf numFmtId="0" fontId="15" fillId="0" borderId="27" xfId="0" applyFont="1" applyBorder="1">
      <alignment vertical="center"/>
    </xf>
    <xf numFmtId="186" fontId="121" fillId="5" borderId="28" xfId="0" applyNumberFormat="1" applyFont="1" applyFill="1" applyBorder="1">
      <alignment vertical="center"/>
    </xf>
    <xf numFmtId="186" fontId="121" fillId="0" borderId="27" xfId="0" applyNumberFormat="1" applyFont="1" applyBorder="1">
      <alignment vertical="center"/>
    </xf>
    <xf numFmtId="186" fontId="5" fillId="0" borderId="27" xfId="0" applyNumberFormat="1" applyFont="1" applyBorder="1">
      <alignment vertical="center"/>
    </xf>
    <xf numFmtId="0" fontId="5" fillId="0" borderId="28" xfId="0" applyFont="1" applyBorder="1" applyAlignment="1">
      <alignment horizontal="right" vertical="center"/>
    </xf>
    <xf numFmtId="7" fontId="15" fillId="0" borderId="28" xfId="0" applyNumberFormat="1" applyFont="1" applyBorder="1">
      <alignment vertical="center"/>
    </xf>
    <xf numFmtId="0" fontId="160" fillId="17" borderId="27" xfId="0" applyFont="1" applyFill="1" applyBorder="1" applyAlignment="1">
      <alignment horizontal="center" vertical="center"/>
    </xf>
    <xf numFmtId="191" fontId="121" fillId="10" borderId="28" xfId="0" applyNumberFormat="1" applyFont="1" applyFill="1" applyBorder="1">
      <alignment vertical="center"/>
    </xf>
    <xf numFmtId="186" fontId="121" fillId="0" borderId="28" xfId="0" applyNumberFormat="1" applyFont="1" applyBorder="1" applyAlignment="1">
      <alignment horizontal="right" vertical="center"/>
    </xf>
    <xf numFmtId="0" fontId="4" fillId="0" borderId="28" xfId="0" applyFont="1" applyBorder="1" applyAlignment="1">
      <alignment horizontal="right" vertical="center"/>
    </xf>
    <xf numFmtId="186" fontId="5" fillId="11" borderId="27" xfId="0" applyNumberFormat="1" applyFont="1" applyFill="1" applyBorder="1">
      <alignment vertical="center"/>
    </xf>
    <xf numFmtId="191" fontId="5" fillId="4" borderId="28" xfId="0" applyNumberFormat="1" applyFont="1" applyFill="1" applyBorder="1">
      <alignment vertical="center"/>
    </xf>
    <xf numFmtId="186" fontId="5" fillId="4" borderId="27" xfId="0" applyNumberFormat="1" applyFont="1" applyFill="1" applyBorder="1">
      <alignment vertical="center"/>
    </xf>
    <xf numFmtId="186" fontId="8" fillId="0" borderId="28" xfId="0" applyNumberFormat="1" applyFont="1" applyBorder="1" applyAlignment="1">
      <alignment horizontal="right" vertical="center"/>
    </xf>
    <xf numFmtId="0" fontId="5" fillId="5" borderId="28" xfId="0" applyFont="1" applyFill="1" applyBorder="1" applyAlignment="1">
      <alignment horizontal="right" vertical="center"/>
    </xf>
    <xf numFmtId="186" fontId="121" fillId="2" borderId="28" xfId="0" applyNumberFormat="1" applyFont="1" applyFill="1" applyBorder="1">
      <alignment vertical="center"/>
    </xf>
    <xf numFmtId="191" fontId="8" fillId="0" borderId="12" xfId="0" applyNumberFormat="1" applyFont="1" applyBorder="1" applyAlignment="1">
      <alignment horizontal="right" vertical="center"/>
    </xf>
    <xf numFmtId="191" fontId="120" fillId="0" borderId="12" xfId="0" applyNumberFormat="1" applyFont="1" applyBorder="1">
      <alignment vertical="center"/>
    </xf>
    <xf numFmtId="191" fontId="121" fillId="10" borderId="12" xfId="0" applyNumberFormat="1" applyFont="1" applyFill="1" applyBorder="1" applyAlignment="1">
      <alignment horizontal="center" vertical="center"/>
    </xf>
    <xf numFmtId="191" fontId="121" fillId="10" borderId="12" xfId="0" applyNumberFormat="1" applyFont="1" applyFill="1" applyBorder="1" applyAlignment="1">
      <alignment horizontal="right" vertical="center"/>
    </xf>
    <xf numFmtId="191" fontId="121" fillId="11" borderId="12" xfId="0" applyNumberFormat="1" applyFont="1" applyFill="1" applyBorder="1">
      <alignment vertical="center"/>
    </xf>
    <xf numFmtId="191" fontId="5" fillId="10" borderId="12" xfId="0" applyNumberFormat="1" applyFont="1" applyFill="1" applyBorder="1" applyAlignment="1">
      <alignment horizontal="right" vertical="center"/>
    </xf>
    <xf numFmtId="191" fontId="121" fillId="2" borderId="12" xfId="0" applyNumberFormat="1" applyFont="1" applyFill="1" applyBorder="1">
      <alignment vertical="center"/>
    </xf>
    <xf numFmtId="191" fontId="5" fillId="10" borderId="12" xfId="0" applyNumberFormat="1" applyFont="1" applyFill="1" applyBorder="1">
      <alignment vertical="center"/>
    </xf>
    <xf numFmtId="0" fontId="5" fillId="0" borderId="26" xfId="0" applyFont="1" applyBorder="1" applyAlignment="1">
      <alignment horizontal="right" vertical="center"/>
    </xf>
    <xf numFmtId="0" fontId="161" fillId="17" borderId="26" xfId="0" applyFont="1" applyFill="1" applyBorder="1">
      <alignment vertical="center"/>
    </xf>
    <xf numFmtId="0" fontId="24" fillId="4" borderId="26" xfId="0" applyFont="1" applyFill="1" applyBorder="1" applyAlignment="1">
      <alignment horizontal="center" vertical="center"/>
    </xf>
    <xf numFmtId="0" fontId="5" fillId="10" borderId="26" xfId="0" applyFont="1" applyFill="1" applyBorder="1" applyAlignment="1">
      <alignment horizontal="center" vertical="center"/>
    </xf>
    <xf numFmtId="0" fontId="5" fillId="10" borderId="26" xfId="0" applyFont="1" applyFill="1" applyBorder="1" applyAlignment="1">
      <alignment horizontal="right" vertical="center"/>
    </xf>
    <xf numFmtId="3" fontId="5" fillId="10" borderId="26" xfId="0" applyNumberFormat="1" applyFont="1" applyFill="1" applyBorder="1" applyAlignment="1">
      <alignment horizontal="right" vertical="center"/>
    </xf>
    <xf numFmtId="3" fontId="8" fillId="10" borderId="26" xfId="0" applyNumberFormat="1" applyFont="1" applyFill="1" applyBorder="1" applyAlignment="1">
      <alignment horizontal="right" vertical="center"/>
    </xf>
    <xf numFmtId="0" fontId="127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120" fillId="0" borderId="26" xfId="0" applyFont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10" borderId="26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4" fillId="4" borderId="26" xfId="0" applyFont="1" applyFill="1" applyBorder="1">
      <alignment vertical="center"/>
    </xf>
    <xf numFmtId="179" fontId="4" fillId="0" borderId="0" xfId="0" quotePrefix="1" applyNumberFormat="1" applyFont="1" applyAlignment="1">
      <alignment horizontal="center" vertical="center" wrapText="1"/>
    </xf>
    <xf numFmtId="0" fontId="49" fillId="4" borderId="0" xfId="0" applyFont="1" applyFill="1" applyAlignment="1">
      <alignment horizontal="center" vertical="center"/>
    </xf>
    <xf numFmtId="178" fontId="15" fillId="4" borderId="0" xfId="0" applyNumberFormat="1" applyFont="1" applyFill="1" applyAlignment="1">
      <alignment horizontal="center" vertical="center"/>
    </xf>
    <xf numFmtId="185" fontId="15" fillId="4" borderId="0" xfId="0" applyNumberFormat="1" applyFont="1" applyFill="1" applyAlignment="1">
      <alignment horizontal="center" vertical="center"/>
    </xf>
    <xf numFmtId="49" fontId="15" fillId="4" borderId="0" xfId="0" applyNumberFormat="1" applyFont="1" applyFill="1" applyAlignment="1">
      <alignment horizontal="center" vertical="center"/>
    </xf>
    <xf numFmtId="188" fontId="38" fillId="11" borderId="1" xfId="0" applyNumberFormat="1" applyFont="1" applyFill="1" applyBorder="1" applyAlignment="1">
      <alignment horizontal="center"/>
    </xf>
    <xf numFmtId="217" fontId="38" fillId="11" borderId="1" xfId="0" applyNumberFormat="1" applyFont="1" applyFill="1" applyBorder="1" applyAlignment="1">
      <alignment horizontal="center"/>
    </xf>
    <xf numFmtId="0" fontId="15" fillId="4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120" fillId="0" borderId="0" xfId="0" applyFont="1" applyAlignment="1">
      <alignment horizontal="right" vertical="center"/>
    </xf>
    <xf numFmtId="208" fontId="5" fillId="0" borderId="0" xfId="0" applyNumberFormat="1" applyFont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11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8" fontId="15" fillId="0" borderId="1" xfId="0" applyNumberFormat="1" applyFont="1" applyBorder="1" applyAlignment="1">
      <alignment horizontal="center" vertical="center"/>
    </xf>
    <xf numFmtId="185" fontId="15" fillId="0" borderId="1" xfId="0" applyNumberFormat="1" applyFont="1" applyBorder="1" applyAlignment="1">
      <alignment horizontal="center" vertical="center"/>
    </xf>
    <xf numFmtId="185" fontId="24" fillId="0" borderId="1" xfId="0" applyNumberFormat="1" applyFont="1" applyBorder="1" applyAlignment="1">
      <alignment horizontal="center" vertical="center"/>
    </xf>
    <xf numFmtId="180" fontId="5" fillId="0" borderId="1" xfId="0" applyNumberFormat="1" applyFont="1" applyBorder="1" applyAlignment="1">
      <alignment horizontal="center" vertical="center"/>
    </xf>
    <xf numFmtId="185" fontId="5" fillId="0" borderId="1" xfId="0" applyNumberFormat="1" applyFont="1" applyBorder="1" applyAlignment="1">
      <alignment horizontal="center" vertical="center"/>
    </xf>
    <xf numFmtId="179" fontId="49" fillId="0" borderId="1" xfId="0" applyNumberFormat="1" applyFont="1" applyBorder="1" applyAlignment="1">
      <alignment horizontal="center" vertical="center" wrapText="1"/>
    </xf>
    <xf numFmtId="192" fontId="17" fillId="2" borderId="1" xfId="0" applyNumberFormat="1" applyFont="1" applyFill="1" applyBorder="1" applyAlignment="1">
      <alignment horizontal="center" vertical="center"/>
    </xf>
    <xf numFmtId="179" fontId="4" fillId="2" borderId="1" xfId="0" applyNumberFormat="1" applyFont="1" applyFill="1" applyBorder="1" applyAlignment="1">
      <alignment horizontal="center" vertical="center" wrapText="1"/>
    </xf>
    <xf numFmtId="186" fontId="121" fillId="2" borderId="28" xfId="0" applyNumberFormat="1" applyFont="1" applyFill="1" applyBorder="1" applyAlignment="1">
      <alignment horizontal="right" vertical="center"/>
    </xf>
    <xf numFmtId="191" fontId="5" fillId="0" borderId="12" xfId="0" applyNumberFormat="1" applyFont="1" applyBorder="1" applyAlignment="1">
      <alignment horizontal="right" vertical="center"/>
    </xf>
    <xf numFmtId="179" fontId="49" fillId="4" borderId="0" xfId="0" applyNumberFormat="1" applyFont="1" applyFill="1" applyAlignment="1">
      <alignment horizontal="center" vertical="center"/>
    </xf>
    <xf numFmtId="179" fontId="16" fillId="0" borderId="0" xfId="0" applyNumberFormat="1" applyFont="1" applyAlignment="1">
      <alignment horizontal="center" vertical="center"/>
    </xf>
    <xf numFmtId="191" fontId="16" fillId="0" borderId="0" xfId="0" applyNumberFormat="1" applyFont="1" applyAlignment="1">
      <alignment horizontal="center" vertical="center"/>
    </xf>
    <xf numFmtId="188" fontId="16" fillId="0" borderId="1" xfId="0" applyNumberFormat="1" applyFont="1" applyBorder="1" applyAlignment="1">
      <alignment horizontal="center" vertical="center"/>
    </xf>
    <xf numFmtId="193" fontId="16" fillId="0" borderId="1" xfId="0" applyNumberFormat="1" applyFont="1" applyBorder="1" applyAlignment="1">
      <alignment horizontal="center" vertical="center"/>
    </xf>
    <xf numFmtId="194" fontId="16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191" fontId="16" fillId="0" borderId="1" xfId="0" applyNumberFormat="1" applyFont="1" applyBorder="1" applyAlignment="1">
      <alignment horizontal="center" vertical="center"/>
    </xf>
    <xf numFmtId="189" fontId="16" fillId="0" borderId="1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185" fontId="16" fillId="0" borderId="1" xfId="0" applyNumberFormat="1" applyFont="1" applyBorder="1" applyAlignment="1">
      <alignment horizontal="center" vertical="center"/>
    </xf>
    <xf numFmtId="195" fontId="36" fillId="0" borderId="1" xfId="0" applyNumberFormat="1" applyFont="1" applyBorder="1" applyAlignment="1">
      <alignment horizontal="center" vertical="center"/>
    </xf>
    <xf numFmtId="191" fontId="162" fillId="2" borderId="12" xfId="0" applyNumberFormat="1" applyFont="1" applyFill="1" applyBorder="1">
      <alignment vertical="center"/>
    </xf>
    <xf numFmtId="0" fontId="3" fillId="10" borderId="1" xfId="0" applyFont="1" applyFill="1" applyBorder="1">
      <alignment vertical="center"/>
    </xf>
    <xf numFmtId="191" fontId="121" fillId="10" borderId="29" xfId="0" applyNumberFormat="1" applyFont="1" applyFill="1" applyBorder="1">
      <alignment vertical="center"/>
    </xf>
    <xf numFmtId="221" fontId="41" fillId="0" borderId="1" xfId="0" applyNumberFormat="1" applyFont="1" applyBorder="1" applyAlignment="1">
      <alignment horizontal="center" vertical="center" shrinkToFit="1"/>
    </xf>
    <xf numFmtId="176" fontId="5" fillId="11" borderId="1" xfId="0" applyNumberFormat="1" applyFont="1" applyFill="1" applyBorder="1" applyAlignment="1">
      <alignment horizontal="center" vertical="center"/>
    </xf>
    <xf numFmtId="194" fontId="5" fillId="11" borderId="1" xfId="0" applyNumberFormat="1" applyFont="1" applyFill="1" applyBorder="1">
      <alignment vertical="center"/>
    </xf>
    <xf numFmtId="191" fontId="5" fillId="11" borderId="1" xfId="0" applyNumberFormat="1" applyFont="1" applyFill="1" applyBorder="1">
      <alignment vertical="center"/>
    </xf>
    <xf numFmtId="179" fontId="4" fillId="11" borderId="1" xfId="0" applyNumberFormat="1" applyFont="1" applyFill="1" applyBorder="1" applyAlignment="1">
      <alignment horizontal="center" vertical="center" wrapText="1"/>
    </xf>
    <xf numFmtId="0" fontId="44" fillId="0" borderId="0" xfId="0" applyFont="1" applyAlignment="1"/>
    <xf numFmtId="0" fontId="44" fillId="0" borderId="1" xfId="0" applyFont="1" applyBorder="1" applyAlignment="1">
      <alignment horizontal="center"/>
    </xf>
    <xf numFmtId="224" fontId="44" fillId="0" borderId="1" xfId="0" applyNumberFormat="1" applyFont="1" applyBorder="1" applyAlignment="1">
      <alignment horizontal="center"/>
    </xf>
    <xf numFmtId="6" fontId="44" fillId="0" borderId="1" xfId="5" applyFont="1" applyBorder="1" applyAlignment="1">
      <alignment horizontal="center"/>
    </xf>
    <xf numFmtId="213" fontId="44" fillId="0" borderId="1" xfId="5" applyNumberFormat="1" applyFont="1" applyBorder="1" applyAlignment="1">
      <alignment horizontal="center"/>
    </xf>
    <xf numFmtId="225" fontId="44" fillId="0" borderId="1" xfId="5" applyNumberFormat="1" applyFont="1" applyBorder="1" applyAlignment="1">
      <alignment horizontal="center" wrapText="1"/>
    </xf>
    <xf numFmtId="0" fontId="44" fillId="0" borderId="1" xfId="0" applyFont="1" applyBorder="1" applyAlignment="1"/>
    <xf numFmtId="0" fontId="50" fillId="11" borderId="1" xfId="0" applyFont="1" applyFill="1" applyBorder="1" applyAlignment="1">
      <alignment horizontal="center" vertical="center"/>
    </xf>
    <xf numFmtId="0" fontId="50" fillId="11" borderId="1" xfId="0" applyFont="1" applyFill="1" applyBorder="1" applyAlignment="1">
      <alignment horizontal="center" vertical="center" wrapText="1"/>
    </xf>
    <xf numFmtId="213" fontId="44" fillId="11" borderId="1" xfId="5" applyNumberFormat="1" applyFont="1" applyFill="1" applyBorder="1" applyAlignment="1">
      <alignment horizontal="center"/>
    </xf>
    <xf numFmtId="0" fontId="50" fillId="11" borderId="1" xfId="0" applyFont="1" applyFill="1" applyBorder="1" applyAlignment="1">
      <alignment horizontal="center" wrapText="1"/>
    </xf>
    <xf numFmtId="0" fontId="50" fillId="11" borderId="1" xfId="0" applyFont="1" applyFill="1" applyBorder="1" applyAlignment="1">
      <alignment horizontal="center"/>
    </xf>
    <xf numFmtId="0" fontId="150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91" fontId="5" fillId="0" borderId="0" xfId="0" applyNumberFormat="1" applyFont="1" applyAlignment="1">
      <alignment horizontal="center" vertical="center"/>
    </xf>
    <xf numFmtId="193" fontId="5" fillId="10" borderId="1" xfId="0" applyNumberFormat="1" applyFont="1" applyFill="1" applyBorder="1" applyAlignment="1">
      <alignment horizontal="right" vertical="center"/>
    </xf>
    <xf numFmtId="0" fontId="128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191" fontId="5" fillId="2" borderId="1" xfId="0" applyNumberFormat="1" applyFont="1" applyFill="1" applyBorder="1" applyAlignment="1">
      <alignment horizontal="right" vertical="center"/>
    </xf>
    <xf numFmtId="0" fontId="150" fillId="2" borderId="1" xfId="0" applyFont="1" applyFill="1" applyBorder="1" applyAlignment="1">
      <alignment horizontal="center" vertical="center"/>
    </xf>
    <xf numFmtId="185" fontId="5" fillId="2" borderId="1" xfId="0" applyNumberFormat="1" applyFont="1" applyFill="1" applyBorder="1" applyAlignment="1">
      <alignment horizontal="right" vertical="center"/>
    </xf>
    <xf numFmtId="188" fontId="38" fillId="0" borderId="1" xfId="0" applyNumberFormat="1" applyFont="1" applyBorder="1" applyAlignment="1">
      <alignment horizontal="center"/>
    </xf>
    <xf numFmtId="217" fontId="38" fillId="0" borderId="1" xfId="0" applyNumberFormat="1" applyFont="1" applyBorder="1" applyAlignment="1">
      <alignment horizontal="center"/>
    </xf>
    <xf numFmtId="217" fontId="38" fillId="0" borderId="1" xfId="0" applyNumberFormat="1" applyFont="1" applyBorder="1" applyAlignment="1">
      <alignment horizontal="center" wrapText="1"/>
    </xf>
    <xf numFmtId="223" fontId="38" fillId="0" borderId="1" xfId="0" applyNumberFormat="1" applyFont="1" applyBorder="1" applyAlignment="1">
      <alignment horizontal="center" wrapText="1"/>
    </xf>
    <xf numFmtId="215" fontId="36" fillId="0" borderId="1" xfId="0" applyNumberFormat="1" applyFont="1" applyBorder="1">
      <alignment vertical="center"/>
    </xf>
    <xf numFmtId="0" fontId="44" fillId="0" borderId="0" xfId="0" applyFont="1" applyAlignment="1">
      <alignment horizontal="center"/>
    </xf>
    <xf numFmtId="223" fontId="38" fillId="0" borderId="1" xfId="0" applyNumberFormat="1" applyFont="1" applyBorder="1" applyAlignment="1">
      <alignment horizontal="center"/>
    </xf>
    <xf numFmtId="191" fontId="121" fillId="2" borderId="1" xfId="0" applyNumberFormat="1" applyFont="1" applyFill="1" applyBorder="1" applyAlignment="1">
      <alignment horizontal="right" vertical="center"/>
    </xf>
    <xf numFmtId="180" fontId="121" fillId="0" borderId="1" xfId="0" applyNumberFormat="1" applyFont="1" applyBorder="1" applyAlignment="1">
      <alignment horizontal="center" vertical="center"/>
    </xf>
    <xf numFmtId="0" fontId="163" fillId="0" borderId="0" xfId="0" applyFont="1" applyAlignment="1">
      <alignment horizontal="justify" vertical="center"/>
    </xf>
    <xf numFmtId="0" fontId="43" fillId="10" borderId="1" xfId="0" applyFont="1" applyFill="1" applyBorder="1" applyAlignment="1">
      <alignment horizontal="center" vertical="center"/>
    </xf>
    <xf numFmtId="0" fontId="138" fillId="10" borderId="1" xfId="0" applyFont="1" applyFill="1" applyBorder="1" applyAlignment="1">
      <alignment horizontal="center" vertical="center"/>
    </xf>
    <xf numFmtId="0" fontId="131" fillId="10" borderId="1" xfId="0" applyFont="1" applyFill="1" applyBorder="1" applyAlignment="1">
      <alignment horizontal="center" vertical="center"/>
    </xf>
    <xf numFmtId="193" fontId="24" fillId="0" borderId="1" xfId="0" applyNumberFormat="1" applyFont="1" applyBorder="1" applyAlignment="1">
      <alignment horizontal="center" vertical="center"/>
    </xf>
    <xf numFmtId="179" fontId="164" fillId="0" borderId="1" xfId="0" applyNumberFormat="1" applyFont="1" applyBorder="1" applyAlignment="1">
      <alignment horizontal="center" vertical="center" wrapText="1"/>
    </xf>
    <xf numFmtId="191" fontId="24" fillId="0" borderId="12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9" fontId="49" fillId="0" borderId="13" xfId="0" applyNumberFormat="1" applyFont="1" applyBorder="1" applyAlignment="1">
      <alignment horizontal="center" vertical="center" wrapText="1"/>
    </xf>
    <xf numFmtId="0" fontId="165" fillId="0" borderId="1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178" fontId="5" fillId="0" borderId="21" xfId="0" applyNumberFormat="1" applyFont="1" applyBorder="1" applyAlignment="1">
      <alignment horizontal="right" vertical="center"/>
    </xf>
    <xf numFmtId="0" fontId="166" fillId="0" borderId="0" xfId="0" applyFont="1">
      <alignment vertical="center"/>
    </xf>
    <xf numFmtId="0" fontId="45" fillId="0" borderId="1" xfId="0" applyFont="1" applyBorder="1" applyAlignment="1">
      <alignment horizontal="center" vertical="center"/>
    </xf>
    <xf numFmtId="224" fontId="44" fillId="0" borderId="1" xfId="0" applyNumberFormat="1" applyFont="1" applyBorder="1" applyAlignment="1">
      <alignment horizontal="center" vertical="center"/>
    </xf>
    <xf numFmtId="6" fontId="44" fillId="0" borderId="1" xfId="5" applyFont="1" applyFill="1" applyBorder="1" applyAlignment="1">
      <alignment horizontal="center" vertical="center"/>
    </xf>
    <xf numFmtId="213" fontId="44" fillId="0" borderId="1" xfId="5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137" fillId="11" borderId="1" xfId="0" applyFont="1" applyFill="1" applyBorder="1" applyAlignment="1">
      <alignment horizontal="center" vertical="center" wrapText="1"/>
    </xf>
    <xf numFmtId="217" fontId="43" fillId="11" borderId="1" xfId="0" applyNumberFormat="1" applyFont="1" applyFill="1" applyBorder="1" applyAlignment="1">
      <alignment horizontal="center" vertical="center" wrapText="1"/>
    </xf>
    <xf numFmtId="188" fontId="38" fillId="11" borderId="1" xfId="0" applyNumberFormat="1" applyFont="1" applyFill="1" applyBorder="1" applyAlignment="1">
      <alignment horizontal="center" vertical="center"/>
    </xf>
    <xf numFmtId="217" fontId="38" fillId="11" borderId="1" xfId="0" applyNumberFormat="1" applyFont="1" applyFill="1" applyBorder="1" applyAlignment="1">
      <alignment horizontal="center" vertical="center"/>
    </xf>
    <xf numFmtId="217" fontId="38" fillId="11" borderId="1" xfId="0" applyNumberFormat="1" applyFont="1" applyFill="1" applyBorder="1" applyAlignment="1">
      <alignment horizontal="center" vertical="center" wrapText="1"/>
    </xf>
    <xf numFmtId="223" fontId="38" fillId="11" borderId="1" xfId="0" applyNumberFormat="1" applyFont="1" applyFill="1" applyBorder="1" applyAlignment="1">
      <alignment horizontal="center" vertical="center" wrapText="1"/>
    </xf>
    <xf numFmtId="218" fontId="38" fillId="11" borderId="1" xfId="0" applyNumberFormat="1" applyFont="1" applyFill="1" applyBorder="1" applyAlignment="1">
      <alignment horizontal="center" vertical="center"/>
    </xf>
    <xf numFmtId="207" fontId="167" fillId="0" borderId="1" xfId="0" applyNumberFormat="1" applyFont="1" applyBorder="1" applyAlignment="1">
      <alignment horizontal="center" vertical="center"/>
    </xf>
    <xf numFmtId="0" fontId="167" fillId="0" borderId="1" xfId="0" applyFont="1" applyBorder="1" applyAlignment="1">
      <alignment horizontal="center"/>
    </xf>
    <xf numFmtId="215" fontId="36" fillId="11" borderId="1" xfId="0" applyNumberFormat="1" applyFont="1" applyFill="1" applyBorder="1">
      <alignment vertical="center"/>
    </xf>
    <xf numFmtId="195" fontId="148" fillId="0" borderId="30" xfId="0" applyNumberFormat="1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15" fillId="0" borderId="13" xfId="0" applyFont="1" applyBorder="1" applyAlignment="1">
      <alignment horizontal="center"/>
    </xf>
    <xf numFmtId="3" fontId="5" fillId="0" borderId="26" xfId="0" applyNumberFormat="1" applyFont="1" applyBorder="1" applyAlignment="1">
      <alignment horizontal="right" vertical="center"/>
    </xf>
    <xf numFmtId="3" fontId="5" fillId="11" borderId="0" xfId="0" applyNumberFormat="1" applyFont="1" applyFill="1" applyAlignment="1">
      <alignment horizontal="right" vertical="center"/>
    </xf>
    <xf numFmtId="195" fontId="36" fillId="11" borderId="1" xfId="0" applyNumberFormat="1" applyFont="1" applyFill="1" applyBorder="1">
      <alignment vertical="center"/>
    </xf>
    <xf numFmtId="226" fontId="5" fillId="0" borderId="1" xfId="0" applyNumberFormat="1" applyFont="1" applyBorder="1" applyAlignment="1">
      <alignment horizontal="right" vertical="center"/>
    </xf>
    <xf numFmtId="0" fontId="143" fillId="0" borderId="1" xfId="0" applyFont="1" applyBorder="1" applyAlignment="1">
      <alignment horizontal="center" vertical="center"/>
    </xf>
    <xf numFmtId="0" fontId="120" fillId="11" borderId="0" xfId="0" applyFont="1" applyFill="1" applyAlignment="1">
      <alignment horizontal="right" vertical="center"/>
    </xf>
    <xf numFmtId="186" fontId="120" fillId="0" borderId="27" xfId="0" applyNumberFormat="1" applyFont="1" applyBorder="1">
      <alignment vertical="center"/>
    </xf>
    <xf numFmtId="227" fontId="5" fillId="0" borderId="1" xfId="0" applyNumberFormat="1" applyFont="1" applyBorder="1" applyAlignment="1">
      <alignment horizontal="right" vertical="center"/>
    </xf>
    <xf numFmtId="191" fontId="131" fillId="0" borderId="1" xfId="0" applyNumberFormat="1" applyFont="1" applyBorder="1" applyAlignment="1">
      <alignment horizontal="right" vertical="center"/>
    </xf>
    <xf numFmtId="207" fontId="5" fillId="0" borderId="1" xfId="0" applyNumberFormat="1" applyFont="1" applyBorder="1" applyAlignment="1">
      <alignment horizontal="right"/>
    </xf>
    <xf numFmtId="207" fontId="5" fillId="0" borderId="1" xfId="0" applyNumberFormat="1" applyFont="1" applyBorder="1" applyAlignment="1">
      <alignment horizontal="center"/>
    </xf>
    <xf numFmtId="49" fontId="38" fillId="11" borderId="1" xfId="0" applyNumberFormat="1" applyFont="1" applyFill="1" applyBorder="1" applyAlignment="1">
      <alignment horizontal="center" vertical="center"/>
    </xf>
    <xf numFmtId="0" fontId="53" fillId="11" borderId="1" xfId="0" applyFont="1" applyFill="1" applyBorder="1" applyAlignment="1">
      <alignment horizontal="center" vertical="center"/>
    </xf>
    <xf numFmtId="0" fontId="53" fillId="11" borderId="1" xfId="0" applyFont="1" applyFill="1" applyBorder="1" applyAlignment="1">
      <alignment horizontal="center" vertical="center" wrapText="1"/>
    </xf>
    <xf numFmtId="0" fontId="53" fillId="11" borderId="1" xfId="0" applyFont="1" applyFill="1" applyBorder="1" applyAlignment="1">
      <alignment horizontal="center"/>
    </xf>
    <xf numFmtId="0" fontId="54" fillId="0" borderId="0" xfId="0" applyFont="1" applyAlignment="1"/>
    <xf numFmtId="0" fontId="8" fillId="0" borderId="0" xfId="0" applyFont="1">
      <alignment vertical="center"/>
    </xf>
    <xf numFmtId="0" fontId="54" fillId="0" borderId="1" xfId="0" applyFont="1" applyBorder="1" applyAlignment="1">
      <alignment horizontal="center"/>
    </xf>
    <xf numFmtId="178" fontId="121" fillId="0" borderId="0" xfId="0" applyNumberFormat="1" applyFont="1" applyAlignment="1">
      <alignment horizontal="right" vertical="center"/>
    </xf>
    <xf numFmtId="180" fontId="121" fillId="0" borderId="0" xfId="0" applyNumberFormat="1" applyFont="1" applyAlignment="1">
      <alignment horizontal="right" vertical="center"/>
    </xf>
    <xf numFmtId="191" fontId="131" fillId="0" borderId="0" xfId="0" applyNumberFormat="1" applyFont="1" applyAlignment="1">
      <alignment horizontal="center" vertical="center"/>
    </xf>
    <xf numFmtId="176" fontId="15" fillId="10" borderId="1" xfId="0" applyNumberFormat="1" applyFont="1" applyFill="1" applyBorder="1" applyAlignment="1">
      <alignment horizontal="right" vertical="center"/>
    </xf>
    <xf numFmtId="0" fontId="3" fillId="18" borderId="0" xfId="0" applyFont="1" applyFill="1">
      <alignment vertical="center"/>
    </xf>
    <xf numFmtId="0" fontId="3" fillId="18" borderId="0" xfId="0" applyFont="1" applyFill="1" applyAlignment="1">
      <alignment horizontal="center" vertical="center"/>
    </xf>
    <xf numFmtId="49" fontId="5" fillId="18" borderId="1" xfId="0" applyNumberFormat="1" applyFont="1" applyFill="1" applyBorder="1" applyAlignment="1">
      <alignment horizontal="left" vertical="center"/>
    </xf>
    <xf numFmtId="191" fontId="5" fillId="18" borderId="12" xfId="0" applyNumberFormat="1" applyFont="1" applyFill="1" applyBorder="1" applyAlignment="1">
      <alignment horizontal="right" vertical="center"/>
    </xf>
    <xf numFmtId="0" fontId="5" fillId="18" borderId="26" xfId="0" applyFont="1" applyFill="1" applyBorder="1" applyAlignment="1">
      <alignment horizontal="right" vertical="center"/>
    </xf>
    <xf numFmtId="191" fontId="121" fillId="18" borderId="28" xfId="0" applyNumberFormat="1" applyFont="1" applyFill="1" applyBorder="1">
      <alignment vertical="center"/>
    </xf>
    <xf numFmtId="0" fontId="5" fillId="18" borderId="26" xfId="0" applyFont="1" applyFill="1" applyBorder="1" applyAlignment="1">
      <alignment horizontal="center" vertical="center"/>
    </xf>
    <xf numFmtId="0" fontId="5" fillId="18" borderId="0" xfId="0" applyFont="1" applyFill="1" applyAlignment="1">
      <alignment horizontal="right" vertical="center"/>
    </xf>
    <xf numFmtId="176" fontId="5" fillId="10" borderId="1" xfId="0" applyNumberFormat="1" applyFont="1" applyFill="1" applyBorder="1" applyAlignment="1">
      <alignment horizontal="right" vertical="center"/>
    </xf>
    <xf numFmtId="49" fontId="120" fillId="0" borderId="0" xfId="0" applyNumberFormat="1" applyFont="1" applyAlignment="1">
      <alignment horizontal="left" vertical="center"/>
    </xf>
    <xf numFmtId="0" fontId="38" fillId="11" borderId="1" xfId="0" applyFont="1" applyFill="1" applyBorder="1" applyAlignment="1">
      <alignment horizontal="center" vertical="center"/>
    </xf>
    <xf numFmtId="0" fontId="38" fillId="0" borderId="0" xfId="0" applyFont="1">
      <alignment vertical="center"/>
    </xf>
    <xf numFmtId="228" fontId="5" fillId="0" borderId="1" xfId="0" applyNumberFormat="1" applyFont="1" applyBorder="1" applyAlignment="1"/>
    <xf numFmtId="0" fontId="36" fillId="0" borderId="0" xfId="0" applyFont="1">
      <alignment vertical="center"/>
    </xf>
    <xf numFmtId="223" fontId="38" fillId="11" borderId="1" xfId="0" applyNumberFormat="1" applyFont="1" applyFill="1" applyBorder="1" applyAlignment="1">
      <alignment horizontal="center" vertical="center"/>
    </xf>
    <xf numFmtId="190" fontId="5" fillId="0" borderId="1" xfId="0" applyNumberFormat="1" applyFont="1" applyBorder="1" applyAlignment="1">
      <alignment horizontal="center" vertical="center"/>
    </xf>
    <xf numFmtId="191" fontId="8" fillId="0" borderId="28" xfId="0" applyNumberFormat="1" applyFont="1" applyBorder="1" applyAlignment="1">
      <alignment horizontal="right" vertical="center"/>
    </xf>
    <xf numFmtId="188" fontId="5" fillId="0" borderId="21" xfId="0" applyNumberFormat="1" applyFont="1" applyBorder="1" applyAlignment="1"/>
    <xf numFmtId="180" fontId="5" fillId="0" borderId="21" xfId="0" applyNumberFormat="1" applyFont="1" applyBorder="1" applyAlignment="1">
      <alignment horizontal="right" vertical="center"/>
    </xf>
    <xf numFmtId="193" fontId="5" fillId="0" borderId="21" xfId="0" applyNumberFormat="1" applyFont="1" applyBorder="1">
      <alignment vertical="center"/>
    </xf>
    <xf numFmtId="215" fontId="5" fillId="0" borderId="1" xfId="0" applyNumberFormat="1" applyFont="1" applyBorder="1">
      <alignment vertical="center"/>
    </xf>
    <xf numFmtId="195" fontId="5" fillId="0" borderId="0" xfId="0" applyNumberFormat="1" applyFont="1">
      <alignment vertical="center"/>
    </xf>
    <xf numFmtId="5" fontId="5" fillId="18" borderId="26" xfId="0" applyNumberFormat="1" applyFont="1" applyFill="1" applyBorder="1" applyAlignment="1">
      <alignment horizontal="right" vertical="center"/>
    </xf>
    <xf numFmtId="186" fontId="8" fillId="0" borderId="28" xfId="0" applyNumberFormat="1" applyFont="1" applyBorder="1">
      <alignment vertical="center"/>
    </xf>
    <xf numFmtId="0" fontId="8" fillId="0" borderId="26" xfId="0" applyFont="1" applyBorder="1" applyAlignment="1">
      <alignment horizontal="center" vertical="center"/>
    </xf>
    <xf numFmtId="0" fontId="168" fillId="0" borderId="1" xfId="0" applyFont="1" applyBorder="1" applyAlignment="1">
      <alignment horizontal="center"/>
    </xf>
    <xf numFmtId="0" fontId="169" fillId="0" borderId="0" xfId="0" applyFont="1">
      <alignment vertical="center"/>
    </xf>
    <xf numFmtId="49" fontId="4" fillId="10" borderId="1" xfId="0" applyNumberFormat="1" applyFont="1" applyFill="1" applyBorder="1" applyAlignment="1">
      <alignment horizontal="left" vertical="center"/>
    </xf>
    <xf numFmtId="199" fontId="170" fillId="0" borderId="1" xfId="0" applyNumberFormat="1" applyFont="1" applyBorder="1" applyAlignment="1">
      <alignment horizontal="center"/>
    </xf>
    <xf numFmtId="0" fontId="170" fillId="0" borderId="1" xfId="0" applyFont="1" applyBorder="1" applyAlignment="1">
      <alignment horizontal="center"/>
    </xf>
    <xf numFmtId="5" fontId="170" fillId="0" borderId="1" xfId="0" applyNumberFormat="1" applyFont="1" applyBorder="1" applyAlignment="1">
      <alignment horizontal="center"/>
    </xf>
    <xf numFmtId="0" fontId="171" fillId="12" borderId="1" xfId="11" applyFont="1" applyFill="1" applyBorder="1" applyAlignment="1">
      <alignment horizontal="center" vertical="center"/>
    </xf>
    <xf numFmtId="0" fontId="171" fillId="12" borderId="1" xfId="11" applyFont="1" applyFill="1" applyBorder="1" applyAlignment="1">
      <alignment horizontal="center" vertical="center" wrapText="1"/>
    </xf>
    <xf numFmtId="0" fontId="133" fillId="0" borderId="0" xfId="0" applyFont="1" applyAlignment="1">
      <alignment horizontal="center" vertical="center"/>
    </xf>
    <xf numFmtId="195" fontId="133" fillId="0" borderId="1" xfId="0" applyNumberFormat="1" applyFont="1" applyBorder="1" applyAlignment="1">
      <alignment horizontal="center" vertical="center"/>
    </xf>
    <xf numFmtId="3" fontId="5" fillId="18" borderId="26" xfId="0" applyNumberFormat="1" applyFont="1" applyFill="1" applyBorder="1" applyAlignment="1">
      <alignment horizontal="right" vertical="center"/>
    </xf>
    <xf numFmtId="3" fontId="5" fillId="18" borderId="0" xfId="0" applyNumberFormat="1" applyFont="1" applyFill="1" applyAlignment="1">
      <alignment horizontal="right" vertical="center"/>
    </xf>
    <xf numFmtId="0" fontId="148" fillId="0" borderId="1" xfId="0" applyFont="1" applyBorder="1" applyAlignment="1">
      <alignment horizontal="center" vertical="center"/>
    </xf>
    <xf numFmtId="229" fontId="148" fillId="0" borderId="1" xfId="0" quotePrefix="1" applyNumberFormat="1" applyFont="1" applyBorder="1" applyAlignment="1">
      <alignment horizontal="center" vertical="center"/>
    </xf>
    <xf numFmtId="230" fontId="148" fillId="0" borderId="1" xfId="6" applyNumberFormat="1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200" fontId="148" fillId="0" borderId="1" xfId="0" applyNumberFormat="1" applyFont="1" applyBorder="1" applyAlignment="1">
      <alignment horizontal="center" vertical="center"/>
    </xf>
    <xf numFmtId="209" fontId="148" fillId="0" borderId="1" xfId="0" applyNumberFormat="1" applyFont="1" applyBorder="1" applyAlignment="1">
      <alignment horizontal="center" vertical="center"/>
    </xf>
    <xf numFmtId="229" fontId="148" fillId="0" borderId="1" xfId="0" applyNumberFormat="1" applyFont="1" applyBorder="1" applyAlignment="1">
      <alignment horizontal="center" vertical="center"/>
    </xf>
    <xf numFmtId="213" fontId="148" fillId="0" borderId="1" xfId="6" applyFont="1" applyBorder="1" applyAlignment="1">
      <alignment horizontal="center" vertical="center"/>
    </xf>
    <xf numFmtId="0" fontId="171" fillId="0" borderId="1" xfId="11" applyFont="1" applyBorder="1" applyAlignment="1">
      <alignment horizontal="center" vertical="center"/>
    </xf>
    <xf numFmtId="49" fontId="171" fillId="0" borderId="1" xfId="0" applyNumberFormat="1" applyFont="1" applyBorder="1" applyAlignment="1">
      <alignment horizontal="center" vertical="center" wrapText="1"/>
    </xf>
    <xf numFmtId="0" fontId="171" fillId="10" borderId="1" xfId="11" applyFont="1" applyFill="1" applyBorder="1" applyAlignment="1">
      <alignment horizontal="center" vertical="center" wrapText="1"/>
    </xf>
    <xf numFmtId="212" fontId="148" fillId="10" borderId="1" xfId="0" applyNumberFormat="1" applyFont="1" applyFill="1" applyBorder="1" applyAlignment="1">
      <alignment horizontal="center" vertical="center"/>
    </xf>
    <xf numFmtId="49" fontId="171" fillId="11" borderId="1" xfId="0" applyNumberFormat="1" applyFont="1" applyFill="1" applyBorder="1" applyAlignment="1">
      <alignment horizontal="center" vertical="center" wrapText="1"/>
    </xf>
    <xf numFmtId="212" fontId="148" fillId="11" borderId="1" xfId="0" applyNumberFormat="1" applyFont="1" applyFill="1" applyBorder="1" applyAlignment="1">
      <alignment horizontal="center" vertical="center"/>
    </xf>
    <xf numFmtId="231" fontId="0" fillId="0" borderId="0" xfId="0" applyNumberFormat="1" applyAlignment="1">
      <alignment horizontal="center" vertical="center"/>
    </xf>
    <xf numFmtId="232" fontId="0" fillId="0" borderId="0" xfId="0" applyNumberFormat="1" applyAlignment="1">
      <alignment horizontal="center" vertical="center"/>
    </xf>
    <xf numFmtId="233" fontId="0" fillId="0" borderId="0" xfId="0" applyNumberFormat="1" applyAlignment="1">
      <alignment horizontal="center" vertical="center"/>
    </xf>
    <xf numFmtId="234" fontId="0" fillId="0" borderId="0" xfId="0" applyNumberFormat="1" applyAlignment="1">
      <alignment horizontal="center" vertical="center"/>
    </xf>
    <xf numFmtId="205" fontId="0" fillId="0" borderId="0" xfId="0" applyNumberFormat="1" applyAlignment="1">
      <alignment horizontal="center" vertical="center"/>
    </xf>
    <xf numFmtId="179" fontId="120" fillId="0" borderId="0" xfId="0" applyNumberFormat="1" applyFont="1" applyAlignment="1">
      <alignment horizontal="center" vertical="center"/>
    </xf>
    <xf numFmtId="179" fontId="120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180" fontId="3" fillId="0" borderId="0" xfId="0" applyNumberFormat="1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131" fillId="0" borderId="0" xfId="0" applyFont="1" applyAlignment="1">
      <alignment horizontal="center"/>
    </xf>
    <xf numFmtId="0" fontId="150" fillId="0" borderId="0" xfId="0" applyFont="1" applyAlignment="1">
      <alignment horizontal="center" vertical="center" wrapText="1"/>
    </xf>
    <xf numFmtId="191" fontId="5" fillId="10" borderId="0" xfId="0" applyNumberFormat="1" applyFont="1" applyFill="1">
      <alignment vertical="center"/>
    </xf>
    <xf numFmtId="179" fontId="5" fillId="0" borderId="0" xfId="0" applyNumberFormat="1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/>
    </xf>
    <xf numFmtId="191" fontId="123" fillId="0" borderId="0" xfId="0" applyNumberFormat="1" applyFont="1" applyAlignment="1">
      <alignment horizontal="center" vertical="center"/>
    </xf>
    <xf numFmtId="0" fontId="157" fillId="0" borderId="0" xfId="0" applyFont="1" applyAlignment="1">
      <alignment horizontal="center"/>
    </xf>
    <xf numFmtId="0" fontId="23" fillId="5" borderId="0" xfId="0" applyFont="1" applyFill="1" applyAlignment="1">
      <alignment horizontal="center" vertical="center" shrinkToFit="1"/>
    </xf>
    <xf numFmtId="221" fontId="19" fillId="0" borderId="0" xfId="0" applyNumberFormat="1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0" fontId="131" fillId="10" borderId="0" xfId="0" applyFont="1" applyFill="1" applyAlignment="1">
      <alignment horizontal="center" vertical="center"/>
    </xf>
    <xf numFmtId="0" fontId="131" fillId="0" borderId="0" xfId="0" applyFont="1" applyAlignment="1">
      <alignment horizontal="center" vertical="center"/>
    </xf>
    <xf numFmtId="218" fontId="38" fillId="11" borderId="0" xfId="0" applyNumberFormat="1" applyFont="1" applyFill="1" applyAlignment="1">
      <alignment horizontal="center" vertical="center"/>
    </xf>
    <xf numFmtId="228" fontId="5" fillId="0" borderId="0" xfId="0" applyNumberFormat="1" applyFont="1" applyAlignment="1"/>
    <xf numFmtId="49" fontId="171" fillId="0" borderId="0" xfId="0" applyNumberFormat="1" applyFont="1" applyAlignment="1">
      <alignment horizontal="center" vertical="center" wrapText="1"/>
    </xf>
    <xf numFmtId="230" fontId="148" fillId="0" borderId="0" xfId="6" applyNumberFormat="1" applyFont="1" applyBorder="1" applyAlignment="1">
      <alignment horizontal="center" vertical="center"/>
    </xf>
    <xf numFmtId="209" fontId="148" fillId="0" borderId="0" xfId="0" applyNumberFormat="1" applyFont="1" applyAlignment="1">
      <alignment horizontal="center" vertical="center"/>
    </xf>
    <xf numFmtId="213" fontId="148" fillId="0" borderId="0" xfId="6" applyFont="1" applyBorder="1" applyAlignment="1">
      <alignment horizontal="center" vertical="center"/>
    </xf>
    <xf numFmtId="223" fontId="38" fillId="11" borderId="0" xfId="0" applyNumberFormat="1" applyFont="1" applyFill="1" applyAlignment="1">
      <alignment horizontal="center" vertical="center" wrapText="1"/>
    </xf>
    <xf numFmtId="195" fontId="36" fillId="11" borderId="0" xfId="0" applyNumberFormat="1" applyFont="1" applyFill="1">
      <alignment vertical="center"/>
    </xf>
    <xf numFmtId="229" fontId="148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212" fontId="148" fillId="10" borderId="0" xfId="0" applyNumberFormat="1" applyFont="1" applyFill="1" applyAlignment="1">
      <alignment horizontal="center" vertical="center"/>
    </xf>
    <xf numFmtId="212" fontId="148" fillId="11" borderId="0" xfId="0" applyNumberFormat="1" applyFont="1" applyFill="1" applyAlignment="1">
      <alignment horizontal="center" vertical="center"/>
    </xf>
    <xf numFmtId="189" fontId="5" fillId="0" borderId="0" xfId="0" applyNumberFormat="1" applyFont="1" applyAlignment="1"/>
    <xf numFmtId="185" fontId="5" fillId="0" borderId="0" xfId="0" applyNumberFormat="1" applyFont="1" applyAlignment="1">
      <alignment horizontal="right" vertical="center"/>
    </xf>
    <xf numFmtId="231" fontId="1" fillId="0" borderId="0" xfId="0" applyNumberFormat="1" applyFont="1" applyAlignment="1">
      <alignment horizontal="center" vertical="center"/>
    </xf>
    <xf numFmtId="232" fontId="1" fillId="0" borderId="0" xfId="0" applyNumberFormat="1" applyFont="1" applyAlignment="1">
      <alignment horizontal="center" vertical="center"/>
    </xf>
    <xf numFmtId="0" fontId="49" fillId="0" borderId="0" xfId="0" applyFont="1">
      <alignment vertical="center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9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4" fillId="0" borderId="10" xfId="0" applyFont="1" applyBorder="1" applyAlignment="1">
      <alignment horizontal="right" vertical="center" wrapText="1"/>
    </xf>
    <xf numFmtId="56" fontId="4" fillId="0" borderId="10" xfId="0" applyNumberFormat="1" applyFont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right" vertical="center" wrapText="1"/>
    </xf>
    <xf numFmtId="191" fontId="5" fillId="11" borderId="1" xfId="0" applyNumberFormat="1" applyFont="1" applyFill="1" applyBorder="1" applyAlignment="1">
      <alignment horizontal="center" vertical="center"/>
    </xf>
    <xf numFmtId="191" fontId="5" fillId="2" borderId="1" xfId="0" applyNumberFormat="1" applyFont="1" applyFill="1" applyBorder="1" applyAlignment="1">
      <alignment horizontal="center" vertical="center"/>
    </xf>
    <xf numFmtId="191" fontId="5" fillId="10" borderId="1" xfId="0" applyNumberFormat="1" applyFont="1" applyFill="1" applyBorder="1" applyAlignment="1">
      <alignment horizontal="center" vertical="center"/>
    </xf>
    <xf numFmtId="179" fontId="15" fillId="0" borderId="1" xfId="0" quotePrefix="1" applyNumberFormat="1" applyFont="1" applyBorder="1" applyAlignment="1">
      <alignment horizontal="center" vertical="center"/>
    </xf>
    <xf numFmtId="179" fontId="37" fillId="5" borderId="1" xfId="0" applyNumberFormat="1" applyFont="1" applyFill="1" applyBorder="1" applyAlignment="1">
      <alignment horizontal="center" vertical="center" wrapText="1"/>
    </xf>
    <xf numFmtId="0" fontId="4" fillId="0" borderId="119" xfId="0" applyFont="1" applyBorder="1" applyAlignment="1">
      <alignment horizontal="center" vertical="center" wrapText="1"/>
    </xf>
    <xf numFmtId="0" fontId="4" fillId="0" borderId="120" xfId="0" applyFont="1" applyBorder="1" applyAlignment="1">
      <alignment horizontal="center" vertical="center" wrapText="1"/>
    </xf>
    <xf numFmtId="0" fontId="4" fillId="0" borderId="121" xfId="0" applyFont="1" applyBorder="1" applyAlignment="1">
      <alignment vertical="center" wrapText="1"/>
    </xf>
    <xf numFmtId="0" fontId="4" fillId="0" borderId="122" xfId="0" applyFont="1" applyBorder="1" applyAlignment="1">
      <alignment vertical="center" wrapText="1"/>
    </xf>
    <xf numFmtId="0" fontId="4" fillId="0" borderId="122" xfId="0" applyFont="1" applyBorder="1" applyAlignment="1">
      <alignment horizontal="right" vertical="center" wrapText="1"/>
    </xf>
    <xf numFmtId="0" fontId="4" fillId="0" borderId="121" xfId="0" applyFont="1" applyBorder="1" applyAlignment="1">
      <alignment horizontal="center" vertical="center" wrapText="1"/>
    </xf>
    <xf numFmtId="49" fontId="171" fillId="12" borderId="1" xfId="0" applyNumberFormat="1" applyFont="1" applyFill="1" applyBorder="1" applyAlignment="1">
      <alignment horizontal="center" vertical="center" wrapText="1"/>
    </xf>
    <xf numFmtId="212" fontId="148" fillId="0" borderId="1" xfId="0" applyNumberFormat="1" applyFont="1" applyBorder="1" applyAlignment="1">
      <alignment horizontal="center" vertical="center"/>
    </xf>
    <xf numFmtId="0" fontId="4" fillId="19" borderId="10" xfId="0" applyFont="1" applyFill="1" applyBorder="1" applyAlignment="1">
      <alignment horizontal="right" vertical="center" wrapText="1"/>
    </xf>
    <xf numFmtId="191" fontId="13" fillId="10" borderId="1" xfId="0" applyNumberFormat="1" applyFont="1" applyFill="1" applyBorder="1" applyAlignment="1">
      <alignment horizontal="right" vertical="center"/>
    </xf>
    <xf numFmtId="215" fontId="5" fillId="0" borderId="1" xfId="0" applyNumberFormat="1" applyFont="1" applyBorder="1" applyAlignment="1">
      <alignment horizontal="right" vertical="center"/>
    </xf>
    <xf numFmtId="191" fontId="121" fillId="10" borderId="1" xfId="0" applyNumberFormat="1" applyFont="1" applyFill="1" applyBorder="1">
      <alignment vertical="center"/>
    </xf>
    <xf numFmtId="0" fontId="17" fillId="16" borderId="33" xfId="0" applyFont="1" applyFill="1" applyBorder="1">
      <alignment vertical="center"/>
    </xf>
    <xf numFmtId="0" fontId="23" fillId="16" borderId="34" xfId="0" applyFont="1" applyFill="1" applyBorder="1" applyAlignment="1">
      <alignment horizontal="center" vertical="center"/>
    </xf>
    <xf numFmtId="0" fontId="23" fillId="16" borderId="16" xfId="0" applyFont="1" applyFill="1" applyBorder="1">
      <alignment vertical="center"/>
    </xf>
    <xf numFmtId="40" fontId="23" fillId="16" borderId="16" xfId="2" applyNumberFormat="1" applyFont="1" applyFill="1" applyBorder="1" applyAlignment="1">
      <alignment horizontal="center" vertical="center"/>
    </xf>
    <xf numFmtId="40" fontId="23" fillId="16" borderId="35" xfId="2" applyNumberFormat="1" applyFont="1" applyFill="1" applyBorder="1" applyAlignment="1">
      <alignment horizontal="center" vertical="center"/>
    </xf>
    <xf numFmtId="193" fontId="3" fillId="0" borderId="0" xfId="0" applyNumberFormat="1" applyFont="1">
      <alignment vertical="center"/>
    </xf>
    <xf numFmtId="235" fontId="3" fillId="0" borderId="0" xfId="0" applyNumberFormat="1" applyFont="1">
      <alignment vertical="center"/>
    </xf>
    <xf numFmtId="0" fontId="5" fillId="0" borderId="33" xfId="0" applyFont="1" applyBorder="1" applyAlignment="1">
      <alignment horizontal="center" vertical="center"/>
    </xf>
    <xf numFmtId="176" fontId="5" fillId="0" borderId="33" xfId="0" applyNumberFormat="1" applyFont="1" applyBorder="1" applyAlignment="1">
      <alignment horizontal="center" vertical="center"/>
    </xf>
    <xf numFmtId="178" fontId="121" fillId="0" borderId="33" xfId="0" applyNumberFormat="1" applyFont="1" applyBorder="1" applyAlignment="1">
      <alignment horizontal="right" vertical="center"/>
    </xf>
    <xf numFmtId="191" fontId="5" fillId="0" borderId="33" xfId="0" applyNumberFormat="1" applyFont="1" applyBorder="1" applyAlignment="1">
      <alignment horizontal="right" vertical="center"/>
    </xf>
    <xf numFmtId="191" fontId="5" fillId="0" borderId="33" xfId="0" applyNumberFormat="1" applyFont="1" applyBorder="1">
      <alignment vertical="center"/>
    </xf>
    <xf numFmtId="0" fontId="5" fillId="0" borderId="33" xfId="0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178" fontId="121" fillId="0" borderId="2" xfId="0" applyNumberFormat="1" applyFont="1" applyBorder="1" applyAlignment="1">
      <alignment horizontal="right" vertical="center"/>
    </xf>
    <xf numFmtId="191" fontId="5" fillId="0" borderId="2" xfId="0" applyNumberFormat="1" applyFont="1" applyBorder="1" applyAlignment="1">
      <alignment horizontal="right" vertical="center"/>
    </xf>
    <xf numFmtId="191" fontId="5" fillId="0" borderId="2" xfId="0" applyNumberFormat="1" applyFont="1" applyBorder="1">
      <alignment vertical="center"/>
    </xf>
    <xf numFmtId="0" fontId="5" fillId="0" borderId="2" xfId="0" applyFont="1" applyBorder="1">
      <alignment vertical="center"/>
    </xf>
    <xf numFmtId="178" fontId="130" fillId="0" borderId="2" xfId="0" applyNumberFormat="1" applyFont="1" applyBorder="1" applyAlignment="1">
      <alignment horizontal="right" vertical="center"/>
    </xf>
    <xf numFmtId="178" fontId="130" fillId="0" borderId="33" xfId="0" applyNumberFormat="1" applyFont="1" applyBorder="1" applyAlignment="1">
      <alignment horizontal="right" vertical="center"/>
    </xf>
    <xf numFmtId="0" fontId="5" fillId="11" borderId="36" xfId="0" applyFont="1" applyFill="1" applyBorder="1" applyAlignment="1">
      <alignment horizontal="right" vertical="center"/>
    </xf>
    <xf numFmtId="0" fontId="5" fillId="11" borderId="37" xfId="0" applyFont="1" applyFill="1" applyBorder="1" applyAlignment="1">
      <alignment horizontal="right" vertical="center"/>
    </xf>
    <xf numFmtId="0" fontId="136" fillId="11" borderId="36" xfId="0" applyFont="1" applyFill="1" applyBorder="1" applyAlignment="1">
      <alignment horizontal="right" vertical="center"/>
    </xf>
    <xf numFmtId="0" fontId="136" fillId="11" borderId="37" xfId="0" applyFont="1" applyFill="1" applyBorder="1" applyAlignment="1">
      <alignment horizontal="right" vertical="center"/>
    </xf>
    <xf numFmtId="221" fontId="39" fillId="0" borderId="16" xfId="0" applyNumberFormat="1" applyFont="1" applyBorder="1" applyAlignment="1">
      <alignment horizontal="center" shrinkToFit="1"/>
    </xf>
    <xf numFmtId="0" fontId="19" fillId="0" borderId="0" xfId="0" applyFont="1" applyAlignment="1">
      <alignment horizontal="center" vertical="center"/>
    </xf>
    <xf numFmtId="221" fontId="39" fillId="0" borderId="21" xfId="0" applyNumberFormat="1" applyFont="1" applyBorder="1" applyAlignment="1">
      <alignment horizontal="center" vertical="top" shrinkToFit="1"/>
    </xf>
    <xf numFmtId="0" fontId="19" fillId="0" borderId="21" xfId="0" applyFont="1" applyBorder="1" applyAlignment="1">
      <alignment horizontal="center" vertical="center"/>
    </xf>
    <xf numFmtId="0" fontId="172" fillId="0" borderId="3" xfId="0" applyFont="1" applyBorder="1" applyAlignment="1">
      <alignment horizontal="center" vertical="center"/>
    </xf>
    <xf numFmtId="0" fontId="172" fillId="0" borderId="3" xfId="0" applyFont="1" applyBorder="1" applyAlignment="1">
      <alignment horizontal="left" vertical="center"/>
    </xf>
    <xf numFmtId="191" fontId="8" fillId="0" borderId="0" xfId="0" applyNumberFormat="1" applyFont="1" applyAlignment="1">
      <alignment horizontal="right" vertical="center"/>
    </xf>
    <xf numFmtId="179" fontId="4" fillId="10" borderId="13" xfId="0" applyNumberFormat="1" applyFont="1" applyFill="1" applyBorder="1" applyAlignment="1">
      <alignment horizontal="center" vertical="center" wrapText="1"/>
    </xf>
    <xf numFmtId="215" fontId="19" fillId="11" borderId="16" xfId="0" applyNumberFormat="1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 wrapText="1" shrinkToFit="1"/>
    </xf>
    <xf numFmtId="221" fontId="19" fillId="0" borderId="16" xfId="0" applyNumberFormat="1" applyFont="1" applyBorder="1" applyAlignment="1">
      <alignment horizontal="center" vertical="center" shrinkToFit="1"/>
    </xf>
    <xf numFmtId="49" fontId="41" fillId="0" borderId="16" xfId="0" applyNumberFormat="1" applyFont="1" applyBorder="1" applyAlignment="1">
      <alignment horizontal="center" vertical="center" shrinkToFit="1"/>
    </xf>
    <xf numFmtId="0" fontId="70" fillId="5" borderId="1" xfId="0" applyFont="1" applyFill="1" applyBorder="1" applyAlignment="1">
      <alignment horizontal="center" vertical="center" shrinkToFit="1"/>
    </xf>
    <xf numFmtId="0" fontId="173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left" vertical="center" wrapText="1"/>
    </xf>
    <xf numFmtId="0" fontId="173" fillId="0" borderId="1" xfId="0" applyFont="1" applyBorder="1" applyAlignment="1">
      <alignment vertical="center" wrapText="1"/>
    </xf>
    <xf numFmtId="215" fontId="173" fillId="0" borderId="1" xfId="0" applyNumberFormat="1" applyFont="1" applyBorder="1" applyAlignment="1">
      <alignment horizontal="right" vertical="center" wrapText="1"/>
    </xf>
    <xf numFmtId="0" fontId="168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75" fillId="0" borderId="0" xfId="0" applyFont="1">
      <alignment vertical="center"/>
    </xf>
    <xf numFmtId="49" fontId="70" fillId="0" borderId="1" xfId="0" applyNumberFormat="1" applyFont="1" applyBorder="1" applyAlignment="1">
      <alignment horizontal="center" vertical="center" shrinkToFit="1"/>
    </xf>
    <xf numFmtId="0" fontId="71" fillId="0" borderId="1" xfId="0" applyFont="1" applyBorder="1" applyAlignment="1">
      <alignment horizontal="center" vertical="center" shrinkToFit="1"/>
    </xf>
    <xf numFmtId="0" fontId="70" fillId="0" borderId="1" xfId="0" applyFont="1" applyBorder="1" applyAlignment="1">
      <alignment horizontal="center" vertical="center" wrapText="1" shrinkToFit="1"/>
    </xf>
    <xf numFmtId="0" fontId="70" fillId="0" borderId="1" xfId="0" applyFont="1" applyBorder="1" applyAlignment="1">
      <alignment horizontal="center" vertical="center" shrinkToFit="1"/>
    </xf>
    <xf numFmtId="213" fontId="176" fillId="0" borderId="1" xfId="7" applyFont="1" applyFill="1" applyBorder="1" applyAlignment="1">
      <alignment horizontal="center" vertical="center"/>
    </xf>
    <xf numFmtId="0" fontId="177" fillId="0" borderId="1" xfId="0" applyFont="1" applyBorder="1" applyAlignment="1">
      <alignment horizontal="justify" vertical="center" wrapText="1"/>
    </xf>
    <xf numFmtId="0" fontId="178" fillId="0" borderId="1" xfId="0" applyFont="1" applyBorder="1" applyAlignment="1">
      <alignment horizontal="center" vertical="center" wrapText="1"/>
    </xf>
    <xf numFmtId="0" fontId="171" fillId="13" borderId="1" xfId="11" applyFont="1" applyFill="1" applyBorder="1" applyAlignment="1">
      <alignment horizontal="center" vertical="center" wrapText="1"/>
    </xf>
    <xf numFmtId="212" fontId="148" fillId="13" borderId="1" xfId="0" applyNumberFormat="1" applyFont="1" applyFill="1" applyBorder="1" applyAlignment="1">
      <alignment horizontal="center" vertical="center"/>
    </xf>
    <xf numFmtId="49" fontId="171" fillId="20" borderId="1" xfId="0" applyNumberFormat="1" applyFont="1" applyFill="1" applyBorder="1" applyAlignment="1">
      <alignment horizontal="center" vertical="center" wrapText="1"/>
    </xf>
    <xf numFmtId="212" fontId="148" fillId="20" borderId="1" xfId="0" applyNumberFormat="1" applyFont="1" applyFill="1" applyBorder="1" applyAlignment="1">
      <alignment horizontal="center" vertical="center"/>
    </xf>
    <xf numFmtId="188" fontId="38" fillId="0" borderId="1" xfId="0" applyNumberFormat="1" applyFont="1" applyBorder="1" applyAlignment="1">
      <alignment horizontal="center" vertical="center"/>
    </xf>
    <xf numFmtId="217" fontId="38" fillId="0" borderId="1" xfId="0" applyNumberFormat="1" applyFont="1" applyBorder="1" applyAlignment="1">
      <alignment horizontal="center" vertical="center"/>
    </xf>
    <xf numFmtId="217" fontId="38" fillId="0" borderId="1" xfId="0" applyNumberFormat="1" applyFont="1" applyBorder="1" applyAlignment="1">
      <alignment horizontal="center" vertical="center" wrapText="1"/>
    </xf>
    <xf numFmtId="223" fontId="38" fillId="0" borderId="1" xfId="0" applyNumberFormat="1" applyFont="1" applyBorder="1" applyAlignment="1">
      <alignment horizontal="center" vertical="center" wrapText="1"/>
    </xf>
    <xf numFmtId="49" fontId="38" fillId="0" borderId="1" xfId="0" applyNumberFormat="1" applyFont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215" fontId="8" fillId="0" borderId="1" xfId="0" applyNumberFormat="1" applyFont="1" applyBorder="1" applyAlignment="1">
      <alignment horizontal="right" vertical="center"/>
    </xf>
    <xf numFmtId="189" fontId="5" fillId="0" borderId="1" xfId="0" applyNumberFormat="1" applyFont="1" applyBorder="1">
      <alignment vertical="center"/>
    </xf>
    <xf numFmtId="229" fontId="36" fillId="0" borderId="1" xfId="0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212" fontId="36" fillId="0" borderId="1" xfId="0" applyNumberFormat="1" applyFont="1" applyBorder="1" applyAlignment="1">
      <alignment horizontal="right" vertical="center"/>
    </xf>
    <xf numFmtId="186" fontId="129" fillId="0" borderId="27" xfId="0" applyNumberFormat="1" applyFont="1" applyBorder="1">
      <alignment vertical="center"/>
    </xf>
    <xf numFmtId="179" fontId="37" fillId="10" borderId="1" xfId="0" applyNumberFormat="1" applyFont="1" applyFill="1" applyBorder="1" applyAlignment="1">
      <alignment horizontal="left" vertical="center"/>
    </xf>
    <xf numFmtId="212" fontId="179" fillId="0" borderId="1" xfId="0" applyNumberFormat="1" applyFont="1" applyBorder="1" applyAlignment="1">
      <alignment horizontal="right" vertical="center"/>
    </xf>
    <xf numFmtId="0" fontId="179" fillId="0" borderId="1" xfId="0" applyFont="1" applyBorder="1" applyAlignment="1">
      <alignment horizontal="center" vertical="center"/>
    </xf>
    <xf numFmtId="195" fontId="5" fillId="0" borderId="16" xfId="0" applyNumberFormat="1" applyFont="1" applyBorder="1" applyAlignment="1"/>
    <xf numFmtId="178" fontId="121" fillId="0" borderId="13" xfId="0" applyNumberFormat="1" applyFont="1" applyBorder="1" applyAlignment="1">
      <alignment horizontal="right" vertical="center"/>
    </xf>
    <xf numFmtId="0" fontId="168" fillId="0" borderId="1" xfId="0" applyFont="1" applyBorder="1" applyAlignment="1">
      <alignment horizontal="center" vertical="center"/>
    </xf>
    <xf numFmtId="178" fontId="121" fillId="11" borderId="1" xfId="0" applyNumberFormat="1" applyFont="1" applyFill="1" applyBorder="1" applyAlignment="1">
      <alignment horizontal="center" vertical="center"/>
    </xf>
    <xf numFmtId="189" fontId="5" fillId="11" borderId="1" xfId="0" applyNumberFormat="1" applyFont="1" applyFill="1" applyBorder="1" applyAlignment="1"/>
    <xf numFmtId="178" fontId="5" fillId="11" borderId="1" xfId="0" applyNumberFormat="1" applyFont="1" applyFill="1" applyBorder="1" applyAlignment="1">
      <alignment horizontal="right" vertical="center"/>
    </xf>
    <xf numFmtId="180" fontId="5" fillId="11" borderId="1" xfId="0" applyNumberFormat="1" applyFont="1" applyFill="1" applyBorder="1" applyAlignment="1">
      <alignment horizontal="right" vertical="center"/>
    </xf>
    <xf numFmtId="191" fontId="15" fillId="11" borderId="1" xfId="0" applyNumberFormat="1" applyFont="1" applyFill="1" applyBorder="1" applyAlignment="1">
      <alignment horizontal="center" vertical="center"/>
    </xf>
    <xf numFmtId="215" fontId="5" fillId="11" borderId="13" xfId="0" applyNumberFormat="1" applyFont="1" applyFill="1" applyBorder="1" applyAlignment="1">
      <alignment horizontal="right" vertical="center"/>
    </xf>
    <xf numFmtId="215" fontId="5" fillId="11" borderId="1" xfId="0" applyNumberFormat="1" applyFont="1" applyFill="1" applyBorder="1">
      <alignment vertical="center"/>
    </xf>
    <xf numFmtId="186" fontId="5" fillId="11" borderId="1" xfId="0" applyNumberFormat="1" applyFont="1" applyFill="1" applyBorder="1">
      <alignment vertical="center"/>
    </xf>
    <xf numFmtId="186" fontId="8" fillId="0" borderId="28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213" fontId="176" fillId="0" borderId="1" xfId="7" applyFont="1" applyFill="1" applyBorder="1" applyAlignment="1">
      <alignment horizontal="center" vertical="top" wrapText="1"/>
    </xf>
    <xf numFmtId="215" fontId="5" fillId="0" borderId="0" xfId="0" applyNumberFormat="1" applyFont="1" applyAlignment="1">
      <alignment horizontal="right" vertical="center"/>
    </xf>
    <xf numFmtId="49" fontId="77" fillId="0" borderId="1" xfId="0" applyNumberFormat="1" applyFont="1" applyBorder="1" applyAlignment="1">
      <alignment horizontal="center" vertical="center" shrinkToFit="1"/>
    </xf>
    <xf numFmtId="0" fontId="49" fillId="0" borderId="1" xfId="0" applyFont="1" applyBorder="1" applyAlignment="1">
      <alignment horizontal="center" vertical="center"/>
    </xf>
    <xf numFmtId="0" fontId="35" fillId="0" borderId="0" xfId="0" applyFont="1">
      <alignment vertical="center"/>
    </xf>
    <xf numFmtId="0" fontId="4" fillId="0" borderId="1" xfId="0" applyFont="1" applyBorder="1" applyAlignment="1">
      <alignment horizontal="left" vertical="center"/>
    </xf>
    <xf numFmtId="211" fontId="4" fillId="0" borderId="1" xfId="0" applyNumberFormat="1" applyFont="1" applyBorder="1" applyAlignment="1">
      <alignment horizontal="right" vertical="center"/>
    </xf>
    <xf numFmtId="191" fontId="4" fillId="0" borderId="1" xfId="0" applyNumberFormat="1" applyFont="1" applyBorder="1">
      <alignment vertical="center"/>
    </xf>
    <xf numFmtId="223" fontId="78" fillId="0" borderId="1" xfId="0" applyNumberFormat="1" applyFont="1" applyBorder="1" applyAlignment="1">
      <alignment horizontal="center" vertical="center" wrapText="1"/>
    </xf>
    <xf numFmtId="189" fontId="4" fillId="0" borderId="1" xfId="0" applyNumberFormat="1" applyFont="1" applyBorder="1" applyAlignment="1"/>
    <xf numFmtId="185" fontId="4" fillId="0" borderId="1" xfId="0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189" fontId="4" fillId="0" borderId="21" xfId="0" applyNumberFormat="1" applyFont="1" applyBorder="1" applyAlignment="1"/>
    <xf numFmtId="176" fontId="4" fillId="0" borderId="21" xfId="0" applyNumberFormat="1" applyFont="1" applyBorder="1" applyAlignment="1">
      <alignment horizontal="center" vertical="center"/>
    </xf>
    <xf numFmtId="178" fontId="4" fillId="0" borderId="21" xfId="0" applyNumberFormat="1" applyFont="1" applyBorder="1" applyAlignment="1">
      <alignment horizontal="right" vertical="center"/>
    </xf>
    <xf numFmtId="180" fontId="4" fillId="0" borderId="21" xfId="0" applyNumberFormat="1" applyFont="1" applyBorder="1" applyAlignment="1">
      <alignment horizontal="right" vertical="center"/>
    </xf>
    <xf numFmtId="185" fontId="4" fillId="0" borderId="21" xfId="0" applyNumberFormat="1" applyFont="1" applyBorder="1" applyAlignment="1">
      <alignment horizontal="right" vertical="center"/>
    </xf>
    <xf numFmtId="191" fontId="4" fillId="0" borderId="3" xfId="0" applyNumberFormat="1" applyFont="1" applyBorder="1">
      <alignment vertical="center"/>
    </xf>
    <xf numFmtId="0" fontId="79" fillId="0" borderId="1" xfId="0" applyFont="1" applyBorder="1" applyAlignment="1">
      <alignment horizontal="center" vertical="center"/>
    </xf>
    <xf numFmtId="193" fontId="4" fillId="0" borderId="1" xfId="0" applyNumberFormat="1" applyFont="1" applyBorder="1">
      <alignment vertical="center"/>
    </xf>
    <xf numFmtId="194" fontId="4" fillId="0" borderId="1" xfId="0" applyNumberFormat="1" applyFont="1" applyBorder="1">
      <alignment vertical="center"/>
    </xf>
    <xf numFmtId="178" fontId="4" fillId="0" borderId="1" xfId="0" applyNumberFormat="1" applyFont="1" applyBorder="1" applyAlignment="1">
      <alignment horizontal="right" vertical="center"/>
    </xf>
    <xf numFmtId="180" fontId="4" fillId="0" borderId="1" xfId="0" applyNumberFormat="1" applyFont="1" applyBorder="1" applyAlignment="1">
      <alignment horizontal="right" vertical="center"/>
    </xf>
    <xf numFmtId="187" fontId="4" fillId="0" borderId="1" xfId="0" applyNumberFormat="1" applyFont="1" applyBorder="1">
      <alignment vertical="center"/>
    </xf>
    <xf numFmtId="0" fontId="18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215" fontId="121" fillId="0" borderId="1" xfId="0" applyNumberFormat="1" applyFont="1" applyBorder="1">
      <alignment vertical="center"/>
    </xf>
    <xf numFmtId="180" fontId="124" fillId="0" borderId="1" xfId="0" applyNumberFormat="1" applyFont="1" applyBorder="1" applyAlignment="1">
      <alignment horizontal="right" vertical="center"/>
    </xf>
    <xf numFmtId="0" fontId="4" fillId="0" borderId="0" xfId="0" applyFont="1" applyAlignment="1"/>
    <xf numFmtId="188" fontId="4" fillId="0" borderId="21" xfId="0" applyNumberFormat="1" applyFont="1" applyBorder="1" applyAlignment="1"/>
    <xf numFmtId="0" fontId="4" fillId="0" borderId="21" xfId="0" applyFont="1" applyBorder="1" applyAlignment="1">
      <alignment horizontal="center" vertical="center"/>
    </xf>
    <xf numFmtId="193" fontId="4" fillId="0" borderId="21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91" fontId="49" fillId="0" borderId="1" xfId="0" applyNumberFormat="1" applyFont="1" applyBorder="1" applyAlignment="1">
      <alignment horizontal="right" vertical="center"/>
    </xf>
    <xf numFmtId="191" fontId="49" fillId="0" borderId="1" xfId="0" applyNumberFormat="1" applyFont="1" applyBorder="1">
      <alignment vertical="center"/>
    </xf>
    <xf numFmtId="0" fontId="165" fillId="10" borderId="1" xfId="0" applyFont="1" applyFill="1" applyBorder="1" applyAlignment="1">
      <alignment horizontal="center" vertical="center"/>
    </xf>
    <xf numFmtId="176" fontId="4" fillId="10" borderId="1" xfId="0" applyNumberFormat="1" applyFont="1" applyFill="1" applyBorder="1" applyAlignment="1">
      <alignment horizontal="center" vertical="center"/>
    </xf>
    <xf numFmtId="185" fontId="4" fillId="10" borderId="1" xfId="0" applyNumberFormat="1" applyFont="1" applyFill="1" applyBorder="1" applyAlignment="1">
      <alignment horizontal="right" vertical="center"/>
    </xf>
    <xf numFmtId="194" fontId="4" fillId="10" borderId="1" xfId="0" applyNumberFormat="1" applyFont="1" applyFill="1" applyBorder="1">
      <alignment vertical="center"/>
    </xf>
    <xf numFmtId="193" fontId="4" fillId="10" borderId="1" xfId="0" applyNumberFormat="1" applyFont="1" applyFill="1" applyBorder="1">
      <alignment vertical="center"/>
    </xf>
    <xf numFmtId="191" fontId="4" fillId="10" borderId="1" xfId="0" applyNumberFormat="1" applyFont="1" applyFill="1" applyBorder="1">
      <alignment vertical="center"/>
    </xf>
    <xf numFmtId="191" fontId="181" fillId="0" borderId="1" xfId="0" applyNumberFormat="1" applyFont="1" applyBorder="1" applyAlignment="1">
      <alignment horizontal="center" vertical="center"/>
    </xf>
    <xf numFmtId="191" fontId="181" fillId="0" borderId="1" xfId="0" applyNumberFormat="1" applyFont="1" applyBorder="1">
      <alignment vertical="center"/>
    </xf>
    <xf numFmtId="0" fontId="5" fillId="4" borderId="26" xfId="0" applyFont="1" applyFill="1" applyBorder="1" applyAlignment="1">
      <alignment horizontal="right" vertical="center"/>
    </xf>
    <xf numFmtId="195" fontId="5" fillId="0" borderId="0" xfId="0" applyNumberFormat="1" applyFont="1" applyAlignment="1">
      <alignment horizontal="right" vertical="center"/>
    </xf>
    <xf numFmtId="195" fontId="5" fillId="0" borderId="1" xfId="0" applyNumberFormat="1" applyFont="1" applyBorder="1" applyAlignment="1"/>
    <xf numFmtId="238" fontId="179" fillId="0" borderId="0" xfId="0" applyNumberFormat="1" applyFont="1">
      <alignment vertical="center"/>
    </xf>
    <xf numFmtId="0" fontId="179" fillId="0" borderId="0" xfId="0" applyFont="1">
      <alignment vertical="center"/>
    </xf>
    <xf numFmtId="49" fontId="80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/>
    </xf>
    <xf numFmtId="237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195" fontId="78" fillId="11" borderId="1" xfId="0" applyNumberFormat="1" applyFont="1" applyFill="1" applyBorder="1">
      <alignment vertical="center"/>
    </xf>
    <xf numFmtId="0" fontId="182" fillId="0" borderId="1" xfId="11" applyFont="1" applyBorder="1" applyAlignment="1">
      <alignment horizontal="center" vertical="center"/>
    </xf>
    <xf numFmtId="0" fontId="182" fillId="0" borderId="1" xfId="11" applyFont="1" applyBorder="1" applyAlignment="1">
      <alignment horizontal="center" vertical="center" wrapText="1"/>
    </xf>
    <xf numFmtId="49" fontId="182" fillId="0" borderId="1" xfId="0" applyNumberFormat="1" applyFont="1" applyBorder="1" applyAlignment="1">
      <alignment horizontal="center" vertical="center" wrapText="1"/>
    </xf>
    <xf numFmtId="229" fontId="183" fillId="0" borderId="1" xfId="0" quotePrefix="1" applyNumberFormat="1" applyFont="1" applyBorder="1" applyAlignment="1">
      <alignment horizontal="center" vertical="center"/>
    </xf>
    <xf numFmtId="0" fontId="183" fillId="0" borderId="1" xfId="0" applyFont="1" applyBorder="1" applyAlignment="1">
      <alignment horizontal="center" vertical="center"/>
    </xf>
    <xf numFmtId="212" fontId="183" fillId="0" borderId="1" xfId="0" applyNumberFormat="1" applyFont="1" applyBorder="1" applyAlignment="1">
      <alignment horizontal="center" vertical="center"/>
    </xf>
    <xf numFmtId="230" fontId="183" fillId="0" borderId="1" xfId="6" applyNumberFormat="1" applyFont="1" applyFill="1" applyBorder="1" applyAlignment="1">
      <alignment horizontal="center" vertical="center"/>
    </xf>
    <xf numFmtId="229" fontId="183" fillId="0" borderId="1" xfId="0" applyNumberFormat="1" applyFont="1" applyBorder="1" applyAlignment="1">
      <alignment horizontal="center" vertical="center"/>
    </xf>
    <xf numFmtId="0" fontId="184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93" fontId="4" fillId="0" borderId="1" xfId="0" applyNumberFormat="1" applyFont="1" applyBorder="1" applyAlignment="1">
      <alignment horizontal="center" vertical="center"/>
    </xf>
    <xf numFmtId="194" fontId="4" fillId="0" borderId="1" xfId="0" applyNumberFormat="1" applyFont="1" applyBorder="1" applyAlignment="1">
      <alignment horizontal="center" vertical="center"/>
    </xf>
    <xf numFmtId="191" fontId="4" fillId="0" borderId="1" xfId="0" applyNumberFormat="1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 shrinkToFit="1"/>
    </xf>
    <xf numFmtId="0" fontId="77" fillId="0" borderId="1" xfId="0" applyFont="1" applyBorder="1" applyAlignment="1">
      <alignment horizontal="center" vertical="center" wrapText="1" shrinkToFit="1"/>
    </xf>
    <xf numFmtId="213" fontId="185" fillId="0" borderId="1" xfId="7" applyFont="1" applyFill="1" applyBorder="1" applyAlignment="1">
      <alignment horizontal="center" vertical="center"/>
    </xf>
    <xf numFmtId="0" fontId="186" fillId="0" borderId="1" xfId="0" applyFont="1" applyBorder="1" applyAlignment="1">
      <alignment horizontal="center" vertical="center" wrapText="1"/>
    </xf>
    <xf numFmtId="0" fontId="186" fillId="0" borderId="1" xfId="0" applyFont="1" applyBorder="1" applyAlignment="1">
      <alignment horizontal="left" vertical="center" wrapText="1"/>
    </xf>
    <xf numFmtId="0" fontId="186" fillId="0" borderId="1" xfId="0" applyFont="1" applyBorder="1" applyAlignment="1">
      <alignment vertical="center" wrapText="1"/>
    </xf>
    <xf numFmtId="215" fontId="186" fillId="0" borderId="1" xfId="0" applyNumberFormat="1" applyFont="1" applyBorder="1" applyAlignment="1">
      <alignment horizontal="right" vertical="center" wrapText="1"/>
    </xf>
    <xf numFmtId="188" fontId="80" fillId="0" borderId="1" xfId="0" applyNumberFormat="1" applyFont="1" applyBorder="1" applyAlignment="1">
      <alignment horizontal="center" vertical="center"/>
    </xf>
    <xf numFmtId="217" fontId="80" fillId="0" borderId="1" xfId="0" applyNumberFormat="1" applyFont="1" applyBorder="1" applyAlignment="1">
      <alignment horizontal="center" vertical="center"/>
    </xf>
    <xf numFmtId="217" fontId="80" fillId="0" borderId="1" xfId="0" applyNumberFormat="1" applyFont="1" applyBorder="1" applyAlignment="1">
      <alignment horizontal="center" vertical="center" wrapText="1"/>
    </xf>
    <xf numFmtId="223" fontId="80" fillId="0" borderId="1" xfId="0" applyNumberFormat="1" applyFont="1" applyBorder="1" applyAlignment="1">
      <alignment horizontal="center" vertical="center" wrapText="1"/>
    </xf>
    <xf numFmtId="218" fontId="80" fillId="0" borderId="1" xfId="0" applyNumberFormat="1" applyFont="1" applyBorder="1" applyAlignment="1">
      <alignment horizontal="center" vertical="center"/>
    </xf>
    <xf numFmtId="202" fontId="41" fillId="0" borderId="1" xfId="0" applyNumberFormat="1" applyFont="1" applyBorder="1" applyAlignment="1">
      <alignment horizontal="center" vertical="center"/>
    </xf>
    <xf numFmtId="207" fontId="187" fillId="0" borderId="1" xfId="0" applyNumberFormat="1" applyFont="1" applyBorder="1" applyAlignment="1">
      <alignment horizontal="center" vertical="center"/>
    </xf>
    <xf numFmtId="0" fontId="187" fillId="0" borderId="1" xfId="0" applyFont="1" applyBorder="1" applyAlignment="1">
      <alignment horizontal="center"/>
    </xf>
    <xf numFmtId="215" fontId="78" fillId="0" borderId="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91" fontId="120" fillId="0" borderId="1" xfId="0" applyNumberFormat="1" applyFont="1" applyBorder="1" applyAlignment="1">
      <alignment horizontal="center" vertical="center"/>
    </xf>
    <xf numFmtId="191" fontId="120" fillId="0" borderId="0" xfId="0" applyNumberFormat="1" applyFont="1">
      <alignment vertical="center"/>
    </xf>
    <xf numFmtId="0" fontId="120" fillId="4" borderId="26" xfId="0" applyFont="1" applyFill="1" applyBorder="1">
      <alignment vertical="center"/>
    </xf>
    <xf numFmtId="0" fontId="120" fillId="4" borderId="0" xfId="0" applyFont="1" applyFill="1" applyAlignment="1">
      <alignment horizontal="right" vertical="center"/>
    </xf>
    <xf numFmtId="195" fontId="120" fillId="0" borderId="0" xfId="0" applyNumberFormat="1" applyFont="1">
      <alignment vertical="center"/>
    </xf>
    <xf numFmtId="188" fontId="80" fillId="11" borderId="1" xfId="0" applyNumberFormat="1" applyFont="1" applyFill="1" applyBorder="1" applyAlignment="1">
      <alignment horizontal="center" vertical="center"/>
    </xf>
    <xf numFmtId="217" fontId="80" fillId="11" borderId="1" xfId="0" applyNumberFormat="1" applyFont="1" applyFill="1" applyBorder="1" applyAlignment="1">
      <alignment horizontal="center" vertical="center"/>
    </xf>
    <xf numFmtId="217" fontId="80" fillId="11" borderId="1" xfId="0" applyNumberFormat="1" applyFont="1" applyFill="1" applyBorder="1" applyAlignment="1">
      <alignment horizontal="center" vertical="center" wrapText="1"/>
    </xf>
    <xf numFmtId="0" fontId="80" fillId="11" borderId="1" xfId="0" applyFont="1" applyFill="1" applyBorder="1" applyAlignment="1">
      <alignment horizontal="center" vertical="center"/>
    </xf>
    <xf numFmtId="223" fontId="80" fillId="11" borderId="1" xfId="0" applyNumberFormat="1" applyFont="1" applyFill="1" applyBorder="1" applyAlignment="1">
      <alignment horizontal="center" vertical="center" wrapText="1"/>
    </xf>
    <xf numFmtId="239" fontId="188" fillId="0" borderId="1" xfId="0" applyNumberFormat="1" applyFont="1" applyBorder="1" applyAlignment="1">
      <alignment horizontal="center" vertical="center"/>
    </xf>
    <xf numFmtId="207" fontId="4" fillId="0" borderId="1" xfId="0" applyNumberFormat="1" applyFont="1" applyBorder="1" applyAlignment="1"/>
    <xf numFmtId="195" fontId="78" fillId="0" borderId="1" xfId="0" applyNumberFormat="1" applyFont="1" applyBorder="1">
      <alignment vertical="center"/>
    </xf>
    <xf numFmtId="184" fontId="124" fillId="0" borderId="1" xfId="0" applyNumberFormat="1" applyFont="1" applyBorder="1" applyAlignment="1">
      <alignment horizontal="right" vertical="center"/>
    </xf>
    <xf numFmtId="184" fontId="4" fillId="0" borderId="1" xfId="0" applyNumberFormat="1" applyFont="1" applyBorder="1" applyAlignment="1">
      <alignment horizontal="right" vertical="center"/>
    </xf>
    <xf numFmtId="49" fontId="182" fillId="12" borderId="1" xfId="0" applyNumberFormat="1" applyFont="1" applyFill="1" applyBorder="1" applyAlignment="1">
      <alignment horizontal="center" vertical="center" wrapText="1"/>
    </xf>
    <xf numFmtId="213" fontId="182" fillId="12" borderId="1" xfId="6" applyFont="1" applyFill="1" applyBorder="1" applyAlignment="1">
      <alignment horizontal="center" vertical="center" wrapText="1"/>
    </xf>
    <xf numFmtId="0" fontId="188" fillId="0" borderId="0" xfId="0" applyFont="1" applyAlignment="1">
      <alignment horizontal="center" vertical="center"/>
    </xf>
    <xf numFmtId="49" fontId="188" fillId="0" borderId="1" xfId="0" applyNumberFormat="1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240" fontId="188" fillId="0" borderId="1" xfId="0" applyNumberFormat="1" applyFont="1" applyBorder="1" applyAlignment="1">
      <alignment horizontal="center" vertical="center"/>
    </xf>
    <xf numFmtId="215" fontId="188" fillId="0" borderId="1" xfId="0" applyNumberFormat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187" fontId="5" fillId="5" borderId="1" xfId="0" applyNumberFormat="1" applyFont="1" applyFill="1" applyBorder="1">
      <alignment vertical="center"/>
    </xf>
    <xf numFmtId="0" fontId="5" fillId="5" borderId="1" xfId="0" applyFont="1" applyFill="1" applyBorder="1" applyAlignment="1">
      <alignment horizontal="center"/>
    </xf>
    <xf numFmtId="179" fontId="4" fillId="5" borderId="1" xfId="0" applyNumberFormat="1" applyFont="1" applyFill="1" applyBorder="1" applyAlignment="1">
      <alignment horizontal="center" vertical="center" wrapText="1"/>
    </xf>
    <xf numFmtId="0" fontId="168" fillId="5" borderId="1" xfId="0" applyFont="1" applyFill="1" applyBorder="1" applyAlignment="1">
      <alignment horizontal="center" vertical="center"/>
    </xf>
    <xf numFmtId="184" fontId="121" fillId="5" borderId="1" xfId="0" applyNumberFormat="1" applyFont="1" applyFill="1" applyBorder="1" applyAlignment="1">
      <alignment horizontal="right" vertical="center"/>
    </xf>
    <xf numFmtId="180" fontId="121" fillId="5" borderId="1" xfId="0" applyNumberFormat="1" applyFont="1" applyFill="1" applyBorder="1" applyAlignment="1">
      <alignment horizontal="right" vertical="center"/>
    </xf>
    <xf numFmtId="184" fontId="5" fillId="5" borderId="1" xfId="0" applyNumberFormat="1" applyFont="1" applyFill="1" applyBorder="1" applyAlignment="1">
      <alignment horizontal="right" vertical="center"/>
    </xf>
    <xf numFmtId="191" fontId="121" fillId="5" borderId="1" xfId="0" applyNumberFormat="1" applyFont="1" applyFill="1" applyBorder="1">
      <alignment vertical="center"/>
    </xf>
    <xf numFmtId="191" fontId="15" fillId="5" borderId="1" xfId="0" applyNumberFormat="1" applyFont="1" applyFill="1" applyBorder="1" applyAlignment="1">
      <alignment horizontal="center" vertical="center"/>
    </xf>
    <xf numFmtId="179" fontId="35" fillId="5" borderId="1" xfId="0" applyNumberFormat="1" applyFont="1" applyFill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240" fontId="188" fillId="0" borderId="0" xfId="0" applyNumberFormat="1" applyFont="1" applyAlignment="1">
      <alignment horizontal="center" vertical="center"/>
    </xf>
    <xf numFmtId="49" fontId="18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215" fontId="188" fillId="0" borderId="0" xfId="0" applyNumberFormat="1" applyFont="1" applyAlignment="1">
      <alignment horizontal="center" vertical="center"/>
    </xf>
    <xf numFmtId="215" fontId="189" fillId="0" borderId="1" xfId="0" applyNumberFormat="1" applyFont="1" applyBorder="1" applyAlignment="1">
      <alignment horizontal="right" vertical="center"/>
    </xf>
    <xf numFmtId="240" fontId="41" fillId="0" borderId="1" xfId="0" applyNumberFormat="1" applyFont="1" applyBorder="1" applyAlignment="1">
      <alignment horizontal="center" vertical="center"/>
    </xf>
    <xf numFmtId="215" fontId="188" fillId="0" borderId="1" xfId="0" applyNumberFormat="1" applyFont="1" applyBorder="1" applyAlignment="1">
      <alignment horizontal="right" vertical="center"/>
    </xf>
    <xf numFmtId="240" fontId="13" fillId="0" borderId="1" xfId="0" applyNumberFormat="1" applyFont="1" applyBorder="1" applyAlignment="1">
      <alignment horizontal="center" vertical="center"/>
    </xf>
    <xf numFmtId="0" fontId="121" fillId="0" borderId="26" xfId="0" applyFont="1" applyBorder="1">
      <alignment vertical="center"/>
    </xf>
    <xf numFmtId="0" fontId="121" fillId="0" borderId="1" xfId="0" applyFont="1" applyBorder="1" applyAlignment="1">
      <alignment horizontal="center" vertical="center"/>
    </xf>
    <xf numFmtId="241" fontId="5" fillId="0" borderId="1" xfId="0" applyNumberFormat="1" applyFont="1" applyBorder="1" applyAlignment="1">
      <alignment horizontal="center" vertical="center"/>
    </xf>
    <xf numFmtId="241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0" fontId="187" fillId="0" borderId="1" xfId="0" applyFont="1" applyBorder="1" applyAlignment="1"/>
    <xf numFmtId="0" fontId="188" fillId="0" borderId="1" xfId="0" applyFont="1" applyBorder="1">
      <alignment vertical="center"/>
    </xf>
    <xf numFmtId="195" fontId="183" fillId="0" borderId="30" xfId="0" applyNumberFormat="1" applyFont="1" applyBorder="1" applyAlignment="1">
      <alignment horizontal="center" vertical="center"/>
    </xf>
    <xf numFmtId="0" fontId="41" fillId="0" borderId="0" xfId="0" applyFont="1">
      <alignment vertical="center"/>
    </xf>
    <xf numFmtId="207" fontId="187" fillId="0" borderId="1" xfId="0" applyNumberFormat="1" applyFont="1" applyBorder="1" applyAlignment="1">
      <alignment horizontal="right" vertical="center"/>
    </xf>
    <xf numFmtId="0" fontId="130" fillId="0" borderId="28" xfId="0" applyFont="1" applyBorder="1" applyAlignment="1">
      <alignment horizontal="right" vertical="center"/>
    </xf>
    <xf numFmtId="0" fontId="5" fillId="5" borderId="3" xfId="0" applyFont="1" applyFill="1" applyBorder="1" applyAlignment="1">
      <alignment horizontal="center"/>
    </xf>
    <xf numFmtId="191" fontId="5" fillId="5" borderId="12" xfId="0" applyNumberFormat="1" applyFont="1" applyFill="1" applyBorder="1" applyAlignment="1">
      <alignment horizontal="center" vertical="center"/>
    </xf>
    <xf numFmtId="0" fontId="5" fillId="5" borderId="28" xfId="0" applyFont="1" applyFill="1" applyBorder="1">
      <alignment vertical="center"/>
    </xf>
    <xf numFmtId="179" fontId="190" fillId="5" borderId="1" xfId="0" applyNumberFormat="1" applyFont="1" applyFill="1" applyBorder="1" applyAlignment="1">
      <alignment horizontal="center" vertical="center" wrapText="1"/>
    </xf>
    <xf numFmtId="186" fontId="8" fillId="5" borderId="28" xfId="0" applyNumberFormat="1" applyFont="1" applyFill="1" applyBorder="1">
      <alignment vertical="center"/>
    </xf>
    <xf numFmtId="215" fontId="5" fillId="5" borderId="1" xfId="0" applyNumberFormat="1" applyFont="1" applyFill="1" applyBorder="1">
      <alignment vertical="center"/>
    </xf>
    <xf numFmtId="0" fontId="120" fillId="5" borderId="0" xfId="0" applyFont="1" applyFill="1" applyAlignment="1">
      <alignment horizontal="center" vertical="center"/>
    </xf>
    <xf numFmtId="0" fontId="120" fillId="5" borderId="1" xfId="0" applyFont="1" applyFill="1" applyBorder="1">
      <alignment vertical="center"/>
    </xf>
    <xf numFmtId="0" fontId="120" fillId="5" borderId="11" xfId="0" applyFont="1" applyFill="1" applyBorder="1">
      <alignment vertical="center"/>
    </xf>
    <xf numFmtId="176" fontId="120" fillId="5" borderId="1" xfId="0" applyNumberFormat="1" applyFont="1" applyFill="1" applyBorder="1" applyAlignment="1">
      <alignment horizontal="center" vertical="center"/>
    </xf>
    <xf numFmtId="178" fontId="120" fillId="5" borderId="1" xfId="0" applyNumberFormat="1" applyFont="1" applyFill="1" applyBorder="1" applyAlignment="1">
      <alignment horizontal="right" vertical="center"/>
    </xf>
    <xf numFmtId="194" fontId="120" fillId="5" borderId="1" xfId="0" applyNumberFormat="1" applyFont="1" applyFill="1" applyBorder="1">
      <alignment vertical="center"/>
    </xf>
    <xf numFmtId="185" fontId="120" fillId="5" borderId="1" xfId="0" applyNumberFormat="1" applyFont="1" applyFill="1" applyBorder="1" applyAlignment="1">
      <alignment horizontal="right" vertical="center"/>
    </xf>
    <xf numFmtId="191" fontId="120" fillId="5" borderId="1" xfId="0" applyNumberFormat="1" applyFont="1" applyFill="1" applyBorder="1">
      <alignment vertical="center"/>
    </xf>
    <xf numFmtId="49" fontId="120" fillId="5" borderId="1" xfId="0" applyNumberFormat="1" applyFont="1" applyFill="1" applyBorder="1" applyAlignment="1">
      <alignment horizontal="left" vertical="center"/>
    </xf>
    <xf numFmtId="191" fontId="120" fillId="5" borderId="12" xfId="0" applyNumberFormat="1" applyFont="1" applyFill="1" applyBorder="1">
      <alignment vertical="center"/>
    </xf>
    <xf numFmtId="0" fontId="120" fillId="5" borderId="26" xfId="0" applyFont="1" applyFill="1" applyBorder="1">
      <alignment vertical="center"/>
    </xf>
    <xf numFmtId="0" fontId="120" fillId="5" borderId="0" xfId="0" applyFont="1" applyFill="1" applyAlignment="1">
      <alignment horizontal="right" vertical="center"/>
    </xf>
    <xf numFmtId="186" fontId="120" fillId="5" borderId="28" xfId="0" applyNumberFormat="1" applyFont="1" applyFill="1" applyBorder="1">
      <alignment vertical="center"/>
    </xf>
    <xf numFmtId="0" fontId="120" fillId="5" borderId="0" xfId="0" applyFont="1" applyFill="1">
      <alignment vertical="center"/>
    </xf>
    <xf numFmtId="0" fontId="3" fillId="5" borderId="0" xfId="0" applyFont="1" applyFill="1" applyAlignment="1">
      <alignment horizontal="center" vertical="center"/>
    </xf>
    <xf numFmtId="185" fontId="5" fillId="5" borderId="1" xfId="0" applyNumberFormat="1" applyFont="1" applyFill="1" applyBorder="1" applyAlignment="1">
      <alignment horizontal="right" vertical="center"/>
    </xf>
    <xf numFmtId="191" fontId="121" fillId="5" borderId="12" xfId="0" applyNumberFormat="1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right" vertical="center"/>
    </xf>
    <xf numFmtId="0" fontId="3" fillId="5" borderId="0" xfId="0" applyFont="1" applyFill="1" applyAlignment="1">
      <alignment horizontal="right" vertical="center"/>
    </xf>
    <xf numFmtId="191" fontId="121" fillId="5" borderId="28" xfId="0" applyNumberFormat="1" applyFont="1" applyFill="1" applyBorder="1">
      <alignment vertical="center"/>
    </xf>
    <xf numFmtId="0" fontId="3" fillId="5" borderId="0" xfId="0" applyFont="1" applyFill="1">
      <alignment vertical="center"/>
    </xf>
    <xf numFmtId="215" fontId="191" fillId="0" borderId="1" xfId="0" applyNumberFormat="1" applyFont="1" applyBorder="1" applyAlignment="1">
      <alignment horizontal="center" vertical="center"/>
    </xf>
    <xf numFmtId="0" fontId="141" fillId="0" borderId="1" xfId="0" applyFont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82" fillId="0" borderId="1" xfId="0" applyFont="1" applyBorder="1" applyAlignment="1">
      <alignment horizontal="center" vertical="center"/>
    </xf>
    <xf numFmtId="0" fontId="182" fillId="0" borderId="1" xfId="0" applyFont="1" applyBorder="1" applyAlignment="1">
      <alignment horizontal="center" vertical="center" wrapText="1"/>
    </xf>
    <xf numFmtId="0" fontId="192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9" fillId="0" borderId="12" xfId="0" applyFont="1" applyBorder="1" applyAlignment="1">
      <alignment horizontal="center" vertical="center"/>
    </xf>
    <xf numFmtId="226" fontId="4" fillId="0" borderId="12" xfId="0" applyNumberFormat="1" applyFont="1" applyBorder="1" applyAlignment="1">
      <alignment horizontal="right" vertical="center"/>
    </xf>
    <xf numFmtId="191" fontId="4" fillId="0" borderId="1" xfId="0" applyNumberFormat="1" applyFont="1" applyBorder="1" applyAlignment="1">
      <alignment horizontal="right" vertical="center"/>
    </xf>
    <xf numFmtId="0" fontId="4" fillId="0" borderId="1" xfId="0" applyFont="1" applyBorder="1">
      <alignment vertical="center"/>
    </xf>
    <xf numFmtId="185" fontId="4" fillId="0" borderId="12" xfId="0" applyNumberFormat="1" applyFont="1" applyBorder="1" applyAlignment="1">
      <alignment horizontal="right" vertical="center"/>
    </xf>
    <xf numFmtId="215" fontId="41" fillId="0" borderId="1" xfId="0" applyNumberFormat="1" applyFont="1" applyBorder="1" applyAlignment="1">
      <alignment horizontal="right" vertical="center"/>
    </xf>
    <xf numFmtId="226" fontId="4" fillId="0" borderId="1" xfId="0" applyNumberFormat="1" applyFont="1" applyBorder="1" applyAlignment="1">
      <alignment horizontal="right" vertical="center"/>
    </xf>
    <xf numFmtId="179" fontId="37" fillId="10" borderId="1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left" vertical="center"/>
    </xf>
    <xf numFmtId="0" fontId="171" fillId="0" borderId="0" xfId="11" applyFont="1" applyAlignment="1">
      <alignment horizontal="center" vertical="center"/>
    </xf>
    <xf numFmtId="240" fontId="41" fillId="0" borderId="16" xfId="0" applyNumberFormat="1" applyFont="1" applyBorder="1" applyAlignment="1">
      <alignment horizontal="left" vertical="center"/>
    </xf>
    <xf numFmtId="242" fontId="163" fillId="0" borderId="1" xfId="0" applyNumberFormat="1" applyFont="1" applyBorder="1" applyAlignment="1">
      <alignment horizontal="center" vertical="center"/>
    </xf>
    <xf numFmtId="49" fontId="182" fillId="0" borderId="1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200" fontId="193" fillId="0" borderId="0" xfId="0" applyNumberFormat="1" applyFont="1" applyAlignment="1">
      <alignment horizontal="center" vertical="center"/>
    </xf>
    <xf numFmtId="212" fontId="148" fillId="0" borderId="0" xfId="0" applyNumberFormat="1" applyFont="1" applyAlignment="1">
      <alignment horizontal="center" vertical="center"/>
    </xf>
    <xf numFmtId="200" fontId="148" fillId="0" borderId="0" xfId="0" applyNumberFormat="1" applyFont="1" applyAlignment="1">
      <alignment horizontal="center" vertical="center"/>
    </xf>
    <xf numFmtId="212" fontId="133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left" vertical="center"/>
    </xf>
    <xf numFmtId="0" fontId="80" fillId="0" borderId="0" xfId="0" applyFont="1">
      <alignment vertical="center"/>
    </xf>
    <xf numFmtId="0" fontId="194" fillId="0" borderId="0" xfId="0" applyFont="1">
      <alignment vertical="center"/>
    </xf>
    <xf numFmtId="0" fontId="81" fillId="0" borderId="1" xfId="0" applyFont="1" applyBorder="1" applyAlignment="1">
      <alignment horizontal="center" vertical="center"/>
    </xf>
    <xf numFmtId="200" fontId="183" fillId="0" borderId="1" xfId="0" applyNumberFormat="1" applyFont="1" applyBorder="1" applyAlignment="1">
      <alignment horizontal="center" vertical="center"/>
    </xf>
    <xf numFmtId="209" fontId="183" fillId="0" borderId="1" xfId="0" applyNumberFormat="1" applyFont="1" applyBorder="1" applyAlignment="1">
      <alignment horizontal="center" vertical="center"/>
    </xf>
    <xf numFmtId="194" fontId="130" fillId="10" borderId="1" xfId="0" applyNumberFormat="1" applyFont="1" applyFill="1" applyBorder="1">
      <alignment vertical="center"/>
    </xf>
    <xf numFmtId="193" fontId="130" fillId="10" borderId="1" xfId="0" applyNumberFormat="1" applyFont="1" applyFill="1" applyBorder="1">
      <alignment vertical="center"/>
    </xf>
    <xf numFmtId="179" fontId="143" fillId="10" borderId="1" xfId="0" applyNumberFormat="1" applyFont="1" applyFill="1" applyBorder="1" applyAlignment="1">
      <alignment horizontal="center" vertical="center" wrapText="1"/>
    </xf>
    <xf numFmtId="49" fontId="130" fillId="10" borderId="1" xfId="0" applyNumberFormat="1" applyFont="1" applyFill="1" applyBorder="1" applyAlignment="1">
      <alignment horizontal="left" vertical="center"/>
    </xf>
    <xf numFmtId="191" fontId="130" fillId="10" borderId="28" xfId="0" applyNumberFormat="1" applyFont="1" applyFill="1" applyBorder="1">
      <alignment vertical="center"/>
    </xf>
    <xf numFmtId="0" fontId="129" fillId="10" borderId="0" xfId="0" applyFont="1" applyFill="1">
      <alignment vertical="center"/>
    </xf>
    <xf numFmtId="179" fontId="35" fillId="0" borderId="1" xfId="0" applyNumberFormat="1" applyFont="1" applyBorder="1" applyAlignment="1">
      <alignment horizontal="center" vertical="center" wrapText="1"/>
    </xf>
    <xf numFmtId="178" fontId="124" fillId="0" borderId="13" xfId="0" applyNumberFormat="1" applyFont="1" applyBorder="1" applyAlignment="1">
      <alignment horizontal="right" vertical="center"/>
    </xf>
    <xf numFmtId="179" fontId="4" fillId="0" borderId="1" xfId="0" applyNumberFormat="1" applyFont="1" applyBorder="1" applyAlignment="1">
      <alignment horizontal="center" vertical="center"/>
    </xf>
    <xf numFmtId="0" fontId="4" fillId="10" borderId="21" xfId="0" applyFont="1" applyFill="1" applyBorder="1">
      <alignment vertical="center"/>
    </xf>
    <xf numFmtId="0" fontId="165" fillId="10" borderId="21" xfId="0" applyFont="1" applyFill="1" applyBorder="1" applyAlignment="1">
      <alignment horizontal="center" vertical="center"/>
    </xf>
    <xf numFmtId="176" fontId="4" fillId="10" borderId="21" xfId="0" applyNumberFormat="1" applyFont="1" applyFill="1" applyBorder="1" applyAlignment="1">
      <alignment horizontal="center" vertical="center"/>
    </xf>
    <xf numFmtId="185" fontId="4" fillId="10" borderId="21" xfId="0" applyNumberFormat="1" applyFont="1" applyFill="1" applyBorder="1" applyAlignment="1">
      <alignment horizontal="right" vertical="center"/>
    </xf>
    <xf numFmtId="194" fontId="4" fillId="10" borderId="21" xfId="0" applyNumberFormat="1" applyFont="1" applyFill="1" applyBorder="1">
      <alignment vertical="center"/>
    </xf>
    <xf numFmtId="178" fontId="143" fillId="10" borderId="21" xfId="0" applyNumberFormat="1" applyFont="1" applyFill="1" applyBorder="1" applyAlignment="1">
      <alignment horizontal="right" vertical="center"/>
    </xf>
    <xf numFmtId="0" fontId="194" fillId="0" borderId="1" xfId="0" applyFont="1" applyBorder="1" applyAlignment="1">
      <alignment horizontal="center" vertical="center"/>
    </xf>
    <xf numFmtId="194" fontId="4" fillId="0" borderId="21" xfId="0" applyNumberFormat="1" applyFont="1" applyBorder="1">
      <alignment vertical="center"/>
    </xf>
    <xf numFmtId="178" fontId="124" fillId="0" borderId="21" xfId="0" applyNumberFormat="1" applyFont="1" applyBorder="1" applyAlignment="1">
      <alignment horizontal="right" vertical="center"/>
    </xf>
    <xf numFmtId="0" fontId="194" fillId="0" borderId="21" xfId="0" applyFont="1" applyBorder="1" applyAlignment="1">
      <alignment horizontal="center" vertical="center"/>
    </xf>
    <xf numFmtId="0" fontId="143" fillId="0" borderId="21" xfId="0" applyFont="1" applyBorder="1" applyAlignment="1">
      <alignment horizontal="center" vertical="center"/>
    </xf>
    <xf numFmtId="0" fontId="79" fillId="0" borderId="38" xfId="0" applyFont="1" applyBorder="1" applyAlignment="1">
      <alignment horizontal="center" vertical="center"/>
    </xf>
    <xf numFmtId="0" fontId="49" fillId="0" borderId="38" xfId="0" applyFont="1" applyBorder="1" applyAlignment="1">
      <alignment horizontal="center" vertical="center"/>
    </xf>
    <xf numFmtId="0" fontId="37" fillId="0" borderId="38" xfId="0" applyFont="1" applyBorder="1" applyAlignment="1">
      <alignment horizontal="center" vertical="center"/>
    </xf>
    <xf numFmtId="176" fontId="4" fillId="0" borderId="38" xfId="0" applyNumberFormat="1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193" fontId="4" fillId="0" borderId="38" xfId="0" applyNumberFormat="1" applyFont="1" applyBorder="1">
      <alignment vertical="center"/>
    </xf>
    <xf numFmtId="194" fontId="4" fillId="0" borderId="38" xfId="0" applyNumberFormat="1" applyFont="1" applyBorder="1">
      <alignment vertical="center"/>
    </xf>
    <xf numFmtId="178" fontId="124" fillId="0" borderId="38" xfId="0" applyNumberFormat="1" applyFont="1" applyBorder="1" applyAlignment="1">
      <alignment horizontal="right" vertical="center"/>
    </xf>
    <xf numFmtId="0" fontId="194" fillId="0" borderId="38" xfId="0" applyFont="1" applyBorder="1" applyAlignment="1">
      <alignment horizontal="center" vertical="center"/>
    </xf>
    <xf numFmtId="176" fontId="4" fillId="0" borderId="39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193" fontId="4" fillId="0" borderId="39" xfId="0" applyNumberFormat="1" applyFont="1" applyBorder="1">
      <alignment vertical="center"/>
    </xf>
    <xf numFmtId="194" fontId="4" fillId="0" borderId="39" xfId="0" applyNumberFormat="1" applyFont="1" applyBorder="1">
      <alignment vertical="center"/>
    </xf>
    <xf numFmtId="178" fontId="124" fillId="0" borderId="39" xfId="0" applyNumberFormat="1" applyFont="1" applyBorder="1" applyAlignment="1">
      <alignment horizontal="right" vertical="center"/>
    </xf>
    <xf numFmtId="0" fontId="194" fillId="0" borderId="39" xfId="0" applyFont="1" applyBorder="1" applyAlignment="1">
      <alignment horizontal="center" vertical="center"/>
    </xf>
    <xf numFmtId="191" fontId="5" fillId="10" borderId="28" xfId="0" applyNumberFormat="1" applyFont="1" applyFill="1" applyBorder="1">
      <alignment vertical="center"/>
    </xf>
    <xf numFmtId="0" fontId="4" fillId="10" borderId="1" xfId="0" applyFont="1" applyFill="1" applyBorder="1" applyAlignment="1">
      <alignment horizontal="center" vertical="center"/>
    </xf>
    <xf numFmtId="178" fontId="4" fillId="10" borderId="1" xfId="0" applyNumberFormat="1" applyFont="1" applyFill="1" applyBorder="1" applyAlignment="1">
      <alignment horizontal="right" vertical="center"/>
    </xf>
    <xf numFmtId="49" fontId="4" fillId="10" borderId="1" xfId="0" applyNumberFormat="1" applyFont="1" applyFill="1" applyBorder="1" applyAlignment="1">
      <alignment horizontal="center" vertical="center"/>
    </xf>
    <xf numFmtId="243" fontId="5" fillId="0" borderId="1" xfId="0" applyNumberFormat="1" applyFont="1" applyBorder="1" applyAlignment="1"/>
    <xf numFmtId="0" fontId="49" fillId="0" borderId="7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210" fontId="4" fillId="0" borderId="10" xfId="0" applyNumberFormat="1" applyFont="1" applyBorder="1" applyAlignment="1">
      <alignment horizontal="right" vertical="center"/>
    </xf>
    <xf numFmtId="0" fontId="35" fillId="0" borderId="9" xfId="0" applyFont="1" applyBorder="1" applyAlignment="1">
      <alignment horizontal="center" vertical="center"/>
    </xf>
    <xf numFmtId="215" fontId="5" fillId="0" borderId="13" xfId="0" applyNumberFormat="1" applyFont="1" applyBorder="1" applyAlignment="1">
      <alignment horizontal="right" vertical="center"/>
    </xf>
    <xf numFmtId="0" fontId="49" fillId="0" borderId="13" xfId="0" applyFont="1" applyBorder="1" applyAlignment="1">
      <alignment horizontal="center"/>
    </xf>
    <xf numFmtId="0" fontId="78" fillId="0" borderId="1" xfId="0" applyFont="1" applyBorder="1">
      <alignment vertical="center"/>
    </xf>
    <xf numFmtId="0" fontId="41" fillId="0" borderId="16" xfId="0" applyFont="1" applyBorder="1" applyAlignment="1">
      <alignment horizontal="center" vertical="center"/>
    </xf>
    <xf numFmtId="0" fontId="78" fillId="0" borderId="16" xfId="0" applyFont="1" applyBorder="1">
      <alignment vertical="center"/>
    </xf>
    <xf numFmtId="191" fontId="4" fillId="0" borderId="16" xfId="0" applyNumberFormat="1" applyFont="1" applyBorder="1">
      <alignment vertical="center"/>
    </xf>
    <xf numFmtId="191" fontId="4" fillId="0" borderId="16" xfId="0" applyNumberFormat="1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78" fillId="0" borderId="2" xfId="0" applyFont="1" applyBorder="1">
      <alignment vertical="center"/>
    </xf>
    <xf numFmtId="191" fontId="4" fillId="0" borderId="2" xfId="0" applyNumberFormat="1" applyFont="1" applyBorder="1">
      <alignment vertic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 wrapText="1"/>
    </xf>
    <xf numFmtId="191" fontId="126" fillId="0" borderId="28" xfId="0" applyNumberFormat="1" applyFont="1" applyBorder="1">
      <alignment vertical="center"/>
    </xf>
    <xf numFmtId="186" fontId="92" fillId="0" borderId="28" xfId="0" applyNumberFormat="1" applyFont="1" applyBorder="1" applyAlignment="1">
      <alignment horizontal="right" vertical="center"/>
    </xf>
    <xf numFmtId="0" fontId="4" fillId="0" borderId="11" xfId="0" applyFont="1" applyBorder="1">
      <alignment vertical="center"/>
    </xf>
    <xf numFmtId="209" fontId="5" fillId="10" borderId="1" xfId="0" applyNumberFormat="1" applyFont="1" applyFill="1" applyBorder="1" applyAlignment="1">
      <alignment horizontal="right" vertical="center"/>
    </xf>
    <xf numFmtId="209" fontId="5" fillId="10" borderId="1" xfId="0" applyNumberFormat="1" applyFont="1" applyFill="1" applyBorder="1">
      <alignment vertical="center"/>
    </xf>
    <xf numFmtId="191" fontId="24" fillId="10" borderId="1" xfId="0" applyNumberFormat="1" applyFont="1" applyFill="1" applyBorder="1" applyAlignment="1">
      <alignment horizontal="right" vertical="center"/>
    </xf>
    <xf numFmtId="0" fontId="35" fillId="0" borderId="1" xfId="0" applyFont="1" applyBorder="1">
      <alignment vertical="center"/>
    </xf>
    <xf numFmtId="187" fontId="4" fillId="0" borderId="1" xfId="0" applyNumberFormat="1" applyFont="1" applyBorder="1" applyAlignment="1">
      <alignment horizontal="center" vertical="center"/>
    </xf>
    <xf numFmtId="191" fontId="159" fillId="0" borderId="1" xfId="0" applyNumberFormat="1" applyFont="1" applyBorder="1" applyAlignment="1">
      <alignment horizontal="center" vertical="center"/>
    </xf>
    <xf numFmtId="192" fontId="49" fillId="0" borderId="1" xfId="0" applyNumberFormat="1" applyFont="1" applyBorder="1" applyAlignment="1">
      <alignment horizontal="center" vertical="center"/>
    </xf>
    <xf numFmtId="191" fontId="4" fillId="0" borderId="0" xfId="0" applyNumberFormat="1" applyFont="1">
      <alignment vertical="center"/>
    </xf>
    <xf numFmtId="191" fontId="4" fillId="0" borderId="12" xfId="0" applyNumberFormat="1" applyFont="1" applyBorder="1">
      <alignment vertical="center"/>
    </xf>
    <xf numFmtId="0" fontId="4" fillId="0" borderId="26" xfId="0" applyFont="1" applyBorder="1">
      <alignment vertical="center"/>
    </xf>
    <xf numFmtId="0" fontId="143" fillId="0" borderId="26" xfId="0" applyFont="1" applyBorder="1">
      <alignment vertical="center"/>
    </xf>
    <xf numFmtId="0" fontId="143" fillId="0" borderId="1" xfId="0" applyFont="1" applyBorder="1">
      <alignment vertical="center"/>
    </xf>
    <xf numFmtId="244" fontId="4" fillId="0" borderId="1" xfId="0" applyNumberFormat="1" applyFont="1" applyBorder="1" applyAlignment="1"/>
    <xf numFmtId="0" fontId="78" fillId="0" borderId="0" xfId="0" applyFont="1">
      <alignment vertical="center"/>
    </xf>
    <xf numFmtId="0" fontId="80" fillId="0" borderId="1" xfId="0" applyFont="1" applyBorder="1" applyAlignment="1">
      <alignment horizontal="center" vertical="center"/>
    </xf>
    <xf numFmtId="180" fontId="49" fillId="0" borderId="1" xfId="0" applyNumberFormat="1" applyFont="1" applyBorder="1" applyAlignment="1">
      <alignment horizontal="right" vertical="center"/>
    </xf>
    <xf numFmtId="178" fontId="49" fillId="0" borderId="1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210" fontId="4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 wrapText="1"/>
    </xf>
    <xf numFmtId="218" fontId="43" fillId="11" borderId="1" xfId="0" applyNumberFormat="1" applyFont="1" applyFill="1" applyBorder="1" applyAlignment="1">
      <alignment horizontal="center" vertical="center"/>
    </xf>
    <xf numFmtId="0" fontId="43" fillId="0" borderId="0" xfId="0" applyFont="1">
      <alignment vertical="center"/>
    </xf>
    <xf numFmtId="245" fontId="13" fillId="0" borderId="1" xfId="0" applyNumberFormat="1" applyFont="1" applyBorder="1" applyAlignment="1"/>
    <xf numFmtId="0" fontId="189" fillId="0" borderId="0" xfId="0" applyFont="1">
      <alignment vertical="center"/>
    </xf>
    <xf numFmtId="49" fontId="79" fillId="0" borderId="1" xfId="0" applyNumberFormat="1" applyFont="1" applyBorder="1" applyAlignment="1">
      <alignment horizontal="center" vertical="center"/>
    </xf>
    <xf numFmtId="217" fontId="79" fillId="0" borderId="1" xfId="0" applyNumberFormat="1" applyFont="1" applyBorder="1" applyAlignment="1">
      <alignment horizontal="center" vertical="center"/>
    </xf>
    <xf numFmtId="217" fontId="79" fillId="0" borderId="1" xfId="0" applyNumberFormat="1" applyFont="1" applyBorder="1" applyAlignment="1">
      <alignment horizontal="center" vertical="center" wrapText="1"/>
    </xf>
    <xf numFmtId="223" fontId="79" fillId="0" borderId="1" xfId="0" applyNumberFormat="1" applyFont="1" applyBorder="1" applyAlignment="1">
      <alignment horizontal="center" vertical="center" wrapText="1"/>
    </xf>
    <xf numFmtId="49" fontId="41" fillId="0" borderId="1" xfId="0" applyNumberFormat="1" applyFont="1" applyBorder="1" applyAlignment="1">
      <alignment horizontal="center"/>
    </xf>
    <xf numFmtId="207" fontId="41" fillId="0" borderId="1" xfId="0" applyNumberFormat="1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>
      <alignment horizontal="left"/>
    </xf>
    <xf numFmtId="195" fontId="41" fillId="0" borderId="1" xfId="0" applyNumberFormat="1" applyFont="1" applyBorder="1" applyAlignment="1">
      <alignment horizontal="right" vertical="center"/>
    </xf>
    <xf numFmtId="191" fontId="136" fillId="0" borderId="1" xfId="0" applyNumberFormat="1" applyFont="1" applyBorder="1" applyAlignment="1">
      <alignment horizontal="center" vertical="center"/>
    </xf>
    <xf numFmtId="0" fontId="130" fillId="0" borderId="0" xfId="0" applyFont="1" applyAlignment="1">
      <alignment horizontal="right" vertical="center"/>
    </xf>
    <xf numFmtId="185" fontId="130" fillId="10" borderId="1" xfId="0" applyNumberFormat="1" applyFont="1" applyFill="1" applyBorder="1" applyAlignment="1">
      <alignment horizontal="right" vertical="center"/>
    </xf>
    <xf numFmtId="191" fontId="130" fillId="10" borderId="1" xfId="0" applyNumberFormat="1" applyFont="1" applyFill="1" applyBorder="1" applyAlignment="1">
      <alignment horizontal="right" vertical="center"/>
    </xf>
    <xf numFmtId="192" fontId="132" fillId="10" borderId="1" xfId="0" applyNumberFormat="1" applyFont="1" applyFill="1" applyBorder="1" applyAlignment="1">
      <alignment horizontal="center" vertical="center"/>
    </xf>
    <xf numFmtId="191" fontId="130" fillId="10" borderId="12" xfId="0" applyNumberFormat="1" applyFont="1" applyFill="1" applyBorder="1" applyAlignment="1">
      <alignment horizontal="right" vertical="center"/>
    </xf>
    <xf numFmtId="0" fontId="130" fillId="10" borderId="26" xfId="0" applyFont="1" applyFill="1" applyBorder="1" applyAlignment="1">
      <alignment horizontal="right" vertical="center"/>
    </xf>
    <xf numFmtId="0" fontId="129" fillId="10" borderId="0" xfId="0" applyFont="1" applyFill="1" applyAlignment="1">
      <alignment horizontal="right" vertical="center"/>
    </xf>
    <xf numFmtId="0" fontId="130" fillId="0" borderId="26" xfId="0" applyFont="1" applyBorder="1" applyAlignment="1">
      <alignment horizontal="center" vertical="center"/>
    </xf>
    <xf numFmtId="188" fontId="79" fillId="0" borderId="1" xfId="0" applyNumberFormat="1" applyFont="1" applyBorder="1" applyAlignment="1">
      <alignment horizontal="center" vertical="center"/>
    </xf>
    <xf numFmtId="218" fontId="79" fillId="11" borderId="1" xfId="0" applyNumberFormat="1" applyFont="1" applyFill="1" applyBorder="1" applyAlignment="1">
      <alignment horizontal="center" vertical="center"/>
    </xf>
    <xf numFmtId="0" fontId="79" fillId="0" borderId="0" xfId="0" applyFont="1">
      <alignment vertical="center"/>
    </xf>
    <xf numFmtId="188" fontId="41" fillId="0" borderId="1" xfId="0" applyNumberFormat="1" applyFont="1" applyBorder="1" applyAlignment="1">
      <alignment horizontal="center"/>
    </xf>
    <xf numFmtId="178" fontId="41" fillId="0" borderId="1" xfId="0" applyNumberFormat="1" applyFont="1" applyBorder="1" applyAlignment="1">
      <alignment horizontal="center"/>
    </xf>
    <xf numFmtId="246" fontId="41" fillId="0" borderId="1" xfId="0" applyNumberFormat="1" applyFont="1" applyBorder="1" applyAlignment="1"/>
    <xf numFmtId="231" fontId="192" fillId="0" borderId="0" xfId="0" applyNumberFormat="1" applyFont="1" applyAlignment="1">
      <alignment horizontal="center" vertical="center"/>
    </xf>
    <xf numFmtId="0" fontId="41" fillId="0" borderId="0" xfId="0" applyFont="1" applyAlignment="1"/>
    <xf numFmtId="232" fontId="192" fillId="0" borderId="0" xfId="0" applyNumberFormat="1" applyFont="1" applyAlignment="1">
      <alignment horizontal="center" vertical="center"/>
    </xf>
    <xf numFmtId="0" fontId="4" fillId="10" borderId="1" xfId="0" applyFont="1" applyFill="1" applyBorder="1">
      <alignment vertical="center"/>
    </xf>
    <xf numFmtId="185" fontId="143" fillId="10" borderId="1" xfId="0" applyNumberFormat="1" applyFont="1" applyFill="1" applyBorder="1" applyAlignment="1">
      <alignment horizontal="right" vertical="center"/>
    </xf>
    <xf numFmtId="194" fontId="143" fillId="10" borderId="1" xfId="0" applyNumberFormat="1" applyFont="1" applyFill="1" applyBorder="1">
      <alignment vertical="center"/>
    </xf>
    <xf numFmtId="193" fontId="143" fillId="10" borderId="1" xfId="0" applyNumberFormat="1" applyFont="1" applyFill="1" applyBorder="1">
      <alignment vertical="center"/>
    </xf>
    <xf numFmtId="0" fontId="180" fillId="0" borderId="1" xfId="0" applyFont="1" applyBorder="1" applyAlignment="1">
      <alignment horizontal="center" vertical="center" wrapText="1"/>
    </xf>
    <xf numFmtId="0" fontId="186" fillId="0" borderId="1" xfId="0" applyFont="1" applyBorder="1" applyAlignment="1">
      <alignment horizontal="right" vertical="center" wrapText="1"/>
    </xf>
    <xf numFmtId="0" fontId="195" fillId="0" borderId="0" xfId="0" applyFont="1">
      <alignment vertical="center"/>
    </xf>
    <xf numFmtId="0" fontId="8" fillId="0" borderId="26" xfId="0" applyFont="1" applyBorder="1" applyAlignment="1">
      <alignment horizontal="right" vertical="center"/>
    </xf>
    <xf numFmtId="218" fontId="43" fillId="0" borderId="1" xfId="0" applyNumberFormat="1" applyFont="1" applyBorder="1" applyAlignment="1">
      <alignment horizontal="center" vertical="center"/>
    </xf>
    <xf numFmtId="191" fontId="49" fillId="0" borderId="1" xfId="0" applyNumberFormat="1" applyFont="1" applyBorder="1" applyAlignment="1">
      <alignment horizontal="center" vertical="center"/>
    </xf>
    <xf numFmtId="191" fontId="124" fillId="0" borderId="12" xfId="0" applyNumberFormat="1" applyFont="1" applyBorder="1">
      <alignment vertical="center"/>
    </xf>
    <xf numFmtId="0" fontId="4" fillId="0" borderId="0" xfId="0" applyFont="1" applyAlignment="1">
      <alignment horizontal="right" vertical="center"/>
    </xf>
    <xf numFmtId="191" fontId="4" fillId="0" borderId="13" xfId="0" applyNumberFormat="1" applyFont="1" applyBorder="1">
      <alignment vertical="center"/>
    </xf>
    <xf numFmtId="0" fontId="35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 wrapText="1"/>
    </xf>
    <xf numFmtId="179" fontId="196" fillId="0" borderId="1" xfId="0" applyNumberFormat="1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218" fontId="79" fillId="0" borderId="1" xfId="0" applyNumberFormat="1" applyFont="1" applyBorder="1" applyAlignment="1">
      <alignment horizontal="center" vertical="center"/>
    </xf>
    <xf numFmtId="243" fontId="41" fillId="0" borderId="1" xfId="0" applyNumberFormat="1" applyFont="1" applyBorder="1" applyAlignment="1">
      <alignment horizontal="center"/>
    </xf>
    <xf numFmtId="0" fontId="197" fillId="10" borderId="1" xfId="0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78" fontId="124" fillId="0" borderId="1" xfId="0" applyNumberFormat="1" applyFont="1" applyBorder="1" applyAlignment="1">
      <alignment horizontal="center" vertical="center"/>
    </xf>
    <xf numFmtId="213" fontId="41" fillId="0" borderId="1" xfId="0" applyNumberFormat="1" applyFont="1" applyBorder="1" applyAlignment="1">
      <alignment horizontal="center" vertical="center"/>
    </xf>
    <xf numFmtId="213" fontId="35" fillId="0" borderId="1" xfId="0" applyNumberFormat="1" applyFont="1" applyBorder="1" applyAlignment="1">
      <alignment horizontal="center" vertical="center"/>
    </xf>
    <xf numFmtId="0" fontId="41" fillId="0" borderId="1" xfId="0" applyFont="1" applyBorder="1">
      <alignment vertical="center"/>
    </xf>
    <xf numFmtId="191" fontId="4" fillId="10" borderId="1" xfId="0" applyNumberFormat="1" applyFont="1" applyFill="1" applyBorder="1" applyAlignment="1">
      <alignment horizontal="right" vertical="center"/>
    </xf>
    <xf numFmtId="0" fontId="96" fillId="0" borderId="0" xfId="0" applyFont="1">
      <alignment vertical="center"/>
    </xf>
    <xf numFmtId="0" fontId="35" fillId="0" borderId="7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>
      <alignment vertical="center"/>
    </xf>
    <xf numFmtId="0" fontId="4" fillId="0" borderId="15" xfId="0" applyFont="1" applyBorder="1" applyAlignment="1">
      <alignment horizontal="center" vertical="center"/>
    </xf>
    <xf numFmtId="0" fontId="198" fillId="0" borderId="15" xfId="0" applyFont="1" applyBorder="1" applyAlignment="1">
      <alignment horizontal="center" vertical="center"/>
    </xf>
    <xf numFmtId="0" fontId="35" fillId="0" borderId="15" xfId="0" applyFont="1" applyBorder="1" applyAlignment="1">
      <alignment horizontal="left" vertical="center"/>
    </xf>
    <xf numFmtId="0" fontId="198" fillId="0" borderId="10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198" fillId="0" borderId="15" xfId="0" applyFont="1" applyBorder="1" applyAlignment="1">
      <alignment horizontal="left" vertical="center"/>
    </xf>
    <xf numFmtId="0" fontId="199" fillId="0" borderId="15" xfId="0" applyFont="1" applyBorder="1" applyAlignment="1">
      <alignment horizontal="left" vertical="center"/>
    </xf>
    <xf numFmtId="6" fontId="4" fillId="0" borderId="10" xfId="0" applyNumberFormat="1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1" fillId="0" borderId="1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41" fillId="0" borderId="0" xfId="0" applyFont="1" applyAlignment="1">
      <alignment vertical="center" shrinkToFit="1"/>
    </xf>
    <xf numFmtId="247" fontId="41" fillId="0" borderId="1" xfId="0" applyNumberFormat="1" applyFont="1" applyBorder="1" applyAlignment="1">
      <alignment horizontal="center" vertical="center" shrinkToFit="1"/>
    </xf>
    <xf numFmtId="213" fontId="41" fillId="0" borderId="0" xfId="0" applyNumberFormat="1" applyFont="1" applyAlignment="1">
      <alignment horizontal="center" vertical="center" shrinkToFit="1"/>
    </xf>
    <xf numFmtId="247" fontId="41" fillId="0" borderId="1" xfId="0" applyNumberFormat="1" applyFont="1" applyBorder="1" applyAlignment="1">
      <alignment horizontal="center" vertical="center" wrapText="1" shrinkToFit="1"/>
    </xf>
    <xf numFmtId="6" fontId="41" fillId="0" borderId="1" xfId="0" applyNumberFormat="1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79" fillId="0" borderId="1" xfId="0" applyFont="1" applyBorder="1" applyAlignment="1">
      <alignment horizontal="center" vertical="center" shrinkToFit="1"/>
    </xf>
    <xf numFmtId="215" fontId="41" fillId="0" borderId="1" xfId="0" applyNumberFormat="1" applyFont="1" applyBorder="1" applyAlignment="1">
      <alignment horizontal="center" vertical="center"/>
    </xf>
    <xf numFmtId="248" fontId="41" fillId="0" borderId="1" xfId="0" applyNumberFormat="1" applyFont="1" applyBorder="1" applyAlignment="1">
      <alignment horizontal="center" vertical="center"/>
    </xf>
    <xf numFmtId="0" fontId="99" fillId="0" borderId="26" xfId="0" applyFont="1" applyBorder="1" applyAlignment="1">
      <alignment horizontal="left" vertical="center"/>
    </xf>
    <xf numFmtId="215" fontId="4" fillId="0" borderId="1" xfId="0" applyNumberFormat="1" applyFont="1" applyBorder="1">
      <alignment vertical="center"/>
    </xf>
    <xf numFmtId="0" fontId="41" fillId="21" borderId="1" xfId="0" applyFont="1" applyFill="1" applyBorder="1" applyAlignment="1">
      <alignment horizontal="center" vertical="center"/>
    </xf>
    <xf numFmtId="213" fontId="185" fillId="0" borderId="1" xfId="7" applyFont="1" applyFill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35" fillId="0" borderId="9" xfId="0" applyFont="1" applyBorder="1" applyAlignment="1">
      <alignment horizontal="left" vertical="center"/>
    </xf>
    <xf numFmtId="0" fontId="200" fillId="0" borderId="1" xfId="0" applyFont="1" applyBorder="1" applyAlignment="1">
      <alignment horizontal="left" vertical="center"/>
    </xf>
    <xf numFmtId="178" fontId="35" fillId="0" borderId="1" xfId="0" applyNumberFormat="1" applyFont="1" applyBorder="1" applyAlignment="1">
      <alignment horizontal="center" vertical="center"/>
    </xf>
    <xf numFmtId="0" fontId="201" fillId="0" borderId="0" xfId="0" applyFont="1" applyAlignment="1">
      <alignment horizontal="justify" vertical="center"/>
    </xf>
    <xf numFmtId="0" fontId="37" fillId="0" borderId="8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191" fontId="124" fillId="0" borderId="1" xfId="0" applyNumberFormat="1" applyFont="1" applyBorder="1" applyAlignment="1">
      <alignment horizontal="center" vertical="center"/>
    </xf>
    <xf numFmtId="0" fontId="41" fillId="0" borderId="1" xfId="15" applyFont="1" applyBorder="1" applyAlignment="1">
      <alignment horizontal="center" vertical="center" shrinkToFit="1"/>
    </xf>
    <xf numFmtId="249" fontId="41" fillId="0" borderId="1" xfId="3" applyNumberFormat="1" applyFont="1" applyFill="1" applyBorder="1" applyAlignment="1">
      <alignment vertical="center" shrinkToFit="1"/>
    </xf>
    <xf numFmtId="49" fontId="4" fillId="0" borderId="0" xfId="0" applyNumberFormat="1" applyFont="1" applyAlignment="1">
      <alignment horizontal="center" vertical="center"/>
    </xf>
    <xf numFmtId="187" fontId="4" fillId="0" borderId="0" xfId="0" applyNumberFormat="1" applyFont="1">
      <alignment vertical="center"/>
    </xf>
    <xf numFmtId="178" fontId="124" fillId="0" borderId="0" xfId="0" applyNumberFormat="1" applyFont="1" applyAlignment="1">
      <alignment horizontal="right" vertical="center"/>
    </xf>
    <xf numFmtId="180" fontId="124" fillId="0" borderId="0" xfId="0" applyNumberFormat="1" applyFont="1" applyAlignment="1">
      <alignment horizontal="right" vertical="center"/>
    </xf>
    <xf numFmtId="191" fontId="124" fillId="0" borderId="0" xfId="0" applyNumberFormat="1" applyFont="1" applyAlignment="1">
      <alignment horizontal="center" vertical="center"/>
    </xf>
    <xf numFmtId="249" fontId="202" fillId="0" borderId="1" xfId="3" applyNumberFormat="1" applyFont="1" applyFill="1" applyBorder="1" applyAlignment="1">
      <alignment horizontal="center" vertical="center" shrinkToFit="1"/>
    </xf>
    <xf numFmtId="191" fontId="35" fillId="0" borderId="12" xfId="0" applyNumberFormat="1" applyFont="1" applyBorder="1" applyAlignment="1">
      <alignment horizontal="right" vertical="center"/>
    </xf>
    <xf numFmtId="0" fontId="4" fillId="0" borderId="26" xfId="0" applyFont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130" fillId="11" borderId="0" xfId="0" applyFont="1" applyFill="1" applyAlignment="1">
      <alignment horizontal="right" vertical="center"/>
    </xf>
    <xf numFmtId="0" fontId="125" fillId="0" borderId="1" xfId="0" applyFont="1" applyBorder="1" applyAlignment="1">
      <alignment horizontal="left" vertical="center"/>
    </xf>
    <xf numFmtId="0" fontId="130" fillId="4" borderId="26" xfId="0" applyFont="1" applyFill="1" applyBorder="1">
      <alignment vertical="center"/>
    </xf>
    <xf numFmtId="0" fontId="130" fillId="4" borderId="0" xfId="0" applyFont="1" applyFill="1" applyAlignment="1">
      <alignment horizontal="right" vertical="center"/>
    </xf>
    <xf numFmtId="0" fontId="195" fillId="0" borderId="0" xfId="0" applyFont="1" applyAlignment="1">
      <alignment horizontal="center" vertical="center"/>
    </xf>
    <xf numFmtId="191" fontId="42" fillId="10" borderId="1" xfId="0" applyNumberFormat="1" applyFont="1" applyFill="1" applyBorder="1" applyAlignment="1">
      <alignment horizontal="right" vertical="center"/>
    </xf>
    <xf numFmtId="193" fontId="4" fillId="0" borderId="1" xfId="0" applyNumberFormat="1" applyFont="1" applyBorder="1" applyAlignment="1">
      <alignment horizontal="right" vertical="center"/>
    </xf>
    <xf numFmtId="215" fontId="186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/>
    </xf>
    <xf numFmtId="0" fontId="79" fillId="0" borderId="1" xfId="0" applyFont="1" applyBorder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203" fillId="18" borderId="40" xfId="13" applyFont="1" applyFill="1" applyBorder="1" applyAlignment="1">
      <alignment horizontal="center" vertical="center" wrapText="1"/>
    </xf>
    <xf numFmtId="0" fontId="102" fillId="18" borderId="40" xfId="13" applyFont="1" applyFill="1" applyBorder="1" applyAlignment="1">
      <alignment horizontal="center" vertical="center"/>
    </xf>
    <xf numFmtId="0" fontId="203" fillId="18" borderId="40" xfId="13" applyFont="1" applyFill="1" applyBorder="1" applyAlignment="1">
      <alignment horizontal="center" vertical="center"/>
    </xf>
    <xf numFmtId="250" fontId="203" fillId="18" borderId="40" xfId="4" applyFont="1" applyFill="1" applyBorder="1" applyAlignment="1">
      <alignment horizontal="center" vertical="center" wrapText="1"/>
    </xf>
    <xf numFmtId="251" fontId="102" fillId="18" borderId="40" xfId="4" applyNumberFormat="1" applyFont="1" applyFill="1" applyBorder="1" applyAlignment="1">
      <alignment horizontal="center" vertical="center" wrapText="1"/>
    </xf>
    <xf numFmtId="0" fontId="203" fillId="19" borderId="1" xfId="14" applyFont="1" applyFill="1" applyBorder="1" applyAlignment="1">
      <alignment horizontal="center" vertical="center" wrapText="1"/>
    </xf>
    <xf numFmtId="0" fontId="203" fillId="19" borderId="1" xfId="0" applyFont="1" applyFill="1" applyBorder="1" applyAlignment="1" applyProtection="1">
      <alignment horizontal="center" vertical="center" wrapText="1"/>
      <protection locked="0"/>
    </xf>
    <xf numFmtId="252" fontId="203" fillId="19" borderId="1" xfId="0" applyNumberFormat="1" applyFont="1" applyFill="1" applyBorder="1" applyAlignment="1" applyProtection="1">
      <alignment horizontal="center" vertical="center" wrapText="1"/>
      <protection hidden="1"/>
    </xf>
    <xf numFmtId="253" fontId="203" fillId="19" borderId="1" xfId="0" applyNumberFormat="1" applyFont="1" applyFill="1" applyBorder="1" applyAlignment="1">
      <alignment horizontal="center" wrapText="1"/>
    </xf>
    <xf numFmtId="0" fontId="203" fillId="19" borderId="1" xfId="0" applyFont="1" applyFill="1" applyBorder="1" applyAlignment="1">
      <alignment horizontal="center" vertical="center" wrapText="1"/>
    </xf>
    <xf numFmtId="250" fontId="203" fillId="18" borderId="1" xfId="4" applyFont="1" applyFill="1" applyBorder="1" applyAlignment="1">
      <alignment horizontal="center" vertical="center" wrapText="1"/>
    </xf>
    <xf numFmtId="0" fontId="203" fillId="18" borderId="1" xfId="13" applyFont="1" applyFill="1" applyBorder="1" applyAlignment="1">
      <alignment horizontal="center" vertical="center" wrapText="1"/>
    </xf>
    <xf numFmtId="0" fontId="96" fillId="0" borderId="0" xfId="0" applyFont="1" applyAlignment="1">
      <alignment horizontal="justify" vertical="center"/>
    </xf>
    <xf numFmtId="0" fontId="104" fillId="0" borderId="0" xfId="0" applyFont="1" applyAlignment="1">
      <alignment horizontal="justify" vertical="center" wrapText="1"/>
    </xf>
    <xf numFmtId="0" fontId="204" fillId="3" borderId="9" xfId="0" applyFont="1" applyFill="1" applyBorder="1" applyAlignment="1">
      <alignment horizontal="justify" vertical="center" wrapText="1"/>
    </xf>
    <xf numFmtId="0" fontId="204" fillId="3" borderId="10" xfId="0" applyFont="1" applyFill="1" applyBorder="1" applyAlignment="1">
      <alignment horizontal="justify" vertical="center" wrapText="1"/>
    </xf>
    <xf numFmtId="0" fontId="204" fillId="3" borderId="10" xfId="0" applyFont="1" applyFill="1" applyBorder="1" applyAlignment="1">
      <alignment horizontal="center" vertical="center" wrapText="1"/>
    </xf>
    <xf numFmtId="0" fontId="204" fillId="3" borderId="10" xfId="0" applyFont="1" applyFill="1" applyBorder="1" applyAlignment="1">
      <alignment horizontal="right" vertical="center" wrapText="1"/>
    </xf>
    <xf numFmtId="0" fontId="104" fillId="0" borderId="0" xfId="0" applyFont="1" applyAlignment="1">
      <alignment vertical="center" wrapText="1"/>
    </xf>
    <xf numFmtId="0" fontId="204" fillId="22" borderId="41" xfId="0" applyFont="1" applyFill="1" applyBorder="1" applyAlignment="1">
      <alignment vertical="center" wrapText="1"/>
    </xf>
    <xf numFmtId="0" fontId="204" fillId="22" borderId="42" xfId="0" applyFont="1" applyFill="1" applyBorder="1" applyAlignment="1">
      <alignment vertical="center" wrapText="1"/>
    </xf>
    <xf numFmtId="0" fontId="204" fillId="22" borderId="123" xfId="0" applyFont="1" applyFill="1" applyBorder="1" applyAlignment="1">
      <alignment vertical="center" wrapText="1"/>
    </xf>
    <xf numFmtId="0" fontId="203" fillId="19" borderId="0" xfId="14" applyFont="1" applyFill="1" applyAlignment="1">
      <alignment horizontal="center" vertical="center" wrapText="1"/>
    </xf>
    <xf numFmtId="0" fontId="203" fillId="19" borderId="0" xfId="0" applyFont="1" applyFill="1" applyAlignment="1" applyProtection="1">
      <alignment horizontal="center" vertical="center" wrapText="1"/>
      <protection locked="0"/>
    </xf>
    <xf numFmtId="252" fontId="203" fillId="19" borderId="0" xfId="0" applyNumberFormat="1" applyFont="1" applyFill="1" applyAlignment="1" applyProtection="1">
      <alignment horizontal="center" vertical="center" wrapText="1"/>
      <protection hidden="1"/>
    </xf>
    <xf numFmtId="253" fontId="203" fillId="19" borderId="0" xfId="0" applyNumberFormat="1" applyFont="1" applyFill="1" applyAlignment="1">
      <alignment horizontal="center" wrapText="1"/>
    </xf>
    <xf numFmtId="0" fontId="203" fillId="19" borderId="0" xfId="0" applyFont="1" applyFill="1" applyAlignment="1">
      <alignment horizontal="center" vertical="center" wrapText="1"/>
    </xf>
    <xf numFmtId="254" fontId="5" fillId="0" borderId="0" xfId="0" applyNumberFormat="1" applyFont="1">
      <alignment vertical="center"/>
    </xf>
    <xf numFmtId="0" fontId="35" fillId="0" borderId="10" xfId="0" applyFont="1" applyBorder="1" applyAlignment="1">
      <alignment horizontal="right" vertical="center"/>
    </xf>
    <xf numFmtId="0" fontId="163" fillId="0" borderId="0" xfId="0" applyFont="1">
      <alignment vertical="center"/>
    </xf>
    <xf numFmtId="0" fontId="4" fillId="0" borderId="43" xfId="0" applyFont="1" applyBorder="1" applyAlignment="1">
      <alignment horizontal="center"/>
    </xf>
    <xf numFmtId="179" fontId="4" fillId="0" borderId="13" xfId="0" applyNumberFormat="1" applyFont="1" applyBorder="1" applyAlignment="1">
      <alignment horizontal="center" vertical="center" wrapText="1"/>
    </xf>
    <xf numFmtId="0" fontId="202" fillId="0" borderId="1" xfId="0" applyFont="1" applyBorder="1" applyAlignment="1">
      <alignment horizontal="center" vertical="center"/>
    </xf>
    <xf numFmtId="0" fontId="106" fillId="0" borderId="0" xfId="0" applyFont="1" applyAlignment="1">
      <alignment horizontal="left" vertical="center"/>
    </xf>
    <xf numFmtId="0" fontId="104" fillId="0" borderId="9" xfId="0" applyFont="1" applyBorder="1" applyAlignment="1">
      <alignment horizontal="justify" vertical="center"/>
    </xf>
    <xf numFmtId="0" fontId="205" fillId="0" borderId="10" xfId="0" applyFont="1" applyBorder="1" applyAlignment="1">
      <alignment horizontal="center" vertical="center"/>
    </xf>
    <xf numFmtId="6" fontId="205" fillId="0" borderId="10" xfId="0" applyNumberFormat="1" applyFont="1" applyBorder="1" applyAlignment="1">
      <alignment horizontal="center" vertical="center"/>
    </xf>
    <xf numFmtId="0" fontId="41" fillId="0" borderId="9" xfId="0" applyFont="1" applyBorder="1" applyAlignment="1">
      <alignment horizontal="justify" vertical="center"/>
    </xf>
    <xf numFmtId="0" fontId="180" fillId="0" borderId="10" xfId="0" applyFont="1" applyBorder="1" applyAlignment="1">
      <alignment horizontal="center" vertical="center"/>
    </xf>
    <xf numFmtId="0" fontId="63" fillId="0" borderId="9" xfId="0" applyFont="1" applyBorder="1" applyAlignment="1">
      <alignment horizontal="justify" vertical="center"/>
    </xf>
    <xf numFmtId="215" fontId="180" fillId="0" borderId="10" xfId="0" applyNumberFormat="1" applyFont="1" applyBorder="1" applyAlignment="1">
      <alignment horizontal="center" vertical="center"/>
    </xf>
    <xf numFmtId="0" fontId="206" fillId="23" borderId="7" xfId="0" applyFont="1" applyFill="1" applyBorder="1" applyAlignment="1">
      <alignment horizontal="center" vertical="center"/>
    </xf>
    <xf numFmtId="0" fontId="206" fillId="23" borderId="8" xfId="0" applyFont="1" applyFill="1" applyBorder="1" applyAlignment="1">
      <alignment horizontal="center" vertical="center"/>
    </xf>
    <xf numFmtId="0" fontId="206" fillId="0" borderId="9" xfId="0" applyFont="1" applyBorder="1" applyAlignment="1">
      <alignment horizontal="center" vertical="center"/>
    </xf>
    <xf numFmtId="6" fontId="206" fillId="0" borderId="10" xfId="0" applyNumberFormat="1" applyFont="1" applyBorder="1" applyAlignment="1">
      <alignment horizontal="center" vertical="center"/>
    </xf>
    <xf numFmtId="0" fontId="206" fillId="0" borderId="10" xfId="0" applyFont="1" applyBorder="1" applyAlignment="1">
      <alignment horizontal="center" vertical="center"/>
    </xf>
    <xf numFmtId="179" fontId="4" fillId="10" borderId="1" xfId="0" applyNumberFormat="1" applyFont="1" applyFill="1" applyBorder="1" applyAlignment="1">
      <alignment horizontal="right" vertical="center" wrapText="1"/>
    </xf>
    <xf numFmtId="49" fontId="5" fillId="10" borderId="1" xfId="0" applyNumberFormat="1" applyFont="1" applyFill="1" applyBorder="1" applyAlignment="1">
      <alignment horizontal="right" vertical="center"/>
    </xf>
    <xf numFmtId="191" fontId="121" fillId="10" borderId="28" xfId="0" applyNumberFormat="1" applyFont="1" applyFill="1" applyBorder="1" applyAlignment="1">
      <alignment horizontal="right" vertical="center"/>
    </xf>
    <xf numFmtId="0" fontId="37" fillId="0" borderId="1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right" vertical="center"/>
    </xf>
    <xf numFmtId="215" fontId="49" fillId="0" borderId="1" xfId="0" applyNumberFormat="1" applyFont="1" applyBorder="1" applyAlignment="1">
      <alignment horizontal="center" vertical="center"/>
    </xf>
    <xf numFmtId="0" fontId="202" fillId="0" borderId="1" xfId="0" applyFont="1" applyBorder="1" applyAlignment="1">
      <alignment horizontal="left" vertical="center"/>
    </xf>
    <xf numFmtId="191" fontId="43" fillId="0" borderId="1" xfId="0" applyNumberFormat="1" applyFont="1" applyBorder="1" applyAlignment="1">
      <alignment horizontal="center" vertical="center"/>
    </xf>
    <xf numFmtId="179" fontId="184" fillId="0" borderId="1" xfId="0" applyNumberFormat="1" applyFont="1" applyBorder="1" applyAlignment="1">
      <alignment horizontal="center" vertical="center"/>
    </xf>
    <xf numFmtId="179" fontId="184" fillId="0" borderId="1" xfId="0" applyNumberFormat="1" applyFont="1" applyBorder="1" applyAlignment="1">
      <alignment horizontal="center" vertical="center" wrapText="1"/>
    </xf>
    <xf numFmtId="0" fontId="109" fillId="0" borderId="1" xfId="0" applyFont="1" applyBorder="1" applyAlignment="1">
      <alignment horizontal="center" vertical="center"/>
    </xf>
    <xf numFmtId="49" fontId="109" fillId="0" borderId="1" xfId="0" applyNumberFormat="1" applyFont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0" fontId="110" fillId="0" borderId="1" xfId="0" applyFont="1" applyBorder="1" applyAlignment="1">
      <alignment horizontal="center" vertical="center"/>
    </xf>
    <xf numFmtId="191" fontId="41" fillId="0" borderId="1" xfId="0" applyNumberFormat="1" applyFont="1" applyBorder="1" applyAlignment="1">
      <alignment horizontal="center" vertical="center"/>
    </xf>
    <xf numFmtId="209" fontId="41" fillId="0" borderId="1" xfId="0" applyNumberFormat="1" applyFont="1" applyBorder="1" applyAlignment="1">
      <alignment horizontal="center" vertical="center"/>
    </xf>
    <xf numFmtId="195" fontId="41" fillId="0" borderId="1" xfId="0" applyNumberFormat="1" applyFont="1" applyBorder="1" applyAlignment="1">
      <alignment horizontal="center" vertical="center"/>
    </xf>
    <xf numFmtId="255" fontId="41" fillId="0" borderId="1" xfId="0" applyNumberFormat="1" applyFont="1" applyBorder="1" applyAlignment="1">
      <alignment horizontal="center" vertical="center"/>
    </xf>
    <xf numFmtId="179" fontId="143" fillId="0" borderId="1" xfId="0" applyNumberFormat="1" applyFont="1" applyBorder="1" applyAlignment="1">
      <alignment horizontal="center" vertical="center"/>
    </xf>
    <xf numFmtId="184" fontId="5" fillId="0" borderId="1" xfId="0" applyNumberFormat="1" applyFont="1" applyBorder="1">
      <alignment vertical="center"/>
    </xf>
    <xf numFmtId="184" fontId="4" fillId="0" borderId="1" xfId="0" applyNumberFormat="1" applyFont="1" applyBorder="1">
      <alignment vertical="center"/>
    </xf>
    <xf numFmtId="49" fontId="79" fillId="11" borderId="1" xfId="0" applyNumberFormat="1" applyFont="1" applyFill="1" applyBorder="1" applyAlignment="1">
      <alignment horizontal="center" vertical="center"/>
    </xf>
    <xf numFmtId="188" fontId="79" fillId="11" borderId="1" xfId="0" applyNumberFormat="1" applyFont="1" applyFill="1" applyBorder="1" applyAlignment="1">
      <alignment horizontal="center" vertical="center"/>
    </xf>
    <xf numFmtId="217" fontId="79" fillId="11" borderId="1" xfId="0" applyNumberFormat="1" applyFont="1" applyFill="1" applyBorder="1" applyAlignment="1">
      <alignment horizontal="center" vertical="center"/>
    </xf>
    <xf numFmtId="217" fontId="79" fillId="11" borderId="1" xfId="0" applyNumberFormat="1" applyFont="1" applyFill="1" applyBorder="1" applyAlignment="1">
      <alignment horizontal="center" vertical="center" wrapText="1"/>
    </xf>
    <xf numFmtId="223" fontId="79" fillId="11" borderId="1" xfId="0" applyNumberFormat="1" applyFont="1" applyFill="1" applyBorder="1" applyAlignment="1">
      <alignment horizontal="center" vertical="center" wrapText="1"/>
    </xf>
    <xf numFmtId="195" fontId="41" fillId="11" borderId="1" xfId="0" applyNumberFormat="1" applyFont="1" applyFill="1" applyBorder="1" applyAlignment="1">
      <alignment horizontal="right" vertical="center"/>
    </xf>
    <xf numFmtId="233" fontId="35" fillId="0" borderId="0" xfId="0" applyNumberFormat="1" applyFont="1" applyAlignment="1">
      <alignment horizontal="center" vertical="center"/>
    </xf>
    <xf numFmtId="231" fontId="35" fillId="0" borderId="0" xfId="0" applyNumberFormat="1" applyFont="1" applyAlignment="1">
      <alignment horizontal="center" vertical="center"/>
    </xf>
    <xf numFmtId="204" fontId="35" fillId="0" borderId="0" xfId="0" applyNumberFormat="1" applyFont="1" applyAlignment="1">
      <alignment horizontal="center" vertical="center"/>
    </xf>
    <xf numFmtId="232" fontId="35" fillId="0" borderId="0" xfId="0" applyNumberFormat="1" applyFont="1" applyAlignment="1">
      <alignment horizontal="center" vertical="center"/>
    </xf>
    <xf numFmtId="215" fontId="41" fillId="11" borderId="1" xfId="0" applyNumberFormat="1" applyFont="1" applyFill="1" applyBorder="1" applyAlignment="1">
      <alignment horizontal="right" vertical="center"/>
    </xf>
    <xf numFmtId="234" fontId="35" fillId="0" borderId="0" xfId="0" applyNumberFormat="1" applyFont="1" applyAlignment="1">
      <alignment horizontal="center" vertical="center"/>
    </xf>
    <xf numFmtId="205" fontId="35" fillId="0" borderId="0" xfId="0" applyNumberFormat="1" applyFont="1" applyAlignment="1">
      <alignment horizontal="center" vertical="center"/>
    </xf>
    <xf numFmtId="256" fontId="193" fillId="0" borderId="2" xfId="0" applyNumberFormat="1" applyFont="1" applyBorder="1" applyAlignment="1">
      <alignment vertical="center" shrinkToFit="1"/>
    </xf>
    <xf numFmtId="256" fontId="193" fillId="0" borderId="1" xfId="0" applyNumberFormat="1" applyFont="1" applyBorder="1" applyAlignment="1">
      <alignment vertical="center" shrinkToFit="1"/>
    </xf>
    <xf numFmtId="49" fontId="41" fillId="0" borderId="0" xfId="0" applyNumberFormat="1" applyFont="1" applyAlignment="1">
      <alignment horizontal="center"/>
    </xf>
    <xf numFmtId="209" fontId="4" fillId="0" borderId="1" xfId="0" applyNumberFormat="1" applyFont="1" applyBorder="1">
      <alignment vertical="center"/>
    </xf>
    <xf numFmtId="0" fontId="111" fillId="0" borderId="1" xfId="0" applyFont="1" applyBorder="1" applyAlignment="1">
      <alignment horizontal="center" vertical="center"/>
    </xf>
    <xf numFmtId="3" fontId="5" fillId="0" borderId="26" xfId="0" applyNumberFormat="1" applyFont="1" applyBorder="1">
      <alignment vertical="center"/>
    </xf>
    <xf numFmtId="0" fontId="130" fillId="0" borderId="26" xfId="0" applyFont="1" applyBorder="1" applyAlignment="1">
      <alignment horizontal="right" vertical="center"/>
    </xf>
    <xf numFmtId="215" fontId="16" fillId="0" borderId="1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192" fontId="49" fillId="10" borderId="1" xfId="0" applyNumberFormat="1" applyFont="1" applyFill="1" applyBorder="1" applyAlignment="1">
      <alignment horizontal="center" vertical="center"/>
    </xf>
    <xf numFmtId="191" fontId="124" fillId="10" borderId="12" xfId="0" applyNumberFormat="1" applyFont="1" applyFill="1" applyBorder="1">
      <alignment vertical="center"/>
    </xf>
    <xf numFmtId="0" fontId="4" fillId="10" borderId="26" xfId="0" applyFont="1" applyFill="1" applyBorder="1" applyAlignment="1">
      <alignment horizontal="center" vertical="center"/>
    </xf>
    <xf numFmtId="178" fontId="207" fillId="0" borderId="1" xfId="0" applyNumberFormat="1" applyFont="1" applyBorder="1" applyAlignment="1">
      <alignment horizontal="center" vertical="center"/>
    </xf>
    <xf numFmtId="191" fontId="35" fillId="0" borderId="1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163" fillId="0" borderId="10" xfId="0" applyFont="1" applyBorder="1" applyAlignment="1">
      <alignment horizontal="right" vertical="center"/>
    </xf>
    <xf numFmtId="0" fontId="196" fillId="0" borderId="10" xfId="0" applyFont="1" applyBorder="1" applyAlignment="1">
      <alignment horizontal="center" vertical="center"/>
    </xf>
    <xf numFmtId="0" fontId="208" fillId="24" borderId="9" xfId="0" applyFont="1" applyFill="1" applyBorder="1" applyAlignment="1">
      <alignment horizontal="left" vertical="center"/>
    </xf>
    <xf numFmtId="0" fontId="208" fillId="24" borderId="10" xfId="0" applyFont="1" applyFill="1" applyBorder="1" applyAlignment="1">
      <alignment horizontal="center" vertical="center"/>
    </xf>
    <xf numFmtId="0" fontId="208" fillId="24" borderId="10" xfId="0" applyFont="1" applyFill="1" applyBorder="1" applyAlignment="1">
      <alignment horizontal="right" vertical="center"/>
    </xf>
    <xf numFmtId="0" fontId="208" fillId="24" borderId="10" xfId="0" applyFont="1" applyFill="1" applyBorder="1" applyAlignment="1">
      <alignment horizontal="left" vertical="center"/>
    </xf>
    <xf numFmtId="0" fontId="208" fillId="24" borderId="10" xfId="0" applyFont="1" applyFill="1" applyBorder="1" applyAlignment="1">
      <alignment horizontal="center" vertical="center" wrapText="1"/>
    </xf>
    <xf numFmtId="0" fontId="143" fillId="0" borderId="10" xfId="0" applyFont="1" applyBorder="1" applyAlignment="1">
      <alignment horizontal="center" vertical="center"/>
    </xf>
    <xf numFmtId="179" fontId="184" fillId="10" borderId="1" xfId="0" applyNumberFormat="1" applyFont="1" applyFill="1" applyBorder="1" applyAlignment="1">
      <alignment horizontal="center" vertical="center" wrapText="1"/>
    </xf>
    <xf numFmtId="191" fontId="143" fillId="0" borderId="1" xfId="0" applyNumberFormat="1" applyFont="1" applyBorder="1">
      <alignment vertical="center"/>
    </xf>
    <xf numFmtId="194" fontId="130" fillId="0" borderId="1" xfId="0" applyNumberFormat="1" applyFont="1" applyBorder="1">
      <alignment vertical="center"/>
    </xf>
    <xf numFmtId="193" fontId="143" fillId="0" borderId="1" xfId="0" applyNumberFormat="1" applyFont="1" applyBorder="1">
      <alignment vertical="center"/>
    </xf>
    <xf numFmtId="194" fontId="143" fillId="0" borderId="1" xfId="0" applyNumberFormat="1" applyFont="1" applyBorder="1">
      <alignment vertical="center"/>
    </xf>
    <xf numFmtId="178" fontId="143" fillId="0" borderId="1" xfId="0" applyNumberFormat="1" applyFont="1" applyBorder="1" applyAlignment="1">
      <alignment horizontal="right" vertical="center"/>
    </xf>
    <xf numFmtId="0" fontId="209" fillId="0" borderId="0" xfId="0" applyFont="1">
      <alignment vertical="center"/>
    </xf>
    <xf numFmtId="0" fontId="210" fillId="0" borderId="44" xfId="0" applyFont="1" applyBorder="1">
      <alignment vertical="center"/>
    </xf>
    <xf numFmtId="0" fontId="210" fillId="0" borderId="45" xfId="0" applyFont="1" applyBorder="1">
      <alignment vertical="center"/>
    </xf>
    <xf numFmtId="0" fontId="209" fillId="0" borderId="45" xfId="0" applyFont="1" applyBorder="1">
      <alignment vertical="center"/>
    </xf>
    <xf numFmtId="0" fontId="210" fillId="0" borderId="46" xfId="0" applyFont="1" applyBorder="1">
      <alignment vertical="center"/>
    </xf>
    <xf numFmtId="0" fontId="210" fillId="0" borderId="47" xfId="0" applyFont="1" applyBorder="1">
      <alignment vertical="center"/>
    </xf>
    <xf numFmtId="0" fontId="210" fillId="0" borderId="48" xfId="0" applyFont="1" applyBorder="1">
      <alignment vertical="center"/>
    </xf>
    <xf numFmtId="0" fontId="209" fillId="0" borderId="0" xfId="0" applyFont="1" applyAlignment="1">
      <alignment horizontal="center" vertical="center"/>
    </xf>
    <xf numFmtId="0" fontId="211" fillId="0" borderId="49" xfId="0" applyFont="1" applyBorder="1">
      <alignment vertical="center"/>
    </xf>
    <xf numFmtId="257" fontId="209" fillId="0" borderId="50" xfId="0" applyNumberFormat="1" applyFont="1" applyBorder="1">
      <alignment vertical="center"/>
    </xf>
    <xf numFmtId="0" fontId="209" fillId="0" borderId="51" xfId="0" applyFont="1" applyBorder="1">
      <alignment vertical="center"/>
    </xf>
    <xf numFmtId="0" fontId="209" fillId="0" borderId="52" xfId="0" applyFont="1" applyBorder="1">
      <alignment vertical="center"/>
    </xf>
    <xf numFmtId="0" fontId="209" fillId="0" borderId="53" xfId="0" applyFont="1" applyBorder="1">
      <alignment vertical="center"/>
    </xf>
    <xf numFmtId="0" fontId="209" fillId="0" borderId="50" xfId="0" applyFont="1" applyBorder="1">
      <alignment vertical="center"/>
    </xf>
    <xf numFmtId="0" fontId="209" fillId="0" borderId="54" xfId="0" applyFont="1" applyBorder="1">
      <alignment vertical="center"/>
    </xf>
    <xf numFmtId="2" fontId="210" fillId="0" borderId="54" xfId="0" applyNumberFormat="1" applyFont="1" applyBorder="1">
      <alignment vertical="center"/>
    </xf>
    <xf numFmtId="257" fontId="209" fillId="0" borderId="55" xfId="0" applyNumberFormat="1" applyFont="1" applyBorder="1">
      <alignment vertical="center"/>
    </xf>
    <xf numFmtId="0" fontId="209" fillId="0" borderId="43" xfId="0" applyFont="1" applyBorder="1">
      <alignment vertical="center"/>
    </xf>
    <xf numFmtId="0" fontId="209" fillId="0" borderId="56" xfId="0" applyFont="1" applyBorder="1">
      <alignment vertical="center"/>
    </xf>
    <xf numFmtId="0" fontId="209" fillId="0" borderId="57" xfId="0" applyFont="1" applyBorder="1">
      <alignment vertical="center"/>
    </xf>
    <xf numFmtId="0" fontId="209" fillId="0" borderId="58" xfId="0" applyFont="1" applyBorder="1">
      <alignment vertical="center"/>
    </xf>
    <xf numFmtId="0" fontId="209" fillId="0" borderId="59" xfId="0" applyFont="1" applyBorder="1" applyAlignment="1">
      <alignment horizontal="left" vertical="center" shrinkToFit="1"/>
    </xf>
    <xf numFmtId="0" fontId="209" fillId="0" borderId="51" xfId="0" applyFont="1" applyBorder="1" applyAlignment="1">
      <alignment horizontal="left" vertical="center" shrinkToFit="1"/>
    </xf>
    <xf numFmtId="0" fontId="211" fillId="0" borderId="0" xfId="0" applyFont="1">
      <alignment vertical="center"/>
    </xf>
    <xf numFmtId="0" fontId="209" fillId="0" borderId="60" xfId="0" applyFont="1" applyBorder="1">
      <alignment vertical="center"/>
    </xf>
    <xf numFmtId="0" fontId="209" fillId="0" borderId="59" xfId="0" applyFont="1" applyBorder="1">
      <alignment vertical="center"/>
    </xf>
    <xf numFmtId="0" fontId="209" fillId="0" borderId="61" xfId="0" applyFont="1" applyBorder="1">
      <alignment vertical="center"/>
    </xf>
    <xf numFmtId="0" fontId="209" fillId="0" borderId="62" xfId="0" applyFont="1" applyBorder="1">
      <alignment vertical="center"/>
    </xf>
    <xf numFmtId="0" fontId="115" fillId="0" borderId="0" xfId="0" applyFont="1">
      <alignment vertical="center"/>
    </xf>
    <xf numFmtId="0" fontId="209" fillId="0" borderId="79" xfId="0" applyFont="1" applyBorder="1">
      <alignment vertical="center"/>
    </xf>
    <xf numFmtId="0" fontId="115" fillId="0" borderId="0" xfId="0" applyFont="1" applyAlignment="1">
      <alignment horizontal="left" vertical="center"/>
    </xf>
    <xf numFmtId="0" fontId="115" fillId="0" borderId="0" xfId="0" quotePrefix="1" applyFont="1" applyAlignment="1">
      <alignment horizontal="left" vertical="center"/>
    </xf>
    <xf numFmtId="0" fontId="115" fillId="0" borderId="0" xfId="0" applyFont="1" applyAlignment="1">
      <alignment horizontal="left" vertical="center" wrapText="1"/>
    </xf>
    <xf numFmtId="0" fontId="220" fillId="0" borderId="0" xfId="0" applyFont="1" applyAlignment="1">
      <alignment horizontal="left" vertical="center"/>
    </xf>
    <xf numFmtId="0" fontId="223" fillId="0" borderId="0" xfId="0" applyFont="1" applyAlignment="1">
      <alignment horizontal="left" vertical="center"/>
    </xf>
    <xf numFmtId="0" fontId="220" fillId="0" borderId="0" xfId="0" applyFont="1">
      <alignment vertical="center"/>
    </xf>
    <xf numFmtId="0" fontId="230" fillId="0" borderId="0" xfId="0" applyFont="1">
      <alignment vertical="center"/>
    </xf>
    <xf numFmtId="0" fontId="231" fillId="0" borderId="0" xfId="0" applyFont="1">
      <alignment vertical="center"/>
    </xf>
    <xf numFmtId="0" fontId="232" fillId="0" borderId="0" xfId="0" applyFont="1">
      <alignment vertical="center"/>
    </xf>
    <xf numFmtId="0" fontId="231" fillId="0" borderId="0" xfId="0" applyFont="1" applyAlignment="1">
      <alignment vertical="center" wrapText="1"/>
    </xf>
    <xf numFmtId="0" fontId="233" fillId="0" borderId="0" xfId="0" applyFont="1">
      <alignment vertical="center"/>
    </xf>
    <xf numFmtId="0" fontId="234" fillId="0" borderId="0" xfId="0" applyFont="1" applyAlignment="1">
      <alignment horizontal="left" vertical="center"/>
    </xf>
    <xf numFmtId="0" fontId="231" fillId="0" borderId="0" xfId="0" applyFont="1" applyAlignment="1">
      <alignment horizontal="left" vertical="center"/>
    </xf>
    <xf numFmtId="0" fontId="231" fillId="0" borderId="0" xfId="0" applyFont="1" applyAlignment="1">
      <alignment horizontal="right" vertical="center"/>
    </xf>
    <xf numFmtId="56" fontId="231" fillId="18" borderId="0" xfId="0" applyNumberFormat="1" applyFont="1" applyFill="1" applyAlignment="1">
      <alignment horizontal="left" vertical="center"/>
    </xf>
    <xf numFmtId="0" fontId="231" fillId="18" borderId="0" xfId="0" applyFont="1" applyFill="1">
      <alignment vertical="center"/>
    </xf>
    <xf numFmtId="0" fontId="231" fillId="18" borderId="0" xfId="0" applyFont="1" applyFill="1" applyAlignment="1">
      <alignment horizontal="left" vertical="center"/>
    </xf>
    <xf numFmtId="0" fontId="232" fillId="0" borderId="163" xfId="0" applyFont="1" applyBorder="1">
      <alignment vertical="center"/>
    </xf>
    <xf numFmtId="0" fontId="231" fillId="0" borderId="163" xfId="0" applyFont="1" applyBorder="1">
      <alignment vertical="center"/>
    </xf>
    <xf numFmtId="0" fontId="236" fillId="26" borderId="113" xfId="0" applyFont="1" applyFill="1" applyBorder="1" applyAlignment="1">
      <alignment horizontal="center" vertical="center"/>
    </xf>
    <xf numFmtId="0" fontId="236" fillId="26" borderId="25" xfId="0" applyFont="1" applyFill="1" applyBorder="1" applyAlignment="1">
      <alignment horizontal="center" vertical="center"/>
    </xf>
    <xf numFmtId="261" fontId="231" fillId="0" borderId="0" xfId="0" applyNumberFormat="1" applyFont="1" applyAlignment="1">
      <alignment horizontal="left" vertical="center"/>
    </xf>
    <xf numFmtId="0" fontId="236" fillId="26" borderId="17" xfId="0" applyFont="1" applyFill="1" applyBorder="1" applyAlignment="1">
      <alignment horizontal="center" vertical="center"/>
    </xf>
    <xf numFmtId="0" fontId="236" fillId="26" borderId="18" xfId="0" applyFont="1" applyFill="1" applyBorder="1" applyAlignment="1">
      <alignment horizontal="center" vertical="center"/>
    </xf>
    <xf numFmtId="0" fontId="236" fillId="26" borderId="19" xfId="0" applyFont="1" applyFill="1" applyBorder="1" applyAlignment="1">
      <alignment horizontal="center" vertical="center"/>
    </xf>
    <xf numFmtId="0" fontId="231" fillId="0" borderId="167" xfId="0" applyFont="1" applyBorder="1" applyAlignment="1">
      <alignment horizontal="center" vertical="center"/>
    </xf>
    <xf numFmtId="0" fontId="231" fillId="0" borderId="154" xfId="0" applyFont="1" applyBorder="1" applyAlignment="1">
      <alignment horizontal="left" vertical="center"/>
    </xf>
    <xf numFmtId="187" fontId="231" fillId="0" borderId="154" xfId="0" applyNumberFormat="1" applyFont="1" applyBorder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178" fontId="231" fillId="0" borderId="154" xfId="0" applyNumberFormat="1" applyFont="1" applyBorder="1" applyAlignment="1">
      <alignment horizontal="center" vertical="center"/>
    </xf>
    <xf numFmtId="180" fontId="231" fillId="0" borderId="154" xfId="0" applyNumberFormat="1" applyFont="1" applyBorder="1" applyAlignment="1">
      <alignment horizontal="center" vertical="center"/>
    </xf>
    <xf numFmtId="262" fontId="231" fillId="0" borderId="154" xfId="0" applyNumberFormat="1" applyFont="1" applyBorder="1" applyAlignment="1">
      <alignment horizontal="center" vertical="center"/>
    </xf>
    <xf numFmtId="0" fontId="231" fillId="0" borderId="154" xfId="0" applyFont="1" applyBorder="1">
      <alignment vertical="center"/>
    </xf>
    <xf numFmtId="0" fontId="231" fillId="0" borderId="168" xfId="0" applyFont="1" applyBorder="1">
      <alignment vertical="center"/>
    </xf>
    <xf numFmtId="193" fontId="231" fillId="0" borderId="154" xfId="0" applyNumberFormat="1" applyFont="1" applyBorder="1" applyAlignment="1">
      <alignment horizontal="center" vertical="center"/>
    </xf>
    <xf numFmtId="194" fontId="231" fillId="0" borderId="154" xfId="0" applyNumberFormat="1" applyFont="1" applyBorder="1" applyAlignment="1">
      <alignment horizontal="center" vertical="center"/>
    </xf>
    <xf numFmtId="189" fontId="231" fillId="0" borderId="154" xfId="0" applyNumberFormat="1" applyFont="1" applyBorder="1" applyAlignment="1">
      <alignment horizontal="center" vertical="center"/>
    </xf>
    <xf numFmtId="185" fontId="231" fillId="0" borderId="154" xfId="0" applyNumberFormat="1" applyFont="1" applyBorder="1" applyAlignment="1">
      <alignment horizontal="center" vertical="center"/>
    </xf>
    <xf numFmtId="0" fontId="231" fillId="0" borderId="169" xfId="0" applyFont="1" applyBorder="1" applyAlignment="1">
      <alignment horizontal="center" vertical="center"/>
    </xf>
    <xf numFmtId="0" fontId="231" fillId="0" borderId="170" xfId="0" applyFont="1" applyBorder="1" applyAlignment="1">
      <alignment horizontal="left" vertical="center"/>
    </xf>
    <xf numFmtId="0" fontId="231" fillId="0" borderId="170" xfId="0" applyFont="1" applyBorder="1" applyAlignment="1">
      <alignment horizontal="center" vertical="center"/>
    </xf>
    <xf numFmtId="262" fontId="231" fillId="0" borderId="170" xfId="0" applyNumberFormat="1" applyFont="1" applyBorder="1" applyAlignment="1">
      <alignment horizontal="center" vertical="center"/>
    </xf>
    <xf numFmtId="0" fontId="231" fillId="0" borderId="170" xfId="0" applyFont="1" applyBorder="1">
      <alignment vertical="center"/>
    </xf>
    <xf numFmtId="0" fontId="231" fillId="0" borderId="171" xfId="0" applyFont="1" applyBorder="1">
      <alignment vertical="center"/>
    </xf>
    <xf numFmtId="0" fontId="236" fillId="26" borderId="109" xfId="0" applyFont="1" applyFill="1" applyBorder="1" applyAlignment="1">
      <alignment horizontal="center" vertical="center"/>
    </xf>
    <xf numFmtId="262" fontId="236" fillId="0" borderId="164" xfId="0" applyNumberFormat="1" applyFont="1" applyBorder="1" applyAlignment="1">
      <alignment horizontal="center" vertical="center"/>
    </xf>
    <xf numFmtId="0" fontId="231" fillId="0" borderId="176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0" fontId="231" fillId="0" borderId="174" xfId="0" applyFont="1" applyBorder="1">
      <alignment vertical="center"/>
    </xf>
    <xf numFmtId="0" fontId="231" fillId="0" borderId="175" xfId="0" applyFont="1" applyBorder="1">
      <alignment vertical="center"/>
    </xf>
    <xf numFmtId="0" fontId="231" fillId="0" borderId="135" xfId="0" applyFont="1" applyBorder="1">
      <alignment vertical="center"/>
    </xf>
    <xf numFmtId="0" fontId="231" fillId="0" borderId="177" xfId="0" applyFont="1" applyBorder="1">
      <alignment vertical="center"/>
    </xf>
    <xf numFmtId="0" fontId="231" fillId="0" borderId="180" xfId="0" applyFont="1" applyBorder="1">
      <alignment vertical="center"/>
    </xf>
    <xf numFmtId="0" fontId="231" fillId="0" borderId="181" xfId="0" applyFont="1" applyBorder="1">
      <alignment vertical="center"/>
    </xf>
    <xf numFmtId="0" fontId="231" fillId="0" borderId="182" xfId="0" applyFont="1" applyBorder="1" applyAlignment="1">
      <alignment horizontal="left" vertical="center"/>
    </xf>
    <xf numFmtId="0" fontId="231" fillId="0" borderId="182" xfId="0" applyFont="1" applyBorder="1" applyAlignment="1">
      <alignment horizontal="center" vertical="center"/>
    </xf>
    <xf numFmtId="262" fontId="231" fillId="0" borderId="182" xfId="0" applyNumberFormat="1" applyFont="1" applyBorder="1" applyAlignment="1">
      <alignment horizontal="center" vertical="center"/>
    </xf>
    <xf numFmtId="0" fontId="231" fillId="0" borderId="182" xfId="0" applyFont="1" applyBorder="1">
      <alignment vertical="center"/>
    </xf>
    <xf numFmtId="0" fontId="231" fillId="0" borderId="183" xfId="0" applyFont="1" applyBorder="1">
      <alignment vertical="center"/>
    </xf>
    <xf numFmtId="0" fontId="231" fillId="0" borderId="0" xfId="0" applyFont="1" applyAlignment="1">
      <alignment horizontal="center" vertical="center"/>
    </xf>
    <xf numFmtId="0" fontId="231" fillId="0" borderId="163" xfId="0" applyFont="1" applyBorder="1" applyAlignment="1">
      <alignment horizontal="center" vertical="center"/>
    </xf>
    <xf numFmtId="0" fontId="231" fillId="0" borderId="163" xfId="0" applyFont="1" applyBorder="1" applyAlignment="1">
      <alignment horizontal="left" vertical="center" wrapText="1"/>
    </xf>
    <xf numFmtId="0" fontId="237" fillId="0" borderId="0" xfId="0" applyFont="1">
      <alignment vertical="center"/>
    </xf>
    <xf numFmtId="187" fontId="231" fillId="0" borderId="0" xfId="0" applyNumberFormat="1" applyFont="1">
      <alignment vertical="center"/>
    </xf>
    <xf numFmtId="193" fontId="231" fillId="0" borderId="0" xfId="0" applyNumberFormat="1" applyFont="1">
      <alignment vertical="center"/>
    </xf>
    <xf numFmtId="194" fontId="231" fillId="0" borderId="0" xfId="0" applyNumberFormat="1" applyFont="1">
      <alignment vertical="center"/>
    </xf>
    <xf numFmtId="178" fontId="231" fillId="0" borderId="0" xfId="0" applyNumberFormat="1" applyFont="1">
      <alignment vertical="center"/>
    </xf>
    <xf numFmtId="180" fontId="231" fillId="0" borderId="0" xfId="0" applyNumberFormat="1" applyFont="1">
      <alignment vertical="center"/>
    </xf>
    <xf numFmtId="187" fontId="236" fillId="26" borderId="18" xfId="0" applyNumberFormat="1" applyFont="1" applyFill="1" applyBorder="1" applyAlignment="1">
      <alignment horizontal="center" vertical="center"/>
    </xf>
    <xf numFmtId="178" fontId="236" fillId="26" borderId="18" xfId="0" applyNumberFormat="1" applyFont="1" applyFill="1" applyBorder="1" applyAlignment="1">
      <alignment horizontal="center" vertical="center"/>
    </xf>
    <xf numFmtId="180" fontId="236" fillId="26" borderId="18" xfId="0" applyNumberFormat="1" applyFont="1" applyFill="1" applyBorder="1" applyAlignment="1">
      <alignment horizontal="center" vertical="center"/>
    </xf>
    <xf numFmtId="189" fontId="231" fillId="0" borderId="182" xfId="0" applyNumberFormat="1" applyFont="1" applyBorder="1" applyAlignment="1">
      <alignment horizontal="center" vertical="center"/>
    </xf>
    <xf numFmtId="178" fontId="231" fillId="0" borderId="182" xfId="0" applyNumberFormat="1" applyFont="1" applyBorder="1" applyAlignment="1">
      <alignment horizontal="center" vertical="center"/>
    </xf>
    <xf numFmtId="180" fontId="231" fillId="0" borderId="182" xfId="0" applyNumberFormat="1" applyFont="1" applyBorder="1" applyAlignment="1">
      <alignment horizontal="center" vertical="center"/>
    </xf>
    <xf numFmtId="185" fontId="231" fillId="0" borderId="182" xfId="0" applyNumberFormat="1" applyFont="1" applyBorder="1" applyAlignment="1">
      <alignment horizontal="center" vertical="center"/>
    </xf>
    <xf numFmtId="187" fontId="231" fillId="0" borderId="182" xfId="0" applyNumberFormat="1" applyFont="1" applyBorder="1" applyAlignment="1">
      <alignment horizontal="center" vertical="center"/>
    </xf>
    <xf numFmtId="0" fontId="232" fillId="18" borderId="0" xfId="0" applyFont="1" applyFill="1">
      <alignment vertical="center"/>
    </xf>
    <xf numFmtId="0" fontId="231" fillId="0" borderId="0" xfId="0" applyFont="1" applyProtection="1">
      <alignment vertical="center"/>
      <protection locked="0"/>
    </xf>
    <xf numFmtId="0" fontId="231" fillId="0" borderId="0" xfId="0" applyFont="1" applyAlignment="1" applyProtection="1">
      <alignment vertical="center" wrapText="1"/>
      <protection locked="0"/>
    </xf>
    <xf numFmtId="0" fontId="115" fillId="0" borderId="0" xfId="0" applyFont="1" applyProtection="1">
      <alignment vertical="center"/>
      <protection locked="0"/>
    </xf>
    <xf numFmtId="0" fontId="115" fillId="0" borderId="0" xfId="0" applyFont="1" applyAlignment="1" applyProtection="1">
      <alignment vertical="center" wrapText="1"/>
      <protection locked="0"/>
    </xf>
    <xf numFmtId="0" fontId="115" fillId="0" borderId="141" xfId="0" applyFont="1" applyBorder="1" applyProtection="1">
      <alignment vertical="center"/>
      <protection locked="0"/>
    </xf>
    <xf numFmtId="0" fontId="115" fillId="0" borderId="138" xfId="0" applyFont="1" applyBorder="1" applyProtection="1">
      <alignment vertical="center"/>
      <protection locked="0"/>
    </xf>
    <xf numFmtId="0" fontId="115" fillId="0" borderId="139" xfId="0" applyFont="1" applyBorder="1" applyProtection="1">
      <alignment vertical="center"/>
      <protection locked="0"/>
    </xf>
    <xf numFmtId="0" fontId="115" fillId="0" borderId="144" xfId="0" applyFont="1" applyBorder="1" applyProtection="1">
      <alignment vertical="center"/>
      <protection locked="0"/>
    </xf>
    <xf numFmtId="0" fontId="115" fillId="0" borderId="135" xfId="0" applyFont="1" applyBorder="1" applyProtection="1">
      <alignment vertical="center"/>
      <protection locked="0"/>
    </xf>
    <xf numFmtId="0" fontId="115" fillId="0" borderId="136" xfId="0" applyFont="1" applyBorder="1" applyProtection="1">
      <alignment vertical="center"/>
      <protection locked="0"/>
    </xf>
    <xf numFmtId="0" fontId="115" fillId="0" borderId="143" xfId="0" applyFont="1" applyBorder="1" applyAlignment="1" applyProtection="1">
      <alignment horizontal="left" vertical="center"/>
      <protection locked="0"/>
    </xf>
    <xf numFmtId="0" fontId="115" fillId="0" borderId="143" xfId="0" applyFont="1" applyBorder="1" applyProtection="1">
      <alignment vertical="center"/>
      <protection locked="0"/>
    </xf>
    <xf numFmtId="49" fontId="115" fillId="0" borderId="152" xfId="0" applyNumberFormat="1" applyFont="1" applyBorder="1" applyAlignment="1" applyProtection="1">
      <alignment horizontal="left" vertical="center" shrinkToFit="1"/>
      <protection locked="0"/>
    </xf>
    <xf numFmtId="0" fontId="115" fillId="0" borderId="153" xfId="0" applyFont="1" applyBorder="1" applyAlignment="1" applyProtection="1">
      <alignment horizontal="left" vertical="center"/>
      <protection locked="0"/>
    </xf>
    <xf numFmtId="0" fontId="115" fillId="0" borderId="153" xfId="0" applyFont="1" applyBorder="1" applyAlignment="1" applyProtection="1">
      <alignment horizontal="center" vertical="center"/>
      <protection locked="0"/>
    </xf>
    <xf numFmtId="179" fontId="115" fillId="0" borderId="153" xfId="0" applyNumberFormat="1" applyFont="1" applyBorder="1" applyAlignment="1" applyProtection="1">
      <alignment horizontal="center" vertical="center"/>
      <protection locked="0"/>
    </xf>
    <xf numFmtId="49" fontId="115" fillId="0" borderId="142" xfId="0" applyNumberFormat="1" applyFont="1" applyBorder="1" applyAlignment="1" applyProtection="1">
      <alignment horizontal="left" vertical="center" shrinkToFit="1"/>
      <protection locked="0"/>
    </xf>
    <xf numFmtId="0" fontId="115" fillId="0" borderId="154" xfId="0" applyFont="1" applyBorder="1" applyAlignment="1" applyProtection="1">
      <alignment horizontal="left" vertical="center"/>
      <protection locked="0"/>
    </xf>
    <xf numFmtId="188" fontId="115" fillId="0" borderId="154" xfId="0" applyNumberFormat="1" applyFont="1" applyBorder="1" applyAlignment="1" applyProtection="1">
      <alignment horizontal="center" vertical="center"/>
      <protection locked="0"/>
    </xf>
    <xf numFmtId="0" fontId="115" fillId="0" borderId="154" xfId="0" applyFont="1" applyBorder="1" applyAlignment="1" applyProtection="1">
      <alignment horizontal="center" vertical="center"/>
      <protection locked="0"/>
    </xf>
    <xf numFmtId="184" fontId="115" fillId="0" borderId="154" xfId="0" applyNumberFormat="1" applyFont="1" applyBorder="1" applyAlignment="1" applyProtection="1">
      <alignment horizontal="center" vertical="center"/>
      <protection locked="0"/>
    </xf>
    <xf numFmtId="180" fontId="115" fillId="0" borderId="154" xfId="0" applyNumberFormat="1" applyFont="1" applyBorder="1" applyAlignment="1" applyProtection="1">
      <alignment horizontal="center" vertical="center"/>
      <protection locked="0"/>
    </xf>
    <xf numFmtId="191" fontId="115" fillId="0" borderId="154" xfId="0" applyNumberFormat="1" applyFont="1" applyBorder="1" applyAlignment="1" applyProtection="1">
      <alignment horizontal="center" vertical="center"/>
      <protection locked="0"/>
    </xf>
    <xf numFmtId="178" fontId="115" fillId="0" borderId="154" xfId="0" applyNumberFormat="1" applyFont="1" applyBorder="1" applyAlignment="1" applyProtection="1">
      <alignment horizontal="center" vertical="center"/>
      <protection locked="0"/>
    </xf>
    <xf numFmtId="179" fontId="115" fillId="0" borderId="154" xfId="0" applyNumberFormat="1" applyFont="1" applyBorder="1" applyAlignment="1" applyProtection="1">
      <alignment horizontal="center" vertical="center"/>
      <protection locked="0"/>
    </xf>
    <xf numFmtId="189" fontId="115" fillId="0" borderId="154" xfId="0" applyNumberFormat="1" applyFont="1" applyBorder="1" applyAlignment="1" applyProtection="1">
      <alignment horizontal="center" vertical="center"/>
      <protection locked="0"/>
    </xf>
    <xf numFmtId="176" fontId="115" fillId="0" borderId="154" xfId="0" applyNumberFormat="1" applyFont="1" applyBorder="1" applyAlignment="1" applyProtection="1">
      <alignment horizontal="center" vertical="center"/>
      <protection locked="0"/>
    </xf>
    <xf numFmtId="185" fontId="115" fillId="0" borderId="154" xfId="0" applyNumberFormat="1" applyFont="1" applyBorder="1" applyAlignment="1" applyProtection="1">
      <alignment horizontal="center" vertical="center"/>
      <protection locked="0"/>
    </xf>
    <xf numFmtId="187" fontId="115" fillId="0" borderId="154" xfId="0" applyNumberFormat="1" applyFont="1" applyBorder="1" applyAlignment="1" applyProtection="1">
      <alignment horizontal="center" vertical="center"/>
      <protection locked="0"/>
    </xf>
    <xf numFmtId="215" fontId="115" fillId="0" borderId="154" xfId="0" applyNumberFormat="1" applyFont="1" applyBorder="1" applyAlignment="1" applyProtection="1">
      <alignment horizontal="center" vertical="center"/>
      <protection locked="0"/>
    </xf>
    <xf numFmtId="194" fontId="115" fillId="0" borderId="154" xfId="0" applyNumberFormat="1" applyFont="1" applyBorder="1" applyAlignment="1" applyProtection="1">
      <alignment horizontal="center" vertical="center"/>
      <protection locked="0"/>
    </xf>
    <xf numFmtId="193" fontId="115" fillId="0" borderId="154" xfId="0" applyNumberFormat="1" applyFont="1" applyBorder="1" applyAlignment="1" applyProtection="1">
      <alignment horizontal="center" vertical="center"/>
      <protection locked="0"/>
    </xf>
    <xf numFmtId="211" fontId="115" fillId="0" borderId="154" xfId="0" applyNumberFormat="1" applyFont="1" applyBorder="1" applyAlignment="1" applyProtection="1">
      <alignment horizontal="center" vertical="center"/>
      <protection locked="0"/>
    </xf>
    <xf numFmtId="226" fontId="115" fillId="0" borderId="154" xfId="0" applyNumberFormat="1" applyFont="1" applyBorder="1" applyAlignment="1" applyProtection="1">
      <alignment horizontal="center" vertical="center"/>
      <protection locked="0"/>
    </xf>
    <xf numFmtId="0" fontId="115" fillId="0" borderId="142" xfId="0" applyFont="1" applyBorder="1" applyAlignment="1" applyProtection="1">
      <alignment horizontal="left" vertical="center" shrinkToFit="1"/>
      <protection locked="0"/>
    </xf>
    <xf numFmtId="260" fontId="115" fillId="0" borderId="154" xfId="0" applyNumberFormat="1" applyFont="1" applyBorder="1" applyAlignment="1" applyProtection="1">
      <alignment horizontal="center" vertical="center"/>
      <protection locked="0"/>
    </xf>
    <xf numFmtId="0" fontId="115" fillId="0" borderId="141" xfId="0" applyFont="1" applyBorder="1" applyAlignment="1" applyProtection="1">
      <alignment horizontal="left" vertical="center" shrinkToFit="1"/>
      <protection locked="0"/>
    </xf>
    <xf numFmtId="0" fontId="115" fillId="0" borderId="155" xfId="0" applyFont="1" applyBorder="1" applyAlignment="1" applyProtection="1">
      <alignment horizontal="left" vertical="center"/>
      <protection locked="0"/>
    </xf>
    <xf numFmtId="0" fontId="115" fillId="0" borderId="155" xfId="0" applyFont="1" applyBorder="1" applyAlignment="1" applyProtection="1">
      <alignment horizontal="center" vertical="center"/>
      <protection locked="0"/>
    </xf>
    <xf numFmtId="260" fontId="115" fillId="0" borderId="155" xfId="0" applyNumberFormat="1" applyFont="1" applyBorder="1" applyAlignment="1" applyProtection="1">
      <alignment horizontal="center" vertical="center"/>
      <protection locked="0"/>
    </xf>
    <xf numFmtId="215" fontId="115" fillId="0" borderId="140" xfId="0" applyNumberFormat="1" applyFont="1" applyBorder="1" applyAlignment="1" applyProtection="1">
      <alignment horizontal="right" vertical="center"/>
      <protection locked="0"/>
    </xf>
    <xf numFmtId="215" fontId="115" fillId="0" borderId="133" xfId="0" applyNumberFormat="1" applyFont="1" applyBorder="1" applyProtection="1">
      <alignment vertical="center"/>
      <protection locked="0"/>
    </xf>
    <xf numFmtId="260" fontId="115" fillId="0" borderId="162" xfId="0" applyNumberFormat="1" applyFont="1" applyBorder="1" applyAlignment="1" applyProtection="1">
      <alignment horizontal="center" vertical="center"/>
      <protection locked="0"/>
    </xf>
    <xf numFmtId="215" fontId="115" fillId="0" borderId="142" xfId="0" applyNumberFormat="1" applyFont="1" applyBorder="1" applyAlignment="1" applyProtection="1">
      <alignment horizontal="right" vertical="center"/>
      <protection locked="0"/>
    </xf>
    <xf numFmtId="215" fontId="115" fillId="0" borderId="141" xfId="0" applyNumberFormat="1" applyFont="1" applyBorder="1" applyAlignment="1" applyProtection="1">
      <alignment horizontal="right" vertical="center"/>
      <protection locked="0"/>
    </xf>
    <xf numFmtId="260" fontId="115" fillId="0" borderId="16" xfId="0" applyNumberFormat="1" applyFont="1" applyBorder="1" applyAlignment="1" applyProtection="1">
      <alignment horizontal="center" vertical="center"/>
      <protection locked="0"/>
    </xf>
    <xf numFmtId="0" fontId="115" fillId="0" borderId="75" xfId="0" applyFont="1" applyBorder="1" applyProtection="1">
      <alignment vertical="center"/>
      <protection locked="0"/>
    </xf>
    <xf numFmtId="0" fontId="115" fillId="0" borderId="49" xfId="0" applyFont="1" applyBorder="1" applyProtection="1">
      <alignment vertical="center"/>
      <protection locked="0"/>
    </xf>
    <xf numFmtId="0" fontId="115" fillId="0" borderId="49" xfId="0" applyFont="1" applyBorder="1" applyAlignment="1" applyProtection="1">
      <alignment vertical="center" wrapText="1"/>
      <protection locked="0"/>
    </xf>
    <xf numFmtId="0" fontId="115" fillId="0" borderId="88" xfId="0" applyFont="1" applyBorder="1" applyProtection="1">
      <alignment vertical="center"/>
      <protection locked="0"/>
    </xf>
    <xf numFmtId="0" fontId="115" fillId="0" borderId="76" xfId="0" applyFont="1" applyBorder="1" applyProtection="1">
      <alignment vertical="center"/>
      <protection locked="0"/>
    </xf>
    <xf numFmtId="0" fontId="115" fillId="0" borderId="43" xfId="0" applyFont="1" applyBorder="1" applyProtection="1">
      <alignment vertical="center"/>
      <protection locked="0"/>
    </xf>
    <xf numFmtId="0" fontId="115" fillId="0" borderId="56" xfId="0" applyFont="1" applyBorder="1" applyProtection="1">
      <alignment vertical="center"/>
      <protection locked="0"/>
    </xf>
    <xf numFmtId="0" fontId="115" fillId="0" borderId="50" xfId="0" applyFont="1" applyBorder="1" applyProtection="1">
      <alignment vertical="center"/>
      <protection locked="0"/>
    </xf>
    <xf numFmtId="0" fontId="115" fillId="0" borderId="50" xfId="0" applyFont="1" applyBorder="1" applyAlignment="1" applyProtection="1">
      <alignment vertical="center" wrapText="1"/>
      <protection locked="0"/>
    </xf>
    <xf numFmtId="0" fontId="115" fillId="0" borderId="57" xfId="0" applyFont="1" applyBorder="1" applyProtection="1">
      <alignment vertical="center"/>
      <protection locked="0"/>
    </xf>
    <xf numFmtId="0" fontId="115" fillId="0" borderId="137" xfId="0" applyFont="1" applyBorder="1" applyProtection="1">
      <alignment vertical="center"/>
      <protection locked="0"/>
    </xf>
    <xf numFmtId="0" fontId="240" fillId="0" borderId="0" xfId="0" applyFont="1">
      <alignment vertical="center"/>
    </xf>
    <xf numFmtId="0" fontId="231" fillId="0" borderId="0" xfId="0" applyFont="1" applyAlignment="1" applyProtection="1">
      <alignment horizontal="center" vertical="center"/>
      <protection locked="0"/>
    </xf>
    <xf numFmtId="0" fontId="232" fillId="0" borderId="0" xfId="0" applyFont="1" applyProtection="1">
      <alignment vertical="center"/>
      <protection locked="0"/>
    </xf>
    <xf numFmtId="0" fontId="240" fillId="0" borderId="0" xfId="0" applyFont="1" applyProtection="1">
      <alignment vertical="center"/>
      <protection locked="0"/>
    </xf>
    <xf numFmtId="0" fontId="231" fillId="0" borderId="0" xfId="0" applyFont="1" applyAlignment="1" applyProtection="1">
      <alignment horizontal="left" vertical="center"/>
      <protection locked="0"/>
    </xf>
    <xf numFmtId="0" fontId="225" fillId="0" borderId="0" xfId="0" applyFont="1" applyAlignment="1" applyProtection="1">
      <alignment horizontal="center" vertical="center"/>
      <protection locked="0"/>
    </xf>
    <xf numFmtId="0" fontId="224" fillId="0" borderId="0" xfId="0" applyFont="1" applyProtection="1">
      <alignment vertical="center"/>
      <protection locked="0"/>
    </xf>
    <xf numFmtId="0" fontId="117" fillId="0" borderId="0" xfId="0" applyFont="1" applyProtection="1">
      <alignment vertical="center"/>
      <protection locked="0"/>
    </xf>
    <xf numFmtId="0" fontId="221" fillId="0" borderId="0" xfId="0" applyFont="1" applyProtection="1">
      <alignment vertical="center"/>
      <protection locked="0"/>
    </xf>
    <xf numFmtId="0" fontId="227" fillId="0" borderId="75" xfId="0" applyFont="1" applyBorder="1" applyProtection="1">
      <alignment vertical="center"/>
      <protection locked="0"/>
    </xf>
    <xf numFmtId="0" fontId="117" fillId="0" borderId="131" xfId="0" applyFont="1" applyBorder="1" applyProtection="1">
      <alignment vertical="center"/>
      <protection locked="0"/>
    </xf>
    <xf numFmtId="0" fontId="117" fillId="0" borderId="132" xfId="0" applyFont="1" applyBorder="1" applyProtection="1">
      <alignment vertical="center"/>
      <protection locked="0"/>
    </xf>
    <xf numFmtId="0" fontId="117" fillId="0" borderId="133" xfId="0" applyFont="1" applyBorder="1" applyProtection="1">
      <alignment vertical="center"/>
      <protection locked="0"/>
    </xf>
    <xf numFmtId="0" fontId="227" fillId="0" borderId="140" xfId="0" applyFont="1" applyBorder="1" applyProtection="1">
      <alignment vertical="center"/>
      <protection locked="0"/>
    </xf>
    <xf numFmtId="0" fontId="115" fillId="0" borderId="132" xfId="0" applyFont="1" applyBorder="1" applyProtection="1">
      <alignment vertical="center"/>
      <protection locked="0"/>
    </xf>
    <xf numFmtId="0" fontId="115" fillId="0" borderId="133" xfId="0" applyFont="1" applyBorder="1" applyProtection="1">
      <alignment vertical="center"/>
      <protection locked="0"/>
    </xf>
    <xf numFmtId="0" fontId="115" fillId="0" borderId="134" xfId="0" applyFont="1" applyBorder="1" applyProtection="1">
      <alignment vertical="center"/>
      <protection locked="0"/>
    </xf>
    <xf numFmtId="0" fontId="115" fillId="0" borderId="134" xfId="0" applyFont="1" applyBorder="1" applyAlignment="1" applyProtection="1">
      <alignment horizontal="left" vertical="center"/>
      <protection locked="0"/>
    </xf>
    <xf numFmtId="0" fontId="115" fillId="0" borderId="142" xfId="0" applyFont="1" applyBorder="1" applyProtection="1">
      <alignment vertical="center"/>
      <protection locked="0"/>
    </xf>
    <xf numFmtId="0" fontId="227" fillId="0" borderId="133" xfId="0" applyFont="1" applyBorder="1" applyProtection="1">
      <alignment vertical="center"/>
      <protection locked="0"/>
    </xf>
    <xf numFmtId="0" fontId="227" fillId="0" borderId="133" xfId="0" applyFont="1" applyBorder="1" applyAlignment="1" applyProtection="1">
      <alignment vertical="center" wrapText="1"/>
      <protection locked="0"/>
    </xf>
    <xf numFmtId="0" fontId="227" fillId="0" borderId="132" xfId="0" applyFont="1" applyBorder="1" applyProtection="1">
      <alignment vertical="center"/>
      <protection locked="0"/>
    </xf>
    <xf numFmtId="0" fontId="226" fillId="0" borderId="132" xfId="0" applyFont="1" applyBorder="1" applyProtection="1">
      <alignment vertical="center"/>
      <protection locked="0"/>
    </xf>
    <xf numFmtId="0" fontId="226" fillId="0" borderId="133" xfId="0" applyFont="1" applyBorder="1" applyProtection="1">
      <alignment vertical="center"/>
      <protection locked="0"/>
    </xf>
    <xf numFmtId="0" fontId="115" fillId="0" borderId="148" xfId="0" applyFont="1" applyBorder="1" applyProtection="1">
      <alignment vertical="center"/>
      <protection locked="0"/>
    </xf>
    <xf numFmtId="0" fontId="115" fillId="0" borderId="149" xfId="0" applyFont="1" applyBorder="1" applyAlignment="1" applyProtection="1">
      <alignment horizontal="left" vertical="center"/>
      <protection locked="0"/>
    </xf>
    <xf numFmtId="0" fontId="115" fillId="0" borderId="150" xfId="0" applyFont="1" applyBorder="1" applyProtection="1">
      <alignment vertical="center"/>
      <protection locked="0"/>
    </xf>
    <xf numFmtId="0" fontId="227" fillId="0" borderId="100" xfId="0" applyFont="1" applyBorder="1" applyProtection="1">
      <alignment vertical="center"/>
      <protection locked="0"/>
    </xf>
    <xf numFmtId="0" fontId="117" fillId="0" borderId="158" xfId="0" applyFont="1" applyBorder="1" applyAlignment="1" applyProtection="1">
      <alignment horizontal="center" vertical="center"/>
      <protection locked="0"/>
    </xf>
    <xf numFmtId="0" fontId="117" fillId="0" borderId="158" xfId="0" applyFont="1" applyBorder="1" applyAlignment="1" applyProtection="1">
      <alignment horizontal="center" vertical="center" wrapText="1"/>
      <protection locked="0"/>
    </xf>
    <xf numFmtId="179" fontId="115" fillId="0" borderId="0" xfId="0" applyNumberFormat="1" applyFont="1" applyProtection="1">
      <alignment vertical="center"/>
      <protection locked="0"/>
    </xf>
    <xf numFmtId="192" fontId="115" fillId="0" borderId="0" xfId="0" applyNumberFormat="1" applyFont="1" applyProtection="1">
      <alignment vertical="center"/>
      <protection locked="0"/>
    </xf>
    <xf numFmtId="49" fontId="115" fillId="0" borderId="0" xfId="0" applyNumberFormat="1" applyFont="1" applyProtection="1">
      <alignment vertical="center"/>
      <protection locked="0"/>
    </xf>
    <xf numFmtId="186" fontId="115" fillId="0" borderId="0" xfId="0" applyNumberFormat="1" applyFont="1" applyProtection="1">
      <alignment vertical="center"/>
      <protection locked="0"/>
    </xf>
    <xf numFmtId="191" fontId="115" fillId="0" borderId="0" xfId="0" applyNumberFormat="1" applyFont="1" applyProtection="1">
      <alignment vertical="center"/>
      <protection locked="0"/>
    </xf>
    <xf numFmtId="0" fontId="115" fillId="0" borderId="0" xfId="0" applyFont="1" applyAlignment="1" applyProtection="1">
      <alignment horizontal="right" vertical="center"/>
      <protection locked="0"/>
    </xf>
    <xf numFmtId="0" fontId="218" fillId="0" borderId="0" xfId="0" applyFont="1" applyProtection="1">
      <alignment vertical="center"/>
      <protection locked="0"/>
    </xf>
    <xf numFmtId="0" fontId="217" fillId="0" borderId="0" xfId="0" applyFont="1" applyProtection="1">
      <alignment vertical="center"/>
      <protection locked="0"/>
    </xf>
    <xf numFmtId="0" fontId="115" fillId="0" borderId="0" xfId="0" applyFont="1" applyAlignment="1" applyProtection="1">
      <alignment horizontal="right" vertical="center" wrapText="1"/>
      <protection locked="0"/>
    </xf>
    <xf numFmtId="0" fontId="115" fillId="0" borderId="149" xfId="0" applyFont="1" applyBorder="1" applyProtection="1">
      <alignment vertical="center"/>
      <protection locked="0"/>
    </xf>
    <xf numFmtId="195" fontId="115" fillId="0" borderId="154" xfId="0" applyNumberFormat="1" applyFont="1" applyBorder="1" applyAlignment="1" applyProtection="1">
      <alignment horizontal="center" vertical="center"/>
      <protection locked="0"/>
    </xf>
    <xf numFmtId="186" fontId="7" fillId="0" borderId="28" xfId="0" applyNumberFormat="1" applyFont="1" applyBorder="1" applyAlignment="1">
      <alignment horizontal="right" vertical="center"/>
    </xf>
    <xf numFmtId="0" fontId="42" fillId="0" borderId="27" xfId="0" applyFont="1" applyBorder="1">
      <alignment vertical="center"/>
    </xf>
    <xf numFmtId="191" fontId="5" fillId="0" borderId="28" xfId="0" applyNumberFormat="1" applyFont="1" applyBorder="1" applyAlignment="1">
      <alignment horizontal="right" vertical="center"/>
    </xf>
    <xf numFmtId="192" fontId="5" fillId="0" borderId="26" xfId="0" applyNumberFormat="1" applyFont="1" applyBorder="1" applyAlignment="1">
      <alignment horizontal="left" vertical="center"/>
    </xf>
    <xf numFmtId="240" fontId="13" fillId="0" borderId="1" xfId="0" applyNumberFormat="1" applyFont="1" applyBorder="1" applyAlignment="1">
      <alignment horizontal="left" vertical="center"/>
    </xf>
    <xf numFmtId="215" fontId="13" fillId="0" borderId="1" xfId="0" applyNumberFormat="1" applyFont="1" applyBorder="1" applyAlignment="1">
      <alignment horizontal="right" vertical="center"/>
    </xf>
    <xf numFmtId="191" fontId="130" fillId="0" borderId="28" xfId="0" applyNumberFormat="1" applyFont="1" applyBorder="1" applyAlignment="1">
      <alignment horizontal="right" vertical="center"/>
    </xf>
    <xf numFmtId="0" fontId="27" fillId="3" borderId="8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49" fontId="16" fillId="0" borderId="1" xfId="0" applyNumberFormat="1" applyFont="1" applyBorder="1">
      <alignment vertical="center"/>
    </xf>
    <xf numFmtId="178" fontId="23" fillId="0" borderId="1" xfId="0" applyNumberFormat="1" applyFont="1" applyBorder="1">
      <alignment vertical="center"/>
    </xf>
    <xf numFmtId="218" fontId="38" fillId="0" borderId="1" xfId="0" applyNumberFormat="1" applyFont="1" applyBorder="1" applyAlignment="1">
      <alignment horizontal="center"/>
    </xf>
    <xf numFmtId="0" fontId="43" fillId="10" borderId="1" xfId="0" applyFont="1" applyFill="1" applyBorder="1" applyAlignment="1">
      <alignment horizontal="center" vertical="center" wrapText="1"/>
    </xf>
    <xf numFmtId="0" fontId="43" fillId="8" borderId="1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49" fontId="38" fillId="10" borderId="1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49" fontId="80" fillId="11" borderId="1" xfId="0" applyNumberFormat="1" applyFont="1" applyFill="1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191" fontId="4" fillId="0" borderId="28" xfId="0" applyNumberFormat="1" applyFont="1" applyBorder="1">
      <alignment vertical="center"/>
    </xf>
    <xf numFmtId="0" fontId="13" fillId="0" borderId="0" xfId="0" applyFont="1" applyAlignment="1">
      <alignment horizontal="left" vertical="center"/>
    </xf>
    <xf numFmtId="190" fontId="4" fillId="0" borderId="1" xfId="0" applyNumberFormat="1" applyFont="1" applyBorder="1" applyAlignment="1">
      <alignment horizontal="center" vertical="center"/>
    </xf>
    <xf numFmtId="0" fontId="49" fillId="4" borderId="0" xfId="0" applyFont="1" applyFill="1" applyAlignment="1">
      <alignment horizontal="center"/>
    </xf>
    <xf numFmtId="240" fontId="115" fillId="0" borderId="154" xfId="0" applyNumberFormat="1" applyFont="1" applyBorder="1" applyAlignment="1" applyProtection="1">
      <alignment horizontal="left" vertical="center"/>
      <protection locked="0"/>
    </xf>
    <xf numFmtId="193" fontId="115" fillId="0" borderId="153" xfId="0" applyNumberFormat="1" applyFont="1" applyBorder="1" applyAlignment="1" applyProtection="1">
      <alignment horizontal="center" vertical="center"/>
      <protection locked="0"/>
    </xf>
    <xf numFmtId="186" fontId="241" fillId="0" borderId="28" xfId="0" applyNumberFormat="1" applyFont="1" applyBorder="1">
      <alignment vertical="center"/>
    </xf>
    <xf numFmtId="191" fontId="79" fillId="0" borderId="1" xfId="0" applyNumberFormat="1" applyFont="1" applyBorder="1" applyAlignment="1">
      <alignment horizontal="center" vertical="center"/>
    </xf>
    <xf numFmtId="0" fontId="102" fillId="0" borderId="0" xfId="0" applyFont="1">
      <alignment vertical="center"/>
    </xf>
    <xf numFmtId="187" fontId="115" fillId="0" borderId="153" xfId="0" applyNumberFormat="1" applyFont="1" applyBorder="1" applyAlignment="1" applyProtection="1">
      <alignment horizontal="center" vertical="center"/>
      <protection locked="0"/>
    </xf>
    <xf numFmtId="194" fontId="115" fillId="0" borderId="153" xfId="0" applyNumberFormat="1" applyFont="1" applyBorder="1" applyAlignment="1" applyProtection="1">
      <alignment horizontal="center" vertical="center"/>
      <protection locked="0"/>
    </xf>
    <xf numFmtId="257" fontId="115" fillId="18" borderId="141" xfId="0" applyNumberFormat="1" applyFont="1" applyFill="1" applyBorder="1" applyProtection="1">
      <alignment vertical="center"/>
      <protection locked="0"/>
    </xf>
    <xf numFmtId="0" fontId="115" fillId="18" borderId="139" xfId="0" applyFont="1" applyFill="1" applyBorder="1" applyProtection="1">
      <alignment vertical="center"/>
      <protection locked="0"/>
    </xf>
    <xf numFmtId="0" fontId="217" fillId="18" borderId="141" xfId="0" applyFont="1" applyFill="1" applyBorder="1" applyAlignment="1" applyProtection="1">
      <alignment horizontal="center" vertical="center"/>
      <protection locked="0"/>
    </xf>
    <xf numFmtId="0" fontId="115" fillId="18" borderId="56" xfId="0" applyFont="1" applyFill="1" applyBorder="1" applyProtection="1">
      <alignment vertical="center"/>
      <protection locked="0"/>
    </xf>
    <xf numFmtId="0" fontId="115" fillId="18" borderId="50" xfId="0" applyFont="1" applyFill="1" applyBorder="1" applyAlignment="1" applyProtection="1">
      <alignment horizontal="left" vertical="center"/>
      <protection locked="0"/>
    </xf>
    <xf numFmtId="0" fontId="115" fillId="18" borderId="57" xfId="0" applyFont="1" applyFill="1" applyBorder="1" applyProtection="1">
      <alignment vertical="center"/>
      <protection locked="0"/>
    </xf>
    <xf numFmtId="257" fontId="115" fillId="0" borderId="141" xfId="0" applyNumberFormat="1" applyFont="1" applyBorder="1" applyProtection="1">
      <alignment vertical="center"/>
      <protection locked="0"/>
    </xf>
    <xf numFmtId="0" fontId="243" fillId="0" borderId="1" xfId="0" applyFont="1" applyBorder="1" applyAlignment="1">
      <alignment horizontal="left" vertical="center"/>
    </xf>
    <xf numFmtId="187" fontId="41" fillId="0" borderId="1" xfId="0" applyNumberFormat="1" applyFont="1" applyBorder="1" applyAlignment="1">
      <alignment horizontal="center" vertical="center"/>
    </xf>
    <xf numFmtId="193" fontId="244" fillId="0" borderId="1" xfId="0" applyNumberFormat="1" applyFont="1" applyBorder="1" applyAlignment="1">
      <alignment horizontal="center" vertical="center"/>
    </xf>
    <xf numFmtId="178" fontId="41" fillId="0" borderId="1" xfId="0" applyNumberFormat="1" applyFont="1" applyBorder="1" applyAlignment="1">
      <alignment horizontal="center" vertical="center"/>
    </xf>
    <xf numFmtId="0" fontId="91" fillId="0" borderId="0" xfId="21" applyFont="1"/>
    <xf numFmtId="267" fontId="91" fillId="0" borderId="0" xfId="21" applyNumberFormat="1" applyFont="1"/>
    <xf numFmtId="269" fontId="91" fillId="0" borderId="0" xfId="21" applyNumberFormat="1" applyFont="1"/>
    <xf numFmtId="0" fontId="247" fillId="0" borderId="0" xfId="21" applyFont="1" applyAlignment="1">
      <alignment horizontal="center"/>
    </xf>
    <xf numFmtId="0" fontId="248" fillId="0" borderId="0" xfId="21" applyFont="1" applyAlignment="1">
      <alignment vertical="center"/>
    </xf>
    <xf numFmtId="0" fontId="247" fillId="0" borderId="0" xfId="21" applyFont="1" applyAlignment="1">
      <alignment horizontal="right"/>
    </xf>
    <xf numFmtId="0" fontId="249" fillId="0" borderId="0" xfId="21" applyFont="1" applyAlignment="1">
      <alignment horizontal="center"/>
    </xf>
    <xf numFmtId="0" fontId="247" fillId="0" borderId="0" xfId="21" applyFont="1"/>
    <xf numFmtId="49" fontId="249" fillId="0" borderId="0" xfId="21" applyNumberFormat="1" applyFont="1"/>
    <xf numFmtId="49" fontId="246" fillId="0" borderId="0" xfId="21" applyNumberFormat="1" applyFont="1"/>
    <xf numFmtId="0" fontId="12" fillId="0" borderId="0" xfId="21" applyFont="1"/>
    <xf numFmtId="0" fontId="252" fillId="0" borderId="0" xfId="20" applyFont="1"/>
    <xf numFmtId="0" fontId="253" fillId="0" borderId="0" xfId="20" applyFont="1"/>
    <xf numFmtId="0" fontId="254" fillId="0" borderId="0" xfId="20" applyFont="1"/>
    <xf numFmtId="0" fontId="115" fillId="0" borderId="0" xfId="20" applyFont="1" applyAlignment="1">
      <alignment vertical="center"/>
    </xf>
    <xf numFmtId="0" fontId="255" fillId="0" borderId="0" xfId="20" applyFont="1"/>
    <xf numFmtId="267" fontId="254" fillId="0" borderId="0" xfId="20" applyNumberFormat="1" applyFont="1"/>
    <xf numFmtId="0" fontId="258" fillId="0" borderId="0" xfId="20" applyFont="1" applyAlignment="1">
      <alignment horizontal="left"/>
    </xf>
    <xf numFmtId="268" fontId="259" fillId="0" borderId="50" xfId="20" applyNumberFormat="1" applyFont="1" applyBorder="1"/>
    <xf numFmtId="268" fontId="255" fillId="0" borderId="0" xfId="20" applyNumberFormat="1" applyFont="1"/>
    <xf numFmtId="0" fontId="255" fillId="0" borderId="50" xfId="20" applyFont="1" applyBorder="1"/>
    <xf numFmtId="0" fontId="258" fillId="0" borderId="0" xfId="20" applyFont="1"/>
    <xf numFmtId="0" fontId="224" fillId="0" borderId="0" xfId="20" applyFont="1"/>
    <xf numFmtId="0" fontId="255" fillId="0" borderId="49" xfId="20" applyFont="1" applyBorder="1"/>
    <xf numFmtId="0" fontId="258" fillId="0" borderId="88" xfId="20" applyFont="1" applyBorder="1"/>
    <xf numFmtId="0" fontId="258" fillId="0" borderId="0" xfId="20" applyFont="1" applyAlignment="1">
      <alignment vertical="top"/>
    </xf>
    <xf numFmtId="0" fontId="259" fillId="0" borderId="0" xfId="20" applyFont="1"/>
    <xf numFmtId="0" fontId="258" fillId="0" borderId="43" xfId="20" applyFont="1" applyBorder="1"/>
    <xf numFmtId="0" fontId="213" fillId="0" borderId="0" xfId="20" applyFont="1" applyAlignment="1">
      <alignment vertical="center"/>
    </xf>
    <xf numFmtId="0" fontId="114" fillId="0" borderId="0" xfId="20" applyFont="1"/>
    <xf numFmtId="0" fontId="260" fillId="0" borderId="0" xfId="20" applyFont="1"/>
    <xf numFmtId="0" fontId="258" fillId="0" borderId="50" xfId="20" applyFont="1" applyBorder="1"/>
    <xf numFmtId="0" fontId="259" fillId="0" borderId="50" xfId="20" applyFont="1" applyBorder="1"/>
    <xf numFmtId="0" fontId="258" fillId="0" borderId="57" xfId="20" applyFont="1" applyBorder="1"/>
    <xf numFmtId="0" fontId="101" fillId="0" borderId="43" xfId="20" applyFont="1" applyBorder="1"/>
    <xf numFmtId="0" fontId="254" fillId="0" borderId="50" xfId="20" applyFont="1" applyBorder="1"/>
    <xf numFmtId="0" fontId="101" fillId="0" borderId="57" xfId="20" applyFont="1" applyBorder="1"/>
    <xf numFmtId="267" fontId="254" fillId="0" borderId="50" xfId="20" applyNumberFormat="1" applyFont="1" applyBorder="1"/>
    <xf numFmtId="0" fontId="258" fillId="0" borderId="49" xfId="20" applyFont="1" applyBorder="1"/>
    <xf numFmtId="0" fontId="258" fillId="0" borderId="16" xfId="20" applyFont="1" applyBorder="1"/>
    <xf numFmtId="0" fontId="258" fillId="0" borderId="75" xfId="20" applyFont="1" applyBorder="1" applyAlignment="1">
      <alignment vertical="top"/>
    </xf>
    <xf numFmtId="0" fontId="258" fillId="0" borderId="75" xfId="20" applyFont="1" applyBorder="1"/>
    <xf numFmtId="267" fontId="258" fillId="0" borderId="0" xfId="20" applyNumberFormat="1" applyFont="1"/>
    <xf numFmtId="0" fontId="258" fillId="0" borderId="21" xfId="20" applyFont="1" applyBorder="1"/>
    <xf numFmtId="0" fontId="258" fillId="0" borderId="56" xfId="20" applyFont="1" applyBorder="1"/>
    <xf numFmtId="15" fontId="258" fillId="0" borderId="50" xfId="20" applyNumberFormat="1" applyFont="1" applyBorder="1"/>
    <xf numFmtId="15" fontId="258" fillId="0" borderId="56" xfId="20" applyNumberFormat="1" applyFont="1" applyBorder="1"/>
    <xf numFmtId="0" fontId="258" fillId="0" borderId="76" xfId="20" applyFont="1" applyBorder="1" applyAlignment="1">
      <alignment vertical="top"/>
    </xf>
    <xf numFmtId="0" fontId="258" fillId="0" borderId="76" xfId="20" applyFont="1" applyBorder="1"/>
    <xf numFmtId="267" fontId="258" fillId="0" borderId="49" xfId="20" applyNumberFormat="1" applyFont="1" applyBorder="1"/>
    <xf numFmtId="0" fontId="258" fillId="0" borderId="54" xfId="20" applyFont="1" applyBorder="1"/>
    <xf numFmtId="0" fontId="258" fillId="0" borderId="73" xfId="20" applyFont="1" applyBorder="1"/>
    <xf numFmtId="0" fontId="258" fillId="0" borderId="71" xfId="20" applyFont="1" applyBorder="1"/>
    <xf numFmtId="0" fontId="258" fillId="0" borderId="61" xfId="20" applyFont="1" applyBorder="1"/>
    <xf numFmtId="267" fontId="258" fillId="0" borderId="54" xfId="20" applyNumberFormat="1" applyFont="1" applyBorder="1"/>
    <xf numFmtId="0" fontId="258" fillId="0" borderId="68" xfId="20" applyFont="1" applyBorder="1"/>
    <xf numFmtId="0" fontId="258" fillId="0" borderId="72" xfId="20" applyFont="1" applyBorder="1"/>
    <xf numFmtId="267" fontId="258" fillId="0" borderId="76" xfId="20" applyNumberFormat="1" applyFont="1" applyBorder="1"/>
    <xf numFmtId="0" fontId="258" fillId="0" borderId="0" xfId="20" applyFont="1" applyAlignment="1">
      <alignment horizontal="left" vertical="top"/>
    </xf>
    <xf numFmtId="0" fontId="258" fillId="0" borderId="3" xfId="20" applyFont="1" applyBorder="1"/>
    <xf numFmtId="0" fontId="261" fillId="0" borderId="3" xfId="20" applyFont="1" applyBorder="1" applyAlignment="1">
      <alignment horizontal="center"/>
    </xf>
    <xf numFmtId="0" fontId="261" fillId="0" borderId="0" xfId="20" applyFont="1" applyAlignment="1">
      <alignment horizontal="center"/>
    </xf>
    <xf numFmtId="0" fontId="262" fillId="0" borderId="0" xfId="20" applyFont="1" applyAlignment="1">
      <alignment horizontal="center"/>
    </xf>
    <xf numFmtId="267" fontId="261" fillId="0" borderId="76" xfId="20" applyNumberFormat="1" applyFont="1" applyBorder="1" applyAlignment="1">
      <alignment horizontal="center"/>
    </xf>
    <xf numFmtId="0" fontId="261" fillId="0" borderId="0" xfId="20" applyFont="1" applyAlignment="1">
      <alignment horizontal="right"/>
    </xf>
    <xf numFmtId="0" fontId="258" fillId="0" borderId="3" xfId="20" applyFont="1" applyBorder="1" applyAlignment="1">
      <alignment horizontal="center"/>
    </xf>
    <xf numFmtId="49" fontId="259" fillId="0" borderId="0" xfId="20" applyNumberFormat="1" applyFont="1" applyAlignment="1">
      <alignment horizontal="left" vertical="center"/>
    </xf>
    <xf numFmtId="0" fontId="259" fillId="0" borderId="0" xfId="20" applyFont="1" applyAlignment="1">
      <alignment vertical="center"/>
    </xf>
    <xf numFmtId="218" fontId="259" fillId="0" borderId="3" xfId="20" applyNumberFormat="1" applyFont="1" applyBorder="1" applyAlignment="1">
      <alignment horizontal="center" vertical="center"/>
    </xf>
    <xf numFmtId="0" fontId="259" fillId="0" borderId="76" xfId="20" applyFont="1" applyBorder="1" applyAlignment="1">
      <alignment horizontal="left" vertical="center"/>
    </xf>
    <xf numFmtId="187" fontId="259" fillId="0" borderId="0" xfId="20" applyNumberFormat="1" applyFont="1" applyAlignment="1">
      <alignment vertical="center"/>
    </xf>
    <xf numFmtId="0" fontId="259" fillId="0" borderId="0" xfId="20" applyFont="1" applyAlignment="1">
      <alignment horizontal="center" vertical="center"/>
    </xf>
    <xf numFmtId="193" fontId="259" fillId="0" borderId="0" xfId="20" applyNumberFormat="1" applyFont="1" applyAlignment="1">
      <alignment vertical="center"/>
    </xf>
    <xf numFmtId="194" fontId="259" fillId="0" borderId="0" xfId="20" applyNumberFormat="1" applyFont="1" applyAlignment="1">
      <alignment vertical="center"/>
    </xf>
    <xf numFmtId="186" fontId="213" fillId="0" borderId="3" xfId="20" applyNumberFormat="1" applyFont="1" applyBorder="1" applyAlignment="1">
      <alignment vertical="center"/>
    </xf>
    <xf numFmtId="263" fontId="259" fillId="0" borderId="76" xfId="20" applyNumberFormat="1" applyFont="1" applyBorder="1" applyAlignment="1">
      <alignment horizontal="right"/>
    </xf>
    <xf numFmtId="178" fontId="259" fillId="0" borderId="0" xfId="20" applyNumberFormat="1" applyFont="1" applyAlignment="1">
      <alignment horizontal="right" vertical="center"/>
    </xf>
    <xf numFmtId="180" fontId="263" fillId="0" borderId="0" xfId="20" applyNumberFormat="1" applyFont="1" applyAlignment="1">
      <alignment horizontal="right" vertical="center"/>
    </xf>
    <xf numFmtId="266" fontId="264" fillId="0" borderId="76" xfId="20" applyNumberFormat="1" applyFont="1" applyBorder="1" applyAlignment="1">
      <alignment horizontal="center"/>
    </xf>
    <xf numFmtId="266" fontId="213" fillId="0" borderId="76" xfId="20" applyNumberFormat="1" applyFont="1" applyBorder="1" applyAlignment="1">
      <alignment vertical="center"/>
    </xf>
    <xf numFmtId="266" fontId="259" fillId="0" borderId="76" xfId="20" applyNumberFormat="1" applyFont="1" applyBorder="1" applyAlignment="1">
      <alignment horizontal="right"/>
    </xf>
    <xf numFmtId="180" fontId="259" fillId="0" borderId="0" xfId="20" applyNumberFormat="1" applyFont="1" applyAlignment="1">
      <alignment horizontal="right" vertical="center"/>
    </xf>
    <xf numFmtId="0" fontId="259" fillId="0" borderId="76" xfId="20" applyFont="1" applyBorder="1" applyAlignment="1">
      <alignment horizontal="center" vertical="center"/>
    </xf>
    <xf numFmtId="266" fontId="213" fillId="0" borderId="3" xfId="20" applyNumberFormat="1" applyFont="1" applyBorder="1" applyAlignment="1">
      <alignment vertical="center"/>
    </xf>
    <xf numFmtId="176" fontId="224" fillId="0" borderId="0" xfId="20" applyNumberFormat="1" applyFont="1" applyAlignment="1">
      <alignment horizontal="left" vertical="center"/>
    </xf>
    <xf numFmtId="176" fontId="259" fillId="0" borderId="0" xfId="20" applyNumberFormat="1" applyFont="1" applyAlignment="1">
      <alignment horizontal="center" vertical="center"/>
    </xf>
    <xf numFmtId="0" fontId="259" fillId="0" borderId="76" xfId="20" applyFont="1" applyBorder="1" applyAlignment="1">
      <alignment vertical="center"/>
    </xf>
    <xf numFmtId="49" fontId="102" fillId="0" borderId="0" xfId="20" applyNumberFormat="1" applyFont="1" applyAlignment="1">
      <alignment horizontal="left" vertical="center"/>
    </xf>
    <xf numFmtId="178" fontId="259" fillId="0" borderId="43" xfId="20" applyNumberFormat="1" applyFont="1" applyBorder="1" applyAlignment="1">
      <alignment horizontal="right" vertical="center"/>
    </xf>
    <xf numFmtId="180" fontId="259" fillId="0" borderId="0" xfId="20" applyNumberFormat="1" applyFont="1" applyAlignment="1">
      <alignment vertical="center"/>
    </xf>
    <xf numFmtId="263" fontId="264" fillId="0" borderId="76" xfId="20" applyNumberFormat="1" applyFont="1" applyBorder="1" applyAlignment="1">
      <alignment horizontal="center"/>
    </xf>
    <xf numFmtId="0" fontId="265" fillId="0" borderId="49" xfId="20" applyFont="1" applyBorder="1"/>
    <xf numFmtId="0" fontId="265" fillId="0" borderId="49" xfId="20" applyFont="1" applyBorder="1" applyAlignment="1">
      <alignment horizontal="center"/>
    </xf>
    <xf numFmtId="0" fontId="265" fillId="0" borderId="0" xfId="20" applyFont="1"/>
    <xf numFmtId="0" fontId="265" fillId="0" borderId="0" xfId="20" applyFont="1" applyAlignment="1">
      <alignment horizontal="center"/>
    </xf>
    <xf numFmtId="0" fontId="118" fillId="0" borderId="0" xfId="20" applyFont="1"/>
    <xf numFmtId="188" fontId="115" fillId="0" borderId="0" xfId="20" applyNumberFormat="1" applyFont="1" applyAlignment="1">
      <alignment horizontal="center"/>
    </xf>
    <xf numFmtId="178" fontId="213" fillId="0" borderId="0" xfId="20" applyNumberFormat="1" applyFont="1" applyAlignment="1">
      <alignment horizontal="right" vertical="center"/>
    </xf>
    <xf numFmtId="186" fontId="213" fillId="0" borderId="0" xfId="20" applyNumberFormat="1" applyFont="1" applyAlignment="1">
      <alignment vertical="center"/>
    </xf>
    <xf numFmtId="263" fontId="259" fillId="0" borderId="0" xfId="20" applyNumberFormat="1" applyFont="1" applyAlignment="1">
      <alignment horizontal="right"/>
    </xf>
    <xf numFmtId="218" fontId="259" fillId="0" borderId="0" xfId="20" applyNumberFormat="1" applyFont="1" applyAlignment="1">
      <alignment horizontal="center" vertical="center"/>
    </xf>
    <xf numFmtId="188" fontId="268" fillId="0" borderId="0" xfId="20" applyNumberFormat="1" applyFont="1" applyAlignment="1">
      <alignment horizontal="center"/>
    </xf>
    <xf numFmtId="186" fontId="269" fillId="0" borderId="0" xfId="20" applyNumberFormat="1" applyFont="1" applyAlignment="1">
      <alignment horizontal="center" vertical="center"/>
    </xf>
    <xf numFmtId="263" fontId="264" fillId="0" borderId="0" xfId="20" applyNumberFormat="1" applyFont="1" applyAlignment="1">
      <alignment horizontal="center"/>
    </xf>
    <xf numFmtId="264" fontId="115" fillId="0" borderId="153" xfId="0" applyNumberFormat="1" applyFont="1" applyBorder="1" applyAlignment="1" applyProtection="1">
      <alignment horizontal="center" vertical="center"/>
      <protection locked="0"/>
    </xf>
    <xf numFmtId="264" fontId="115" fillId="0" borderId="154" xfId="0" applyNumberFormat="1" applyFont="1" applyBorder="1" applyAlignment="1" applyProtection="1">
      <alignment horizontal="center" vertical="center"/>
      <protection locked="0"/>
    </xf>
    <xf numFmtId="38" fontId="115" fillId="0" borderId="153" xfId="2" applyFont="1" applyBorder="1" applyAlignment="1" applyProtection="1">
      <alignment horizontal="center" vertical="center"/>
      <protection locked="0"/>
    </xf>
    <xf numFmtId="38" fontId="115" fillId="0" borderId="154" xfId="2" applyFont="1" applyBorder="1" applyAlignment="1" applyProtection="1">
      <alignment horizontal="center" vertical="center"/>
      <protection locked="0"/>
    </xf>
    <xf numFmtId="38" fontId="115" fillId="0" borderId="155" xfId="2" applyFont="1" applyBorder="1" applyAlignment="1" applyProtection="1">
      <alignment horizontal="center" vertical="center"/>
      <protection locked="0"/>
    </xf>
    <xf numFmtId="187" fontId="41" fillId="0" borderId="1" xfId="0" applyNumberFormat="1" applyFont="1" applyBorder="1">
      <alignment vertical="center"/>
    </xf>
    <xf numFmtId="178" fontId="41" fillId="0" borderId="1" xfId="0" applyNumberFormat="1" applyFont="1" applyBorder="1" applyAlignment="1">
      <alignment horizontal="right" vertical="center"/>
    </xf>
    <xf numFmtId="191" fontId="41" fillId="0" borderId="1" xfId="0" applyNumberFormat="1" applyFont="1" applyBorder="1">
      <alignment vertical="center"/>
    </xf>
    <xf numFmtId="176" fontId="41" fillId="0" borderId="1" xfId="0" applyNumberFormat="1" applyFont="1" applyBorder="1" applyAlignment="1">
      <alignment horizontal="center" vertical="center"/>
    </xf>
    <xf numFmtId="185" fontId="41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center" vertical="center"/>
    </xf>
    <xf numFmtId="260" fontId="117" fillId="0" borderId="118" xfId="0" applyNumberFormat="1" applyFont="1" applyBorder="1" applyAlignment="1" applyProtection="1">
      <alignment horizontal="center" vertical="center"/>
      <protection locked="0"/>
    </xf>
    <xf numFmtId="0" fontId="270" fillId="0" borderId="0" xfId="0" applyFont="1">
      <alignment vertical="center"/>
    </xf>
    <xf numFmtId="0" fontId="228" fillId="0" borderId="0" xfId="0" applyFont="1">
      <alignment vertical="center"/>
    </xf>
    <xf numFmtId="260" fontId="115" fillId="0" borderId="0" xfId="0" applyNumberFormat="1" applyFont="1" applyAlignment="1" applyProtection="1">
      <alignment horizontal="center" vertical="center"/>
      <protection locked="0"/>
    </xf>
    <xf numFmtId="0" fontId="115" fillId="0" borderId="182" xfId="0" applyFont="1" applyBorder="1" applyAlignment="1" applyProtection="1">
      <alignment horizontal="center" vertical="center"/>
      <protection locked="0"/>
    </xf>
    <xf numFmtId="264" fontId="115" fillId="0" borderId="182" xfId="0" applyNumberFormat="1" applyFont="1" applyBorder="1" applyAlignment="1" applyProtection="1">
      <alignment horizontal="center" vertical="center"/>
      <protection locked="0"/>
    </xf>
    <xf numFmtId="215" fontId="115" fillId="0" borderId="184" xfId="0" applyNumberFormat="1" applyFont="1" applyBorder="1" applyAlignment="1" applyProtection="1">
      <alignment horizontal="right" vertical="center"/>
      <protection locked="0"/>
    </xf>
    <xf numFmtId="215" fontId="115" fillId="0" borderId="184" xfId="0" applyNumberFormat="1" applyFont="1" applyBorder="1" applyProtection="1">
      <alignment vertical="center"/>
      <protection locked="0"/>
    </xf>
    <xf numFmtId="260" fontId="115" fillId="0" borderId="184" xfId="0" applyNumberFormat="1" applyFont="1" applyBorder="1" applyAlignment="1" applyProtection="1">
      <alignment horizontal="center" vertical="center"/>
      <protection locked="0"/>
    </xf>
    <xf numFmtId="215" fontId="115" fillId="0" borderId="185" xfId="0" applyNumberFormat="1" applyFont="1" applyBorder="1" applyAlignment="1" applyProtection="1">
      <alignment horizontal="right" vertical="center"/>
      <protection locked="0"/>
    </xf>
    <xf numFmtId="0" fontId="115" fillId="0" borderId="185" xfId="0" applyFont="1" applyBorder="1" applyProtection="1">
      <alignment vertical="center"/>
      <protection locked="0"/>
    </xf>
    <xf numFmtId="260" fontId="115" fillId="0" borderId="185" xfId="0" applyNumberFormat="1" applyFont="1" applyBorder="1" applyAlignment="1" applyProtection="1">
      <alignment horizontal="center" vertical="center"/>
      <protection locked="0"/>
    </xf>
    <xf numFmtId="215" fontId="115" fillId="0" borderId="186" xfId="0" applyNumberFormat="1" applyFont="1" applyBorder="1" applyAlignment="1" applyProtection="1">
      <alignment horizontal="right" vertical="center"/>
      <protection locked="0"/>
    </xf>
    <xf numFmtId="0" fontId="115" fillId="0" borderId="186" xfId="0" applyFont="1" applyBorder="1" applyProtection="1">
      <alignment vertical="center"/>
      <protection locked="0"/>
    </xf>
    <xf numFmtId="260" fontId="115" fillId="0" borderId="186" xfId="0" applyNumberFormat="1" applyFont="1" applyBorder="1" applyAlignment="1" applyProtection="1">
      <alignment horizontal="center" vertical="center"/>
      <protection locked="0"/>
    </xf>
    <xf numFmtId="49" fontId="271" fillId="0" borderId="1" xfId="0" applyNumberFormat="1" applyFont="1" applyBorder="1" applyAlignment="1">
      <alignment horizontal="center" vertical="center" shrinkToFit="1"/>
    </xf>
    <xf numFmtId="0" fontId="79" fillId="0" borderId="1" xfId="0" applyFont="1" applyBorder="1" applyAlignment="1">
      <alignment horizontal="center" vertical="center" wrapText="1" shrinkToFit="1"/>
    </xf>
    <xf numFmtId="213" fontId="182" fillId="0" borderId="1" xfId="7" applyFont="1" applyFill="1" applyBorder="1" applyAlignment="1">
      <alignment horizontal="center" vertical="center"/>
    </xf>
    <xf numFmtId="0" fontId="180" fillId="0" borderId="1" xfId="0" applyFont="1" applyBorder="1" applyAlignment="1">
      <alignment vertical="center" wrapText="1"/>
    </xf>
    <xf numFmtId="0" fontId="180" fillId="0" borderId="1" xfId="0" applyFont="1" applyBorder="1" applyAlignment="1">
      <alignment horizontal="right" vertical="center" wrapText="1"/>
    </xf>
    <xf numFmtId="215" fontId="180" fillId="0" borderId="1" xfId="0" applyNumberFormat="1" applyFont="1" applyBorder="1" applyAlignment="1">
      <alignment horizontal="right" vertical="center" wrapText="1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right" vertical="center"/>
    </xf>
    <xf numFmtId="0" fontId="49" fillId="0" borderId="1" xfId="0" applyFont="1" applyBorder="1" applyAlignment="1">
      <alignment horizontal="center"/>
    </xf>
    <xf numFmtId="235" fontId="35" fillId="0" borderId="0" xfId="0" applyNumberFormat="1" applyFont="1">
      <alignment vertical="center"/>
    </xf>
    <xf numFmtId="270" fontId="13" fillId="0" borderId="1" xfId="0" applyNumberFormat="1" applyFont="1" applyBorder="1" applyAlignment="1"/>
    <xf numFmtId="219" fontId="41" fillId="0" borderId="1" xfId="0" applyNumberFormat="1" applyFont="1" applyBorder="1" applyAlignment="1">
      <alignment horizontal="center"/>
    </xf>
    <xf numFmtId="213" fontId="182" fillId="0" borderId="1" xfId="7" applyFont="1" applyFill="1" applyBorder="1" applyAlignment="1">
      <alignment horizontal="center" vertical="center" wrapText="1"/>
    </xf>
    <xf numFmtId="186" fontId="273" fillId="0" borderId="28" xfId="0" applyNumberFormat="1" applyFont="1" applyBorder="1">
      <alignment vertical="center"/>
    </xf>
    <xf numFmtId="0" fontId="240" fillId="0" borderId="0" xfId="0" applyFont="1" applyAlignment="1" applyProtection="1">
      <alignment horizontal="center" vertical="center"/>
      <protection locked="0"/>
    </xf>
    <xf numFmtId="0" fontId="231" fillId="2" borderId="113" xfId="0" applyFont="1" applyFill="1" applyBorder="1" applyAlignment="1" applyProtection="1">
      <alignment horizontal="center" vertical="center"/>
      <protection locked="0"/>
    </xf>
    <xf numFmtId="0" fontId="231" fillId="4" borderId="36" xfId="0" applyFont="1" applyFill="1" applyBorder="1" applyAlignment="1" applyProtection="1">
      <alignment horizontal="left" vertical="center"/>
      <protection locked="0"/>
    </xf>
    <xf numFmtId="0" fontId="231" fillId="2" borderId="23" xfId="0" applyFont="1" applyFill="1" applyBorder="1" applyAlignment="1" applyProtection="1">
      <alignment horizontal="center" vertical="center"/>
      <protection locked="0"/>
    </xf>
    <xf numFmtId="0" fontId="231" fillId="4" borderId="24" xfId="0" applyFont="1" applyFill="1" applyBorder="1" applyProtection="1">
      <alignment vertical="center"/>
      <protection locked="0"/>
    </xf>
    <xf numFmtId="0" fontId="231" fillId="2" borderId="13" xfId="0" applyFont="1" applyFill="1" applyBorder="1" applyAlignment="1" applyProtection="1">
      <alignment horizontal="center" vertical="center"/>
      <protection locked="0"/>
    </xf>
    <xf numFmtId="0" fontId="231" fillId="0" borderId="24" xfId="0" applyFont="1" applyBorder="1" applyAlignment="1" applyProtection="1">
      <alignment horizontal="left" vertical="center" wrapText="1"/>
      <protection locked="0"/>
    </xf>
    <xf numFmtId="0" fontId="231" fillId="4" borderId="24" xfId="0" applyFont="1" applyFill="1" applyBorder="1" applyAlignment="1" applyProtection="1">
      <alignment horizontal="left" vertical="center"/>
      <protection locked="0"/>
    </xf>
    <xf numFmtId="0" fontId="231" fillId="2" borderId="88" xfId="0" applyFont="1" applyFill="1" applyBorder="1" applyAlignment="1" applyProtection="1">
      <alignment horizontal="center" vertical="center"/>
      <protection locked="0"/>
    </xf>
    <xf numFmtId="271" fontId="231" fillId="0" borderId="24" xfId="0" applyNumberFormat="1" applyFont="1" applyBorder="1" applyAlignment="1" applyProtection="1">
      <alignment horizontal="left" vertical="center"/>
      <protection locked="0"/>
    </xf>
    <xf numFmtId="0" fontId="231" fillId="2" borderId="189" xfId="0" applyFont="1" applyFill="1" applyBorder="1" applyAlignment="1" applyProtection="1">
      <alignment horizontal="center" vertical="center"/>
      <protection locked="0"/>
    </xf>
    <xf numFmtId="272" fontId="231" fillId="0" borderId="37" xfId="0" applyNumberFormat="1" applyFont="1" applyBorder="1" applyAlignment="1" applyProtection="1">
      <alignment horizontal="left" vertical="center"/>
      <protection locked="0"/>
    </xf>
    <xf numFmtId="0" fontId="231" fillId="18" borderId="0" xfId="0" applyFont="1" applyFill="1" applyAlignment="1" applyProtection="1">
      <alignment horizontal="center" vertical="center"/>
      <protection locked="0"/>
    </xf>
    <xf numFmtId="0" fontId="231" fillId="2" borderId="25" xfId="0" applyFont="1" applyFill="1" applyBorder="1" applyAlignment="1" applyProtection="1">
      <alignment horizontal="center" vertical="center"/>
      <protection locked="0"/>
    </xf>
    <xf numFmtId="0" fontId="231" fillId="4" borderId="37" xfId="0" applyFont="1" applyFill="1" applyBorder="1" applyAlignment="1" applyProtection="1">
      <alignment horizontal="left" vertical="center"/>
      <protection locked="0"/>
    </xf>
    <xf numFmtId="0" fontId="220" fillId="0" borderId="107" xfId="0" applyFont="1" applyBorder="1" applyProtection="1">
      <alignment vertical="center"/>
      <protection locked="0"/>
    </xf>
    <xf numFmtId="0" fontId="220" fillId="0" borderId="93" xfId="0" applyFont="1" applyBorder="1" applyProtection="1">
      <alignment vertical="center"/>
      <protection locked="0"/>
    </xf>
    <xf numFmtId="0" fontId="231" fillId="28" borderId="113" xfId="0" applyFont="1" applyFill="1" applyBorder="1" applyAlignment="1">
      <alignment horizontal="center" vertical="center"/>
    </xf>
    <xf numFmtId="0" fontId="231" fillId="28" borderId="114" xfId="0" applyFont="1" applyFill="1" applyBorder="1" applyAlignment="1">
      <alignment horizontal="left" vertical="center"/>
    </xf>
    <xf numFmtId="0" fontId="231" fillId="28" borderId="2" xfId="0" applyFont="1" applyFill="1" applyBorder="1" applyAlignment="1">
      <alignment horizontal="center" vertical="center"/>
    </xf>
    <xf numFmtId="0" fontId="231" fillId="28" borderId="188" xfId="0" applyFont="1" applyFill="1" applyBorder="1">
      <alignment vertical="center"/>
    </xf>
    <xf numFmtId="0" fontId="231" fillId="28" borderId="23" xfId="0" applyFont="1" applyFill="1" applyBorder="1" applyAlignment="1">
      <alignment horizontal="center" vertical="center"/>
    </xf>
    <xf numFmtId="0" fontId="231" fillId="28" borderId="12" xfId="0" applyFont="1" applyFill="1" applyBorder="1" applyAlignment="1">
      <alignment horizontal="left" vertical="center"/>
    </xf>
    <xf numFmtId="0" fontId="231" fillId="28" borderId="1" xfId="0" applyFont="1" applyFill="1" applyBorder="1" applyAlignment="1" applyProtection="1">
      <alignment horizontal="center" vertical="center"/>
      <protection locked="0"/>
    </xf>
    <xf numFmtId="0" fontId="231" fillId="28" borderId="24" xfId="0" applyFont="1" applyFill="1" applyBorder="1" applyProtection="1">
      <alignment vertical="center"/>
      <protection locked="0"/>
    </xf>
    <xf numFmtId="0" fontId="231" fillId="28" borderId="35" xfId="0" applyFont="1" applyFill="1" applyBorder="1" applyProtection="1">
      <alignment vertical="center"/>
      <protection locked="0"/>
    </xf>
    <xf numFmtId="0" fontId="231" fillId="28" borderId="34" xfId="0" applyFont="1" applyFill="1" applyBorder="1" applyAlignment="1" applyProtection="1">
      <alignment horizontal="center" vertical="center"/>
      <protection locked="0"/>
    </xf>
    <xf numFmtId="0" fontId="231" fillId="28" borderId="75" xfId="0" applyFont="1" applyFill="1" applyBorder="1" applyAlignment="1" applyProtection="1">
      <alignment horizontal="left" vertical="center"/>
      <protection locked="0"/>
    </xf>
    <xf numFmtId="0" fontId="231" fillId="28" borderId="16" xfId="0" applyFont="1" applyFill="1" applyBorder="1" applyAlignment="1" applyProtection="1">
      <alignment horizontal="center" vertical="center"/>
      <protection locked="0"/>
    </xf>
    <xf numFmtId="0" fontId="231" fillId="28" borderId="25" xfId="0" applyFont="1" applyFill="1" applyBorder="1" applyAlignment="1">
      <alignment horizontal="center" vertical="center"/>
    </xf>
    <xf numFmtId="0" fontId="231" fillId="28" borderId="33" xfId="0" applyFont="1" applyFill="1" applyBorder="1">
      <alignment vertical="center"/>
    </xf>
    <xf numFmtId="0" fontId="231" fillId="27" borderId="190" xfId="0" applyFont="1" applyFill="1" applyBorder="1" applyAlignment="1" applyProtection="1">
      <alignment horizontal="center" vertical="center"/>
      <protection locked="0"/>
    </xf>
    <xf numFmtId="0" fontId="231" fillId="27" borderId="37" xfId="0" applyFont="1" applyFill="1" applyBorder="1">
      <alignment vertical="center"/>
    </xf>
    <xf numFmtId="0" fontId="115" fillId="0" borderId="108" xfId="0" applyFont="1" applyBorder="1" applyProtection="1">
      <alignment vertical="center"/>
      <protection locked="0"/>
    </xf>
    <xf numFmtId="0" fontId="115" fillId="0" borderId="15" xfId="0" applyFont="1" applyBorder="1" applyProtection="1">
      <alignment vertical="center"/>
      <protection locked="0"/>
    </xf>
    <xf numFmtId="0" fontId="231" fillId="0" borderId="15" xfId="0" applyFont="1" applyBorder="1" applyProtection="1">
      <alignment vertical="center"/>
      <protection locked="0"/>
    </xf>
    <xf numFmtId="0" fontId="231" fillId="0" borderId="108" xfId="0" applyFont="1" applyBorder="1" applyProtection="1">
      <alignment vertical="center"/>
      <protection locked="0"/>
    </xf>
    <xf numFmtId="0" fontId="115" fillId="0" borderId="109" xfId="0" applyFont="1" applyBorder="1" applyProtection="1">
      <alignment vertical="center"/>
      <protection locked="0"/>
    </xf>
    <xf numFmtId="0" fontId="115" fillId="0" borderId="10" xfId="0" applyFont="1" applyBorder="1" applyProtection="1">
      <alignment vertical="center"/>
      <protection locked="0"/>
    </xf>
    <xf numFmtId="0" fontId="275" fillId="4" borderId="0" xfId="0" applyFont="1" applyFill="1" applyAlignment="1" applyProtection="1">
      <alignment horizontal="left" vertical="center"/>
      <protection locked="0"/>
    </xf>
    <xf numFmtId="0" fontId="231" fillId="27" borderId="1" xfId="0" applyFont="1" applyFill="1" applyBorder="1" applyAlignment="1">
      <alignment horizontal="center" vertical="center"/>
    </xf>
    <xf numFmtId="0" fontId="231" fillId="27" borderId="24" xfId="0" applyFont="1" applyFill="1" applyBorder="1" applyAlignment="1">
      <alignment horizontal="left" vertical="center" shrinkToFit="1"/>
    </xf>
    <xf numFmtId="0" fontId="231" fillId="27" borderId="24" xfId="0" applyFont="1" applyFill="1" applyBorder="1" applyAlignment="1">
      <alignment vertical="center" shrinkToFit="1"/>
    </xf>
    <xf numFmtId="0" fontId="231" fillId="27" borderId="33" xfId="0" applyFont="1" applyFill="1" applyBorder="1" applyAlignment="1">
      <alignment horizontal="center" vertical="center"/>
    </xf>
    <xf numFmtId="0" fontId="231" fillId="2" borderId="113" xfId="0" applyFont="1" applyFill="1" applyBorder="1" applyAlignment="1">
      <alignment horizontal="center" vertical="center"/>
    </xf>
    <xf numFmtId="0" fontId="231" fillId="4" borderId="36" xfId="0" applyFont="1" applyFill="1" applyBorder="1">
      <alignment vertical="center"/>
    </xf>
    <xf numFmtId="0" fontId="231" fillId="2" borderId="23" xfId="0" applyFont="1" applyFill="1" applyBorder="1" applyAlignment="1">
      <alignment horizontal="center" vertical="center"/>
    </xf>
    <xf numFmtId="0" fontId="231" fillId="4" borderId="24" xfId="0" applyFont="1" applyFill="1" applyBorder="1" applyAlignment="1">
      <alignment horizontal="left" vertical="center"/>
    </xf>
    <xf numFmtId="0" fontId="231" fillId="0" borderId="24" xfId="0" applyFont="1" applyBorder="1" applyAlignment="1">
      <alignment horizontal="left" vertical="center"/>
    </xf>
    <xf numFmtId="0" fontId="231" fillId="2" borderId="34" xfId="0" applyFont="1" applyFill="1" applyBorder="1" applyAlignment="1">
      <alignment horizontal="center" vertical="center"/>
    </xf>
    <xf numFmtId="271" fontId="231" fillId="0" borderId="24" xfId="0" applyNumberFormat="1" applyFont="1" applyBorder="1" applyAlignment="1">
      <alignment horizontal="left" vertical="center"/>
    </xf>
    <xf numFmtId="0" fontId="231" fillId="2" borderId="191" xfId="0" applyFont="1" applyFill="1" applyBorder="1" applyAlignment="1">
      <alignment horizontal="center" vertical="center"/>
    </xf>
    <xf numFmtId="272" fontId="231" fillId="0" borderId="37" xfId="0" applyNumberFormat="1" applyFont="1" applyBorder="1" applyAlignment="1">
      <alignment horizontal="left" vertical="center"/>
    </xf>
    <xf numFmtId="0" fontId="231" fillId="2" borderId="25" xfId="0" applyFont="1" applyFill="1" applyBorder="1" applyAlignment="1">
      <alignment horizontal="center" vertical="center"/>
    </xf>
    <xf numFmtId="0" fontId="231" fillId="4" borderId="37" xfId="0" applyFont="1" applyFill="1" applyBorder="1" applyAlignment="1">
      <alignment horizontal="left" vertical="center"/>
    </xf>
    <xf numFmtId="0" fontId="231" fillId="27" borderId="20" xfId="0" applyFont="1" applyFill="1" applyBorder="1" applyAlignment="1">
      <alignment horizontal="center" vertical="center"/>
    </xf>
    <xf numFmtId="0" fontId="231" fillId="27" borderId="21" xfId="0" applyFont="1" applyFill="1" applyBorder="1" applyAlignment="1">
      <alignment horizontal="left" vertical="center"/>
    </xf>
    <xf numFmtId="0" fontId="231" fillId="27" borderId="2" xfId="0" applyFont="1" applyFill="1" applyBorder="1" applyAlignment="1">
      <alignment horizontal="center" vertical="center"/>
    </xf>
    <xf numFmtId="0" fontId="231" fillId="27" borderId="36" xfId="0" applyFont="1" applyFill="1" applyBorder="1" applyAlignment="1">
      <alignment vertical="center" shrinkToFit="1"/>
    </xf>
    <xf numFmtId="0" fontId="231" fillId="27" borderId="23" xfId="0" applyFont="1" applyFill="1" applyBorder="1" applyAlignment="1">
      <alignment horizontal="center" vertical="center"/>
    </xf>
    <xf numFmtId="0" fontId="231" fillId="27" borderId="1" xfId="0" applyFont="1" applyFill="1" applyBorder="1" applyAlignment="1">
      <alignment horizontal="left" vertical="center"/>
    </xf>
    <xf numFmtId="0" fontId="231" fillId="27" borderId="24" xfId="0" applyFont="1" applyFill="1" applyBorder="1">
      <alignment vertical="center"/>
    </xf>
    <xf numFmtId="0" fontId="231" fillId="27" borderId="1" xfId="0" applyFont="1" applyFill="1" applyBorder="1" applyAlignment="1">
      <alignment horizontal="left" vertical="center" wrapText="1"/>
    </xf>
    <xf numFmtId="0" fontId="231" fillId="27" borderId="25" xfId="0" applyFont="1" applyFill="1" applyBorder="1" applyAlignment="1">
      <alignment horizontal="center" vertical="center"/>
    </xf>
    <xf numFmtId="0" fontId="231" fillId="27" borderId="33" xfId="0" applyFont="1" applyFill="1" applyBorder="1" applyAlignment="1">
      <alignment horizontal="left" vertical="center" wrapText="1"/>
    </xf>
    <xf numFmtId="0" fontId="232" fillId="0" borderId="0" xfId="0" applyFont="1" applyAlignment="1">
      <alignment horizontal="center" vertical="center"/>
    </xf>
    <xf numFmtId="0" fontId="231" fillId="0" borderId="167" xfId="0" applyFont="1" applyBorder="1">
      <alignment vertical="center"/>
    </xf>
    <xf numFmtId="0" fontId="231" fillId="0" borderId="169" xfId="0" applyFont="1" applyBorder="1">
      <alignment vertical="center"/>
    </xf>
    <xf numFmtId="261" fontId="276" fillId="0" borderId="37" xfId="0" applyNumberFormat="1" applyFont="1" applyBorder="1" applyAlignment="1">
      <alignment horizontal="center" vertical="center"/>
    </xf>
    <xf numFmtId="0" fontId="277" fillId="0" borderId="36" xfId="0" applyFont="1" applyBorder="1" applyAlignment="1">
      <alignment horizontal="center" vertical="center"/>
    </xf>
    <xf numFmtId="0" fontId="240" fillId="4" borderId="0" xfId="0" applyFont="1" applyFill="1" applyAlignment="1">
      <alignment horizontal="left" vertical="center"/>
    </xf>
    <xf numFmtId="0" fontId="115" fillId="2" borderId="187" xfId="0" applyFont="1" applyFill="1" applyBorder="1" applyProtection="1">
      <alignment vertical="center"/>
      <protection locked="0"/>
    </xf>
    <xf numFmtId="0" fontId="115" fillId="2" borderId="188" xfId="0" applyFont="1" applyFill="1" applyBorder="1" applyProtection="1">
      <alignment vertical="center"/>
      <protection locked="0"/>
    </xf>
    <xf numFmtId="0" fontId="223" fillId="2" borderId="187" xfId="0" applyFont="1" applyFill="1" applyBorder="1" applyProtection="1">
      <alignment vertical="center"/>
      <protection locked="0"/>
    </xf>
    <xf numFmtId="0" fontId="23" fillId="16" borderId="20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left" vertical="center"/>
    </xf>
    <xf numFmtId="186" fontId="5" fillId="0" borderId="28" xfId="0" applyNumberFormat="1" applyFont="1" applyBorder="1" applyAlignment="1">
      <alignment horizontal="right" vertical="center"/>
    </xf>
    <xf numFmtId="186" fontId="7" fillId="0" borderId="28" xfId="0" applyNumberFormat="1" applyFont="1" applyBorder="1">
      <alignment vertical="center"/>
    </xf>
    <xf numFmtId="186" fontId="278" fillId="0" borderId="28" xfId="0" applyNumberFormat="1" applyFont="1" applyBorder="1">
      <alignment vertical="center"/>
    </xf>
    <xf numFmtId="179" fontId="41" fillId="0" borderId="1" xfId="0" applyNumberFormat="1" applyFont="1" applyBorder="1" applyAlignment="1">
      <alignment horizontal="center" vertical="center" wrapText="1"/>
    </xf>
    <xf numFmtId="0" fontId="243" fillId="0" borderId="1" xfId="0" applyFont="1" applyBorder="1" applyAlignment="1">
      <alignment horizontal="center" vertical="center"/>
    </xf>
    <xf numFmtId="188" fontId="243" fillId="0" borderId="1" xfId="0" applyNumberFormat="1" applyFont="1" applyBorder="1" applyAlignment="1">
      <alignment horizontal="center"/>
    </xf>
    <xf numFmtId="180" fontId="41" fillId="0" borderId="1" xfId="0" applyNumberFormat="1" applyFont="1" applyBorder="1" applyAlignment="1">
      <alignment horizontal="right" vertical="center"/>
    </xf>
    <xf numFmtId="192" fontId="79" fillId="0" borderId="1" xfId="0" applyNumberFormat="1" applyFont="1" applyBorder="1" applyAlignment="1">
      <alignment horizontal="center" vertical="center"/>
    </xf>
    <xf numFmtId="179" fontId="41" fillId="0" borderId="1" xfId="0" applyNumberFormat="1" applyFont="1" applyBorder="1" applyAlignment="1">
      <alignment horizontal="center" vertical="center"/>
    </xf>
    <xf numFmtId="0" fontId="280" fillId="0" borderId="0" xfId="0" applyFont="1">
      <alignment vertical="center"/>
    </xf>
    <xf numFmtId="0" fontId="281" fillId="0" borderId="0" xfId="0" applyFont="1">
      <alignment vertical="center"/>
    </xf>
    <xf numFmtId="0" fontId="281" fillId="0" borderId="1" xfId="0" applyFont="1" applyBorder="1" applyAlignment="1">
      <alignment horizontal="center" vertical="center"/>
    </xf>
    <xf numFmtId="0" fontId="280" fillId="0" borderId="1" xfId="0" applyFont="1" applyBorder="1" applyAlignment="1">
      <alignment horizontal="center" vertical="center"/>
    </xf>
    <xf numFmtId="0" fontId="271" fillId="0" borderId="1" xfId="0" applyFont="1" applyBorder="1" applyAlignment="1">
      <alignment horizontal="center" vertical="center"/>
    </xf>
    <xf numFmtId="178" fontId="184" fillId="0" borderId="1" xfId="0" applyNumberFormat="1" applyFont="1" applyBorder="1" applyAlignment="1">
      <alignment horizontal="right" vertical="center"/>
    </xf>
    <xf numFmtId="178" fontId="165" fillId="0" borderId="1" xfId="0" applyNumberFormat="1" applyFont="1" applyBorder="1" applyAlignment="1">
      <alignment horizontal="right" vertical="center"/>
    </xf>
    <xf numFmtId="180" fontId="124" fillId="0" borderId="1" xfId="0" applyNumberFormat="1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 vertical="center"/>
    </xf>
    <xf numFmtId="213" fontId="191" fillId="0" borderId="1" xfId="7" applyFont="1" applyFill="1" applyBorder="1" applyAlignment="1">
      <alignment horizontal="center" vertical="center" wrapText="1"/>
    </xf>
    <xf numFmtId="3" fontId="284" fillId="10" borderId="26" xfId="0" applyNumberFormat="1" applyFont="1" applyFill="1" applyBorder="1" applyAlignment="1">
      <alignment horizontal="right" vertical="center"/>
    </xf>
    <xf numFmtId="0" fontId="163" fillId="0" borderId="1" xfId="0" applyFont="1" applyBorder="1">
      <alignment vertical="center"/>
    </xf>
    <xf numFmtId="0" fontId="49" fillId="0" borderId="9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178" fontId="188" fillId="0" borderId="1" xfId="0" applyNumberFormat="1" applyFont="1" applyBorder="1" applyAlignment="1">
      <alignment horizontal="right" vertical="center"/>
    </xf>
    <xf numFmtId="191" fontId="271" fillId="0" borderId="1" xfId="0" applyNumberFormat="1" applyFont="1" applyBorder="1" applyAlignment="1">
      <alignment horizontal="center" vertical="center"/>
    </xf>
    <xf numFmtId="191" fontId="271" fillId="0" borderId="1" xfId="0" applyNumberFormat="1" applyFont="1" applyBorder="1">
      <alignment vertical="center"/>
    </xf>
    <xf numFmtId="191" fontId="8" fillId="0" borderId="1" xfId="0" applyNumberFormat="1" applyFont="1" applyBorder="1" applyAlignment="1">
      <alignment horizontal="right" vertical="center"/>
    </xf>
    <xf numFmtId="179" fontId="5" fillId="10" borderId="1" xfId="0" applyNumberFormat="1" applyFont="1" applyFill="1" applyBorder="1" applyAlignment="1">
      <alignment horizontal="center" vertical="center" wrapText="1"/>
    </xf>
    <xf numFmtId="186" fontId="241" fillId="0" borderId="28" xfId="0" applyNumberFormat="1" applyFont="1" applyBorder="1" applyAlignment="1">
      <alignment horizontal="right" vertical="center"/>
    </xf>
    <xf numFmtId="0" fontId="169" fillId="0" borderId="172" xfId="0" applyFont="1" applyBorder="1" applyAlignment="1">
      <alignment horizontal="center" vertical="center"/>
    </xf>
    <xf numFmtId="0" fontId="169" fillId="0" borderId="192" xfId="0" applyFont="1" applyBorder="1" applyAlignment="1">
      <alignment horizontal="center" vertical="center"/>
    </xf>
    <xf numFmtId="0" fontId="169" fillId="0" borderId="176" xfId="0" applyFont="1" applyBorder="1" applyAlignment="1">
      <alignment horizontal="center" vertical="center"/>
    </xf>
    <xf numFmtId="0" fontId="169" fillId="0" borderId="167" xfId="0" applyFont="1" applyBorder="1">
      <alignment vertical="center"/>
    </xf>
    <xf numFmtId="0" fontId="169" fillId="0" borderId="135" xfId="0" applyFont="1" applyBorder="1">
      <alignment vertical="center"/>
    </xf>
    <xf numFmtId="0" fontId="276" fillId="0" borderId="165" xfId="0" applyFont="1" applyBorder="1" applyAlignment="1">
      <alignment horizontal="center" vertical="center"/>
    </xf>
    <xf numFmtId="0" fontId="276" fillId="0" borderId="159" xfId="0" applyFont="1" applyBorder="1" applyAlignment="1">
      <alignment horizontal="left" vertical="center"/>
    </xf>
    <xf numFmtId="0" fontId="276" fillId="0" borderId="159" xfId="0" applyFont="1" applyBorder="1" applyAlignment="1">
      <alignment horizontal="center" vertical="center"/>
    </xf>
    <xf numFmtId="180" fontId="276" fillId="0" borderId="159" xfId="0" applyNumberFormat="1" applyFont="1" applyBorder="1" applyAlignment="1">
      <alignment horizontal="center" vertical="center"/>
    </xf>
    <xf numFmtId="262" fontId="276" fillId="0" borderId="159" xfId="0" applyNumberFormat="1" applyFont="1" applyBorder="1" applyAlignment="1">
      <alignment horizontal="center" vertical="center"/>
    </xf>
    <xf numFmtId="0" fontId="276" fillId="0" borderId="166" xfId="0" applyFont="1" applyBorder="1">
      <alignment vertical="center"/>
    </xf>
    <xf numFmtId="0" fontId="276" fillId="0" borderId="167" xfId="0" applyFont="1" applyBorder="1" applyAlignment="1">
      <alignment horizontal="center" vertical="center"/>
    </xf>
    <xf numFmtId="0" fontId="276" fillId="0" borderId="154" xfId="0" applyFont="1" applyBorder="1" applyAlignment="1">
      <alignment horizontal="left" vertical="center"/>
    </xf>
    <xf numFmtId="0" fontId="276" fillId="0" borderId="154" xfId="0" applyFont="1" applyBorder="1" applyAlignment="1">
      <alignment horizontal="center" vertical="center"/>
    </xf>
    <xf numFmtId="178" fontId="276" fillId="0" borderId="154" xfId="0" applyNumberFormat="1" applyFont="1" applyBorder="1" applyAlignment="1">
      <alignment horizontal="center" vertical="center"/>
    </xf>
    <xf numFmtId="180" fontId="276" fillId="0" borderId="154" xfId="0" applyNumberFormat="1" applyFont="1" applyBorder="1" applyAlignment="1">
      <alignment horizontal="center" vertical="center"/>
    </xf>
    <xf numFmtId="262" fontId="276" fillId="0" borderId="154" xfId="0" applyNumberFormat="1" applyFont="1" applyBorder="1" applyAlignment="1">
      <alignment horizontal="center" vertical="center"/>
    </xf>
    <xf numFmtId="0" fontId="276" fillId="0" borderId="168" xfId="0" applyFont="1" applyBorder="1">
      <alignment vertical="center"/>
    </xf>
    <xf numFmtId="0" fontId="276" fillId="0" borderId="154" xfId="0" applyFont="1" applyBorder="1">
      <alignment vertical="center"/>
    </xf>
    <xf numFmtId="186" fontId="162" fillId="0" borderId="28" xfId="0" applyNumberFormat="1" applyFont="1" applyBorder="1" applyAlignment="1">
      <alignment horizontal="center" vertical="center"/>
    </xf>
    <xf numFmtId="0" fontId="241" fillId="0" borderId="28" xfId="0" applyFont="1" applyBorder="1" applyAlignment="1">
      <alignment horizontal="right" vertical="center"/>
    </xf>
    <xf numFmtId="186" fontId="193" fillId="0" borderId="28" xfId="0" applyNumberFormat="1" applyFont="1" applyBorder="1" applyAlignment="1">
      <alignment horizontal="center" vertical="center"/>
    </xf>
    <xf numFmtId="186" fontId="207" fillId="0" borderId="28" xfId="0" applyNumberFormat="1" applyFont="1" applyBorder="1" applyAlignment="1">
      <alignment horizontal="center" vertical="center"/>
    </xf>
    <xf numFmtId="0" fontId="287" fillId="0" borderId="28" xfId="0" applyFont="1" applyBorder="1" applyAlignment="1">
      <alignment horizontal="right" vertical="center"/>
    </xf>
    <xf numFmtId="186" fontId="124" fillId="0" borderId="28" xfId="0" applyNumberFormat="1" applyFont="1" applyBorder="1">
      <alignment vertical="center"/>
    </xf>
    <xf numFmtId="207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left" vertical="center"/>
    </xf>
    <xf numFmtId="215" fontId="41" fillId="0" borderId="0" xfId="0" applyNumberFormat="1" applyFont="1" applyAlignment="1">
      <alignment horizontal="right" vertical="center"/>
    </xf>
    <xf numFmtId="178" fontId="124" fillId="0" borderId="43" xfId="0" applyNumberFormat="1" applyFont="1" applyBorder="1" applyAlignment="1">
      <alignment horizontal="right" vertical="center"/>
    </xf>
    <xf numFmtId="178" fontId="4" fillId="0" borderId="13" xfId="0" applyNumberFormat="1" applyFont="1" applyBorder="1" applyAlignment="1">
      <alignment horizontal="right" vertical="center"/>
    </xf>
    <xf numFmtId="186" fontId="188" fillId="0" borderId="1" xfId="0" applyNumberFormat="1" applyFont="1" applyBorder="1" applyAlignment="1">
      <alignment horizontal="right" vertical="center"/>
    </xf>
    <xf numFmtId="0" fontId="41" fillId="0" borderId="1" xfId="0" applyFont="1" applyBorder="1" applyAlignment="1">
      <alignment horizontal="right" vertical="center"/>
    </xf>
    <xf numFmtId="0" fontId="83" fillId="0" borderId="1" xfId="0" applyFont="1" applyBorder="1" applyAlignment="1">
      <alignment horizontal="right" vertical="center"/>
    </xf>
    <xf numFmtId="0" fontId="188" fillId="0" borderId="1" xfId="0" applyFont="1" applyBorder="1" applyAlignment="1">
      <alignment horizontal="right" vertical="center"/>
    </xf>
    <xf numFmtId="186" fontId="188" fillId="0" borderId="1" xfId="0" applyNumberFormat="1" applyFont="1" applyBorder="1">
      <alignment vertical="center"/>
    </xf>
    <xf numFmtId="186" fontId="288" fillId="0" borderId="1" xfId="0" applyNumberFormat="1" applyFont="1" applyBorder="1" applyAlignment="1">
      <alignment horizontal="center" vertical="center"/>
    </xf>
    <xf numFmtId="186" fontId="182" fillId="0" borderId="1" xfId="0" applyNumberFormat="1" applyFont="1" applyBorder="1" applyAlignment="1">
      <alignment horizontal="right" vertical="center"/>
    </xf>
    <xf numFmtId="186" fontId="290" fillId="0" borderId="1" xfId="0" applyNumberFormat="1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178" fontId="35" fillId="0" borderId="1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179" fontId="3" fillId="0" borderId="1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left" vertical="center"/>
    </xf>
    <xf numFmtId="191" fontId="0" fillId="0" borderId="12" xfId="0" applyNumberFormat="1" applyBorder="1" applyAlignment="1">
      <alignment horizontal="right" vertical="center"/>
    </xf>
    <xf numFmtId="186" fontId="3" fillId="0" borderId="28" xfId="0" applyNumberFormat="1" applyFont="1" applyBorder="1">
      <alignment vertical="center"/>
    </xf>
    <xf numFmtId="188" fontId="3" fillId="0" borderId="1" xfId="0" applyNumberFormat="1" applyFont="1" applyBorder="1" applyAlignment="1">
      <alignment horizontal="center" vertical="center"/>
    </xf>
    <xf numFmtId="180" fontId="126" fillId="0" borderId="1" xfId="0" applyNumberFormat="1" applyFont="1" applyBorder="1" applyAlignment="1">
      <alignment horizontal="right" vertical="center"/>
    </xf>
    <xf numFmtId="191" fontId="11" fillId="0" borderId="1" xfId="0" applyNumberFormat="1" applyFont="1" applyBorder="1" applyAlignment="1">
      <alignment horizontal="center" vertical="center"/>
    </xf>
    <xf numFmtId="191" fontId="3" fillId="0" borderId="13" xfId="0" applyNumberFormat="1" applyFont="1" applyBorder="1">
      <alignment vertical="center"/>
    </xf>
    <xf numFmtId="191" fontId="126" fillId="0" borderId="12" xfId="0" applyNumberFormat="1" applyFont="1" applyBorder="1">
      <alignment vertical="center"/>
    </xf>
    <xf numFmtId="195" fontId="3" fillId="0" borderId="0" xfId="0" applyNumberFormat="1" applyFont="1">
      <alignment vertical="center"/>
    </xf>
    <xf numFmtId="0" fontId="291" fillId="0" borderId="26" xfId="0" applyFont="1" applyBorder="1">
      <alignment vertical="center"/>
    </xf>
    <xf numFmtId="191" fontId="129" fillId="0" borderId="28" xfId="0" applyNumberFormat="1" applyFont="1" applyBorder="1" applyAlignment="1">
      <alignment horizontal="right" vertical="center"/>
    </xf>
    <xf numFmtId="191" fontId="3" fillId="0" borderId="1" xfId="0" applyNumberFormat="1" applyFont="1" applyBorder="1" applyAlignment="1">
      <alignment horizontal="center" vertical="center"/>
    </xf>
    <xf numFmtId="191" fontId="3" fillId="0" borderId="12" xfId="0" applyNumberFormat="1" applyFont="1" applyBorder="1">
      <alignment vertical="center"/>
    </xf>
    <xf numFmtId="186" fontId="3" fillId="0" borderId="27" xfId="0" applyNumberFormat="1" applyFont="1" applyBorder="1">
      <alignment vertical="center"/>
    </xf>
    <xf numFmtId="49" fontId="3" fillId="10" borderId="1" xfId="0" applyNumberFormat="1" applyFont="1" applyFill="1" applyBorder="1" applyAlignment="1">
      <alignment horizontal="left" vertical="center"/>
    </xf>
    <xf numFmtId="0" fontId="128" fillId="10" borderId="1" xfId="0" applyFont="1" applyFill="1" applyBorder="1" applyAlignment="1">
      <alignment horizontal="center" vertical="center"/>
    </xf>
    <xf numFmtId="176" fontId="3" fillId="10" borderId="1" xfId="0" applyNumberFormat="1" applyFont="1" applyFill="1" applyBorder="1" applyAlignment="1">
      <alignment horizontal="center" vertical="center"/>
    </xf>
    <xf numFmtId="185" fontId="3" fillId="10" borderId="1" xfId="0" applyNumberFormat="1" applyFont="1" applyFill="1" applyBorder="1" applyAlignment="1">
      <alignment horizontal="right" vertical="center"/>
    </xf>
    <xf numFmtId="194" fontId="3" fillId="10" borderId="1" xfId="0" applyNumberFormat="1" applyFont="1" applyFill="1" applyBorder="1">
      <alignment vertical="center"/>
    </xf>
    <xf numFmtId="193" fontId="3" fillId="10" borderId="1" xfId="0" applyNumberFormat="1" applyFont="1" applyFill="1" applyBorder="1">
      <alignment vertical="center"/>
    </xf>
    <xf numFmtId="191" fontId="3" fillId="10" borderId="1" xfId="0" applyNumberFormat="1" applyFont="1" applyFill="1" applyBorder="1">
      <alignment vertical="center"/>
    </xf>
    <xf numFmtId="179" fontId="3" fillId="10" borderId="1" xfId="0" applyNumberFormat="1" applyFont="1" applyFill="1" applyBorder="1" applyAlignment="1">
      <alignment horizontal="center" vertical="center" wrapText="1"/>
    </xf>
    <xf numFmtId="191" fontId="126" fillId="10" borderId="12" xfId="0" applyNumberFormat="1" applyFont="1" applyFill="1" applyBorder="1">
      <alignment vertical="center"/>
    </xf>
    <xf numFmtId="191" fontId="126" fillId="10" borderId="28" xfId="0" applyNumberFormat="1" applyFont="1" applyFill="1" applyBorder="1">
      <alignment vertical="center"/>
    </xf>
    <xf numFmtId="0" fontId="292" fillId="0" borderId="0" xfId="0" applyFont="1">
      <alignment vertical="center"/>
    </xf>
    <xf numFmtId="0" fontId="49" fillId="0" borderId="3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left" vertical="center"/>
    </xf>
    <xf numFmtId="191" fontId="5" fillId="0" borderId="13" xfId="0" applyNumberFormat="1" applyFont="1" applyBorder="1">
      <alignment vertical="center"/>
    </xf>
    <xf numFmtId="0" fontId="293" fillId="0" borderId="26" xfId="0" applyFont="1" applyBorder="1">
      <alignment vertical="center"/>
    </xf>
    <xf numFmtId="0" fontId="13" fillId="0" borderId="0" xfId="0" applyFont="1" applyAlignment="1"/>
    <xf numFmtId="218" fontId="294" fillId="11" borderId="1" xfId="0" applyNumberFormat="1" applyFont="1" applyFill="1" applyBorder="1" applyAlignment="1">
      <alignment horizontal="center" vertical="center"/>
    </xf>
    <xf numFmtId="9" fontId="13" fillId="0" borderId="0" xfId="22" applyFont="1" applyAlignment="1"/>
    <xf numFmtId="0" fontId="79" fillId="11" borderId="1" xfId="0" applyFont="1" applyFill="1" applyBorder="1" applyAlignment="1">
      <alignment horizontal="center" vertical="center"/>
    </xf>
    <xf numFmtId="0" fontId="41" fillId="0" borderId="1" xfId="0" applyFont="1" applyBorder="1" applyAlignment="1"/>
    <xf numFmtId="0" fontId="295" fillId="0" borderId="1" xfId="0" applyFont="1" applyBorder="1" applyAlignment="1">
      <alignment horizontal="left"/>
    </xf>
    <xf numFmtId="3" fontId="42" fillId="10" borderId="26" xfId="0" applyNumberFormat="1" applyFont="1" applyFill="1" applyBorder="1" applyAlignment="1">
      <alignment horizontal="right" vertical="center"/>
    </xf>
    <xf numFmtId="192" fontId="15" fillId="10" borderId="1" xfId="0" applyNumberFormat="1" applyFont="1" applyFill="1" applyBorder="1" applyAlignment="1">
      <alignment horizontal="center" vertical="center"/>
    </xf>
    <xf numFmtId="0" fontId="291" fillId="0" borderId="0" xfId="0" applyFont="1">
      <alignment vertical="center"/>
    </xf>
    <xf numFmtId="185" fontId="4" fillId="0" borderId="0" xfId="0" applyNumberFormat="1" applyFont="1" applyAlignment="1">
      <alignment horizontal="right" vertical="center"/>
    </xf>
    <xf numFmtId="0" fontId="244" fillId="0" borderId="1" xfId="0" applyFont="1" applyBorder="1" applyAlignment="1">
      <alignment horizontal="center" vertical="center"/>
    </xf>
    <xf numFmtId="213" fontId="296" fillId="0" borderId="1" xfId="7" applyFont="1" applyFill="1" applyBorder="1" applyAlignment="1">
      <alignment horizontal="center" vertical="center" wrapText="1"/>
    </xf>
    <xf numFmtId="218" fontId="294" fillId="0" borderId="1" xfId="0" applyNumberFormat="1" applyFont="1" applyBorder="1" applyAlignment="1">
      <alignment horizontal="center" vertical="center"/>
    </xf>
    <xf numFmtId="9" fontId="13" fillId="0" borderId="0" xfId="22" applyFont="1" applyFill="1" applyAlignment="1"/>
    <xf numFmtId="218" fontId="43" fillId="0" borderId="13" xfId="0" applyNumberFormat="1" applyFont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 wrapText="1" shrinkToFit="1"/>
    </xf>
    <xf numFmtId="0" fontId="37" fillId="0" borderId="0" xfId="0" applyFont="1" applyAlignment="1">
      <alignment horizontal="center" vertical="center"/>
    </xf>
    <xf numFmtId="0" fontId="244" fillId="0" borderId="0" xfId="0" applyFont="1" applyAlignment="1">
      <alignment horizontal="center" vertical="center" wrapText="1" shrinkToFit="1"/>
    </xf>
    <xf numFmtId="0" fontId="244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 wrapText="1" shrinkToFit="1"/>
    </xf>
    <xf numFmtId="0" fontId="298" fillId="0" borderId="0" xfId="0" applyFont="1" applyAlignment="1">
      <alignment horizontal="center" vertical="center" wrapText="1" shrinkToFit="1"/>
    </xf>
    <xf numFmtId="0" fontId="244" fillId="4" borderId="0" xfId="0" applyFont="1" applyFill="1" applyAlignment="1">
      <alignment horizontal="center" vertical="center" wrapText="1" shrinkToFit="1"/>
    </xf>
    <xf numFmtId="0" fontId="79" fillId="4" borderId="0" xfId="0" applyFont="1" applyFill="1" applyAlignment="1">
      <alignment horizontal="center" vertical="center" wrapText="1" shrinkToFit="1"/>
    </xf>
    <xf numFmtId="0" fontId="37" fillId="4" borderId="0" xfId="0" applyFont="1" applyFill="1" applyAlignment="1">
      <alignment horizontal="center" vertical="center" wrapText="1" shrinkToFit="1"/>
    </xf>
    <xf numFmtId="0" fontId="298" fillId="4" borderId="0" xfId="0" applyFont="1" applyFill="1" applyAlignment="1">
      <alignment horizontal="center" vertical="center" wrapText="1" shrinkToFit="1"/>
    </xf>
    <xf numFmtId="0" fontId="26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6" fillId="4" borderId="0" xfId="0" applyFont="1" applyFill="1" applyAlignment="1">
      <alignment horizontal="center" vertical="center"/>
    </xf>
    <xf numFmtId="215" fontId="41" fillId="0" borderId="0" xfId="0" applyNumberFormat="1" applyFont="1" applyAlignment="1">
      <alignment horizontal="center" vertical="center"/>
    </xf>
    <xf numFmtId="6" fontId="41" fillId="0" borderId="0" xfId="0" applyNumberFormat="1" applyFont="1" applyAlignment="1">
      <alignment horizontal="center" vertical="center"/>
    </xf>
    <xf numFmtId="0" fontId="192" fillId="0" borderId="0" xfId="0" applyFont="1" applyAlignment="1">
      <alignment horizontal="center" vertical="center"/>
    </xf>
    <xf numFmtId="0" fontId="8" fillId="0" borderId="26" xfId="0" applyFont="1" applyBorder="1">
      <alignment vertical="center"/>
    </xf>
    <xf numFmtId="0" fontId="23" fillId="0" borderId="1" xfId="11" applyFont="1" applyBorder="1" applyAlignment="1">
      <alignment horizontal="center" vertical="center"/>
    </xf>
    <xf numFmtId="0" fontId="79" fillId="0" borderId="1" xfId="11" applyFont="1" applyBorder="1" applyAlignment="1">
      <alignment horizontal="center" vertical="center" wrapText="1"/>
    </xf>
    <xf numFmtId="49" fontId="79" fillId="0" borderId="1" xfId="0" applyNumberFormat="1" applyFont="1" applyBorder="1" applyAlignment="1">
      <alignment horizontal="center" vertical="center" wrapText="1"/>
    </xf>
    <xf numFmtId="0" fontId="300" fillId="0" borderId="13" xfId="0" applyFont="1" applyBorder="1" applyAlignment="1">
      <alignment horizontal="center" vertical="center"/>
    </xf>
    <xf numFmtId="0" fontId="300" fillId="0" borderId="1" xfId="0" applyFont="1" applyBorder="1" applyAlignment="1">
      <alignment horizontal="center" vertical="center"/>
    </xf>
    <xf numFmtId="0" fontId="290" fillId="0" borderId="13" xfId="11" applyFont="1" applyBorder="1" applyAlignment="1">
      <alignment horizontal="center" vertical="center" wrapText="1"/>
    </xf>
    <xf numFmtId="49" fontId="289" fillId="0" borderId="1" xfId="0" applyNumberFormat="1" applyFont="1" applyBorder="1" applyAlignment="1">
      <alignment horizontal="center" vertical="center" wrapText="1"/>
    </xf>
    <xf numFmtId="0" fontId="301" fillId="0" borderId="7" xfId="0" applyFont="1" applyBorder="1" applyAlignment="1">
      <alignment horizontal="center" vertical="center"/>
    </xf>
    <xf numFmtId="0" fontId="301" fillId="0" borderId="7" xfId="0" applyFont="1" applyBorder="1" applyAlignment="1">
      <alignment horizontal="center" vertical="center" wrapText="1"/>
    </xf>
    <xf numFmtId="0" fontId="163" fillId="0" borderId="7" xfId="0" applyFont="1" applyBorder="1" applyAlignment="1">
      <alignment horizontal="center" vertical="center"/>
    </xf>
    <xf numFmtId="0" fontId="163" fillId="0" borderId="7" xfId="0" applyFont="1" applyBorder="1" applyAlignment="1">
      <alignment horizontal="right" vertical="center"/>
    </xf>
    <xf numFmtId="0" fontId="302" fillId="0" borderId="7" xfId="0" applyFont="1" applyBorder="1" applyAlignment="1">
      <alignment horizontal="center" vertical="center" wrapText="1"/>
    </xf>
    <xf numFmtId="176" fontId="4" fillId="0" borderId="7" xfId="0" applyNumberFormat="1" applyFont="1" applyBorder="1" applyAlignment="1">
      <alignment horizontal="center" vertical="center"/>
    </xf>
    <xf numFmtId="184" fontId="4" fillId="0" borderId="7" xfId="0" applyNumberFormat="1" applyFont="1" applyBorder="1" applyAlignment="1">
      <alignment horizontal="right" vertical="center"/>
    </xf>
    <xf numFmtId="0" fontId="35" fillId="0" borderId="7" xfId="0" applyFont="1" applyBorder="1">
      <alignment vertical="center"/>
    </xf>
    <xf numFmtId="0" fontId="304" fillId="0" borderId="7" xfId="0" applyFont="1" applyBorder="1" applyAlignment="1">
      <alignment horizontal="center" vertical="center" wrapText="1"/>
    </xf>
    <xf numFmtId="176" fontId="5" fillId="0" borderId="1" xfId="0" applyNumberFormat="1" applyFont="1" applyBorder="1" applyAlignment="1">
      <alignment horizontal="left" vertical="center"/>
    </xf>
    <xf numFmtId="0" fontId="293" fillId="0" borderId="1" xfId="0" applyFont="1" applyBorder="1">
      <alignment vertical="center"/>
    </xf>
    <xf numFmtId="188" fontId="13" fillId="0" borderId="1" xfId="0" applyNumberFormat="1" applyFont="1" applyBorder="1" applyAlignment="1">
      <alignment horizontal="right"/>
    </xf>
    <xf numFmtId="189" fontId="4" fillId="0" borderId="1" xfId="0" applyNumberFormat="1" applyFont="1" applyBorder="1" applyAlignment="1">
      <alignment horizontal="center"/>
    </xf>
    <xf numFmtId="185" fontId="4" fillId="0" borderId="1" xfId="0" applyNumberFormat="1" applyFont="1" applyBorder="1" applyAlignment="1">
      <alignment horizontal="center" vertical="center"/>
    </xf>
    <xf numFmtId="0" fontId="301" fillId="0" borderId="10" xfId="0" applyFont="1" applyBorder="1" applyAlignment="1">
      <alignment vertical="center" wrapText="1"/>
    </xf>
    <xf numFmtId="0" fontId="301" fillId="0" borderId="10" xfId="0" applyFont="1" applyBorder="1" applyAlignment="1">
      <alignment horizontal="center" vertical="center" wrapText="1"/>
    </xf>
    <xf numFmtId="0" fontId="301" fillId="0" borderId="1" xfId="0" applyFont="1" applyBorder="1" applyAlignment="1">
      <alignment horizontal="center" vertical="center"/>
    </xf>
    <xf numFmtId="0" fontId="163" fillId="0" borderId="1" xfId="0" applyFont="1" applyBorder="1" applyAlignment="1">
      <alignment horizontal="center" vertical="center"/>
    </xf>
    <xf numFmtId="0" fontId="163" fillId="0" borderId="1" xfId="0" applyFont="1" applyBorder="1" applyAlignment="1">
      <alignment horizontal="right" vertical="center"/>
    </xf>
    <xf numFmtId="0" fontId="163" fillId="0" borderId="1" xfId="0" applyFont="1" applyBorder="1" applyAlignment="1">
      <alignment horizontal="right" vertical="center" wrapText="1"/>
    </xf>
    <xf numFmtId="0" fontId="301" fillId="0" borderId="1" xfId="0" applyFont="1" applyBorder="1" applyAlignment="1">
      <alignment vertical="center" wrapText="1"/>
    </xf>
    <xf numFmtId="0" fontId="303" fillId="0" borderId="1" xfId="0" applyFont="1" applyBorder="1" applyAlignment="1">
      <alignment horizontal="right" vertical="center" wrapText="1"/>
    </xf>
    <xf numFmtId="0" fontId="305" fillId="0" borderId="1" xfId="0" applyFont="1" applyBorder="1" applyAlignment="1">
      <alignment horizontal="right" vertical="center"/>
    </xf>
    <xf numFmtId="0" fontId="163" fillId="0" borderId="16" xfId="0" applyFont="1" applyBorder="1" applyAlignment="1">
      <alignment horizontal="right" vertical="center" wrapText="1"/>
    </xf>
    <xf numFmtId="0" fontId="306" fillId="0" borderId="1" xfId="0" applyFont="1" applyBorder="1" applyAlignment="1">
      <alignment horizontal="center" vertical="center"/>
    </xf>
    <xf numFmtId="0" fontId="159" fillId="0" borderId="1" xfId="0" applyFont="1" applyBorder="1" applyAlignment="1">
      <alignment horizontal="center" vertical="center"/>
    </xf>
    <xf numFmtId="0" fontId="307" fillId="0" borderId="0" xfId="0" applyFont="1" applyAlignment="1">
      <alignment horizontal="justify" vertical="center"/>
    </xf>
    <xf numFmtId="213" fontId="79" fillId="0" borderId="1" xfId="7" applyFont="1" applyFill="1" applyBorder="1" applyAlignment="1">
      <alignment horizontal="center" vertical="center" wrapText="1"/>
    </xf>
    <xf numFmtId="210" fontId="163" fillId="0" borderId="10" xfId="0" applyNumberFormat="1" applyFont="1" applyBorder="1" applyAlignment="1">
      <alignment horizontal="center" vertical="center"/>
    </xf>
    <xf numFmtId="0" fontId="141" fillId="0" borderId="7" xfId="0" applyFont="1" applyBorder="1" applyAlignment="1">
      <alignment horizontal="center" vertical="center"/>
    </xf>
    <xf numFmtId="210" fontId="141" fillId="0" borderId="8" xfId="0" applyNumberFormat="1" applyFont="1" applyBorder="1" applyAlignment="1">
      <alignment horizontal="center" vertical="center"/>
    </xf>
    <xf numFmtId="210" fontId="4" fillId="0" borderId="10" xfId="0" applyNumberFormat="1" applyFont="1" applyBorder="1" applyAlignment="1">
      <alignment horizontal="center" vertical="center"/>
    </xf>
    <xf numFmtId="0" fontId="159" fillId="0" borderId="9" xfId="0" applyFont="1" applyBorder="1" applyAlignment="1">
      <alignment horizontal="center" vertical="center"/>
    </xf>
    <xf numFmtId="210" fontId="159" fillId="0" borderId="10" xfId="0" applyNumberFormat="1" applyFont="1" applyBorder="1" applyAlignment="1">
      <alignment horizontal="center" vertical="center"/>
    </xf>
    <xf numFmtId="0" fontId="308" fillId="0" borderId="0" xfId="0" applyFont="1" applyAlignment="1">
      <alignment horizontal="center" vertical="center"/>
    </xf>
    <xf numFmtId="9" fontId="145" fillId="0" borderId="0" xfId="22" applyFont="1">
      <alignment vertical="center"/>
    </xf>
    <xf numFmtId="10" fontId="145" fillId="0" borderId="0" xfId="22" applyNumberFormat="1" applyFont="1">
      <alignment vertical="center"/>
    </xf>
    <xf numFmtId="0" fontId="43" fillId="4" borderId="0" xfId="0" applyFont="1" applyFill="1">
      <alignment vertical="center"/>
    </xf>
    <xf numFmtId="273" fontId="293" fillId="0" borderId="0" xfId="22" applyNumberFormat="1" applyFont="1">
      <alignment vertical="center"/>
    </xf>
    <xf numFmtId="223" fontId="79" fillId="0" borderId="0" xfId="0" applyNumberFormat="1" applyFont="1" applyAlignment="1">
      <alignment horizontal="center" vertical="center" wrapText="1"/>
    </xf>
    <xf numFmtId="209" fontId="0" fillId="0" borderId="1" xfId="0" applyNumberFormat="1" applyBorder="1">
      <alignment vertical="center"/>
    </xf>
    <xf numFmtId="273" fontId="13" fillId="0" borderId="0" xfId="22" applyNumberFormat="1" applyFont="1" applyAlignment="1"/>
    <xf numFmtId="0" fontId="182" fillId="0" borderId="13" xfId="11" applyFont="1" applyBorder="1" applyAlignment="1">
      <alignment horizontal="center" vertical="center" wrapText="1"/>
    </xf>
    <xf numFmtId="274" fontId="41" fillId="0" borderId="1" xfId="0" applyNumberFormat="1" applyFont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176" fontId="13" fillId="10" borderId="1" xfId="0" applyNumberFormat="1" applyFont="1" applyFill="1" applyBorder="1" applyAlignment="1">
      <alignment horizontal="center" vertical="center"/>
    </xf>
    <xf numFmtId="0" fontId="291" fillId="0" borderId="1" xfId="0" applyFont="1" applyBorder="1" applyAlignment="1">
      <alignment horizontal="center" vertical="center"/>
    </xf>
    <xf numFmtId="273" fontId="310" fillId="0" borderId="0" xfId="22" applyNumberFormat="1" applyFont="1">
      <alignment vertical="center"/>
    </xf>
    <xf numFmtId="188" fontId="4" fillId="0" borderId="1" xfId="0" applyNumberFormat="1" applyFont="1" applyBorder="1" applyAlignment="1">
      <alignment horizontal="right"/>
    </xf>
    <xf numFmtId="192" fontId="311" fillId="0" borderId="0" xfId="0" applyNumberFormat="1" applyFont="1" applyAlignment="1">
      <alignment horizontal="left" vertical="center"/>
    </xf>
    <xf numFmtId="179" fontId="4" fillId="0" borderId="1" xfId="0" applyNumberFormat="1" applyFont="1" applyBorder="1" applyAlignment="1">
      <alignment horizontal="left" vertical="center"/>
    </xf>
    <xf numFmtId="49" fontId="313" fillId="0" borderId="1" xfId="0" applyNumberFormat="1" applyFont="1" applyBorder="1" applyAlignment="1">
      <alignment horizontal="center" vertical="center"/>
    </xf>
    <xf numFmtId="275" fontId="313" fillId="0" borderId="1" xfId="0" applyNumberFormat="1" applyFont="1" applyBorder="1" applyAlignment="1">
      <alignment horizontal="center" vertical="center"/>
    </xf>
    <xf numFmtId="276" fontId="313" fillId="0" borderId="1" xfId="0" applyNumberFormat="1" applyFont="1" applyBorder="1" applyAlignment="1">
      <alignment horizontal="center" vertical="center"/>
    </xf>
    <xf numFmtId="276" fontId="313" fillId="0" borderId="1" xfId="0" applyNumberFormat="1" applyFont="1" applyBorder="1">
      <alignment vertical="center"/>
    </xf>
    <xf numFmtId="275" fontId="314" fillId="0" borderId="1" xfId="0" applyNumberFormat="1" applyFont="1" applyBorder="1" applyAlignment="1">
      <alignment horizontal="center" vertical="center"/>
    </xf>
    <xf numFmtId="0" fontId="313" fillId="0" borderId="9" xfId="0" applyFont="1" applyBorder="1" applyAlignment="1">
      <alignment horizontal="center" vertical="center"/>
    </xf>
    <xf numFmtId="0" fontId="313" fillId="0" borderId="10" xfId="0" applyFont="1" applyBorder="1" applyAlignment="1">
      <alignment horizontal="center" vertical="center"/>
    </xf>
    <xf numFmtId="277" fontId="41" fillId="0" borderId="1" xfId="0" applyNumberFormat="1" applyFont="1" applyBorder="1" applyAlignment="1">
      <alignment horizontal="center"/>
    </xf>
    <xf numFmtId="278" fontId="0" fillId="0" borderId="1" xfId="0" applyNumberFormat="1" applyBorder="1">
      <alignment vertical="center"/>
    </xf>
    <xf numFmtId="279" fontId="3" fillId="0" borderId="16" xfId="0" applyNumberFormat="1" applyFont="1" applyBorder="1" applyAlignment="1">
      <alignment horizontal="center" vertical="top"/>
    </xf>
    <xf numFmtId="280" fontId="316" fillId="0" borderId="16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279" fontId="3" fillId="0" borderId="1" xfId="0" applyNumberFormat="1" applyFont="1" applyBorder="1" applyAlignment="1">
      <alignment horizontal="center" vertical="top"/>
    </xf>
    <xf numFmtId="186" fontId="162" fillId="0" borderId="27" xfId="0" applyNumberFormat="1" applyFont="1" applyBorder="1" applyAlignment="1">
      <alignment horizontal="center" vertical="center"/>
    </xf>
    <xf numFmtId="218" fontId="37" fillId="0" borderId="13" xfId="0" applyNumberFormat="1" applyFont="1" applyBorder="1" applyAlignment="1">
      <alignment horizontal="center" vertical="center"/>
    </xf>
    <xf numFmtId="9" fontId="41" fillId="0" borderId="0" xfId="22" applyFont="1" applyFill="1" applyAlignment="1">
      <alignment horizontal="center"/>
    </xf>
    <xf numFmtId="0" fontId="41" fillId="0" borderId="0" xfId="0" applyFont="1" applyAlignment="1">
      <alignment horizontal="center"/>
    </xf>
    <xf numFmtId="3" fontId="317" fillId="0" borderId="0" xfId="0" applyNumberFormat="1" applyFont="1" applyAlignment="1">
      <alignment horizontal="right" vertical="center"/>
    </xf>
    <xf numFmtId="200" fontId="41" fillId="0" borderId="1" xfId="0" applyNumberFormat="1" applyFont="1" applyBorder="1" applyAlignment="1">
      <alignment horizontal="center" vertical="center"/>
    </xf>
    <xf numFmtId="281" fontId="41" fillId="0" borderId="1" xfId="2" applyNumberFormat="1" applyFont="1" applyBorder="1" applyAlignment="1">
      <alignment horizontal="center" vertical="center"/>
    </xf>
    <xf numFmtId="14" fontId="41" fillId="0" borderId="1" xfId="0" applyNumberFormat="1" applyFont="1" applyBorder="1" applyAlignment="1">
      <alignment horizontal="center" vertical="center"/>
    </xf>
    <xf numFmtId="0" fontId="296" fillId="0" borderId="1" xfId="0" applyFont="1" applyBorder="1" applyAlignment="1">
      <alignment horizontal="center" vertical="center"/>
    </xf>
    <xf numFmtId="200" fontId="41" fillId="0" borderId="1" xfId="2" applyNumberFormat="1" applyFont="1" applyBorder="1" applyAlignment="1">
      <alignment horizontal="center" vertical="center"/>
    </xf>
    <xf numFmtId="215" fontId="41" fillId="0" borderId="1" xfId="2" applyNumberFormat="1" applyFont="1" applyBorder="1" applyAlignment="1">
      <alignment horizontal="center" vertical="center"/>
    </xf>
    <xf numFmtId="215" fontId="271" fillId="0" borderId="1" xfId="2" applyNumberFormat="1" applyFont="1" applyBorder="1" applyAlignment="1">
      <alignment horizontal="center" vertical="center"/>
    </xf>
    <xf numFmtId="0" fontId="284" fillId="0" borderId="26" xfId="0" applyFont="1" applyBorder="1" applyAlignment="1">
      <alignment horizontal="center" vertical="center"/>
    </xf>
    <xf numFmtId="213" fontId="243" fillId="0" borderId="1" xfId="7" applyFont="1" applyFill="1" applyBorder="1" applyAlignment="1">
      <alignment horizontal="center" vertical="center" wrapText="1"/>
    </xf>
    <xf numFmtId="0" fontId="244" fillId="0" borderId="3" xfId="0" applyFont="1" applyBorder="1" applyAlignment="1">
      <alignment horizontal="center" vertical="center"/>
    </xf>
    <xf numFmtId="9" fontId="41" fillId="0" borderId="0" xfId="22" applyFont="1" applyFill="1" applyAlignment="1">
      <alignment horizontal="center" vertical="center"/>
    </xf>
    <xf numFmtId="209" fontId="300" fillId="0" borderId="13" xfId="0" applyNumberFormat="1" applyFont="1" applyBorder="1" applyAlignment="1">
      <alignment horizontal="center" vertical="center"/>
    </xf>
    <xf numFmtId="209" fontId="300" fillId="0" borderId="1" xfId="0" applyNumberFormat="1" applyFont="1" applyBorder="1" applyAlignment="1">
      <alignment horizontal="center" vertical="center"/>
    </xf>
    <xf numFmtId="215" fontId="130" fillId="0" borderId="1" xfId="0" applyNumberFormat="1" applyFont="1" applyBorder="1">
      <alignment vertical="center"/>
    </xf>
    <xf numFmtId="211" fontId="121" fillId="0" borderId="1" xfId="0" applyNumberFormat="1" applyFont="1" applyBorder="1" applyAlignment="1">
      <alignment horizontal="right" vertical="center"/>
    </xf>
    <xf numFmtId="0" fontId="318" fillId="0" borderId="1" xfId="11" applyFont="1" applyBorder="1" applyAlignment="1">
      <alignment horizontal="center" vertical="center"/>
    </xf>
    <xf numFmtId="0" fontId="223" fillId="0" borderId="0" xfId="0" applyFont="1">
      <alignment vertical="center"/>
    </xf>
    <xf numFmtId="191" fontId="24" fillId="0" borderId="1" xfId="0" applyNumberFormat="1" applyFont="1" applyBorder="1" applyAlignment="1">
      <alignment horizontal="right" vertical="center"/>
    </xf>
    <xf numFmtId="0" fontId="27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3" fillId="0" borderId="1" xfId="11" applyFont="1" applyBorder="1" applyAlignment="1">
      <alignment horizontal="center" vertical="center"/>
    </xf>
    <xf numFmtId="3" fontId="106" fillId="0" borderId="0" xfId="0" applyNumberFormat="1" applyFont="1" applyAlignment="1">
      <alignment horizontal="right" vertical="center"/>
    </xf>
    <xf numFmtId="188" fontId="4" fillId="0" borderId="0" xfId="0" applyNumberFormat="1" applyFont="1" applyAlignment="1">
      <alignment horizontal="center"/>
    </xf>
    <xf numFmtId="210" fontId="163" fillId="0" borderId="1" xfId="0" applyNumberFormat="1" applyFont="1" applyBorder="1" applyAlignment="1">
      <alignment horizontal="right" vertical="center"/>
    </xf>
    <xf numFmtId="282" fontId="13" fillId="0" borderId="1" xfId="0" applyNumberFormat="1" applyFont="1" applyBorder="1" applyAlignment="1">
      <alignment horizontal="right" vertical="center" wrapText="1"/>
    </xf>
    <xf numFmtId="188" fontId="4" fillId="0" borderId="1" xfId="0" applyNumberFormat="1" applyFont="1" applyBorder="1" applyAlignment="1">
      <alignment horizontal="center" wrapText="1"/>
    </xf>
    <xf numFmtId="282" fontId="41" fillId="0" borderId="1" xfId="0" applyNumberFormat="1" applyFont="1" applyBorder="1" applyAlignment="1">
      <alignment horizontal="right" vertical="center" wrapText="1"/>
    </xf>
    <xf numFmtId="0" fontId="79" fillId="0" borderId="1" xfId="11" applyFont="1" applyBorder="1" applyAlignment="1">
      <alignment horizontal="center" vertical="center"/>
    </xf>
    <xf numFmtId="49" fontId="79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wrapText="1" shrinkToFit="1"/>
    </xf>
    <xf numFmtId="0" fontId="188" fillId="0" borderId="0" xfId="0" applyFont="1">
      <alignment vertical="center"/>
    </xf>
    <xf numFmtId="209" fontId="41" fillId="0" borderId="1" xfId="0" applyNumberFormat="1" applyFont="1" applyBorder="1" applyAlignment="1">
      <alignment horizontal="right" vertical="center" wrapText="1"/>
    </xf>
    <xf numFmtId="195" fontId="180" fillId="0" borderId="1" xfId="0" applyNumberFormat="1" applyFont="1" applyBorder="1" applyAlignment="1">
      <alignment horizontal="right" vertical="center" wrapText="1"/>
    </xf>
    <xf numFmtId="275" fontId="41" fillId="0" borderId="1" xfId="0" applyNumberFormat="1" applyFont="1" applyBorder="1" applyAlignment="1">
      <alignment horizontal="center" vertical="center"/>
    </xf>
    <xf numFmtId="0" fontId="319" fillId="0" borderId="1" xfId="0" applyFont="1" applyBorder="1" applyAlignment="1">
      <alignment horizontal="center" vertical="center"/>
    </xf>
    <xf numFmtId="276" fontId="41" fillId="0" borderId="1" xfId="0" applyNumberFormat="1" applyFont="1" applyBorder="1" applyAlignment="1">
      <alignment horizontal="center" vertical="center"/>
    </xf>
    <xf numFmtId="275" fontId="79" fillId="11" borderId="1" xfId="0" applyNumberFormat="1" applyFont="1" applyFill="1" applyBorder="1" applyAlignment="1">
      <alignment horizontal="center" vertical="top"/>
    </xf>
    <xf numFmtId="276" fontId="79" fillId="11" borderId="1" xfId="0" applyNumberFormat="1" applyFont="1" applyFill="1" applyBorder="1" applyAlignment="1">
      <alignment horizontal="center" vertical="top"/>
    </xf>
    <xf numFmtId="0" fontId="271" fillId="11" borderId="1" xfId="0" applyFont="1" applyFill="1" applyBorder="1" applyAlignment="1">
      <alignment horizontal="center" vertical="top"/>
    </xf>
    <xf numFmtId="0" fontId="320" fillId="11" borderId="1" xfId="0" applyFont="1" applyFill="1" applyBorder="1" applyAlignment="1">
      <alignment horizontal="center" vertical="top"/>
    </xf>
    <xf numFmtId="49" fontId="5" fillId="2" borderId="0" xfId="0" applyNumberFormat="1" applyFont="1" applyFill="1" applyAlignment="1">
      <alignment horizontal="left" vertical="center"/>
    </xf>
    <xf numFmtId="186" fontId="121" fillId="2" borderId="0" xfId="0" applyNumberFormat="1" applyFont="1" applyFill="1" applyAlignment="1">
      <alignment horizontal="center" vertical="center"/>
    </xf>
    <xf numFmtId="195" fontId="5" fillId="2" borderId="0" xfId="0" applyNumberFormat="1" applyFont="1" applyFill="1">
      <alignment vertical="center"/>
    </xf>
    <xf numFmtId="186" fontId="121" fillId="2" borderId="27" xfId="0" applyNumberFormat="1" applyFont="1" applyFill="1" applyBorder="1">
      <alignment vertical="center"/>
    </xf>
    <xf numFmtId="273" fontId="293" fillId="2" borderId="0" xfId="22" applyNumberFormat="1" applyFont="1" applyFill="1">
      <alignment vertical="center"/>
    </xf>
    <xf numFmtId="191" fontId="15" fillId="2" borderId="1" xfId="0" applyNumberFormat="1" applyFont="1" applyFill="1" applyBorder="1" applyAlignment="1">
      <alignment horizontal="center" vertical="center"/>
    </xf>
    <xf numFmtId="191" fontId="5" fillId="2" borderId="0" xfId="0" applyNumberFormat="1" applyFont="1" applyFill="1">
      <alignment vertical="center"/>
    </xf>
    <xf numFmtId="186" fontId="129" fillId="2" borderId="27" xfId="0" applyNumberFormat="1" applyFont="1" applyFill="1" applyBorder="1">
      <alignment vertical="center"/>
    </xf>
    <xf numFmtId="0" fontId="3" fillId="2" borderId="0" xfId="0" applyFont="1" applyFill="1" applyAlignment="1">
      <alignment horizontal="center" vertical="center"/>
    </xf>
    <xf numFmtId="189" fontId="5" fillId="2" borderId="1" xfId="0" applyNumberFormat="1" applyFont="1" applyFill="1" applyBorder="1" applyAlignment="1"/>
    <xf numFmtId="180" fontId="5" fillId="2" borderId="1" xfId="0" applyNumberFormat="1" applyFont="1" applyFill="1" applyBorder="1" applyAlignment="1">
      <alignment horizontal="right" vertical="center"/>
    </xf>
    <xf numFmtId="0" fontId="130" fillId="2" borderId="26" xfId="0" applyFont="1" applyFill="1" applyBorder="1">
      <alignment vertical="center"/>
    </xf>
    <xf numFmtId="0" fontId="130" fillId="2" borderId="0" xfId="0" applyFont="1" applyFill="1" applyAlignment="1">
      <alignment horizontal="right" vertical="center"/>
    </xf>
    <xf numFmtId="186" fontId="5" fillId="2" borderId="27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3" fontId="106" fillId="2" borderId="0" xfId="0" applyNumberFormat="1" applyFont="1" applyFill="1" applyAlignment="1">
      <alignment horizontal="right" vertical="center"/>
    </xf>
    <xf numFmtId="191" fontId="130" fillId="2" borderId="28" xfId="0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213" fontId="41" fillId="0" borderId="1" xfId="7" applyFont="1" applyFill="1" applyBorder="1" applyAlignment="1">
      <alignment horizontal="center" vertical="center" wrapText="1"/>
    </xf>
    <xf numFmtId="283" fontId="180" fillId="0" borderId="1" xfId="0" applyNumberFormat="1" applyFont="1" applyBorder="1" applyAlignment="1">
      <alignment horizontal="center"/>
    </xf>
    <xf numFmtId="219" fontId="180" fillId="0" borderId="1" xfId="0" applyNumberFormat="1" applyFont="1" applyBorder="1" applyAlignment="1">
      <alignment horizontal="center"/>
    </xf>
    <xf numFmtId="207" fontId="180" fillId="0" borderId="1" xfId="0" applyNumberFormat="1" applyFont="1" applyBorder="1" applyAlignment="1">
      <alignment horizontal="center"/>
    </xf>
    <xf numFmtId="0" fontId="180" fillId="0" borderId="1" xfId="0" applyFont="1" applyBorder="1" applyAlignment="1">
      <alignment horizontal="left"/>
    </xf>
    <xf numFmtId="0" fontId="41" fillId="0" borderId="1" xfId="22" applyNumberFormat="1" applyFont="1" applyBorder="1" applyAlignment="1">
      <alignment horizontal="left"/>
    </xf>
    <xf numFmtId="195" fontId="188" fillId="0" borderId="193" xfId="0" applyNumberFormat="1" applyFont="1" applyBorder="1" applyAlignment="1">
      <alignment horizontal="center" vertical="center"/>
    </xf>
    <xf numFmtId="284" fontId="188" fillId="0" borderId="0" xfId="0" applyNumberFormat="1" applyFont="1">
      <alignment vertical="center"/>
    </xf>
    <xf numFmtId="0" fontId="16" fillId="0" borderId="0" xfId="0" applyFont="1" applyAlignment="1">
      <alignment horizontal="left" vertical="top"/>
    </xf>
    <xf numFmtId="285" fontId="180" fillId="0" borderId="194" xfId="0" applyNumberFormat="1" applyFont="1" applyBorder="1" applyAlignment="1">
      <alignment horizontal="center" vertical="top" shrinkToFit="1"/>
    </xf>
    <xf numFmtId="286" fontId="180" fillId="0" borderId="194" xfId="0" applyNumberFormat="1" applyFont="1" applyBorder="1" applyAlignment="1">
      <alignment horizontal="center" vertical="top" shrinkToFit="1"/>
    </xf>
    <xf numFmtId="0" fontId="41" fillId="0" borderId="0" xfId="0" applyFont="1" applyAlignment="1">
      <alignment horizontal="center" vertical="top"/>
    </xf>
    <xf numFmtId="0" fontId="41" fillId="0" borderId="194" xfId="0" applyFont="1" applyBorder="1" applyAlignment="1">
      <alignment horizontal="center" vertical="top" wrapText="1"/>
    </xf>
    <xf numFmtId="1" fontId="180" fillId="0" borderId="194" xfId="0" applyNumberFormat="1" applyFont="1" applyBorder="1" applyAlignment="1">
      <alignment horizontal="center" vertical="top" shrinkToFit="1"/>
    </xf>
    <xf numFmtId="0" fontId="163" fillId="0" borderId="0" xfId="0" applyFont="1" applyAlignment="1">
      <alignment horizontal="left" vertical="center" indent="2"/>
    </xf>
    <xf numFmtId="0" fontId="321" fillId="0" borderId="10" xfId="0" applyFont="1" applyBorder="1" applyAlignment="1">
      <alignment horizontal="right" vertical="center"/>
    </xf>
    <xf numFmtId="0" fontId="79" fillId="0" borderId="194" xfId="0" applyFont="1" applyBorder="1" applyAlignment="1">
      <alignment horizontal="center" vertical="top" wrapText="1"/>
    </xf>
    <xf numFmtId="286" fontId="41" fillId="0" borderId="194" xfId="0" applyNumberFormat="1" applyFont="1" applyBorder="1" applyAlignment="1">
      <alignment horizontal="center" vertical="top" shrinkToFit="1"/>
    </xf>
    <xf numFmtId="0" fontId="79" fillId="29" borderId="194" xfId="0" applyFont="1" applyFill="1" applyBorder="1" applyAlignment="1">
      <alignment horizontal="center" vertical="top" wrapText="1"/>
    </xf>
    <xf numFmtId="0" fontId="41" fillId="0" borderId="194" xfId="0" applyFont="1" applyBorder="1" applyAlignment="1">
      <alignment horizontal="center" vertical="center"/>
    </xf>
    <xf numFmtId="26" fontId="41" fillId="0" borderId="194" xfId="0" applyNumberFormat="1" applyFont="1" applyBorder="1" applyAlignment="1">
      <alignment horizontal="center" vertical="center"/>
    </xf>
    <xf numFmtId="49" fontId="43" fillId="11" borderId="1" xfId="0" applyNumberFormat="1" applyFont="1" applyFill="1" applyBorder="1" applyAlignment="1">
      <alignment horizontal="center" vertical="center"/>
    </xf>
    <xf numFmtId="188" fontId="43" fillId="11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/>
    </xf>
    <xf numFmtId="188" fontId="13" fillId="0" borderId="1" xfId="0" applyNumberFormat="1" applyFont="1" applyBorder="1" applyAlignment="1">
      <alignment horizontal="center"/>
    </xf>
    <xf numFmtId="207" fontId="13" fillId="0" borderId="1" xfId="0" applyNumberFormat="1" applyFont="1" applyBorder="1" applyAlignment="1">
      <alignment horizontal="center"/>
    </xf>
    <xf numFmtId="190" fontId="13" fillId="0" borderId="1" xfId="0" applyNumberFormat="1" applyFont="1" applyBorder="1" applyAlignment="1">
      <alignment horizontal="center"/>
    </xf>
    <xf numFmtId="223" fontId="43" fillId="11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226" fontId="5" fillId="0" borderId="1" xfId="0" applyNumberFormat="1" applyFont="1" applyBorder="1">
      <alignment vertical="center"/>
    </xf>
    <xf numFmtId="195" fontId="4" fillId="0" borderId="0" xfId="0" applyNumberFormat="1" applyFont="1">
      <alignment vertical="center"/>
    </xf>
    <xf numFmtId="193" fontId="4" fillId="0" borderId="13" xfId="0" applyNumberFormat="1" applyFont="1" applyBorder="1">
      <alignment vertical="center"/>
    </xf>
    <xf numFmtId="211" fontId="4" fillId="0" borderId="13" xfId="0" applyNumberFormat="1" applyFont="1" applyBorder="1" applyAlignment="1">
      <alignment horizontal="right" vertical="center"/>
    </xf>
    <xf numFmtId="180" fontId="4" fillId="0" borderId="13" xfId="0" applyNumberFormat="1" applyFont="1" applyBorder="1" applyAlignment="1">
      <alignment horizontal="right" vertical="center"/>
    </xf>
    <xf numFmtId="49" fontId="4" fillId="0" borderId="0" xfId="0" applyNumberFormat="1" applyFont="1" applyAlignment="1">
      <alignment horizontal="center" vertical="center" wrapText="1"/>
    </xf>
    <xf numFmtId="243" fontId="13" fillId="0" borderId="1" xfId="0" applyNumberFormat="1" applyFont="1" applyBorder="1" applyAlignment="1"/>
    <xf numFmtId="235" fontId="41" fillId="0" borderId="1" xfId="0" applyNumberFormat="1" applyFont="1" applyBorder="1" applyAlignment="1"/>
    <xf numFmtId="0" fontId="323" fillId="0" borderId="1" xfId="0" applyFont="1" applyBorder="1" applyAlignment="1">
      <alignment horizontal="center" vertical="center" wrapText="1"/>
    </xf>
    <xf numFmtId="209" fontId="175" fillId="0" borderId="0" xfId="0" applyNumberFormat="1" applyFont="1">
      <alignment vertical="center"/>
    </xf>
    <xf numFmtId="0" fontId="325" fillId="0" borderId="1" xfId="0" applyFont="1" applyBorder="1" applyAlignment="1">
      <alignment horizontal="center" vertical="center" wrapText="1"/>
    </xf>
    <xf numFmtId="0" fontId="328" fillId="0" borderId="0" xfId="0" applyFont="1" applyAlignment="1"/>
    <xf numFmtId="38" fontId="263" fillId="18" borderId="1" xfId="2" applyFont="1" applyFill="1" applyBorder="1" applyAlignment="1">
      <alignment horizontal="center" vertical="center"/>
    </xf>
    <xf numFmtId="253" fontId="263" fillId="0" borderId="1" xfId="0" applyNumberFormat="1" applyFont="1" applyBorder="1">
      <alignment vertical="center"/>
    </xf>
    <xf numFmtId="253" fontId="263" fillId="0" borderId="1" xfId="0" applyNumberFormat="1" applyFont="1" applyBorder="1" applyAlignment="1">
      <alignment horizontal="center" vertical="center"/>
    </xf>
    <xf numFmtId="0" fontId="217" fillId="0" borderId="0" xfId="0" applyFont="1" applyAlignment="1"/>
    <xf numFmtId="0" fontId="263" fillId="0" borderId="1" xfId="23" applyFont="1" applyFill="1" applyBorder="1" applyAlignment="1">
      <alignment horizontal="center" vertical="center" wrapText="1"/>
    </xf>
    <xf numFmtId="0" fontId="263" fillId="0" borderId="1" xfId="23" applyFont="1" applyFill="1" applyBorder="1" applyAlignment="1">
      <alignment horizontal="center" vertical="center"/>
    </xf>
    <xf numFmtId="217" fontId="79" fillId="0" borderId="194" xfId="0" applyNumberFormat="1" applyFont="1" applyBorder="1" applyAlignment="1">
      <alignment horizontal="center" vertical="center"/>
    </xf>
    <xf numFmtId="213" fontId="79" fillId="0" borderId="194" xfId="7" applyFont="1" applyFill="1" applyBorder="1" applyAlignment="1">
      <alignment horizontal="center" vertical="center"/>
    </xf>
    <xf numFmtId="207" fontId="41" fillId="0" borderId="194" xfId="0" applyNumberFormat="1" applyFont="1" applyBorder="1" applyAlignment="1">
      <alignment horizontal="center"/>
    </xf>
    <xf numFmtId="191" fontId="41" fillId="0" borderId="194" xfId="0" applyNumberFormat="1" applyFont="1" applyBorder="1">
      <alignment vertical="center"/>
    </xf>
    <xf numFmtId="0" fontId="243" fillId="0" borderId="194" xfId="23" applyFont="1" applyFill="1" applyBorder="1" applyAlignment="1">
      <alignment horizontal="center" vertical="center"/>
    </xf>
    <xf numFmtId="0" fontId="329" fillId="0" borderId="194" xfId="0" applyFont="1" applyBorder="1" applyAlignment="1">
      <alignment horizontal="center" vertical="center" wrapText="1"/>
    </xf>
    <xf numFmtId="0" fontId="191" fillId="8" borderId="194" xfId="0" applyFont="1" applyFill="1" applyBorder="1" applyAlignment="1">
      <alignment horizontal="center" vertical="center"/>
    </xf>
    <xf numFmtId="287" fontId="331" fillId="0" borderId="194" xfId="0" applyNumberFormat="1" applyFont="1" applyBorder="1" applyAlignment="1">
      <alignment horizontal="center" vertical="center" wrapText="1"/>
    </xf>
    <xf numFmtId="10" fontId="202" fillId="8" borderId="194" xfId="22" applyNumberFormat="1" applyFont="1" applyFill="1" applyBorder="1">
      <alignment vertical="center"/>
    </xf>
    <xf numFmtId="213" fontId="202" fillId="8" borderId="194" xfId="0" applyNumberFormat="1" applyFont="1" applyFill="1" applyBorder="1" applyAlignment="1">
      <alignment horizontal="center" vertical="center"/>
    </xf>
    <xf numFmtId="0" fontId="271" fillId="0" borderId="194" xfId="23" applyFont="1" applyFill="1" applyBorder="1" applyAlignment="1">
      <alignment horizontal="center" vertical="center"/>
    </xf>
    <xf numFmtId="0" fontId="243" fillId="0" borderId="0" xfId="0" applyFont="1">
      <alignment vertical="center"/>
    </xf>
    <xf numFmtId="217" fontId="43" fillId="11" borderId="1" xfId="0" applyNumberFormat="1" applyFont="1" applyFill="1" applyBorder="1" applyAlignment="1">
      <alignment horizontal="center" vertical="center"/>
    </xf>
    <xf numFmtId="0" fontId="43" fillId="11" borderId="1" xfId="0" applyFont="1" applyFill="1" applyBorder="1" applyAlignment="1">
      <alignment horizontal="center" vertical="center"/>
    </xf>
    <xf numFmtId="223" fontId="43" fillId="11" borderId="1" xfId="0" applyNumberFormat="1" applyFont="1" applyFill="1" applyBorder="1" applyAlignment="1">
      <alignment horizontal="center" vertical="center" wrapText="1"/>
    </xf>
    <xf numFmtId="277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207" fontId="168" fillId="0" borderId="1" xfId="0" applyNumberFormat="1" applyFont="1" applyBorder="1" applyAlignment="1">
      <alignment horizontal="center" vertical="center"/>
    </xf>
    <xf numFmtId="0" fontId="189" fillId="0" borderId="1" xfId="0" applyFont="1" applyBorder="1" applyAlignment="1">
      <alignment horizontal="center" vertical="center"/>
    </xf>
    <xf numFmtId="195" fontId="13" fillId="0" borderId="1" xfId="0" applyNumberFormat="1" applyFont="1" applyBorder="1" applyAlignment="1">
      <alignment horizontal="right" vertical="center"/>
    </xf>
    <xf numFmtId="10" fontId="202" fillId="8" borderId="195" xfId="22" applyNumberFormat="1" applyFont="1" applyFill="1" applyBorder="1">
      <alignment vertical="center"/>
    </xf>
    <xf numFmtId="235" fontId="41" fillId="0" borderId="1" xfId="5" applyNumberFormat="1" applyFont="1" applyBorder="1" applyAlignment="1"/>
    <xf numFmtId="235" fontId="41" fillId="0" borderId="194" xfId="5" applyNumberFormat="1" applyFont="1" applyBorder="1" applyAlignment="1">
      <alignment horizontal="right" vertical="center" wrapText="1"/>
    </xf>
    <xf numFmtId="235" fontId="41" fillId="0" borderId="1" xfId="5" applyNumberFormat="1" applyFont="1" applyBorder="1" applyAlignment="1">
      <alignment horizontal="right"/>
    </xf>
    <xf numFmtId="235" fontId="195" fillId="0" borderId="1" xfId="5" applyNumberFormat="1" applyFont="1" applyBorder="1">
      <alignment vertical="center"/>
    </xf>
    <xf numFmtId="219" fontId="13" fillId="0" borderId="1" xfId="0" applyNumberFormat="1" applyFont="1" applyBorder="1" applyAlignment="1">
      <alignment horizontal="center"/>
    </xf>
    <xf numFmtId="217" fontId="79" fillId="11" borderId="194" xfId="0" applyNumberFormat="1" applyFont="1" applyFill="1" applyBorder="1" applyAlignment="1">
      <alignment horizontal="center" vertical="center"/>
    </xf>
    <xf numFmtId="213" fontId="79" fillId="11" borderId="194" xfId="7" applyFont="1" applyFill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34" fillId="0" borderId="1" xfId="0" applyFont="1" applyBorder="1" applyAlignment="1">
      <alignment horizontal="center" vertical="center"/>
    </xf>
    <xf numFmtId="0" fontId="284" fillId="0" borderId="26" xfId="0" applyFont="1" applyBorder="1" applyAlignment="1">
      <alignment horizontal="left" vertical="center"/>
    </xf>
    <xf numFmtId="0" fontId="96" fillId="0" borderId="1" xfId="0" applyFont="1" applyBorder="1">
      <alignment vertical="center"/>
    </xf>
    <xf numFmtId="0" fontId="166" fillId="0" borderId="1" xfId="0" applyFont="1" applyBorder="1">
      <alignment vertical="center"/>
    </xf>
    <xf numFmtId="0" fontId="102" fillId="0" borderId="1" xfId="0" applyFont="1" applyBorder="1" applyAlignment="1"/>
    <xf numFmtId="0" fontId="336" fillId="0" borderId="1" xfId="0" applyFont="1" applyBorder="1">
      <alignment vertical="center"/>
    </xf>
    <xf numFmtId="0" fontId="166" fillId="0" borderId="1" xfId="0" applyFont="1" applyBorder="1" applyAlignment="1">
      <alignment horizontal="center" vertical="center"/>
    </xf>
    <xf numFmtId="213" fontId="79" fillId="0" borderId="1" xfId="7" applyFont="1" applyFill="1" applyBorder="1" applyAlignment="1">
      <alignment horizontal="center" vertical="center"/>
    </xf>
    <xf numFmtId="0" fontId="337" fillId="0" borderId="194" xfId="0" applyFont="1" applyBorder="1" applyAlignment="1">
      <alignment horizontal="center" vertical="center" wrapText="1"/>
    </xf>
    <xf numFmtId="0" fontId="157" fillId="8" borderId="194" xfId="0" applyFont="1" applyFill="1" applyBorder="1" applyAlignment="1">
      <alignment horizontal="center" vertical="center"/>
    </xf>
    <xf numFmtId="287" fontId="340" fillId="0" borderId="194" xfId="0" applyNumberFormat="1" applyFont="1" applyBorder="1" applyAlignment="1">
      <alignment horizontal="center" vertical="center" wrapText="1"/>
    </xf>
    <xf numFmtId="10" fontId="156" fillId="8" borderId="194" xfId="22" applyNumberFormat="1" applyFont="1" applyFill="1" applyBorder="1">
      <alignment vertical="center"/>
    </xf>
    <xf numFmtId="213" fontId="156" fillId="8" borderId="19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341" fillId="29" borderId="194" xfId="0" applyFont="1" applyFill="1" applyBorder="1" applyAlignment="1">
      <alignment horizontal="left" vertical="top" wrapText="1" indent="1"/>
    </xf>
    <xf numFmtId="0" fontId="347" fillId="0" borderId="194" xfId="0" applyFont="1" applyBorder="1" applyAlignment="1">
      <alignment horizontal="center" vertical="top" wrapText="1"/>
    </xf>
    <xf numFmtId="285" fontId="349" fillId="0" borderId="194" xfId="0" applyNumberFormat="1" applyFont="1" applyBorder="1" applyAlignment="1">
      <alignment horizontal="center" vertical="top" shrinkToFit="1"/>
    </xf>
    <xf numFmtId="286" fontId="349" fillId="0" borderId="194" xfId="0" applyNumberFormat="1" applyFont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" fontId="349" fillId="0" borderId="194" xfId="0" applyNumberFormat="1" applyFont="1" applyBorder="1" applyAlignment="1">
      <alignment horizontal="center" vertical="top" shrinkToFit="1"/>
    </xf>
    <xf numFmtId="186" fontId="5" fillId="5" borderId="28" xfId="0" applyNumberFormat="1" applyFont="1" applyFill="1" applyBorder="1">
      <alignment vertical="center"/>
    </xf>
    <xf numFmtId="240" fontId="200" fillId="5" borderId="1" xfId="0" applyNumberFormat="1" applyFont="1" applyFill="1" applyBorder="1" applyAlignment="1">
      <alignment horizontal="center" vertical="center"/>
    </xf>
    <xf numFmtId="215" fontId="189" fillId="5" borderId="1" xfId="0" applyNumberFormat="1" applyFont="1" applyFill="1" applyBorder="1" applyAlignment="1">
      <alignment horizontal="right" vertical="center"/>
    </xf>
    <xf numFmtId="191" fontId="5" fillId="5" borderId="0" xfId="0" applyNumberFormat="1" applyFont="1" applyFill="1">
      <alignment vertical="center"/>
    </xf>
    <xf numFmtId="195" fontId="5" fillId="5" borderId="0" xfId="0" applyNumberFormat="1" applyFont="1" applyFill="1">
      <alignment vertical="center"/>
    </xf>
    <xf numFmtId="0" fontId="4" fillId="5" borderId="28" xfId="0" applyFont="1" applyFill="1" applyBorder="1" applyAlignment="1">
      <alignment horizontal="right" vertical="center"/>
    </xf>
    <xf numFmtId="273" fontId="293" fillId="5" borderId="0" xfId="22" applyNumberFormat="1" applyFont="1" applyFill="1">
      <alignment vertical="center"/>
    </xf>
    <xf numFmtId="189" fontId="5" fillId="5" borderId="1" xfId="0" applyNumberFormat="1" applyFont="1" applyFill="1" applyBorder="1" applyAlignment="1"/>
    <xf numFmtId="191" fontId="5" fillId="5" borderId="1" xfId="0" applyNumberFormat="1" applyFont="1" applyFill="1" applyBorder="1" applyAlignment="1">
      <alignment horizontal="center" vertical="center"/>
    </xf>
    <xf numFmtId="0" fontId="130" fillId="5" borderId="26" xfId="0" applyFont="1" applyFill="1" applyBorder="1">
      <alignment vertical="center"/>
    </xf>
    <xf numFmtId="0" fontId="130" fillId="5" borderId="0" xfId="0" applyFont="1" applyFill="1" applyAlignment="1">
      <alignment horizontal="right" vertical="center"/>
    </xf>
    <xf numFmtId="186" fontId="5" fillId="5" borderId="27" xfId="0" applyNumberFormat="1" applyFont="1" applyFill="1" applyBorder="1">
      <alignment vertical="center"/>
    </xf>
    <xf numFmtId="191" fontId="5" fillId="5" borderId="1" xfId="0" applyNumberFormat="1" applyFont="1" applyFill="1" applyBorder="1" applyAlignment="1">
      <alignment horizontal="right" vertical="center"/>
    </xf>
    <xf numFmtId="0" fontId="347" fillId="0" borderId="194" xfId="0" applyFont="1" applyBorder="1" applyAlignment="1">
      <alignment horizontal="left" vertical="top" wrapText="1"/>
    </xf>
    <xf numFmtId="285" fontId="349" fillId="0" borderId="194" xfId="0" applyNumberFormat="1" applyFont="1" applyBorder="1" applyAlignment="1">
      <alignment horizontal="left" vertical="top" indent="1" shrinkToFit="1"/>
    </xf>
    <xf numFmtId="286" fontId="349" fillId="0" borderId="194" xfId="0" applyNumberFormat="1" applyFont="1" applyBorder="1" applyAlignment="1">
      <alignment horizontal="right" vertical="top" shrinkToFit="1"/>
    </xf>
    <xf numFmtId="215" fontId="5" fillId="2" borderId="1" xfId="0" applyNumberFormat="1" applyFont="1" applyFill="1" applyBorder="1">
      <alignment vertical="center"/>
    </xf>
    <xf numFmtId="186" fontId="5" fillId="2" borderId="1" xfId="0" applyNumberFormat="1" applyFont="1" applyFill="1" applyBorder="1">
      <alignment vertical="center"/>
    </xf>
    <xf numFmtId="226" fontId="5" fillId="2" borderId="1" xfId="0" applyNumberFormat="1" applyFont="1" applyFill="1" applyBorder="1">
      <alignment vertical="center"/>
    </xf>
    <xf numFmtId="211" fontId="121" fillId="2" borderId="1" xfId="0" applyNumberFormat="1" applyFont="1" applyFill="1" applyBorder="1" applyAlignment="1">
      <alignment horizontal="right" vertical="center"/>
    </xf>
    <xf numFmtId="179" fontId="299" fillId="2" borderId="1" xfId="0" applyNumberFormat="1" applyFont="1" applyFill="1" applyBorder="1" applyAlignment="1">
      <alignment horizontal="center" vertical="center"/>
    </xf>
    <xf numFmtId="254" fontId="5" fillId="2" borderId="0" xfId="0" applyNumberFormat="1" applyFont="1" applyFill="1">
      <alignment vertical="center"/>
    </xf>
    <xf numFmtId="191" fontId="5" fillId="2" borderId="12" xfId="0" applyNumberFormat="1" applyFont="1" applyFill="1" applyBorder="1">
      <alignment vertical="center"/>
    </xf>
    <xf numFmtId="0" fontId="3" fillId="2" borderId="0" xfId="0" applyFont="1" applyFill="1" applyAlignment="1">
      <alignment horizontal="right" vertical="center"/>
    </xf>
    <xf numFmtId="191" fontId="5" fillId="2" borderId="28" xfId="0" applyNumberFormat="1" applyFont="1" applyFill="1" applyBorder="1">
      <alignment vertical="center"/>
    </xf>
    <xf numFmtId="240" fontId="352" fillId="0" borderId="1" xfId="0" applyNumberFormat="1" applyFont="1" applyBorder="1" applyAlignment="1">
      <alignment horizontal="center" vertical="center"/>
    </xf>
    <xf numFmtId="0" fontId="13" fillId="0" borderId="0" xfId="22" applyNumberFormat="1" applyFont="1" applyAlignment="1"/>
    <xf numFmtId="226" fontId="4" fillId="0" borderId="1" xfId="0" applyNumberFormat="1" applyFont="1" applyBorder="1" applyAlignment="1">
      <alignment horizontal="center" vertical="center"/>
    </xf>
    <xf numFmtId="176" fontId="49" fillId="0" borderId="1" xfId="0" applyNumberFormat="1" applyFont="1" applyBorder="1" applyAlignment="1">
      <alignment horizontal="center" vertical="center"/>
    </xf>
    <xf numFmtId="0" fontId="306" fillId="0" borderId="1" xfId="0" applyFont="1" applyBorder="1">
      <alignment vertical="center"/>
    </xf>
    <xf numFmtId="0" fontId="308" fillId="0" borderId="1" xfId="0" applyFont="1" applyBorder="1" applyAlignment="1">
      <alignment horizontal="center" vertical="center"/>
    </xf>
    <xf numFmtId="9" fontId="145" fillId="0" borderId="1" xfId="22" applyFont="1" applyBorder="1">
      <alignment vertical="center"/>
    </xf>
    <xf numFmtId="0" fontId="145" fillId="0" borderId="1" xfId="0" applyFont="1" applyBorder="1">
      <alignment vertical="center"/>
    </xf>
    <xf numFmtId="289" fontId="41" fillId="0" borderId="1" xfId="0" applyNumberFormat="1" applyFont="1" applyBorder="1" applyAlignment="1">
      <alignment horizontal="center" vertical="center"/>
    </xf>
    <xf numFmtId="288" fontId="41" fillId="0" borderId="1" xfId="0" applyNumberFormat="1" applyFont="1" applyBorder="1" applyAlignment="1">
      <alignment horizontal="center" vertical="center"/>
    </xf>
    <xf numFmtId="290" fontId="4" fillId="0" borderId="1" xfId="0" applyNumberFormat="1" applyFont="1" applyBorder="1">
      <alignment vertical="center"/>
    </xf>
    <xf numFmtId="0" fontId="243" fillId="0" borderId="1" xfId="11" applyFont="1" applyBorder="1" applyAlignment="1">
      <alignment horizontal="center" vertical="center" wrapText="1"/>
    </xf>
    <xf numFmtId="0" fontId="354" fillId="0" borderId="0" xfId="0" applyFont="1" applyAlignment="1">
      <alignment horizontal="left" vertical="center" indent="1"/>
    </xf>
    <xf numFmtId="0" fontId="163" fillId="0" borderId="0" xfId="0" applyFont="1" applyAlignment="1">
      <alignment horizontal="left" vertical="center" indent="1"/>
    </xf>
    <xf numFmtId="0" fontId="353" fillId="0" borderId="1" xfId="0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191" fontId="4" fillId="2" borderId="1" xfId="0" applyNumberFormat="1" applyFont="1" applyFill="1" applyBorder="1">
      <alignment vertical="center"/>
    </xf>
    <xf numFmtId="0" fontId="0" fillId="2" borderId="1" xfId="0" applyFill="1" applyBorder="1">
      <alignment vertical="center"/>
    </xf>
    <xf numFmtId="9" fontId="145" fillId="2" borderId="1" xfId="22" applyFont="1" applyFill="1" applyBorder="1">
      <alignment vertical="center"/>
    </xf>
    <xf numFmtId="0" fontId="145" fillId="2" borderId="1" xfId="0" applyFont="1" applyFill="1" applyBorder="1">
      <alignment vertical="center"/>
    </xf>
    <xf numFmtId="0" fontId="5" fillId="10" borderId="1" xfId="0" applyFont="1" applyFill="1" applyBorder="1" applyAlignment="1">
      <alignment horizontal="right" vertical="center"/>
    </xf>
    <xf numFmtId="0" fontId="293" fillId="2" borderId="1" xfId="0" applyFont="1" applyFill="1" applyBorder="1">
      <alignment vertical="center"/>
    </xf>
    <xf numFmtId="188" fontId="5" fillId="2" borderId="1" xfId="0" applyNumberFormat="1" applyFont="1" applyFill="1" applyBorder="1" applyAlignment="1">
      <alignment horizontal="right"/>
    </xf>
    <xf numFmtId="186" fontId="5" fillId="2" borderId="28" xfId="0" applyNumberFormat="1" applyFont="1" applyFill="1" applyBorder="1">
      <alignment vertical="center"/>
    </xf>
    <xf numFmtId="0" fontId="359" fillId="0" borderId="1" xfId="0" applyFont="1" applyBorder="1" applyAlignment="1">
      <alignment horizontal="center" vertical="center"/>
    </xf>
    <xf numFmtId="0" fontId="361" fillId="0" borderId="1" xfId="0" applyFont="1" applyBorder="1" applyAlignment="1">
      <alignment horizontal="center" vertical="center"/>
    </xf>
    <xf numFmtId="0" fontId="360" fillId="0" borderId="1" xfId="0" applyFont="1" applyBorder="1" applyAlignment="1">
      <alignment horizontal="center" vertical="center"/>
    </xf>
    <xf numFmtId="215" fontId="78" fillId="0" borderId="1" xfId="0" applyNumberFormat="1" applyFont="1" applyBorder="1" applyAlignment="1">
      <alignment horizontal="center" vertical="center"/>
    </xf>
    <xf numFmtId="0" fontId="243" fillId="0" borderId="1" xfId="0" applyFont="1" applyBorder="1">
      <alignment vertical="center"/>
    </xf>
    <xf numFmtId="0" fontId="293" fillId="0" borderId="1" xfId="0" applyFont="1" applyBorder="1" applyAlignment="1">
      <alignment horizontal="center" vertical="center"/>
    </xf>
    <xf numFmtId="0" fontId="104" fillId="0" borderId="0" xfId="0" applyFont="1">
      <alignment vertical="center"/>
    </xf>
    <xf numFmtId="0" fontId="243" fillId="0" borderId="0" xfId="0" applyFont="1" applyAlignment="1">
      <alignment horizontal="center" vertical="center"/>
    </xf>
    <xf numFmtId="213" fontId="79" fillId="0" borderId="0" xfId="7" applyFont="1" applyFill="1" applyBorder="1" applyAlignment="1">
      <alignment horizontal="center" vertical="center" wrapText="1"/>
    </xf>
    <xf numFmtId="0" fontId="300" fillId="0" borderId="0" xfId="0" applyFont="1" applyAlignment="1">
      <alignment horizontal="center" vertical="center"/>
    </xf>
    <xf numFmtId="0" fontId="243" fillId="0" borderId="0" xfId="0" applyFont="1" applyAlignment="1">
      <alignment horizontal="left" vertical="center"/>
    </xf>
    <xf numFmtId="0" fontId="188" fillId="0" borderId="1" xfId="0" applyFont="1" applyBorder="1" applyAlignment="1">
      <alignment horizontal="left" vertical="center"/>
    </xf>
    <xf numFmtId="291" fontId="41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justify" vertical="center"/>
    </xf>
    <xf numFmtId="0" fontId="365" fillId="0" borderId="1" xfId="11" applyFont="1" applyBorder="1" applyAlignment="1">
      <alignment horizontal="center" vertical="center" wrapText="1"/>
    </xf>
    <xf numFmtId="3" fontId="104" fillId="0" borderId="0" xfId="0" applyNumberFormat="1" applyFont="1">
      <alignment vertical="center"/>
    </xf>
    <xf numFmtId="0" fontId="366" fillId="0" borderId="2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341" fillId="0" borderId="196" xfId="0" applyFont="1" applyBorder="1" applyAlignment="1">
      <alignment horizontal="left" vertical="top" wrapText="1" indent="1"/>
    </xf>
    <xf numFmtId="0" fontId="341" fillId="0" borderId="196" xfId="0" applyFont="1" applyBorder="1" applyAlignment="1">
      <alignment horizontal="left" vertical="top" wrapText="1"/>
    </xf>
    <xf numFmtId="0" fontId="341" fillId="0" borderId="196" xfId="0" applyFont="1" applyBorder="1" applyAlignment="1">
      <alignment horizontal="center" vertical="top" wrapText="1"/>
    </xf>
    <xf numFmtId="0" fontId="342" fillId="0" borderId="196" xfId="0" applyFont="1" applyBorder="1" applyAlignment="1">
      <alignment horizontal="left" vertical="top" wrapText="1"/>
    </xf>
    <xf numFmtId="0" fontId="347" fillId="0" borderId="194" xfId="0" applyFont="1" applyBorder="1" applyAlignment="1">
      <alignment horizontal="right" vertical="top" wrapText="1"/>
    </xf>
    <xf numFmtId="285" fontId="349" fillId="0" borderId="194" xfId="0" applyNumberFormat="1" applyFont="1" applyBorder="1" applyAlignment="1">
      <alignment horizontal="right" vertical="top" shrinkToFit="1"/>
    </xf>
    <xf numFmtId="0" fontId="368" fillId="0" borderId="196" xfId="0" applyFont="1" applyBorder="1" applyAlignment="1">
      <alignment horizontal="left" vertical="top" wrapText="1"/>
    </xf>
    <xf numFmtId="0" fontId="369" fillId="0" borderId="194" xfId="0" applyFont="1" applyBorder="1" applyAlignment="1">
      <alignment horizontal="left" vertical="top" wrapText="1"/>
    </xf>
    <xf numFmtId="0" fontId="371" fillId="0" borderId="1" xfId="0" applyFont="1" applyBorder="1" applyAlignment="1">
      <alignment horizontal="center" vertical="top" wrapText="1"/>
    </xf>
    <xf numFmtId="0" fontId="372" fillId="0" borderId="1" xfId="0" applyFont="1" applyBorder="1" applyAlignment="1">
      <alignment horizontal="center" vertical="top" wrapText="1"/>
    </xf>
    <xf numFmtId="17" fontId="4" fillId="0" borderId="1" xfId="0" quotePrefix="1" applyNumberFormat="1" applyFont="1" applyBorder="1" applyAlignment="1">
      <alignment horizontal="center" vertical="center"/>
    </xf>
    <xf numFmtId="0" fontId="373" fillId="0" borderId="0" xfId="0" applyFont="1">
      <alignment vertical="center"/>
    </xf>
    <xf numFmtId="0" fontId="374" fillId="30" borderId="1" xfId="0" applyFont="1" applyFill="1" applyBorder="1" applyAlignment="1">
      <alignment horizontal="center" vertical="center"/>
    </xf>
    <xf numFmtId="0" fontId="206" fillId="0" borderId="1" xfId="0" applyFont="1" applyBorder="1" applyAlignment="1">
      <alignment horizontal="center" vertical="center"/>
    </xf>
    <xf numFmtId="0" fontId="102" fillId="0" borderId="1" xfId="0" applyFont="1" applyBorder="1" applyAlignment="1">
      <alignment horizontal="center"/>
    </xf>
    <xf numFmtId="0" fontId="375" fillId="0" borderId="1" xfId="0" applyFont="1" applyBorder="1">
      <alignment vertical="center"/>
    </xf>
    <xf numFmtId="0" fontId="373" fillId="0" borderId="1" xfId="0" applyFont="1" applyBorder="1">
      <alignment vertical="center"/>
    </xf>
    <xf numFmtId="292" fontId="121" fillId="0" borderId="1" xfId="0" applyNumberFormat="1" applyFont="1" applyBorder="1" applyAlignment="1">
      <alignment horizontal="right" vertical="center"/>
    </xf>
    <xf numFmtId="292" fontId="4" fillId="0" borderId="1" xfId="0" applyNumberFormat="1" applyFont="1" applyBorder="1" applyAlignment="1">
      <alignment horizontal="right" vertical="center"/>
    </xf>
    <xf numFmtId="240" fontId="41" fillId="0" borderId="0" xfId="0" applyNumberFormat="1" applyFont="1" applyAlignment="1">
      <alignment horizontal="center" vertical="center"/>
    </xf>
    <xf numFmtId="290" fontId="4" fillId="0" borderId="1" xfId="0" applyNumberFormat="1" applyFont="1" applyBorder="1" applyAlignment="1">
      <alignment horizontal="center" vertical="center"/>
    </xf>
    <xf numFmtId="0" fontId="376" fillId="0" borderId="13" xfId="11" applyFont="1" applyBorder="1" applyAlignment="1">
      <alignment horizontal="center" vertical="center" wrapText="1"/>
    </xf>
    <xf numFmtId="293" fontId="121" fillId="0" borderId="1" xfId="0" applyNumberFormat="1" applyFont="1" applyBorder="1" applyAlignment="1">
      <alignment horizontal="right" vertical="center"/>
    </xf>
    <xf numFmtId="9" fontId="41" fillId="0" borderId="1" xfId="22" applyFont="1" applyFill="1" applyBorder="1" applyAlignment="1">
      <alignment horizontal="center" vertical="center"/>
    </xf>
    <xf numFmtId="0" fontId="377" fillId="0" borderId="1" xfId="11" applyFont="1" applyBorder="1" applyAlignment="1">
      <alignment horizontal="center" vertical="center" wrapText="1"/>
    </xf>
    <xf numFmtId="0" fontId="0" fillId="5" borderId="0" xfId="0" applyFill="1">
      <alignment vertical="center"/>
    </xf>
    <xf numFmtId="49" fontId="70" fillId="5" borderId="1" xfId="0" applyNumberFormat="1" applyFont="1" applyFill="1" applyBorder="1" applyAlignment="1">
      <alignment horizontal="center" vertical="center" shrinkToFit="1"/>
    </xf>
    <xf numFmtId="0" fontId="71" fillId="5" borderId="1" xfId="0" applyFont="1" applyFill="1" applyBorder="1" applyAlignment="1">
      <alignment horizontal="center" vertical="center" shrinkToFit="1"/>
    </xf>
    <xf numFmtId="0" fontId="70" fillId="5" borderId="1" xfId="0" applyFont="1" applyFill="1" applyBorder="1" applyAlignment="1">
      <alignment horizontal="center" vertical="center" wrapText="1" shrinkToFit="1"/>
    </xf>
    <xf numFmtId="213" fontId="176" fillId="5" borderId="1" xfId="7" applyFont="1" applyFill="1" applyBorder="1" applyAlignment="1">
      <alignment horizontal="center" vertical="center"/>
    </xf>
    <xf numFmtId="0" fontId="173" fillId="5" borderId="1" xfId="0" applyFont="1" applyFill="1" applyBorder="1" applyAlignment="1">
      <alignment horizontal="center" vertical="center" wrapText="1"/>
    </xf>
    <xf numFmtId="0" fontId="173" fillId="5" borderId="1" xfId="0" applyFont="1" applyFill="1" applyBorder="1" applyAlignment="1">
      <alignment horizontal="left" vertical="center" wrapText="1"/>
    </xf>
    <xf numFmtId="0" fontId="173" fillId="5" borderId="1" xfId="0" applyFont="1" applyFill="1" applyBorder="1" applyAlignment="1">
      <alignment vertical="center" wrapText="1"/>
    </xf>
    <xf numFmtId="215" fontId="173" fillId="5" borderId="1" xfId="0" applyNumberFormat="1" applyFont="1" applyFill="1" applyBorder="1" applyAlignment="1">
      <alignment horizontal="right" vertical="center" wrapText="1"/>
    </xf>
    <xf numFmtId="0" fontId="168" fillId="5" borderId="1" xfId="0" applyFont="1" applyFill="1" applyBorder="1" applyAlignment="1">
      <alignment horizontal="center" vertical="center" wrapText="1"/>
    </xf>
    <xf numFmtId="0" fontId="174" fillId="5" borderId="1" xfId="0" applyFont="1" applyFill="1" applyBorder="1" applyAlignment="1">
      <alignment horizontal="center" vertical="center" wrapText="1"/>
    </xf>
    <xf numFmtId="176" fontId="37" fillId="0" borderId="1" xfId="0" applyNumberFormat="1" applyFont="1" applyBorder="1" applyAlignment="1">
      <alignment horizontal="center" vertical="center"/>
    </xf>
    <xf numFmtId="9" fontId="41" fillId="0" borderId="0" xfId="22" applyFont="1" applyFill="1" applyBorder="1" applyAlignment="1">
      <alignment horizontal="center" vertical="center"/>
    </xf>
    <xf numFmtId="0" fontId="353" fillId="0" borderId="0" xfId="0" applyFont="1" applyAlignment="1">
      <alignment horizontal="left" vertical="center"/>
    </xf>
    <xf numFmtId="179" fontId="380" fillId="0" borderId="1" xfId="0" applyNumberFormat="1" applyFont="1" applyBorder="1" applyAlignment="1">
      <alignment horizontal="center" vertical="center" wrapText="1"/>
    </xf>
    <xf numFmtId="0" fontId="352" fillId="0" borderId="1" xfId="0" applyFont="1" applyBorder="1" applyAlignment="1">
      <alignment horizontal="center" vertical="center"/>
    </xf>
    <xf numFmtId="0" fontId="291" fillId="0" borderId="0" xfId="0" applyFont="1" applyAlignment="1">
      <alignment horizontal="center" vertical="center"/>
    </xf>
    <xf numFmtId="0" fontId="191" fillId="0" borderId="1" xfId="11" applyFont="1" applyBorder="1" applyAlignment="1">
      <alignment horizontal="center" vertical="center" wrapText="1"/>
    </xf>
    <xf numFmtId="180" fontId="130" fillId="5" borderId="1" xfId="0" applyNumberFormat="1" applyFont="1" applyFill="1" applyBorder="1" applyAlignment="1">
      <alignment horizontal="right" vertical="center"/>
    </xf>
    <xf numFmtId="0" fontId="7" fillId="5" borderId="1" xfId="0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left" vertical="center"/>
    </xf>
    <xf numFmtId="186" fontId="121" fillId="5" borderId="0" xfId="0" applyNumberFormat="1" applyFont="1" applyFill="1" applyAlignment="1">
      <alignment horizontal="center" vertical="center"/>
    </xf>
    <xf numFmtId="186" fontId="121" fillId="5" borderId="27" xfId="0" applyNumberFormat="1" applyFont="1" applyFill="1" applyBorder="1">
      <alignment vertical="center"/>
    </xf>
    <xf numFmtId="186" fontId="129" fillId="5" borderId="27" xfId="0" applyNumberFormat="1" applyFont="1" applyFill="1" applyBorder="1">
      <alignment vertical="center"/>
    </xf>
    <xf numFmtId="191" fontId="121" fillId="5" borderId="1" xfId="0" applyNumberFormat="1" applyFont="1" applyFill="1" applyBorder="1" applyAlignment="1">
      <alignment horizontal="right" vertical="center"/>
    </xf>
    <xf numFmtId="191" fontId="130" fillId="5" borderId="28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334" fillId="0" borderId="3" xfId="0" applyFont="1" applyBorder="1" applyAlignment="1">
      <alignment horizontal="center" vertical="center"/>
    </xf>
    <xf numFmtId="188" fontId="382" fillId="0" borderId="3" xfId="0" applyNumberFormat="1" applyFont="1" applyBorder="1" applyAlignment="1">
      <alignment horizontal="center"/>
    </xf>
    <xf numFmtId="0" fontId="188" fillId="0" borderId="1" xfId="0" applyFont="1" applyBorder="1" applyAlignment="1">
      <alignment horizontal="center" vertical="center"/>
    </xf>
    <xf numFmtId="207" fontId="41" fillId="0" borderId="1" xfId="0" applyNumberFormat="1" applyFont="1" applyBorder="1" applyAlignment="1">
      <alignment horizontal="center" vertical="center"/>
    </xf>
    <xf numFmtId="186" fontId="28" fillId="0" borderId="28" xfId="0" applyNumberFormat="1" applyFont="1" applyBorder="1" applyAlignment="1">
      <alignment horizontal="right" vertical="center"/>
    </xf>
    <xf numFmtId="2" fontId="5" fillId="0" borderId="26" xfId="0" applyNumberFormat="1" applyFont="1" applyBorder="1">
      <alignment vertical="center"/>
    </xf>
    <xf numFmtId="186" fontId="366" fillId="0" borderId="28" xfId="0" applyNumberFormat="1" applyFont="1" applyBorder="1" applyAlignment="1">
      <alignment horizontal="center" vertical="center"/>
    </xf>
    <xf numFmtId="3" fontId="5" fillId="0" borderId="0" xfId="0" applyNumberFormat="1" applyFont="1">
      <alignment vertical="center"/>
    </xf>
    <xf numFmtId="0" fontId="383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1" fillId="0" borderId="0" xfId="16" applyFont="1"/>
    <xf numFmtId="231" fontId="1" fillId="0" borderId="0" xfId="0" applyNumberFormat="1" applyFont="1" applyAlignment="1">
      <alignment horizontal="right" vertical="center"/>
    </xf>
    <xf numFmtId="232" fontId="1" fillId="0" borderId="0" xfId="0" applyNumberFormat="1" applyFont="1" applyAlignment="1">
      <alignment horizontal="right" vertical="center"/>
    </xf>
    <xf numFmtId="231" fontId="0" fillId="0" borderId="0" xfId="0" applyNumberFormat="1" applyAlignment="1">
      <alignment horizontal="right" vertical="center"/>
    </xf>
    <xf numFmtId="232" fontId="0" fillId="0" borderId="0" xfId="0" applyNumberFormat="1" applyAlignment="1">
      <alignment horizontal="right" vertical="center"/>
    </xf>
    <xf numFmtId="3" fontId="317" fillId="0" borderId="0" xfId="0" applyNumberFormat="1" applyFont="1">
      <alignment vertical="center"/>
    </xf>
    <xf numFmtId="294" fontId="5" fillId="0" borderId="26" xfId="0" applyNumberFormat="1" applyFont="1" applyBorder="1">
      <alignment vertical="center"/>
    </xf>
    <xf numFmtId="191" fontId="141" fillId="0" borderId="1" xfId="0" applyNumberFormat="1" applyFont="1" applyBorder="1" applyAlignment="1">
      <alignment horizontal="right" vertical="center"/>
    </xf>
    <xf numFmtId="191" fontId="141" fillId="0" borderId="1" xfId="0" applyNumberFormat="1" applyFont="1" applyBorder="1">
      <alignment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196" fontId="4" fillId="0" borderId="1" xfId="0" applyNumberFormat="1" applyFont="1" applyBorder="1">
      <alignment vertical="center"/>
    </xf>
    <xf numFmtId="198" fontId="4" fillId="0" borderId="1" xfId="0" applyNumberFormat="1" applyFont="1" applyBorder="1">
      <alignment vertical="center"/>
    </xf>
    <xf numFmtId="191" fontId="184" fillId="0" borderId="1" xfId="0" applyNumberFormat="1" applyFont="1" applyBorder="1">
      <alignment vertical="center"/>
    </xf>
    <xf numFmtId="0" fontId="384" fillId="2" borderId="1" xfId="0" applyFont="1" applyFill="1" applyBorder="1" applyAlignment="1">
      <alignment horizontal="right" vertical="center"/>
    </xf>
    <xf numFmtId="179" fontId="154" fillId="2" borderId="1" xfId="0" applyNumberFormat="1" applyFont="1" applyFill="1" applyBorder="1" applyAlignment="1">
      <alignment horizontal="center" vertical="center"/>
    </xf>
    <xf numFmtId="0" fontId="186" fillId="0" borderId="0" xfId="0" applyFont="1" applyAlignment="1">
      <alignment horizontal="left" vertical="center"/>
    </xf>
    <xf numFmtId="273" fontId="243" fillId="0" borderId="0" xfId="22" applyNumberFormat="1" applyFont="1">
      <alignment vertical="center"/>
    </xf>
    <xf numFmtId="0" fontId="186" fillId="0" borderId="0" xfId="0" applyFont="1" applyAlignment="1">
      <alignment horizontal="center" vertical="center" wrapText="1"/>
    </xf>
    <xf numFmtId="0" fontId="173" fillId="0" borderId="0" xfId="0" applyFont="1" applyAlignment="1">
      <alignment horizontal="center" vertical="center" wrapText="1"/>
    </xf>
    <xf numFmtId="0" fontId="173" fillId="0" borderId="0" xfId="0" applyFont="1" applyAlignment="1">
      <alignment horizontal="right" vertical="center" wrapText="1"/>
    </xf>
    <xf numFmtId="0" fontId="173" fillId="0" borderId="0" xfId="0" applyFont="1" applyAlignment="1">
      <alignment horizontal="left" vertical="center" wrapText="1"/>
    </xf>
    <xf numFmtId="0" fontId="173" fillId="0" borderId="0" xfId="0" applyFont="1" applyAlignment="1">
      <alignment vertical="center" wrapText="1"/>
    </xf>
    <xf numFmtId="215" fontId="173" fillId="0" borderId="0" xfId="0" applyNumberFormat="1" applyFont="1" applyAlignment="1">
      <alignment horizontal="right" vertical="center" wrapText="1"/>
    </xf>
    <xf numFmtId="0" fontId="4" fillId="0" borderId="0" xfId="0" applyFont="1" applyAlignment="1">
      <alignment horizontal="left" vertical="center"/>
    </xf>
    <xf numFmtId="0" fontId="0" fillId="10" borderId="0" xfId="0" applyFill="1">
      <alignment vertical="center"/>
    </xf>
    <xf numFmtId="0" fontId="386" fillId="10" borderId="0" xfId="0" applyFont="1" applyFill="1">
      <alignment vertical="center"/>
    </xf>
    <xf numFmtId="0" fontId="312" fillId="0" borderId="0" xfId="0" applyFont="1">
      <alignment vertical="center"/>
    </xf>
    <xf numFmtId="215" fontId="279" fillId="0" borderId="1" xfId="0" applyNumberFormat="1" applyFont="1" applyBorder="1" applyAlignment="1">
      <alignment horizontal="center" vertical="center"/>
    </xf>
    <xf numFmtId="0" fontId="334" fillId="0" borderId="0" xfId="0" applyFont="1" applyAlignment="1">
      <alignment horizontal="left" vertical="center"/>
    </xf>
    <xf numFmtId="0" fontId="201" fillId="0" borderId="1" xfId="0" applyFont="1" applyBorder="1" applyAlignment="1">
      <alignment horizontal="justify" vertical="center"/>
    </xf>
    <xf numFmtId="0" fontId="376" fillId="0" borderId="1" xfId="11" applyFont="1" applyBorder="1" applyAlignment="1">
      <alignment horizontal="center" vertical="center" wrapText="1"/>
    </xf>
    <xf numFmtId="295" fontId="180" fillId="0" borderId="1" xfId="0" applyNumberFormat="1" applyFont="1" applyBorder="1" applyAlignment="1">
      <alignment horizontal="center" vertical="center" wrapText="1"/>
    </xf>
    <xf numFmtId="0" fontId="388" fillId="0" borderId="1" xfId="0" applyFont="1" applyBorder="1" applyAlignment="1">
      <alignment horizontal="center" vertical="center" wrapText="1"/>
    </xf>
    <xf numFmtId="0" fontId="389" fillId="0" borderId="1" xfId="0" applyFont="1" applyBorder="1" applyAlignment="1">
      <alignment horizontal="center" vertical="center" wrapText="1"/>
    </xf>
    <xf numFmtId="273" fontId="293" fillId="0" borderId="0" xfId="22" applyNumberFormat="1" applyFont="1" applyFill="1">
      <alignment vertical="center"/>
    </xf>
    <xf numFmtId="0" fontId="130" fillId="0" borderId="1" xfId="0" applyFont="1" applyBorder="1" applyAlignment="1">
      <alignment horizontal="right" vertical="center"/>
    </xf>
    <xf numFmtId="179" fontId="154" fillId="0" borderId="1" xfId="0" applyNumberFormat="1" applyFont="1" applyBorder="1" applyAlignment="1">
      <alignment horizontal="center" vertical="center"/>
    </xf>
    <xf numFmtId="0" fontId="130" fillId="0" borderId="0" xfId="0" applyFont="1">
      <alignment vertical="center"/>
    </xf>
    <xf numFmtId="186" fontId="4" fillId="0" borderId="12" xfId="0" applyNumberFormat="1" applyFont="1" applyBorder="1">
      <alignment vertical="center"/>
    </xf>
    <xf numFmtId="0" fontId="37" fillId="0" borderId="1" xfId="0" applyFont="1" applyBorder="1" applyAlignment="1">
      <alignment horizontal="center"/>
    </xf>
    <xf numFmtId="186" fontId="366" fillId="0" borderId="28" xfId="0" applyNumberFormat="1" applyFont="1" applyBorder="1" applyAlignment="1">
      <alignment horizontal="right" vertical="center"/>
    </xf>
    <xf numFmtId="0" fontId="390" fillId="0" borderId="0" xfId="0" applyFont="1">
      <alignment vertical="center"/>
    </xf>
    <xf numFmtId="0" fontId="391" fillId="31" borderId="7" xfId="0" applyFont="1" applyFill="1" applyBorder="1" applyAlignment="1">
      <alignment horizontal="center" vertical="center" wrapText="1"/>
    </xf>
    <xf numFmtId="0" fontId="391" fillId="31" borderId="8" xfId="0" applyFont="1" applyFill="1" applyBorder="1" applyAlignment="1">
      <alignment horizontal="center" vertical="center" wrapText="1"/>
    </xf>
    <xf numFmtId="0" fontId="166" fillId="3" borderId="9" xfId="0" applyFont="1" applyFill="1" applyBorder="1" applyAlignment="1">
      <alignment horizontal="center" vertical="center" wrapText="1"/>
    </xf>
    <xf numFmtId="0" fontId="166" fillId="3" borderId="10" xfId="0" applyFont="1" applyFill="1" applyBorder="1" applyAlignment="1">
      <alignment horizontal="center" vertical="center" wrapText="1"/>
    </xf>
    <xf numFmtId="6" fontId="166" fillId="3" borderId="10" xfId="0" applyNumberFormat="1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vertical="center" wrapText="1"/>
    </xf>
    <xf numFmtId="0" fontId="0" fillId="10" borderId="1" xfId="0" applyFill="1" applyBorder="1">
      <alignment vertical="center"/>
    </xf>
    <xf numFmtId="192" fontId="392" fillId="0" borderId="1" xfId="0" applyNumberFormat="1" applyFont="1" applyBorder="1" applyAlignment="1">
      <alignment horizontal="center" vertical="center"/>
    </xf>
    <xf numFmtId="189" fontId="5" fillId="0" borderId="1" xfId="0" applyNumberFormat="1" applyFont="1" applyBorder="1" applyAlignment="1">
      <alignment horizontal="left"/>
    </xf>
    <xf numFmtId="189" fontId="41" fillId="0" borderId="1" xfId="0" applyNumberFormat="1" applyFont="1" applyBorder="1" applyAlignment="1"/>
    <xf numFmtId="0" fontId="393" fillId="0" borderId="1" xfId="0" applyFont="1" applyBorder="1" applyAlignment="1">
      <alignment horizontal="center" vertical="center"/>
    </xf>
    <xf numFmtId="178" fontId="393" fillId="0" borderId="1" xfId="0" applyNumberFormat="1" applyFont="1" applyBorder="1" applyAlignment="1">
      <alignment horizontal="right" vertical="center"/>
    </xf>
    <xf numFmtId="180" fontId="393" fillId="0" borderId="1" xfId="0" applyNumberFormat="1" applyFont="1" applyBorder="1" applyAlignment="1">
      <alignment horizontal="right" vertical="center"/>
    </xf>
    <xf numFmtId="185" fontId="393" fillId="0" borderId="1" xfId="0" applyNumberFormat="1" applyFont="1" applyBorder="1" applyAlignment="1">
      <alignment horizontal="right" vertical="center"/>
    </xf>
    <xf numFmtId="191" fontId="393" fillId="0" borderId="1" xfId="0" applyNumberFormat="1" applyFont="1" applyBorder="1">
      <alignment vertical="center"/>
    </xf>
    <xf numFmtId="0" fontId="271" fillId="20" borderId="1" xfId="0" applyFont="1" applyFill="1" applyBorder="1" applyAlignment="1">
      <alignment horizontal="center" vertical="center"/>
    </xf>
    <xf numFmtId="49" fontId="79" fillId="20" borderId="1" xfId="0" applyNumberFormat="1" applyFont="1" applyFill="1" applyBorder="1" applyAlignment="1">
      <alignment horizontal="center" vertical="center"/>
    </xf>
    <xf numFmtId="0" fontId="394" fillId="0" borderId="1" xfId="0" applyFont="1" applyBorder="1" applyAlignment="1">
      <alignment horizontal="center" vertical="center"/>
    </xf>
    <xf numFmtId="213" fontId="395" fillId="0" borderId="1" xfId="7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 wrapText="1"/>
    </xf>
    <xf numFmtId="0" fontId="388" fillId="32" borderId="1" xfId="0" applyFont="1" applyFill="1" applyBorder="1" applyAlignment="1">
      <alignment horizontal="center" vertical="center"/>
    </xf>
    <xf numFmtId="0" fontId="389" fillId="32" borderId="1" xfId="0" applyFont="1" applyFill="1" applyBorder="1" applyAlignment="1">
      <alignment horizontal="center" vertical="center" wrapText="1"/>
    </xf>
    <xf numFmtId="0" fontId="180" fillId="4" borderId="1" xfId="0" applyFont="1" applyFill="1" applyBorder="1" applyAlignment="1">
      <alignment horizontal="center" vertical="center"/>
    </xf>
    <xf numFmtId="0" fontId="180" fillId="4" borderId="1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0" fontId="341" fillId="29" borderId="194" xfId="0" applyFont="1" applyFill="1" applyBorder="1" applyAlignment="1">
      <alignment horizontal="center" vertical="top" wrapText="1"/>
    </xf>
    <xf numFmtId="296" fontId="41" fillId="0" borderId="1" xfId="0" applyNumberFormat="1" applyFont="1" applyBorder="1" applyAlignment="1">
      <alignment horizontal="right" vertical="center"/>
    </xf>
    <xf numFmtId="297" fontId="0" fillId="0" borderId="0" xfId="0" applyNumberFormat="1" applyAlignment="1">
      <alignment horizontal="center" vertical="center"/>
    </xf>
    <xf numFmtId="0" fontId="4" fillId="0" borderId="27" xfId="0" applyFont="1" applyBorder="1" applyAlignment="1">
      <alignment horizontal="right" vertical="center"/>
    </xf>
    <xf numFmtId="296" fontId="121" fillId="0" borderId="1" xfId="0" applyNumberFormat="1" applyFont="1" applyBorder="1">
      <alignment vertical="center"/>
    </xf>
    <xf numFmtId="296" fontId="5" fillId="0" borderId="1" xfId="0" applyNumberFormat="1" applyFont="1" applyBorder="1">
      <alignment vertical="center"/>
    </xf>
    <xf numFmtId="296" fontId="121" fillId="0" borderId="1" xfId="0" applyNumberFormat="1" applyFont="1" applyBorder="1" applyAlignment="1">
      <alignment horizontal="right" vertical="center"/>
    </xf>
    <xf numFmtId="191" fontId="124" fillId="0" borderId="1" xfId="0" applyNumberFormat="1" applyFont="1" applyBorder="1" applyAlignment="1">
      <alignment horizontal="right" vertical="center"/>
    </xf>
    <xf numFmtId="0" fontId="398" fillId="0" borderId="1" xfId="0" applyFont="1" applyBorder="1" applyAlignment="1">
      <alignment horizontal="center" vertical="center"/>
    </xf>
    <xf numFmtId="237" fontId="41" fillId="0" borderId="1" xfId="0" applyNumberFormat="1" applyFont="1" applyBorder="1" applyAlignment="1">
      <alignment horizontal="center"/>
    </xf>
    <xf numFmtId="289" fontId="41" fillId="0" borderId="0" xfId="0" applyNumberFormat="1" applyFont="1" applyAlignment="1">
      <alignment horizontal="center" vertical="center"/>
    </xf>
    <xf numFmtId="0" fontId="37" fillId="0" borderId="3" xfId="0" applyFont="1" applyBorder="1" applyAlignment="1">
      <alignment horizontal="center" vertical="center" wrapText="1"/>
    </xf>
    <xf numFmtId="0" fontId="317" fillId="0" borderId="0" xfId="0" applyFont="1" applyAlignment="1">
      <alignment horizontal="right" vertical="center"/>
    </xf>
    <xf numFmtId="0" fontId="399" fillId="0" borderId="0" xfId="0" applyFont="1" applyAlignment="1">
      <alignment horizontal="justify" vertical="center"/>
    </xf>
    <xf numFmtId="0" fontId="4" fillId="0" borderId="0" xfId="0" applyFont="1" applyAlignment="1">
      <alignment horizontal="left" vertical="center" wrapText="1"/>
    </xf>
    <xf numFmtId="0" fontId="271" fillId="0" borderId="1" xfId="11" applyFont="1" applyBorder="1" applyAlignment="1">
      <alignment horizontal="center" vertical="center"/>
    </xf>
    <xf numFmtId="286" fontId="5" fillId="0" borderId="26" xfId="0" applyNumberFormat="1" applyFont="1" applyBorder="1">
      <alignment vertical="center"/>
    </xf>
    <xf numFmtId="0" fontId="129" fillId="0" borderId="0" xfId="0" applyFont="1">
      <alignment vertical="center"/>
    </xf>
    <xf numFmtId="0" fontId="130" fillId="0" borderId="0" xfId="0" applyFont="1" applyAlignment="1">
      <alignment horizontal="center" vertical="center"/>
    </xf>
    <xf numFmtId="0" fontId="130" fillId="5" borderId="1" xfId="0" applyFont="1" applyFill="1" applyBorder="1" applyAlignment="1">
      <alignment horizontal="center" vertical="center"/>
    </xf>
    <xf numFmtId="191" fontId="121" fillId="5" borderId="12" xfId="0" applyNumberFormat="1" applyFont="1" applyFill="1" applyBorder="1">
      <alignment vertical="center"/>
    </xf>
    <xf numFmtId="0" fontId="401" fillId="0" borderId="1" xfId="0" applyFont="1" applyBorder="1" applyAlignment="1">
      <alignment horizontal="center" vertical="center"/>
    </xf>
    <xf numFmtId="179" fontId="393" fillId="0" borderId="1" xfId="0" applyNumberFormat="1" applyFont="1" applyBorder="1" applyAlignment="1">
      <alignment horizontal="center" vertical="center" wrapText="1"/>
    </xf>
    <xf numFmtId="192" fontId="5" fillId="10" borderId="1" xfId="0" applyNumberFormat="1" applyFont="1" applyFill="1" applyBorder="1" applyAlignment="1">
      <alignment horizontal="right" vertical="center"/>
    </xf>
    <xf numFmtId="3" fontId="104" fillId="0" borderId="0" xfId="0" applyNumberFormat="1" applyFont="1" applyAlignment="1">
      <alignment horizontal="right" vertical="center"/>
    </xf>
    <xf numFmtId="0" fontId="121" fillId="0" borderId="1" xfId="0" applyFont="1" applyBorder="1" applyAlignment="1">
      <alignment horizontal="left" vertical="center"/>
    </xf>
    <xf numFmtId="0" fontId="121" fillId="0" borderId="0" xfId="0" applyFont="1" applyAlignment="1">
      <alignment horizontal="right" vertical="center"/>
    </xf>
    <xf numFmtId="179" fontId="124" fillId="0" borderId="1" xfId="0" applyNumberFormat="1" applyFont="1" applyBorder="1" applyAlignment="1">
      <alignment horizontal="center" vertical="center" wrapText="1"/>
    </xf>
    <xf numFmtId="179" fontId="124" fillId="10" borderId="1" xfId="0" applyNumberFormat="1" applyFont="1" applyFill="1" applyBorder="1" applyAlignment="1">
      <alignment horizontal="center" vertical="center" wrapText="1"/>
    </xf>
    <xf numFmtId="192" fontId="402" fillId="0" borderId="1" xfId="0" applyNumberFormat="1" applyFont="1" applyBorder="1" applyAlignment="1">
      <alignment horizontal="center" vertical="center"/>
    </xf>
    <xf numFmtId="192" fontId="402" fillId="10" borderId="1" xfId="0" applyNumberFormat="1" applyFont="1" applyFill="1" applyBorder="1" applyAlignment="1">
      <alignment horizontal="center" vertical="center"/>
    </xf>
    <xf numFmtId="186" fontId="5" fillId="0" borderId="0" xfId="0" applyNumberFormat="1" applyFont="1" applyAlignment="1">
      <alignment horizontal="center" vertical="center"/>
    </xf>
    <xf numFmtId="0" fontId="366" fillId="0" borderId="26" xfId="0" applyFont="1" applyBorder="1">
      <alignment vertical="center"/>
    </xf>
    <xf numFmtId="0" fontId="121" fillId="4" borderId="26" xfId="0" applyFont="1" applyFill="1" applyBorder="1">
      <alignment vertical="center"/>
    </xf>
    <xf numFmtId="0" fontId="49" fillId="0" borderId="43" xfId="0" applyFont="1" applyBorder="1" applyAlignment="1">
      <alignment horizontal="center" vertical="center"/>
    </xf>
    <xf numFmtId="215" fontId="4" fillId="10" borderId="1" xfId="0" applyNumberFormat="1" applyFont="1" applyFill="1" applyBorder="1">
      <alignment vertical="center"/>
    </xf>
    <xf numFmtId="0" fontId="79" fillId="0" borderId="1" xfId="0" applyFont="1" applyBorder="1" applyAlignment="1">
      <alignment horizontal="right" vertical="center"/>
    </xf>
    <xf numFmtId="0" fontId="79" fillId="0" borderId="1" xfId="0" applyFont="1" applyBorder="1">
      <alignment vertical="center"/>
    </xf>
    <xf numFmtId="298" fontId="4" fillId="0" borderId="1" xfId="0" applyNumberFormat="1" applyFont="1" applyBorder="1" applyAlignment="1">
      <alignment horizontal="center" vertical="center"/>
    </xf>
    <xf numFmtId="178" fontId="243" fillId="0" borderId="1" xfId="0" applyNumberFormat="1" applyFont="1" applyBorder="1" applyAlignment="1">
      <alignment horizontal="right" vertical="center" wrapText="1"/>
    </xf>
    <xf numFmtId="0" fontId="348" fillId="0" borderId="194" xfId="0" applyFont="1" applyBorder="1" applyAlignment="1">
      <alignment horizontal="center" vertical="top" wrapText="1"/>
    </xf>
    <xf numFmtId="0" fontId="406" fillId="0" borderId="1" xfId="0" applyFont="1" applyBorder="1" applyAlignment="1">
      <alignment horizontal="center" vertical="center"/>
    </xf>
    <xf numFmtId="5" fontId="5" fillId="10" borderId="1" xfId="0" applyNumberFormat="1" applyFont="1" applyFill="1" applyBorder="1" applyAlignment="1">
      <alignment horizontal="right" vertical="center"/>
    </xf>
    <xf numFmtId="298" fontId="41" fillId="0" borderId="1" xfId="0" applyNumberFormat="1" applyFont="1" applyBorder="1" applyAlignment="1">
      <alignment horizontal="center" vertical="center"/>
    </xf>
    <xf numFmtId="0" fontId="296" fillId="0" borderId="0" xfId="0" applyFont="1" applyAlignment="1">
      <alignment horizontal="center" vertical="center"/>
    </xf>
    <xf numFmtId="200" fontId="41" fillId="0" borderId="0" xfId="2" applyNumberFormat="1" applyFont="1" applyBorder="1" applyAlignment="1">
      <alignment horizontal="center" vertical="center"/>
    </xf>
    <xf numFmtId="215" fontId="41" fillId="0" borderId="0" xfId="2" applyNumberFormat="1" applyFont="1" applyBorder="1" applyAlignment="1">
      <alignment horizontal="center" vertical="center"/>
    </xf>
    <xf numFmtId="215" fontId="271" fillId="0" borderId="0" xfId="2" applyNumberFormat="1" applyFont="1" applyBorder="1" applyAlignment="1">
      <alignment horizontal="center" vertical="center"/>
    </xf>
    <xf numFmtId="281" fontId="41" fillId="0" borderId="0" xfId="2" applyNumberFormat="1" applyFont="1" applyBorder="1" applyAlignment="1">
      <alignment horizontal="center" vertical="center"/>
    </xf>
    <xf numFmtId="14" fontId="41" fillId="0" borderId="0" xfId="0" applyNumberFormat="1" applyFont="1" applyAlignment="1">
      <alignment horizontal="center" vertical="center"/>
    </xf>
    <xf numFmtId="237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195" fontId="13" fillId="11" borderId="1" xfId="0" applyNumberFormat="1" applyFont="1" applyFill="1" applyBorder="1" applyAlignment="1">
      <alignment horizontal="right" vertical="center"/>
    </xf>
    <xf numFmtId="195" fontId="13" fillId="0" borderId="1" xfId="0" applyNumberFormat="1" applyFont="1" applyBorder="1" applyAlignment="1"/>
    <xf numFmtId="238" fontId="189" fillId="0" borderId="0" xfId="0" applyNumberFormat="1" applyFont="1">
      <alignment vertical="center"/>
    </xf>
    <xf numFmtId="0" fontId="79" fillId="20" borderId="1" xfId="0" applyFont="1" applyFill="1" applyBorder="1" applyAlignment="1">
      <alignment horizontal="center" vertical="center"/>
    </xf>
    <xf numFmtId="0" fontId="79" fillId="20" borderId="1" xfId="0" applyFont="1" applyFill="1" applyBorder="1" applyAlignment="1">
      <alignment horizontal="center" vertical="center" wrapText="1" shrinkToFit="1"/>
    </xf>
    <xf numFmtId="188" fontId="79" fillId="20" borderId="1" xfId="0" applyNumberFormat="1" applyFont="1" applyFill="1" applyBorder="1" applyAlignment="1">
      <alignment horizontal="center" vertical="center" wrapText="1"/>
    </xf>
    <xf numFmtId="217" fontId="79" fillId="20" borderId="1" xfId="0" applyNumberFormat="1" applyFont="1" applyFill="1" applyBorder="1" applyAlignment="1">
      <alignment horizontal="center" vertical="center" wrapText="1"/>
    </xf>
    <xf numFmtId="299" fontId="79" fillId="20" borderId="1" xfId="7" applyNumberFormat="1" applyFont="1" applyFill="1" applyBorder="1" applyAlignment="1">
      <alignment horizontal="center" vertical="center" wrapText="1"/>
    </xf>
    <xf numFmtId="0" fontId="202" fillId="0" borderId="0" xfId="0" applyFont="1" applyAlignment="1">
      <alignment horizontal="right" vertical="center"/>
    </xf>
    <xf numFmtId="300" fontId="41" fillId="0" borderId="1" xfId="0" applyNumberFormat="1" applyFont="1" applyBorder="1" applyAlignment="1">
      <alignment horizontal="center"/>
    </xf>
    <xf numFmtId="256" fontId="119" fillId="0" borderId="2" xfId="0" applyNumberFormat="1" applyFont="1" applyBorder="1" applyAlignment="1">
      <alignment vertical="center" shrinkToFit="1"/>
    </xf>
    <xf numFmtId="10" fontId="202" fillId="0" borderId="0" xfId="22" applyNumberFormat="1" applyFont="1">
      <alignment vertical="center"/>
    </xf>
    <xf numFmtId="0" fontId="202" fillId="0" borderId="0" xfId="0" applyFont="1">
      <alignment vertical="center"/>
    </xf>
    <xf numFmtId="256" fontId="119" fillId="0" borderId="1" xfId="0" applyNumberFormat="1" applyFont="1" applyBorder="1" applyAlignment="1">
      <alignment vertical="center" shrinkToFit="1"/>
    </xf>
    <xf numFmtId="0" fontId="409" fillId="0" borderId="0" xfId="0" applyFont="1" applyAlignment="1">
      <alignment horizontal="justify" vertical="center"/>
    </xf>
    <xf numFmtId="0" fontId="410" fillId="0" borderId="7" xfId="0" applyFont="1" applyBorder="1" applyAlignment="1">
      <alignment horizontal="justify" vertical="center" wrapText="1"/>
    </xf>
    <xf numFmtId="0" fontId="410" fillId="0" borderId="8" xfId="0" applyFont="1" applyBorder="1" applyAlignment="1">
      <alignment horizontal="justify" vertical="center" wrapText="1"/>
    </xf>
    <xf numFmtId="0" fontId="411" fillId="3" borderId="9" xfId="0" applyFont="1" applyFill="1" applyBorder="1" applyAlignment="1">
      <alignment horizontal="justify" vertical="center" wrapText="1"/>
    </xf>
    <xf numFmtId="0" fontId="410" fillId="0" borderId="10" xfId="0" applyFont="1" applyBorder="1" applyAlignment="1">
      <alignment horizontal="justify" vertical="center" wrapText="1"/>
    </xf>
    <xf numFmtId="0" fontId="410" fillId="0" borderId="10" xfId="0" applyFont="1" applyBorder="1" applyAlignment="1">
      <alignment horizontal="right" vertical="center" wrapText="1"/>
    </xf>
    <xf numFmtId="0" fontId="411" fillId="3" borderId="9" xfId="0" applyFont="1" applyFill="1" applyBorder="1" applyAlignment="1">
      <alignment horizontal="left" vertical="center" wrapText="1"/>
    </xf>
    <xf numFmtId="0" fontId="412" fillId="3" borderId="9" xfId="0" applyFont="1" applyFill="1" applyBorder="1" applyAlignment="1">
      <alignment horizontal="left" vertical="center" wrapText="1"/>
    </xf>
    <xf numFmtId="0" fontId="353" fillId="0" borderId="1" xfId="0" applyFont="1" applyBorder="1" applyAlignment="1">
      <alignment horizontal="center"/>
    </xf>
    <xf numFmtId="209" fontId="291" fillId="0" borderId="0" xfId="0" applyNumberFormat="1" applyFont="1" applyAlignment="1">
      <alignment horizontal="center" vertical="center"/>
    </xf>
    <xf numFmtId="278" fontId="29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4" fillId="5" borderId="27" xfId="0" applyFont="1" applyFill="1" applyBorder="1" applyAlignment="1">
      <alignment horizontal="right" vertical="center"/>
    </xf>
    <xf numFmtId="0" fontId="127" fillId="5" borderId="0" xfId="0" applyFont="1" applyFill="1">
      <alignment vertical="center"/>
    </xf>
    <xf numFmtId="0" fontId="120" fillId="5" borderId="1" xfId="0" applyFont="1" applyFill="1" applyBorder="1" applyAlignment="1">
      <alignment horizontal="center" vertical="center"/>
    </xf>
    <xf numFmtId="188" fontId="120" fillId="5" borderId="1" xfId="0" applyNumberFormat="1" applyFont="1" applyFill="1" applyBorder="1" applyAlignment="1">
      <alignment horizontal="center"/>
    </xf>
    <xf numFmtId="193" fontId="120" fillId="5" borderId="1" xfId="0" applyNumberFormat="1" applyFont="1" applyFill="1" applyBorder="1">
      <alignment vertical="center"/>
    </xf>
    <xf numFmtId="180" fontId="120" fillId="5" borderId="1" xfId="0" applyNumberFormat="1" applyFont="1" applyFill="1" applyBorder="1" applyAlignment="1">
      <alignment horizontal="right" vertical="center"/>
    </xf>
    <xf numFmtId="191" fontId="414" fillId="5" borderId="1" xfId="0" applyNumberFormat="1" applyFont="1" applyFill="1" applyBorder="1" applyAlignment="1">
      <alignment horizontal="center" vertical="center"/>
    </xf>
    <xf numFmtId="191" fontId="120" fillId="5" borderId="0" xfId="0" applyNumberFormat="1" applyFont="1" applyFill="1">
      <alignment vertical="center"/>
    </xf>
    <xf numFmtId="0" fontId="393" fillId="5" borderId="28" xfId="0" applyFont="1" applyFill="1" applyBorder="1" applyAlignment="1">
      <alignment horizontal="right" vertical="center"/>
    </xf>
    <xf numFmtId="0" fontId="120" fillId="5" borderId="26" xfId="0" applyFont="1" applyFill="1" applyBorder="1" applyAlignment="1">
      <alignment horizontal="center" vertical="center"/>
    </xf>
    <xf numFmtId="273" fontId="310" fillId="5" borderId="0" xfId="22" applyNumberFormat="1" applyFont="1" applyFill="1">
      <alignment vertical="center"/>
    </xf>
    <xf numFmtId="0" fontId="169" fillId="0" borderId="174" xfId="0" applyFont="1" applyBorder="1" applyAlignment="1">
      <alignment horizontal="left" vertical="center"/>
    </xf>
    <xf numFmtId="179" fontId="353" fillId="0" borderId="1" xfId="0" applyNumberFormat="1" applyFont="1" applyBorder="1" applyAlignment="1">
      <alignment horizontal="center" vertical="center" wrapText="1"/>
    </xf>
    <xf numFmtId="193" fontId="5" fillId="0" borderId="13" xfId="0" applyNumberFormat="1" applyFont="1" applyBorder="1">
      <alignment vertical="center"/>
    </xf>
    <xf numFmtId="0" fontId="353" fillId="0" borderId="1" xfId="0" applyFont="1" applyBorder="1" applyAlignment="1">
      <alignment horizontal="right" vertical="center"/>
    </xf>
    <xf numFmtId="188" fontId="120" fillId="0" borderId="1" xfId="0" applyNumberFormat="1" applyFont="1" applyBorder="1" applyAlignment="1">
      <alignment horizontal="center"/>
    </xf>
    <xf numFmtId="193" fontId="120" fillId="0" borderId="1" xfId="0" applyNumberFormat="1" applyFont="1" applyBorder="1">
      <alignment vertical="center"/>
    </xf>
    <xf numFmtId="191" fontId="414" fillId="0" borderId="1" xfId="0" applyNumberFormat="1" applyFont="1" applyBorder="1" applyAlignment="1">
      <alignment horizontal="center" vertical="center"/>
    </xf>
    <xf numFmtId="0" fontId="393" fillId="0" borderId="28" xfId="0" applyFont="1" applyBorder="1" applyAlignment="1">
      <alignment horizontal="right" vertical="center"/>
    </xf>
    <xf numFmtId="3" fontId="417" fillId="0" borderId="0" xfId="0" applyNumberFormat="1" applyFont="1" applyAlignment="1">
      <alignment horizontal="right" vertical="center"/>
    </xf>
    <xf numFmtId="0" fontId="121" fillId="11" borderId="0" xfId="0" applyFont="1" applyFill="1" applyAlignment="1">
      <alignment horizontal="right" vertical="center"/>
    </xf>
    <xf numFmtId="0" fontId="121" fillId="10" borderId="26" xfId="0" applyFont="1" applyFill="1" applyBorder="1" applyAlignment="1">
      <alignment horizontal="right" vertical="center"/>
    </xf>
    <xf numFmtId="0" fontId="301" fillId="0" borderId="1" xfId="0" applyFont="1" applyBorder="1" applyAlignment="1">
      <alignment horizontal="center" vertical="center" wrapText="1"/>
    </xf>
    <xf numFmtId="210" fontId="4" fillId="0" borderId="1" xfId="0" applyNumberFormat="1" applyFont="1" applyBorder="1" applyAlignment="1">
      <alignment horizontal="right" vertical="center"/>
    </xf>
    <xf numFmtId="0" fontId="102" fillId="0" borderId="1" xfId="0" applyFont="1" applyBorder="1">
      <alignment vertical="center"/>
    </xf>
    <xf numFmtId="0" fontId="208" fillId="0" borderId="1" xfId="0" applyFont="1" applyBorder="1">
      <alignment vertical="center"/>
    </xf>
    <xf numFmtId="0" fontId="208" fillId="0" borderId="1" xfId="0" applyFont="1" applyBorder="1" applyAlignment="1">
      <alignment horizontal="right" vertical="center"/>
    </xf>
    <xf numFmtId="210" fontId="49" fillId="0" borderId="1" xfId="0" applyNumberFormat="1" applyFont="1" applyBorder="1" applyAlignment="1">
      <alignment horizontal="right" vertical="center"/>
    </xf>
    <xf numFmtId="0" fontId="143" fillId="0" borderId="0" xfId="0" applyFont="1" applyAlignment="1" applyProtection="1">
      <alignment horizontal="center" vertical="center"/>
      <protection locked="0"/>
    </xf>
    <xf numFmtId="0" fontId="418" fillId="0" borderId="26" xfId="0" applyFont="1" applyBorder="1">
      <alignment vertical="center"/>
    </xf>
    <xf numFmtId="178" fontId="276" fillId="0" borderId="159" xfId="0" applyNumberFormat="1" applyFont="1" applyBorder="1" applyAlignment="1">
      <alignment horizontal="center" vertical="center"/>
    </xf>
    <xf numFmtId="178" fontId="4" fillId="0" borderId="21" xfId="0" applyNumberFormat="1" applyFont="1" applyBorder="1" applyAlignment="1">
      <alignment horizontal="center" vertical="center"/>
    </xf>
    <xf numFmtId="0" fontId="293" fillId="0" borderId="16" xfId="0" applyFont="1" applyBorder="1">
      <alignment vertical="center"/>
    </xf>
    <xf numFmtId="3" fontId="41" fillId="0" borderId="1" xfId="0" applyNumberFormat="1" applyFont="1" applyBorder="1">
      <alignment vertical="center"/>
    </xf>
    <xf numFmtId="3" fontId="41" fillId="0" borderId="1" xfId="0" applyNumberFormat="1" applyFont="1" applyBorder="1" applyAlignment="1">
      <alignment horizontal="right" vertical="center"/>
    </xf>
    <xf numFmtId="0" fontId="271" fillId="0" borderId="1" xfId="0" applyFont="1" applyBorder="1">
      <alignment vertical="center"/>
    </xf>
    <xf numFmtId="301" fontId="41" fillId="0" borderId="1" xfId="0" applyNumberFormat="1" applyFont="1" applyBorder="1" applyProtection="1">
      <alignment vertical="center"/>
      <protection hidden="1"/>
    </xf>
    <xf numFmtId="286" fontId="41" fillId="0" borderId="1" xfId="0" applyNumberFormat="1" applyFont="1" applyBorder="1" applyAlignment="1">
      <alignment horizontal="center" vertical="center"/>
    </xf>
    <xf numFmtId="0" fontId="41" fillId="0" borderId="1" xfId="23" applyFont="1" applyFill="1" applyBorder="1" applyAlignment="1">
      <alignment horizontal="center" vertical="center"/>
    </xf>
    <xf numFmtId="179" fontId="196" fillId="10" borderId="1" xfId="0" applyNumberFormat="1" applyFont="1" applyFill="1" applyBorder="1" applyAlignment="1">
      <alignment horizontal="center" vertical="center" wrapText="1"/>
    </xf>
    <xf numFmtId="0" fontId="421" fillId="0" borderId="0" xfId="0" applyFont="1">
      <alignment vertical="center"/>
    </xf>
    <xf numFmtId="3" fontId="5" fillId="4" borderId="26" xfId="0" applyNumberFormat="1" applyFont="1" applyFill="1" applyBorder="1">
      <alignment vertical="center"/>
    </xf>
    <xf numFmtId="0" fontId="421" fillId="0" borderId="26" xfId="0" applyFont="1" applyBorder="1">
      <alignment vertical="center"/>
    </xf>
    <xf numFmtId="0" fontId="293" fillId="0" borderId="0" xfId="0" applyFont="1">
      <alignment vertical="center"/>
    </xf>
    <xf numFmtId="0" fontId="37" fillId="0" borderId="43" xfId="0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right" vertical="center" wrapText="1"/>
    </xf>
    <xf numFmtId="215" fontId="13" fillId="19" borderId="1" xfId="0" applyNumberFormat="1" applyFont="1" applyFill="1" applyBorder="1" applyAlignment="1">
      <alignment horizontal="right" vertical="center"/>
    </xf>
    <xf numFmtId="215" fontId="41" fillId="19" borderId="1" xfId="0" applyNumberFormat="1" applyFont="1" applyFill="1" applyBorder="1" applyAlignment="1">
      <alignment horizontal="center" vertical="center"/>
    </xf>
    <xf numFmtId="195" fontId="121" fillId="0" borderId="0" xfId="0" applyNumberFormat="1" applyFont="1">
      <alignment vertical="center"/>
    </xf>
    <xf numFmtId="0" fontId="13" fillId="0" borderId="1" xfId="0" applyFont="1" applyBorder="1" applyAlignment="1"/>
    <xf numFmtId="232" fontId="13" fillId="0" borderId="0" xfId="0" applyNumberFormat="1" applyFont="1" applyAlignment="1">
      <alignment horizontal="center" vertical="center"/>
    </xf>
    <xf numFmtId="178" fontId="13" fillId="0" borderId="1" xfId="0" applyNumberFormat="1" applyFont="1" applyBorder="1" applyAlignment="1">
      <alignment horizontal="center"/>
    </xf>
    <xf numFmtId="0" fontId="124" fillId="0" borderId="1" xfId="0" applyFont="1" applyBorder="1" applyAlignment="1">
      <alignment horizontal="center" vertical="center"/>
    </xf>
    <xf numFmtId="176" fontId="124" fillId="0" borderId="1" xfId="0" applyNumberFormat="1" applyFont="1" applyBorder="1" applyAlignment="1">
      <alignment horizontal="center" vertical="center"/>
    </xf>
    <xf numFmtId="189" fontId="124" fillId="0" borderId="1" xfId="0" applyNumberFormat="1" applyFont="1" applyBorder="1" applyAlignment="1"/>
    <xf numFmtId="185" fontId="124" fillId="0" borderId="1" xfId="0" applyNumberFormat="1" applyFont="1" applyBorder="1" applyAlignment="1">
      <alignment horizontal="right" vertical="center"/>
    </xf>
    <xf numFmtId="0" fontId="243" fillId="0" borderId="1" xfId="0" applyFont="1" applyBorder="1" applyAlignment="1">
      <alignment horizontal="right" vertical="center"/>
    </xf>
    <xf numFmtId="0" fontId="271" fillId="0" borderId="1" xfId="0" applyFont="1" applyBorder="1" applyAlignment="1">
      <alignment horizontal="right" vertical="center"/>
    </xf>
    <xf numFmtId="0" fontId="180" fillId="0" borderId="0" xfId="0" applyFont="1" applyAlignment="1">
      <alignment horizontal="center" vertical="center" wrapText="1"/>
    </xf>
    <xf numFmtId="195" fontId="180" fillId="0" borderId="0" xfId="0" applyNumberFormat="1" applyFont="1" applyAlignment="1">
      <alignment horizontal="right" vertical="center" wrapText="1"/>
    </xf>
    <xf numFmtId="209" fontId="41" fillId="0" borderId="0" xfId="0" applyNumberFormat="1" applyFont="1" applyAlignment="1">
      <alignment horizontal="right" vertical="center" wrapText="1"/>
    </xf>
    <xf numFmtId="179" fontId="423" fillId="0" borderId="1" xfId="0" applyNumberFormat="1" applyFont="1" applyBorder="1" applyAlignment="1">
      <alignment horizontal="center" vertical="center" wrapText="1"/>
    </xf>
    <xf numFmtId="176" fontId="276" fillId="0" borderId="154" xfId="0" applyNumberFormat="1" applyFont="1" applyBorder="1" applyAlignment="1">
      <alignment horizontal="center" vertical="center"/>
    </xf>
    <xf numFmtId="191" fontId="122" fillId="0" borderId="1" xfId="0" applyNumberFormat="1" applyFont="1" applyBorder="1" applyAlignment="1">
      <alignment horizontal="center" vertical="center"/>
    </xf>
    <xf numFmtId="49" fontId="5" fillId="0" borderId="1" xfId="0" quotePrefix="1" applyNumberFormat="1" applyFont="1" applyBorder="1" applyAlignment="1">
      <alignment horizontal="left" vertical="center"/>
    </xf>
    <xf numFmtId="49" fontId="5" fillId="10" borderId="1" xfId="0" quotePrefix="1" applyNumberFormat="1" applyFont="1" applyFill="1" applyBorder="1" applyAlignment="1">
      <alignment horizontal="left" vertical="center"/>
    </xf>
    <xf numFmtId="193" fontId="276" fillId="0" borderId="154" xfId="0" applyNumberFormat="1" applyFont="1" applyBorder="1" applyAlignment="1">
      <alignment horizontal="center" vertical="center"/>
    </xf>
    <xf numFmtId="194" fontId="276" fillId="0" borderId="154" xfId="0" applyNumberFormat="1" applyFont="1" applyBorder="1" applyAlignment="1">
      <alignment horizontal="center" vertical="center"/>
    </xf>
    <xf numFmtId="211" fontId="276" fillId="0" borderId="154" xfId="0" applyNumberFormat="1" applyFont="1" applyBorder="1" applyAlignment="1">
      <alignment horizontal="center" vertical="center"/>
    </xf>
    <xf numFmtId="188" fontId="276" fillId="0" borderId="154" xfId="0" applyNumberFormat="1" applyFont="1" applyBorder="1" applyAlignment="1">
      <alignment horizontal="center" vertical="center"/>
    </xf>
    <xf numFmtId="185" fontId="276" fillId="0" borderId="154" xfId="0" applyNumberFormat="1" applyFont="1" applyBorder="1" applyAlignment="1">
      <alignment horizontal="center" vertical="center"/>
    </xf>
    <xf numFmtId="17" fontId="231" fillId="0" borderId="159" xfId="0" quotePrefix="1" applyNumberFormat="1" applyFont="1" applyBorder="1" applyAlignment="1">
      <alignment horizontal="center" vertical="center"/>
    </xf>
    <xf numFmtId="0" fontId="276" fillId="0" borderId="159" xfId="0" quotePrefix="1" applyFont="1" applyBorder="1" applyAlignment="1">
      <alignment horizontal="center" vertical="center"/>
    </xf>
    <xf numFmtId="179" fontId="419" fillId="0" borderId="1" xfId="0" applyNumberFormat="1" applyFont="1" applyBorder="1" applyAlignment="1">
      <alignment horizontal="center" vertical="center" wrapText="1"/>
    </xf>
    <xf numFmtId="213" fontId="376" fillId="0" borderId="1" xfId="7" applyFont="1" applyFill="1" applyBorder="1" applyAlignment="1">
      <alignment horizontal="center" vertical="center" wrapText="1"/>
    </xf>
    <xf numFmtId="191" fontId="296" fillId="0" borderId="1" xfId="0" applyNumberFormat="1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25" fillId="0" borderId="0" xfId="0" applyFont="1" applyAlignment="1">
      <alignment horizontal="center" vertical="center"/>
    </xf>
    <xf numFmtId="298" fontId="243" fillId="0" borderId="1" xfId="0" applyNumberFormat="1" applyFont="1" applyBorder="1" applyAlignment="1">
      <alignment horizontal="center" vertical="center"/>
    </xf>
    <xf numFmtId="179" fontId="426" fillId="0" borderId="1" xfId="0" applyNumberFormat="1" applyFont="1" applyBorder="1" applyAlignment="1">
      <alignment horizontal="center" vertical="center" wrapText="1"/>
    </xf>
    <xf numFmtId="179" fontId="364" fillId="0" borderId="1" xfId="0" applyNumberFormat="1" applyFont="1" applyBorder="1" applyAlignment="1">
      <alignment horizontal="center" vertical="center" wrapText="1"/>
    </xf>
    <xf numFmtId="256" fontId="119" fillId="0" borderId="33" xfId="0" applyNumberFormat="1" applyFont="1" applyBorder="1" applyAlignment="1">
      <alignment vertical="center" shrinkToFit="1"/>
    </xf>
    <xf numFmtId="191" fontId="4" fillId="0" borderId="0" xfId="0" applyNumberFormat="1" applyFont="1" applyAlignment="1">
      <alignment horizontal="right" vertical="center"/>
    </xf>
    <xf numFmtId="298" fontId="243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right" vertical="center"/>
    </xf>
    <xf numFmtId="0" fontId="121" fillId="4" borderId="0" xfId="0" applyFont="1" applyFill="1" applyAlignment="1">
      <alignment horizontal="right" vertical="center"/>
    </xf>
    <xf numFmtId="0" fontId="121" fillId="0" borderId="0" xfId="0" applyFont="1">
      <alignment vertical="center"/>
    </xf>
    <xf numFmtId="0" fontId="427" fillId="0" borderId="0" xfId="0" applyFont="1" applyAlignment="1"/>
    <xf numFmtId="0" fontId="427" fillId="0" borderId="1" xfId="23" applyFont="1" applyFill="1" applyBorder="1">
      <alignment vertical="center"/>
    </xf>
    <xf numFmtId="0" fontId="427" fillId="0" borderId="13" xfId="0" applyFont="1" applyBorder="1">
      <alignment vertical="center"/>
    </xf>
    <xf numFmtId="301" fontId="427" fillId="0" borderId="1" xfId="0" applyNumberFormat="1" applyFont="1" applyBorder="1" applyAlignment="1"/>
    <xf numFmtId="0" fontId="427" fillId="0" borderId="1" xfId="0" applyFont="1" applyBorder="1">
      <alignment vertical="center"/>
    </xf>
    <xf numFmtId="0" fontId="427" fillId="0" borderId="1" xfId="0" applyFont="1" applyBorder="1" applyAlignment="1">
      <alignment horizontal="center" vertical="center"/>
    </xf>
    <xf numFmtId="286" fontId="427" fillId="0" borderId="1" xfId="0" applyNumberFormat="1" applyFont="1" applyBorder="1">
      <alignment vertical="center"/>
    </xf>
    <xf numFmtId="301" fontId="79" fillId="0" borderId="1" xfId="0" applyNumberFormat="1" applyFont="1" applyBorder="1" applyAlignment="1">
      <alignment horizontal="left" vertical="top"/>
    </xf>
    <xf numFmtId="0" fontId="79" fillId="0" borderId="1" xfId="0" applyFont="1" applyBorder="1" applyAlignment="1">
      <alignment horizontal="right"/>
    </xf>
    <xf numFmtId="0" fontId="79" fillId="0" borderId="1" xfId="2" applyNumberFormat="1" applyFont="1" applyFill="1" applyBorder="1" applyAlignment="1">
      <alignment horizontal="right" vertical="center" wrapText="1"/>
    </xf>
    <xf numFmtId="301" fontId="79" fillId="0" borderId="1" xfId="2" applyNumberFormat="1" applyFont="1" applyFill="1" applyBorder="1" applyAlignment="1">
      <alignment horizontal="center" vertical="center"/>
    </xf>
    <xf numFmtId="49" fontId="243" fillId="0" borderId="1" xfId="0" applyNumberFormat="1" applyFont="1" applyBorder="1" applyAlignment="1">
      <alignment horizontal="center" vertical="center" wrapText="1"/>
    </xf>
    <xf numFmtId="49" fontId="421" fillId="0" borderId="1" xfId="0" applyNumberFormat="1" applyFont="1" applyBorder="1" applyAlignment="1">
      <alignment horizontal="left" vertical="center"/>
    </xf>
    <xf numFmtId="38" fontId="5" fillId="0" borderId="0" xfId="2" applyFont="1" applyBorder="1">
      <alignment vertical="center"/>
    </xf>
    <xf numFmtId="188" fontId="5" fillId="0" borderId="1" xfId="0" applyNumberFormat="1" applyFont="1" applyBorder="1">
      <alignment vertical="center"/>
    </xf>
    <xf numFmtId="0" fontId="362" fillId="0" borderId="0" xfId="0" applyFont="1">
      <alignment vertical="center"/>
    </xf>
    <xf numFmtId="0" fontId="49" fillId="0" borderId="76" xfId="0" applyFont="1" applyBorder="1" applyAlignment="1">
      <alignment horizontal="center" vertical="center"/>
    </xf>
    <xf numFmtId="0" fontId="41" fillId="0" borderId="76" xfId="0" applyFont="1" applyBorder="1" applyAlignment="1">
      <alignment horizontal="right" vertical="center"/>
    </xf>
    <xf numFmtId="0" fontId="317" fillId="0" borderId="0" xfId="0" applyFont="1">
      <alignment vertical="center"/>
    </xf>
    <xf numFmtId="0" fontId="79" fillId="0" borderId="1" xfId="0" applyFont="1" applyBorder="1" applyAlignment="1"/>
    <xf numFmtId="0" fontId="79" fillId="0" borderId="1" xfId="2" applyNumberFormat="1" applyFont="1" applyFill="1" applyBorder="1" applyAlignment="1">
      <alignment horizontal="center" vertical="center" wrapText="1"/>
    </xf>
    <xf numFmtId="0" fontId="41" fillId="0" borderId="1" xfId="23" applyFont="1" applyFill="1" applyBorder="1">
      <alignment vertical="center"/>
    </xf>
    <xf numFmtId="301" fontId="41" fillId="0" borderId="1" xfId="0" applyNumberFormat="1" applyFont="1" applyBorder="1" applyAlignment="1"/>
    <xf numFmtId="286" fontId="41" fillId="0" borderId="1" xfId="0" applyNumberFormat="1" applyFont="1" applyBorder="1">
      <alignment vertical="center"/>
    </xf>
    <xf numFmtId="0" fontId="41" fillId="0" borderId="1" xfId="0" applyFont="1" applyBorder="1" applyProtection="1">
      <alignment vertical="center"/>
      <protection locked="0"/>
    </xf>
    <xf numFmtId="0" fontId="41" fillId="0" borderId="1" xfId="0" applyFont="1" applyBorder="1" applyProtection="1">
      <alignment vertical="center"/>
      <protection hidden="1"/>
    </xf>
    <xf numFmtId="0" fontId="41" fillId="0" borderId="1" xfId="0" applyFont="1" applyBorder="1" applyAlignment="1" applyProtection="1">
      <alignment horizontal="center" vertical="center"/>
      <protection hidden="1"/>
    </xf>
    <xf numFmtId="286" fontId="41" fillId="0" borderId="1" xfId="0" applyNumberFormat="1" applyFont="1" applyBorder="1" applyProtection="1">
      <alignment vertical="center"/>
      <protection hidden="1"/>
    </xf>
    <xf numFmtId="0" fontId="41" fillId="0" borderId="1" xfId="0" applyFont="1" applyBorder="1" applyAlignment="1" applyProtection="1">
      <alignment vertical="center" shrinkToFit="1"/>
      <protection hidden="1"/>
    </xf>
    <xf numFmtId="0" fontId="41" fillId="0" borderId="1" xfId="10" applyFont="1" applyFill="1" applyBorder="1">
      <alignment vertical="center"/>
    </xf>
    <xf numFmtId="191" fontId="115" fillId="0" borderId="153" xfId="0" applyNumberFormat="1" applyFont="1" applyBorder="1" applyAlignment="1" applyProtection="1">
      <alignment horizontal="center" vertical="center"/>
      <protection locked="0"/>
    </xf>
    <xf numFmtId="0" fontId="430" fillId="4" borderId="138" xfId="0" applyFont="1" applyFill="1" applyBorder="1" applyProtection="1">
      <alignment vertical="center"/>
      <protection locked="0"/>
    </xf>
    <xf numFmtId="0" fontId="115" fillId="4" borderId="138" xfId="0" applyFont="1" applyFill="1" applyBorder="1" applyProtection="1">
      <alignment vertical="center"/>
      <protection locked="0"/>
    </xf>
    <xf numFmtId="0" fontId="431" fillId="4" borderId="138" xfId="0" applyFont="1" applyFill="1" applyBorder="1" applyProtection="1">
      <alignment vertical="center"/>
      <protection locked="0"/>
    </xf>
    <xf numFmtId="0" fontId="432" fillId="4" borderId="138" xfId="0" applyFont="1" applyFill="1" applyBorder="1" applyProtection="1">
      <alignment vertical="center"/>
      <protection locked="0"/>
    </xf>
    <xf numFmtId="178" fontId="353" fillId="0" borderId="1" xfId="0" applyNumberFormat="1" applyFont="1" applyBorder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434" fillId="0" borderId="1" xfId="0" applyFont="1" applyBorder="1" applyAlignment="1">
      <alignment horizontal="center" vertical="center"/>
    </xf>
    <xf numFmtId="49" fontId="243" fillId="0" borderId="1" xfId="0" applyNumberFormat="1" applyFont="1" applyBorder="1" applyAlignment="1">
      <alignment horizontal="center" vertical="center" shrinkToFit="1"/>
    </xf>
    <xf numFmtId="215" fontId="41" fillId="0" borderId="1" xfId="0" applyNumberFormat="1" applyFont="1" applyBorder="1" applyAlignment="1">
      <alignment horizontal="center" vertical="center" shrinkToFit="1"/>
    </xf>
    <xf numFmtId="179" fontId="41" fillId="10" borderId="1" xfId="0" applyNumberFormat="1" applyFont="1" applyFill="1" applyBorder="1" applyAlignment="1">
      <alignment horizontal="center" vertical="center" wrapText="1"/>
    </xf>
    <xf numFmtId="180" fontId="188" fillId="0" borderId="1" xfId="0" applyNumberFormat="1" applyFont="1" applyBorder="1" applyAlignment="1">
      <alignment horizontal="right" vertical="center"/>
    </xf>
    <xf numFmtId="0" fontId="41" fillId="10" borderId="1" xfId="0" applyFont="1" applyFill="1" applyBorder="1" applyAlignment="1">
      <alignment horizontal="center" vertical="center"/>
    </xf>
    <xf numFmtId="176" fontId="41" fillId="10" borderId="1" xfId="0" applyNumberFormat="1" applyFont="1" applyFill="1" applyBorder="1" applyAlignment="1">
      <alignment horizontal="center" vertical="center"/>
    </xf>
    <xf numFmtId="185" fontId="41" fillId="10" borderId="1" xfId="0" applyNumberFormat="1" applyFont="1" applyFill="1" applyBorder="1" applyAlignment="1">
      <alignment horizontal="right" vertical="center"/>
    </xf>
    <xf numFmtId="194" fontId="41" fillId="10" borderId="1" xfId="0" applyNumberFormat="1" applyFont="1" applyFill="1" applyBorder="1">
      <alignment vertical="center"/>
    </xf>
    <xf numFmtId="193" fontId="41" fillId="10" borderId="1" xfId="0" applyNumberFormat="1" applyFont="1" applyFill="1" applyBorder="1">
      <alignment vertical="center"/>
    </xf>
    <xf numFmtId="191" fontId="41" fillId="10" borderId="1" xfId="0" applyNumberFormat="1" applyFont="1" applyFill="1" applyBorder="1">
      <alignment vertical="center"/>
    </xf>
    <xf numFmtId="49" fontId="243" fillId="0" borderId="1" xfId="0" applyNumberFormat="1" applyFont="1" applyBorder="1" applyAlignment="1">
      <alignment horizontal="center" vertical="center"/>
    </xf>
    <xf numFmtId="49" fontId="41" fillId="10" borderId="1" xfId="0" applyNumberFormat="1" applyFont="1" applyFill="1" applyBorder="1" applyAlignment="1">
      <alignment horizontal="center" vertical="center"/>
    </xf>
    <xf numFmtId="0" fontId="301" fillId="0" borderId="14" xfId="0" applyFont="1" applyBorder="1" applyAlignment="1">
      <alignment horizontal="center" vertical="center" wrapText="1"/>
    </xf>
    <xf numFmtId="0" fontId="4" fillId="0" borderId="9" xfId="0" applyFont="1" applyBorder="1">
      <alignment vertical="center"/>
    </xf>
    <xf numFmtId="0" fontId="184" fillId="0" borderId="10" xfId="0" applyFont="1" applyBorder="1" applyAlignment="1">
      <alignment horizontal="right" vertical="center"/>
    </xf>
    <xf numFmtId="0" fontId="435" fillId="0" borderId="0" xfId="0" applyFont="1">
      <alignment vertical="center"/>
    </xf>
    <xf numFmtId="179" fontId="154" fillId="2" borderId="1" xfId="0" applyNumberFormat="1" applyFont="1" applyFill="1" applyBorder="1" applyAlignment="1">
      <alignment horizontal="center" vertical="center" wrapText="1"/>
    </xf>
    <xf numFmtId="0" fontId="418" fillId="2" borderId="26" xfId="0" applyFont="1" applyFill="1" applyBorder="1">
      <alignment vertical="center"/>
    </xf>
    <xf numFmtId="0" fontId="4" fillId="2" borderId="28" xfId="0" applyFont="1" applyFill="1" applyBorder="1" applyAlignment="1">
      <alignment horizontal="right" vertical="center"/>
    </xf>
    <xf numFmtId="0" fontId="5" fillId="2" borderId="26" xfId="0" applyFont="1" applyFill="1" applyBorder="1" applyAlignment="1">
      <alignment horizontal="right" vertical="center"/>
    </xf>
    <xf numFmtId="191" fontId="121" fillId="2" borderId="28" xfId="0" applyNumberFormat="1" applyFont="1" applyFill="1" applyBorder="1">
      <alignment vertical="center"/>
    </xf>
    <xf numFmtId="179" fontId="143" fillId="5" borderId="1" xfId="0" applyNumberFormat="1" applyFont="1" applyFill="1" applyBorder="1" applyAlignment="1">
      <alignment horizontal="center" vertical="center" wrapText="1"/>
    </xf>
    <xf numFmtId="179" fontId="436" fillId="0" borderId="1" xfId="0" applyNumberFormat="1" applyFont="1" applyBorder="1" applyAlignment="1">
      <alignment horizontal="center" vertical="center" wrapText="1"/>
    </xf>
    <xf numFmtId="187" fontId="5" fillId="2" borderId="1" xfId="0" applyNumberFormat="1" applyFont="1" applyFill="1" applyBorder="1">
      <alignment vertical="center"/>
    </xf>
    <xf numFmtId="0" fontId="5" fillId="2" borderId="1" xfId="0" applyFont="1" applyFill="1" applyBorder="1" applyAlignment="1">
      <alignment horizontal="center"/>
    </xf>
    <xf numFmtId="179" fontId="353" fillId="2" borderId="1" xfId="0" applyNumberFormat="1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/>
    </xf>
    <xf numFmtId="0" fontId="5" fillId="2" borderId="28" xfId="0" applyFont="1" applyFill="1" applyBorder="1">
      <alignment vertical="center"/>
    </xf>
    <xf numFmtId="0" fontId="383" fillId="2" borderId="1" xfId="0" applyFont="1" applyFill="1" applyBorder="1" applyAlignment="1">
      <alignment horizontal="center" vertical="center"/>
    </xf>
    <xf numFmtId="176" fontId="366" fillId="2" borderId="1" xfId="0" applyNumberFormat="1" applyFont="1" applyFill="1" applyBorder="1" applyAlignment="1">
      <alignment horizontal="center" vertical="center"/>
    </xf>
    <xf numFmtId="195" fontId="121" fillId="2" borderId="0" xfId="0" applyNumberFormat="1" applyFont="1" applyFill="1">
      <alignment vertical="center"/>
    </xf>
    <xf numFmtId="0" fontId="121" fillId="2" borderId="26" xfId="0" applyFont="1" applyFill="1" applyBorder="1">
      <alignment vertical="center"/>
    </xf>
    <xf numFmtId="0" fontId="121" fillId="2" borderId="0" xfId="0" applyFont="1" applyFill="1" applyAlignment="1">
      <alignment horizontal="right" vertical="center"/>
    </xf>
    <xf numFmtId="0" fontId="130" fillId="2" borderId="26" xfId="0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right" vertical="center"/>
    </xf>
    <xf numFmtId="3" fontId="13" fillId="0" borderId="0" xfId="22" applyNumberFormat="1" applyFont="1" applyAlignment="1"/>
    <xf numFmtId="184" fontId="276" fillId="0" borderId="154" xfId="0" applyNumberFormat="1" applyFont="1" applyBorder="1" applyAlignment="1">
      <alignment horizontal="center" vertical="center"/>
    </xf>
    <xf numFmtId="189" fontId="276" fillId="0" borderId="154" xfId="0" applyNumberFormat="1" applyFont="1" applyBorder="1" applyAlignment="1">
      <alignment horizontal="center" vertical="center"/>
    </xf>
    <xf numFmtId="176" fontId="115" fillId="0" borderId="153" xfId="0" applyNumberFormat="1" applyFont="1" applyBorder="1" applyAlignment="1" applyProtection="1">
      <alignment horizontal="center" vertical="center"/>
      <protection locked="0"/>
    </xf>
    <xf numFmtId="176" fontId="276" fillId="0" borderId="159" xfId="0" applyNumberFormat="1" applyFont="1" applyBorder="1" applyAlignment="1">
      <alignment horizontal="center" vertical="center"/>
    </xf>
    <xf numFmtId="184" fontId="276" fillId="0" borderId="159" xfId="0" applyNumberFormat="1" applyFont="1" applyBorder="1" applyAlignment="1">
      <alignment horizontal="center" vertical="center"/>
    </xf>
    <xf numFmtId="235" fontId="41" fillId="0" borderId="195" xfId="5" applyNumberFormat="1" applyFont="1" applyBorder="1" applyAlignment="1">
      <alignment horizontal="right" vertical="center" wrapText="1"/>
    </xf>
    <xf numFmtId="192" fontId="132" fillId="0" borderId="1" xfId="0" applyNumberFormat="1" applyFont="1" applyBorder="1" applyAlignment="1">
      <alignment horizontal="center" vertical="center"/>
    </xf>
    <xf numFmtId="0" fontId="127" fillId="10" borderId="0" xfId="0" applyFont="1" applyFill="1" applyAlignment="1">
      <alignment horizontal="center" vertical="center"/>
    </xf>
    <xf numFmtId="49" fontId="120" fillId="10" borderId="1" xfId="0" applyNumberFormat="1" applyFont="1" applyFill="1" applyBorder="1" applyAlignment="1">
      <alignment horizontal="left" vertical="center"/>
    </xf>
    <xf numFmtId="0" fontId="120" fillId="10" borderId="1" xfId="0" applyFont="1" applyFill="1" applyBorder="1">
      <alignment vertical="center"/>
    </xf>
    <xf numFmtId="0" fontId="120" fillId="10" borderId="1" xfId="0" applyFont="1" applyFill="1" applyBorder="1" applyAlignment="1">
      <alignment horizontal="center" vertical="center"/>
    </xf>
    <xf numFmtId="176" fontId="120" fillId="10" borderId="1" xfId="0" applyNumberFormat="1" applyFont="1" applyFill="1" applyBorder="1" applyAlignment="1">
      <alignment horizontal="center" vertical="center"/>
    </xf>
    <xf numFmtId="185" fontId="120" fillId="10" borderId="1" xfId="0" applyNumberFormat="1" applyFont="1" applyFill="1" applyBorder="1" applyAlignment="1">
      <alignment horizontal="right" vertical="center"/>
    </xf>
    <xf numFmtId="194" fontId="120" fillId="10" borderId="1" xfId="0" applyNumberFormat="1" applyFont="1" applyFill="1" applyBorder="1">
      <alignment vertical="center"/>
    </xf>
    <xf numFmtId="193" fontId="120" fillId="10" borderId="1" xfId="0" applyNumberFormat="1" applyFont="1" applyFill="1" applyBorder="1">
      <alignment vertical="center"/>
    </xf>
    <xf numFmtId="191" fontId="120" fillId="10" borderId="1" xfId="0" applyNumberFormat="1" applyFont="1" applyFill="1" applyBorder="1">
      <alignment vertical="center"/>
    </xf>
    <xf numFmtId="179" fontId="393" fillId="10" borderId="1" xfId="0" applyNumberFormat="1" applyFont="1" applyFill="1" applyBorder="1" applyAlignment="1">
      <alignment horizontal="center" vertical="center" wrapText="1"/>
    </xf>
    <xf numFmtId="192" fontId="440" fillId="10" borderId="1" xfId="0" applyNumberFormat="1" applyFont="1" applyFill="1" applyBorder="1" applyAlignment="1">
      <alignment horizontal="center" vertical="center"/>
    </xf>
    <xf numFmtId="191" fontId="120" fillId="10" borderId="12" xfId="0" applyNumberFormat="1" applyFont="1" applyFill="1" applyBorder="1">
      <alignment vertical="center"/>
    </xf>
    <xf numFmtId="0" fontId="127" fillId="10" borderId="0" xfId="0" applyFont="1" applyFill="1">
      <alignment vertical="center"/>
    </xf>
    <xf numFmtId="3" fontId="120" fillId="10" borderId="26" xfId="0" applyNumberFormat="1" applyFont="1" applyFill="1" applyBorder="1" applyAlignment="1">
      <alignment horizontal="right" vertical="center"/>
    </xf>
    <xf numFmtId="191" fontId="120" fillId="10" borderId="28" xfId="0" applyNumberFormat="1" applyFont="1" applyFill="1" applyBorder="1">
      <alignment vertical="center"/>
    </xf>
    <xf numFmtId="3" fontId="441" fillId="0" borderId="0" xfId="0" applyNumberFormat="1" applyFont="1" applyAlignment="1">
      <alignment horizontal="right" vertical="center"/>
    </xf>
    <xf numFmtId="0" fontId="130" fillId="10" borderId="1" xfId="0" applyFont="1" applyFill="1" applyBorder="1" applyAlignment="1">
      <alignment horizontal="right" vertical="center"/>
    </xf>
    <xf numFmtId="215" fontId="117" fillId="0" borderId="117" xfId="0" applyNumberFormat="1" applyFont="1" applyBorder="1" applyAlignment="1" applyProtection="1">
      <alignment horizontal="center" vertical="center"/>
      <protection locked="0"/>
    </xf>
    <xf numFmtId="215" fontId="117" fillId="0" borderId="161" xfId="0" applyNumberFormat="1" applyFont="1" applyBorder="1" applyAlignment="1" applyProtection="1">
      <alignment horizontal="center" vertical="center"/>
      <protection locked="0"/>
    </xf>
    <xf numFmtId="215" fontId="115" fillId="0" borderId="16" xfId="0" applyNumberFormat="1" applyFont="1" applyBorder="1" applyAlignment="1" applyProtection="1">
      <alignment horizontal="center" vertical="center"/>
      <protection locked="0"/>
    </xf>
    <xf numFmtId="0" fontId="117" fillId="0" borderId="72" xfId="0" applyFont="1" applyBorder="1" applyAlignment="1" applyProtection="1">
      <alignment horizontal="center" vertical="center"/>
      <protection locked="0"/>
    </xf>
    <xf numFmtId="0" fontId="117" fillId="0" borderId="73" xfId="0" applyFont="1" applyBorder="1" applyAlignment="1" applyProtection="1">
      <alignment horizontal="center" vertical="center"/>
      <protection locked="0"/>
    </xf>
    <xf numFmtId="0" fontId="242" fillId="18" borderId="141" xfId="0" applyFont="1" applyFill="1" applyBorder="1" applyAlignment="1" applyProtection="1">
      <alignment horizontal="center" vertical="center"/>
      <protection locked="0"/>
    </xf>
    <xf numFmtId="0" fontId="217" fillId="18" borderId="138" xfId="0" applyFont="1" applyFill="1" applyBorder="1" applyAlignment="1" applyProtection="1">
      <alignment horizontal="center" vertical="center"/>
      <protection locked="0"/>
    </xf>
    <xf numFmtId="0" fontId="117" fillId="0" borderId="153" xfId="0" applyFont="1" applyBorder="1" applyAlignment="1" applyProtection="1">
      <alignment horizontal="center" vertical="center"/>
      <protection locked="0"/>
    </xf>
    <xf numFmtId="0" fontId="117" fillId="0" borderId="152" xfId="0" applyFont="1" applyBorder="1" applyAlignment="1" applyProtection="1">
      <alignment horizontal="center" vertical="center"/>
      <protection locked="0"/>
    </xf>
    <xf numFmtId="0" fontId="117" fillId="0" borderId="156" xfId="0" applyFont="1" applyBorder="1" applyAlignment="1" applyProtection="1">
      <alignment horizontal="center" vertical="center"/>
      <protection locked="0"/>
    </xf>
    <xf numFmtId="0" fontId="117" fillId="0" borderId="157" xfId="0" applyFont="1" applyBorder="1" applyAlignment="1" applyProtection="1">
      <alignment horizontal="center" vertical="center"/>
      <protection locked="0"/>
    </xf>
    <xf numFmtId="0" fontId="117" fillId="0" borderId="70" xfId="0" applyFont="1" applyBorder="1" applyAlignment="1" applyProtection="1">
      <alignment horizontal="center" vertical="center"/>
      <protection locked="0"/>
    </xf>
    <xf numFmtId="0" fontId="117" fillId="0" borderId="71" xfId="0" applyFont="1" applyBorder="1" applyAlignment="1" applyProtection="1">
      <alignment horizontal="center" vertical="center"/>
      <protection locked="0"/>
    </xf>
    <xf numFmtId="0" fontId="117" fillId="0" borderId="160" xfId="0" applyFont="1" applyBorder="1" applyAlignment="1" applyProtection="1">
      <alignment horizontal="center" vertical="center"/>
      <protection locked="0"/>
    </xf>
    <xf numFmtId="0" fontId="117" fillId="0" borderId="40" xfId="0" applyFont="1" applyBorder="1" applyAlignment="1" applyProtection="1">
      <alignment horizontal="center" vertical="center"/>
      <protection locked="0"/>
    </xf>
    <xf numFmtId="0" fontId="117" fillId="0" borderId="68" xfId="0" applyFont="1" applyBorder="1" applyAlignment="1" applyProtection="1">
      <alignment horizontal="center" vertical="center"/>
      <protection locked="0"/>
    </xf>
    <xf numFmtId="0" fontId="117" fillId="0" borderId="61" xfId="0" applyFont="1" applyBorder="1" applyAlignment="1" applyProtection="1">
      <alignment horizontal="center" vertical="center"/>
      <protection locked="0"/>
    </xf>
    <xf numFmtId="257" fontId="115" fillId="18" borderId="141" xfId="0" applyNumberFormat="1" applyFont="1" applyFill="1" applyBorder="1" applyAlignment="1" applyProtection="1">
      <alignment horizontal="left" vertical="center"/>
      <protection locked="0"/>
    </xf>
    <xf numFmtId="0" fontId="115" fillId="18" borderId="138" xfId="0" applyFont="1" applyFill="1" applyBorder="1" applyAlignment="1" applyProtection="1">
      <alignment horizontal="left" vertical="center"/>
      <protection locked="0"/>
    </xf>
    <xf numFmtId="0" fontId="115" fillId="18" borderId="139" xfId="0" applyFont="1" applyFill="1" applyBorder="1" applyAlignment="1" applyProtection="1">
      <alignment horizontal="left" vertical="center"/>
      <protection locked="0"/>
    </xf>
    <xf numFmtId="0" fontId="115" fillId="18" borderId="141" xfId="0" applyFont="1" applyFill="1" applyBorder="1" applyAlignment="1" applyProtection="1">
      <alignment horizontal="left" vertical="center"/>
      <protection locked="0"/>
    </xf>
    <xf numFmtId="0" fontId="115" fillId="18" borderId="145" xfId="0" applyFont="1" applyFill="1" applyBorder="1" applyAlignment="1" applyProtection="1">
      <alignment horizontal="left" vertical="center"/>
      <protection locked="0"/>
    </xf>
    <xf numFmtId="0" fontId="115" fillId="18" borderId="146" xfId="0" applyFont="1" applyFill="1" applyBorder="1" applyAlignment="1" applyProtection="1">
      <alignment horizontal="left" vertical="center"/>
      <protection locked="0"/>
    </xf>
    <xf numFmtId="0" fontId="231" fillId="0" borderId="187" xfId="0" applyFont="1" applyBorder="1" applyAlignment="1" applyProtection="1">
      <alignment horizontal="center" vertical="center"/>
      <protection locked="0"/>
    </xf>
    <xf numFmtId="0" fontId="231" fillId="0" borderId="188" xfId="0" applyFont="1" applyBorder="1" applyAlignment="1" applyProtection="1">
      <alignment horizontal="center" vertical="center"/>
      <protection locked="0"/>
    </xf>
    <xf numFmtId="0" fontId="231" fillId="27" borderId="41" xfId="0" applyFont="1" applyFill="1" applyBorder="1" applyAlignment="1">
      <alignment horizontal="center" vertical="center" wrapText="1"/>
    </xf>
    <xf numFmtId="0" fontId="231" fillId="27" borderId="42" xfId="0" applyFont="1" applyFill="1" applyBorder="1" applyAlignment="1">
      <alignment horizontal="center" vertical="center"/>
    </xf>
    <xf numFmtId="0" fontId="231" fillId="27" borderId="9" xfId="0" applyFont="1" applyFill="1" applyBorder="1" applyAlignment="1">
      <alignment horizontal="center" vertical="center"/>
    </xf>
    <xf numFmtId="0" fontId="102" fillId="0" borderId="0" xfId="0" applyFont="1" applyAlignment="1" applyProtection="1">
      <alignment horizontal="left" vertical="center" wrapText="1"/>
      <protection locked="0"/>
    </xf>
    <xf numFmtId="0" fontId="102" fillId="0" borderId="0" xfId="0" applyFont="1" applyAlignment="1" applyProtection="1">
      <alignment horizontal="left" vertical="center"/>
      <protection locked="0"/>
    </xf>
    <xf numFmtId="0" fontId="102" fillId="0" borderId="50" xfId="0" applyFont="1" applyBorder="1" applyAlignment="1" applyProtection="1">
      <alignment horizontal="left" vertical="center"/>
      <protection locked="0"/>
    </xf>
    <xf numFmtId="0" fontId="116" fillId="0" borderId="0" xfId="0" applyFont="1" applyAlignment="1" applyProtection="1">
      <alignment horizontal="left" vertical="top"/>
      <protection locked="0"/>
    </xf>
    <xf numFmtId="0" fontId="224" fillId="0" borderId="0" xfId="0" applyFont="1" applyAlignment="1" applyProtection="1">
      <alignment horizontal="left" vertical="center"/>
      <protection locked="0"/>
    </xf>
    <xf numFmtId="257" fontId="115" fillId="0" borderId="50" xfId="0" applyNumberFormat="1" applyFont="1" applyBorder="1" applyAlignment="1" applyProtection="1">
      <alignment horizontal="left" vertical="center"/>
      <protection locked="0"/>
    </xf>
    <xf numFmtId="0" fontId="115" fillId="18" borderId="151" xfId="0" applyFont="1" applyFill="1" applyBorder="1" applyAlignment="1" applyProtection="1">
      <alignment horizontal="left" vertical="center"/>
      <protection locked="0"/>
    </xf>
    <xf numFmtId="0" fontId="115" fillId="18" borderId="97" xfId="0" applyFont="1" applyFill="1" applyBorder="1" applyAlignment="1" applyProtection="1">
      <alignment horizontal="left" vertical="center"/>
      <protection locked="0"/>
    </xf>
    <xf numFmtId="0" fontId="115" fillId="0" borderId="145" xfId="0" applyFont="1" applyBorder="1" applyAlignment="1" applyProtection="1">
      <alignment horizontal="left" vertical="center"/>
      <protection locked="0"/>
    </xf>
    <xf numFmtId="0" fontId="115" fillId="0" borderId="147" xfId="0" applyFont="1" applyBorder="1" applyAlignment="1" applyProtection="1">
      <alignment horizontal="left" vertical="center"/>
      <protection locked="0"/>
    </xf>
    <xf numFmtId="0" fontId="115" fillId="0" borderId="146" xfId="0" applyFont="1" applyBorder="1" applyAlignment="1" applyProtection="1">
      <alignment horizontal="left" vertical="center"/>
      <protection locked="0"/>
    </xf>
    <xf numFmtId="215" fontId="115" fillId="0" borderId="117" xfId="0" applyNumberFormat="1" applyFont="1" applyBorder="1" applyAlignment="1" applyProtection="1">
      <alignment horizontal="center" vertical="center"/>
      <protection locked="0"/>
    </xf>
    <xf numFmtId="215" fontId="115" fillId="0" borderId="161" xfId="0" applyNumberFormat="1" applyFont="1" applyBorder="1" applyAlignment="1" applyProtection="1">
      <alignment horizontal="center" vertical="center"/>
      <protection locked="0"/>
    </xf>
    <xf numFmtId="0" fontId="217" fillId="0" borderId="141" xfId="0" applyFont="1" applyBorder="1" applyAlignment="1" applyProtection="1">
      <alignment horizontal="left" vertical="center"/>
      <protection locked="0"/>
    </xf>
    <xf numFmtId="0" fontId="217" fillId="0" borderId="138" xfId="0" applyFont="1" applyBorder="1" applyAlignment="1" applyProtection="1">
      <alignment horizontal="left" vertical="center"/>
      <protection locked="0"/>
    </xf>
    <xf numFmtId="0" fontId="117" fillId="0" borderId="43" xfId="0" applyFont="1" applyBorder="1" applyAlignment="1" applyProtection="1">
      <alignment horizontal="center" vertical="center"/>
      <protection locked="0"/>
    </xf>
    <xf numFmtId="0" fontId="117" fillId="0" borderId="3" xfId="0" applyFont="1" applyBorder="1" applyAlignment="1" applyProtection="1">
      <alignment horizontal="center" vertical="center"/>
      <protection locked="0"/>
    </xf>
    <xf numFmtId="0" fontId="117" fillId="0" borderId="76" xfId="0" applyFont="1" applyBorder="1" applyAlignment="1" applyProtection="1">
      <alignment horizontal="center" vertical="center"/>
      <protection locked="0"/>
    </xf>
    <xf numFmtId="0" fontId="117" fillId="0" borderId="21" xfId="0" applyFont="1" applyBorder="1" applyAlignment="1" applyProtection="1">
      <alignment horizontal="center" vertical="center"/>
      <protection locked="0"/>
    </xf>
    <xf numFmtId="0" fontId="231" fillId="0" borderId="179" xfId="0" applyFont="1" applyBorder="1" applyAlignment="1">
      <alignment horizontal="left" vertical="center" shrinkToFit="1"/>
    </xf>
    <xf numFmtId="0" fontId="231" fillId="0" borderId="180" xfId="0" applyFont="1" applyBorder="1" applyAlignment="1">
      <alignment horizontal="left" vertical="center" shrinkToFit="1"/>
    </xf>
    <xf numFmtId="0" fontId="231" fillId="0" borderId="181" xfId="0" applyFont="1" applyBorder="1" applyAlignment="1">
      <alignment horizontal="left" vertical="center" shrinkToFit="1"/>
    </xf>
    <xf numFmtId="0" fontId="231" fillId="0" borderId="0" xfId="0" applyFont="1" applyAlignment="1">
      <alignment horizontal="left" vertical="center" shrinkToFit="1"/>
    </xf>
    <xf numFmtId="0" fontId="230" fillId="0" borderId="0" xfId="0" applyFont="1" applyAlignment="1">
      <alignment horizontal="left" vertical="center"/>
    </xf>
    <xf numFmtId="0" fontId="235" fillId="0" borderId="0" xfId="0" applyFont="1" applyAlignment="1">
      <alignment horizontal="center" vertical="center"/>
    </xf>
    <xf numFmtId="0" fontId="169" fillId="0" borderId="173" xfId="0" applyFont="1" applyBorder="1" applyAlignment="1">
      <alignment horizontal="left" vertical="center" shrinkToFit="1"/>
    </xf>
    <xf numFmtId="0" fontId="169" fillId="0" borderId="174" xfId="0" applyFont="1" applyBorder="1" applyAlignment="1">
      <alignment horizontal="left" vertical="center" shrinkToFit="1"/>
    </xf>
    <xf numFmtId="0" fontId="169" fillId="0" borderId="175" xfId="0" applyFont="1" applyBorder="1" applyAlignment="1">
      <alignment horizontal="left" vertical="center" shrinkToFit="1"/>
    </xf>
    <xf numFmtId="0" fontId="169" fillId="0" borderId="142" xfId="0" applyFont="1" applyBorder="1" applyAlignment="1">
      <alignment horizontal="left" vertical="center" shrinkToFit="1"/>
    </xf>
    <xf numFmtId="0" fontId="169" fillId="0" borderId="135" xfId="0" applyFont="1" applyBorder="1" applyAlignment="1">
      <alignment horizontal="left" vertical="center" shrinkToFit="1"/>
    </xf>
    <xf numFmtId="0" fontId="169" fillId="0" borderId="177" xfId="0" applyFont="1" applyBorder="1" applyAlignment="1">
      <alignment horizontal="left" vertical="center" shrinkToFit="1"/>
    </xf>
    <xf numFmtId="0" fontId="231" fillId="0" borderId="142" xfId="0" applyFont="1" applyBorder="1" applyAlignment="1">
      <alignment horizontal="left" vertical="center" shrinkToFit="1"/>
    </xf>
    <xf numFmtId="0" fontId="231" fillId="0" borderId="135" xfId="0" applyFont="1" applyBorder="1" applyAlignment="1">
      <alignment horizontal="left" vertical="center" shrinkToFit="1"/>
    </xf>
    <xf numFmtId="0" fontId="231" fillId="0" borderId="177" xfId="0" applyFont="1" applyBorder="1" applyAlignment="1">
      <alignment horizontal="left" vertical="center" shrinkToFit="1"/>
    </xf>
    <xf numFmtId="215" fontId="115" fillId="0" borderId="0" xfId="0" applyNumberFormat="1" applyFont="1" applyAlignment="1" applyProtection="1">
      <alignment horizontal="center" vertical="center"/>
      <protection locked="0"/>
    </xf>
    <xf numFmtId="15" fontId="255" fillId="0" borderId="50" xfId="20" applyNumberFormat="1" applyFont="1" applyBorder="1" applyAlignment="1">
      <alignment horizontal="center"/>
    </xf>
    <xf numFmtId="0" fontId="259" fillId="0" borderId="76" xfId="20" applyFont="1" applyBorder="1" applyAlignment="1">
      <alignment horizontal="center" vertical="center" wrapText="1"/>
    </xf>
    <xf numFmtId="184" fontId="224" fillId="0" borderId="75" xfId="20" applyNumberFormat="1" applyFont="1" applyBorder="1" applyAlignment="1">
      <alignment horizontal="center"/>
    </xf>
    <xf numFmtId="184" fontId="224" fillId="0" borderId="88" xfId="20" applyNumberFormat="1" applyFont="1" applyBorder="1" applyAlignment="1">
      <alignment horizontal="center"/>
    </xf>
    <xf numFmtId="264" fontId="266" fillId="0" borderId="75" xfId="20" applyNumberFormat="1" applyFont="1" applyBorder="1" applyAlignment="1">
      <alignment horizontal="center" vertical="center"/>
    </xf>
    <xf numFmtId="264" fontId="266" fillId="0" borderId="76" xfId="20" applyNumberFormat="1" applyFont="1" applyBorder="1" applyAlignment="1">
      <alignment horizontal="center" vertical="center"/>
    </xf>
    <xf numFmtId="264" fontId="266" fillId="0" borderId="61" xfId="20" applyNumberFormat="1" applyFont="1" applyBorder="1" applyAlignment="1">
      <alignment horizontal="center" vertical="center"/>
    </xf>
    <xf numFmtId="265" fontId="267" fillId="0" borderId="75" xfId="20" applyNumberFormat="1" applyFont="1" applyBorder="1" applyAlignment="1">
      <alignment horizontal="center" vertical="center" wrapText="1"/>
    </xf>
    <xf numFmtId="265" fontId="267" fillId="0" borderId="88" xfId="20" applyNumberFormat="1" applyFont="1" applyBorder="1" applyAlignment="1">
      <alignment horizontal="center" vertical="center" wrapText="1"/>
    </xf>
    <xf numFmtId="265" fontId="267" fillId="0" borderId="61" xfId="20" applyNumberFormat="1" applyFont="1" applyBorder="1" applyAlignment="1">
      <alignment horizontal="center" vertical="center" wrapText="1"/>
    </xf>
    <xf numFmtId="265" fontId="267" fillId="0" borderId="71" xfId="20" applyNumberFormat="1" applyFont="1" applyBorder="1" applyAlignment="1">
      <alignment horizontal="center" vertical="center" wrapText="1"/>
    </xf>
    <xf numFmtId="0" fontId="251" fillId="0" borderId="0" xfId="20" applyFont="1" applyAlignment="1">
      <alignment horizontal="center" vertical="center"/>
    </xf>
    <xf numFmtId="0" fontId="256" fillId="0" borderId="0" xfId="20" applyFont="1" applyAlignment="1">
      <alignment horizontal="center"/>
    </xf>
    <xf numFmtId="181" fontId="252" fillId="0" borderId="0" xfId="20" applyNumberFormat="1" applyFont="1" applyAlignment="1">
      <alignment horizontal="center"/>
    </xf>
    <xf numFmtId="181" fontId="252" fillId="0" borderId="50" xfId="20" applyNumberFormat="1" applyFont="1" applyBorder="1" applyAlignment="1">
      <alignment horizontal="center"/>
    </xf>
    <xf numFmtId="192" fontId="257" fillId="0" borderId="0" xfId="20" applyNumberFormat="1" applyFont="1" applyAlignment="1">
      <alignment horizontal="center"/>
    </xf>
    <xf numFmtId="192" fontId="257" fillId="0" borderId="50" xfId="20" applyNumberFormat="1" applyFont="1" applyBorder="1" applyAlignment="1">
      <alignment horizontal="center"/>
    </xf>
    <xf numFmtId="268" fontId="255" fillId="0" borderId="50" xfId="20" applyNumberFormat="1" applyFont="1" applyBorder="1" applyAlignment="1">
      <alignment horizontal="center"/>
    </xf>
    <xf numFmtId="0" fontId="247" fillId="0" borderId="0" xfId="21" applyFont="1" applyAlignment="1">
      <alignment horizontal="center" vertical="center"/>
    </xf>
    <xf numFmtId="0" fontId="247" fillId="0" borderId="0" xfId="21" applyFont="1" applyAlignment="1">
      <alignment horizontal="right"/>
    </xf>
    <xf numFmtId="0" fontId="249" fillId="0" borderId="0" xfId="21" applyFont="1" applyAlignment="1">
      <alignment horizontal="center"/>
    </xf>
    <xf numFmtId="0" fontId="247" fillId="0" borderId="0" xfId="21" applyFont="1" applyAlignment="1">
      <alignment horizontal="center"/>
    </xf>
    <xf numFmtId="215" fontId="41" fillId="0" borderId="16" xfId="0" applyNumberFormat="1" applyFont="1" applyBorder="1" applyAlignment="1">
      <alignment horizontal="center" vertical="center" wrapText="1"/>
    </xf>
    <xf numFmtId="215" fontId="41" fillId="0" borderId="21" xfId="0" applyNumberFormat="1" applyFont="1" applyBorder="1" applyAlignment="1">
      <alignment horizontal="center" vertical="center"/>
    </xf>
    <xf numFmtId="0" fontId="79" fillId="0" borderId="1" xfId="13" applyFont="1" applyBorder="1" applyAlignment="1">
      <alignment horizontal="center" vertical="center" wrapText="1"/>
    </xf>
    <xf numFmtId="0" fontId="79" fillId="0" borderId="1" xfId="2" applyNumberFormat="1" applyFont="1" applyFill="1" applyBorder="1" applyAlignment="1">
      <alignment horizontal="center" vertical="center" wrapText="1"/>
    </xf>
    <xf numFmtId="38" fontId="79" fillId="0" borderId="1" xfId="2" applyFont="1" applyFill="1" applyBorder="1" applyAlignment="1">
      <alignment horizontal="center" wrapText="1"/>
    </xf>
    <xf numFmtId="0" fontId="271" fillId="0" borderId="1" xfId="13" applyFont="1" applyBorder="1" applyAlignment="1">
      <alignment horizontal="center" vertical="center"/>
    </xf>
    <xf numFmtId="0" fontId="79" fillId="0" borderId="1" xfId="13" applyFont="1" applyBorder="1" applyAlignment="1">
      <alignment horizontal="right" vertical="center" wrapText="1"/>
    </xf>
    <xf numFmtId="0" fontId="79" fillId="0" borderId="1" xfId="2" applyNumberFormat="1" applyFont="1" applyFill="1" applyBorder="1" applyAlignment="1">
      <alignment horizontal="right" vertical="center" wrapText="1"/>
    </xf>
    <xf numFmtId="38" fontId="79" fillId="0" borderId="1" xfId="2" applyFont="1" applyFill="1" applyBorder="1" applyAlignment="1">
      <alignment horizontal="right" wrapText="1"/>
    </xf>
    <xf numFmtId="0" fontId="271" fillId="0" borderId="1" xfId="13" applyFont="1" applyBorder="1" applyAlignment="1">
      <alignment horizontal="left" vertical="center"/>
    </xf>
    <xf numFmtId="0" fontId="214" fillId="15" borderId="16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 shrinkToFit="1"/>
    </xf>
    <xf numFmtId="221" fontId="39" fillId="0" borderId="75" xfId="0" applyNumberFormat="1" applyFont="1" applyBorder="1" applyAlignment="1">
      <alignment horizontal="center" shrinkToFit="1"/>
    </xf>
    <xf numFmtId="221" fontId="39" fillId="0" borderId="88" xfId="0" applyNumberFormat="1" applyFont="1" applyBorder="1" applyAlignment="1">
      <alignment horizontal="center" shrinkToFit="1"/>
    </xf>
    <xf numFmtId="221" fontId="19" fillId="0" borderId="16" xfId="0" applyNumberFormat="1" applyFont="1" applyBorder="1" applyAlignment="1">
      <alignment horizontal="center" vertical="center" shrinkToFit="1"/>
    </xf>
    <xf numFmtId="221" fontId="19" fillId="0" borderId="21" xfId="0" applyNumberFormat="1" applyFont="1" applyBorder="1" applyAlignment="1">
      <alignment horizontal="center" vertical="center" shrinkToFit="1"/>
    </xf>
    <xf numFmtId="221" fontId="19" fillId="0" borderId="1" xfId="0" applyNumberFormat="1" applyFont="1" applyBorder="1" applyAlignment="1">
      <alignment horizontal="center" vertical="center" shrinkToFit="1"/>
    </xf>
    <xf numFmtId="221" fontId="39" fillId="0" borderId="56" xfId="0" applyNumberFormat="1" applyFont="1" applyBorder="1" applyAlignment="1">
      <alignment horizontal="center" vertical="top" shrinkToFit="1"/>
    </xf>
    <xf numFmtId="221" fontId="39" fillId="0" borderId="57" xfId="0" applyNumberFormat="1" applyFont="1" applyBorder="1" applyAlignment="1">
      <alignment horizontal="center" vertical="top" shrinkToFit="1"/>
    </xf>
    <xf numFmtId="0" fontId="23" fillId="5" borderId="1" xfId="0" applyFont="1" applyFill="1" applyBorder="1" applyAlignment="1">
      <alignment horizontal="center" vertical="center" wrapText="1" shrinkToFit="1"/>
    </xf>
    <xf numFmtId="0" fontId="16" fillId="0" borderId="16" xfId="0" applyFont="1" applyBorder="1" applyAlignment="1">
      <alignment horizontal="center" vertical="center" wrapText="1" shrinkToFit="1"/>
    </xf>
    <xf numFmtId="0" fontId="16" fillId="0" borderId="21" xfId="0" applyFont="1" applyBorder="1" applyAlignment="1">
      <alignment horizontal="center" vertical="center" wrapText="1" shrinkToFit="1"/>
    </xf>
    <xf numFmtId="215" fontId="19" fillId="11" borderId="16" xfId="0" applyNumberFormat="1" applyFont="1" applyFill="1" applyBorder="1" applyAlignment="1">
      <alignment horizontal="center" vertical="center"/>
    </xf>
    <xf numFmtId="215" fontId="19" fillId="11" borderId="2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 shrinkToFit="1"/>
    </xf>
    <xf numFmtId="213" fontId="171" fillId="11" borderId="1" xfId="7" applyFont="1" applyFill="1" applyBorder="1" applyAlignment="1">
      <alignment horizontal="center" vertical="center"/>
    </xf>
    <xf numFmtId="0" fontId="4" fillId="0" borderId="90" xfId="0" applyFont="1" applyBorder="1" applyAlignment="1">
      <alignment horizontal="right" vertical="center" wrapText="1"/>
    </xf>
    <xf numFmtId="0" fontId="4" fillId="0" borderId="8" xfId="0" applyFont="1" applyBorder="1" applyAlignment="1">
      <alignment horizontal="right" vertical="center" wrapText="1"/>
    </xf>
    <xf numFmtId="176" fontId="5" fillId="0" borderId="113" xfId="0" applyNumberFormat="1" applyFont="1" applyBorder="1" applyAlignment="1">
      <alignment horizontal="center" vertical="center"/>
    </xf>
    <xf numFmtId="176" fontId="5" fillId="0" borderId="25" xfId="0" applyNumberFormat="1" applyFont="1" applyBorder="1" applyAlignment="1">
      <alignment horizontal="center" vertical="center"/>
    </xf>
    <xf numFmtId="221" fontId="216" fillId="25" borderId="16" xfId="0" applyNumberFormat="1" applyFont="1" applyFill="1" applyBorder="1" applyAlignment="1">
      <alignment horizontal="center" vertical="center" shrinkToFit="1"/>
    </xf>
    <xf numFmtId="221" fontId="216" fillId="25" borderId="21" xfId="0" applyNumberFormat="1" applyFont="1" applyFill="1" applyBorder="1" applyAlignment="1">
      <alignment horizontal="center" vertical="center" shrinkToFit="1"/>
    </xf>
    <xf numFmtId="0" fontId="23" fillId="5" borderId="16" xfId="0" applyFont="1" applyFill="1" applyBorder="1" applyAlignment="1">
      <alignment horizontal="center" vertical="center" wrapText="1" shrinkToFit="1"/>
    </xf>
    <xf numFmtId="0" fontId="23" fillId="5" borderId="21" xfId="0" applyFont="1" applyFill="1" applyBorder="1" applyAlignment="1">
      <alignment horizontal="center" vertical="center" wrapText="1" shrinkToFit="1"/>
    </xf>
    <xf numFmtId="49" fontId="23" fillId="5" borderId="1" xfId="0" applyNumberFormat="1" applyFont="1" applyFill="1" applyBorder="1" applyAlignment="1">
      <alignment horizontal="center" vertical="center" shrinkToFit="1"/>
    </xf>
    <xf numFmtId="0" fontId="4" fillId="0" borderId="130" xfId="0" applyFont="1" applyBorder="1" applyAlignment="1">
      <alignment horizontal="right" vertical="center" wrapText="1"/>
    </xf>
    <xf numFmtId="0" fontId="4" fillId="0" borderId="120" xfId="0" applyFont="1" applyBorder="1" applyAlignment="1">
      <alignment horizontal="right" vertical="center" wrapText="1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35" fillId="0" borderId="16" xfId="0" applyFont="1" applyBorder="1" applyAlignment="1">
      <alignment horizontal="center" vertical="center"/>
    </xf>
    <xf numFmtId="0" fontId="135" fillId="0" borderId="3" xfId="0" applyFont="1" applyBorder="1" applyAlignment="1">
      <alignment horizontal="center" vertical="center"/>
    </xf>
    <xf numFmtId="0" fontId="135" fillId="0" borderId="21" xfId="0" applyFont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13" xfId="0" applyNumberFormat="1" applyFont="1" applyBorder="1" applyAlignment="1">
      <alignment horizontal="center" vertical="center"/>
    </xf>
    <xf numFmtId="0" fontId="271" fillId="20" borderId="12" xfId="0" applyFont="1" applyFill="1" applyBorder="1" applyAlignment="1">
      <alignment horizontal="center" vertical="center"/>
    </xf>
    <xf numFmtId="0" fontId="271" fillId="20" borderId="11" xfId="0" applyFont="1" applyFill="1" applyBorder="1" applyAlignment="1">
      <alignment horizontal="center" vertical="center"/>
    </xf>
    <xf numFmtId="0" fontId="271" fillId="20" borderId="13" xfId="0" applyFont="1" applyFill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6" fontId="4" fillId="0" borderId="41" xfId="0" applyNumberFormat="1" applyFont="1" applyBorder="1" applyAlignment="1">
      <alignment horizontal="center" vertical="center"/>
    </xf>
    <xf numFmtId="6" fontId="4" fillId="0" borderId="42" xfId="0" applyNumberFormat="1" applyFont="1" applyBorder="1" applyAlignment="1">
      <alignment horizontal="center" vertical="center"/>
    </xf>
    <xf numFmtId="6" fontId="4" fillId="0" borderId="9" xfId="0" applyNumberFormat="1" applyFont="1" applyBorder="1" applyAlignment="1">
      <alignment horizontal="center" vertical="center"/>
    </xf>
    <xf numFmtId="0" fontId="35" fillId="0" borderId="41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178" fontId="131" fillId="0" borderId="16" xfId="0" applyNumberFormat="1" applyFont="1" applyBorder="1" applyAlignment="1">
      <alignment horizontal="center" vertical="center" wrapText="1"/>
    </xf>
    <xf numFmtId="178" fontId="131" fillId="0" borderId="3" xfId="0" applyNumberFormat="1" applyFont="1" applyBorder="1" applyAlignment="1">
      <alignment horizontal="center" vertical="center" wrapText="1"/>
    </xf>
    <xf numFmtId="178" fontId="131" fillId="0" borderId="2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78" fontId="5" fillId="0" borderId="16" xfId="0" applyNumberFormat="1" applyFont="1" applyBorder="1" applyAlignment="1">
      <alignment horizontal="center" vertical="center"/>
    </xf>
    <xf numFmtId="178" fontId="5" fillId="0" borderId="3" xfId="0" applyNumberFormat="1" applyFont="1" applyBorder="1" applyAlignment="1">
      <alignment horizontal="center" vertical="center"/>
    </xf>
    <xf numFmtId="178" fontId="5" fillId="0" borderId="21" xfId="0" applyNumberFormat="1" applyFont="1" applyBorder="1" applyAlignment="1">
      <alignment horizontal="center" vertical="center"/>
    </xf>
    <xf numFmtId="176" fontId="144" fillId="0" borderId="16" xfId="0" applyNumberFormat="1" applyFont="1" applyBorder="1" applyAlignment="1">
      <alignment horizontal="center" vertical="center"/>
    </xf>
    <xf numFmtId="176" fontId="144" fillId="0" borderId="3" xfId="0" applyNumberFormat="1" applyFont="1" applyBorder="1" applyAlignment="1">
      <alignment horizontal="center" vertical="center"/>
    </xf>
    <xf numFmtId="176" fontId="144" fillId="0" borderId="21" xfId="0" applyNumberFormat="1" applyFont="1" applyBorder="1" applyAlignment="1">
      <alignment horizontal="center" vertical="center"/>
    </xf>
    <xf numFmtId="191" fontId="5" fillId="5" borderId="16" xfId="0" applyNumberFormat="1" applyFont="1" applyFill="1" applyBorder="1" applyAlignment="1">
      <alignment horizontal="center" vertical="center"/>
    </xf>
    <xf numFmtId="191" fontId="5" fillId="5" borderId="3" xfId="0" applyNumberFormat="1" applyFont="1" applyFill="1" applyBorder="1" applyAlignment="1">
      <alignment horizontal="center" vertical="center"/>
    </xf>
    <xf numFmtId="191" fontId="5" fillId="5" borderId="21" xfId="0" applyNumberFormat="1" applyFont="1" applyFill="1" applyBorder="1" applyAlignment="1">
      <alignment horizontal="center" vertical="center"/>
    </xf>
    <xf numFmtId="0" fontId="215" fillId="0" borderId="1" xfId="0" applyFont="1" applyBorder="1" applyAlignment="1">
      <alignment horizontal="center" vertical="center"/>
    </xf>
    <xf numFmtId="0" fontId="215" fillId="0" borderId="1" xfId="0" applyFont="1" applyBorder="1" applyAlignment="1">
      <alignment horizontal="center" vertical="center" wrapText="1"/>
    </xf>
    <xf numFmtId="0" fontId="150" fillId="0" borderId="41" xfId="0" applyFont="1" applyBorder="1" applyAlignment="1">
      <alignment horizontal="center" vertical="center"/>
    </xf>
    <xf numFmtId="0" fontId="150" fillId="0" borderId="42" xfId="0" applyFont="1" applyBorder="1" applyAlignment="1">
      <alignment horizontal="center" vertical="center"/>
    </xf>
    <xf numFmtId="0" fontId="150" fillId="0" borderId="9" xfId="0" applyFont="1" applyBorder="1" applyAlignment="1">
      <alignment horizontal="center" vertical="center"/>
    </xf>
    <xf numFmtId="0" fontId="215" fillId="0" borderId="16" xfId="0" applyFont="1" applyBorder="1" applyAlignment="1">
      <alignment horizontal="center" vertical="center"/>
    </xf>
    <xf numFmtId="0" fontId="215" fillId="0" borderId="21" xfId="0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wrapText="1" shrinkToFit="1"/>
    </xf>
    <xf numFmtId="0" fontId="23" fillId="0" borderId="1" xfId="0" applyFont="1" applyBorder="1" applyAlignment="1">
      <alignment horizontal="center" vertical="center" shrinkToFit="1"/>
    </xf>
    <xf numFmtId="213" fontId="171" fillId="11" borderId="1" xfId="7" applyFont="1" applyFill="1" applyBorder="1" applyAlignment="1">
      <alignment horizontal="center" vertical="center" wrapText="1"/>
    </xf>
    <xf numFmtId="0" fontId="150" fillId="0" borderId="41" xfId="0" applyFont="1" applyBorder="1" applyAlignment="1">
      <alignment horizontal="center" vertical="center" wrapText="1"/>
    </xf>
    <xf numFmtId="0" fontId="150" fillId="0" borderId="42" xfId="0" applyFont="1" applyBorder="1" applyAlignment="1">
      <alignment horizontal="center" vertical="center" wrapText="1"/>
    </xf>
    <xf numFmtId="0" fontId="150" fillId="0" borderId="9" xfId="0" applyFont="1" applyBorder="1" applyAlignment="1">
      <alignment horizontal="center" vertical="center" wrapText="1"/>
    </xf>
    <xf numFmtId="213" fontId="171" fillId="8" borderId="1" xfId="7" applyFont="1" applyFill="1" applyBorder="1" applyAlignment="1">
      <alignment horizontal="center" vertical="center" wrapText="1"/>
    </xf>
    <xf numFmtId="213" fontId="171" fillId="8" borderId="1" xfId="7" applyFont="1" applyFill="1" applyBorder="1" applyAlignment="1">
      <alignment horizontal="center" vertical="center"/>
    </xf>
    <xf numFmtId="0" fontId="150" fillId="0" borderId="41" xfId="0" applyFont="1" applyBorder="1">
      <alignment vertical="center"/>
    </xf>
    <xf numFmtId="0" fontId="150" fillId="0" borderId="42" xfId="0" applyFont="1" applyBorder="1">
      <alignment vertical="center"/>
    </xf>
    <xf numFmtId="0" fontId="150" fillId="0" borderId="9" xfId="0" applyFont="1" applyBorder="1">
      <alignment vertical="center"/>
    </xf>
    <xf numFmtId="221" fontId="66" fillId="0" borderId="1" xfId="0" applyNumberFormat="1" applyFont="1" applyBorder="1" applyAlignment="1">
      <alignment horizontal="center" vertical="center" shrinkToFit="1"/>
    </xf>
    <xf numFmtId="236" fontId="19" fillId="11" borderId="16" xfId="0" applyNumberFormat="1" applyFont="1" applyFill="1" applyBorder="1" applyAlignment="1">
      <alignment horizontal="center" vertical="center"/>
    </xf>
    <xf numFmtId="236" fontId="19" fillId="11" borderId="21" xfId="0" applyNumberFormat="1" applyFont="1" applyFill="1" applyBorder="1" applyAlignment="1">
      <alignment horizontal="center" vertical="center"/>
    </xf>
    <xf numFmtId="0" fontId="35" fillId="0" borderId="41" xfId="0" applyFont="1" applyBorder="1" applyAlignment="1">
      <alignment horizontal="left" vertical="center"/>
    </xf>
    <xf numFmtId="0" fontId="35" fillId="0" borderId="9" xfId="0" applyFont="1" applyBorder="1" applyAlignment="1">
      <alignment horizontal="left" vertical="center"/>
    </xf>
    <xf numFmtId="0" fontId="69" fillId="0" borderId="3" xfId="0" applyFont="1" applyBorder="1" applyAlignment="1">
      <alignment horizontal="center" vertical="center" wrapText="1"/>
    </xf>
    <xf numFmtId="191" fontId="4" fillId="0" borderId="16" xfId="0" applyNumberFormat="1" applyFont="1" applyBorder="1" applyAlignment="1">
      <alignment horizontal="center" vertical="center" wrapText="1"/>
    </xf>
    <xf numFmtId="191" fontId="4" fillId="0" borderId="3" xfId="0" applyNumberFormat="1" applyFont="1" applyBorder="1" applyAlignment="1">
      <alignment horizontal="center" vertical="center"/>
    </xf>
    <xf numFmtId="49" fontId="41" fillId="8" borderId="1" xfId="0" applyNumberFormat="1" applyFont="1" applyFill="1" applyBorder="1" applyAlignment="1">
      <alignment horizontal="center" vertical="center" shrinkToFit="1"/>
    </xf>
    <xf numFmtId="0" fontId="4" fillId="0" borderId="41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0" fontId="279" fillId="0" borderId="1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204" fillId="22" borderId="107" xfId="0" applyFont="1" applyFill="1" applyBorder="1" applyAlignment="1">
      <alignment horizontal="center" vertical="center" wrapText="1"/>
    </xf>
    <xf numFmtId="0" fontId="204" fillId="22" borderId="14" xfId="0" applyFont="1" applyFill="1" applyBorder="1" applyAlignment="1">
      <alignment horizontal="center" vertical="center" wrapText="1"/>
    </xf>
    <xf numFmtId="0" fontId="204" fillId="22" borderId="108" xfId="0" applyFont="1" applyFill="1" applyBorder="1" applyAlignment="1">
      <alignment horizontal="center" vertical="center" wrapText="1"/>
    </xf>
    <xf numFmtId="0" fontId="204" fillId="22" borderId="15" xfId="0" applyFont="1" applyFill="1" applyBorder="1" applyAlignment="1">
      <alignment horizontal="center" vertical="center" wrapText="1"/>
    </xf>
    <xf numFmtId="0" fontId="204" fillId="22" borderId="126" xfId="0" applyFont="1" applyFill="1" applyBorder="1" applyAlignment="1">
      <alignment horizontal="center" vertical="center" wrapText="1"/>
    </xf>
    <xf numFmtId="0" fontId="204" fillId="22" borderId="127" xfId="0" applyFont="1" applyFill="1" applyBorder="1" applyAlignment="1">
      <alignment horizontal="center" vertical="center" wrapText="1"/>
    </xf>
    <xf numFmtId="0" fontId="204" fillId="3" borderId="105" xfId="0" applyFont="1" applyFill="1" applyBorder="1" applyAlignment="1">
      <alignment horizontal="justify" vertical="center" wrapText="1"/>
    </xf>
    <xf numFmtId="0" fontId="204" fillId="3" borderId="106" xfId="0" applyFont="1" applyFill="1" applyBorder="1" applyAlignment="1">
      <alignment horizontal="justify" vertical="center" wrapText="1"/>
    </xf>
    <xf numFmtId="0" fontId="204" fillId="3" borderId="105" xfId="0" applyFont="1" applyFill="1" applyBorder="1" applyAlignment="1">
      <alignment horizontal="right" vertical="center" wrapText="1"/>
    </xf>
    <xf numFmtId="0" fontId="204" fillId="3" borderId="106" xfId="0" applyFont="1" applyFill="1" applyBorder="1" applyAlignment="1">
      <alignment horizontal="right" vertical="center" wrapText="1"/>
    </xf>
    <xf numFmtId="0" fontId="204" fillId="3" borderId="124" xfId="0" applyFont="1" applyFill="1" applyBorder="1" applyAlignment="1">
      <alignment horizontal="right" vertical="center" wrapText="1"/>
    </xf>
    <xf numFmtId="0" fontId="204" fillId="3" borderId="125" xfId="0" applyFont="1" applyFill="1" applyBorder="1" applyAlignment="1">
      <alignment horizontal="right" vertical="center" wrapText="1"/>
    </xf>
    <xf numFmtId="0" fontId="204" fillId="3" borderId="124" xfId="0" applyFont="1" applyFill="1" applyBorder="1" applyAlignment="1">
      <alignment horizontal="justify" vertical="center" wrapText="1"/>
    </xf>
    <xf numFmtId="0" fontId="204" fillId="3" borderId="125" xfId="0" applyFont="1" applyFill="1" applyBorder="1" applyAlignment="1">
      <alignment horizontal="justify" vertical="center" wrapText="1"/>
    </xf>
    <xf numFmtId="0" fontId="104" fillId="0" borderId="128" xfId="0" applyFont="1" applyBorder="1" applyAlignment="1">
      <alignment horizontal="justify" vertical="center" wrapText="1"/>
    </xf>
    <xf numFmtId="0" fontId="104" fillId="0" borderId="108" xfId="0" applyFont="1" applyBorder="1" applyAlignment="1">
      <alignment horizontal="justify" vertical="center" wrapText="1"/>
    </xf>
    <xf numFmtId="0" fontId="204" fillId="0" borderId="108" xfId="0" applyFont="1" applyBorder="1" applyAlignment="1">
      <alignment horizontal="justify" vertical="center" wrapText="1"/>
    </xf>
    <xf numFmtId="0" fontId="204" fillId="0" borderId="15" xfId="0" applyFont="1" applyBorder="1" applyAlignment="1">
      <alignment horizontal="justify" vertical="center" wrapText="1"/>
    </xf>
    <xf numFmtId="0" fontId="0" fillId="22" borderId="111" xfId="0" applyFill="1" applyBorder="1" applyAlignment="1">
      <alignment vertical="center" wrapText="1"/>
    </xf>
    <xf numFmtId="0" fontId="0" fillId="22" borderId="112" xfId="0" applyFill="1" applyBorder="1" applyAlignment="1">
      <alignment vertical="center" wrapText="1"/>
    </xf>
    <xf numFmtId="0" fontId="204" fillId="0" borderId="126" xfId="0" applyFont="1" applyBorder="1" applyAlignment="1">
      <alignment horizontal="justify" vertical="center" wrapText="1"/>
    </xf>
    <xf numFmtId="0" fontId="204" fillId="0" borderId="127" xfId="0" applyFont="1" applyBorder="1" applyAlignment="1">
      <alignment horizontal="justify" vertical="center" wrapText="1"/>
    </xf>
    <xf numFmtId="0" fontId="204" fillId="22" borderId="111" xfId="0" applyFont="1" applyFill="1" applyBorder="1" applyAlignment="1">
      <alignment horizontal="center" vertical="center" wrapText="1"/>
    </xf>
    <xf numFmtId="0" fontId="204" fillId="22" borderId="112" xfId="0" applyFont="1" applyFill="1" applyBorder="1" applyAlignment="1">
      <alignment horizontal="center" vertical="center" wrapText="1"/>
    </xf>
    <xf numFmtId="0" fontId="204" fillId="22" borderId="41" xfId="0" applyFont="1" applyFill="1" applyBorder="1" applyAlignment="1">
      <alignment horizontal="center" vertical="center" wrapText="1"/>
    </xf>
    <xf numFmtId="0" fontId="204" fillId="22" borderId="42" xfId="0" applyFont="1" applyFill="1" applyBorder="1" applyAlignment="1">
      <alignment horizontal="center" vertical="center" wrapText="1"/>
    </xf>
    <xf numFmtId="0" fontId="204" fillId="22" borderId="110" xfId="0" applyFont="1" applyFill="1" applyBorder="1" applyAlignment="1">
      <alignment horizontal="center" vertical="center" wrapText="1"/>
    </xf>
    <xf numFmtId="0" fontId="204" fillId="0" borderId="128" xfId="0" applyFont="1" applyBorder="1" applyAlignment="1">
      <alignment horizontal="justify" vertical="center" wrapText="1"/>
    </xf>
    <xf numFmtId="0" fontId="204" fillId="0" borderId="129" xfId="0" applyFont="1" applyBorder="1" applyAlignment="1">
      <alignment horizontal="justify" vertical="center" wrapText="1"/>
    </xf>
    <xf numFmtId="0" fontId="341" fillId="0" borderId="194" xfId="0" applyFont="1" applyBorder="1" applyAlignment="1">
      <alignment horizontal="center" vertical="top" wrapText="1"/>
    </xf>
    <xf numFmtId="0" fontId="204" fillId="22" borderId="107" xfId="0" applyFont="1" applyFill="1" applyBorder="1" applyAlignment="1">
      <alignment horizontal="center" vertical="center"/>
    </xf>
    <xf numFmtId="0" fontId="204" fillId="22" borderId="93" xfId="0" applyFont="1" applyFill="1" applyBorder="1" applyAlignment="1">
      <alignment horizontal="center" vertical="center"/>
    </xf>
    <xf numFmtId="0" fontId="204" fillId="22" borderId="14" xfId="0" applyFont="1" applyFill="1" applyBorder="1" applyAlignment="1">
      <alignment horizontal="center" vertical="center"/>
    </xf>
    <xf numFmtId="0" fontId="204" fillId="22" borderId="108" xfId="0" applyFont="1" applyFill="1" applyBorder="1" applyAlignment="1">
      <alignment horizontal="center" vertical="center"/>
    </xf>
    <xf numFmtId="0" fontId="204" fillId="22" borderId="0" xfId="0" applyFont="1" applyFill="1" applyAlignment="1">
      <alignment horizontal="center" vertical="center"/>
    </xf>
    <xf numFmtId="0" fontId="204" fillId="22" borderId="15" xfId="0" applyFont="1" applyFill="1" applyBorder="1" applyAlignment="1">
      <alignment horizontal="center" vertical="center"/>
    </xf>
    <xf numFmtId="0" fontId="204" fillId="22" borderId="109" xfId="0" applyFont="1" applyFill="1" applyBorder="1" applyAlignment="1">
      <alignment horizontal="center" vertical="center"/>
    </xf>
    <xf numFmtId="0" fontId="204" fillId="22" borderId="92" xfId="0" applyFont="1" applyFill="1" applyBorder="1" applyAlignment="1">
      <alignment horizontal="center" vertical="center"/>
    </xf>
    <xf numFmtId="0" fontId="204" fillId="22" borderId="10" xfId="0" applyFont="1" applyFill="1" applyBorder="1" applyAlignment="1">
      <alignment horizontal="center" vertical="center"/>
    </xf>
    <xf numFmtId="0" fontId="204" fillId="22" borderId="107" xfId="0" applyFont="1" applyFill="1" applyBorder="1" applyAlignment="1">
      <alignment horizontal="justify" vertical="center"/>
    </xf>
    <xf numFmtId="0" fontId="204" fillId="22" borderId="14" xfId="0" applyFont="1" applyFill="1" applyBorder="1" applyAlignment="1">
      <alignment horizontal="justify" vertical="center"/>
    </xf>
    <xf numFmtId="0" fontId="204" fillId="22" borderId="108" xfId="0" applyFont="1" applyFill="1" applyBorder="1" applyAlignment="1">
      <alignment horizontal="justify" vertical="center"/>
    </xf>
    <xf numFmtId="0" fontId="204" fillId="22" borderId="15" xfId="0" applyFont="1" applyFill="1" applyBorder="1" applyAlignment="1">
      <alignment horizontal="justify" vertical="center"/>
    </xf>
    <xf numFmtId="0" fontId="204" fillId="22" borderId="109" xfId="0" applyFont="1" applyFill="1" applyBorder="1" applyAlignment="1">
      <alignment horizontal="justify" vertical="center"/>
    </xf>
    <xf numFmtId="0" fontId="204" fillId="22" borderId="10" xfId="0" applyFont="1" applyFill="1" applyBorder="1" applyAlignment="1">
      <alignment horizontal="justify" vertical="center"/>
    </xf>
    <xf numFmtId="0" fontId="204" fillId="22" borderId="93" xfId="0" applyFont="1" applyFill="1" applyBorder="1" applyAlignment="1">
      <alignment horizontal="center" vertical="center" wrapText="1"/>
    </xf>
    <xf numFmtId="0" fontId="204" fillId="22" borderId="0" xfId="0" applyFont="1" applyFill="1" applyAlignment="1">
      <alignment horizontal="center" vertical="center" wrapText="1"/>
    </xf>
    <xf numFmtId="0" fontId="204" fillId="22" borderId="109" xfId="0" applyFont="1" applyFill="1" applyBorder="1" applyAlignment="1">
      <alignment horizontal="center" vertical="center" wrapText="1"/>
    </xf>
    <xf numFmtId="0" fontId="204" fillId="22" borderId="92" xfId="0" applyFont="1" applyFill="1" applyBorder="1" applyAlignment="1">
      <alignment horizontal="center" vertical="center" wrapText="1"/>
    </xf>
    <xf numFmtId="0" fontId="204" fillId="22" borderId="10" xfId="0" applyFont="1" applyFill="1" applyBorder="1" applyAlignment="1">
      <alignment horizontal="center" vertical="center" wrapText="1"/>
    </xf>
    <xf numFmtId="0" fontId="204" fillId="22" borderId="41" xfId="0" applyFont="1" applyFill="1" applyBorder="1" applyAlignment="1">
      <alignment horizontal="center" vertical="center"/>
    </xf>
    <xf numFmtId="0" fontId="204" fillId="22" borderId="42" xfId="0" applyFont="1" applyFill="1" applyBorder="1" applyAlignment="1">
      <alignment horizontal="center" vertical="center"/>
    </xf>
    <xf numFmtId="0" fontId="204" fillId="22" borderId="110" xfId="0" applyFont="1" applyFill="1" applyBorder="1" applyAlignment="1">
      <alignment horizontal="center" vertical="center"/>
    </xf>
    <xf numFmtId="0" fontId="180" fillId="9" borderId="90" xfId="0" applyFont="1" applyFill="1" applyBorder="1" applyAlignment="1">
      <alignment horizontal="center" vertical="center"/>
    </xf>
    <xf numFmtId="0" fontId="180" fillId="9" borderId="8" xfId="0" applyFont="1" applyFill="1" applyBorder="1" applyAlignment="1">
      <alignment horizontal="center" vertical="center"/>
    </xf>
    <xf numFmtId="0" fontId="205" fillId="9" borderId="90" xfId="0" applyFont="1" applyFill="1" applyBorder="1" applyAlignment="1">
      <alignment horizontal="center" vertical="center"/>
    </xf>
    <xf numFmtId="0" fontId="205" fillId="9" borderId="8" xfId="0" applyFont="1" applyFill="1" applyBorder="1" applyAlignment="1">
      <alignment horizontal="center" vertical="center"/>
    </xf>
    <xf numFmtId="0" fontId="271" fillId="0" borderId="194" xfId="0" applyFont="1" applyBorder="1" applyAlignment="1">
      <alignment horizontal="center" vertical="top" wrapText="1"/>
    </xf>
    <xf numFmtId="0" fontId="79" fillId="0" borderId="194" xfId="0" applyFont="1" applyBorder="1" applyAlignment="1">
      <alignment horizontal="center" vertical="top" wrapText="1"/>
    </xf>
    <xf numFmtId="0" fontId="180" fillId="9" borderId="1" xfId="0" applyFont="1" applyFill="1" applyBorder="1" applyAlignment="1">
      <alignment horizontal="center" vertical="center"/>
    </xf>
    <xf numFmtId="0" fontId="341" fillId="0" borderId="194" xfId="0" applyFont="1" applyBorder="1" applyAlignment="1">
      <alignment horizontal="left" vertical="top" wrapText="1"/>
    </xf>
    <xf numFmtId="0" fontId="341" fillId="0" borderId="194" xfId="0" applyFont="1" applyBorder="1" applyAlignment="1">
      <alignment horizontal="left" vertical="top" wrapText="1" indent="1"/>
    </xf>
    <xf numFmtId="0" fontId="263" fillId="18" borderId="1" xfId="13" applyFont="1" applyFill="1" applyBorder="1" applyAlignment="1">
      <alignment horizontal="center" vertical="center" wrapText="1"/>
    </xf>
    <xf numFmtId="0" fontId="263" fillId="18" borderId="12" xfId="0" applyFont="1" applyFill="1" applyBorder="1" applyAlignment="1">
      <alignment horizontal="center" vertical="center" wrapText="1"/>
    </xf>
    <xf numFmtId="0" fontId="263" fillId="18" borderId="11" xfId="0" applyFont="1" applyFill="1" applyBorder="1" applyAlignment="1">
      <alignment horizontal="center" vertical="center" wrapText="1"/>
    </xf>
    <xf numFmtId="0" fontId="263" fillId="18" borderId="13" xfId="0" applyFont="1" applyFill="1" applyBorder="1" applyAlignment="1">
      <alignment horizontal="center" vertical="center" wrapText="1"/>
    </xf>
    <xf numFmtId="0" fontId="341" fillId="0" borderId="196" xfId="0" applyFont="1" applyBorder="1" applyAlignment="1">
      <alignment horizontal="left" vertical="top" wrapText="1" indent="1"/>
    </xf>
    <xf numFmtId="0" fontId="341" fillId="0" borderId="199" xfId="0" applyFont="1" applyBorder="1" applyAlignment="1">
      <alignment horizontal="left" vertical="top" wrapText="1" indent="1"/>
    </xf>
    <xf numFmtId="0" fontId="351" fillId="0" borderId="197" xfId="0" applyFont="1" applyBorder="1" applyAlignment="1">
      <alignment horizontal="left" vertical="top" wrapText="1"/>
    </xf>
    <xf numFmtId="0" fontId="0" fillId="0" borderId="198" xfId="0" applyBorder="1" applyAlignment="1">
      <alignment horizontal="left" vertical="top" wrapText="1"/>
    </xf>
    <xf numFmtId="0" fontId="0" fillId="0" borderId="195" xfId="0" applyBorder="1" applyAlignment="1">
      <alignment horizontal="left" vertical="top" wrapText="1"/>
    </xf>
    <xf numFmtId="0" fontId="341" fillId="0" borderId="196" xfId="0" applyFont="1" applyBorder="1" applyAlignment="1">
      <alignment horizontal="left" vertical="top" wrapText="1"/>
    </xf>
    <xf numFmtId="0" fontId="341" fillId="0" borderId="199" xfId="0" applyFont="1" applyBorder="1" applyAlignment="1">
      <alignment horizontal="left" vertical="top" wrapText="1"/>
    </xf>
    <xf numFmtId="0" fontId="341" fillId="0" borderId="196" xfId="0" applyFont="1" applyBorder="1" applyAlignment="1">
      <alignment horizontal="center" vertical="top" wrapText="1"/>
    </xf>
    <xf numFmtId="0" fontId="341" fillId="0" borderId="199" xfId="0" applyFont="1" applyBorder="1" applyAlignment="1">
      <alignment horizontal="center" vertical="top" wrapText="1"/>
    </xf>
    <xf numFmtId="0" fontId="342" fillId="0" borderId="194" xfId="0" applyFont="1" applyBorder="1" applyAlignment="1">
      <alignment horizontal="left" vertical="top" wrapText="1"/>
    </xf>
    <xf numFmtId="0" fontId="0" fillId="0" borderId="194" xfId="0" applyBorder="1" applyAlignment="1">
      <alignment horizontal="left" vertical="top" wrapText="1"/>
    </xf>
    <xf numFmtId="0" fontId="49" fillId="0" borderId="41" xfId="0" applyFont="1" applyBorder="1" applyAlignment="1">
      <alignment horizontal="center" vertical="center"/>
    </xf>
    <xf numFmtId="0" fontId="49" fillId="0" borderId="9" xfId="0" applyFont="1" applyBorder="1" applyAlignment="1">
      <alignment horizontal="center" vertical="center"/>
    </xf>
    <xf numFmtId="0" fontId="301" fillId="0" borderId="41" xfId="0" applyFont="1" applyBorder="1" applyAlignment="1">
      <alignment horizontal="center" vertical="center" wrapText="1"/>
    </xf>
    <xf numFmtId="0" fontId="301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1" fillId="0" borderId="194" xfId="0" applyFont="1" applyBorder="1" applyAlignment="1">
      <alignment horizontal="center" vertical="top" wrapText="1"/>
    </xf>
    <xf numFmtId="0" fontId="41" fillId="0" borderId="197" xfId="0" applyFont="1" applyBorder="1" applyAlignment="1">
      <alignment horizontal="center" vertical="top" wrapText="1"/>
    </xf>
    <xf numFmtId="0" fontId="41" fillId="0" borderId="198" xfId="0" applyFont="1" applyBorder="1" applyAlignment="1">
      <alignment horizontal="center" vertical="top" wrapText="1"/>
    </xf>
    <xf numFmtId="0" fontId="41" fillId="0" borderId="195" xfId="0" applyFont="1" applyBorder="1" applyAlignment="1">
      <alignment horizontal="center" vertical="top" wrapText="1"/>
    </xf>
    <xf numFmtId="178" fontId="4" fillId="0" borderId="16" xfId="0" applyNumberFormat="1" applyFont="1" applyBorder="1" applyAlignment="1">
      <alignment horizontal="center" vertical="center"/>
    </xf>
    <xf numFmtId="178" fontId="4" fillId="0" borderId="21" xfId="0" applyNumberFormat="1" applyFont="1" applyBorder="1" applyAlignment="1">
      <alignment horizontal="center" vertical="center"/>
    </xf>
    <xf numFmtId="191" fontId="4" fillId="0" borderId="21" xfId="0" applyNumberFormat="1" applyFont="1" applyBorder="1" applyAlignment="1">
      <alignment horizontal="center" vertical="center" wrapText="1"/>
    </xf>
    <xf numFmtId="0" fontId="41" fillId="0" borderId="16" xfId="0" applyFont="1" applyBorder="1" applyAlignment="1">
      <alignment horizontal="center" wrapText="1"/>
    </xf>
    <xf numFmtId="0" fontId="41" fillId="0" borderId="3" xfId="0" applyFont="1" applyBorder="1" applyAlignment="1">
      <alignment horizontal="center" wrapText="1"/>
    </xf>
    <xf numFmtId="0" fontId="41" fillId="0" borderId="21" xfId="0" applyFont="1" applyBorder="1" applyAlignment="1">
      <alignment horizontal="center" wrapText="1"/>
    </xf>
    <xf numFmtId="0" fontId="342" fillId="0" borderId="194" xfId="0" applyFont="1" applyBorder="1" applyAlignment="1">
      <alignment horizontal="center" vertical="top" wrapText="1"/>
    </xf>
    <xf numFmtId="0" fontId="351" fillId="0" borderId="194" xfId="0" applyFont="1" applyBorder="1" applyAlignment="1">
      <alignment horizontal="center" vertical="top" wrapText="1"/>
    </xf>
    <xf numFmtId="0" fontId="0" fillId="0" borderId="194" xfId="0" applyBorder="1" applyAlignment="1">
      <alignment horizontal="center" vertical="top" wrapText="1"/>
    </xf>
    <xf numFmtId="0" fontId="291" fillId="0" borderId="16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3" fillId="0" borderId="116" xfId="0" applyFont="1" applyBorder="1" applyAlignment="1">
      <alignment horizontal="center" vertical="center"/>
    </xf>
    <xf numFmtId="185" fontId="3" fillId="0" borderId="12" xfId="0" applyNumberFormat="1" applyFont="1" applyBorder="1" applyAlignment="1">
      <alignment horizontal="center" vertical="center"/>
    </xf>
    <xf numFmtId="185" fontId="3" fillId="0" borderId="11" xfId="0" applyNumberFormat="1" applyFont="1" applyBorder="1" applyAlignment="1">
      <alignment horizontal="center" vertical="center"/>
    </xf>
    <xf numFmtId="185" fontId="3" fillId="0" borderId="13" xfId="0" applyNumberFormat="1" applyFont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258" fontId="209" fillId="0" borderId="64" xfId="0" applyNumberFormat="1" applyFont="1" applyBorder="1" applyAlignment="1">
      <alignment horizontal="center" vertical="center"/>
    </xf>
    <xf numFmtId="258" fontId="209" fillId="0" borderId="65" xfId="0" applyNumberFormat="1" applyFont="1" applyBorder="1" applyAlignment="1">
      <alignment horizontal="center" vertical="center"/>
    </xf>
    <xf numFmtId="258" fontId="209" fillId="0" borderId="79" xfId="0" applyNumberFormat="1" applyFont="1" applyBorder="1" applyAlignment="1">
      <alignment horizontal="center" vertical="center"/>
    </xf>
    <xf numFmtId="258" fontId="209" fillId="0" borderId="89" xfId="0" applyNumberFormat="1" applyFont="1" applyBorder="1" applyAlignment="1">
      <alignment horizontal="center" vertical="center"/>
    </xf>
    <xf numFmtId="0" fontId="209" fillId="0" borderId="79" xfId="0" applyFont="1" applyBorder="1" applyAlignment="1">
      <alignment horizontal="left" vertical="center" shrinkToFit="1"/>
    </xf>
    <xf numFmtId="0" fontId="209" fillId="0" borderId="51" xfId="0" applyFont="1" applyBorder="1" applyAlignment="1">
      <alignment horizontal="left" vertical="center" shrinkToFit="1"/>
    </xf>
    <xf numFmtId="254" fontId="209" fillId="0" borderId="64" xfId="0" applyNumberFormat="1" applyFont="1" applyBorder="1" applyAlignment="1">
      <alignment horizontal="center" vertical="center"/>
    </xf>
    <xf numFmtId="254" fontId="209" fillId="0" borderId="59" xfId="0" applyNumberFormat="1" applyFont="1" applyBorder="1" applyAlignment="1">
      <alignment horizontal="center" vertical="center"/>
    </xf>
    <xf numFmtId="254" fontId="209" fillId="0" borderId="60" xfId="0" applyNumberFormat="1" applyFont="1" applyBorder="1" applyAlignment="1">
      <alignment horizontal="center" vertical="center"/>
    </xf>
    <xf numFmtId="259" fontId="209" fillId="0" borderId="63" xfId="0" applyNumberFormat="1" applyFont="1" applyBorder="1" applyAlignment="1">
      <alignment horizontal="center" vertical="center"/>
    </xf>
    <xf numFmtId="259" fontId="209" fillId="0" borderId="65" xfId="0" applyNumberFormat="1" applyFont="1" applyBorder="1" applyAlignment="1">
      <alignment horizontal="center" vertical="center"/>
    </xf>
    <xf numFmtId="0" fontId="209" fillId="0" borderId="64" xfId="0" applyFont="1" applyBorder="1" applyAlignment="1">
      <alignment horizontal="left" vertical="center" shrinkToFit="1"/>
    </xf>
    <xf numFmtId="0" fontId="209" fillId="0" borderId="59" xfId="0" applyFont="1" applyBorder="1" applyAlignment="1">
      <alignment horizontal="left" vertical="center" shrinkToFit="1"/>
    </xf>
    <xf numFmtId="0" fontId="209" fillId="0" borderId="63" xfId="0" applyFont="1" applyBorder="1" applyAlignment="1">
      <alignment horizontal="left" vertical="center" shrinkToFit="1"/>
    </xf>
    <xf numFmtId="0" fontId="209" fillId="0" borderId="65" xfId="0" applyFont="1" applyBorder="1" applyAlignment="1">
      <alignment horizontal="left" vertical="center" shrinkToFit="1"/>
    </xf>
    <xf numFmtId="0" fontId="209" fillId="0" borderId="66" xfId="0" applyFont="1" applyBorder="1" applyAlignment="1">
      <alignment horizontal="center" vertical="center"/>
    </xf>
    <xf numFmtId="0" fontId="209" fillId="0" borderId="0" xfId="0" applyFont="1" applyAlignment="1">
      <alignment horizontal="left" vertical="center"/>
    </xf>
    <xf numFmtId="0" fontId="209" fillId="0" borderId="60" xfId="0" applyFont="1" applyBorder="1" applyAlignment="1">
      <alignment horizontal="left" vertical="center" shrinkToFit="1"/>
    </xf>
    <xf numFmtId="0" fontId="211" fillId="0" borderId="49" xfId="0" applyFont="1" applyBorder="1" applyAlignment="1">
      <alignment horizontal="right" vertical="center"/>
    </xf>
    <xf numFmtId="254" fontId="209" fillId="0" borderId="79" xfId="0" applyNumberFormat="1" applyFont="1" applyBorder="1" applyAlignment="1">
      <alignment horizontal="center" vertical="center"/>
    </xf>
    <xf numFmtId="254" fontId="209" fillId="0" borderId="51" xfId="0" applyNumberFormat="1" applyFont="1" applyBorder="1" applyAlignment="1">
      <alignment horizontal="center" vertical="center"/>
    </xf>
    <xf numFmtId="254" fontId="209" fillId="0" borderId="52" xfId="0" applyNumberFormat="1" applyFont="1" applyBorder="1" applyAlignment="1">
      <alignment horizontal="center" vertical="center"/>
    </xf>
    <xf numFmtId="184" fontId="209" fillId="0" borderId="63" xfId="0" applyNumberFormat="1" applyFont="1" applyBorder="1" applyAlignment="1">
      <alignment horizontal="center" vertical="center"/>
    </xf>
    <xf numFmtId="184" fontId="209" fillId="0" borderId="60" xfId="0" applyNumberFormat="1" applyFont="1" applyBorder="1" applyAlignment="1">
      <alignment horizontal="center" vertical="center"/>
    </xf>
    <xf numFmtId="0" fontId="209" fillId="0" borderId="90" xfId="0" applyFont="1" applyBorder="1" applyAlignment="1">
      <alignment horizontal="center" vertical="center"/>
    </xf>
    <xf numFmtId="0" fontId="209" fillId="0" borderId="91" xfId="0" applyFont="1" applyBorder="1" applyAlignment="1">
      <alignment horizontal="center" vertical="center"/>
    </xf>
    <xf numFmtId="0" fontId="209" fillId="0" borderId="64" xfId="0" applyFont="1" applyBorder="1" applyAlignment="1">
      <alignment horizontal="center" vertical="center"/>
    </xf>
    <xf numFmtId="0" fontId="209" fillId="0" borderId="59" xfId="0" applyFont="1" applyBorder="1" applyAlignment="1">
      <alignment horizontal="center" vertical="center"/>
    </xf>
    <xf numFmtId="0" fontId="209" fillId="0" borderId="60" xfId="0" applyFont="1" applyBorder="1" applyAlignment="1">
      <alignment horizontal="center" vertical="center"/>
    </xf>
    <xf numFmtId="0" fontId="211" fillId="0" borderId="49" xfId="0" applyFont="1" applyBorder="1" applyAlignment="1">
      <alignment horizontal="left" vertical="center"/>
    </xf>
    <xf numFmtId="254" fontId="209" fillId="0" borderId="67" xfId="0" applyNumberFormat="1" applyFont="1" applyBorder="1" applyAlignment="1">
      <alignment horizontal="center" vertical="center"/>
    </xf>
    <xf numFmtId="254" fontId="209" fillId="0" borderId="47" xfId="0" applyNumberFormat="1" applyFont="1" applyBorder="1" applyAlignment="1">
      <alignment horizontal="center" vertical="center"/>
    </xf>
    <xf numFmtId="254" fontId="209" fillId="0" borderId="48" xfId="0" applyNumberFormat="1" applyFont="1" applyBorder="1" applyAlignment="1">
      <alignment horizontal="center" vertical="center"/>
    </xf>
    <xf numFmtId="184" fontId="209" fillId="0" borderId="78" xfId="0" applyNumberFormat="1" applyFont="1" applyBorder="1" applyAlignment="1">
      <alignment horizontal="center" vertical="center"/>
    </xf>
    <xf numFmtId="184" fontId="209" fillId="0" borderId="48" xfId="0" applyNumberFormat="1" applyFont="1" applyBorder="1" applyAlignment="1">
      <alignment horizontal="center" vertical="center"/>
    </xf>
    <xf numFmtId="259" fontId="209" fillId="0" borderId="78" xfId="0" applyNumberFormat="1" applyFont="1" applyBorder="1" applyAlignment="1">
      <alignment horizontal="center" vertical="center"/>
    </xf>
    <xf numFmtId="259" fontId="209" fillId="0" borderId="101" xfId="0" applyNumberFormat="1" applyFont="1" applyBorder="1" applyAlignment="1">
      <alignment horizontal="center" vertical="center"/>
    </xf>
    <xf numFmtId="258" fontId="209" fillId="0" borderId="67" xfId="0" applyNumberFormat="1" applyFont="1" applyBorder="1" applyAlignment="1">
      <alignment horizontal="center" vertical="center"/>
    </xf>
    <xf numFmtId="258" fontId="209" fillId="0" borderId="101" xfId="0" applyNumberFormat="1" applyFont="1" applyBorder="1" applyAlignment="1">
      <alignment horizontal="center" vertical="center"/>
    </xf>
    <xf numFmtId="0" fontId="209" fillId="0" borderId="93" xfId="0" applyFont="1" applyBorder="1" applyAlignment="1">
      <alignment horizontal="right" vertical="center"/>
    </xf>
    <xf numFmtId="0" fontId="209" fillId="0" borderId="1" xfId="0" applyFont="1" applyBorder="1" applyAlignment="1">
      <alignment horizontal="center" vertical="center"/>
    </xf>
    <xf numFmtId="0" fontId="209" fillId="0" borderId="12" xfId="0" applyFont="1" applyBorder="1" applyAlignment="1">
      <alignment horizontal="left" vertical="center"/>
    </xf>
    <xf numFmtId="0" fontId="209" fillId="0" borderId="11" xfId="0" applyFont="1" applyBorder="1" applyAlignment="1">
      <alignment horizontal="left" vertical="center"/>
    </xf>
    <xf numFmtId="0" fontId="209" fillId="0" borderId="13" xfId="0" applyFont="1" applyBorder="1" applyAlignment="1">
      <alignment horizontal="left" vertical="center"/>
    </xf>
    <xf numFmtId="0" fontId="209" fillId="0" borderId="68" xfId="0" applyFont="1" applyBorder="1" applyAlignment="1">
      <alignment horizontal="center" vertical="center"/>
    </xf>
    <xf numFmtId="0" fontId="209" fillId="0" borderId="69" xfId="0" applyFont="1" applyBorder="1" applyAlignment="1">
      <alignment horizontal="center" vertical="center"/>
    </xf>
    <xf numFmtId="0" fontId="209" fillId="0" borderId="70" xfId="0" applyFont="1" applyBorder="1" applyAlignment="1">
      <alignment horizontal="center" vertical="center"/>
    </xf>
    <xf numFmtId="0" fontId="209" fillId="0" borderId="61" xfId="0" applyFont="1" applyBorder="1" applyAlignment="1">
      <alignment horizontal="center" vertical="center"/>
    </xf>
    <xf numFmtId="0" fontId="209" fillId="0" borderId="54" xfId="0" applyFont="1" applyBorder="1" applyAlignment="1">
      <alignment horizontal="center" vertical="center"/>
    </xf>
    <xf numFmtId="0" fontId="209" fillId="0" borderId="71" xfId="0" applyFont="1" applyBorder="1" applyAlignment="1">
      <alignment horizontal="center" vertical="center"/>
    </xf>
    <xf numFmtId="254" fontId="209" fillId="0" borderId="94" xfId="0" applyNumberFormat="1" applyFont="1" applyBorder="1" applyAlignment="1">
      <alignment horizontal="center" vertical="center"/>
    </xf>
    <xf numFmtId="254" fontId="209" fillId="0" borderId="91" xfId="0" applyNumberFormat="1" applyFont="1" applyBorder="1" applyAlignment="1">
      <alignment horizontal="center" vertical="center"/>
    </xf>
    <xf numFmtId="254" fontId="209" fillId="0" borderId="8" xfId="0" applyNumberFormat="1" applyFont="1" applyBorder="1" applyAlignment="1">
      <alignment horizontal="center" vertical="center"/>
    </xf>
    <xf numFmtId="2" fontId="210" fillId="0" borderId="95" xfId="0" applyNumberFormat="1" applyFont="1" applyBorder="1" applyAlignment="1">
      <alignment horizontal="center" vertical="center"/>
    </xf>
    <xf numFmtId="2" fontId="210" fillId="0" borderId="96" xfId="0" applyNumberFormat="1" applyFont="1" applyBorder="1" applyAlignment="1">
      <alignment horizontal="center" vertical="center"/>
    </xf>
    <xf numFmtId="2" fontId="210" fillId="0" borderId="97" xfId="0" applyNumberFormat="1" applyFont="1" applyBorder="1" applyAlignment="1">
      <alignment horizontal="center" vertical="center"/>
    </xf>
    <xf numFmtId="0" fontId="209" fillId="0" borderId="75" xfId="0" applyFont="1" applyBorder="1" applyAlignment="1">
      <alignment horizontal="center" vertical="center"/>
    </xf>
    <xf numFmtId="0" fontId="209" fillId="0" borderId="49" xfId="0" applyFont="1" applyBorder="1" applyAlignment="1">
      <alignment horizontal="center" vertical="center"/>
    </xf>
    <xf numFmtId="0" fontId="209" fillId="0" borderId="98" xfId="0" applyFont="1" applyBorder="1" applyAlignment="1">
      <alignment horizontal="left" vertical="center"/>
    </xf>
    <xf numFmtId="0" fontId="209" fillId="0" borderId="87" xfId="0" applyFont="1" applyBorder="1" applyAlignment="1">
      <alignment horizontal="left" vertical="center"/>
    </xf>
    <xf numFmtId="254" fontId="209" fillId="0" borderId="12" xfId="0" applyNumberFormat="1" applyFont="1" applyBorder="1" applyAlignment="1">
      <alignment horizontal="center" vertical="center"/>
    </xf>
    <xf numFmtId="254" fontId="209" fillId="0" borderId="11" xfId="0" applyNumberFormat="1" applyFont="1" applyBorder="1" applyAlignment="1">
      <alignment horizontal="center" vertical="center"/>
    </xf>
    <xf numFmtId="254" fontId="209" fillId="0" borderId="13" xfId="0" applyNumberFormat="1" applyFont="1" applyBorder="1" applyAlignment="1">
      <alignment horizontal="center" vertical="center"/>
    </xf>
    <xf numFmtId="0" fontId="209" fillId="0" borderId="80" xfId="0" applyFont="1" applyBorder="1" applyAlignment="1">
      <alignment horizontal="left" vertical="center" shrinkToFit="1"/>
    </xf>
    <xf numFmtId="0" fontId="209" fillId="0" borderId="89" xfId="0" applyFont="1" applyBorder="1" applyAlignment="1">
      <alignment horizontal="left" vertical="center" shrinkToFit="1"/>
    </xf>
    <xf numFmtId="0" fontId="209" fillId="0" borderId="95" xfId="0" applyFont="1" applyBorder="1" applyAlignment="1">
      <alignment horizontal="center" vertical="center"/>
    </xf>
    <xf numFmtId="0" fontId="209" fillId="0" borderId="97" xfId="0" applyFont="1" applyBorder="1" applyAlignment="1">
      <alignment horizontal="center" vertical="center"/>
    </xf>
    <xf numFmtId="0" fontId="209" fillId="0" borderId="99" xfId="0" applyFont="1" applyBorder="1" applyAlignment="1">
      <alignment horizontal="center" vertical="center"/>
    </xf>
    <xf numFmtId="0" fontId="209" fillId="0" borderId="100" xfId="0" applyFont="1" applyBorder="1" applyAlignment="1">
      <alignment horizontal="center" vertical="center"/>
    </xf>
    <xf numFmtId="0" fontId="209" fillId="0" borderId="92" xfId="0" applyFont="1" applyBorder="1" applyAlignment="1">
      <alignment horizontal="center" vertical="center"/>
    </xf>
    <xf numFmtId="254" fontId="209" fillId="0" borderId="75" xfId="0" applyNumberFormat="1" applyFont="1" applyBorder="1" applyAlignment="1">
      <alignment horizontal="center" vertical="center"/>
    </xf>
    <xf numFmtId="254" fontId="209" fillId="0" borderId="49" xfId="0" applyNumberFormat="1" applyFont="1" applyBorder="1" applyAlignment="1">
      <alignment horizontal="center" vertical="center"/>
    </xf>
    <xf numFmtId="254" fontId="209" fillId="0" borderId="88" xfId="0" applyNumberFormat="1" applyFont="1" applyBorder="1" applyAlignment="1">
      <alignment horizontal="center" vertical="center"/>
    </xf>
    <xf numFmtId="0" fontId="211" fillId="0" borderId="88" xfId="0" applyFont="1" applyBorder="1" applyAlignment="1">
      <alignment horizontal="left" vertical="center"/>
    </xf>
    <xf numFmtId="0" fontId="209" fillId="0" borderId="12" xfId="0" applyFont="1" applyBorder="1" applyAlignment="1">
      <alignment horizontal="center" vertical="center"/>
    </xf>
    <xf numFmtId="0" fontId="209" fillId="0" borderId="11" xfId="0" applyFont="1" applyBorder="1" applyAlignment="1">
      <alignment horizontal="center" vertical="center"/>
    </xf>
    <xf numFmtId="259" fontId="209" fillId="0" borderId="80" xfId="0" applyNumberFormat="1" applyFont="1" applyBorder="1" applyAlignment="1">
      <alignment horizontal="center" vertical="center"/>
    </xf>
    <xf numFmtId="259" fontId="209" fillId="0" borderId="89" xfId="0" applyNumberFormat="1" applyFont="1" applyBorder="1" applyAlignment="1">
      <alignment horizontal="center" vertical="center"/>
    </xf>
    <xf numFmtId="184" fontId="209" fillId="0" borderId="80" xfId="0" applyNumberFormat="1" applyFont="1" applyBorder="1" applyAlignment="1">
      <alignment horizontal="center" vertical="center"/>
    </xf>
    <xf numFmtId="184" fontId="209" fillId="0" borderId="52" xfId="0" applyNumberFormat="1" applyFont="1" applyBorder="1" applyAlignment="1">
      <alignment horizontal="center" vertical="center"/>
    </xf>
    <xf numFmtId="0" fontId="209" fillId="0" borderId="79" xfId="0" applyFont="1" applyBorder="1" applyAlignment="1">
      <alignment horizontal="center" vertical="center"/>
    </xf>
    <xf numFmtId="0" fontId="209" fillId="0" borderId="51" xfId="0" applyFont="1" applyBorder="1" applyAlignment="1">
      <alignment horizontal="center" vertical="center"/>
    </xf>
    <xf numFmtId="0" fontId="209" fillId="0" borderId="52" xfId="0" applyFont="1" applyBorder="1" applyAlignment="1">
      <alignment horizontal="center" vertical="center"/>
    </xf>
    <xf numFmtId="0" fontId="210" fillId="0" borderId="46" xfId="0" applyFont="1" applyBorder="1">
      <alignment vertical="center"/>
    </xf>
    <xf numFmtId="0" fontId="210" fillId="0" borderId="44" xfId="0" applyFont="1" applyBorder="1">
      <alignment vertical="center"/>
    </xf>
    <xf numFmtId="0" fontId="210" fillId="0" borderId="45" xfId="0" applyFont="1" applyBorder="1">
      <alignment vertical="center"/>
    </xf>
    <xf numFmtId="0" fontId="209" fillId="0" borderId="63" xfId="0" applyFont="1" applyBorder="1" applyAlignment="1">
      <alignment horizontal="left" vertical="center"/>
    </xf>
    <xf numFmtId="0" fontId="209" fillId="0" borderId="59" xfId="0" applyFont="1" applyBorder="1" applyAlignment="1">
      <alignment horizontal="left" vertical="center"/>
    </xf>
    <xf numFmtId="0" fontId="209" fillId="0" borderId="60" xfId="0" applyFont="1" applyBorder="1" applyAlignment="1">
      <alignment horizontal="left" vertical="center"/>
    </xf>
    <xf numFmtId="0" fontId="210" fillId="0" borderId="79" xfId="0" applyFont="1" applyBorder="1">
      <alignment vertical="center"/>
    </xf>
    <xf numFmtId="0" fontId="210" fillId="0" borderId="51" xfId="0" applyFont="1" applyBorder="1">
      <alignment vertical="center"/>
    </xf>
    <xf numFmtId="0" fontId="209" fillId="0" borderId="80" xfId="0" applyFont="1" applyBorder="1" applyAlignment="1">
      <alignment horizontal="left" vertical="center"/>
    </xf>
    <xf numFmtId="0" fontId="209" fillId="0" borderId="51" xfId="0" applyFont="1" applyBorder="1" applyAlignment="1">
      <alignment horizontal="left" vertical="center"/>
    </xf>
    <xf numFmtId="0" fontId="209" fillId="0" borderId="85" xfId="0" applyFont="1" applyBorder="1">
      <alignment vertical="center"/>
    </xf>
    <xf numFmtId="0" fontId="209" fillId="0" borderId="86" xfId="0" applyFont="1" applyBorder="1">
      <alignment vertical="center"/>
    </xf>
    <xf numFmtId="0" fontId="209" fillId="0" borderId="87" xfId="0" applyFont="1" applyBorder="1">
      <alignment vertical="center"/>
    </xf>
    <xf numFmtId="0" fontId="209" fillId="0" borderId="67" xfId="0" applyFont="1" applyBorder="1" applyAlignment="1">
      <alignment horizontal="left" vertical="center" shrinkToFit="1"/>
    </xf>
    <xf numFmtId="0" fontId="209" fillId="0" borderId="47" xfId="0" applyFont="1" applyBorder="1" applyAlignment="1">
      <alignment horizontal="left" vertical="center" shrinkToFit="1"/>
    </xf>
    <xf numFmtId="0" fontId="209" fillId="0" borderId="48" xfId="0" applyFont="1" applyBorder="1" applyAlignment="1">
      <alignment horizontal="left" vertical="center" shrinkToFit="1"/>
    </xf>
    <xf numFmtId="0" fontId="209" fillId="0" borderId="79" xfId="0" applyFont="1" applyBorder="1" applyAlignment="1">
      <alignment horizontal="left" vertical="center"/>
    </xf>
    <xf numFmtId="0" fontId="209" fillId="0" borderId="52" xfId="0" applyFont="1" applyBorder="1" applyAlignment="1">
      <alignment horizontal="left" vertical="center"/>
    </xf>
    <xf numFmtId="257" fontId="209" fillId="0" borderId="79" xfId="0" applyNumberFormat="1" applyFont="1" applyBorder="1" applyAlignment="1">
      <alignment horizontal="left" vertical="center"/>
    </xf>
    <xf numFmtId="257" fontId="209" fillId="0" borderId="51" xfId="0" applyNumberFormat="1" applyFont="1" applyBorder="1" applyAlignment="1">
      <alignment horizontal="left" vertical="center"/>
    </xf>
    <xf numFmtId="257" fontId="209" fillId="0" borderId="52" xfId="0" applyNumberFormat="1" applyFont="1" applyBorder="1" applyAlignment="1">
      <alignment horizontal="left" vertical="center"/>
    </xf>
    <xf numFmtId="0" fontId="210" fillId="0" borderId="75" xfId="0" applyFont="1" applyBorder="1" applyAlignment="1">
      <alignment horizontal="left" vertical="top"/>
    </xf>
    <xf numFmtId="0" fontId="210" fillId="0" borderId="49" xfId="0" applyFont="1" applyBorder="1" applyAlignment="1">
      <alignment horizontal="left" vertical="top"/>
    </xf>
    <xf numFmtId="0" fontId="210" fillId="0" borderId="76" xfId="0" applyFont="1" applyBorder="1" applyAlignment="1">
      <alignment horizontal="left" vertical="top"/>
    </xf>
    <xf numFmtId="0" fontId="210" fillId="0" borderId="0" xfId="0" applyFont="1" applyAlignment="1">
      <alignment horizontal="left" vertical="top"/>
    </xf>
    <xf numFmtId="0" fontId="209" fillId="0" borderId="81" xfId="0" applyFont="1" applyBorder="1" applyAlignment="1">
      <alignment horizontal="left" vertical="center"/>
    </xf>
    <xf numFmtId="0" fontId="209" fillId="0" borderId="53" xfId="0" applyFont="1" applyBorder="1" applyAlignment="1">
      <alignment horizontal="left" vertical="center"/>
    </xf>
    <xf numFmtId="0" fontId="209" fillId="0" borderId="67" xfId="0" applyFont="1" applyBorder="1" applyAlignment="1">
      <alignment horizontal="center" vertical="center"/>
    </xf>
    <xf numFmtId="0" fontId="209" fillId="0" borderId="47" xfId="0" applyFont="1" applyBorder="1" applyAlignment="1">
      <alignment horizontal="center" vertical="center"/>
    </xf>
    <xf numFmtId="0" fontId="209" fillId="0" borderId="48" xfId="0" applyFont="1" applyBorder="1" applyAlignment="1">
      <alignment horizontal="center" vertical="center"/>
    </xf>
    <xf numFmtId="0" fontId="209" fillId="0" borderId="72" xfId="0" applyFont="1" applyBorder="1" applyAlignment="1">
      <alignment horizontal="center" vertical="center"/>
    </xf>
    <xf numFmtId="0" fontId="209" fillId="0" borderId="73" xfId="0" applyFont="1" applyBorder="1" applyAlignment="1">
      <alignment horizontal="center" vertical="center"/>
    </xf>
    <xf numFmtId="0" fontId="209" fillId="0" borderId="74" xfId="0" applyFont="1" applyBorder="1" applyAlignment="1">
      <alignment horizontal="center" vertical="center"/>
    </xf>
    <xf numFmtId="0" fontId="209" fillId="0" borderId="82" xfId="0" applyFont="1" applyBorder="1" applyAlignment="1">
      <alignment horizontal="center" vertical="center"/>
    </xf>
    <xf numFmtId="0" fontId="209" fillId="0" borderId="83" xfId="0" applyFont="1" applyBorder="1" applyAlignment="1">
      <alignment horizontal="center" vertical="center"/>
    </xf>
    <xf numFmtId="0" fontId="209" fillId="0" borderId="84" xfId="0" applyFont="1" applyBorder="1" applyAlignment="1">
      <alignment horizontal="center" vertical="center"/>
    </xf>
    <xf numFmtId="0" fontId="209" fillId="0" borderId="102" xfId="0" applyFont="1" applyBorder="1" applyAlignment="1">
      <alignment horizontal="left" vertical="center"/>
    </xf>
    <xf numFmtId="0" fontId="209" fillId="0" borderId="103" xfId="0" applyFont="1" applyBorder="1" applyAlignment="1">
      <alignment horizontal="left" vertical="center"/>
    </xf>
    <xf numFmtId="0" fontId="209" fillId="0" borderId="104" xfId="0" applyFont="1" applyBorder="1" applyAlignment="1">
      <alignment horizontal="left" vertical="center"/>
    </xf>
    <xf numFmtId="0" fontId="101" fillId="0" borderId="0" xfId="0" applyFont="1" applyAlignment="1">
      <alignment horizontal="left" vertical="center" wrapText="1"/>
    </xf>
    <xf numFmtId="0" fontId="203" fillId="0" borderId="0" xfId="0" applyFont="1" applyAlignment="1">
      <alignment horizontal="left" vertical="center"/>
    </xf>
    <xf numFmtId="0" fontId="203" fillId="0" borderId="50" xfId="0" applyFont="1" applyBorder="1" applyAlignment="1">
      <alignment horizontal="left" vertical="center"/>
    </xf>
    <xf numFmtId="0" fontId="212" fillId="0" borderId="0" xfId="0" applyFont="1" applyAlignment="1">
      <alignment horizontal="left" vertical="center"/>
    </xf>
    <xf numFmtId="0" fontId="213" fillId="0" borderId="0" xfId="0" applyFont="1" applyAlignment="1">
      <alignment horizontal="left" vertical="center"/>
    </xf>
    <xf numFmtId="0" fontId="209" fillId="0" borderId="50" xfId="0" applyFont="1" applyBorder="1" applyAlignment="1">
      <alignment horizontal="left" vertical="center"/>
    </xf>
    <xf numFmtId="257" fontId="209" fillId="0" borderId="50" xfId="0" applyNumberFormat="1" applyFont="1" applyBorder="1" applyAlignment="1">
      <alignment horizontal="center" vertical="center"/>
    </xf>
    <xf numFmtId="0" fontId="210" fillId="0" borderId="64" xfId="0" applyFont="1" applyBorder="1">
      <alignment vertical="center"/>
    </xf>
    <xf numFmtId="0" fontId="210" fillId="0" borderId="59" xfId="0" applyFont="1" applyBorder="1">
      <alignment vertical="center"/>
    </xf>
    <xf numFmtId="0" fontId="209" fillId="0" borderId="63" xfId="0" applyFont="1" applyBorder="1">
      <alignment vertical="center"/>
    </xf>
    <xf numFmtId="0" fontId="209" fillId="0" borderId="59" xfId="0" applyFont="1" applyBorder="1">
      <alignment vertical="center"/>
    </xf>
    <xf numFmtId="0" fontId="209" fillId="0" borderId="60" xfId="0" applyFont="1" applyBorder="1">
      <alignment vertical="center"/>
    </xf>
    <xf numFmtId="0" fontId="210" fillId="0" borderId="56" xfId="0" applyFont="1" applyBorder="1" applyAlignment="1">
      <alignment horizontal="left" vertical="top"/>
    </xf>
    <xf numFmtId="0" fontId="210" fillId="0" borderId="50" xfId="0" applyFont="1" applyBorder="1" applyAlignment="1">
      <alignment horizontal="left" vertical="top"/>
    </xf>
    <xf numFmtId="0" fontId="210" fillId="0" borderId="77" xfId="0" applyFont="1" applyBorder="1" applyAlignment="1">
      <alignment horizontal="left" vertical="center"/>
    </xf>
    <xf numFmtId="0" fontId="210" fillId="0" borderId="44" xfId="0" applyFont="1" applyBorder="1" applyAlignment="1">
      <alignment horizontal="left" vertical="center"/>
    </xf>
    <xf numFmtId="0" fontId="210" fillId="0" borderId="45" xfId="0" applyFont="1" applyBorder="1" applyAlignment="1">
      <alignment horizontal="left" vertical="center"/>
    </xf>
    <xf numFmtId="0" fontId="210" fillId="0" borderId="77" xfId="0" applyFont="1" applyBorder="1">
      <alignment vertical="center"/>
    </xf>
    <xf numFmtId="0" fontId="209" fillId="0" borderId="64" xfId="0" applyFont="1" applyBorder="1">
      <alignment vertical="center"/>
    </xf>
    <xf numFmtId="0" fontId="209" fillId="0" borderId="79" xfId="0" applyFont="1" applyBorder="1">
      <alignment vertical="center"/>
    </xf>
    <xf numFmtId="0" fontId="209" fillId="0" borderId="51" xfId="0" applyFont="1" applyBorder="1">
      <alignment vertical="center"/>
    </xf>
    <xf numFmtId="0" fontId="209" fillId="0" borderId="80" xfId="0" applyFont="1" applyBorder="1">
      <alignment vertical="center"/>
    </xf>
    <xf numFmtId="0" fontId="209" fillId="0" borderId="52" xfId="0" applyFont="1" applyBorder="1">
      <alignment vertical="center"/>
    </xf>
    <xf numFmtId="0" fontId="210" fillId="0" borderId="63" xfId="0" applyFont="1" applyBorder="1">
      <alignment vertical="center"/>
    </xf>
    <xf numFmtId="0" fontId="210" fillId="0" borderId="60" xfId="0" applyFont="1" applyBorder="1">
      <alignment vertical="center"/>
    </xf>
    <xf numFmtId="0" fontId="209" fillId="0" borderId="78" xfId="0" applyFont="1" applyBorder="1">
      <alignment vertical="center"/>
    </xf>
    <xf numFmtId="0" fontId="209" fillId="0" borderId="47" xfId="0" applyFont="1" applyBorder="1">
      <alignment vertical="center"/>
    </xf>
    <xf numFmtId="0" fontId="209" fillId="0" borderId="48" xfId="0" applyFont="1" applyBorder="1">
      <alignment vertical="center"/>
    </xf>
    <xf numFmtId="0" fontId="210" fillId="0" borderId="80" xfId="0" applyFont="1" applyBorder="1" applyAlignment="1">
      <alignment horizontal="left" vertical="center"/>
    </xf>
    <xf numFmtId="0" fontId="210" fillId="0" borderId="51" xfId="0" applyFont="1" applyBorder="1" applyAlignment="1">
      <alignment horizontal="left" vertical="center"/>
    </xf>
    <xf numFmtId="0" fontId="210" fillId="0" borderId="67" xfId="0" applyFont="1" applyBorder="1">
      <alignment vertical="center"/>
    </xf>
    <xf numFmtId="0" fontId="210" fillId="0" borderId="47" xfId="0" applyFont="1" applyBorder="1">
      <alignment vertical="center"/>
    </xf>
  </cellXfs>
  <cellStyles count="24">
    <cellStyle name="Normal 2" xfId="1" xr:uid="{00000000-0005-0000-0000-000000000000}"/>
    <cellStyle name="パーセント" xfId="22" builtinId="5"/>
    <cellStyle name="桁区切り" xfId="2" builtinId="6"/>
    <cellStyle name="桁区切り 2" xfId="3" xr:uid="{00000000-0005-0000-0000-000002000000}"/>
    <cellStyle name="桁区切り 3" xfId="4" xr:uid="{00000000-0005-0000-0000-000003000000}"/>
    <cellStyle name="通貨" xfId="5" builtinId="7"/>
    <cellStyle name="通貨 2" xfId="6" xr:uid="{00000000-0005-0000-0000-000005000000}"/>
    <cellStyle name="通貨 3" xfId="7" xr:uid="{00000000-0005-0000-0000-000006000000}"/>
    <cellStyle name="標準" xfId="0" builtinId="0"/>
    <cellStyle name="標準 11" xfId="20" xr:uid="{3FA020E9-A79C-4058-B757-1929A34B0FF7}"/>
    <cellStyle name="標準 15" xfId="8" xr:uid="{00000000-0005-0000-0000-000008000000}"/>
    <cellStyle name="標準 17" xfId="21" xr:uid="{52689775-D2AF-451D-AB82-D969E17736AC}"/>
    <cellStyle name="標準 2" xfId="9" xr:uid="{00000000-0005-0000-0000-000009000000}"/>
    <cellStyle name="標準 2 2" xfId="10" xr:uid="{00000000-0005-0000-0000-00000A000000}"/>
    <cellStyle name="標準 2 2 2" xfId="19" xr:uid="{00000000-0005-0000-0000-00000B000000}"/>
    <cellStyle name="標準 2 3" xfId="11" xr:uid="{00000000-0005-0000-0000-00000C000000}"/>
    <cellStyle name="標準 2 4" xfId="16" xr:uid="{00000000-0005-0000-0000-00000D000000}"/>
    <cellStyle name="標準 3" xfId="12" xr:uid="{00000000-0005-0000-0000-00000E000000}"/>
    <cellStyle name="標準 3 2" xfId="17" xr:uid="{00000000-0005-0000-0000-00000F000000}"/>
    <cellStyle name="標準 4" xfId="18" xr:uid="{00000000-0005-0000-0000-000010000000}"/>
    <cellStyle name="標準_Sheet1" xfId="13" xr:uid="{00000000-0005-0000-0000-000011000000}"/>
    <cellStyle name="標準_TempData1" xfId="23" xr:uid="{403716F3-5AD5-494D-A426-F526BA4F5067}"/>
    <cellStyle name="標準_ガルーン単価表（仮）-3" xfId="14" xr:uid="{00000000-0005-0000-0000-000012000000}"/>
    <cellStyle name="標準_価格表検証作業" xfId="15" xr:uid="{00000000-0005-0000-0000-000013000000}"/>
  </cellStyles>
  <dxfs count="79"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indexed="6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H$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firstButton="1" fmlaLink="#REF!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81645</xdr:rowOff>
    </xdr:from>
    <xdr:to>
      <xdr:col>10</xdr:col>
      <xdr:colOff>776475</xdr:colOff>
      <xdr:row>4</xdr:row>
      <xdr:rowOff>166008</xdr:rowOff>
    </xdr:to>
    <xdr:sp macro="[0]!PDF_BackOrder_SFAmerica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25175" y="738870"/>
          <a:ext cx="1548000" cy="303438"/>
        </a:xfrm>
        <a:prstGeom prst="bevel">
          <a:avLst/>
        </a:prstGeom>
        <a:ln w="9525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3</xdr:row>
      <xdr:rowOff>81645</xdr:rowOff>
    </xdr:from>
    <xdr:to>
      <xdr:col>12</xdr:col>
      <xdr:colOff>791443</xdr:colOff>
      <xdr:row>4</xdr:row>
      <xdr:rowOff>166008</xdr:rowOff>
    </xdr:to>
    <xdr:sp macro="[0]!PDF_BackOrder_SFOsak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45143" y="738870"/>
          <a:ext cx="1548000" cy="303438"/>
        </a:xfrm>
        <a:prstGeom prst="bevel">
          <a:avLst/>
        </a:prstGeom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13</xdr:col>
      <xdr:colOff>186418</xdr:colOff>
      <xdr:row>3</xdr:row>
      <xdr:rowOff>81645</xdr:rowOff>
    </xdr:from>
    <xdr:to>
      <xdr:col>14</xdr:col>
      <xdr:colOff>781918</xdr:colOff>
      <xdr:row>4</xdr:row>
      <xdr:rowOff>166008</xdr:rowOff>
    </xdr:to>
    <xdr:sp macro="[0]!PDF_同時実行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0618" y="738870"/>
          <a:ext cx="1548000" cy="303438"/>
        </a:xfrm>
        <a:prstGeom prst="bevel">
          <a:avLst/>
        </a:prstGeom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9</xdr:col>
      <xdr:colOff>171450</xdr:colOff>
      <xdr:row>5</xdr:row>
      <xdr:rowOff>39462</xdr:rowOff>
    </xdr:from>
    <xdr:to>
      <xdr:col>10</xdr:col>
      <xdr:colOff>776475</xdr:colOff>
      <xdr:row>6</xdr:row>
      <xdr:rowOff>123825</xdr:rowOff>
    </xdr:to>
    <xdr:sp macro="[0]!EXCEL_BackOrder_SFAmerica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925175" y="1134837"/>
          <a:ext cx="1548000" cy="303438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5</xdr:row>
      <xdr:rowOff>39462</xdr:rowOff>
    </xdr:from>
    <xdr:to>
      <xdr:col>12</xdr:col>
      <xdr:colOff>791443</xdr:colOff>
      <xdr:row>6</xdr:row>
      <xdr:rowOff>123825</xdr:rowOff>
    </xdr:to>
    <xdr:sp macro="[0]!EXCEL_BackOrder_SFOsak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845143" y="1134837"/>
          <a:ext cx="1548000" cy="303438"/>
        </a:xfrm>
        <a:prstGeom prst="bevel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 editAs="oneCell">
    <xdr:from>
      <xdr:col>6</xdr:col>
      <xdr:colOff>28575</xdr:colOff>
      <xdr:row>15</xdr:row>
      <xdr:rowOff>228600</xdr:rowOff>
    </xdr:from>
    <xdr:to>
      <xdr:col>6</xdr:col>
      <xdr:colOff>333375</xdr:colOff>
      <xdr:row>17</xdr:row>
      <xdr:rowOff>0</xdr:rowOff>
    </xdr:to>
    <xdr:sp macro="" textlink="">
      <xdr:nvSpPr>
        <xdr:cNvPr id="17412" name="Option 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3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15</xdr:row>
      <xdr:rowOff>228600</xdr:rowOff>
    </xdr:from>
    <xdr:to>
      <xdr:col>7</xdr:col>
      <xdr:colOff>314325</xdr:colOff>
      <xdr:row>17</xdr:row>
      <xdr:rowOff>0</xdr:rowOff>
    </xdr:to>
    <xdr:sp macro="" textlink="">
      <xdr:nvSpPr>
        <xdr:cNvPr id="17413" name="Option Button 5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:a16="http://schemas.microsoft.com/office/drawing/2014/main" id="{00000000-0008-0000-03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186417</xdr:colOff>
      <xdr:row>5</xdr:row>
      <xdr:rowOff>39462</xdr:rowOff>
    </xdr:from>
    <xdr:to>
      <xdr:col>14</xdr:col>
      <xdr:colOff>781917</xdr:colOff>
      <xdr:row>6</xdr:row>
      <xdr:rowOff>123825</xdr:rowOff>
    </xdr:to>
    <xdr:sp macro="[0]!EXCEL_BackOrder_BOTH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740617" y="1134837"/>
          <a:ext cx="1548000" cy="303438"/>
        </a:xfrm>
        <a:prstGeom prst="bevel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5</xdr:col>
      <xdr:colOff>57150</xdr:colOff>
      <xdr:row>2</xdr:row>
      <xdr:rowOff>0</xdr:rowOff>
    </xdr:from>
    <xdr:to>
      <xdr:col>5</xdr:col>
      <xdr:colOff>904875</xdr:colOff>
      <xdr:row>4</xdr:row>
      <xdr:rowOff>114300</xdr:rowOff>
    </xdr:to>
    <xdr:sp macro="" textlink="">
      <xdr:nvSpPr>
        <xdr:cNvPr id="17417" name="Button 9" hidden="1">
          <a:extLst>
            <a:ext uri="{63B3BB69-23CF-44E3-9099-C40C66FF867C}">
              <a14:compatExt xmlns:a14="http://schemas.microsoft.com/office/drawing/2010/main" spid="_x0000_s17417"/>
            </a:ext>
            <a:ext uri="{FF2B5EF4-FFF2-40B4-BE49-F238E27FC236}">
              <a16:creationId xmlns:a16="http://schemas.microsoft.com/office/drawing/2014/main" id="{00000000-0008-0000-0300-000009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SF米国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6</xdr:col>
      <xdr:colOff>57150</xdr:colOff>
      <xdr:row>2</xdr:row>
      <xdr:rowOff>0</xdr:rowOff>
    </xdr:from>
    <xdr:to>
      <xdr:col>6</xdr:col>
      <xdr:colOff>904875</xdr:colOff>
      <xdr:row>4</xdr:row>
      <xdr:rowOff>114300</xdr:rowOff>
    </xdr:to>
    <xdr:sp macro="" textlink="">
      <xdr:nvSpPr>
        <xdr:cNvPr id="17418" name="Button 10" hidden="1">
          <a:extLst>
            <a:ext uri="{63B3BB69-23CF-44E3-9099-C40C66FF867C}">
              <a14:compatExt xmlns:a14="http://schemas.microsoft.com/office/drawing/2010/main" spid="_x0000_s17418"/>
            </a:ext>
            <a:ext uri="{FF2B5EF4-FFF2-40B4-BE49-F238E27FC236}">
              <a16:creationId xmlns:a16="http://schemas.microsoft.com/office/drawing/2014/main" id="{00000000-0008-0000-0300-00000A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SF大阪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0</xdr:rowOff>
    </xdr:from>
    <xdr:to>
      <xdr:col>7</xdr:col>
      <xdr:colOff>904875</xdr:colOff>
      <xdr:row>4</xdr:row>
      <xdr:rowOff>114300</xdr:rowOff>
    </xdr:to>
    <xdr:sp macro="" textlink="">
      <xdr:nvSpPr>
        <xdr:cNvPr id="17422" name="Button 14" hidden="1">
          <a:extLst>
            <a:ext uri="{63B3BB69-23CF-44E3-9099-C40C66FF867C}">
              <a14:compatExt xmlns:a14="http://schemas.microsoft.com/office/drawing/2010/main" spid="_x0000_s17422"/>
            </a:ext>
            <a:ext uri="{FF2B5EF4-FFF2-40B4-BE49-F238E27FC236}">
              <a16:creationId xmlns:a16="http://schemas.microsoft.com/office/drawing/2014/main" id="{00000000-0008-0000-0300-00000E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明細を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クリア</a:t>
          </a:r>
        </a:p>
      </xdr:txBody>
    </xdr:sp>
    <xdr:clientData fPrintsWithSheet="0"/>
  </xdr:twoCellAnchor>
  <xdr:twoCellAnchor>
    <xdr:from>
      <xdr:col>8</xdr:col>
      <xdr:colOff>49306</xdr:colOff>
      <xdr:row>1</xdr:row>
      <xdr:rowOff>219075</xdr:rowOff>
    </xdr:from>
    <xdr:to>
      <xdr:col>8</xdr:col>
      <xdr:colOff>897031</xdr:colOff>
      <xdr:row>4</xdr:row>
      <xdr:rowOff>114300</xdr:rowOff>
    </xdr:to>
    <xdr:sp macro="" textlink="">
      <xdr:nvSpPr>
        <xdr:cNvPr id="17427" name="Button 19" hidden="1">
          <a:extLst>
            <a:ext uri="{63B3BB69-23CF-44E3-9099-C40C66FF867C}">
              <a14:compatExt xmlns:a14="http://schemas.microsoft.com/office/drawing/2010/main" spid="_x0000_s17427"/>
            </a:ext>
            <a:ext uri="{FF2B5EF4-FFF2-40B4-BE49-F238E27FC236}">
              <a16:creationId xmlns:a16="http://schemas.microsoft.com/office/drawing/2014/main" id="{00000000-0008-0000-0300-00001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改ページ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228600</xdr:rowOff>
        </xdr:from>
        <xdr:to>
          <xdr:col>6</xdr:col>
          <xdr:colOff>333375</xdr:colOff>
          <xdr:row>17</xdr:row>
          <xdr:rowOff>0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228600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3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228600</xdr:rowOff>
        </xdr:from>
        <xdr:to>
          <xdr:col>6</xdr:col>
          <xdr:colOff>314325</xdr:colOff>
          <xdr:row>17</xdr:row>
          <xdr:rowOff>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15</xdr:row>
          <xdr:rowOff>228600</xdr:rowOff>
        </xdr:from>
        <xdr:to>
          <xdr:col>7</xdr:col>
          <xdr:colOff>276225</xdr:colOff>
          <xdr:row>17</xdr:row>
          <xdr:rowOff>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4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4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4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38100</xdr:rowOff>
        </xdr:from>
        <xdr:to>
          <xdr:col>5</xdr:col>
          <xdr:colOff>942975</xdr:colOff>
          <xdr:row>5</xdr:row>
          <xdr:rowOff>85725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19050</xdr:rowOff>
        </xdr:from>
        <xdr:to>
          <xdr:col>8</xdr:col>
          <xdr:colOff>876300</xdr:colOff>
          <xdr:row>4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注文明細コピー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38100</xdr:rowOff>
        </xdr:from>
        <xdr:to>
          <xdr:col>6</xdr:col>
          <xdr:colOff>914400</xdr:colOff>
          <xdr:row>5</xdr:row>
          <xdr:rowOff>85725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注記クリア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7</xdr:col>
          <xdr:colOff>885825</xdr:colOff>
          <xdr:row>5</xdr:row>
          <xdr:rowOff>85725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メモクリア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38100</xdr:rowOff>
        </xdr:from>
        <xdr:to>
          <xdr:col>8</xdr:col>
          <xdr:colOff>876300</xdr:colOff>
          <xdr:row>5</xdr:row>
          <xdr:rowOff>85725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56030</xdr:colOff>
      <xdr:row>2</xdr:row>
      <xdr:rowOff>49999</xdr:rowOff>
    </xdr:from>
    <xdr:to>
      <xdr:col>10</xdr:col>
      <xdr:colOff>526676</xdr:colOff>
      <xdr:row>4</xdr:row>
      <xdr:rowOff>131641</xdr:rowOff>
    </xdr:to>
    <xdr:sp macro="[0]!PDF_発注書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668001" y="419793"/>
          <a:ext cx="1423146" cy="417819"/>
        </a:xfrm>
        <a:prstGeom prst="bevel">
          <a:avLst/>
        </a:prstGeom>
        <a:ln w="12700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PDF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10</xdr:col>
      <xdr:colOff>593913</xdr:colOff>
      <xdr:row>2</xdr:row>
      <xdr:rowOff>44824</xdr:rowOff>
    </xdr:from>
    <xdr:to>
      <xdr:col>11</xdr:col>
      <xdr:colOff>302559</xdr:colOff>
      <xdr:row>4</xdr:row>
      <xdr:rowOff>131641</xdr:rowOff>
    </xdr:to>
    <xdr:sp macro="[0]!EXCEL_発注書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58384" y="414618"/>
          <a:ext cx="1423146" cy="422994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EXCEL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190500</xdr:rowOff>
        </xdr:from>
        <xdr:to>
          <xdr:col>5</xdr:col>
          <xdr:colOff>342900</xdr:colOff>
          <xdr:row>4</xdr:row>
          <xdr:rowOff>38100</xdr:rowOff>
        </xdr:to>
        <xdr:sp macro="" textlink="">
          <xdr:nvSpPr>
            <xdr:cNvPr id="39937" name="Option 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190500</xdr:rowOff>
        </xdr:from>
        <xdr:to>
          <xdr:col>6</xdr:col>
          <xdr:colOff>323850</xdr:colOff>
          <xdr:row>4</xdr:row>
          <xdr:rowOff>38100</xdr:rowOff>
        </xdr:to>
        <xdr:sp macro="" textlink="">
          <xdr:nvSpPr>
            <xdr:cNvPr id="39938" name="Option 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228600</xdr:rowOff>
        </xdr:from>
        <xdr:to>
          <xdr:col>5</xdr:col>
          <xdr:colOff>333375</xdr:colOff>
          <xdr:row>4</xdr:row>
          <xdr:rowOff>19050</xdr:rowOff>
        </xdr:to>
        <xdr:sp macro="" textlink="">
          <xdr:nvSpPr>
            <xdr:cNvPr id="39939" name="Option 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228600</xdr:rowOff>
        </xdr:from>
        <xdr:to>
          <xdr:col>6</xdr:col>
          <xdr:colOff>314325</xdr:colOff>
          <xdr:row>4</xdr:row>
          <xdr:rowOff>19050</xdr:rowOff>
        </xdr:to>
        <xdr:sp macro="" textlink="">
          <xdr:nvSpPr>
            <xdr:cNvPr id="39940" name="Option 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7590</xdr:row>
      <xdr:rowOff>0</xdr:rowOff>
    </xdr:from>
    <xdr:to>
      <xdr:col>2</xdr:col>
      <xdr:colOff>1133475</xdr:colOff>
      <xdr:row>7593</xdr:row>
      <xdr:rowOff>19050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281650"/>
          <a:ext cx="581977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523875</xdr:colOff>
      <xdr:row>8235</xdr:row>
      <xdr:rowOff>73025</xdr:rowOff>
    </xdr:from>
    <xdr:to>
      <xdr:col>11</xdr:col>
      <xdr:colOff>161925</xdr:colOff>
      <xdr:row>8288</xdr:row>
      <xdr:rowOff>3175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20612100" y="1531578725"/>
          <a:ext cx="6610350" cy="10131425"/>
          <a:chOff x="3352800" y="1533740900"/>
          <a:chExt cx="7791450" cy="10388600"/>
        </a:xfrm>
      </xdr:grpSpPr>
      <xdr:pic>
        <xdr:nvPicPr>
          <xdr:cNvPr id="3" name="Picture 1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52800" y="1533740900"/>
            <a:ext cx="7791450" cy="10388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CxnSpPr/>
        </xdr:nvCxnSpPr>
        <xdr:spPr>
          <a:xfrm>
            <a:off x="5924550" y="1536887325"/>
            <a:ext cx="2628900" cy="0"/>
          </a:xfrm>
          <a:prstGeom prst="straightConnector1">
            <a:avLst/>
          </a:prstGeom>
          <a:ln>
            <a:solidFill>
              <a:srgbClr val="0070C0"/>
            </a:solidFill>
            <a:headEnd type="triangle"/>
            <a:tailEnd type="triangle"/>
          </a:ln>
        </xdr:spPr>
        <xdr:style>
          <a:lnRef idx="3">
            <a:schemeClr val="accent5"/>
          </a:lnRef>
          <a:fillRef idx="0">
            <a:schemeClr val="accent5"/>
          </a:fillRef>
          <a:effectRef idx="2">
            <a:schemeClr val="accent5"/>
          </a:effectRef>
          <a:fontRef idx="minor">
            <a:schemeClr val="tx1"/>
          </a:fontRef>
        </xdr:style>
      </xdr:cxn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 txBox="1"/>
        </xdr:nvSpPr>
        <xdr:spPr>
          <a:xfrm>
            <a:off x="6543675" y="1536530137"/>
            <a:ext cx="1343025" cy="27146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>
                <a:solidFill>
                  <a:srgbClr val="0070C0"/>
                </a:solidFill>
              </a:rPr>
              <a:t>生地全幅</a:t>
            </a:r>
            <a:r>
              <a:rPr kumimoji="1" lang="en-US" altLang="ja-JP" sz="1200" b="1">
                <a:solidFill>
                  <a:srgbClr val="0070C0"/>
                </a:solidFill>
              </a:rPr>
              <a:t>:</a:t>
            </a:r>
            <a:r>
              <a:rPr kumimoji="1" lang="en-US" altLang="ja-JP" sz="1200" b="1" baseline="0">
                <a:solidFill>
                  <a:srgbClr val="0070C0"/>
                </a:solidFill>
              </a:rPr>
              <a:t> 38mm </a:t>
            </a:r>
            <a:endParaRPr kumimoji="1" lang="ja-JP" altLang="en-US" sz="1200" b="1">
              <a:solidFill>
                <a:srgbClr val="0070C0"/>
              </a:solidFill>
            </a:endParaRPr>
          </a:p>
        </xdr:txBody>
      </xdr: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 flipV="1">
            <a:off x="6457950" y="1540935450"/>
            <a:ext cx="1600200" cy="9525"/>
          </a:xfrm>
          <a:prstGeom prst="straightConnector1">
            <a:avLst/>
          </a:prstGeom>
          <a:ln>
            <a:solidFill>
              <a:srgbClr val="FF00FF"/>
            </a:solidFill>
            <a:headEnd type="triangle"/>
            <a:tailEnd type="triangle"/>
          </a:ln>
        </xdr:spPr>
        <xdr:style>
          <a:lnRef idx="3">
            <a:schemeClr val="accent5"/>
          </a:lnRef>
          <a:fillRef idx="0">
            <a:schemeClr val="accent5"/>
          </a:fillRef>
          <a:effectRef idx="2">
            <a:schemeClr val="accent5"/>
          </a:effectRef>
          <a:fontRef idx="minor">
            <a:schemeClr val="tx1"/>
          </a:fontRef>
        </xdr:style>
      </xdr:cxnSp>
      <xdr:sp macro="" textlink="">
        <xdr:nvSpPr>
          <xdr:cNvPr id="12" name="テキスト ボックス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 txBox="1"/>
        </xdr:nvSpPr>
        <xdr:spPr>
          <a:xfrm>
            <a:off x="6553200" y="1541075150"/>
            <a:ext cx="1343025" cy="27146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>
                <a:solidFill>
                  <a:srgbClr val="FF00FF"/>
                </a:solidFill>
              </a:rPr>
              <a:t>仕上げ幅</a:t>
            </a:r>
            <a:r>
              <a:rPr kumimoji="1" lang="en-US" altLang="ja-JP" sz="1200" b="1">
                <a:solidFill>
                  <a:srgbClr val="FF00FF"/>
                </a:solidFill>
              </a:rPr>
              <a:t>:</a:t>
            </a:r>
            <a:r>
              <a:rPr kumimoji="1" lang="en-US" altLang="ja-JP" sz="1200" b="1" baseline="0">
                <a:solidFill>
                  <a:srgbClr val="FF00FF"/>
                </a:solidFill>
              </a:rPr>
              <a:t> 22mm </a:t>
            </a:r>
            <a:endParaRPr kumimoji="1" lang="ja-JP" altLang="en-US" sz="1200" b="1">
              <a:solidFill>
                <a:srgbClr val="FF00FF"/>
              </a:solidFill>
            </a:endParaRPr>
          </a:p>
        </xdr:txBody>
      </xdr: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 txBox="1"/>
        </xdr:nvSpPr>
        <xdr:spPr>
          <a:xfrm>
            <a:off x="7772400" y="1538284326"/>
            <a:ext cx="457200" cy="336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600" b="1">
                <a:solidFill>
                  <a:srgbClr val="FF0000"/>
                </a:solidFill>
              </a:rPr>
              <a:t>折</a:t>
            </a:r>
          </a:p>
        </xdr:txBody>
      </xdr: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 txBox="1"/>
        </xdr:nvSpPr>
        <xdr:spPr>
          <a:xfrm>
            <a:off x="6381750" y="1538589125"/>
            <a:ext cx="457200" cy="336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600" b="1">
                <a:solidFill>
                  <a:srgbClr val="FF0000"/>
                </a:solidFill>
              </a:rPr>
              <a:t>折</a:t>
            </a:r>
          </a:p>
        </xdr:txBody>
      </xdr: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CxnSpPr/>
        </xdr:nvCxnSpPr>
        <xdr:spPr>
          <a:xfrm flipV="1">
            <a:off x="8124825" y="1541821275"/>
            <a:ext cx="457200" cy="9525"/>
          </a:xfrm>
          <a:prstGeom prst="straightConnector1">
            <a:avLst/>
          </a:prstGeom>
          <a:ln>
            <a:solidFill>
              <a:srgbClr val="FFC000"/>
            </a:solidFill>
            <a:headEnd type="triangle"/>
            <a:tailEnd type="triangle"/>
          </a:ln>
        </xdr:spPr>
        <xdr:style>
          <a:lnRef idx="3">
            <a:schemeClr val="accent5"/>
          </a:lnRef>
          <a:fillRef idx="0">
            <a:schemeClr val="accent5"/>
          </a:fillRef>
          <a:effectRef idx="2">
            <a:schemeClr val="accent5"/>
          </a:effectRef>
          <a:fontRef idx="minor">
            <a:schemeClr val="tx1"/>
          </a:fontRef>
        </xdr:style>
      </xdr:cxn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 txBox="1"/>
        </xdr:nvSpPr>
        <xdr:spPr>
          <a:xfrm>
            <a:off x="8724901" y="1541722850"/>
            <a:ext cx="1085850" cy="27146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>
                <a:solidFill>
                  <a:srgbClr val="FFC000"/>
                </a:solidFill>
              </a:rPr>
              <a:t>折幅</a:t>
            </a:r>
            <a:r>
              <a:rPr kumimoji="1" lang="en-US" altLang="ja-JP" sz="1200" b="1">
                <a:solidFill>
                  <a:srgbClr val="FFC000"/>
                </a:solidFill>
              </a:rPr>
              <a:t>:</a:t>
            </a:r>
            <a:r>
              <a:rPr kumimoji="1" lang="en-US" altLang="ja-JP" sz="1200" b="1" baseline="0">
                <a:solidFill>
                  <a:srgbClr val="FFC000"/>
                </a:solidFill>
              </a:rPr>
              <a:t> </a:t>
            </a:r>
            <a:r>
              <a:rPr kumimoji="1" lang="ja-JP" altLang="en-US" sz="1200" b="1" baseline="0">
                <a:solidFill>
                  <a:srgbClr val="FFC000"/>
                </a:solidFill>
              </a:rPr>
              <a:t>約</a:t>
            </a:r>
            <a:r>
              <a:rPr kumimoji="1" lang="en-US" altLang="ja-JP" sz="1200" b="1" baseline="0">
                <a:solidFill>
                  <a:srgbClr val="FFC000"/>
                </a:solidFill>
              </a:rPr>
              <a:t>8mm </a:t>
            </a:r>
            <a:endParaRPr kumimoji="1" lang="ja-JP" altLang="en-US" sz="1200" b="1">
              <a:solidFill>
                <a:srgbClr val="FFC000"/>
              </a:solidFill>
            </a:endParaRPr>
          </a:p>
        </xdr:txBody>
      </xdr: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 flipV="1">
            <a:off x="5915025" y="1541516475"/>
            <a:ext cx="457200" cy="9525"/>
          </a:xfrm>
          <a:prstGeom prst="straightConnector1">
            <a:avLst/>
          </a:prstGeom>
          <a:ln>
            <a:solidFill>
              <a:srgbClr val="FFC000"/>
            </a:solidFill>
            <a:headEnd type="triangle"/>
            <a:tailEnd type="triangle"/>
          </a:ln>
        </xdr:spPr>
        <xdr:style>
          <a:lnRef idx="3">
            <a:schemeClr val="accent5"/>
          </a:lnRef>
          <a:fillRef idx="0">
            <a:schemeClr val="accent5"/>
          </a:fillRef>
          <a:effectRef idx="2">
            <a:schemeClr val="accent5"/>
          </a:effectRef>
          <a:fontRef idx="minor">
            <a:schemeClr val="tx1"/>
          </a:fontRef>
        </xdr:style>
      </xdr:cxnSp>
      <xdr:sp macro="" textlink="">
        <xdr:nvSpPr>
          <xdr:cNvPr id="21" name="テキスト ボックス 20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 txBox="1"/>
        </xdr:nvSpPr>
        <xdr:spPr>
          <a:xfrm>
            <a:off x="4724401" y="1541408525"/>
            <a:ext cx="1085850" cy="27146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>
                <a:solidFill>
                  <a:srgbClr val="FFC000"/>
                </a:solidFill>
              </a:rPr>
              <a:t>折幅</a:t>
            </a:r>
            <a:r>
              <a:rPr kumimoji="1" lang="en-US" altLang="ja-JP" sz="1200" b="1">
                <a:solidFill>
                  <a:srgbClr val="FFC000"/>
                </a:solidFill>
              </a:rPr>
              <a:t>:</a:t>
            </a:r>
            <a:r>
              <a:rPr kumimoji="1" lang="en-US" altLang="ja-JP" sz="1200" b="1" baseline="0">
                <a:solidFill>
                  <a:srgbClr val="FFC000"/>
                </a:solidFill>
              </a:rPr>
              <a:t> </a:t>
            </a:r>
            <a:r>
              <a:rPr kumimoji="1" lang="ja-JP" altLang="en-US" sz="1200" b="1" baseline="0">
                <a:solidFill>
                  <a:srgbClr val="FFC000"/>
                </a:solidFill>
              </a:rPr>
              <a:t>約</a:t>
            </a:r>
            <a:r>
              <a:rPr kumimoji="1" lang="en-US" altLang="ja-JP" sz="1200" b="1" baseline="0">
                <a:solidFill>
                  <a:srgbClr val="FFC000"/>
                </a:solidFill>
              </a:rPr>
              <a:t>8mm </a:t>
            </a:r>
            <a:endParaRPr kumimoji="1" lang="ja-JP" altLang="en-US" sz="1200" b="1">
              <a:solidFill>
                <a:srgbClr val="FFC000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5</xdr:row>
          <xdr:rowOff>228600</xdr:rowOff>
        </xdr:from>
        <xdr:to>
          <xdr:col>22</xdr:col>
          <xdr:colOff>323850</xdr:colOff>
          <xdr:row>7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5</xdr:row>
          <xdr:rowOff>228600</xdr:rowOff>
        </xdr:from>
        <xdr:to>
          <xdr:col>26</xdr:col>
          <xdr:colOff>66675</xdr:colOff>
          <xdr:row>7</xdr:row>
          <xdr:rowOff>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001/Desktop/Outerwear%20Quotation%20=%20Offer%20List%20=%2030-JULY-2019/Updated%20Price%20List%20by%20Dickson%20-%2015-JULY-2022/20220715%20%20EU%20USA%20Market%20Price%20List%20US%20with%20new%20column%20heading-15JULY2022.xlsm" TargetMode="External"/><Relationship Id="rId1" Type="http://schemas.openxmlformats.org/officeDocument/2006/relationships/externalLinkPath" Target="/Users/User001/Desktop/Outerwear%20Quotation%20=%20Offer%20List%20=%2030-JULY-2019/Updated%20Price%20List%20by%20Dickson%20-%2015-JULY-2022/20220715%20%20EU%20USA%20Market%20Price%20List%20US%20with%20new%20column%20heading-15JULY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w To"/>
      <sheetName val="OfferList"/>
      <sheetName val="History"/>
      <sheetName val="Unit_List"/>
      <sheetName val="Master"/>
    </sheetNames>
    <sheetDataSet>
      <sheetData sheetId="0"/>
      <sheetData sheetId="1"/>
      <sheetData sheetId="2"/>
      <sheetData sheetId="3"/>
      <sheetData sheetId="4">
        <row r="2">
          <cell r="D2" t="str">
            <v>FOB Qingdao China</v>
          </cell>
          <cell r="K2" t="str">
            <v>USD</v>
          </cell>
        </row>
        <row r="3">
          <cell r="D3" t="str">
            <v>FOB Chiang Mai Thailand</v>
          </cell>
          <cell r="K3" t="str">
            <v>RMB</v>
          </cell>
        </row>
        <row r="4">
          <cell r="D4" t="str">
            <v>FOB</v>
          </cell>
          <cell r="K4" t="str">
            <v>EUR</v>
          </cell>
        </row>
        <row r="5">
          <cell r="D5" t="str">
            <v>CIF by air or courier</v>
          </cell>
          <cell r="K5" t="str">
            <v>THB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828"/>
  <sheetViews>
    <sheetView tabSelected="1" view="pageBreakPreview" zoomScale="85" zoomScaleNormal="100" zoomScaleSheetLayoutView="85" workbookViewId="0">
      <pane xSplit="11" ySplit="8" topLeftCell="L4402" activePane="bottomRight" state="frozen"/>
      <selection activeCell="C36" activeCellId="1" sqref="K36:K39 C36"/>
      <selection pane="topRight" activeCell="C36" activeCellId="1" sqref="K36:K39 C36"/>
      <selection pane="bottomLeft" activeCell="C36" activeCellId="1" sqref="K36:K39 C36"/>
      <selection pane="bottomRight" activeCell="D4409" sqref="D4409"/>
    </sheetView>
  </sheetViews>
  <sheetFormatPr defaultColWidth="9" defaultRowHeight="14.25"/>
  <cols>
    <col min="1" max="1" width="5.875" style="1" bestFit="1" customWidth="1"/>
    <col min="2" max="2" width="9" style="28"/>
    <col min="3" max="3" width="32.5" style="3" customWidth="1"/>
    <col min="4" max="4" width="31.625" style="1" customWidth="1"/>
    <col min="5" max="5" width="22.75" style="28" customWidth="1"/>
    <col min="6" max="6" width="14.25" style="28" customWidth="1"/>
    <col min="7" max="7" width="19.375" style="28" customWidth="1"/>
    <col min="8" max="8" width="17.625" style="1" customWidth="1"/>
    <col min="9" max="9" width="13.125" style="1" bestFit="1" customWidth="1"/>
    <col min="10" max="10" width="19.375" style="1" customWidth="1"/>
    <col min="11" max="11" width="15.125" style="1" bestFit="1" customWidth="1"/>
    <col min="12" max="12" width="20.875" style="1" customWidth="1"/>
    <col min="13" max="13" width="12.625" style="28" customWidth="1"/>
    <col min="14" max="14" width="17.125" style="1" customWidth="1"/>
    <col min="15" max="15" width="14.75" style="2" bestFit="1" customWidth="1"/>
    <col min="16" max="16" width="14.375" style="1" customWidth="1"/>
    <col min="17" max="17" width="15.125" style="1" bestFit="1" customWidth="1"/>
    <col min="18" max="18" width="15.125" style="1" customWidth="1"/>
    <col min="19" max="19" width="16.25" style="488" bestFit="1" customWidth="1"/>
    <col min="20" max="20" width="16.25" style="562" bestFit="1" customWidth="1"/>
    <col min="21" max="21" width="17.125" style="499" bestFit="1" customWidth="1"/>
    <col min="22" max="22" width="17.875" style="545" customWidth="1"/>
    <col min="23" max="23" width="17" style="1" bestFit="1" customWidth="1"/>
    <col min="24" max="24" width="12.375" style="1" bestFit="1" customWidth="1"/>
    <col min="25" max="25" width="9" style="1"/>
    <col min="26" max="26" width="12.375" style="1" bestFit="1" customWidth="1"/>
    <col min="27" max="16384" width="9" style="1"/>
  </cols>
  <sheetData>
    <row r="1" spans="1:23" s="7" customFormat="1" ht="15.75" thickBot="1">
      <c r="B1" s="12"/>
      <c r="C1" s="470" t="s">
        <v>1852</v>
      </c>
      <c r="D1" s="471" t="s">
        <v>1853</v>
      </c>
      <c r="E1" s="471" t="s">
        <v>1854</v>
      </c>
      <c r="F1" s="472" t="s">
        <v>1855</v>
      </c>
      <c r="G1" s="85" t="s">
        <v>1999</v>
      </c>
      <c r="H1" s="453"/>
      <c r="I1" s="454"/>
      <c r="J1" s="453"/>
      <c r="K1" s="180"/>
      <c r="L1" s="554"/>
      <c r="M1" s="554"/>
      <c r="N1" s="457"/>
      <c r="O1" s="2053" t="s">
        <v>6152</v>
      </c>
      <c r="P1" s="179"/>
      <c r="Q1" s="180"/>
      <c r="S1" s="489"/>
      <c r="T1" s="113"/>
      <c r="U1" s="511"/>
      <c r="V1" s="494"/>
    </row>
    <row r="2" spans="1:23" s="7" customFormat="1" ht="15.75" thickTop="1">
      <c r="B2" s="12"/>
      <c r="C2" s="1859" t="s">
        <v>1856</v>
      </c>
      <c r="D2" s="473" t="s">
        <v>1857</v>
      </c>
      <c r="E2" s="474">
        <v>0.88</v>
      </c>
      <c r="F2" s="475">
        <v>0.6</v>
      </c>
      <c r="G2" s="12"/>
      <c r="H2" s="453"/>
      <c r="I2" s="454"/>
      <c r="J2" s="453"/>
      <c r="K2" s="46">
        <f>ROUNDUP(S2/0.6/90,2)</f>
        <v>0</v>
      </c>
      <c r="L2" t="s">
        <v>2557</v>
      </c>
      <c r="M2" s="456"/>
      <c r="N2" s="457"/>
      <c r="O2" s="455"/>
      <c r="P2" s="179"/>
      <c r="Q2" s="180"/>
      <c r="S2" s="489"/>
      <c r="T2" s="113"/>
      <c r="U2" s="511"/>
      <c r="V2" s="494"/>
    </row>
    <row r="3" spans="1:23" s="7" customFormat="1" ht="15">
      <c r="B3" s="12"/>
      <c r="C3" s="476" t="s">
        <v>1858</v>
      </c>
      <c r="D3" s="477" t="s">
        <v>1859</v>
      </c>
      <c r="E3" s="478">
        <v>0.94</v>
      </c>
      <c r="F3" s="479">
        <v>0.8</v>
      </c>
      <c r="G3" s="85" t="s">
        <v>3433</v>
      </c>
      <c r="H3" s="453"/>
      <c r="I3" s="454"/>
      <c r="J3" s="453"/>
      <c r="K3" s="180"/>
      <c r="L3" s="456"/>
      <c r="M3" s="456"/>
      <c r="N3" s="457"/>
      <c r="O3" s="455">
        <v>3573</v>
      </c>
      <c r="P3" s="179"/>
      <c r="Q3" s="180"/>
      <c r="S3" s="489"/>
      <c r="T3" s="113"/>
      <c r="U3" s="511"/>
      <c r="V3" s="494"/>
    </row>
    <row r="4" spans="1:23" s="7" customFormat="1" ht="15">
      <c r="B4" s="12"/>
      <c r="C4" s="476" t="s">
        <v>1860</v>
      </c>
      <c r="D4" s="477" t="s">
        <v>1864</v>
      </c>
      <c r="E4" s="478">
        <v>0.88</v>
      </c>
      <c r="F4" s="479">
        <v>0.6</v>
      </c>
      <c r="G4" s="12"/>
      <c r="H4" s="453"/>
      <c r="I4" s="454"/>
      <c r="J4" s="453"/>
      <c r="K4" s="180"/>
      <c r="L4" s="456"/>
      <c r="M4" s="456"/>
      <c r="N4" s="457"/>
      <c r="O4" s="455"/>
      <c r="P4" s="179"/>
      <c r="Q4" s="180"/>
      <c r="S4" s="489"/>
      <c r="T4" s="113"/>
      <c r="U4" s="511"/>
      <c r="V4" s="494"/>
    </row>
    <row r="5" spans="1:23" s="7" customFormat="1" ht="15">
      <c r="B5" s="12"/>
      <c r="C5" s="476" t="s">
        <v>1861</v>
      </c>
      <c r="D5" s="477" t="s">
        <v>1865</v>
      </c>
      <c r="E5" s="478">
        <v>0.94</v>
      </c>
      <c r="F5" s="479">
        <v>0.8</v>
      </c>
      <c r="G5" s="12"/>
      <c r="H5" s="453"/>
      <c r="I5" s="454"/>
      <c r="J5" s="453"/>
      <c r="K5" s="180"/>
      <c r="L5" s="456"/>
      <c r="M5" s="456"/>
      <c r="N5" s="457"/>
      <c r="O5" s="455"/>
      <c r="P5" s="179"/>
      <c r="Q5" s="180"/>
      <c r="S5" s="489"/>
      <c r="T5" s="113"/>
      <c r="U5" s="511"/>
      <c r="V5" s="494"/>
    </row>
    <row r="6" spans="1:23" s="7" customFormat="1" ht="15">
      <c r="B6" s="12"/>
      <c r="C6" s="800" t="s">
        <v>1862</v>
      </c>
      <c r="D6" s="801" t="s">
        <v>1863</v>
      </c>
      <c r="E6" s="802">
        <v>1</v>
      </c>
      <c r="F6" s="803">
        <v>1</v>
      </c>
      <c r="G6" s="12"/>
      <c r="H6" s="453"/>
      <c r="I6" s="454"/>
      <c r="J6" s="453"/>
      <c r="K6" s="180"/>
      <c r="L6" s="456"/>
      <c r="M6" s="456"/>
      <c r="N6" s="457"/>
      <c r="O6" s="455"/>
      <c r="P6" s="179"/>
      <c r="Q6" s="180"/>
      <c r="S6" s="489"/>
      <c r="T6" s="113"/>
      <c r="U6" s="511"/>
      <c r="V6" s="494"/>
    </row>
    <row r="7" spans="1:23" s="7" customFormat="1" ht="15.75" thickBot="1">
      <c r="B7" s="12"/>
      <c r="C7" s="480" t="s">
        <v>2435</v>
      </c>
      <c r="D7" s="799" t="s">
        <v>2436</v>
      </c>
      <c r="E7" s="478">
        <v>0.94</v>
      </c>
      <c r="F7" s="479">
        <v>0.8</v>
      </c>
      <c r="G7" s="12"/>
      <c r="H7" s="453"/>
      <c r="I7" s="454"/>
      <c r="J7" s="453"/>
      <c r="K7" s="180"/>
      <c r="L7" s="456"/>
      <c r="M7" s="456"/>
      <c r="N7" s="457"/>
      <c r="O7" s="455"/>
      <c r="P7" s="179"/>
      <c r="Q7" s="180"/>
      <c r="S7" s="489"/>
      <c r="T7" s="113"/>
      <c r="U7" s="511"/>
      <c r="V7" s="494"/>
    </row>
    <row r="8" spans="1:23" s="356" customFormat="1" ht="15.75">
      <c r="A8" s="458"/>
      <c r="B8" s="459" t="s">
        <v>1845</v>
      </c>
      <c r="C8" s="460" t="s">
        <v>105</v>
      </c>
      <c r="D8" s="461" t="s">
        <v>202</v>
      </c>
      <c r="E8" s="462" t="s">
        <v>1603</v>
      </c>
      <c r="F8" s="463" t="s">
        <v>52</v>
      </c>
      <c r="G8" s="464" t="s">
        <v>128</v>
      </c>
      <c r="H8" s="465" t="s">
        <v>2</v>
      </c>
      <c r="I8" s="465" t="s">
        <v>182</v>
      </c>
      <c r="J8" s="465" t="s">
        <v>181</v>
      </c>
      <c r="K8" s="466" t="s">
        <v>1203</v>
      </c>
      <c r="L8" s="558" t="s">
        <v>846</v>
      </c>
      <c r="M8" s="558" t="s">
        <v>2213</v>
      </c>
      <c r="N8" s="579" t="s">
        <v>1894</v>
      </c>
      <c r="O8" s="467" t="s">
        <v>1846</v>
      </c>
      <c r="P8" s="468" t="s">
        <v>1848</v>
      </c>
      <c r="Q8" s="469" t="s">
        <v>1849</v>
      </c>
      <c r="R8" s="1622" t="s">
        <v>5342</v>
      </c>
      <c r="S8" s="552" t="s">
        <v>1225</v>
      </c>
      <c r="T8" s="461" t="s">
        <v>1226</v>
      </c>
      <c r="U8" s="552" t="s">
        <v>1850</v>
      </c>
      <c r="V8" s="553" t="s">
        <v>1851</v>
      </c>
      <c r="W8" s="2040" t="s">
        <v>6106</v>
      </c>
    </row>
    <row r="9" spans="1:23" s="7" customFormat="1" ht="15" customHeight="1">
      <c r="A9" s="458"/>
      <c r="B9" s="459"/>
      <c r="C9" s="272" t="s">
        <v>2979</v>
      </c>
      <c r="D9" s="273"/>
      <c r="E9" s="274"/>
      <c r="F9" s="275"/>
      <c r="G9" s="276"/>
      <c r="H9" s="277"/>
      <c r="I9" s="278"/>
      <c r="J9" s="277"/>
      <c r="K9" s="279"/>
      <c r="L9" s="9"/>
      <c r="M9" s="14"/>
      <c r="N9" s="6"/>
      <c r="O9" s="280"/>
      <c r="P9" s="271"/>
      <c r="Q9" s="271"/>
      <c r="S9" s="489"/>
      <c r="T9" s="113"/>
      <c r="U9" s="505"/>
      <c r="V9" s="494"/>
    </row>
    <row r="10" spans="1:23" s="7" customFormat="1" ht="15" customHeight="1">
      <c r="B10" s="12"/>
      <c r="C10" s="449" t="s">
        <v>1827</v>
      </c>
      <c r="D10" s="273"/>
      <c r="E10" s="274"/>
      <c r="F10" s="275"/>
      <c r="G10" s="276"/>
      <c r="H10" s="277"/>
      <c r="I10" s="278"/>
      <c r="J10" s="277"/>
      <c r="K10" s="279"/>
      <c r="L10" s="327"/>
      <c r="M10" s="785"/>
      <c r="N10" s="6"/>
      <c r="O10" s="280"/>
      <c r="P10" s="271"/>
      <c r="Q10" s="271"/>
      <c r="S10" s="489"/>
      <c r="T10" s="113"/>
      <c r="U10" s="505"/>
      <c r="V10" s="494"/>
    </row>
    <row r="11" spans="1:23" s="7" customFormat="1" ht="15" customHeight="1">
      <c r="B11" s="12"/>
      <c r="C11" s="449" t="s">
        <v>1678</v>
      </c>
      <c r="D11" s="273"/>
      <c r="E11" s="274"/>
      <c r="F11" s="275"/>
      <c r="G11" s="276"/>
      <c r="H11" s="277"/>
      <c r="I11" s="278"/>
      <c r="J11" s="277"/>
      <c r="K11" s="279"/>
      <c r="L11" s="9"/>
      <c r="M11" s="14"/>
      <c r="N11" s="6"/>
      <c r="O11" s="280"/>
      <c r="P11" s="271"/>
      <c r="Q11" s="271"/>
      <c r="S11" s="489"/>
      <c r="T11" s="113"/>
      <c r="U11" s="505"/>
      <c r="V11" s="494"/>
    </row>
    <row r="12" spans="1:23" s="7" customFormat="1" ht="15" customHeight="1">
      <c r="B12" s="12"/>
      <c r="C12" s="449" t="s">
        <v>1826</v>
      </c>
      <c r="D12" s="273"/>
      <c r="E12" s="274"/>
      <c r="F12" s="275"/>
      <c r="G12" s="276"/>
      <c r="H12" s="277"/>
      <c r="I12" s="278"/>
      <c r="J12" s="277"/>
      <c r="K12" s="279"/>
      <c r="L12" s="9"/>
      <c r="M12" s="14"/>
      <c r="N12" s="6"/>
      <c r="O12" s="280"/>
      <c r="P12" s="271"/>
      <c r="Q12" s="271"/>
      <c r="S12" s="489"/>
      <c r="T12" s="113"/>
      <c r="U12" s="505"/>
      <c r="V12" s="494"/>
    </row>
    <row r="13" spans="1:23" s="7" customFormat="1" ht="15" customHeight="1">
      <c r="B13" s="12"/>
      <c r="C13" s="449" t="s">
        <v>1828</v>
      </c>
      <c r="D13" s="273"/>
      <c r="E13" s="274"/>
      <c r="F13" s="275"/>
      <c r="G13" s="276"/>
      <c r="H13" s="277"/>
      <c r="I13" s="278"/>
      <c r="J13" s="277"/>
      <c r="K13" s="279"/>
      <c r="L13" s="9"/>
      <c r="M13" s="14"/>
      <c r="N13" s="6"/>
      <c r="O13" s="280"/>
      <c r="P13" s="271"/>
      <c r="Q13" s="271"/>
      <c r="S13" s="489"/>
      <c r="T13" s="113"/>
      <c r="U13" s="505"/>
      <c r="V13" s="494"/>
    </row>
    <row r="14" spans="1:23" s="7" customFormat="1" ht="15" customHeight="1">
      <c r="B14" s="12"/>
      <c r="C14" s="1860" t="s">
        <v>2598</v>
      </c>
      <c r="D14" s="273"/>
      <c r="E14" s="274"/>
      <c r="F14" s="275"/>
      <c r="G14" s="276"/>
      <c r="H14" s="277"/>
      <c r="I14" s="278"/>
      <c r="J14" s="277"/>
      <c r="K14" s="279"/>
      <c r="L14" s="9"/>
      <c r="M14" s="14"/>
      <c r="N14" s="6"/>
      <c r="O14" s="280"/>
      <c r="P14" s="271"/>
      <c r="Q14" s="271"/>
      <c r="S14" s="533" t="s">
        <v>1226</v>
      </c>
      <c r="T14" s="113"/>
      <c r="U14" s="514" t="s">
        <v>1225</v>
      </c>
      <c r="V14" s="494"/>
    </row>
    <row r="15" spans="1:23" s="7" customFormat="1" ht="15" customHeight="1">
      <c r="A15" s="458"/>
      <c r="B15" s="459"/>
      <c r="C15" s="272" t="s">
        <v>1642</v>
      </c>
      <c r="D15" s="273"/>
      <c r="E15" s="274"/>
      <c r="F15" s="275"/>
      <c r="G15" s="276"/>
      <c r="H15" s="277"/>
      <c r="I15" s="278"/>
      <c r="J15" s="277"/>
      <c r="K15" s="279"/>
      <c r="L15" s="9"/>
      <c r="M15" s="14"/>
      <c r="N15" s="6"/>
      <c r="O15" s="280"/>
      <c r="P15" s="271"/>
      <c r="Q15" s="271"/>
      <c r="S15" s="489"/>
      <c r="T15" s="113"/>
      <c r="U15" s="505"/>
      <c r="V15" s="494"/>
    </row>
    <row r="16" spans="1:23" s="7" customFormat="1" ht="15" customHeight="1">
      <c r="B16" s="12"/>
      <c r="C16" s="449" t="s">
        <v>1827</v>
      </c>
      <c r="D16" s="273"/>
      <c r="E16" s="274"/>
      <c r="F16" s="275"/>
      <c r="G16" s="276"/>
      <c r="H16" s="277"/>
      <c r="I16" s="278"/>
      <c r="J16" s="277"/>
      <c r="K16" s="279"/>
      <c r="L16" s="327"/>
      <c r="M16" s="785"/>
      <c r="N16" s="6"/>
      <c r="O16" s="280"/>
      <c r="P16" s="271"/>
      <c r="Q16" s="271"/>
      <c r="S16" s="489"/>
      <c r="T16" s="113"/>
      <c r="U16" s="505"/>
      <c r="V16" s="494"/>
    </row>
    <row r="17" spans="1:22" s="7" customFormat="1" ht="15" customHeight="1">
      <c r="B17" s="12"/>
      <c r="C17" s="449" t="s">
        <v>1678</v>
      </c>
      <c r="D17" s="273"/>
      <c r="E17" s="274"/>
      <c r="F17" s="275"/>
      <c r="G17" s="276"/>
      <c r="H17" s="277"/>
      <c r="I17" s="278"/>
      <c r="J17" s="277"/>
      <c r="K17" s="279"/>
      <c r="L17" s="9"/>
      <c r="M17" s="14"/>
      <c r="N17" s="6"/>
      <c r="O17" s="280"/>
      <c r="P17" s="271"/>
      <c r="Q17" s="271"/>
      <c r="S17" s="489"/>
      <c r="T17" s="113"/>
      <c r="U17" s="505"/>
      <c r="V17" s="494"/>
    </row>
    <row r="18" spans="1:22" s="7" customFormat="1" ht="15" customHeight="1">
      <c r="B18" s="12"/>
      <c r="C18" s="449" t="s">
        <v>1826</v>
      </c>
      <c r="D18" s="273"/>
      <c r="E18" s="274"/>
      <c r="F18" s="275"/>
      <c r="G18" s="276"/>
      <c r="H18" s="277"/>
      <c r="I18" s="278"/>
      <c r="J18" s="277"/>
      <c r="K18" s="279"/>
      <c r="L18" s="9"/>
      <c r="M18" s="14"/>
      <c r="N18" s="6"/>
      <c r="O18" s="280"/>
      <c r="P18" s="271"/>
      <c r="Q18" s="271"/>
      <c r="S18" s="489"/>
      <c r="T18" s="113"/>
      <c r="U18" s="505"/>
      <c r="V18" s="494"/>
    </row>
    <row r="19" spans="1:22" s="7" customFormat="1" ht="15" customHeight="1">
      <c r="B19" s="12"/>
      <c r="C19" s="449" t="s">
        <v>1828</v>
      </c>
      <c r="D19" s="273"/>
      <c r="E19" s="274"/>
      <c r="F19" s="275"/>
      <c r="G19" s="276"/>
      <c r="H19" s="277"/>
      <c r="I19" s="278"/>
      <c r="J19" s="277"/>
      <c r="K19" s="279"/>
      <c r="L19" s="9"/>
      <c r="M19" s="14"/>
      <c r="N19" s="6"/>
      <c r="O19" s="280"/>
      <c r="P19" s="271"/>
      <c r="Q19" s="271"/>
      <c r="S19" s="489"/>
      <c r="T19" s="113"/>
      <c r="U19" s="505"/>
      <c r="V19" s="494"/>
    </row>
    <row r="20" spans="1:22" s="7" customFormat="1" ht="15" customHeight="1">
      <c r="B20" s="12"/>
      <c r="C20" s="1860" t="s">
        <v>2598</v>
      </c>
      <c r="D20" s="273"/>
      <c r="E20" s="274"/>
      <c r="F20" s="275"/>
      <c r="G20" s="276"/>
      <c r="H20" s="277"/>
      <c r="I20" s="278"/>
      <c r="J20" s="277"/>
      <c r="K20" s="279"/>
      <c r="L20" s="9"/>
      <c r="M20" s="14"/>
      <c r="N20" s="6"/>
      <c r="O20" s="280"/>
      <c r="P20" s="271"/>
      <c r="Q20" s="271"/>
      <c r="S20" s="533" t="s">
        <v>1226</v>
      </c>
      <c r="T20" s="113"/>
      <c r="U20" s="514" t="s">
        <v>1225</v>
      </c>
      <c r="V20" s="494"/>
    </row>
    <row r="21" spans="1:22" s="544" customFormat="1" ht="15.75">
      <c r="A21" s="458"/>
      <c r="B21" s="459" t="s">
        <v>1845</v>
      </c>
      <c r="C21" s="555" t="s">
        <v>105</v>
      </c>
      <c r="D21" s="461" t="s">
        <v>202</v>
      </c>
      <c r="E21" s="462" t="s">
        <v>1603</v>
      </c>
      <c r="F21" s="463" t="s">
        <v>52</v>
      </c>
      <c r="G21" s="556" t="s">
        <v>128</v>
      </c>
      <c r="H21" s="557" t="s">
        <v>2</v>
      </c>
      <c r="I21" s="557" t="s">
        <v>182</v>
      </c>
      <c r="J21" s="557" t="s">
        <v>181</v>
      </c>
      <c r="K21" s="466" t="s">
        <v>1203</v>
      </c>
      <c r="L21" s="467" t="s">
        <v>368</v>
      </c>
      <c r="M21" s="467"/>
      <c r="N21" s="558" t="s">
        <v>1847</v>
      </c>
      <c r="O21" s="467" t="s">
        <v>1846</v>
      </c>
      <c r="P21" s="468" t="s">
        <v>1848</v>
      </c>
      <c r="Q21" s="469" t="s">
        <v>1849</v>
      </c>
      <c r="S21" s="552" t="s">
        <v>1225</v>
      </c>
      <c r="T21" s="561" t="s">
        <v>1226</v>
      </c>
      <c r="U21" s="552" t="s">
        <v>1850</v>
      </c>
      <c r="V21" s="534" t="s">
        <v>1851</v>
      </c>
    </row>
    <row r="22" spans="1:22" ht="15">
      <c r="C22" s="6" t="s">
        <v>1221</v>
      </c>
      <c r="D22" s="15" t="s">
        <v>1126</v>
      </c>
      <c r="E22" s="20" t="s">
        <v>1127</v>
      </c>
      <c r="F22" s="26"/>
      <c r="G22" s="24"/>
      <c r="H22" s="67"/>
      <c r="I22" s="68"/>
      <c r="J22" s="67"/>
      <c r="K22" s="17" t="s">
        <v>134</v>
      </c>
      <c r="L22" s="39">
        <v>44134</v>
      </c>
      <c r="M22" s="39"/>
      <c r="N22" s="213">
        <v>44134</v>
      </c>
      <c r="O22" s="38" t="s">
        <v>1222</v>
      </c>
      <c r="P22" s="6"/>
      <c r="Q22" s="481"/>
      <c r="S22" s="489"/>
      <c r="T22" s="113"/>
      <c r="U22" s="500"/>
    </row>
    <row r="23" spans="1:22" ht="15">
      <c r="C23" s="6" t="s">
        <v>1221</v>
      </c>
      <c r="D23" s="15" t="s">
        <v>1126</v>
      </c>
      <c r="E23" s="24" t="s">
        <v>447</v>
      </c>
      <c r="F23" s="26"/>
      <c r="G23" s="24" t="s">
        <v>353</v>
      </c>
      <c r="H23" s="67">
        <v>50</v>
      </c>
      <c r="I23" s="68">
        <v>6</v>
      </c>
      <c r="J23" s="67">
        <f>H23*I23</f>
        <v>300</v>
      </c>
      <c r="K23" s="25">
        <v>0.27</v>
      </c>
      <c r="L23" s="39">
        <v>44134</v>
      </c>
      <c r="M23" s="39"/>
      <c r="N23" s="213">
        <v>44134</v>
      </c>
      <c r="O23" s="38" t="s">
        <v>1222</v>
      </c>
      <c r="P23" s="6" t="s">
        <v>23</v>
      </c>
      <c r="Q23" s="483">
        <v>0.22</v>
      </c>
      <c r="S23" s="489">
        <v>14.4</v>
      </c>
      <c r="T23" s="113">
        <f>S23*J23</f>
        <v>4320</v>
      </c>
      <c r="U23" s="500"/>
    </row>
    <row r="24" spans="1:22" s="7" customFormat="1" ht="15" customHeight="1">
      <c r="A24" s="1"/>
      <c r="B24" s="12"/>
      <c r="C24" s="6" t="s">
        <v>1221</v>
      </c>
      <c r="D24" s="15" t="s">
        <v>1126</v>
      </c>
      <c r="E24" s="24"/>
      <c r="F24" s="44"/>
      <c r="G24" s="44" t="s">
        <v>31</v>
      </c>
      <c r="H24" s="45"/>
      <c r="I24" s="152" ph="1"/>
      <c r="J24" s="45">
        <v>1</v>
      </c>
      <c r="K24" s="46">
        <v>12</v>
      </c>
      <c r="L24" s="39">
        <v>44134</v>
      </c>
      <c r="M24" s="39"/>
      <c r="N24" s="213">
        <v>44134</v>
      </c>
      <c r="O24" s="38" t="s">
        <v>1222</v>
      </c>
      <c r="P24" s="6"/>
      <c r="Q24" s="483">
        <v>12</v>
      </c>
      <c r="S24" s="489">
        <v>1100</v>
      </c>
      <c r="T24" s="113">
        <f>S24*J24</f>
        <v>1100</v>
      </c>
      <c r="U24" s="501"/>
      <c r="V24" s="494"/>
    </row>
    <row r="25" spans="1:22" s="314" customFormat="1" ht="15" customHeight="1">
      <c r="A25" s="1"/>
      <c r="B25" s="313"/>
      <c r="C25" s="302" t="s">
        <v>1221</v>
      </c>
      <c r="D25" s="303" t="s">
        <v>1126</v>
      </c>
      <c r="E25" s="304"/>
      <c r="F25" s="305"/>
      <c r="G25" s="305" t="s">
        <v>1227</v>
      </c>
      <c r="H25" s="307" t="s">
        <v>1228</v>
      </c>
      <c r="I25" s="308"/>
      <c r="J25" s="306"/>
      <c r="K25" s="316">
        <v>0</v>
      </c>
      <c r="L25" s="310">
        <v>44134</v>
      </c>
      <c r="M25" s="310"/>
      <c r="N25" s="311">
        <v>44134</v>
      </c>
      <c r="O25" s="309" t="s">
        <v>1222</v>
      </c>
      <c r="P25" s="302"/>
      <c r="Q25" s="485"/>
      <c r="S25" s="535">
        <v>0</v>
      </c>
      <c r="T25" s="322">
        <v>0</v>
      </c>
      <c r="U25" s="515"/>
      <c r="V25" s="549"/>
    </row>
    <row r="26" spans="1:22" s="7" customFormat="1" ht="15" customHeight="1">
      <c r="A26" s="1"/>
      <c r="B26" s="12"/>
      <c r="C26" s="6" t="s">
        <v>1223</v>
      </c>
      <c r="D26" s="15" t="s">
        <v>586</v>
      </c>
      <c r="E26" s="20" t="s">
        <v>55</v>
      </c>
      <c r="F26" s="26"/>
      <c r="G26" s="24"/>
      <c r="H26" s="67"/>
      <c r="I26" s="68"/>
      <c r="J26" s="67"/>
      <c r="K26" s="17" t="s">
        <v>10</v>
      </c>
      <c r="L26" s="39">
        <v>44139</v>
      </c>
      <c r="M26" s="39"/>
      <c r="N26" s="213">
        <v>44139</v>
      </c>
      <c r="O26" s="38" t="s">
        <v>1238</v>
      </c>
      <c r="P26" s="6" t="s">
        <v>3</v>
      </c>
      <c r="Q26" s="481"/>
      <c r="S26" s="489"/>
      <c r="T26" s="113"/>
      <c r="U26" s="500"/>
      <c r="V26" s="494"/>
    </row>
    <row r="27" spans="1:22" s="7" customFormat="1" ht="15.75" customHeight="1">
      <c r="A27" s="1"/>
      <c r="B27" s="12"/>
      <c r="C27" s="6" t="s">
        <v>1223</v>
      </c>
      <c r="D27" s="15" t="s">
        <v>586</v>
      </c>
      <c r="E27" s="24" t="s">
        <v>587</v>
      </c>
      <c r="F27" s="26"/>
      <c r="G27" s="24" t="s">
        <v>78</v>
      </c>
      <c r="H27" s="54">
        <v>14</v>
      </c>
      <c r="I27" s="37">
        <v>1</v>
      </c>
      <c r="J27" s="75">
        <f>H27*I27</f>
        <v>14</v>
      </c>
      <c r="K27" s="46">
        <v>2.04</v>
      </c>
      <c r="L27" s="39">
        <v>44139</v>
      </c>
      <c r="M27" s="39"/>
      <c r="N27" s="213">
        <v>44139</v>
      </c>
      <c r="O27" s="38" t="s">
        <v>1238</v>
      </c>
      <c r="P27" s="6"/>
      <c r="Q27" s="483">
        <v>1.81</v>
      </c>
      <c r="S27" s="489">
        <v>92</v>
      </c>
      <c r="T27" s="113">
        <f>S27*J27</f>
        <v>1288</v>
      </c>
      <c r="U27" s="506" t="s">
        <v>1224</v>
      </c>
      <c r="V27" s="494"/>
    </row>
    <row r="28" spans="1:22" s="7" customFormat="1" ht="15" customHeight="1">
      <c r="A28" s="1"/>
      <c r="B28" s="12"/>
      <c r="C28" s="6" t="s">
        <v>1223</v>
      </c>
      <c r="D28" s="15" t="s">
        <v>586</v>
      </c>
      <c r="E28" s="24"/>
      <c r="F28" s="44"/>
      <c r="G28" s="44" t="s">
        <v>31</v>
      </c>
      <c r="H28" s="45"/>
      <c r="I28" s="152" ph="1"/>
      <c r="J28" s="45">
        <v>1</v>
      </c>
      <c r="K28" s="46">
        <v>12</v>
      </c>
      <c r="L28" s="39">
        <v>44139</v>
      </c>
      <c r="M28" s="39"/>
      <c r="N28" s="213">
        <v>44139</v>
      </c>
      <c r="O28" s="38" t="s">
        <v>1238</v>
      </c>
      <c r="P28" s="6"/>
      <c r="Q28" s="483">
        <v>12</v>
      </c>
      <c r="S28" s="489">
        <v>490</v>
      </c>
      <c r="T28" s="113">
        <f>S28*J28</f>
        <v>490</v>
      </c>
      <c r="U28" s="501"/>
      <c r="V28" s="494"/>
    </row>
    <row r="29" spans="1:22" s="314" customFormat="1" ht="15">
      <c r="A29" s="1"/>
      <c r="B29" s="313"/>
      <c r="C29" s="302" t="s">
        <v>1223</v>
      </c>
      <c r="D29" s="303" t="s">
        <v>586</v>
      </c>
      <c r="E29" s="304"/>
      <c r="F29" s="305"/>
      <c r="G29" s="305" t="s">
        <v>1227</v>
      </c>
      <c r="H29" s="307" t="s">
        <v>1228</v>
      </c>
      <c r="I29" s="308"/>
      <c r="J29" s="306"/>
      <c r="K29" s="315"/>
      <c r="L29" s="310">
        <v>44139</v>
      </c>
      <c r="M29" s="310"/>
      <c r="N29" s="311">
        <v>44139</v>
      </c>
      <c r="O29" s="309" t="s">
        <v>1238</v>
      </c>
      <c r="P29" s="302"/>
      <c r="Q29" s="485">
        <v>0</v>
      </c>
      <c r="S29" s="535">
        <v>0</v>
      </c>
      <c r="T29" s="322">
        <v>0</v>
      </c>
      <c r="U29" s="515"/>
      <c r="V29" s="549"/>
    </row>
    <row r="30" spans="1:22" s="7" customFormat="1" ht="18" customHeight="1">
      <c r="A30" s="1"/>
      <c r="B30" s="12"/>
      <c r="C30" s="6" t="s">
        <v>1229</v>
      </c>
      <c r="D30" s="15" t="s">
        <v>990</v>
      </c>
      <c r="E30" s="20" t="s">
        <v>1003</v>
      </c>
      <c r="F30" s="24"/>
      <c r="G30" s="44"/>
      <c r="H30" s="151"/>
      <c r="I30" s="151"/>
      <c r="J30" s="151"/>
      <c r="K30" s="153" t="s">
        <v>10</v>
      </c>
      <c r="L30" s="39">
        <v>44152</v>
      </c>
      <c r="M30" s="39"/>
      <c r="N30" s="213">
        <v>44152</v>
      </c>
      <c r="O30" s="38">
        <v>2747</v>
      </c>
      <c r="P30" s="6"/>
      <c r="Q30" s="411"/>
      <c r="S30" s="489"/>
      <c r="T30" s="113"/>
      <c r="U30" s="501"/>
      <c r="V30" s="494"/>
    </row>
    <row r="31" spans="1:22" s="7" customFormat="1" ht="15.95" customHeight="1">
      <c r="A31" s="1"/>
      <c r="B31" s="12"/>
      <c r="C31" s="6" t="s">
        <v>1229</v>
      </c>
      <c r="D31" s="15" t="s">
        <v>990</v>
      </c>
      <c r="E31" s="24" t="s">
        <v>1006</v>
      </c>
      <c r="F31" s="44"/>
      <c r="G31" s="44" t="s">
        <v>129</v>
      </c>
      <c r="H31" s="8">
        <v>14</v>
      </c>
      <c r="I31" s="41">
        <v>112</v>
      </c>
      <c r="J31" s="8">
        <f>H31*I31</f>
        <v>1568</v>
      </c>
      <c r="K31" s="46">
        <v>3.1</v>
      </c>
      <c r="L31" s="46">
        <f>K31*J31</f>
        <v>4860.8</v>
      </c>
      <c r="M31" s="39"/>
      <c r="N31" s="213">
        <v>44152</v>
      </c>
      <c r="O31" s="38">
        <v>2747</v>
      </c>
      <c r="P31" s="6"/>
      <c r="Q31" s="483">
        <v>2.76</v>
      </c>
      <c r="S31" s="489">
        <v>156</v>
      </c>
      <c r="T31" s="113">
        <f>S31*J31</f>
        <v>244608</v>
      </c>
      <c r="U31" s="512" t="s">
        <v>1230</v>
      </c>
      <c r="V31" s="494"/>
    </row>
    <row r="32" spans="1:22" s="7" customFormat="1" ht="15.95" customHeight="1">
      <c r="A32" s="1"/>
      <c r="B32" s="12"/>
      <c r="C32" s="6" t="s">
        <v>1229</v>
      </c>
      <c r="D32" s="15" t="s">
        <v>990</v>
      </c>
      <c r="E32" s="24" t="s">
        <v>1004</v>
      </c>
      <c r="F32" s="44"/>
      <c r="G32" s="44" t="s">
        <v>129</v>
      </c>
      <c r="H32" s="8">
        <v>14</v>
      </c>
      <c r="I32" s="41">
        <v>60</v>
      </c>
      <c r="J32" s="8">
        <f>H32*I32</f>
        <v>840</v>
      </c>
      <c r="K32" s="46">
        <v>1.35</v>
      </c>
      <c r="L32" s="46">
        <f>K32*J32</f>
        <v>1134</v>
      </c>
      <c r="M32" s="39"/>
      <c r="N32" s="213">
        <v>44152</v>
      </c>
      <c r="O32" s="38">
        <v>2747</v>
      </c>
      <c r="P32" s="6"/>
      <c r="Q32" s="483">
        <v>1.2</v>
      </c>
      <c r="S32" s="489">
        <v>51</v>
      </c>
      <c r="T32" s="113">
        <f>S32*J32</f>
        <v>42840</v>
      </c>
      <c r="U32" s="512" t="s">
        <v>1231</v>
      </c>
      <c r="V32" s="494"/>
    </row>
    <row r="33" spans="1:22" s="7" customFormat="1" ht="15.95" customHeight="1">
      <c r="A33" s="1"/>
      <c r="B33" s="12"/>
      <c r="C33" s="6" t="s">
        <v>1229</v>
      </c>
      <c r="D33" s="15" t="s">
        <v>990</v>
      </c>
      <c r="E33" s="24" t="s">
        <v>1006</v>
      </c>
      <c r="F33" s="44"/>
      <c r="G33" s="44" t="s">
        <v>1574</v>
      </c>
      <c r="H33" s="8">
        <v>14</v>
      </c>
      <c r="I33" s="41">
        <v>317</v>
      </c>
      <c r="J33" s="8">
        <f>H33*I33</f>
        <v>4438</v>
      </c>
      <c r="K33" s="46">
        <v>3.1</v>
      </c>
      <c r="L33" s="46">
        <f>K33*J33</f>
        <v>13757.800000000001</v>
      </c>
      <c r="M33" s="39"/>
      <c r="N33" s="213">
        <v>44173</v>
      </c>
      <c r="O33" s="38">
        <v>2780</v>
      </c>
      <c r="P33" s="6"/>
      <c r="Q33" s="483">
        <v>2.76</v>
      </c>
      <c r="S33" s="489">
        <v>156</v>
      </c>
      <c r="T33" s="113">
        <f>S33*J33</f>
        <v>692328</v>
      </c>
      <c r="U33" s="512" t="s">
        <v>1230</v>
      </c>
      <c r="V33" s="494"/>
    </row>
    <row r="34" spans="1:22" s="7" customFormat="1" ht="15.95" customHeight="1">
      <c r="A34" s="1"/>
      <c r="B34" s="12"/>
      <c r="C34" s="6" t="s">
        <v>1229</v>
      </c>
      <c r="D34" s="15" t="s">
        <v>990</v>
      </c>
      <c r="E34" s="24" t="s">
        <v>1004</v>
      </c>
      <c r="F34" s="44"/>
      <c r="G34" s="44" t="s">
        <v>129</v>
      </c>
      <c r="H34" s="8">
        <v>14</v>
      </c>
      <c r="I34" s="41">
        <v>19</v>
      </c>
      <c r="J34" s="8">
        <f>H34*I34</f>
        <v>266</v>
      </c>
      <c r="K34" s="46">
        <v>1.35</v>
      </c>
      <c r="L34" s="46">
        <f>K34*J34</f>
        <v>359.1</v>
      </c>
      <c r="M34" s="39"/>
      <c r="N34" s="213">
        <v>44173</v>
      </c>
      <c r="O34" s="38">
        <v>2780</v>
      </c>
      <c r="P34" s="6"/>
      <c r="Q34" s="483">
        <v>1.2</v>
      </c>
      <c r="S34" s="489">
        <v>51</v>
      </c>
      <c r="T34" s="113">
        <f>S34*J34</f>
        <v>13566</v>
      </c>
      <c r="U34" s="512" t="s">
        <v>1231</v>
      </c>
      <c r="V34" s="494"/>
    </row>
    <row r="35" spans="1:22" s="314" customFormat="1" ht="15" customHeight="1">
      <c r="A35" s="1"/>
      <c r="B35" s="313"/>
      <c r="C35" s="302" t="s">
        <v>1229</v>
      </c>
      <c r="D35" s="303" t="s">
        <v>990</v>
      </c>
      <c r="E35" s="304"/>
      <c r="F35" s="305"/>
      <c r="G35" s="305" t="s">
        <v>1227</v>
      </c>
      <c r="H35" s="307" t="s">
        <v>1228</v>
      </c>
      <c r="I35" s="308"/>
      <c r="J35" s="306"/>
      <c r="K35" s="315">
        <v>0</v>
      </c>
      <c r="L35" s="310">
        <v>44173</v>
      </c>
      <c r="M35" s="310"/>
      <c r="N35" s="311">
        <v>44173</v>
      </c>
      <c r="O35" s="309">
        <v>2780</v>
      </c>
      <c r="P35" s="302"/>
      <c r="Q35" s="485">
        <v>0</v>
      </c>
      <c r="S35" s="535">
        <v>0</v>
      </c>
      <c r="T35" s="322">
        <v>0</v>
      </c>
      <c r="U35" s="515"/>
      <c r="V35" s="549"/>
    </row>
    <row r="36" spans="1:22" s="7" customFormat="1" ht="15">
      <c r="A36" s="1"/>
      <c r="B36" s="12"/>
      <c r="C36" s="6" t="s">
        <v>1232</v>
      </c>
      <c r="D36" s="15" t="s">
        <v>990</v>
      </c>
      <c r="E36" s="20" t="s">
        <v>330</v>
      </c>
      <c r="F36" s="26"/>
      <c r="G36" s="24"/>
      <c r="H36" s="16"/>
      <c r="I36" s="68"/>
      <c r="J36" s="67"/>
      <c r="K36" s="17" t="s">
        <v>10</v>
      </c>
      <c r="L36" s="39">
        <v>44152</v>
      </c>
      <c r="M36" s="39"/>
      <c r="N36" s="213">
        <v>44152</v>
      </c>
      <c r="O36" s="38">
        <v>2747</v>
      </c>
      <c r="P36" s="6" t="s">
        <v>3</v>
      </c>
      <c r="Q36" s="481"/>
      <c r="S36" s="489"/>
      <c r="T36" s="113"/>
      <c r="U36" s="500"/>
      <c r="V36" s="494"/>
    </row>
    <row r="37" spans="1:22" s="7" customFormat="1" ht="15.75">
      <c r="A37" s="1"/>
      <c r="B37" s="12"/>
      <c r="C37" s="6" t="s">
        <v>1232</v>
      </c>
      <c r="D37" s="15" t="s">
        <v>990</v>
      </c>
      <c r="E37" s="24">
        <v>8032</v>
      </c>
      <c r="F37" s="26">
        <v>15</v>
      </c>
      <c r="G37" s="24" t="s">
        <v>1235</v>
      </c>
      <c r="H37" s="67">
        <v>20</v>
      </c>
      <c r="I37" s="68">
        <v>18</v>
      </c>
      <c r="J37" s="67">
        <f>H37*I37</f>
        <v>360</v>
      </c>
      <c r="K37" s="46">
        <v>1.34</v>
      </c>
      <c r="L37" s="39">
        <v>44152</v>
      </c>
      <c r="M37" s="39"/>
      <c r="N37" s="213">
        <v>44152</v>
      </c>
      <c r="O37" s="38">
        <v>2747</v>
      </c>
      <c r="P37" s="6"/>
      <c r="Q37" s="483">
        <v>1.19</v>
      </c>
      <c r="S37" s="489">
        <v>80</v>
      </c>
      <c r="T37" s="113">
        <f>S37*J37</f>
        <v>28800</v>
      </c>
      <c r="U37" s="513"/>
      <c r="V37" s="494"/>
    </row>
    <row r="38" spans="1:22" s="7" customFormat="1" ht="15.75">
      <c r="A38" s="1"/>
      <c r="B38" s="12"/>
      <c r="C38" s="6" t="s">
        <v>1232</v>
      </c>
      <c r="D38" s="15" t="s">
        <v>990</v>
      </c>
      <c r="E38" s="24">
        <v>8032</v>
      </c>
      <c r="F38" s="26">
        <v>15</v>
      </c>
      <c r="G38" s="24" t="s">
        <v>1236</v>
      </c>
      <c r="H38" s="67">
        <v>20</v>
      </c>
      <c r="I38" s="68">
        <v>38</v>
      </c>
      <c r="J38" s="67">
        <f>H38*I38</f>
        <v>760</v>
      </c>
      <c r="K38" s="46">
        <v>1.34</v>
      </c>
      <c r="L38" s="39">
        <v>44152</v>
      </c>
      <c r="M38" s="39"/>
      <c r="N38" s="213">
        <v>44152</v>
      </c>
      <c r="O38" s="38">
        <v>2747</v>
      </c>
      <c r="P38" s="6"/>
      <c r="Q38" s="483">
        <v>1.19</v>
      </c>
      <c r="S38" s="489">
        <v>80</v>
      </c>
      <c r="T38" s="113">
        <f>S38*J38</f>
        <v>60800</v>
      </c>
      <c r="U38" s="513"/>
      <c r="V38" s="494"/>
    </row>
    <row r="39" spans="1:22" s="7" customFormat="1" ht="15.75">
      <c r="A39" s="1"/>
      <c r="B39" s="12"/>
      <c r="C39" s="6" t="s">
        <v>1232</v>
      </c>
      <c r="D39" s="15" t="s">
        <v>990</v>
      </c>
      <c r="E39" s="24">
        <v>8032</v>
      </c>
      <c r="F39" s="26">
        <v>15</v>
      </c>
      <c r="G39" s="24" t="s">
        <v>1237</v>
      </c>
      <c r="H39" s="67">
        <v>20</v>
      </c>
      <c r="I39" s="68">
        <v>15</v>
      </c>
      <c r="J39" s="67">
        <f>H39*I39</f>
        <v>300</v>
      </c>
      <c r="K39" s="46">
        <v>1.34</v>
      </c>
      <c r="L39" s="39">
        <v>44152</v>
      </c>
      <c r="M39" s="39"/>
      <c r="N39" s="213">
        <v>44152</v>
      </c>
      <c r="O39" s="38">
        <v>2747</v>
      </c>
      <c r="P39" s="6"/>
      <c r="Q39" s="483">
        <v>1.19</v>
      </c>
      <c r="S39" s="489">
        <v>80</v>
      </c>
      <c r="T39" s="113">
        <f>S39*J39</f>
        <v>24000</v>
      </c>
      <c r="U39" s="513"/>
      <c r="V39" s="494"/>
    </row>
    <row r="40" spans="1:22" s="7" customFormat="1" ht="15.75">
      <c r="A40" s="1"/>
      <c r="B40" s="12"/>
      <c r="C40" s="6" t="s">
        <v>1232</v>
      </c>
      <c r="D40" s="15" t="s">
        <v>990</v>
      </c>
      <c r="E40" s="24">
        <v>8032</v>
      </c>
      <c r="F40" s="26">
        <v>15</v>
      </c>
      <c r="G40" s="24" t="s">
        <v>1235</v>
      </c>
      <c r="H40" s="67">
        <v>20</v>
      </c>
      <c r="I40" s="68">
        <v>52</v>
      </c>
      <c r="J40" s="67">
        <f>H40*I40</f>
        <v>1040</v>
      </c>
      <c r="K40" s="46">
        <v>1.34</v>
      </c>
      <c r="L40" s="39">
        <v>44162</v>
      </c>
      <c r="M40" s="39"/>
      <c r="N40" s="213">
        <v>44162</v>
      </c>
      <c r="O40" s="38">
        <v>2766</v>
      </c>
      <c r="P40" s="6"/>
      <c r="Q40" s="483">
        <v>1.19</v>
      </c>
      <c r="S40" s="489">
        <v>80</v>
      </c>
      <c r="T40" s="113">
        <f>S40*J40</f>
        <v>83200</v>
      </c>
      <c r="U40" s="513"/>
      <c r="V40" s="494"/>
    </row>
    <row r="41" spans="1:22" s="7" customFormat="1" ht="15.75">
      <c r="A41" s="1"/>
      <c r="B41" s="12"/>
      <c r="C41" s="6" t="s">
        <v>1232</v>
      </c>
      <c r="D41" s="15" t="s">
        <v>990</v>
      </c>
      <c r="E41" s="24">
        <v>8032</v>
      </c>
      <c r="F41" s="26">
        <v>15</v>
      </c>
      <c r="G41" s="24" t="s">
        <v>1236</v>
      </c>
      <c r="H41" s="67">
        <v>20</v>
      </c>
      <c r="I41" s="68">
        <v>7</v>
      </c>
      <c r="J41" s="67">
        <f>H41*I41</f>
        <v>140</v>
      </c>
      <c r="K41" s="46">
        <v>1.34</v>
      </c>
      <c r="L41" s="39">
        <v>44162</v>
      </c>
      <c r="M41" s="39"/>
      <c r="N41" s="213">
        <v>44162</v>
      </c>
      <c r="O41" s="38">
        <v>2766</v>
      </c>
      <c r="P41" s="6"/>
      <c r="Q41" s="483">
        <v>1.19</v>
      </c>
      <c r="S41" s="489">
        <v>80</v>
      </c>
      <c r="T41" s="113">
        <f>S41*J41</f>
        <v>11200</v>
      </c>
      <c r="U41" s="513"/>
      <c r="V41" s="494"/>
    </row>
    <row r="42" spans="1:22" s="314" customFormat="1" ht="15" customHeight="1">
      <c r="A42" s="1"/>
      <c r="B42" s="313"/>
      <c r="C42" s="302" t="s">
        <v>1232</v>
      </c>
      <c r="D42" s="303" t="s">
        <v>990</v>
      </c>
      <c r="E42" s="304"/>
      <c r="F42" s="305"/>
      <c r="G42" s="305" t="s">
        <v>1227</v>
      </c>
      <c r="H42" s="307" t="s">
        <v>1228</v>
      </c>
      <c r="I42" s="308"/>
      <c r="J42" s="306"/>
      <c r="K42" s="315">
        <v>0</v>
      </c>
      <c r="L42" s="310">
        <v>44162</v>
      </c>
      <c r="M42" s="310"/>
      <c r="N42" s="311">
        <v>44162</v>
      </c>
      <c r="O42" s="309" t="s">
        <v>1283</v>
      </c>
      <c r="P42" s="302"/>
      <c r="Q42" s="485">
        <v>0</v>
      </c>
      <c r="S42" s="535">
        <v>0</v>
      </c>
      <c r="T42" s="322">
        <v>0</v>
      </c>
      <c r="U42" s="515"/>
      <c r="V42" s="549"/>
    </row>
    <row r="43" spans="1:22" s="7" customFormat="1" ht="18" customHeight="1">
      <c r="A43" s="1"/>
      <c r="B43" s="12"/>
      <c r="C43" s="6" t="s">
        <v>1233</v>
      </c>
      <c r="D43" s="15" t="s">
        <v>990</v>
      </c>
      <c r="E43" s="20" t="s">
        <v>1003</v>
      </c>
      <c r="F43" s="24"/>
      <c r="G43" s="44"/>
      <c r="H43" s="151"/>
      <c r="I43" s="151"/>
      <c r="J43" s="151"/>
      <c r="K43" s="153" t="s">
        <v>10</v>
      </c>
      <c r="L43" s="39">
        <v>44140</v>
      </c>
      <c r="M43" s="39"/>
      <c r="N43" s="213">
        <v>44140</v>
      </c>
      <c r="O43" s="38" t="s">
        <v>1244</v>
      </c>
      <c r="P43" s="6"/>
      <c r="Q43" s="411"/>
      <c r="S43" s="489"/>
      <c r="T43" s="113"/>
      <c r="U43" s="501"/>
      <c r="V43" s="494"/>
    </row>
    <row r="44" spans="1:22" s="7" customFormat="1" ht="15.95" customHeight="1">
      <c r="A44" s="1"/>
      <c r="B44" s="12"/>
      <c r="C44" s="6" t="s">
        <v>1233</v>
      </c>
      <c r="D44" s="15" t="s">
        <v>990</v>
      </c>
      <c r="E44" s="24" t="s">
        <v>92</v>
      </c>
      <c r="F44" s="44"/>
      <c r="G44" s="44" t="s">
        <v>129</v>
      </c>
      <c r="H44" s="67">
        <v>14</v>
      </c>
      <c r="I44" s="68">
        <v>2</v>
      </c>
      <c r="J44" s="67">
        <f>H44*I44</f>
        <v>28</v>
      </c>
      <c r="K44" s="46">
        <v>1.45</v>
      </c>
      <c r="L44" s="39">
        <v>44140</v>
      </c>
      <c r="M44" s="39"/>
      <c r="N44" s="213">
        <v>44140</v>
      </c>
      <c r="O44" s="38" t="s">
        <v>1244</v>
      </c>
      <c r="P44" s="6"/>
      <c r="Q44" s="483">
        <v>1.1599999999999999</v>
      </c>
      <c r="S44" s="489">
        <v>36</v>
      </c>
      <c r="T44" s="113">
        <f>S44*J44</f>
        <v>1008</v>
      </c>
      <c r="U44" s="512" t="s">
        <v>1234</v>
      </c>
      <c r="V44" s="494"/>
    </row>
    <row r="45" spans="1:22" s="7" customFormat="1" ht="15" customHeight="1">
      <c r="A45" s="1"/>
      <c r="B45" s="12"/>
      <c r="C45" s="6" t="s">
        <v>1233</v>
      </c>
      <c r="D45" s="15" t="s">
        <v>990</v>
      </c>
      <c r="E45" s="24"/>
      <c r="F45" s="44"/>
      <c r="G45" s="44" t="s">
        <v>31</v>
      </c>
      <c r="H45" s="45"/>
      <c r="I45" s="152" ph="1"/>
      <c r="J45" s="45">
        <v>1</v>
      </c>
      <c r="K45" s="46">
        <v>12</v>
      </c>
      <c r="L45" s="39">
        <v>44140</v>
      </c>
      <c r="M45" s="39"/>
      <c r="N45" s="213">
        <v>44140</v>
      </c>
      <c r="O45" s="38" t="s">
        <v>1244</v>
      </c>
      <c r="P45" s="6"/>
      <c r="Q45" s="483">
        <v>12</v>
      </c>
      <c r="S45" s="489">
        <v>490</v>
      </c>
      <c r="T45" s="113">
        <f>S45*J45</f>
        <v>490</v>
      </c>
      <c r="U45" s="501"/>
      <c r="V45" s="494"/>
    </row>
    <row r="46" spans="1:22" s="314" customFormat="1" ht="15" customHeight="1">
      <c r="A46" s="1"/>
      <c r="B46" s="313"/>
      <c r="C46" s="302" t="s">
        <v>1233</v>
      </c>
      <c r="D46" s="303" t="s">
        <v>990</v>
      </c>
      <c r="E46" s="304"/>
      <c r="F46" s="305"/>
      <c r="G46" s="305" t="s">
        <v>1227</v>
      </c>
      <c r="H46" s="307" t="s">
        <v>1228</v>
      </c>
      <c r="I46" s="308"/>
      <c r="J46" s="306"/>
      <c r="K46" s="315">
        <v>0</v>
      </c>
      <c r="L46" s="310">
        <v>44140</v>
      </c>
      <c r="M46" s="310"/>
      <c r="N46" s="311">
        <v>44140</v>
      </c>
      <c r="O46" s="309" t="s">
        <v>1244</v>
      </c>
      <c r="P46" s="302"/>
      <c r="Q46" s="485">
        <v>0</v>
      </c>
      <c r="S46" s="535">
        <v>0</v>
      </c>
      <c r="T46" s="322">
        <v>0</v>
      </c>
      <c r="U46" s="515"/>
      <c r="V46" s="549"/>
    </row>
    <row r="47" spans="1:22" s="7" customFormat="1" ht="15">
      <c r="A47" s="1"/>
      <c r="B47" s="12"/>
      <c r="C47" s="6" t="s">
        <v>1242</v>
      </c>
      <c r="D47" s="15" t="s">
        <v>617</v>
      </c>
      <c r="E47" s="20" t="s">
        <v>177</v>
      </c>
      <c r="F47" s="26"/>
      <c r="G47" s="24"/>
      <c r="H47" s="67"/>
      <c r="I47" s="68"/>
      <c r="J47" s="67"/>
      <c r="K47" s="10" t="s">
        <v>10</v>
      </c>
      <c r="L47" s="39">
        <v>44141</v>
      </c>
      <c r="M47" s="39"/>
      <c r="N47" s="213">
        <v>44141</v>
      </c>
      <c r="O47" s="38" t="s">
        <v>1247</v>
      </c>
      <c r="P47" s="6" t="s">
        <v>3</v>
      </c>
      <c r="Q47" s="481"/>
      <c r="S47" s="489"/>
      <c r="T47" s="113"/>
      <c r="U47" s="500"/>
      <c r="V47" s="494"/>
    </row>
    <row r="48" spans="1:22" s="7" customFormat="1" ht="15" customHeight="1">
      <c r="A48" s="1"/>
      <c r="B48" s="12"/>
      <c r="C48" s="6" t="s">
        <v>1242</v>
      </c>
      <c r="D48" s="15" t="s">
        <v>617</v>
      </c>
      <c r="E48" s="24">
        <v>12701</v>
      </c>
      <c r="F48" s="26">
        <v>24</v>
      </c>
      <c r="G48" s="24" t="s">
        <v>294</v>
      </c>
      <c r="H48" s="67">
        <v>10</v>
      </c>
      <c r="I48" s="68">
        <v>5</v>
      </c>
      <c r="J48" s="8">
        <f>H48*I48</f>
        <v>50</v>
      </c>
      <c r="K48" s="25">
        <v>1.4</v>
      </c>
      <c r="L48" s="39">
        <v>44141</v>
      </c>
      <c r="M48" s="39"/>
      <c r="N48" s="213">
        <v>44141</v>
      </c>
      <c r="O48" s="38" t="s">
        <v>1247</v>
      </c>
      <c r="P48" s="6"/>
      <c r="Q48" s="482">
        <v>1.1200000000000001</v>
      </c>
      <c r="S48" s="489">
        <v>67.400000000000006</v>
      </c>
      <c r="T48" s="113">
        <f>S48*J48</f>
        <v>3370.0000000000005</v>
      </c>
      <c r="U48" s="516" t="s">
        <v>1248</v>
      </c>
      <c r="V48" s="494"/>
    </row>
    <row r="49" spans="1:22" s="7" customFormat="1" ht="15">
      <c r="A49" s="1"/>
      <c r="B49" s="12"/>
      <c r="C49" s="6" t="s">
        <v>1242</v>
      </c>
      <c r="D49" s="15" t="s">
        <v>617</v>
      </c>
      <c r="E49" s="24"/>
      <c r="F49" s="26"/>
      <c r="G49" s="24" t="s">
        <v>31</v>
      </c>
      <c r="H49" s="45">
        <v>1</v>
      </c>
      <c r="I49" s="68"/>
      <c r="J49" s="67"/>
      <c r="K49" s="25">
        <v>12</v>
      </c>
      <c r="L49" s="39">
        <v>44141</v>
      </c>
      <c r="M49" s="39"/>
      <c r="N49" s="213">
        <v>44141</v>
      </c>
      <c r="O49" s="38" t="s">
        <v>1247</v>
      </c>
      <c r="P49" s="6"/>
      <c r="Q49" s="482">
        <v>12</v>
      </c>
      <c r="S49" s="489">
        <v>0</v>
      </c>
      <c r="T49" s="113">
        <v>0</v>
      </c>
      <c r="U49" s="500"/>
      <c r="V49" s="494"/>
    </row>
    <row r="50" spans="1:22" s="314" customFormat="1" ht="15.6" customHeight="1">
      <c r="A50" s="1"/>
      <c r="B50" s="313"/>
      <c r="C50" s="302" t="s">
        <v>1242</v>
      </c>
      <c r="D50" s="303" t="s">
        <v>617</v>
      </c>
      <c r="E50" s="304"/>
      <c r="F50" s="305"/>
      <c r="G50" s="305" t="s">
        <v>1227</v>
      </c>
      <c r="H50" s="307" t="s">
        <v>1243</v>
      </c>
      <c r="I50" s="308"/>
      <c r="J50" s="306"/>
      <c r="K50" s="315">
        <v>42</v>
      </c>
      <c r="L50" s="310">
        <v>44141</v>
      </c>
      <c r="M50" s="310"/>
      <c r="N50" s="311">
        <v>44141</v>
      </c>
      <c r="O50" s="309" t="s">
        <v>1247</v>
      </c>
      <c r="P50" s="302"/>
      <c r="Q50" s="485">
        <v>42</v>
      </c>
      <c r="S50" s="489">
        <v>3053</v>
      </c>
      <c r="T50" s="113">
        <v>3053</v>
      </c>
      <c r="U50" s="515"/>
      <c r="V50" s="549"/>
    </row>
    <row r="51" spans="1:22" s="7" customFormat="1" ht="15">
      <c r="A51" s="1"/>
      <c r="B51" s="12"/>
      <c r="C51" s="6" t="s">
        <v>1245</v>
      </c>
      <c r="D51" s="15" t="s">
        <v>586</v>
      </c>
      <c r="E51" s="20" t="s">
        <v>55</v>
      </c>
      <c r="F51" s="26"/>
      <c r="G51" s="24"/>
      <c r="H51" s="67"/>
      <c r="I51" s="68"/>
      <c r="J51" s="67"/>
      <c r="K51" s="17" t="s">
        <v>10</v>
      </c>
      <c r="L51" s="39">
        <v>44147</v>
      </c>
      <c r="M51" s="39"/>
      <c r="N51" s="213">
        <v>44147</v>
      </c>
      <c r="O51" s="38" t="s">
        <v>1251</v>
      </c>
      <c r="P51" s="6" t="s">
        <v>3</v>
      </c>
      <c r="Q51" s="481"/>
      <c r="S51" s="489"/>
      <c r="T51" s="113"/>
      <c r="U51" s="500"/>
      <c r="V51" s="494"/>
    </row>
    <row r="52" spans="1:22" s="7" customFormat="1" ht="15.75" customHeight="1">
      <c r="A52" s="1"/>
      <c r="B52" s="12"/>
      <c r="C52" s="6" t="s">
        <v>1245</v>
      </c>
      <c r="D52" s="15" t="s">
        <v>586</v>
      </c>
      <c r="E52" s="24" t="s">
        <v>587</v>
      </c>
      <c r="F52" s="26"/>
      <c r="G52" s="24" t="s">
        <v>78</v>
      </c>
      <c r="H52" s="54">
        <v>14</v>
      </c>
      <c r="I52" s="37">
        <v>32</v>
      </c>
      <c r="J52" s="75">
        <f>H52*I52</f>
        <v>448</v>
      </c>
      <c r="K52" s="46">
        <v>2.04</v>
      </c>
      <c r="L52" s="39">
        <v>44147</v>
      </c>
      <c r="M52" s="39"/>
      <c r="N52" s="213">
        <v>44147</v>
      </c>
      <c r="O52" s="38" t="s">
        <v>1251</v>
      </c>
      <c r="P52" s="6"/>
      <c r="Q52" s="483">
        <v>1.81</v>
      </c>
      <c r="S52" s="489">
        <v>92</v>
      </c>
      <c r="T52" s="113">
        <f>S52*J52</f>
        <v>41216</v>
      </c>
      <c r="U52" s="506" t="s">
        <v>1224</v>
      </c>
      <c r="V52" s="494"/>
    </row>
    <row r="53" spans="1:22" s="7" customFormat="1" ht="15.75" customHeight="1">
      <c r="A53" s="1"/>
      <c r="B53" s="12"/>
      <c r="C53" s="6" t="s">
        <v>1245</v>
      </c>
      <c r="D53" s="15" t="s">
        <v>586</v>
      </c>
      <c r="E53" s="24" t="s">
        <v>1246</v>
      </c>
      <c r="F53" s="26"/>
      <c r="G53" s="24" t="s">
        <v>78</v>
      </c>
      <c r="H53" s="54">
        <v>14</v>
      </c>
      <c r="I53" s="37">
        <v>10</v>
      </c>
      <c r="J53" s="75">
        <f>H53*I53</f>
        <v>140</v>
      </c>
      <c r="K53" s="46">
        <v>10.1</v>
      </c>
      <c r="L53" s="39">
        <v>44173</v>
      </c>
      <c r="M53" s="39"/>
      <c r="N53" s="213">
        <v>44173</v>
      </c>
      <c r="O53" s="38">
        <v>2781</v>
      </c>
      <c r="P53" s="6"/>
      <c r="Q53" s="483">
        <v>8.08</v>
      </c>
      <c r="S53" s="489">
        <v>545</v>
      </c>
      <c r="T53" s="113">
        <f>S53*J53</f>
        <v>76300</v>
      </c>
      <c r="U53" s="506" t="s">
        <v>1249</v>
      </c>
      <c r="V53" s="494"/>
    </row>
    <row r="54" spans="1:22" s="314" customFormat="1" ht="15" customHeight="1">
      <c r="A54" s="1"/>
      <c r="B54" s="313"/>
      <c r="C54" s="302" t="s">
        <v>1245</v>
      </c>
      <c r="D54" s="303" t="s">
        <v>586</v>
      </c>
      <c r="E54" s="304"/>
      <c r="F54" s="305"/>
      <c r="G54" s="305" t="s">
        <v>1227</v>
      </c>
      <c r="H54" s="307" t="s">
        <v>1228</v>
      </c>
      <c r="I54" s="308"/>
      <c r="J54" s="306"/>
      <c r="K54" s="315"/>
      <c r="L54" s="310">
        <v>44173</v>
      </c>
      <c r="M54" s="310"/>
      <c r="N54" s="311">
        <v>44173</v>
      </c>
      <c r="O54" s="309">
        <v>2781</v>
      </c>
      <c r="P54" s="302"/>
      <c r="Q54" s="485">
        <v>0</v>
      </c>
      <c r="S54" s="536">
        <v>0</v>
      </c>
      <c r="T54" s="322">
        <v>0</v>
      </c>
      <c r="U54" s="515"/>
      <c r="V54" s="549"/>
    </row>
    <row r="55" spans="1:22" s="7" customFormat="1" ht="15">
      <c r="A55" s="1"/>
      <c r="B55" s="12"/>
      <c r="C55" s="6" t="s">
        <v>1252</v>
      </c>
      <c r="D55" s="15" t="s">
        <v>169</v>
      </c>
      <c r="E55" s="20" t="s">
        <v>79</v>
      </c>
      <c r="F55" s="150"/>
      <c r="G55" s="24"/>
      <c r="H55" s="151"/>
      <c r="I55" s="152"/>
      <c r="J55" s="151"/>
      <c r="K55" s="153" t="s">
        <v>10</v>
      </c>
      <c r="L55" s="39">
        <v>44155</v>
      </c>
      <c r="M55" s="39"/>
      <c r="N55" s="213">
        <v>44155</v>
      </c>
      <c r="O55" s="38" t="s">
        <v>1271</v>
      </c>
      <c r="P55" s="15"/>
      <c r="Q55" s="483"/>
      <c r="S55" s="496"/>
      <c r="T55" s="113"/>
      <c r="U55" s="506"/>
      <c r="V55" s="494"/>
    </row>
    <row r="56" spans="1:22" s="7" customFormat="1" ht="15">
      <c r="A56" s="1"/>
      <c r="B56" s="12"/>
      <c r="C56" s="6" t="s">
        <v>1252</v>
      </c>
      <c r="D56" s="15" t="s">
        <v>169</v>
      </c>
      <c r="E56" s="24" t="s">
        <v>1253</v>
      </c>
      <c r="F56" s="150">
        <v>148</v>
      </c>
      <c r="G56" s="24" t="s">
        <v>629</v>
      </c>
      <c r="H56" s="67">
        <v>10</v>
      </c>
      <c r="I56" s="68">
        <v>1</v>
      </c>
      <c r="J56" s="320">
        <f>H56*I56</f>
        <v>10</v>
      </c>
      <c r="K56" s="46">
        <v>9.0299999999999994</v>
      </c>
      <c r="L56" s="39">
        <v>44155</v>
      </c>
      <c r="M56" s="39"/>
      <c r="N56" s="213">
        <v>44155</v>
      </c>
      <c r="O56" s="38" t="s">
        <v>1271</v>
      </c>
      <c r="P56" s="6"/>
      <c r="Q56" s="483">
        <v>8.0299999999999994</v>
      </c>
      <c r="S56" s="489">
        <v>650</v>
      </c>
      <c r="T56" s="113">
        <f>S56*J56</f>
        <v>6500</v>
      </c>
      <c r="U56" s="501"/>
      <c r="V56" s="494"/>
    </row>
    <row r="57" spans="1:22" s="7" customFormat="1" ht="15" customHeight="1">
      <c r="A57" s="1"/>
      <c r="B57" s="12"/>
      <c r="C57" s="6" t="s">
        <v>1252</v>
      </c>
      <c r="D57" s="15" t="s">
        <v>169</v>
      </c>
      <c r="E57" s="56"/>
      <c r="F57" s="138"/>
      <c r="G57" s="24" t="s">
        <v>75</v>
      </c>
      <c r="H57" s="319"/>
      <c r="I57" s="41"/>
      <c r="J57" s="319">
        <v>1</v>
      </c>
      <c r="K57" s="46">
        <v>12</v>
      </c>
      <c r="L57" s="39">
        <v>44155</v>
      </c>
      <c r="M57" s="39"/>
      <c r="N57" s="213">
        <v>44155</v>
      </c>
      <c r="O57" s="38" t="s">
        <v>1271</v>
      </c>
      <c r="P57" s="6"/>
      <c r="Q57" s="483">
        <v>12</v>
      </c>
      <c r="S57" s="489">
        <v>1000</v>
      </c>
      <c r="T57" s="113">
        <f>S57*J57</f>
        <v>1000</v>
      </c>
      <c r="U57" s="501"/>
      <c r="V57" s="494"/>
    </row>
    <row r="58" spans="1:22" s="7" customFormat="1" ht="15">
      <c r="A58" s="1"/>
      <c r="B58" s="12"/>
      <c r="C58" s="6" t="s">
        <v>1252</v>
      </c>
      <c r="D58" s="15" t="s">
        <v>169</v>
      </c>
      <c r="E58" s="24"/>
      <c r="F58" s="138"/>
      <c r="G58" s="24" t="s">
        <v>481</v>
      </c>
      <c r="H58" s="8"/>
      <c r="I58" s="41"/>
      <c r="J58" s="319">
        <v>1</v>
      </c>
      <c r="K58" s="46">
        <v>20</v>
      </c>
      <c r="L58" s="39">
        <v>44155</v>
      </c>
      <c r="M58" s="39"/>
      <c r="N58" s="213">
        <v>44155</v>
      </c>
      <c r="O58" s="38" t="s">
        <v>1271</v>
      </c>
      <c r="P58" s="6"/>
      <c r="Q58" s="483">
        <v>20</v>
      </c>
      <c r="S58" s="489">
        <v>1000</v>
      </c>
      <c r="T58" s="113">
        <f>S58*J58</f>
        <v>1000</v>
      </c>
      <c r="U58" s="501"/>
      <c r="V58" s="494"/>
    </row>
    <row r="59" spans="1:22" s="314" customFormat="1" ht="15" customHeight="1">
      <c r="A59" s="1"/>
      <c r="B59" s="313"/>
      <c r="C59" s="302" t="s">
        <v>1252</v>
      </c>
      <c r="D59" s="303" t="s">
        <v>169</v>
      </c>
      <c r="E59" s="304"/>
      <c r="F59" s="305"/>
      <c r="G59" s="305" t="s">
        <v>1227</v>
      </c>
      <c r="H59" s="307" t="s">
        <v>1243</v>
      </c>
      <c r="I59" s="308"/>
      <c r="J59" s="306"/>
      <c r="K59" s="315">
        <v>110</v>
      </c>
      <c r="L59" s="310">
        <v>44155</v>
      </c>
      <c r="M59" s="310"/>
      <c r="N59" s="311">
        <v>44155</v>
      </c>
      <c r="O59" s="309" t="s">
        <v>1271</v>
      </c>
      <c r="P59" s="302"/>
      <c r="Q59" s="485">
        <v>110</v>
      </c>
      <c r="S59" s="536">
        <v>7594</v>
      </c>
      <c r="T59" s="321">
        <v>7594</v>
      </c>
      <c r="U59" s="515"/>
      <c r="V59" s="549"/>
    </row>
    <row r="60" spans="1:22" s="7" customFormat="1" ht="15">
      <c r="A60" s="1"/>
      <c r="B60" s="12"/>
      <c r="C60" s="6" t="s">
        <v>1254</v>
      </c>
      <c r="D60" s="15" t="s">
        <v>892</v>
      </c>
      <c r="E60" s="20" t="s">
        <v>628</v>
      </c>
      <c r="F60" s="44"/>
      <c r="G60" s="44"/>
      <c r="H60" s="151"/>
      <c r="I60" s="151"/>
      <c r="J60" s="151"/>
      <c r="K60" s="153" t="s">
        <v>134</v>
      </c>
      <c r="L60" s="39">
        <v>44151</v>
      </c>
      <c r="M60" s="39"/>
      <c r="N60" s="213">
        <v>44151</v>
      </c>
      <c r="O60" s="38" t="s">
        <v>1263</v>
      </c>
      <c r="P60" s="6"/>
      <c r="Q60" s="524"/>
      <c r="S60" s="489"/>
      <c r="T60" s="113"/>
      <c r="U60" s="501"/>
      <c r="V60" s="494"/>
    </row>
    <row r="61" spans="1:22" s="7" customFormat="1" ht="15" customHeight="1">
      <c r="A61" s="1"/>
      <c r="B61" s="12"/>
      <c r="C61" s="6" t="s">
        <v>1254</v>
      </c>
      <c r="D61" s="15" t="s">
        <v>892</v>
      </c>
      <c r="E61" s="24">
        <v>5603</v>
      </c>
      <c r="F61" s="44"/>
      <c r="G61" s="44" t="s">
        <v>1088</v>
      </c>
      <c r="H61" s="151">
        <v>50</v>
      </c>
      <c r="I61" s="152">
        <v>1</v>
      </c>
      <c r="J61" s="67">
        <v>50</v>
      </c>
      <c r="K61" s="46">
        <v>0.3</v>
      </c>
      <c r="L61" s="39">
        <v>44151</v>
      </c>
      <c r="M61" s="39"/>
      <c r="N61" s="213">
        <v>44151</v>
      </c>
      <c r="O61" s="38" t="s">
        <v>1263</v>
      </c>
      <c r="P61" s="6"/>
      <c r="Q61" s="483">
        <v>0.24</v>
      </c>
      <c r="S61" s="489">
        <v>16</v>
      </c>
      <c r="T61" s="565">
        <v>800</v>
      </c>
      <c r="U61" s="507"/>
      <c r="V61" s="494"/>
    </row>
    <row r="62" spans="1:22" s="7" customFormat="1" ht="15" customHeight="1">
      <c r="A62" s="1"/>
      <c r="B62" s="12"/>
      <c r="C62" s="6" t="s">
        <v>1254</v>
      </c>
      <c r="D62" s="15" t="s">
        <v>892</v>
      </c>
      <c r="E62" s="24">
        <v>5603</v>
      </c>
      <c r="F62" s="44"/>
      <c r="G62" s="44" t="s">
        <v>1085</v>
      </c>
      <c r="H62" s="151">
        <v>50</v>
      </c>
      <c r="I62" s="152">
        <v>1</v>
      </c>
      <c r="J62" s="67">
        <v>50</v>
      </c>
      <c r="K62" s="46">
        <v>0.3</v>
      </c>
      <c r="L62" s="39">
        <v>44151</v>
      </c>
      <c r="M62" s="39"/>
      <c r="N62" s="213">
        <v>44151</v>
      </c>
      <c r="O62" s="38" t="s">
        <v>1263</v>
      </c>
      <c r="P62" s="6"/>
      <c r="Q62" s="483">
        <v>0.24</v>
      </c>
      <c r="S62" s="489">
        <v>16</v>
      </c>
      <c r="T62" s="565">
        <v>800</v>
      </c>
      <c r="U62" s="507"/>
      <c r="V62" s="494"/>
    </row>
    <row r="63" spans="1:22" s="7" customFormat="1" ht="15" customHeight="1">
      <c r="A63" s="1"/>
      <c r="B63" s="12"/>
      <c r="C63" s="6" t="s">
        <v>1254</v>
      </c>
      <c r="D63" s="15" t="s">
        <v>892</v>
      </c>
      <c r="E63" s="24">
        <v>5603</v>
      </c>
      <c r="F63" s="44"/>
      <c r="G63" s="44" t="s">
        <v>1255</v>
      </c>
      <c r="H63" s="151">
        <v>50</v>
      </c>
      <c r="I63" s="152">
        <v>1</v>
      </c>
      <c r="J63" s="67">
        <v>50</v>
      </c>
      <c r="K63" s="46">
        <v>0.3</v>
      </c>
      <c r="L63" s="39">
        <v>44151</v>
      </c>
      <c r="M63" s="39"/>
      <c r="N63" s="213">
        <v>44151</v>
      </c>
      <c r="O63" s="38" t="s">
        <v>1263</v>
      </c>
      <c r="P63" s="6"/>
      <c r="Q63" s="483">
        <v>0.24</v>
      </c>
      <c r="S63" s="489">
        <v>16</v>
      </c>
      <c r="T63" s="565">
        <v>800</v>
      </c>
      <c r="U63" s="507"/>
      <c r="V63" s="494"/>
    </row>
    <row r="64" spans="1:22" s="7" customFormat="1" ht="15" customHeight="1">
      <c r="A64" s="1"/>
      <c r="B64" s="12"/>
      <c r="C64" s="6" t="s">
        <v>1254</v>
      </c>
      <c r="D64" s="15" t="s">
        <v>892</v>
      </c>
      <c r="E64" s="24">
        <v>5603</v>
      </c>
      <c r="F64" s="44"/>
      <c r="G64" s="44" t="s">
        <v>1256</v>
      </c>
      <c r="H64" s="151">
        <v>50</v>
      </c>
      <c r="I64" s="152">
        <v>1</v>
      </c>
      <c r="J64" s="67">
        <v>50</v>
      </c>
      <c r="K64" s="46">
        <v>0.3</v>
      </c>
      <c r="L64" s="39">
        <v>44151</v>
      </c>
      <c r="M64" s="39"/>
      <c r="N64" s="213">
        <v>44151</v>
      </c>
      <c r="O64" s="38" t="s">
        <v>1263</v>
      </c>
      <c r="P64" s="6"/>
      <c r="Q64" s="483">
        <v>0.24</v>
      </c>
      <c r="S64" s="489">
        <v>16</v>
      </c>
      <c r="T64" s="565">
        <v>800</v>
      </c>
      <c r="U64" s="507"/>
      <c r="V64" s="494"/>
    </row>
    <row r="65" spans="1:22" s="218" customFormat="1" ht="18" customHeight="1">
      <c r="A65" s="1"/>
      <c r="B65" s="541"/>
      <c r="C65" s="6" t="s">
        <v>1254</v>
      </c>
      <c r="D65" s="15" t="s">
        <v>892</v>
      </c>
      <c r="E65" s="24"/>
      <c r="F65" s="26"/>
      <c r="G65" s="24" t="s">
        <v>31</v>
      </c>
      <c r="H65" s="45"/>
      <c r="I65" s="41"/>
      <c r="J65" s="319">
        <v>1</v>
      </c>
      <c r="K65" s="46">
        <v>12</v>
      </c>
      <c r="L65" s="39">
        <v>44151</v>
      </c>
      <c r="M65" s="39"/>
      <c r="N65" s="213">
        <v>44151</v>
      </c>
      <c r="O65" s="38" t="s">
        <v>1263</v>
      </c>
      <c r="P65" s="216"/>
      <c r="Q65" s="483">
        <v>12</v>
      </c>
      <c r="S65" s="489">
        <v>1100</v>
      </c>
      <c r="T65" s="113">
        <f>S65*J65</f>
        <v>1100</v>
      </c>
      <c r="U65" s="504"/>
      <c r="V65" s="547"/>
    </row>
    <row r="66" spans="1:22" s="314" customFormat="1" ht="15" customHeight="1">
      <c r="A66" s="1"/>
      <c r="B66" s="313"/>
      <c r="C66" s="302" t="s">
        <v>1254</v>
      </c>
      <c r="D66" s="303" t="s">
        <v>892</v>
      </c>
      <c r="E66" s="304"/>
      <c r="F66" s="305"/>
      <c r="G66" s="305" t="s">
        <v>1227</v>
      </c>
      <c r="H66" s="307" t="s">
        <v>1228</v>
      </c>
      <c r="I66" s="308"/>
      <c r="J66" s="306"/>
      <c r="K66" s="315"/>
      <c r="L66" s="310">
        <v>44151</v>
      </c>
      <c r="M66" s="310"/>
      <c r="N66" s="311">
        <v>44151</v>
      </c>
      <c r="O66" s="309" t="s">
        <v>1263</v>
      </c>
      <c r="P66" s="302"/>
      <c r="Q66" s="485">
        <v>0</v>
      </c>
      <c r="S66" s="536">
        <v>0</v>
      </c>
      <c r="T66" s="322">
        <v>0</v>
      </c>
      <c r="U66" s="515"/>
      <c r="V66" s="549"/>
    </row>
    <row r="67" spans="1:22" s="7" customFormat="1" ht="18" customHeight="1">
      <c r="A67" s="1"/>
      <c r="B67" s="12"/>
      <c r="C67" s="6" t="s">
        <v>1261</v>
      </c>
      <c r="D67" s="15" t="s">
        <v>1260</v>
      </c>
      <c r="E67" s="20" t="s">
        <v>79</v>
      </c>
      <c r="F67" s="150"/>
      <c r="H67" s="151"/>
      <c r="I67" s="152"/>
      <c r="J67" s="151"/>
      <c r="K67" s="153" t="s">
        <v>10</v>
      </c>
      <c r="L67" s="39">
        <v>44190</v>
      </c>
      <c r="M67" s="39"/>
      <c r="N67" s="213">
        <v>44190</v>
      </c>
      <c r="O67" s="38">
        <v>2783</v>
      </c>
      <c r="P67" s="15"/>
      <c r="Q67" s="411" t="s">
        <v>194</v>
      </c>
      <c r="S67" s="489"/>
      <c r="T67" s="113"/>
      <c r="U67" s="506"/>
      <c r="V67" s="494"/>
    </row>
    <row r="68" spans="1:22" s="7" customFormat="1" ht="18" customHeight="1">
      <c r="A68" s="1"/>
      <c r="B68" s="12"/>
      <c r="C68" s="6" t="s">
        <v>1261</v>
      </c>
      <c r="D68" s="15" t="s">
        <v>1260</v>
      </c>
      <c r="E68" s="24" t="s">
        <v>743</v>
      </c>
      <c r="F68" s="150">
        <v>130</v>
      </c>
      <c r="G68" s="24" t="s">
        <v>755</v>
      </c>
      <c r="H68" s="151">
        <v>496</v>
      </c>
      <c r="I68" s="151">
        <v>496</v>
      </c>
      <c r="J68" s="151">
        <v>496</v>
      </c>
      <c r="K68" s="46">
        <v>9.8800000000000008</v>
      </c>
      <c r="L68" s="39">
        <v>44190</v>
      </c>
      <c r="M68" s="39"/>
      <c r="N68" s="213">
        <v>44190</v>
      </c>
      <c r="O68" s="38">
        <v>2783</v>
      </c>
      <c r="P68" s="6"/>
      <c r="Q68" s="486">
        <v>9.44</v>
      </c>
      <c r="S68" s="489">
        <v>790</v>
      </c>
      <c r="T68" s="113">
        <f>S68*J68</f>
        <v>391840</v>
      </c>
      <c r="U68" s="501" t="s">
        <v>865</v>
      </c>
      <c r="V68" s="494"/>
    </row>
    <row r="69" spans="1:22" s="218" customFormat="1" ht="17.45" customHeight="1">
      <c r="A69" s="1"/>
      <c r="B69" s="541"/>
      <c r="C69" s="216" t="s">
        <v>1261</v>
      </c>
      <c r="D69" s="109" t="s">
        <v>1260</v>
      </c>
      <c r="E69" s="325"/>
      <c r="F69" s="42"/>
      <c r="G69" s="42" t="s">
        <v>31</v>
      </c>
      <c r="H69" s="214"/>
      <c r="I69" s="326" ph="1"/>
      <c r="J69" s="43">
        <v>1</v>
      </c>
      <c r="K69" s="229">
        <v>20</v>
      </c>
      <c r="L69" s="39">
        <v>44190</v>
      </c>
      <c r="M69" s="39"/>
      <c r="N69" s="213">
        <v>44190</v>
      </c>
      <c r="O69" s="38">
        <v>2783</v>
      </c>
      <c r="P69" s="216"/>
      <c r="Q69" s="525">
        <v>20</v>
      </c>
      <c r="S69" s="492">
        <v>0</v>
      </c>
      <c r="T69" s="564">
        <f>S69*J69</f>
        <v>0</v>
      </c>
      <c r="U69" s="504"/>
      <c r="V69" s="547"/>
    </row>
    <row r="70" spans="1:22" s="314" customFormat="1" ht="15" customHeight="1">
      <c r="A70" s="1"/>
      <c r="B70" s="313"/>
      <c r="C70" s="302" t="s">
        <v>1261</v>
      </c>
      <c r="D70" s="303" t="s">
        <v>1260</v>
      </c>
      <c r="E70" s="304"/>
      <c r="F70" s="305"/>
      <c r="G70" s="305" t="s">
        <v>1227</v>
      </c>
      <c r="H70" s="307" t="s">
        <v>855</v>
      </c>
      <c r="I70" s="308"/>
      <c r="J70" s="306"/>
      <c r="K70" s="315"/>
      <c r="L70" s="310">
        <v>44190</v>
      </c>
      <c r="M70" s="310"/>
      <c r="N70" s="311">
        <v>44190</v>
      </c>
      <c r="O70" s="309">
        <v>2783</v>
      </c>
      <c r="P70" s="302"/>
      <c r="Q70" s="526" t="s">
        <v>1262</v>
      </c>
      <c r="S70" s="536">
        <v>0</v>
      </c>
      <c r="T70" s="322">
        <v>0</v>
      </c>
      <c r="U70" s="515"/>
      <c r="V70" s="549"/>
    </row>
    <row r="71" spans="1:22" s="7" customFormat="1" ht="15">
      <c r="A71" s="1"/>
      <c r="B71" s="12"/>
      <c r="C71" s="6" t="s">
        <v>1266</v>
      </c>
      <c r="D71" s="15" t="s">
        <v>983</v>
      </c>
      <c r="E71" s="20" t="s">
        <v>344</v>
      </c>
      <c r="F71" s="26"/>
      <c r="G71" s="24"/>
      <c r="H71" s="67"/>
      <c r="I71" s="68"/>
      <c r="J71" s="67"/>
      <c r="K71" s="17" t="s">
        <v>134</v>
      </c>
      <c r="L71" s="39">
        <v>44160</v>
      </c>
      <c r="M71" s="39"/>
      <c r="N71" s="213">
        <v>44160</v>
      </c>
      <c r="O71" s="38" t="s">
        <v>1278</v>
      </c>
      <c r="P71" s="6" t="s">
        <v>23</v>
      </c>
      <c r="Q71" s="481"/>
      <c r="S71" s="489"/>
      <c r="T71" s="113"/>
      <c r="U71" s="500"/>
      <c r="V71" s="494"/>
    </row>
    <row r="72" spans="1:22" s="7" customFormat="1" ht="15">
      <c r="A72" s="1"/>
      <c r="B72" s="12"/>
      <c r="C72" s="6" t="s">
        <v>1266</v>
      </c>
      <c r="D72" s="15" t="s">
        <v>983</v>
      </c>
      <c r="E72" s="24">
        <v>14552</v>
      </c>
      <c r="F72" s="26">
        <v>10</v>
      </c>
      <c r="G72" s="24" t="s">
        <v>431</v>
      </c>
      <c r="H72" s="151">
        <v>30</v>
      </c>
      <c r="I72" s="152">
        <v>11</v>
      </c>
      <c r="J72" s="67">
        <f>H72*I72</f>
        <v>330</v>
      </c>
      <c r="K72" s="25">
        <v>0.57999999999999996</v>
      </c>
      <c r="L72" s="39">
        <v>44160</v>
      </c>
      <c r="M72" s="39"/>
      <c r="N72" s="213">
        <v>44160</v>
      </c>
      <c r="O72" s="38" t="s">
        <v>1278</v>
      </c>
      <c r="P72" s="25"/>
      <c r="Q72" s="482">
        <v>0.46</v>
      </c>
      <c r="S72" s="489">
        <v>31</v>
      </c>
      <c r="T72" s="113">
        <f>S72*J72</f>
        <v>10230</v>
      </c>
      <c r="U72" s="500"/>
      <c r="V72" s="494"/>
    </row>
    <row r="73" spans="1:22" s="7" customFormat="1" ht="15">
      <c r="A73" s="1"/>
      <c r="B73" s="12"/>
      <c r="C73" s="6" t="s">
        <v>1272</v>
      </c>
      <c r="D73" s="15" t="s">
        <v>983</v>
      </c>
      <c r="E73" s="24">
        <v>14552</v>
      </c>
      <c r="F73" s="26">
        <v>10</v>
      </c>
      <c r="G73" s="24" t="s">
        <v>1273</v>
      </c>
      <c r="H73" s="151">
        <v>30</v>
      </c>
      <c r="I73" s="152">
        <v>1</v>
      </c>
      <c r="J73" s="67">
        <f>H73*I73</f>
        <v>30</v>
      </c>
      <c r="K73" s="25">
        <v>0.57999999999999996</v>
      </c>
      <c r="L73" s="39">
        <v>44160</v>
      </c>
      <c r="M73" s="39"/>
      <c r="N73" s="213">
        <v>44160</v>
      </c>
      <c r="O73" s="38" t="s">
        <v>1278</v>
      </c>
      <c r="P73" s="25"/>
      <c r="Q73" s="482">
        <v>0.46</v>
      </c>
      <c r="S73" s="489">
        <v>31</v>
      </c>
      <c r="T73" s="113">
        <f>S73*J73</f>
        <v>930</v>
      </c>
      <c r="U73" s="500"/>
      <c r="V73" s="494"/>
    </row>
    <row r="74" spans="1:22" s="7" customFormat="1" ht="15">
      <c r="A74" s="1"/>
      <c r="B74" s="12"/>
      <c r="C74" s="6" t="s">
        <v>1272</v>
      </c>
      <c r="D74" s="15" t="s">
        <v>983</v>
      </c>
      <c r="E74" s="24">
        <v>14552</v>
      </c>
      <c r="F74" s="26">
        <v>10</v>
      </c>
      <c r="G74" s="24" t="s">
        <v>1274</v>
      </c>
      <c r="H74" s="151">
        <v>30</v>
      </c>
      <c r="I74" s="152">
        <v>1</v>
      </c>
      <c r="J74" s="67">
        <f>H74*I74</f>
        <v>30</v>
      </c>
      <c r="K74" s="25">
        <v>0.57999999999999996</v>
      </c>
      <c r="L74" s="39">
        <v>44160</v>
      </c>
      <c r="M74" s="39"/>
      <c r="N74" s="213">
        <v>44160</v>
      </c>
      <c r="O74" s="38" t="s">
        <v>1278</v>
      </c>
      <c r="P74" s="25"/>
      <c r="Q74" s="482">
        <v>0.46</v>
      </c>
      <c r="S74" s="489">
        <v>31</v>
      </c>
      <c r="T74" s="113">
        <f>S74*J74</f>
        <v>930</v>
      </c>
      <c r="U74" s="500"/>
      <c r="V74" s="494"/>
    </row>
    <row r="75" spans="1:22" s="7" customFormat="1" ht="15">
      <c r="A75" s="1"/>
      <c r="B75" s="12"/>
      <c r="C75" s="6" t="s">
        <v>1275</v>
      </c>
      <c r="D75" s="15" t="s">
        <v>983</v>
      </c>
      <c r="E75" s="24"/>
      <c r="F75" s="138"/>
      <c r="G75" s="24" t="s">
        <v>481</v>
      </c>
      <c r="H75" s="8"/>
      <c r="I75" s="41"/>
      <c r="J75" s="45">
        <v>1</v>
      </c>
      <c r="K75" s="46">
        <v>12</v>
      </c>
      <c r="L75" s="39">
        <v>44160</v>
      </c>
      <c r="M75" s="39"/>
      <c r="N75" s="213">
        <v>44160</v>
      </c>
      <c r="O75" s="38" t="s">
        <v>1278</v>
      </c>
      <c r="P75" s="6"/>
      <c r="Q75" s="483">
        <v>12</v>
      </c>
      <c r="S75" s="489">
        <v>0</v>
      </c>
      <c r="T75" s="113">
        <f>S75*J75</f>
        <v>0</v>
      </c>
      <c r="U75" s="501"/>
      <c r="V75" s="494"/>
    </row>
    <row r="76" spans="1:22" s="314" customFormat="1" ht="15" customHeight="1">
      <c r="A76" s="1"/>
      <c r="B76" s="313"/>
      <c r="C76" s="302" t="s">
        <v>1275</v>
      </c>
      <c r="D76" s="303" t="s">
        <v>983</v>
      </c>
      <c r="E76" s="304"/>
      <c r="F76" s="305"/>
      <c r="G76" s="305" t="s">
        <v>1227</v>
      </c>
      <c r="H76" s="307" t="s">
        <v>1243</v>
      </c>
      <c r="I76" s="308"/>
      <c r="J76" s="306"/>
      <c r="K76" s="315">
        <v>50</v>
      </c>
      <c r="L76" s="310">
        <v>44160</v>
      </c>
      <c r="M76" s="310"/>
      <c r="N76" s="311">
        <v>44160</v>
      </c>
      <c r="O76" s="309" t="s">
        <v>1278</v>
      </c>
      <c r="P76" s="302"/>
      <c r="Q76" s="485">
        <v>50</v>
      </c>
      <c r="S76" s="536">
        <v>3483</v>
      </c>
      <c r="T76" s="321">
        <v>3483</v>
      </c>
      <c r="U76" s="515"/>
      <c r="V76" s="549"/>
    </row>
    <row r="77" spans="1:22" s="7" customFormat="1" ht="15" customHeight="1">
      <c r="A77" s="1"/>
      <c r="B77" s="12"/>
      <c r="C77" s="6" t="s">
        <v>1267</v>
      </c>
      <c r="D77" s="15" t="s">
        <v>1178</v>
      </c>
      <c r="E77" s="20" t="s">
        <v>192</v>
      </c>
      <c r="F77" s="26"/>
      <c r="G77" s="24"/>
      <c r="H77" s="67"/>
      <c r="I77" s="68"/>
      <c r="J77" s="67"/>
      <c r="K77" s="17" t="s">
        <v>10</v>
      </c>
      <c r="L77" s="39">
        <v>44169</v>
      </c>
      <c r="M77" s="39"/>
      <c r="N77" s="213">
        <v>44169</v>
      </c>
      <c r="O77" s="38">
        <v>2775</v>
      </c>
      <c r="P77" s="6" t="s">
        <v>3</v>
      </c>
      <c r="Q77" s="481"/>
      <c r="S77" s="489"/>
      <c r="T77" s="113"/>
      <c r="U77" s="500"/>
      <c r="V77" s="494"/>
    </row>
    <row r="78" spans="1:22" s="7" customFormat="1" ht="15.75" customHeight="1">
      <c r="A78" s="1"/>
      <c r="B78" s="12"/>
      <c r="C78" s="6" t="s">
        <v>1267</v>
      </c>
      <c r="D78" s="15" t="s">
        <v>1178</v>
      </c>
      <c r="E78" s="24" t="s">
        <v>1179</v>
      </c>
      <c r="F78" s="26" t="s">
        <v>426</v>
      </c>
      <c r="G78" s="24" t="s">
        <v>726</v>
      </c>
      <c r="H78" s="151">
        <v>19.8</v>
      </c>
      <c r="I78" s="41">
        <v>14</v>
      </c>
      <c r="J78" s="19">
        <f>H78*I78</f>
        <v>277.2</v>
      </c>
      <c r="K78" s="25">
        <v>11.81</v>
      </c>
      <c r="L78" s="39">
        <v>44169</v>
      </c>
      <c r="M78" s="39"/>
      <c r="N78" s="213">
        <v>44169</v>
      </c>
      <c r="O78" s="38">
        <v>2775</v>
      </c>
      <c r="P78" s="6" t="s">
        <v>3</v>
      </c>
      <c r="Q78" s="483">
        <v>10.5</v>
      </c>
      <c r="S78" s="489">
        <v>800</v>
      </c>
      <c r="T78" s="113">
        <f>S78*J78</f>
        <v>221760</v>
      </c>
      <c r="U78" s="508" t="s">
        <v>1268</v>
      </c>
      <c r="V78" s="494"/>
    </row>
    <row r="79" spans="1:22" s="314" customFormat="1" ht="15">
      <c r="A79" s="1"/>
      <c r="B79" s="313"/>
      <c r="C79" s="302" t="s">
        <v>1267</v>
      </c>
      <c r="D79" s="303" t="s">
        <v>1178</v>
      </c>
      <c r="E79" s="304"/>
      <c r="F79" s="305"/>
      <c r="G79" s="305" t="s">
        <v>1227</v>
      </c>
      <c r="H79" s="307" t="s">
        <v>1262</v>
      </c>
      <c r="I79" s="308"/>
      <c r="J79" s="306"/>
      <c r="K79" s="315"/>
      <c r="L79" s="310">
        <v>44169</v>
      </c>
      <c r="M79" s="310"/>
      <c r="N79" s="311">
        <v>44169</v>
      </c>
      <c r="O79" s="309">
        <v>2775</v>
      </c>
      <c r="P79" s="302"/>
      <c r="Q79" s="485">
        <v>0</v>
      </c>
      <c r="S79" s="536">
        <v>0</v>
      </c>
      <c r="T79" s="322">
        <v>0</v>
      </c>
      <c r="U79" s="515"/>
      <c r="V79" s="549"/>
    </row>
    <row r="80" spans="1:22" s="7" customFormat="1" ht="15" customHeight="1">
      <c r="A80" s="1"/>
      <c r="B80" s="12"/>
      <c r="C80" s="6" t="s">
        <v>1269</v>
      </c>
      <c r="D80" s="15" t="s">
        <v>892</v>
      </c>
      <c r="E80" s="20" t="s">
        <v>628</v>
      </c>
      <c r="F80" s="44"/>
      <c r="G80" s="44"/>
      <c r="H80" s="151"/>
      <c r="I80" s="151"/>
      <c r="J80" s="151"/>
      <c r="K80" s="153" t="s">
        <v>134</v>
      </c>
      <c r="L80" s="39">
        <v>44159</v>
      </c>
      <c r="M80" s="39"/>
      <c r="N80" s="213">
        <v>44159</v>
      </c>
      <c r="O80" s="38" t="s">
        <v>1276</v>
      </c>
      <c r="P80" s="6"/>
      <c r="Q80" s="524"/>
      <c r="S80" s="489"/>
      <c r="T80" s="113"/>
      <c r="U80" s="501"/>
      <c r="V80" s="494"/>
    </row>
    <row r="81" spans="1:22" s="7" customFormat="1" ht="15">
      <c r="A81" s="1"/>
      <c r="B81" s="12"/>
      <c r="C81" s="6" t="s">
        <v>1269</v>
      </c>
      <c r="D81" s="15" t="s">
        <v>892</v>
      </c>
      <c r="E81" s="24">
        <v>5603</v>
      </c>
      <c r="F81" s="44"/>
      <c r="G81" s="44" t="s">
        <v>1174</v>
      </c>
      <c r="H81" s="151">
        <v>50</v>
      </c>
      <c r="I81" s="152">
        <v>9</v>
      </c>
      <c r="J81" s="67">
        <f>H81*I81</f>
        <v>450</v>
      </c>
      <c r="K81" s="46">
        <v>0.3</v>
      </c>
      <c r="L81" s="39">
        <v>44159</v>
      </c>
      <c r="M81" s="39"/>
      <c r="N81" s="213">
        <v>44159</v>
      </c>
      <c r="O81" s="38" t="s">
        <v>1276</v>
      </c>
      <c r="P81" s="6"/>
      <c r="Q81" s="483">
        <v>0.24</v>
      </c>
      <c r="S81" s="489">
        <v>16</v>
      </c>
      <c r="T81" s="113">
        <f>S81*J81</f>
        <v>7200</v>
      </c>
      <c r="U81" s="507"/>
      <c r="V81" s="494"/>
    </row>
    <row r="82" spans="1:22" s="7" customFormat="1" ht="15">
      <c r="A82" s="1"/>
      <c r="B82" s="12"/>
      <c r="C82" s="6" t="s">
        <v>1269</v>
      </c>
      <c r="D82" s="15" t="s">
        <v>892</v>
      </c>
      <c r="E82" s="24">
        <v>5603</v>
      </c>
      <c r="F82" s="44"/>
      <c r="G82" s="44" t="s">
        <v>1177</v>
      </c>
      <c r="H82" s="151">
        <v>50</v>
      </c>
      <c r="I82" s="152">
        <v>8</v>
      </c>
      <c r="J82" s="67">
        <f>H82*I82</f>
        <v>400</v>
      </c>
      <c r="K82" s="46">
        <v>0.3</v>
      </c>
      <c r="L82" s="39">
        <v>44159</v>
      </c>
      <c r="M82" s="39"/>
      <c r="N82" s="213">
        <v>44159</v>
      </c>
      <c r="O82" s="38" t="s">
        <v>1276</v>
      </c>
      <c r="P82" s="6"/>
      <c r="Q82" s="483">
        <v>0.24</v>
      </c>
      <c r="S82" s="489">
        <v>16</v>
      </c>
      <c r="T82" s="113">
        <f>S82*J82</f>
        <v>6400</v>
      </c>
      <c r="U82" s="507"/>
      <c r="V82" s="494"/>
    </row>
    <row r="83" spans="1:22" s="218" customFormat="1" ht="18" customHeight="1">
      <c r="A83" s="1"/>
      <c r="B83" s="541"/>
      <c r="C83" s="6" t="s">
        <v>1269</v>
      </c>
      <c r="D83" s="15" t="s">
        <v>892</v>
      </c>
      <c r="E83" s="24"/>
      <c r="F83" s="26"/>
      <c r="G83" s="24" t="s">
        <v>31</v>
      </c>
      <c r="H83" s="45"/>
      <c r="I83" s="41"/>
      <c r="J83" s="319">
        <v>1</v>
      </c>
      <c r="K83" s="46">
        <v>12</v>
      </c>
      <c r="L83" s="39">
        <v>44159</v>
      </c>
      <c r="M83" s="39"/>
      <c r="N83" s="213">
        <v>44159</v>
      </c>
      <c r="O83" s="38" t="s">
        <v>1276</v>
      </c>
      <c r="P83" s="216"/>
      <c r="Q83" s="483">
        <v>12</v>
      </c>
      <c r="S83" s="489">
        <v>1100</v>
      </c>
      <c r="T83" s="113">
        <v>1100</v>
      </c>
      <c r="U83" s="504"/>
      <c r="V83" s="547"/>
    </row>
    <row r="84" spans="1:22" s="314" customFormat="1" ht="15">
      <c r="A84" s="1"/>
      <c r="B84" s="313"/>
      <c r="C84" s="302" t="s">
        <v>1269</v>
      </c>
      <c r="D84" s="303" t="s">
        <v>892</v>
      </c>
      <c r="E84" s="304"/>
      <c r="F84" s="305"/>
      <c r="G84" s="305" t="s">
        <v>1227</v>
      </c>
      <c r="H84" s="307" t="s">
        <v>1228</v>
      </c>
      <c r="I84" s="308"/>
      <c r="J84" s="306"/>
      <c r="K84" s="315"/>
      <c r="L84" s="310">
        <v>44159</v>
      </c>
      <c r="M84" s="310"/>
      <c r="N84" s="311">
        <v>44159</v>
      </c>
      <c r="O84" s="309" t="s">
        <v>1276</v>
      </c>
      <c r="P84" s="302"/>
      <c r="Q84" s="485">
        <v>0</v>
      </c>
      <c r="S84" s="536">
        <v>0</v>
      </c>
      <c r="T84" s="322">
        <v>0</v>
      </c>
      <c r="U84" s="515"/>
      <c r="V84" s="549"/>
    </row>
    <row r="85" spans="1:22" s="7" customFormat="1" ht="18" customHeight="1">
      <c r="A85" s="1"/>
      <c r="B85" s="12"/>
      <c r="C85" s="6" t="s">
        <v>1277</v>
      </c>
      <c r="D85" s="15" t="s">
        <v>990</v>
      </c>
      <c r="E85" s="20" t="s">
        <v>1003</v>
      </c>
      <c r="F85" s="24"/>
      <c r="G85" s="44"/>
      <c r="H85" s="151"/>
      <c r="I85" s="151"/>
      <c r="J85" s="151"/>
      <c r="K85" s="153" t="s">
        <v>10</v>
      </c>
      <c r="L85" s="39">
        <v>44161</v>
      </c>
      <c r="M85" s="39"/>
      <c r="N85" s="213">
        <v>44161</v>
      </c>
      <c r="O85" s="38" t="s">
        <v>1282</v>
      </c>
      <c r="P85" s="6"/>
      <c r="Q85" s="411"/>
      <c r="S85" s="489"/>
      <c r="T85" s="113"/>
      <c r="U85" s="501"/>
      <c r="V85" s="494"/>
    </row>
    <row r="86" spans="1:22" s="7" customFormat="1" ht="15.95" customHeight="1">
      <c r="A86" s="1"/>
      <c r="B86" s="12"/>
      <c r="C86" s="6" t="s">
        <v>1277</v>
      </c>
      <c r="D86" s="15" t="s">
        <v>990</v>
      </c>
      <c r="E86" s="24" t="s">
        <v>92</v>
      </c>
      <c r="F86" s="44"/>
      <c r="G86" s="44" t="s">
        <v>129</v>
      </c>
      <c r="H86" s="67">
        <v>14</v>
      </c>
      <c r="I86" s="68">
        <v>2</v>
      </c>
      <c r="J86" s="67">
        <f>H86*I86</f>
        <v>28</v>
      </c>
      <c r="K86" s="46">
        <v>1.45</v>
      </c>
      <c r="L86" s="39">
        <v>44161</v>
      </c>
      <c r="M86" s="39"/>
      <c r="N86" s="213">
        <v>44161</v>
      </c>
      <c r="O86" s="38" t="s">
        <v>1282</v>
      </c>
      <c r="P86" s="6"/>
      <c r="Q86" s="483">
        <v>1.1599999999999999</v>
      </c>
      <c r="S86" s="489">
        <v>36</v>
      </c>
      <c r="T86" s="113">
        <f>S86*J86</f>
        <v>1008</v>
      </c>
      <c r="U86" s="512" t="s">
        <v>1234</v>
      </c>
      <c r="V86" s="494"/>
    </row>
    <row r="87" spans="1:22" s="7" customFormat="1" ht="15" customHeight="1">
      <c r="A87" s="1"/>
      <c r="B87" s="12"/>
      <c r="C87" s="6" t="s">
        <v>1277</v>
      </c>
      <c r="D87" s="15" t="s">
        <v>990</v>
      </c>
      <c r="E87" s="24"/>
      <c r="F87" s="44"/>
      <c r="G87" s="44" t="s">
        <v>31</v>
      </c>
      <c r="H87" s="45"/>
      <c r="I87" s="152" ph="1"/>
      <c r="J87" s="45">
        <v>1</v>
      </c>
      <c r="K87" s="46">
        <v>12</v>
      </c>
      <c r="L87" s="39">
        <v>44161</v>
      </c>
      <c r="M87" s="39"/>
      <c r="N87" s="213">
        <v>44161</v>
      </c>
      <c r="O87" s="38" t="s">
        <v>1282</v>
      </c>
      <c r="P87" s="6"/>
      <c r="Q87" s="483">
        <v>12</v>
      </c>
      <c r="S87" s="489">
        <v>490</v>
      </c>
      <c r="T87" s="113">
        <f>S87*J87</f>
        <v>490</v>
      </c>
      <c r="U87" s="501"/>
      <c r="V87" s="494"/>
    </row>
    <row r="88" spans="1:22" s="314" customFormat="1" ht="15">
      <c r="A88" s="1"/>
      <c r="B88" s="313"/>
      <c r="C88" s="302" t="s">
        <v>1277</v>
      </c>
      <c r="D88" s="303" t="s">
        <v>990</v>
      </c>
      <c r="E88" s="304"/>
      <c r="F88" s="305"/>
      <c r="G88" s="305" t="s">
        <v>1227</v>
      </c>
      <c r="H88" s="307" t="s">
        <v>1228</v>
      </c>
      <c r="I88" s="308"/>
      <c r="J88" s="306"/>
      <c r="K88" s="315">
        <v>0</v>
      </c>
      <c r="L88" s="310">
        <v>44161</v>
      </c>
      <c r="M88" s="310"/>
      <c r="N88" s="311">
        <v>44161</v>
      </c>
      <c r="O88" s="309" t="s">
        <v>1282</v>
      </c>
      <c r="P88" s="302"/>
      <c r="Q88" s="485">
        <v>0</v>
      </c>
      <c r="S88" s="535">
        <v>0</v>
      </c>
      <c r="T88" s="322">
        <v>0</v>
      </c>
      <c r="U88" s="515"/>
      <c r="V88" s="549"/>
    </row>
    <row r="89" spans="1:22" s="7" customFormat="1" ht="15" customHeight="1">
      <c r="A89" s="1"/>
      <c r="B89" s="12"/>
      <c r="C89" s="6" t="s">
        <v>1281</v>
      </c>
      <c r="D89" s="15" t="s">
        <v>11</v>
      </c>
      <c r="E89" s="20" t="s">
        <v>79</v>
      </c>
      <c r="F89" s="150"/>
      <c r="G89" s="24"/>
      <c r="H89" s="151"/>
      <c r="I89" s="152"/>
      <c r="J89" s="151"/>
      <c r="K89" s="153" t="s">
        <v>10</v>
      </c>
      <c r="L89" s="39">
        <v>44169</v>
      </c>
      <c r="M89" s="39"/>
      <c r="N89" s="213">
        <v>44169</v>
      </c>
      <c r="O89" s="38" t="s">
        <v>1291</v>
      </c>
      <c r="P89" s="15"/>
      <c r="Q89" s="483"/>
      <c r="S89" s="496"/>
      <c r="T89" s="113"/>
      <c r="U89" s="506"/>
      <c r="V89" s="494"/>
    </row>
    <row r="90" spans="1:22" s="7" customFormat="1" ht="15">
      <c r="A90" s="1"/>
      <c r="B90" s="12"/>
      <c r="C90" s="6" t="s">
        <v>1281</v>
      </c>
      <c r="D90" s="15" t="s">
        <v>11</v>
      </c>
      <c r="E90" s="24">
        <v>2440</v>
      </c>
      <c r="F90" s="150">
        <v>140</v>
      </c>
      <c r="G90" s="24" t="s">
        <v>1286</v>
      </c>
      <c r="H90" s="19">
        <v>58</v>
      </c>
      <c r="I90" s="68">
        <v>3</v>
      </c>
      <c r="J90" s="19">
        <f>H90*I90</f>
        <v>174</v>
      </c>
      <c r="K90" s="46">
        <v>3.34</v>
      </c>
      <c r="L90" s="39">
        <v>44169</v>
      </c>
      <c r="M90" s="39"/>
      <c r="N90" s="213">
        <v>44169</v>
      </c>
      <c r="O90" s="38" t="s">
        <v>1291</v>
      </c>
      <c r="P90" s="6"/>
      <c r="Q90" s="483">
        <v>2.97</v>
      </c>
      <c r="S90" s="532">
        <v>240</v>
      </c>
      <c r="T90" s="113">
        <f t="shared" ref="T90:T95" si="0">S90*J90</f>
        <v>41760</v>
      </c>
      <c r="U90" s="501"/>
      <c r="V90" s="494"/>
    </row>
    <row r="91" spans="1:22" s="7" customFormat="1" ht="15">
      <c r="A91" s="1"/>
      <c r="B91" s="12"/>
      <c r="C91" s="6" t="s">
        <v>1281</v>
      </c>
      <c r="D91" s="15" t="s">
        <v>11</v>
      </c>
      <c r="E91" s="24">
        <v>2440</v>
      </c>
      <c r="F91" s="150">
        <v>140</v>
      </c>
      <c r="G91" s="24" t="s">
        <v>1286</v>
      </c>
      <c r="H91" s="19">
        <v>38</v>
      </c>
      <c r="I91" s="68">
        <v>1</v>
      </c>
      <c r="J91" s="19">
        <f>H91*I91</f>
        <v>38</v>
      </c>
      <c r="K91" s="46">
        <v>3.34</v>
      </c>
      <c r="L91" s="39">
        <v>44169</v>
      </c>
      <c r="M91" s="39"/>
      <c r="N91" s="213">
        <v>44169</v>
      </c>
      <c r="O91" s="38" t="s">
        <v>1291</v>
      </c>
      <c r="P91" s="6"/>
      <c r="Q91" s="483">
        <v>2.97</v>
      </c>
      <c r="S91" s="532">
        <v>240</v>
      </c>
      <c r="T91" s="113">
        <f t="shared" si="0"/>
        <v>9120</v>
      </c>
      <c r="U91" s="501"/>
      <c r="V91" s="494"/>
    </row>
    <row r="92" spans="1:22" s="7" customFormat="1" ht="15">
      <c r="A92" s="1"/>
      <c r="B92" s="12"/>
      <c r="C92" s="6" t="s">
        <v>1281</v>
      </c>
      <c r="D92" s="15" t="s">
        <v>11</v>
      </c>
      <c r="E92" s="24">
        <v>2440</v>
      </c>
      <c r="F92" s="150">
        <v>140</v>
      </c>
      <c r="G92" s="24" t="s">
        <v>1286</v>
      </c>
      <c r="H92" s="19">
        <v>12.5</v>
      </c>
      <c r="I92" s="68">
        <v>1</v>
      </c>
      <c r="J92" s="19">
        <f>H92*I92</f>
        <v>12.5</v>
      </c>
      <c r="K92" s="46">
        <v>3.34</v>
      </c>
      <c r="L92" s="39">
        <v>44169</v>
      </c>
      <c r="M92" s="39"/>
      <c r="N92" s="213">
        <v>44169</v>
      </c>
      <c r="O92" s="38" t="s">
        <v>1291</v>
      </c>
      <c r="P92" s="6"/>
      <c r="Q92" s="483">
        <v>2.97</v>
      </c>
      <c r="S92" s="532">
        <v>240</v>
      </c>
      <c r="T92" s="113">
        <f t="shared" si="0"/>
        <v>3000</v>
      </c>
      <c r="U92" s="501"/>
      <c r="V92" s="494"/>
    </row>
    <row r="93" spans="1:22" s="7" customFormat="1" ht="15">
      <c r="A93" s="1"/>
      <c r="B93" s="12"/>
      <c r="C93" s="6" t="s">
        <v>1281</v>
      </c>
      <c r="D93" s="15" t="s">
        <v>11</v>
      </c>
      <c r="E93" s="24">
        <v>2440</v>
      </c>
      <c r="F93" s="150">
        <v>140</v>
      </c>
      <c r="G93" s="24" t="s">
        <v>1286</v>
      </c>
      <c r="H93" s="19">
        <v>9</v>
      </c>
      <c r="I93" s="68">
        <v>1</v>
      </c>
      <c r="J93" s="19">
        <f>H93*I93</f>
        <v>9</v>
      </c>
      <c r="K93" s="46">
        <v>3.34</v>
      </c>
      <c r="L93" s="39">
        <v>44169</v>
      </c>
      <c r="M93" s="39"/>
      <c r="N93" s="213">
        <v>44169</v>
      </c>
      <c r="O93" s="38" t="s">
        <v>1291</v>
      </c>
      <c r="P93" s="6"/>
      <c r="Q93" s="483">
        <v>2.97</v>
      </c>
      <c r="S93" s="532">
        <v>240</v>
      </c>
      <c r="T93" s="113">
        <f t="shared" si="0"/>
        <v>2160</v>
      </c>
      <c r="U93" s="501"/>
      <c r="V93" s="494"/>
    </row>
    <row r="94" spans="1:22" s="7" customFormat="1" ht="15">
      <c r="A94" s="1"/>
      <c r="B94" s="12"/>
      <c r="C94" s="6" t="s">
        <v>1281</v>
      </c>
      <c r="D94" s="15" t="s">
        <v>11</v>
      </c>
      <c r="E94" s="24">
        <v>2440</v>
      </c>
      <c r="F94" s="150">
        <v>140</v>
      </c>
      <c r="G94" s="24" t="s">
        <v>1286</v>
      </c>
      <c r="H94" s="19">
        <v>8.5</v>
      </c>
      <c r="I94" s="68">
        <v>1</v>
      </c>
      <c r="J94" s="19">
        <f>H94*I94</f>
        <v>8.5</v>
      </c>
      <c r="K94" s="46">
        <v>3.34</v>
      </c>
      <c r="L94" s="39">
        <v>44169</v>
      </c>
      <c r="M94" s="39"/>
      <c r="N94" s="213">
        <v>44169</v>
      </c>
      <c r="O94" s="38" t="s">
        <v>1291</v>
      </c>
      <c r="P94" s="6"/>
      <c r="Q94" s="483">
        <v>2.97</v>
      </c>
      <c r="S94" s="532">
        <v>240</v>
      </c>
      <c r="T94" s="113">
        <f t="shared" si="0"/>
        <v>2040</v>
      </c>
      <c r="U94" s="501"/>
      <c r="V94" s="494"/>
    </row>
    <row r="95" spans="1:22" s="218" customFormat="1" ht="15" customHeight="1">
      <c r="A95" s="1"/>
      <c r="B95" s="541"/>
      <c r="C95" s="216" t="s">
        <v>1284</v>
      </c>
      <c r="D95" s="109" t="s">
        <v>11</v>
      </c>
      <c r="E95" s="228"/>
      <c r="F95" s="160"/>
      <c r="G95" s="228" t="s">
        <v>481</v>
      </c>
      <c r="H95" s="214"/>
      <c r="I95" s="215"/>
      <c r="J95" s="43">
        <v>1</v>
      </c>
      <c r="K95" s="229">
        <v>20</v>
      </c>
      <c r="L95" s="39">
        <v>44169</v>
      </c>
      <c r="M95" s="39"/>
      <c r="N95" s="213">
        <v>44169</v>
      </c>
      <c r="O95" s="38" t="s">
        <v>1291</v>
      </c>
      <c r="P95" s="216"/>
      <c r="Q95" s="525">
        <v>20</v>
      </c>
      <c r="S95" s="532">
        <v>1800</v>
      </c>
      <c r="T95" s="113">
        <f t="shared" si="0"/>
        <v>1800</v>
      </c>
      <c r="U95" s="504"/>
      <c r="V95" s="547"/>
    </row>
    <row r="96" spans="1:22" s="314" customFormat="1" ht="15">
      <c r="A96" s="1"/>
      <c r="B96" s="313"/>
      <c r="C96" s="302" t="s">
        <v>1281</v>
      </c>
      <c r="D96" s="303" t="s">
        <v>11</v>
      </c>
      <c r="E96" s="304"/>
      <c r="F96" s="305"/>
      <c r="G96" s="305" t="s">
        <v>1227</v>
      </c>
      <c r="H96" s="307" t="s">
        <v>1228</v>
      </c>
      <c r="I96" s="308"/>
      <c r="J96" s="306"/>
      <c r="K96" s="315">
        <v>0</v>
      </c>
      <c r="L96" s="310">
        <v>44169</v>
      </c>
      <c r="M96" s="310"/>
      <c r="N96" s="311">
        <v>44169</v>
      </c>
      <c r="O96" s="309" t="s">
        <v>1291</v>
      </c>
      <c r="P96" s="302"/>
      <c r="Q96" s="485">
        <v>0</v>
      </c>
      <c r="S96" s="535">
        <v>0</v>
      </c>
      <c r="T96" s="322">
        <v>0</v>
      </c>
      <c r="U96" s="515"/>
      <c r="V96" s="549"/>
    </row>
    <row r="97" spans="1:22" s="7" customFormat="1" ht="15" customHeight="1">
      <c r="A97" s="1"/>
      <c r="B97" s="12"/>
      <c r="C97" s="6" t="s">
        <v>1285</v>
      </c>
      <c r="D97" s="15" t="s">
        <v>870</v>
      </c>
      <c r="E97" s="20" t="s">
        <v>79</v>
      </c>
      <c r="F97" s="150"/>
      <c r="G97" s="24"/>
      <c r="H97" s="151"/>
      <c r="I97" s="152"/>
      <c r="J97" s="151"/>
      <c r="K97" s="153" t="s">
        <v>10</v>
      </c>
      <c r="L97" s="39">
        <v>44167</v>
      </c>
      <c r="M97" s="39"/>
      <c r="N97" s="213">
        <v>44167</v>
      </c>
      <c r="O97" s="38" t="s">
        <v>1289</v>
      </c>
      <c r="P97" s="15"/>
      <c r="Q97" s="483"/>
      <c r="S97" s="489"/>
      <c r="T97" s="113"/>
      <c r="U97" s="506"/>
      <c r="V97" s="494"/>
    </row>
    <row r="98" spans="1:22" s="7" customFormat="1" ht="15" customHeight="1">
      <c r="A98" s="1"/>
      <c r="B98" s="12"/>
      <c r="C98" s="6" t="s">
        <v>1285</v>
      </c>
      <c r="D98" s="15" t="s">
        <v>870</v>
      </c>
      <c r="E98" s="24" t="s">
        <v>22</v>
      </c>
      <c r="F98" s="138">
        <v>132</v>
      </c>
      <c r="G98" s="24" t="s">
        <v>863</v>
      </c>
      <c r="H98" s="67">
        <v>50</v>
      </c>
      <c r="I98" s="68">
        <v>2</v>
      </c>
      <c r="J98" s="67">
        <f>H98*I98</f>
        <v>100</v>
      </c>
      <c r="K98" s="46">
        <v>4.45</v>
      </c>
      <c r="L98" s="39">
        <v>44167</v>
      </c>
      <c r="M98" s="39"/>
      <c r="N98" s="213">
        <v>44167</v>
      </c>
      <c r="O98" s="38" t="s">
        <v>1289</v>
      </c>
      <c r="P98" s="6" t="s">
        <v>3</v>
      </c>
      <c r="Q98" s="483">
        <v>3.95</v>
      </c>
      <c r="S98" s="489">
        <v>320</v>
      </c>
      <c r="T98" s="113">
        <f>S98*J98</f>
        <v>32000</v>
      </c>
      <c r="U98" s="501"/>
      <c r="V98" s="494"/>
    </row>
    <row r="99" spans="1:22" s="7" customFormat="1" ht="15" customHeight="1">
      <c r="A99" s="1"/>
      <c r="B99" s="12"/>
      <c r="C99" s="6" t="s">
        <v>1285</v>
      </c>
      <c r="D99" s="15" t="s">
        <v>870</v>
      </c>
      <c r="E99" s="24"/>
      <c r="F99" s="26"/>
      <c r="G99" s="24" t="s">
        <v>31</v>
      </c>
      <c r="H99" s="45"/>
      <c r="I99" s="41"/>
      <c r="J99" s="45">
        <v>1</v>
      </c>
      <c r="K99" s="46">
        <v>20</v>
      </c>
      <c r="L99" s="39">
        <v>44167</v>
      </c>
      <c r="M99" s="39"/>
      <c r="N99" s="213">
        <v>44167</v>
      </c>
      <c r="O99" s="38" t="s">
        <v>1289</v>
      </c>
      <c r="P99" s="6"/>
      <c r="Q99" s="483">
        <v>20</v>
      </c>
      <c r="S99" s="489">
        <v>1800</v>
      </c>
      <c r="T99" s="113">
        <f>S99*J99</f>
        <v>1800</v>
      </c>
      <c r="U99" s="501"/>
      <c r="V99" s="494"/>
    </row>
    <row r="100" spans="1:22" s="314" customFormat="1" ht="15">
      <c r="A100" s="1"/>
      <c r="B100" s="313"/>
      <c r="C100" s="302" t="s">
        <v>1285</v>
      </c>
      <c r="D100" s="303" t="s">
        <v>870</v>
      </c>
      <c r="E100" s="304"/>
      <c r="F100" s="305"/>
      <c r="G100" s="305" t="s">
        <v>1227</v>
      </c>
      <c r="H100" s="307" t="s">
        <v>1228</v>
      </c>
      <c r="I100" s="308"/>
      <c r="J100" s="306"/>
      <c r="K100" s="315">
        <v>0</v>
      </c>
      <c r="L100" s="310">
        <v>44167</v>
      </c>
      <c r="M100" s="310"/>
      <c r="N100" s="311">
        <v>44167</v>
      </c>
      <c r="O100" s="309" t="s">
        <v>1289</v>
      </c>
      <c r="P100" s="302"/>
      <c r="Q100" s="485">
        <v>0</v>
      </c>
      <c r="S100" s="535">
        <v>0</v>
      </c>
      <c r="T100" s="322">
        <v>0</v>
      </c>
      <c r="U100" s="515"/>
      <c r="V100" s="549"/>
    </row>
    <row r="101" spans="1:22" s="7" customFormat="1" ht="15" customHeight="1">
      <c r="A101" s="1"/>
      <c r="B101" s="12"/>
      <c r="C101" s="6" t="s">
        <v>1287</v>
      </c>
      <c r="D101" s="15" t="s">
        <v>1056</v>
      </c>
      <c r="E101" s="20" t="s">
        <v>1110</v>
      </c>
      <c r="F101" s="44"/>
      <c r="G101" s="44"/>
      <c r="H101" s="151"/>
      <c r="I101" s="151"/>
      <c r="J101" s="151"/>
      <c r="K101" s="17" t="s">
        <v>134</v>
      </c>
      <c r="L101" s="39">
        <v>44169</v>
      </c>
      <c r="M101" s="39"/>
      <c r="N101" s="213">
        <v>44169</v>
      </c>
      <c r="O101" s="38">
        <v>2773</v>
      </c>
      <c r="P101" s="6"/>
      <c r="Q101" s="524"/>
      <c r="S101" s="489"/>
      <c r="T101" s="113"/>
      <c r="U101" s="501"/>
      <c r="V101" s="494"/>
    </row>
    <row r="102" spans="1:22" s="7" customFormat="1" ht="15">
      <c r="A102" s="1"/>
      <c r="B102" s="12"/>
      <c r="C102" s="6" t="s">
        <v>1287</v>
      </c>
      <c r="D102" s="15" t="s">
        <v>1056</v>
      </c>
      <c r="E102" s="24">
        <v>5654</v>
      </c>
      <c r="F102" s="44"/>
      <c r="G102" s="260" t="s">
        <v>1064</v>
      </c>
      <c r="H102" s="67">
        <v>50</v>
      </c>
      <c r="I102" s="68">
        <v>5</v>
      </c>
      <c r="J102" s="67">
        <f>H102*I102</f>
        <v>250</v>
      </c>
      <c r="K102" s="46">
        <v>0.28999999999999998</v>
      </c>
      <c r="L102" s="39">
        <v>44169</v>
      </c>
      <c r="M102" s="39"/>
      <c r="N102" s="213">
        <v>44169</v>
      </c>
      <c r="O102" s="38">
        <v>2773</v>
      </c>
      <c r="P102" s="6"/>
      <c r="Q102" s="483">
        <v>0.22</v>
      </c>
      <c r="S102" s="489">
        <v>14.8</v>
      </c>
      <c r="T102" s="113">
        <f>S102*J102</f>
        <v>3700</v>
      </c>
      <c r="U102" s="507"/>
      <c r="V102" s="494"/>
    </row>
    <row r="103" spans="1:22" s="7" customFormat="1" ht="15">
      <c r="A103" s="1"/>
      <c r="B103" s="12"/>
      <c r="C103" s="6" t="s">
        <v>1287</v>
      </c>
      <c r="D103" s="15" t="s">
        <v>1056</v>
      </c>
      <c r="E103" s="24">
        <v>5654</v>
      </c>
      <c r="F103" s="44"/>
      <c r="G103" s="260" t="s">
        <v>1147</v>
      </c>
      <c r="H103" s="67">
        <v>50</v>
      </c>
      <c r="I103" s="68">
        <v>2</v>
      </c>
      <c r="J103" s="67">
        <f>H103*I103</f>
        <v>100</v>
      </c>
      <c r="K103" s="46">
        <v>0.28999999999999998</v>
      </c>
      <c r="L103" s="39">
        <v>44169</v>
      </c>
      <c r="M103" s="39"/>
      <c r="N103" s="213">
        <v>44169</v>
      </c>
      <c r="O103" s="38">
        <v>2773</v>
      </c>
      <c r="P103" s="6"/>
      <c r="Q103" s="483">
        <v>0.22</v>
      </c>
      <c r="S103" s="489">
        <v>14.8</v>
      </c>
      <c r="T103" s="113">
        <f>S103*J103</f>
        <v>1480</v>
      </c>
      <c r="U103" s="507"/>
      <c r="V103" s="494"/>
    </row>
    <row r="104" spans="1:22" s="7" customFormat="1" ht="15" customHeight="1">
      <c r="A104" s="1"/>
      <c r="B104" s="12"/>
      <c r="C104" s="6" t="s">
        <v>1287</v>
      </c>
      <c r="D104" s="15" t="s">
        <v>1056</v>
      </c>
      <c r="E104" s="24"/>
      <c r="F104" s="44"/>
      <c r="G104" s="44" t="s">
        <v>31</v>
      </c>
      <c r="H104" s="8"/>
      <c r="I104" s="152" ph="1"/>
      <c r="J104" s="45">
        <v>1</v>
      </c>
      <c r="K104" s="46">
        <v>12</v>
      </c>
      <c r="L104" s="39">
        <v>44169</v>
      </c>
      <c r="M104" s="39"/>
      <c r="N104" s="213">
        <v>44169</v>
      </c>
      <c r="O104" s="38">
        <v>2773</v>
      </c>
      <c r="P104" s="6"/>
      <c r="Q104" s="483">
        <v>12</v>
      </c>
      <c r="S104" s="489">
        <v>1100</v>
      </c>
      <c r="T104" s="113">
        <f>S104*J104</f>
        <v>1100</v>
      </c>
      <c r="U104" s="501"/>
      <c r="V104" s="494"/>
    </row>
    <row r="105" spans="1:22" s="314" customFormat="1" ht="15">
      <c r="A105" s="1"/>
      <c r="B105" s="313"/>
      <c r="C105" s="302" t="s">
        <v>1287</v>
      </c>
      <c r="D105" s="303" t="s">
        <v>1056</v>
      </c>
      <c r="E105" s="304"/>
      <c r="F105" s="305"/>
      <c r="G105" s="305" t="s">
        <v>1227</v>
      </c>
      <c r="H105" s="307" t="s">
        <v>1228</v>
      </c>
      <c r="I105" s="308"/>
      <c r="J105" s="306"/>
      <c r="K105" s="315">
        <v>0</v>
      </c>
      <c r="L105" s="310">
        <v>44169</v>
      </c>
      <c r="M105" s="310"/>
      <c r="N105" s="311">
        <v>44169</v>
      </c>
      <c r="O105" s="309">
        <v>2773</v>
      </c>
      <c r="P105" s="302"/>
      <c r="Q105" s="485">
        <v>0</v>
      </c>
      <c r="S105" s="535">
        <v>0</v>
      </c>
      <c r="T105" s="322">
        <v>0</v>
      </c>
      <c r="U105" s="515"/>
      <c r="V105" s="549"/>
    </row>
    <row r="106" spans="1:22" s="7" customFormat="1" ht="15" customHeight="1">
      <c r="A106" s="1"/>
      <c r="B106" s="12"/>
      <c r="C106" s="6" t="s">
        <v>1288</v>
      </c>
      <c r="D106" s="15" t="s">
        <v>1056</v>
      </c>
      <c r="E106" s="20" t="s">
        <v>337</v>
      </c>
      <c r="F106" s="26"/>
      <c r="G106" s="24"/>
      <c r="H106" s="45"/>
      <c r="I106" s="68"/>
      <c r="J106" s="67"/>
      <c r="K106" s="17" t="s">
        <v>10</v>
      </c>
      <c r="L106" s="39">
        <v>44169</v>
      </c>
      <c r="M106" s="39"/>
      <c r="N106" s="213">
        <v>44169</v>
      </c>
      <c r="O106" s="38">
        <v>2773</v>
      </c>
      <c r="P106" s="6"/>
      <c r="Q106" s="482"/>
      <c r="S106" s="489"/>
      <c r="T106" s="113"/>
      <c r="U106" s="500"/>
      <c r="V106" s="494"/>
    </row>
    <row r="107" spans="1:22" s="7" customFormat="1" ht="15" customHeight="1">
      <c r="A107" s="1"/>
      <c r="B107" s="12"/>
      <c r="C107" s="6" t="s">
        <v>1288</v>
      </c>
      <c r="D107" s="15" t="s">
        <v>1056</v>
      </c>
      <c r="E107" s="24">
        <v>3705</v>
      </c>
      <c r="F107" s="26">
        <v>19</v>
      </c>
      <c r="G107" s="24" t="s">
        <v>912</v>
      </c>
      <c r="H107" s="151">
        <v>30</v>
      </c>
      <c r="I107" s="152">
        <v>41</v>
      </c>
      <c r="J107" s="67">
        <f>H107*I107</f>
        <v>1230</v>
      </c>
      <c r="K107" s="46">
        <v>0.42</v>
      </c>
      <c r="L107" s="39">
        <v>44169</v>
      </c>
      <c r="M107" s="39"/>
      <c r="N107" s="213">
        <v>44169</v>
      </c>
      <c r="O107" s="38">
        <v>2773</v>
      </c>
      <c r="P107" s="6"/>
      <c r="Q107" s="483">
        <v>0.37</v>
      </c>
      <c r="S107" s="489">
        <v>21.434000000000001</v>
      </c>
      <c r="T107" s="113">
        <f>S107*J107</f>
        <v>26363.82</v>
      </c>
      <c r="U107" s="500" t="s">
        <v>1292</v>
      </c>
      <c r="V107" s="494"/>
    </row>
    <row r="108" spans="1:22" s="7" customFormat="1" ht="15" customHeight="1">
      <c r="A108" s="1"/>
      <c r="B108" s="12"/>
      <c r="C108" s="6" t="s">
        <v>1288</v>
      </c>
      <c r="D108" s="15" t="s">
        <v>1056</v>
      </c>
      <c r="E108" s="24">
        <v>3705</v>
      </c>
      <c r="F108" s="26">
        <v>19</v>
      </c>
      <c r="G108" s="24" t="s">
        <v>399</v>
      </c>
      <c r="H108" s="151">
        <v>30</v>
      </c>
      <c r="I108" s="152">
        <v>32</v>
      </c>
      <c r="J108" s="67">
        <f>H108*I108</f>
        <v>960</v>
      </c>
      <c r="K108" s="46">
        <v>0.42</v>
      </c>
      <c r="L108" s="39">
        <v>44169</v>
      </c>
      <c r="M108" s="39"/>
      <c r="N108" s="213">
        <v>44169</v>
      </c>
      <c r="O108" s="38">
        <v>2773</v>
      </c>
      <c r="P108" s="6"/>
      <c r="Q108" s="483">
        <v>0.37</v>
      </c>
      <c r="S108" s="489">
        <v>21.434000000000001</v>
      </c>
      <c r="T108" s="113">
        <f>S108*J108</f>
        <v>20576.64</v>
      </c>
      <c r="U108" s="500" t="s">
        <v>1292</v>
      </c>
      <c r="V108" s="494"/>
    </row>
    <row r="109" spans="1:22" ht="15.95" customHeight="1">
      <c r="C109" s="6" t="s">
        <v>1288</v>
      </c>
      <c r="D109" s="15" t="s">
        <v>1056</v>
      </c>
      <c r="E109" s="24"/>
      <c r="F109" s="138"/>
      <c r="G109" s="24" t="s">
        <v>481</v>
      </c>
      <c r="H109" s="8"/>
      <c r="I109" s="41"/>
      <c r="J109" s="45">
        <v>1</v>
      </c>
      <c r="K109" s="46">
        <v>12</v>
      </c>
      <c r="L109" s="39">
        <v>44169</v>
      </c>
      <c r="M109" s="39"/>
      <c r="N109" s="213">
        <v>44169</v>
      </c>
      <c r="O109" s="38">
        <v>2773</v>
      </c>
      <c r="P109" s="179"/>
      <c r="Q109" s="483">
        <v>12</v>
      </c>
      <c r="S109" s="489">
        <v>0</v>
      </c>
      <c r="T109" s="113">
        <v>0</v>
      </c>
      <c r="U109" s="511"/>
    </row>
    <row r="110" spans="1:22" s="314" customFormat="1" ht="15">
      <c r="A110" s="1"/>
      <c r="B110" s="313"/>
      <c r="C110" s="302" t="s">
        <v>1288</v>
      </c>
      <c r="D110" s="303" t="s">
        <v>1056</v>
      </c>
      <c r="E110" s="304"/>
      <c r="F110" s="305"/>
      <c r="G110" s="305" t="s">
        <v>1227</v>
      </c>
      <c r="H110" s="307" t="s">
        <v>1228</v>
      </c>
      <c r="I110" s="308"/>
      <c r="J110" s="306"/>
      <c r="K110" s="315">
        <v>0</v>
      </c>
      <c r="L110" s="310">
        <v>44169</v>
      </c>
      <c r="M110" s="310"/>
      <c r="N110" s="311">
        <v>44169</v>
      </c>
      <c r="O110" s="309">
        <v>2773</v>
      </c>
      <c r="P110" s="302"/>
      <c r="Q110" s="485">
        <v>0</v>
      </c>
      <c r="S110" s="535">
        <v>0</v>
      </c>
      <c r="T110" s="322">
        <v>0</v>
      </c>
      <c r="U110" s="515"/>
      <c r="V110" s="549"/>
    </row>
    <row r="111" spans="1:22" ht="15" customHeight="1">
      <c r="C111" s="6" t="s">
        <v>1290</v>
      </c>
      <c r="D111" s="15" t="s">
        <v>922</v>
      </c>
      <c r="E111" s="20" t="s">
        <v>599</v>
      </c>
      <c r="F111" s="26"/>
      <c r="G111" s="24"/>
      <c r="H111" s="16"/>
      <c r="I111" s="68"/>
      <c r="J111" s="67"/>
      <c r="K111" s="17" t="s">
        <v>134</v>
      </c>
      <c r="L111" s="39">
        <v>44172</v>
      </c>
      <c r="M111" s="39"/>
      <c r="N111" s="213">
        <v>44172</v>
      </c>
      <c r="O111" s="38" t="s">
        <v>1294</v>
      </c>
      <c r="P111" s="6" t="s">
        <v>23</v>
      </c>
      <c r="Q111" s="481"/>
      <c r="S111" s="489"/>
      <c r="T111" s="113"/>
      <c r="U111" s="500"/>
      <c r="V111" s="494"/>
    </row>
    <row r="112" spans="1:22" ht="15" customHeight="1">
      <c r="C112" s="6" t="s">
        <v>1290</v>
      </c>
      <c r="D112" s="15" t="s">
        <v>922</v>
      </c>
      <c r="E112" s="24">
        <v>1598</v>
      </c>
      <c r="F112" s="26" t="s">
        <v>19</v>
      </c>
      <c r="G112" s="24" t="s">
        <v>602</v>
      </c>
      <c r="H112" s="67">
        <v>25</v>
      </c>
      <c r="I112" s="68">
        <v>1</v>
      </c>
      <c r="J112" s="67">
        <f>H112*I112</f>
        <v>25</v>
      </c>
      <c r="K112" s="25">
        <v>1.95</v>
      </c>
      <c r="L112" s="39">
        <v>44172</v>
      </c>
      <c r="M112" s="39"/>
      <c r="N112" s="213">
        <v>44172</v>
      </c>
      <c r="O112" s="38" t="s">
        <v>1294</v>
      </c>
      <c r="P112" s="46">
        <f>ROUNDUP(S112/0.75/90,2)</f>
        <v>1.71</v>
      </c>
      <c r="Q112" s="483">
        <v>1.71</v>
      </c>
      <c r="S112" s="489">
        <v>115</v>
      </c>
      <c r="T112" s="113">
        <f>S112*J112</f>
        <v>2875</v>
      </c>
      <c r="U112" s="502"/>
      <c r="V112" s="494"/>
    </row>
    <row r="113" spans="1:22" s="7" customFormat="1" ht="15" customHeight="1">
      <c r="A113" s="1"/>
      <c r="B113" s="12"/>
      <c r="C113" s="6" t="s">
        <v>1290</v>
      </c>
      <c r="D113" s="15" t="s">
        <v>922</v>
      </c>
      <c r="E113" s="24"/>
      <c r="F113" s="26"/>
      <c r="G113" s="24" t="s">
        <v>31</v>
      </c>
      <c r="H113" s="36"/>
      <c r="I113" s="41"/>
      <c r="J113" s="45">
        <v>1</v>
      </c>
      <c r="K113" s="46">
        <v>12</v>
      </c>
      <c r="L113" s="39">
        <v>44172</v>
      </c>
      <c r="M113" s="39"/>
      <c r="N113" s="213">
        <v>44172</v>
      </c>
      <c r="O113" s="38" t="s">
        <v>1294</v>
      </c>
      <c r="P113" s="6"/>
      <c r="Q113" s="483">
        <v>12</v>
      </c>
      <c r="S113" s="489">
        <v>550</v>
      </c>
      <c r="T113" s="113">
        <f>S113*J113</f>
        <v>550</v>
      </c>
      <c r="U113" s="501"/>
      <c r="V113" s="494"/>
    </row>
    <row r="114" spans="1:22" s="314" customFormat="1" ht="15">
      <c r="A114" s="1"/>
      <c r="B114" s="313"/>
      <c r="C114" s="302" t="s">
        <v>1290</v>
      </c>
      <c r="D114" s="303" t="s">
        <v>922</v>
      </c>
      <c r="E114" s="304"/>
      <c r="F114" s="305"/>
      <c r="G114" s="305" t="s">
        <v>1227</v>
      </c>
      <c r="H114" s="307" t="s">
        <v>1228</v>
      </c>
      <c r="I114" s="308"/>
      <c r="J114" s="306"/>
      <c r="K114" s="315">
        <v>0</v>
      </c>
      <c r="L114" s="310">
        <v>44172</v>
      </c>
      <c r="M114" s="310"/>
      <c r="N114" s="311">
        <v>44172</v>
      </c>
      <c r="O114" s="309" t="s">
        <v>1294</v>
      </c>
      <c r="P114" s="302"/>
      <c r="Q114" s="485">
        <v>0</v>
      </c>
      <c r="S114" s="535">
        <v>0</v>
      </c>
      <c r="T114" s="322">
        <v>0</v>
      </c>
      <c r="U114" s="515"/>
      <c r="V114" s="549"/>
    </row>
    <row r="115" spans="1:22" ht="15" customHeight="1">
      <c r="C115" s="6" t="s">
        <v>1293</v>
      </c>
      <c r="D115" s="15" t="s">
        <v>1126</v>
      </c>
      <c r="E115" s="20" t="s">
        <v>1127</v>
      </c>
      <c r="F115" s="26"/>
      <c r="G115" s="24"/>
      <c r="H115" s="67"/>
      <c r="I115" s="68"/>
      <c r="J115" s="67"/>
      <c r="K115" s="17" t="s">
        <v>134</v>
      </c>
      <c r="L115" s="39">
        <v>44174</v>
      </c>
      <c r="M115" s="39"/>
      <c r="N115" s="213">
        <v>44174</v>
      </c>
      <c r="O115" s="38" t="s">
        <v>1295</v>
      </c>
      <c r="P115" s="6"/>
      <c r="Q115" s="481"/>
      <c r="S115" s="489"/>
      <c r="T115" s="113"/>
      <c r="U115" s="500"/>
    </row>
    <row r="116" spans="1:22" ht="15" customHeight="1">
      <c r="C116" s="6" t="s">
        <v>1293</v>
      </c>
      <c r="D116" s="15" t="s">
        <v>1126</v>
      </c>
      <c r="E116" s="24" t="s">
        <v>447</v>
      </c>
      <c r="F116" s="26"/>
      <c r="G116" s="24" t="s">
        <v>353</v>
      </c>
      <c r="H116" s="67">
        <v>50</v>
      </c>
      <c r="I116" s="68">
        <v>20</v>
      </c>
      <c r="J116" s="67">
        <f>H116*I116</f>
        <v>1000</v>
      </c>
      <c r="K116" s="25">
        <v>0.27</v>
      </c>
      <c r="L116" s="39">
        <v>44174</v>
      </c>
      <c r="M116" s="39"/>
      <c r="N116" s="213">
        <v>44174</v>
      </c>
      <c r="O116" s="38" t="s">
        <v>1295</v>
      </c>
      <c r="P116" s="46">
        <f>ROUNDUP(S116/0.75/90,2)</f>
        <v>0.22</v>
      </c>
      <c r="Q116" s="483">
        <v>0.22</v>
      </c>
      <c r="S116" s="489">
        <v>14.4</v>
      </c>
      <c r="T116" s="113">
        <f>S116*J116</f>
        <v>14400</v>
      </c>
      <c r="U116" s="500"/>
    </row>
    <row r="117" spans="1:22" s="7" customFormat="1" ht="15" customHeight="1">
      <c r="A117" s="1"/>
      <c r="B117" s="12"/>
      <c r="C117" s="6" t="s">
        <v>1293</v>
      </c>
      <c r="D117" s="15" t="s">
        <v>1126</v>
      </c>
      <c r="E117" s="24"/>
      <c r="F117" s="44"/>
      <c r="G117" s="44" t="s">
        <v>31</v>
      </c>
      <c r="H117" s="45"/>
      <c r="I117" s="152" ph="1"/>
      <c r="J117" s="45">
        <v>1</v>
      </c>
      <c r="K117" s="46">
        <v>12</v>
      </c>
      <c r="L117" s="39">
        <v>44174</v>
      </c>
      <c r="M117" s="39"/>
      <c r="N117" s="213">
        <v>44174</v>
      </c>
      <c r="O117" s="38" t="s">
        <v>1295</v>
      </c>
      <c r="P117" s="6"/>
      <c r="Q117" s="483">
        <v>12</v>
      </c>
      <c r="S117" s="489">
        <v>1100</v>
      </c>
      <c r="T117" s="113">
        <f>S117*J117</f>
        <v>1100</v>
      </c>
      <c r="U117" s="501"/>
      <c r="V117" s="494"/>
    </row>
    <row r="118" spans="1:22" s="314" customFormat="1" ht="15">
      <c r="A118" s="1"/>
      <c r="B118" s="313"/>
      <c r="C118" s="302" t="s">
        <v>1293</v>
      </c>
      <c r="D118" s="303" t="s">
        <v>1126</v>
      </c>
      <c r="E118" s="304"/>
      <c r="F118" s="305"/>
      <c r="G118" s="305" t="s">
        <v>1227</v>
      </c>
      <c r="H118" s="307" t="s">
        <v>1228</v>
      </c>
      <c r="I118" s="308"/>
      <c r="J118" s="306"/>
      <c r="K118" s="316">
        <v>0</v>
      </c>
      <c r="L118" s="310">
        <v>44174</v>
      </c>
      <c r="M118" s="310"/>
      <c r="N118" s="311">
        <v>44174</v>
      </c>
      <c r="O118" s="309" t="s">
        <v>1295</v>
      </c>
      <c r="P118" s="302"/>
      <c r="Q118" s="485">
        <v>0</v>
      </c>
      <c r="S118" s="536">
        <v>0</v>
      </c>
      <c r="T118" s="322">
        <v>0</v>
      </c>
      <c r="U118" s="515"/>
      <c r="V118" s="549"/>
    </row>
    <row r="119" spans="1:22" s="7" customFormat="1" ht="15" customHeight="1">
      <c r="A119" s="1"/>
      <c r="B119" s="12"/>
      <c r="C119" s="6" t="s">
        <v>1296</v>
      </c>
      <c r="D119" s="15" t="s">
        <v>11</v>
      </c>
      <c r="E119" s="20" t="s">
        <v>79</v>
      </c>
      <c r="F119" s="150"/>
      <c r="G119" s="24"/>
      <c r="H119" s="151"/>
      <c r="I119" s="152"/>
      <c r="J119" s="151"/>
      <c r="K119" s="153" t="s">
        <v>10</v>
      </c>
      <c r="L119" s="39">
        <v>44211</v>
      </c>
      <c r="M119" s="39"/>
      <c r="N119" s="213">
        <v>44211</v>
      </c>
      <c r="O119" s="38">
        <v>2839</v>
      </c>
      <c r="P119" s="15"/>
      <c r="Q119" s="483"/>
      <c r="S119" s="496"/>
      <c r="T119" s="113"/>
      <c r="U119" s="506"/>
      <c r="V119" s="494"/>
    </row>
    <row r="120" spans="1:22" s="7" customFormat="1" ht="15">
      <c r="A120" s="1"/>
      <c r="B120" s="12"/>
      <c r="C120" s="6" t="s">
        <v>1296</v>
      </c>
      <c r="D120" s="15" t="s">
        <v>11</v>
      </c>
      <c r="E120" s="24">
        <v>2440</v>
      </c>
      <c r="F120" s="150">
        <v>140</v>
      </c>
      <c r="G120" s="24" t="s">
        <v>621</v>
      </c>
      <c r="H120" s="67">
        <v>58</v>
      </c>
      <c r="I120" s="68">
        <v>2</v>
      </c>
      <c r="J120" s="67">
        <f t="shared" ref="J120:J126" si="1">H120*I120</f>
        <v>116</v>
      </c>
      <c r="K120" s="46">
        <v>3.34</v>
      </c>
      <c r="L120" s="39">
        <v>44211</v>
      </c>
      <c r="M120" s="39"/>
      <c r="N120" s="213">
        <v>44211</v>
      </c>
      <c r="O120" s="38">
        <v>2839</v>
      </c>
      <c r="P120" s="6"/>
      <c r="Q120" s="483">
        <v>2.97</v>
      </c>
      <c r="S120" s="532">
        <v>240</v>
      </c>
      <c r="T120" s="113">
        <f t="shared" ref="T120:T126" si="2">S120*J120</f>
        <v>27840</v>
      </c>
      <c r="U120" s="501"/>
      <c r="V120" s="494"/>
    </row>
    <row r="121" spans="1:22" s="7" customFormat="1" ht="15">
      <c r="A121" s="1"/>
      <c r="B121" s="12"/>
      <c r="C121" s="6" t="s">
        <v>1296</v>
      </c>
      <c r="D121" s="15" t="s">
        <v>11</v>
      </c>
      <c r="E121" s="24">
        <v>2440</v>
      </c>
      <c r="F121" s="150">
        <v>140</v>
      </c>
      <c r="G121" s="24" t="s">
        <v>1007</v>
      </c>
      <c r="H121" s="67">
        <v>58</v>
      </c>
      <c r="I121" s="68">
        <v>3</v>
      </c>
      <c r="J121" s="67">
        <f t="shared" si="1"/>
        <v>174</v>
      </c>
      <c r="K121" s="46">
        <v>3.34</v>
      </c>
      <c r="L121" s="39">
        <v>44211</v>
      </c>
      <c r="M121" s="39"/>
      <c r="N121" s="213">
        <v>44211</v>
      </c>
      <c r="O121" s="38">
        <v>2839</v>
      </c>
      <c r="P121" s="6"/>
      <c r="Q121" s="483">
        <v>2.97</v>
      </c>
      <c r="S121" s="532">
        <v>240</v>
      </c>
      <c r="T121" s="113">
        <f t="shared" si="2"/>
        <v>41760</v>
      </c>
      <c r="U121" s="501"/>
      <c r="V121" s="494"/>
    </row>
    <row r="122" spans="1:22" s="7" customFormat="1" ht="15">
      <c r="A122" s="1"/>
      <c r="B122" s="12"/>
      <c r="C122" s="6" t="s">
        <v>1296</v>
      </c>
      <c r="D122" s="15" t="s">
        <v>11</v>
      </c>
      <c r="E122" s="24">
        <v>2440</v>
      </c>
      <c r="F122" s="150">
        <v>140</v>
      </c>
      <c r="G122" s="24" t="s">
        <v>1298</v>
      </c>
      <c r="H122" s="67">
        <v>58</v>
      </c>
      <c r="I122" s="68">
        <v>2</v>
      </c>
      <c r="J122" s="67">
        <f t="shared" si="1"/>
        <v>116</v>
      </c>
      <c r="K122" s="46">
        <v>3.34</v>
      </c>
      <c r="L122" s="39">
        <v>44211</v>
      </c>
      <c r="M122" s="39"/>
      <c r="N122" s="213">
        <v>44211</v>
      </c>
      <c r="O122" s="38">
        <v>2839</v>
      </c>
      <c r="P122" s="6"/>
      <c r="Q122" s="483">
        <v>2.97</v>
      </c>
      <c r="S122" s="532">
        <v>240</v>
      </c>
      <c r="T122" s="113">
        <f t="shared" si="2"/>
        <v>27840</v>
      </c>
      <c r="U122" s="501"/>
      <c r="V122" s="494"/>
    </row>
    <row r="123" spans="1:22" s="7" customFormat="1" ht="15">
      <c r="A123" s="1"/>
      <c r="B123" s="12"/>
      <c r="C123" s="6" t="s">
        <v>1296</v>
      </c>
      <c r="D123" s="15" t="s">
        <v>11</v>
      </c>
      <c r="E123" s="24">
        <v>2440</v>
      </c>
      <c r="F123" s="150">
        <v>140</v>
      </c>
      <c r="G123" s="24" t="s">
        <v>1299</v>
      </c>
      <c r="H123" s="67">
        <v>57</v>
      </c>
      <c r="I123" s="68">
        <v>1</v>
      </c>
      <c r="J123" s="67">
        <f t="shared" si="1"/>
        <v>57</v>
      </c>
      <c r="K123" s="46">
        <v>3.34</v>
      </c>
      <c r="L123" s="39">
        <v>44211</v>
      </c>
      <c r="M123" s="39"/>
      <c r="N123" s="213">
        <v>44211</v>
      </c>
      <c r="O123" s="38">
        <v>2839</v>
      </c>
      <c r="P123" s="6"/>
      <c r="Q123" s="483">
        <v>2.97</v>
      </c>
      <c r="S123" s="532">
        <v>240</v>
      </c>
      <c r="T123" s="113">
        <f t="shared" si="2"/>
        <v>13680</v>
      </c>
      <c r="U123" s="501"/>
      <c r="V123" s="494"/>
    </row>
    <row r="124" spans="1:22" s="7" customFormat="1" ht="15">
      <c r="A124" s="1"/>
      <c r="B124" s="12"/>
      <c r="C124" s="6" t="s">
        <v>1296</v>
      </c>
      <c r="D124" s="15" t="s">
        <v>11</v>
      </c>
      <c r="E124" s="24">
        <v>2440</v>
      </c>
      <c r="F124" s="150">
        <v>140</v>
      </c>
      <c r="G124" s="24" t="s">
        <v>1299</v>
      </c>
      <c r="H124" s="67">
        <v>58</v>
      </c>
      <c r="I124" s="68">
        <v>2</v>
      </c>
      <c r="J124" s="67">
        <f t="shared" si="1"/>
        <v>116</v>
      </c>
      <c r="K124" s="46">
        <v>3.34</v>
      </c>
      <c r="L124" s="39">
        <v>44211</v>
      </c>
      <c r="M124" s="39"/>
      <c r="N124" s="213">
        <v>44211</v>
      </c>
      <c r="O124" s="38">
        <v>2839</v>
      </c>
      <c r="P124" s="6"/>
      <c r="Q124" s="483">
        <v>2.97</v>
      </c>
      <c r="S124" s="532">
        <v>240</v>
      </c>
      <c r="T124" s="113">
        <f t="shared" si="2"/>
        <v>27840</v>
      </c>
      <c r="U124" s="501"/>
      <c r="V124" s="494"/>
    </row>
    <row r="125" spans="1:22" s="7" customFormat="1" ht="15">
      <c r="A125" s="1"/>
      <c r="B125" s="12"/>
      <c r="C125" s="6" t="s">
        <v>1296</v>
      </c>
      <c r="D125" s="15" t="s">
        <v>11</v>
      </c>
      <c r="E125" s="24">
        <v>2440</v>
      </c>
      <c r="F125" s="150">
        <v>140</v>
      </c>
      <c r="G125" s="24" t="s">
        <v>1300</v>
      </c>
      <c r="H125" s="67">
        <v>28</v>
      </c>
      <c r="I125" s="68">
        <v>1</v>
      </c>
      <c r="J125" s="67">
        <f t="shared" si="1"/>
        <v>28</v>
      </c>
      <c r="K125" s="46">
        <v>3.34</v>
      </c>
      <c r="L125" s="39">
        <v>44211</v>
      </c>
      <c r="M125" s="39"/>
      <c r="N125" s="213">
        <v>44211</v>
      </c>
      <c r="O125" s="38">
        <v>2839</v>
      </c>
      <c r="P125" s="6"/>
      <c r="Q125" s="483">
        <v>2.97</v>
      </c>
      <c r="S125" s="532">
        <v>240</v>
      </c>
      <c r="T125" s="113">
        <f t="shared" si="2"/>
        <v>6720</v>
      </c>
      <c r="U125" s="501"/>
      <c r="V125" s="494"/>
    </row>
    <row r="126" spans="1:22" s="7" customFormat="1" ht="15">
      <c r="A126" s="1"/>
      <c r="B126" s="12"/>
      <c r="C126" s="6" t="s">
        <v>1296</v>
      </c>
      <c r="D126" s="15" t="s">
        <v>11</v>
      </c>
      <c r="E126" s="24">
        <v>2440</v>
      </c>
      <c r="F126" s="150">
        <v>140</v>
      </c>
      <c r="G126" s="24" t="s">
        <v>1300</v>
      </c>
      <c r="H126" s="67">
        <v>29</v>
      </c>
      <c r="I126" s="68">
        <v>1</v>
      </c>
      <c r="J126" s="67">
        <f t="shared" si="1"/>
        <v>29</v>
      </c>
      <c r="K126" s="46">
        <v>3.34</v>
      </c>
      <c r="L126" s="39">
        <v>44211</v>
      </c>
      <c r="M126" s="39"/>
      <c r="N126" s="213">
        <v>44211</v>
      </c>
      <c r="O126" s="38">
        <v>2839</v>
      </c>
      <c r="P126" s="6"/>
      <c r="Q126" s="483">
        <v>2.97</v>
      </c>
      <c r="S126" s="532">
        <v>240</v>
      </c>
      <c r="T126" s="113">
        <f t="shared" si="2"/>
        <v>6960</v>
      </c>
      <c r="U126" s="501"/>
      <c r="V126" s="494"/>
    </row>
    <row r="127" spans="1:22" s="7" customFormat="1" ht="15" customHeight="1">
      <c r="A127" s="1"/>
      <c r="B127" s="12"/>
      <c r="C127" s="6"/>
      <c r="D127" s="15"/>
      <c r="E127" s="20" t="s">
        <v>27</v>
      </c>
      <c r="F127" s="150"/>
      <c r="G127" s="24"/>
      <c r="H127" s="151"/>
      <c r="I127" s="152"/>
      <c r="J127" s="151"/>
      <c r="K127" s="34" t="s">
        <v>10</v>
      </c>
      <c r="L127" s="39">
        <v>44211</v>
      </c>
      <c r="M127" s="39"/>
      <c r="N127" s="213">
        <v>44211</v>
      </c>
      <c r="O127" s="38">
        <v>2839</v>
      </c>
      <c r="P127" s="15"/>
      <c r="Q127" s="483"/>
      <c r="S127" s="489"/>
      <c r="T127" s="113"/>
      <c r="U127" s="506"/>
      <c r="V127" s="494"/>
    </row>
    <row r="128" spans="1:22" s="7" customFormat="1" ht="15">
      <c r="A128" s="1"/>
      <c r="B128" s="12"/>
      <c r="C128" s="6" t="s">
        <v>1296</v>
      </c>
      <c r="D128" s="15" t="s">
        <v>11</v>
      </c>
      <c r="E128" s="24" t="s">
        <v>536</v>
      </c>
      <c r="F128" s="150">
        <v>160</v>
      </c>
      <c r="G128" s="24" t="s">
        <v>862</v>
      </c>
      <c r="H128" s="67">
        <v>50</v>
      </c>
      <c r="I128" s="68">
        <v>3</v>
      </c>
      <c r="J128" s="67">
        <f>H128*I128</f>
        <v>150</v>
      </c>
      <c r="K128" s="25">
        <v>4.45</v>
      </c>
      <c r="L128" s="39">
        <v>44211</v>
      </c>
      <c r="M128" s="39"/>
      <c r="N128" s="213">
        <v>44211</v>
      </c>
      <c r="O128" s="38">
        <v>2839</v>
      </c>
      <c r="P128" s="6"/>
      <c r="Q128" s="483">
        <v>3.95</v>
      </c>
      <c r="S128" s="532">
        <v>320</v>
      </c>
      <c r="T128" s="113">
        <f>S128*J128</f>
        <v>48000</v>
      </c>
      <c r="U128" s="501"/>
      <c r="V128" s="494"/>
    </row>
    <row r="129" spans="1:22" s="218" customFormat="1" ht="15" customHeight="1">
      <c r="A129" s="1"/>
      <c r="B129" s="541"/>
      <c r="C129" s="216" t="s">
        <v>1297</v>
      </c>
      <c r="D129" s="109" t="s">
        <v>11</v>
      </c>
      <c r="E129" s="228"/>
      <c r="F129" s="160"/>
      <c r="G129" s="228" t="s">
        <v>481</v>
      </c>
      <c r="H129" s="214"/>
      <c r="I129" s="215"/>
      <c r="J129" s="43">
        <v>1</v>
      </c>
      <c r="K129" s="229">
        <v>20</v>
      </c>
      <c r="L129" s="39">
        <v>44211</v>
      </c>
      <c r="M129" s="39"/>
      <c r="N129" s="213">
        <v>44211</v>
      </c>
      <c r="O129" s="38">
        <v>2839</v>
      </c>
      <c r="P129" s="216"/>
      <c r="Q129" s="525">
        <v>20</v>
      </c>
      <c r="S129" s="532">
        <v>1800</v>
      </c>
      <c r="T129" s="113">
        <v>1800</v>
      </c>
      <c r="U129" s="504"/>
      <c r="V129" s="547"/>
    </row>
    <row r="130" spans="1:22" s="314" customFormat="1" ht="15">
      <c r="A130" s="1"/>
      <c r="B130" s="313"/>
      <c r="C130" s="302" t="s">
        <v>1297</v>
      </c>
      <c r="D130" s="303" t="s">
        <v>11</v>
      </c>
      <c r="E130" s="304"/>
      <c r="F130" s="305"/>
      <c r="G130" s="305" t="s">
        <v>1227</v>
      </c>
      <c r="H130" s="307" t="s">
        <v>1228</v>
      </c>
      <c r="I130" s="308"/>
      <c r="J130" s="306"/>
      <c r="K130" s="315">
        <v>0</v>
      </c>
      <c r="L130" s="310">
        <v>44211</v>
      </c>
      <c r="M130" s="310"/>
      <c r="N130" s="311">
        <v>44211</v>
      </c>
      <c r="O130" s="309">
        <v>2839</v>
      </c>
      <c r="P130" s="302"/>
      <c r="Q130" s="485">
        <v>0</v>
      </c>
      <c r="S130" s="535">
        <v>0</v>
      </c>
      <c r="T130" s="322">
        <v>0</v>
      </c>
      <c r="U130" s="515"/>
      <c r="V130" s="549"/>
    </row>
    <row r="131" spans="1:22" ht="18" customHeight="1">
      <c r="C131" s="6" t="s">
        <v>1301</v>
      </c>
      <c r="D131" s="15" t="s">
        <v>976</v>
      </c>
      <c r="E131" s="20" t="s">
        <v>975</v>
      </c>
      <c r="F131" s="44"/>
      <c r="G131" s="44"/>
      <c r="H131" s="151"/>
      <c r="I131" s="151"/>
      <c r="J131" s="151"/>
      <c r="K131" s="34" t="s">
        <v>134</v>
      </c>
      <c r="L131" s="39">
        <v>44186</v>
      </c>
      <c r="M131" s="39"/>
      <c r="N131" s="213">
        <v>44186</v>
      </c>
      <c r="O131" s="38" t="s">
        <v>1307</v>
      </c>
      <c r="P131" s="6"/>
      <c r="Q131" s="524"/>
      <c r="S131" s="489"/>
      <c r="T131" s="113"/>
      <c r="U131" s="501"/>
      <c r="V131" s="494"/>
    </row>
    <row r="132" spans="1:22" ht="18" customHeight="1">
      <c r="C132" s="6" t="s">
        <v>1301</v>
      </c>
      <c r="D132" s="15" t="s">
        <v>976</v>
      </c>
      <c r="E132" s="24">
        <v>2250</v>
      </c>
      <c r="F132" s="44">
        <v>18</v>
      </c>
      <c r="G132" s="24" t="s">
        <v>173</v>
      </c>
      <c r="H132" s="151">
        <v>30</v>
      </c>
      <c r="I132" s="152">
        <v>1</v>
      </c>
      <c r="J132" s="67">
        <f>H132*I132</f>
        <v>30</v>
      </c>
      <c r="K132" s="46">
        <v>0.46</v>
      </c>
      <c r="L132" s="39">
        <v>44186</v>
      </c>
      <c r="M132" s="39"/>
      <c r="N132" s="213">
        <v>44186</v>
      </c>
      <c r="O132" s="38" t="s">
        <v>1307</v>
      </c>
      <c r="P132" s="6"/>
      <c r="Q132" s="483">
        <v>0.37</v>
      </c>
      <c r="S132" s="489">
        <v>24.5</v>
      </c>
      <c r="T132" s="113">
        <f>S132*J132</f>
        <v>735</v>
      </c>
      <c r="U132" s="507"/>
      <c r="V132" s="494"/>
    </row>
    <row r="133" spans="1:22" s="7" customFormat="1" ht="15.95" customHeight="1">
      <c r="A133" s="1"/>
      <c r="B133" s="12"/>
      <c r="C133" s="6" t="s">
        <v>1301</v>
      </c>
      <c r="D133" s="15" t="s">
        <v>976</v>
      </c>
      <c r="E133" s="24"/>
      <c r="F133" s="138"/>
      <c r="G133" s="24" t="s">
        <v>31</v>
      </c>
      <c r="H133" s="8"/>
      <c r="I133" s="41"/>
      <c r="J133" s="45">
        <v>1</v>
      </c>
      <c r="K133" s="46">
        <v>12</v>
      </c>
      <c r="L133" s="39">
        <v>44186</v>
      </c>
      <c r="M133" s="39"/>
      <c r="N133" s="213">
        <v>44186</v>
      </c>
      <c r="O133" s="38" t="s">
        <v>1307</v>
      </c>
      <c r="P133" s="6"/>
      <c r="Q133" s="483">
        <v>12</v>
      </c>
      <c r="S133" s="489">
        <v>0</v>
      </c>
      <c r="T133" s="113">
        <f>S133*J133</f>
        <v>0</v>
      </c>
      <c r="U133" s="501"/>
      <c r="V133" s="494"/>
    </row>
    <row r="134" spans="1:22" s="314" customFormat="1" ht="15">
      <c r="A134" s="1"/>
      <c r="B134" s="313"/>
      <c r="C134" s="302" t="s">
        <v>1301</v>
      </c>
      <c r="D134" s="303" t="s">
        <v>976</v>
      </c>
      <c r="E134" s="304"/>
      <c r="F134" s="305"/>
      <c r="G134" s="305" t="s">
        <v>1227</v>
      </c>
      <c r="H134" s="307" t="s">
        <v>1228</v>
      </c>
      <c r="I134" s="308"/>
      <c r="J134" s="306"/>
      <c r="K134" s="315">
        <v>0</v>
      </c>
      <c r="L134" s="310">
        <v>44186</v>
      </c>
      <c r="M134" s="310"/>
      <c r="N134" s="311">
        <v>44186</v>
      </c>
      <c r="O134" s="309" t="s">
        <v>1307</v>
      </c>
      <c r="P134" s="302"/>
      <c r="Q134" s="485">
        <v>0</v>
      </c>
      <c r="S134" s="535">
        <v>0</v>
      </c>
      <c r="T134" s="322">
        <v>0</v>
      </c>
      <c r="U134" s="515"/>
      <c r="V134" s="549"/>
    </row>
    <row r="135" spans="1:22" s="7" customFormat="1" ht="18" customHeight="1">
      <c r="A135" s="1"/>
      <c r="B135" s="12"/>
      <c r="C135" s="6" t="s">
        <v>1306</v>
      </c>
      <c r="D135" s="15" t="s">
        <v>990</v>
      </c>
      <c r="E135" s="20" t="s">
        <v>1003</v>
      </c>
      <c r="F135" s="24"/>
      <c r="G135" s="44"/>
      <c r="H135" s="151"/>
      <c r="I135" s="151"/>
      <c r="J135" s="151"/>
      <c r="K135" s="153" t="s">
        <v>10</v>
      </c>
      <c r="L135" s="39">
        <v>44186</v>
      </c>
      <c r="M135" s="39"/>
      <c r="N135" s="213">
        <v>44186</v>
      </c>
      <c r="O135" s="38" t="s">
        <v>1308</v>
      </c>
      <c r="P135" s="6"/>
      <c r="Q135" s="411"/>
      <c r="S135" s="489"/>
      <c r="T135" s="113"/>
      <c r="U135" s="501"/>
      <c r="V135" s="494"/>
    </row>
    <row r="136" spans="1:22" s="7" customFormat="1" ht="15.95" customHeight="1">
      <c r="A136" s="1"/>
      <c r="B136" s="12"/>
      <c r="C136" s="6" t="s">
        <v>1306</v>
      </c>
      <c r="D136" s="15" t="s">
        <v>990</v>
      </c>
      <c r="E136" s="24" t="s">
        <v>1302</v>
      </c>
      <c r="F136" s="44"/>
      <c r="G136" s="44" t="s">
        <v>129</v>
      </c>
      <c r="H136" s="8">
        <v>14</v>
      </c>
      <c r="I136" s="41">
        <v>1</v>
      </c>
      <c r="J136" s="67">
        <f>H136*I136</f>
        <v>14</v>
      </c>
      <c r="K136" s="46">
        <v>1.73</v>
      </c>
      <c r="L136" s="39">
        <v>44186</v>
      </c>
      <c r="M136" s="39"/>
      <c r="N136" s="213">
        <v>44186</v>
      </c>
      <c r="O136" s="38" t="s">
        <v>1308</v>
      </c>
      <c r="P136" s="6"/>
      <c r="Q136" s="483">
        <v>1.38</v>
      </c>
      <c r="S136" s="489">
        <v>68</v>
      </c>
      <c r="T136" s="113">
        <f>S136*J136</f>
        <v>952</v>
      </c>
      <c r="U136" s="512" t="s">
        <v>1303</v>
      </c>
      <c r="V136" s="494"/>
    </row>
    <row r="137" spans="1:22" s="7" customFormat="1" ht="15.95" customHeight="1">
      <c r="A137" s="1"/>
      <c r="B137" s="12"/>
      <c r="C137" s="6" t="s">
        <v>1306</v>
      </c>
      <c r="D137" s="15" t="s">
        <v>990</v>
      </c>
      <c r="E137" s="24" t="s">
        <v>1304</v>
      </c>
      <c r="F137" s="44"/>
      <c r="G137" s="44" t="s">
        <v>129</v>
      </c>
      <c r="H137" s="8">
        <v>14</v>
      </c>
      <c r="I137" s="41">
        <v>1</v>
      </c>
      <c r="J137" s="67">
        <f>H137*I137</f>
        <v>14</v>
      </c>
      <c r="K137" s="46">
        <v>3.15</v>
      </c>
      <c r="L137" s="39">
        <v>44186</v>
      </c>
      <c r="M137" s="39"/>
      <c r="N137" s="213">
        <v>44186</v>
      </c>
      <c r="O137" s="38" t="s">
        <v>1308</v>
      </c>
      <c r="P137" s="6"/>
      <c r="Q137" s="483">
        <v>2.52</v>
      </c>
      <c r="S137" s="489">
        <v>145</v>
      </c>
      <c r="T137" s="113">
        <f>S137*J137</f>
        <v>2030</v>
      </c>
      <c r="U137" s="512" t="s">
        <v>1305</v>
      </c>
      <c r="V137" s="494"/>
    </row>
    <row r="138" spans="1:22" s="7" customFormat="1" ht="15.95" customHeight="1">
      <c r="A138" s="1"/>
      <c r="B138" s="12"/>
      <c r="C138" s="6" t="s">
        <v>1306</v>
      </c>
      <c r="D138" s="15" t="s">
        <v>990</v>
      </c>
      <c r="E138" s="24"/>
      <c r="F138" s="138"/>
      <c r="G138" s="24" t="s">
        <v>31</v>
      </c>
      <c r="H138" s="8"/>
      <c r="I138" s="41"/>
      <c r="J138" s="45">
        <v>1</v>
      </c>
      <c r="K138" s="46">
        <v>12</v>
      </c>
      <c r="L138" s="39">
        <v>44186</v>
      </c>
      <c r="M138" s="39"/>
      <c r="N138" s="213">
        <v>44186</v>
      </c>
      <c r="O138" s="38" t="s">
        <v>1308</v>
      </c>
      <c r="P138" s="6"/>
      <c r="Q138" s="483">
        <v>12</v>
      </c>
      <c r="S138" s="489">
        <v>900</v>
      </c>
      <c r="T138" s="113">
        <f>S138*J138</f>
        <v>900</v>
      </c>
      <c r="U138" s="501"/>
      <c r="V138" s="494"/>
    </row>
    <row r="139" spans="1:22" s="314" customFormat="1" ht="15">
      <c r="A139" s="1"/>
      <c r="B139" s="313"/>
      <c r="C139" s="302" t="s">
        <v>1306</v>
      </c>
      <c r="D139" s="303" t="s">
        <v>990</v>
      </c>
      <c r="E139" s="304"/>
      <c r="F139" s="305"/>
      <c r="G139" s="305" t="s">
        <v>1227</v>
      </c>
      <c r="H139" s="307" t="s">
        <v>1228</v>
      </c>
      <c r="I139" s="308"/>
      <c r="J139" s="306"/>
      <c r="K139" s="315">
        <v>0</v>
      </c>
      <c r="L139" s="310">
        <v>44186</v>
      </c>
      <c r="M139" s="310"/>
      <c r="N139" s="311">
        <v>44186</v>
      </c>
      <c r="O139" s="309" t="s">
        <v>1308</v>
      </c>
      <c r="P139" s="302"/>
      <c r="Q139" s="485">
        <v>0</v>
      </c>
      <c r="S139" s="535">
        <v>0</v>
      </c>
      <c r="T139" s="322">
        <v>0</v>
      </c>
      <c r="U139" s="515"/>
      <c r="V139" s="549"/>
    </row>
    <row r="140" spans="1:22" ht="18" customHeight="1">
      <c r="C140" s="6" t="s">
        <v>1309</v>
      </c>
      <c r="D140" s="15" t="s">
        <v>892</v>
      </c>
      <c r="E140" s="20" t="s">
        <v>352</v>
      </c>
      <c r="F140" s="44"/>
      <c r="G140" s="44"/>
      <c r="H140" s="151"/>
      <c r="I140" s="151"/>
      <c r="J140" s="151"/>
      <c r="K140" s="34" t="s">
        <v>134</v>
      </c>
      <c r="L140" s="39">
        <v>44202</v>
      </c>
      <c r="M140" s="39"/>
      <c r="N140" s="213">
        <v>44202</v>
      </c>
      <c r="O140" s="38">
        <v>2810</v>
      </c>
      <c r="P140" s="6"/>
      <c r="Q140" s="524"/>
      <c r="S140" s="489"/>
      <c r="T140" s="113"/>
      <c r="U140" s="501"/>
      <c r="V140" s="494"/>
    </row>
    <row r="141" spans="1:22" ht="18" customHeight="1">
      <c r="C141" s="6" t="s">
        <v>1309</v>
      </c>
      <c r="D141" s="15" t="s">
        <v>892</v>
      </c>
      <c r="E141" s="24" t="s">
        <v>446</v>
      </c>
      <c r="F141" s="44"/>
      <c r="G141" s="24" t="s">
        <v>1310</v>
      </c>
      <c r="H141" s="151">
        <v>50</v>
      </c>
      <c r="I141" s="152">
        <v>1</v>
      </c>
      <c r="J141" s="67">
        <f>H141*I141</f>
        <v>50</v>
      </c>
      <c r="K141" s="46">
        <v>0.24</v>
      </c>
      <c r="L141" s="39">
        <v>44202</v>
      </c>
      <c r="M141" s="39"/>
      <c r="N141" s="213">
        <v>44202</v>
      </c>
      <c r="O141" s="38">
        <v>2810</v>
      </c>
      <c r="P141" s="46">
        <f>ROUNDUP(S141/0.75/90,2)</f>
        <v>0.2</v>
      </c>
      <c r="Q141" s="483">
        <v>0.2</v>
      </c>
      <c r="S141" s="489">
        <v>12.9</v>
      </c>
      <c r="T141" s="113">
        <f>S141*J141</f>
        <v>645</v>
      </c>
      <c r="U141" s="507"/>
      <c r="V141" s="494"/>
    </row>
    <row r="142" spans="1:22" s="7" customFormat="1" ht="15.95" customHeight="1">
      <c r="A142" s="1"/>
      <c r="B142" s="12"/>
      <c r="C142" s="6" t="s">
        <v>1309</v>
      </c>
      <c r="D142" s="15" t="s">
        <v>892</v>
      </c>
      <c r="E142" s="24"/>
      <c r="F142" s="138"/>
      <c r="G142" s="24" t="s">
        <v>31</v>
      </c>
      <c r="H142" s="8"/>
      <c r="I142" s="41"/>
      <c r="J142" s="45">
        <v>1</v>
      </c>
      <c r="K142" s="46">
        <v>12</v>
      </c>
      <c r="L142" s="39">
        <v>44202</v>
      </c>
      <c r="M142" s="39"/>
      <c r="N142" s="213">
        <v>44202</v>
      </c>
      <c r="O142" s="38">
        <v>2810</v>
      </c>
      <c r="P142" s="6"/>
      <c r="Q142" s="483">
        <v>12</v>
      </c>
      <c r="S142" s="489">
        <v>1100</v>
      </c>
      <c r="T142" s="113">
        <f>S142*J142</f>
        <v>1100</v>
      </c>
      <c r="U142" s="501"/>
      <c r="V142" s="494"/>
    </row>
    <row r="143" spans="1:22" s="314" customFormat="1" ht="15">
      <c r="A143" s="1"/>
      <c r="B143" s="313"/>
      <c r="C143" s="302" t="s">
        <v>1309</v>
      </c>
      <c r="D143" s="303" t="s">
        <v>892</v>
      </c>
      <c r="E143" s="304"/>
      <c r="F143" s="305"/>
      <c r="G143" s="305" t="s">
        <v>1227</v>
      </c>
      <c r="H143" s="307" t="s">
        <v>1228</v>
      </c>
      <c r="I143" s="308"/>
      <c r="J143" s="306"/>
      <c r="K143" s="315">
        <v>0</v>
      </c>
      <c r="L143" s="310">
        <v>44202</v>
      </c>
      <c r="M143" s="310"/>
      <c r="N143" s="311">
        <v>44202</v>
      </c>
      <c r="O143" s="309">
        <v>2810</v>
      </c>
      <c r="P143" s="302"/>
      <c r="Q143" s="485">
        <v>0</v>
      </c>
      <c r="S143" s="535">
        <v>0</v>
      </c>
      <c r="T143" s="322">
        <v>0</v>
      </c>
      <c r="U143" s="515"/>
      <c r="V143" s="549"/>
    </row>
    <row r="144" spans="1:22" s="7" customFormat="1" ht="15" customHeight="1">
      <c r="A144" s="1"/>
      <c r="B144" s="12"/>
      <c r="C144" s="6" t="s">
        <v>1311</v>
      </c>
      <c r="D144" s="15" t="s">
        <v>909</v>
      </c>
      <c r="E144" s="20" t="s">
        <v>1150</v>
      </c>
      <c r="F144" s="44"/>
      <c r="G144" s="44"/>
      <c r="H144" s="151"/>
      <c r="I144" s="151"/>
      <c r="J144" s="151"/>
      <c r="K144" s="17" t="s">
        <v>134</v>
      </c>
      <c r="L144" s="39">
        <v>44204</v>
      </c>
      <c r="M144" s="39"/>
      <c r="N144" s="213">
        <v>44204</v>
      </c>
      <c r="O144" s="38">
        <v>2818</v>
      </c>
      <c r="P144" s="6"/>
      <c r="Q144" s="524"/>
      <c r="S144" s="489"/>
      <c r="T144" s="113"/>
      <c r="U144" s="501"/>
      <c r="V144" s="494"/>
    </row>
    <row r="145" spans="1:22" s="7" customFormat="1" ht="15">
      <c r="A145" s="1"/>
      <c r="B145" s="12"/>
      <c r="C145" s="6" t="s">
        <v>1311</v>
      </c>
      <c r="D145" s="15" t="s">
        <v>909</v>
      </c>
      <c r="E145" s="24">
        <v>5603</v>
      </c>
      <c r="F145" s="44"/>
      <c r="G145" s="44" t="s">
        <v>1135</v>
      </c>
      <c r="H145" s="151">
        <v>50</v>
      </c>
      <c r="I145" s="152">
        <v>13</v>
      </c>
      <c r="J145" s="67">
        <f>H145*I145</f>
        <v>650</v>
      </c>
      <c r="K145" s="46">
        <v>0.3</v>
      </c>
      <c r="L145" s="39">
        <v>44204</v>
      </c>
      <c r="M145" s="39"/>
      <c r="N145" s="213">
        <v>44204</v>
      </c>
      <c r="O145" s="38">
        <v>2818</v>
      </c>
      <c r="P145" s="6"/>
      <c r="Q145" s="483">
        <v>0.24</v>
      </c>
      <c r="S145" s="489">
        <v>16</v>
      </c>
      <c r="T145" s="113">
        <f>S145*J145</f>
        <v>10400</v>
      </c>
      <c r="U145" s="507"/>
      <c r="V145" s="494"/>
    </row>
    <row r="146" spans="1:22" s="7" customFormat="1" ht="15" customHeight="1">
      <c r="A146" s="1"/>
      <c r="B146" s="12"/>
      <c r="C146" s="6" t="s">
        <v>1311</v>
      </c>
      <c r="D146" s="15" t="s">
        <v>909</v>
      </c>
      <c r="E146" s="24"/>
      <c r="F146" s="44"/>
      <c r="G146" s="44" t="s">
        <v>31</v>
      </c>
      <c r="H146" s="8"/>
      <c r="I146" s="152" ph="1"/>
      <c r="J146" s="45">
        <v>1</v>
      </c>
      <c r="K146" s="46">
        <v>12</v>
      </c>
      <c r="L146" s="39">
        <v>44204</v>
      </c>
      <c r="M146" s="39"/>
      <c r="N146" s="213">
        <v>44204</v>
      </c>
      <c r="O146" s="38">
        <v>2818</v>
      </c>
      <c r="P146" s="6"/>
      <c r="Q146" s="483">
        <v>12</v>
      </c>
      <c r="S146" s="489">
        <v>1100</v>
      </c>
      <c r="T146" s="113">
        <f>S146*J146</f>
        <v>1100</v>
      </c>
      <c r="U146" s="501"/>
      <c r="V146" s="494"/>
    </row>
    <row r="147" spans="1:22" s="314" customFormat="1" ht="15">
      <c r="A147" s="1"/>
      <c r="B147" s="313"/>
      <c r="C147" s="302" t="s">
        <v>1311</v>
      </c>
      <c r="D147" s="303" t="s">
        <v>909</v>
      </c>
      <c r="E147" s="304"/>
      <c r="F147" s="305"/>
      <c r="G147" s="305" t="s">
        <v>1227</v>
      </c>
      <c r="H147" s="307" t="s">
        <v>1228</v>
      </c>
      <c r="I147" s="308"/>
      <c r="J147" s="306"/>
      <c r="K147" s="315">
        <v>0</v>
      </c>
      <c r="L147" s="310">
        <v>44204</v>
      </c>
      <c r="M147" s="310"/>
      <c r="N147" s="311">
        <v>44204</v>
      </c>
      <c r="O147" s="309">
        <v>2818</v>
      </c>
      <c r="P147" s="302"/>
      <c r="Q147" s="485">
        <v>0</v>
      </c>
      <c r="S147" s="535">
        <v>0</v>
      </c>
      <c r="T147" s="322">
        <v>0</v>
      </c>
      <c r="U147" s="515"/>
      <c r="V147" s="549"/>
    </row>
    <row r="148" spans="1:22" ht="15" customHeight="1">
      <c r="C148" s="6" t="s">
        <v>1312</v>
      </c>
      <c r="D148" s="15" t="s">
        <v>922</v>
      </c>
      <c r="E148" s="20" t="s">
        <v>599</v>
      </c>
      <c r="F148" s="26"/>
      <c r="G148" s="24"/>
      <c r="H148" s="16"/>
      <c r="I148" s="68"/>
      <c r="J148" s="67"/>
      <c r="K148" s="17" t="s">
        <v>134</v>
      </c>
      <c r="L148" s="39">
        <v>44203</v>
      </c>
      <c r="M148" s="39"/>
      <c r="N148" s="213">
        <v>44203</v>
      </c>
      <c r="O148" s="38">
        <v>2814</v>
      </c>
      <c r="P148" s="6" t="s">
        <v>23</v>
      </c>
      <c r="Q148" s="481"/>
      <c r="S148" s="489"/>
      <c r="T148" s="113"/>
      <c r="U148" s="500"/>
      <c r="V148" s="494"/>
    </row>
    <row r="149" spans="1:22" ht="15" customHeight="1">
      <c r="C149" s="6" t="s">
        <v>1312</v>
      </c>
      <c r="D149" s="15" t="s">
        <v>922</v>
      </c>
      <c r="E149" s="24">
        <v>1598</v>
      </c>
      <c r="F149" s="26" t="s">
        <v>19</v>
      </c>
      <c r="G149" s="24" t="s">
        <v>602</v>
      </c>
      <c r="H149" s="67">
        <v>25</v>
      </c>
      <c r="I149" s="68">
        <v>1</v>
      </c>
      <c r="J149" s="67">
        <f>H149*I149</f>
        <v>25</v>
      </c>
      <c r="K149" s="25">
        <v>1.95</v>
      </c>
      <c r="L149" s="39">
        <v>44203</v>
      </c>
      <c r="M149" s="39"/>
      <c r="N149" s="213">
        <v>44203</v>
      </c>
      <c r="O149" s="38">
        <v>2814</v>
      </c>
      <c r="P149" s="46">
        <f>ROUNDUP(S149/0.75/90,2)</f>
        <v>1.71</v>
      </c>
      <c r="Q149" s="483">
        <v>1.71</v>
      </c>
      <c r="S149" s="489">
        <v>115</v>
      </c>
      <c r="T149" s="113">
        <f>S149*J149</f>
        <v>2875</v>
      </c>
      <c r="U149" s="502"/>
      <c r="V149" s="494"/>
    </row>
    <row r="150" spans="1:22" s="7" customFormat="1" ht="15" customHeight="1">
      <c r="A150" s="1"/>
      <c r="B150" s="12"/>
      <c r="C150" s="6" t="s">
        <v>1312</v>
      </c>
      <c r="D150" s="15" t="s">
        <v>922</v>
      </c>
      <c r="E150" s="24"/>
      <c r="F150" s="26"/>
      <c r="G150" s="24" t="s">
        <v>31</v>
      </c>
      <c r="H150" s="36"/>
      <c r="I150" s="41"/>
      <c r="J150" s="45">
        <v>1</v>
      </c>
      <c r="K150" s="46">
        <v>12</v>
      </c>
      <c r="L150" s="39">
        <v>44203</v>
      </c>
      <c r="M150" s="39"/>
      <c r="N150" s="213">
        <v>44203</v>
      </c>
      <c r="O150" s="38">
        <v>2814</v>
      </c>
      <c r="P150" s="6"/>
      <c r="Q150" s="483">
        <v>12</v>
      </c>
      <c r="S150" s="489">
        <v>550</v>
      </c>
      <c r="T150" s="113">
        <f>S150*J150</f>
        <v>550</v>
      </c>
      <c r="U150" s="501"/>
      <c r="V150" s="494"/>
    </row>
    <row r="151" spans="1:22" s="314" customFormat="1" ht="15" customHeight="1">
      <c r="A151" s="1"/>
      <c r="B151" s="313"/>
      <c r="C151" s="302" t="s">
        <v>1312</v>
      </c>
      <c r="D151" s="303" t="s">
        <v>922</v>
      </c>
      <c r="E151" s="304"/>
      <c r="F151" s="305"/>
      <c r="G151" s="305" t="s">
        <v>1227</v>
      </c>
      <c r="H151" s="307" t="s">
        <v>1228</v>
      </c>
      <c r="I151" s="308"/>
      <c r="J151" s="306"/>
      <c r="K151" s="315">
        <v>0</v>
      </c>
      <c r="L151" s="310">
        <v>44203</v>
      </c>
      <c r="M151" s="310"/>
      <c r="N151" s="311">
        <v>44203</v>
      </c>
      <c r="O151" s="309">
        <v>2814</v>
      </c>
      <c r="P151" s="302"/>
      <c r="Q151" s="485">
        <v>0</v>
      </c>
      <c r="S151" s="535">
        <v>0</v>
      </c>
      <c r="T151" s="322">
        <v>0</v>
      </c>
      <c r="U151" s="515"/>
      <c r="V151" s="549"/>
    </row>
    <row r="152" spans="1:22" ht="15" customHeight="1">
      <c r="C152" s="6" t="s">
        <v>1313</v>
      </c>
      <c r="D152" s="15" t="s">
        <v>1126</v>
      </c>
      <c r="E152" s="20" t="s">
        <v>1127</v>
      </c>
      <c r="F152" s="26"/>
      <c r="G152" s="24"/>
      <c r="H152" s="67"/>
      <c r="I152" s="68"/>
      <c r="J152" s="67"/>
      <c r="K152" s="17" t="s">
        <v>134</v>
      </c>
      <c r="L152" s="39">
        <v>44209</v>
      </c>
      <c r="M152" s="39"/>
      <c r="N152" s="213">
        <v>44209</v>
      </c>
      <c r="O152" s="38">
        <v>2830</v>
      </c>
      <c r="P152" s="6"/>
      <c r="Q152" s="481"/>
      <c r="S152" s="489"/>
      <c r="T152" s="113"/>
      <c r="U152" s="500"/>
    </row>
    <row r="153" spans="1:22" ht="15">
      <c r="C153" s="6" t="s">
        <v>1313</v>
      </c>
      <c r="D153" s="15" t="s">
        <v>1126</v>
      </c>
      <c r="E153" s="24" t="s">
        <v>447</v>
      </c>
      <c r="F153" s="26"/>
      <c r="G153" s="24" t="s">
        <v>353</v>
      </c>
      <c r="H153" s="67">
        <v>50</v>
      </c>
      <c r="I153" s="68">
        <v>44</v>
      </c>
      <c r="J153" s="67">
        <f>H153*I153</f>
        <v>2200</v>
      </c>
      <c r="K153" s="25">
        <v>0.27</v>
      </c>
      <c r="L153" s="39">
        <v>44209</v>
      </c>
      <c r="M153" s="39"/>
      <c r="N153" s="213">
        <v>44209</v>
      </c>
      <c r="O153" s="38">
        <v>2830</v>
      </c>
      <c r="P153" s="46">
        <f>ROUNDUP(S153/0.75/90,2)</f>
        <v>0.22</v>
      </c>
      <c r="Q153" s="483">
        <v>0.22</v>
      </c>
      <c r="S153" s="489">
        <v>14.4</v>
      </c>
      <c r="T153" s="113">
        <f>S153*J153</f>
        <v>31680</v>
      </c>
      <c r="U153" s="500"/>
    </row>
    <row r="154" spans="1:22" s="7" customFormat="1" ht="15" customHeight="1">
      <c r="A154" s="1"/>
      <c r="B154" s="12"/>
      <c r="C154" s="6" t="s">
        <v>1313</v>
      </c>
      <c r="D154" s="15" t="s">
        <v>1126</v>
      </c>
      <c r="E154" s="24"/>
      <c r="F154" s="44"/>
      <c r="G154" s="44" t="s">
        <v>31</v>
      </c>
      <c r="H154" s="45"/>
      <c r="I154" s="152" ph="1"/>
      <c r="J154" s="45">
        <v>1</v>
      </c>
      <c r="K154" s="46">
        <v>12</v>
      </c>
      <c r="L154" s="39">
        <v>44209</v>
      </c>
      <c r="M154" s="39"/>
      <c r="N154" s="213">
        <v>44209</v>
      </c>
      <c r="O154" s="38">
        <v>2830</v>
      </c>
      <c r="P154" s="6"/>
      <c r="Q154" s="483">
        <v>12</v>
      </c>
      <c r="S154" s="489">
        <v>1100</v>
      </c>
      <c r="T154" s="113">
        <f>S154*J154</f>
        <v>1100</v>
      </c>
      <c r="U154" s="501"/>
      <c r="V154" s="494"/>
    </row>
    <row r="155" spans="1:22" s="314" customFormat="1" ht="15" customHeight="1">
      <c r="A155" s="1"/>
      <c r="B155" s="313"/>
      <c r="C155" s="302" t="s">
        <v>1313</v>
      </c>
      <c r="D155" s="303" t="s">
        <v>1126</v>
      </c>
      <c r="E155" s="304"/>
      <c r="F155" s="305"/>
      <c r="G155" s="305" t="s">
        <v>1227</v>
      </c>
      <c r="H155" s="307" t="s">
        <v>1228</v>
      </c>
      <c r="I155" s="308"/>
      <c r="J155" s="306"/>
      <c r="K155" s="316">
        <v>0</v>
      </c>
      <c r="L155" s="310">
        <v>44209</v>
      </c>
      <c r="M155" s="310"/>
      <c r="N155" s="311">
        <v>44209</v>
      </c>
      <c r="O155" s="309">
        <v>2830</v>
      </c>
      <c r="P155" s="302"/>
      <c r="Q155" s="485">
        <v>0</v>
      </c>
      <c r="S155" s="536">
        <v>0</v>
      </c>
      <c r="T155" s="322">
        <v>0</v>
      </c>
      <c r="U155" s="515"/>
      <c r="V155" s="549"/>
    </row>
    <row r="156" spans="1:22" s="7" customFormat="1" ht="15">
      <c r="A156" s="1"/>
      <c r="B156" s="12"/>
      <c r="C156" s="6" t="s">
        <v>1314</v>
      </c>
      <c r="D156" s="15" t="s">
        <v>1213</v>
      </c>
      <c r="E156" s="20" t="s">
        <v>648</v>
      </c>
      <c r="F156" s="26"/>
      <c r="G156" s="24"/>
      <c r="H156" s="67"/>
      <c r="I156" s="68"/>
      <c r="J156" s="67"/>
      <c r="K156" s="17" t="s">
        <v>134</v>
      </c>
      <c r="L156" s="39">
        <v>44203</v>
      </c>
      <c r="M156" s="39"/>
      <c r="N156" s="213">
        <v>44203</v>
      </c>
      <c r="O156" s="38">
        <v>2816</v>
      </c>
      <c r="P156" s="179" t="s">
        <v>23</v>
      </c>
      <c r="Q156" s="435"/>
      <c r="S156" s="489"/>
      <c r="T156" s="113"/>
      <c r="U156" s="510"/>
      <c r="V156" s="494"/>
    </row>
    <row r="157" spans="1:22" s="7" customFormat="1" ht="18" customHeight="1">
      <c r="A157" s="1"/>
      <c r="B157" s="12"/>
      <c r="C157" s="6" t="s">
        <v>1314</v>
      </c>
      <c r="D157" s="15" t="s">
        <v>1213</v>
      </c>
      <c r="E157" s="24">
        <v>5612</v>
      </c>
      <c r="F157" s="26"/>
      <c r="G157" s="24" t="s">
        <v>1211</v>
      </c>
      <c r="H157" s="67">
        <v>50</v>
      </c>
      <c r="I157" s="68">
        <v>1</v>
      </c>
      <c r="J157" s="67">
        <f>H157*I157</f>
        <v>50</v>
      </c>
      <c r="K157" s="46">
        <v>0.54</v>
      </c>
      <c r="L157" s="39">
        <v>44203</v>
      </c>
      <c r="M157" s="39"/>
      <c r="N157" s="213">
        <v>44203</v>
      </c>
      <c r="O157" s="38">
        <v>2816</v>
      </c>
      <c r="P157" s="179"/>
      <c r="Q157" s="180">
        <v>0.42</v>
      </c>
      <c r="S157" s="489">
        <v>28.4</v>
      </c>
      <c r="T157" s="113">
        <f>S157*J157</f>
        <v>1420</v>
      </c>
      <c r="U157" s="511"/>
      <c r="V157" s="494"/>
    </row>
    <row r="158" spans="1:22" s="7" customFormat="1" ht="18" customHeight="1">
      <c r="A158" s="1"/>
      <c r="B158" s="12"/>
      <c r="C158" s="6" t="s">
        <v>1314</v>
      </c>
      <c r="D158" s="15" t="s">
        <v>1213</v>
      </c>
      <c r="E158" s="24">
        <v>5612</v>
      </c>
      <c r="F158" s="26"/>
      <c r="G158" s="24" t="s">
        <v>1212</v>
      </c>
      <c r="H158" s="67">
        <v>50</v>
      </c>
      <c r="I158" s="68">
        <v>1</v>
      </c>
      <c r="J158" s="67">
        <f>H158*I158</f>
        <v>50</v>
      </c>
      <c r="K158" s="46">
        <v>0.54</v>
      </c>
      <c r="L158" s="39">
        <v>44203</v>
      </c>
      <c r="M158" s="39"/>
      <c r="N158" s="213">
        <v>44203</v>
      </c>
      <c r="O158" s="38">
        <v>2816</v>
      </c>
      <c r="P158" s="179"/>
      <c r="Q158" s="180">
        <v>0.42</v>
      </c>
      <c r="S158" s="489">
        <v>28.4</v>
      </c>
      <c r="T158" s="113">
        <f>S158*J158</f>
        <v>1420</v>
      </c>
      <c r="U158" s="511"/>
      <c r="V158" s="494"/>
    </row>
    <row r="159" spans="1:22" ht="15.95" customHeight="1">
      <c r="C159" s="6" t="s">
        <v>1314</v>
      </c>
      <c r="D159" s="15" t="s">
        <v>1213</v>
      </c>
      <c r="E159" s="24"/>
      <c r="F159" s="138"/>
      <c r="G159" s="24" t="s">
        <v>481</v>
      </c>
      <c r="H159" s="8"/>
      <c r="I159" s="41"/>
      <c r="J159" s="45">
        <v>1</v>
      </c>
      <c r="K159" s="46">
        <v>12</v>
      </c>
      <c r="L159" s="39">
        <v>44203</v>
      </c>
      <c r="M159" s="39"/>
      <c r="N159" s="213">
        <v>44203</v>
      </c>
      <c r="O159" s="38">
        <v>2816</v>
      </c>
      <c r="P159" s="179"/>
      <c r="Q159" s="180">
        <v>12</v>
      </c>
      <c r="S159" s="489">
        <v>1100</v>
      </c>
      <c r="T159" s="113">
        <f>S159*J159</f>
        <v>1100</v>
      </c>
      <c r="U159" s="511"/>
    </row>
    <row r="160" spans="1:22" s="314" customFormat="1" ht="15" customHeight="1">
      <c r="A160" s="1"/>
      <c r="B160" s="313"/>
      <c r="C160" s="302" t="s">
        <v>1314</v>
      </c>
      <c r="D160" s="303" t="s">
        <v>1213</v>
      </c>
      <c r="E160" s="304"/>
      <c r="F160" s="305"/>
      <c r="G160" s="305" t="s">
        <v>1227</v>
      </c>
      <c r="H160" s="307" t="s">
        <v>1243</v>
      </c>
      <c r="I160" s="308"/>
      <c r="J160" s="306"/>
      <c r="K160" s="329">
        <v>45</v>
      </c>
      <c r="L160" s="310">
        <v>44203</v>
      </c>
      <c r="M160" s="310"/>
      <c r="N160" s="311">
        <v>44203</v>
      </c>
      <c r="O160" s="309">
        <v>2816</v>
      </c>
      <c r="P160" s="302"/>
      <c r="Q160" s="527">
        <v>45</v>
      </c>
      <c r="S160" s="536">
        <v>3765</v>
      </c>
      <c r="T160" s="321">
        <v>3765</v>
      </c>
      <c r="U160" s="515"/>
      <c r="V160" s="549"/>
    </row>
    <row r="161" spans="1:22" s="7" customFormat="1" ht="18" customHeight="1">
      <c r="A161" s="1"/>
      <c r="B161" s="12"/>
      <c r="C161" s="6" t="s">
        <v>1315</v>
      </c>
      <c r="D161" s="15" t="s">
        <v>990</v>
      </c>
      <c r="E161" s="20" t="s">
        <v>1003</v>
      </c>
      <c r="F161" s="24"/>
      <c r="G161" s="44"/>
      <c r="H161" s="151"/>
      <c r="I161" s="151"/>
      <c r="J161" s="151"/>
      <c r="K161" s="153" t="s">
        <v>10</v>
      </c>
      <c r="L161" s="39">
        <v>44204</v>
      </c>
      <c r="M161" s="39"/>
      <c r="N161" s="213">
        <v>44204</v>
      </c>
      <c r="O161" s="38">
        <v>2811</v>
      </c>
      <c r="P161" s="6"/>
      <c r="Q161" s="411"/>
      <c r="S161" s="489"/>
      <c r="T161" s="113"/>
      <c r="U161" s="501"/>
      <c r="V161" s="494"/>
    </row>
    <row r="162" spans="1:22" s="7" customFormat="1" ht="15.95" customHeight="1">
      <c r="A162" s="1"/>
      <c r="B162" s="12"/>
      <c r="C162" s="6" t="s">
        <v>1315</v>
      </c>
      <c r="D162" s="15" t="s">
        <v>990</v>
      </c>
      <c r="E162" s="24" t="s">
        <v>1316</v>
      </c>
      <c r="F162" s="44"/>
      <c r="G162" s="44" t="s">
        <v>129</v>
      </c>
      <c r="H162" s="8">
        <v>14</v>
      </c>
      <c r="I162" s="41">
        <v>1</v>
      </c>
      <c r="J162" s="67">
        <f>H162*I162</f>
        <v>14</v>
      </c>
      <c r="K162" s="46">
        <v>1.49</v>
      </c>
      <c r="L162" s="39">
        <v>44204</v>
      </c>
      <c r="M162" s="39"/>
      <c r="N162" s="213">
        <v>44204</v>
      </c>
      <c r="O162" s="38">
        <v>2811</v>
      </c>
      <c r="P162" s="6"/>
      <c r="Q162" s="483">
        <v>1.19</v>
      </c>
      <c r="S162" s="489">
        <v>50</v>
      </c>
      <c r="T162" s="113">
        <f>S162*J162</f>
        <v>700</v>
      </c>
      <c r="U162" s="512" t="s">
        <v>1317</v>
      </c>
      <c r="V162" s="494"/>
    </row>
    <row r="163" spans="1:22" s="7" customFormat="1" ht="15.95" customHeight="1">
      <c r="A163" s="1"/>
      <c r="B163" s="12"/>
      <c r="C163" s="6" t="s">
        <v>1315</v>
      </c>
      <c r="D163" s="15" t="s">
        <v>990</v>
      </c>
      <c r="E163" s="24" t="s">
        <v>521</v>
      </c>
      <c r="F163" s="44"/>
      <c r="G163" s="44" t="s">
        <v>129</v>
      </c>
      <c r="H163" s="8">
        <v>14</v>
      </c>
      <c r="I163" s="41">
        <v>1</v>
      </c>
      <c r="J163" s="67">
        <f>H163*I163</f>
        <v>14</v>
      </c>
      <c r="K163" s="46">
        <v>1.28</v>
      </c>
      <c r="L163" s="39">
        <v>44204</v>
      </c>
      <c r="M163" s="39"/>
      <c r="N163" s="213">
        <v>44204</v>
      </c>
      <c r="O163" s="38">
        <v>2811</v>
      </c>
      <c r="P163" s="6"/>
      <c r="Q163" s="483">
        <v>1.03</v>
      </c>
      <c r="S163" s="489">
        <v>39</v>
      </c>
      <c r="T163" s="113">
        <f>S163*J163</f>
        <v>546</v>
      </c>
      <c r="U163" s="512" t="s">
        <v>1320</v>
      </c>
      <c r="V163" s="494"/>
    </row>
    <row r="164" spans="1:22" s="7" customFormat="1" ht="15.95" customHeight="1">
      <c r="A164" s="1"/>
      <c r="B164" s="12"/>
      <c r="C164" s="6" t="s">
        <v>1315</v>
      </c>
      <c r="D164" s="15" t="s">
        <v>990</v>
      </c>
      <c r="E164" s="24"/>
      <c r="F164" s="138"/>
      <c r="G164" s="24" t="s">
        <v>31</v>
      </c>
      <c r="H164" s="8"/>
      <c r="I164" s="41"/>
      <c r="J164" s="45">
        <v>1</v>
      </c>
      <c r="K164" s="46">
        <v>12</v>
      </c>
      <c r="L164" s="39">
        <v>44204</v>
      </c>
      <c r="M164" s="39"/>
      <c r="N164" s="213">
        <v>44204</v>
      </c>
      <c r="O164" s="38">
        <v>2811</v>
      </c>
      <c r="P164" s="6"/>
      <c r="Q164" s="483">
        <v>12</v>
      </c>
      <c r="S164" s="489">
        <v>0</v>
      </c>
      <c r="T164" s="113">
        <f>S164*J164</f>
        <v>0</v>
      </c>
      <c r="U164" s="501"/>
      <c r="V164" s="494"/>
    </row>
    <row r="165" spans="1:22" s="314" customFormat="1" ht="15">
      <c r="A165" s="1"/>
      <c r="B165" s="313"/>
      <c r="C165" s="302" t="s">
        <v>1315</v>
      </c>
      <c r="D165" s="303" t="s">
        <v>990</v>
      </c>
      <c r="E165" s="304"/>
      <c r="F165" s="305"/>
      <c r="G165" s="305" t="s">
        <v>1227</v>
      </c>
      <c r="H165" s="307" t="s">
        <v>1228</v>
      </c>
      <c r="I165" s="308"/>
      <c r="J165" s="306"/>
      <c r="K165" s="315">
        <v>0</v>
      </c>
      <c r="L165" s="310">
        <v>44204</v>
      </c>
      <c r="M165" s="310"/>
      <c r="N165" s="311">
        <v>44204</v>
      </c>
      <c r="O165" s="309">
        <v>2811</v>
      </c>
      <c r="P165" s="302"/>
      <c r="Q165" s="485">
        <v>0</v>
      </c>
      <c r="S165" s="536">
        <v>0</v>
      </c>
      <c r="T165" s="322">
        <v>0</v>
      </c>
      <c r="U165" s="515"/>
      <c r="V165" s="549"/>
    </row>
    <row r="166" spans="1:22" s="7" customFormat="1" ht="18" customHeight="1">
      <c r="A166" s="1"/>
      <c r="B166" s="12"/>
      <c r="C166" s="6" t="s">
        <v>1326</v>
      </c>
      <c r="D166" s="15" t="s">
        <v>990</v>
      </c>
      <c r="E166" s="20" t="s">
        <v>1003</v>
      </c>
      <c r="F166" s="24"/>
      <c r="G166" s="44"/>
      <c r="H166" s="151"/>
      <c r="I166" s="151"/>
      <c r="J166" s="151"/>
      <c r="K166" s="153" t="s">
        <v>10</v>
      </c>
      <c r="L166" s="39">
        <v>44204</v>
      </c>
      <c r="M166" s="39"/>
      <c r="N166" s="213">
        <v>44204</v>
      </c>
      <c r="O166" s="38">
        <v>2811</v>
      </c>
      <c r="P166" s="6"/>
      <c r="Q166" s="411"/>
      <c r="S166" s="489"/>
      <c r="T166" s="113"/>
      <c r="U166" s="501"/>
      <c r="V166" s="494"/>
    </row>
    <row r="167" spans="1:22" s="7" customFormat="1" ht="15.95" customHeight="1">
      <c r="A167" s="1"/>
      <c r="B167" s="12"/>
      <c r="C167" s="6" t="s">
        <v>1326</v>
      </c>
      <c r="D167" s="15" t="s">
        <v>990</v>
      </c>
      <c r="E167" s="24" t="s">
        <v>1321</v>
      </c>
      <c r="F167" s="44"/>
      <c r="G167" s="44" t="s">
        <v>129</v>
      </c>
      <c r="H167" s="198">
        <v>13.7</v>
      </c>
      <c r="I167" s="41">
        <v>1</v>
      </c>
      <c r="J167" s="19">
        <f>H167*I167</f>
        <v>13.7</v>
      </c>
      <c r="K167" s="46">
        <v>3.91</v>
      </c>
      <c r="L167" s="39">
        <v>44204</v>
      </c>
      <c r="M167" s="39"/>
      <c r="N167" s="213">
        <v>44204</v>
      </c>
      <c r="O167" s="38">
        <v>2811</v>
      </c>
      <c r="P167" s="6"/>
      <c r="Q167" s="483">
        <v>3.13</v>
      </c>
      <c r="S167" s="489">
        <v>171</v>
      </c>
      <c r="T167" s="113">
        <f>S167*J167</f>
        <v>2342.6999999999998</v>
      </c>
      <c r="U167" s="517" t="s">
        <v>1327</v>
      </c>
      <c r="V167" s="494"/>
    </row>
    <row r="168" spans="1:22" s="7" customFormat="1" ht="15.95" customHeight="1">
      <c r="A168" s="1"/>
      <c r="B168" s="12"/>
      <c r="C168" s="6" t="s">
        <v>1326</v>
      </c>
      <c r="D168" s="15" t="s">
        <v>990</v>
      </c>
      <c r="E168" s="24"/>
      <c r="F168" s="138"/>
      <c r="G168" s="24" t="s">
        <v>31</v>
      </c>
      <c r="H168" s="8"/>
      <c r="I168" s="41"/>
      <c r="J168" s="45">
        <v>1</v>
      </c>
      <c r="K168" s="46">
        <v>12</v>
      </c>
      <c r="L168" s="39">
        <v>44204</v>
      </c>
      <c r="M168" s="39"/>
      <c r="N168" s="213">
        <v>44204</v>
      </c>
      <c r="O168" s="38">
        <v>2811</v>
      </c>
      <c r="P168" s="6"/>
      <c r="Q168" s="483">
        <v>12</v>
      </c>
      <c r="S168" s="489">
        <v>900</v>
      </c>
      <c r="T168" s="113">
        <f>S168*J168</f>
        <v>900</v>
      </c>
      <c r="U168" s="501"/>
      <c r="V168" s="494"/>
    </row>
    <row r="169" spans="1:22" s="314" customFormat="1" ht="15">
      <c r="A169" s="1"/>
      <c r="B169" s="313"/>
      <c r="C169" s="302" t="s">
        <v>1326</v>
      </c>
      <c r="D169" s="303" t="s">
        <v>990</v>
      </c>
      <c r="E169" s="304"/>
      <c r="F169" s="305"/>
      <c r="G169" s="305" t="s">
        <v>1227</v>
      </c>
      <c r="H169" s="307" t="s">
        <v>1228</v>
      </c>
      <c r="I169" s="308"/>
      <c r="J169" s="306"/>
      <c r="K169" s="315">
        <v>0</v>
      </c>
      <c r="L169" s="310">
        <v>44204</v>
      </c>
      <c r="M169" s="310"/>
      <c r="N169" s="311">
        <v>44204</v>
      </c>
      <c r="O169" s="309">
        <v>2811</v>
      </c>
      <c r="P169" s="302"/>
      <c r="Q169" s="485">
        <v>0</v>
      </c>
      <c r="S169" s="536">
        <v>0</v>
      </c>
      <c r="T169" s="322">
        <v>0</v>
      </c>
      <c r="U169" s="515"/>
      <c r="V169" s="549"/>
    </row>
    <row r="170" spans="1:22" s="341" customFormat="1" ht="18" customHeight="1">
      <c r="A170" s="1"/>
      <c r="B170" s="543"/>
      <c r="C170" s="330" t="s">
        <v>1318</v>
      </c>
      <c r="D170" s="331" t="s">
        <v>1115</v>
      </c>
      <c r="E170" s="332" t="s">
        <v>1319</v>
      </c>
      <c r="F170" s="333"/>
      <c r="G170" s="334"/>
      <c r="H170" s="336"/>
      <c r="I170" s="337"/>
      <c r="J170" s="335">
        <v>1</v>
      </c>
      <c r="K170" s="338">
        <v>190</v>
      </c>
      <c r="L170" s="347" t="s">
        <v>1329</v>
      </c>
      <c r="M170" s="347"/>
      <c r="N170" s="340"/>
      <c r="O170" s="339"/>
      <c r="P170" s="437"/>
      <c r="Q170" s="528">
        <v>190</v>
      </c>
      <c r="S170" s="497">
        <v>16719</v>
      </c>
      <c r="T170" s="567">
        <f>S170*J170</f>
        <v>16719</v>
      </c>
      <c r="U170" s="518"/>
      <c r="V170" s="550"/>
    </row>
    <row r="171" spans="1:22" s="7" customFormat="1" ht="15" customHeight="1">
      <c r="A171" s="1"/>
      <c r="B171" s="12"/>
      <c r="C171" s="6" t="s">
        <v>1328</v>
      </c>
      <c r="D171" s="15" t="s">
        <v>491</v>
      </c>
      <c r="E171" s="20" t="s">
        <v>344</v>
      </c>
      <c r="F171" s="26"/>
      <c r="G171" s="24"/>
      <c r="H171" s="67"/>
      <c r="I171" s="68"/>
      <c r="J171" s="67"/>
      <c r="K171" s="17" t="s">
        <v>134</v>
      </c>
      <c r="L171" s="39">
        <v>44210</v>
      </c>
      <c r="M171" s="39"/>
      <c r="N171" s="213">
        <v>44210</v>
      </c>
      <c r="O171" s="38">
        <v>2835</v>
      </c>
      <c r="P171" s="6" t="s">
        <v>23</v>
      </c>
      <c r="Q171" s="481"/>
      <c r="S171" s="489"/>
      <c r="T171" s="113"/>
      <c r="U171" s="500"/>
      <c r="V171" s="494"/>
    </row>
    <row r="172" spans="1:22" s="7" customFormat="1" ht="15">
      <c r="A172" s="1"/>
      <c r="B172" s="12"/>
      <c r="C172" s="6" t="s">
        <v>1328</v>
      </c>
      <c r="D172" s="15" t="s">
        <v>491</v>
      </c>
      <c r="E172" s="24">
        <v>14552</v>
      </c>
      <c r="F172" s="26">
        <v>25</v>
      </c>
      <c r="G172" s="24" t="s">
        <v>614</v>
      </c>
      <c r="H172" s="67">
        <v>30</v>
      </c>
      <c r="I172" s="68">
        <v>17</v>
      </c>
      <c r="J172" s="67">
        <f>H172*I172</f>
        <v>510</v>
      </c>
      <c r="K172" s="46">
        <v>1.03</v>
      </c>
      <c r="L172" s="39">
        <v>44210</v>
      </c>
      <c r="M172" s="39"/>
      <c r="N172" s="213">
        <v>44210</v>
      </c>
      <c r="O172" s="38">
        <v>2835</v>
      </c>
      <c r="P172" s="46">
        <f>ROUNDUP(S172/0.75/90,2)</f>
        <v>0.82000000000000006</v>
      </c>
      <c r="Q172" s="482">
        <v>0.82</v>
      </c>
      <c r="S172" s="489">
        <v>55</v>
      </c>
      <c r="T172" s="567">
        <f>S172*J172</f>
        <v>28050</v>
      </c>
      <c r="U172" s="500"/>
      <c r="V172" s="494"/>
    </row>
    <row r="173" spans="1:22" s="7" customFormat="1" ht="15" customHeight="1">
      <c r="A173" s="1"/>
      <c r="B173" s="12"/>
      <c r="C173" s="6" t="s">
        <v>1328</v>
      </c>
      <c r="D173" s="15" t="s">
        <v>491</v>
      </c>
      <c r="E173" s="24"/>
      <c r="F173" s="138"/>
      <c r="G173" s="24" t="s">
        <v>481</v>
      </c>
      <c r="H173" s="8"/>
      <c r="I173" s="41"/>
      <c r="J173" s="45">
        <v>1</v>
      </c>
      <c r="K173" s="46">
        <v>12</v>
      </c>
      <c r="L173" s="39">
        <v>44210</v>
      </c>
      <c r="M173" s="39"/>
      <c r="N173" s="213">
        <v>44210</v>
      </c>
      <c r="O173" s="38">
        <v>2835</v>
      </c>
      <c r="P173" s="6"/>
      <c r="Q173" s="483">
        <v>12</v>
      </c>
      <c r="S173" s="489">
        <v>0</v>
      </c>
      <c r="T173" s="567">
        <f>S173*J173</f>
        <v>0</v>
      </c>
      <c r="U173" s="501"/>
      <c r="V173" s="494"/>
    </row>
    <row r="174" spans="1:22" s="314" customFormat="1" ht="15" customHeight="1">
      <c r="A174" s="1"/>
      <c r="B174" s="313"/>
      <c r="C174" s="302" t="s">
        <v>1328</v>
      </c>
      <c r="D174" s="303" t="s">
        <v>491</v>
      </c>
      <c r="E174" s="304"/>
      <c r="F174" s="305"/>
      <c r="G174" s="305" t="s">
        <v>1227</v>
      </c>
      <c r="H174" s="307" t="s">
        <v>1228</v>
      </c>
      <c r="I174" s="308"/>
      <c r="J174" s="306"/>
      <c r="K174" s="315">
        <v>0</v>
      </c>
      <c r="L174" s="310">
        <v>44210</v>
      </c>
      <c r="M174" s="310"/>
      <c r="N174" s="311">
        <v>44210</v>
      </c>
      <c r="O174" s="309">
        <v>2835</v>
      </c>
      <c r="P174" s="302"/>
      <c r="Q174" s="485">
        <v>0</v>
      </c>
      <c r="S174" s="536">
        <v>0</v>
      </c>
      <c r="T174" s="322">
        <v>0</v>
      </c>
      <c r="U174" s="515"/>
      <c r="V174" s="549"/>
    </row>
    <row r="175" spans="1:22" s="7" customFormat="1" ht="15" customHeight="1">
      <c r="A175" s="1"/>
      <c r="B175" s="12"/>
      <c r="C175" s="6" t="s">
        <v>1330</v>
      </c>
      <c r="D175" s="15" t="s">
        <v>983</v>
      </c>
      <c r="E175" s="20" t="s">
        <v>344</v>
      </c>
      <c r="F175" s="26"/>
      <c r="G175" s="24"/>
      <c r="H175" s="67"/>
      <c r="I175" s="68"/>
      <c r="J175" s="67"/>
      <c r="K175" s="17" t="s">
        <v>134</v>
      </c>
      <c r="L175" s="39">
        <v>44224</v>
      </c>
      <c r="M175" s="39"/>
      <c r="N175" s="213">
        <v>44224</v>
      </c>
      <c r="O175" s="38">
        <v>2860</v>
      </c>
      <c r="P175" s="6" t="s">
        <v>23</v>
      </c>
      <c r="Q175" s="481"/>
      <c r="S175" s="489"/>
      <c r="T175" s="113"/>
      <c r="U175" s="500"/>
      <c r="V175" s="494"/>
    </row>
    <row r="176" spans="1:22" s="7" customFormat="1" ht="15">
      <c r="A176" s="1"/>
      <c r="B176" s="12"/>
      <c r="C176" s="6" t="s">
        <v>1330</v>
      </c>
      <c r="D176" s="15" t="s">
        <v>983</v>
      </c>
      <c r="E176" s="24">
        <v>14552</v>
      </c>
      <c r="F176" s="26">
        <v>10</v>
      </c>
      <c r="G176" s="24" t="s">
        <v>431</v>
      </c>
      <c r="H176" s="151">
        <v>30</v>
      </c>
      <c r="I176" s="152">
        <v>10</v>
      </c>
      <c r="J176" s="67">
        <f>H176*I176</f>
        <v>300</v>
      </c>
      <c r="K176" s="25">
        <v>0.57999999999999996</v>
      </c>
      <c r="L176" s="39">
        <v>44224</v>
      </c>
      <c r="M176" s="39"/>
      <c r="N176" s="213">
        <v>44224</v>
      </c>
      <c r="O176" s="38">
        <v>2860</v>
      </c>
      <c r="P176" s="25"/>
      <c r="Q176" s="482">
        <v>0.46</v>
      </c>
      <c r="S176" s="489">
        <v>31</v>
      </c>
      <c r="T176" s="567">
        <f>S176*J176</f>
        <v>9300</v>
      </c>
      <c r="U176" s="500"/>
      <c r="V176" s="494"/>
    </row>
    <row r="177" spans="1:22" s="7" customFormat="1" ht="15" customHeight="1">
      <c r="A177" s="1"/>
      <c r="B177" s="12"/>
      <c r="C177" s="6" t="s">
        <v>1330</v>
      </c>
      <c r="D177" s="15" t="s">
        <v>983</v>
      </c>
      <c r="E177" s="24"/>
      <c r="F177" s="138"/>
      <c r="G177" s="24" t="s">
        <v>481</v>
      </c>
      <c r="H177" s="8"/>
      <c r="I177" s="41"/>
      <c r="J177" s="45">
        <v>1</v>
      </c>
      <c r="K177" s="46">
        <v>12</v>
      </c>
      <c r="L177" s="39">
        <v>44224</v>
      </c>
      <c r="M177" s="39"/>
      <c r="N177" s="213">
        <v>44224</v>
      </c>
      <c r="O177" s="38">
        <v>2860</v>
      </c>
      <c r="P177" s="6"/>
      <c r="Q177" s="483">
        <v>12</v>
      </c>
      <c r="S177" s="489">
        <v>1000</v>
      </c>
      <c r="T177" s="567">
        <f>S177*J177</f>
        <v>1000</v>
      </c>
      <c r="U177" s="501"/>
      <c r="V177" s="494"/>
    </row>
    <row r="178" spans="1:22" s="314" customFormat="1" ht="15" customHeight="1">
      <c r="A178" s="1"/>
      <c r="B178" s="313"/>
      <c r="C178" s="302" t="s">
        <v>1330</v>
      </c>
      <c r="D178" s="303" t="s">
        <v>983</v>
      </c>
      <c r="E178" s="304"/>
      <c r="F178" s="305"/>
      <c r="G178" s="305" t="s">
        <v>1227</v>
      </c>
      <c r="H178" s="307" t="s">
        <v>1243</v>
      </c>
      <c r="I178" s="308"/>
      <c r="J178" s="306"/>
      <c r="K178" s="329">
        <v>50</v>
      </c>
      <c r="L178" s="310">
        <v>44224</v>
      </c>
      <c r="M178" s="310"/>
      <c r="N178" s="311">
        <v>44224</v>
      </c>
      <c r="O178" s="309">
        <v>2860</v>
      </c>
      <c r="P178" s="302"/>
      <c r="Q178" s="527">
        <v>50</v>
      </c>
      <c r="S178" s="537">
        <v>3795</v>
      </c>
      <c r="T178" s="348">
        <v>3795</v>
      </c>
      <c r="U178" s="515"/>
      <c r="V178" s="549"/>
    </row>
    <row r="179" spans="1:22" s="7" customFormat="1" ht="15">
      <c r="A179" s="1"/>
      <c r="B179" s="12"/>
      <c r="C179" s="6" t="s">
        <v>1334</v>
      </c>
      <c r="D179" s="15" t="s">
        <v>892</v>
      </c>
      <c r="E179" s="20" t="s">
        <v>628</v>
      </c>
      <c r="F179" s="44"/>
      <c r="G179" s="44"/>
      <c r="H179" s="151"/>
      <c r="I179" s="151"/>
      <c r="J179" s="151"/>
      <c r="K179" s="153" t="s">
        <v>134</v>
      </c>
      <c r="L179" s="39">
        <v>44225</v>
      </c>
      <c r="M179" s="39"/>
      <c r="N179" s="213">
        <v>44225</v>
      </c>
      <c r="O179" s="38">
        <v>2864</v>
      </c>
      <c r="P179" s="6"/>
      <c r="Q179" s="524"/>
      <c r="S179" s="489"/>
      <c r="T179" s="113"/>
      <c r="U179" s="501"/>
      <c r="V179" s="494"/>
    </row>
    <row r="180" spans="1:22" s="7" customFormat="1" ht="15">
      <c r="A180" s="1"/>
      <c r="B180" s="12"/>
      <c r="C180" s="6" t="s">
        <v>1334</v>
      </c>
      <c r="D180" s="15" t="s">
        <v>892</v>
      </c>
      <c r="E180" s="24">
        <v>5603</v>
      </c>
      <c r="F180" s="44"/>
      <c r="G180" s="44" t="s">
        <v>1335</v>
      </c>
      <c r="H180" s="151">
        <v>50</v>
      </c>
      <c r="I180" s="152">
        <v>1</v>
      </c>
      <c r="J180" s="67">
        <f t="shared" ref="J180:J185" si="3">H180*I180</f>
        <v>50</v>
      </c>
      <c r="K180" s="46">
        <v>0.3</v>
      </c>
      <c r="L180" s="39">
        <v>44225</v>
      </c>
      <c r="M180" s="39"/>
      <c r="N180" s="213">
        <v>44225</v>
      </c>
      <c r="O180" s="38">
        <v>2864</v>
      </c>
      <c r="P180" s="6"/>
      <c r="Q180" s="483">
        <v>0.24</v>
      </c>
      <c r="S180" s="489">
        <v>16</v>
      </c>
      <c r="T180" s="113">
        <f t="shared" ref="T180:T185" si="4">S180*J180</f>
        <v>800</v>
      </c>
      <c r="U180" s="507"/>
      <c r="V180" s="494"/>
    </row>
    <row r="181" spans="1:22" s="7" customFormat="1" ht="15" customHeight="1">
      <c r="A181" s="1"/>
      <c r="B181" s="12"/>
      <c r="C181" s="6" t="s">
        <v>1334</v>
      </c>
      <c r="D181" s="15" t="s">
        <v>892</v>
      </c>
      <c r="E181" s="24">
        <v>5603</v>
      </c>
      <c r="F181" s="44"/>
      <c r="G181" s="44" t="s">
        <v>1336</v>
      </c>
      <c r="H181" s="151">
        <v>50</v>
      </c>
      <c r="I181" s="152">
        <v>1</v>
      </c>
      <c r="J181" s="67">
        <f t="shared" si="3"/>
        <v>50</v>
      </c>
      <c r="K181" s="46">
        <v>0.3</v>
      </c>
      <c r="L181" s="39">
        <v>44225</v>
      </c>
      <c r="M181" s="39"/>
      <c r="N181" s="213">
        <v>44225</v>
      </c>
      <c r="O181" s="38">
        <v>2864</v>
      </c>
      <c r="P181" s="6"/>
      <c r="Q181" s="483">
        <v>0.24</v>
      </c>
      <c r="S181" s="489">
        <v>16</v>
      </c>
      <c r="T181" s="113">
        <f t="shared" si="4"/>
        <v>800</v>
      </c>
      <c r="U181" s="507"/>
      <c r="V181" s="494"/>
    </row>
    <row r="182" spans="1:22" s="7" customFormat="1" ht="15" customHeight="1">
      <c r="A182" s="1"/>
      <c r="B182" s="12"/>
      <c r="C182" s="6" t="s">
        <v>1334</v>
      </c>
      <c r="D182" s="15" t="s">
        <v>892</v>
      </c>
      <c r="E182" s="24">
        <v>5603</v>
      </c>
      <c r="F182" s="44"/>
      <c r="G182" s="44" t="s">
        <v>1337</v>
      </c>
      <c r="H182" s="151">
        <v>50</v>
      </c>
      <c r="I182" s="152">
        <v>1</v>
      </c>
      <c r="J182" s="67">
        <f t="shared" si="3"/>
        <v>50</v>
      </c>
      <c r="K182" s="46">
        <v>0.3</v>
      </c>
      <c r="L182" s="39">
        <v>44225</v>
      </c>
      <c r="M182" s="39"/>
      <c r="N182" s="213">
        <v>44225</v>
      </c>
      <c r="O182" s="38">
        <v>2864</v>
      </c>
      <c r="P182" s="6"/>
      <c r="Q182" s="483">
        <v>0.24</v>
      </c>
      <c r="S182" s="489">
        <v>16</v>
      </c>
      <c r="T182" s="113">
        <f t="shared" si="4"/>
        <v>800</v>
      </c>
      <c r="U182" s="507"/>
      <c r="V182" s="494"/>
    </row>
    <row r="183" spans="1:22" s="7" customFormat="1" ht="15" customHeight="1">
      <c r="A183" s="1"/>
      <c r="B183" s="12"/>
      <c r="C183" s="6" t="s">
        <v>1334</v>
      </c>
      <c r="D183" s="15" t="s">
        <v>892</v>
      </c>
      <c r="E183" s="24">
        <v>5603</v>
      </c>
      <c r="F183" s="44"/>
      <c r="G183" s="44" t="s">
        <v>1338</v>
      </c>
      <c r="H183" s="151">
        <v>50</v>
      </c>
      <c r="I183" s="152">
        <v>1</v>
      </c>
      <c r="J183" s="67">
        <f t="shared" si="3"/>
        <v>50</v>
      </c>
      <c r="K183" s="46">
        <v>0.3</v>
      </c>
      <c r="L183" s="39">
        <v>44225</v>
      </c>
      <c r="M183" s="39"/>
      <c r="N183" s="213">
        <v>44225</v>
      </c>
      <c r="O183" s="38">
        <v>2864</v>
      </c>
      <c r="P183" s="6"/>
      <c r="Q183" s="483">
        <v>0.24</v>
      </c>
      <c r="S183" s="489">
        <v>16</v>
      </c>
      <c r="T183" s="113">
        <f t="shared" si="4"/>
        <v>800</v>
      </c>
      <c r="U183" s="507"/>
      <c r="V183" s="494"/>
    </row>
    <row r="184" spans="1:22" s="7" customFormat="1" ht="15">
      <c r="A184" s="1"/>
      <c r="B184" s="12"/>
      <c r="C184" s="6" t="s">
        <v>1334</v>
      </c>
      <c r="D184" s="15" t="s">
        <v>892</v>
      </c>
      <c r="E184" s="24">
        <v>5603</v>
      </c>
      <c r="F184" s="44"/>
      <c r="G184" s="44" t="s">
        <v>1339</v>
      </c>
      <c r="H184" s="151">
        <v>50</v>
      </c>
      <c r="I184" s="152">
        <v>1</v>
      </c>
      <c r="J184" s="67">
        <f t="shared" si="3"/>
        <v>50</v>
      </c>
      <c r="K184" s="46">
        <v>0.3</v>
      </c>
      <c r="L184" s="39">
        <v>44225</v>
      </c>
      <c r="M184" s="39"/>
      <c r="N184" s="213">
        <v>44225</v>
      </c>
      <c r="O184" s="38">
        <v>2864</v>
      </c>
      <c r="P184" s="6"/>
      <c r="Q184" s="483">
        <v>0.24</v>
      </c>
      <c r="S184" s="489">
        <v>16</v>
      </c>
      <c r="T184" s="113">
        <f t="shared" si="4"/>
        <v>800</v>
      </c>
      <c r="U184" s="507"/>
      <c r="V184" s="494"/>
    </row>
    <row r="185" spans="1:22" s="7" customFormat="1" ht="15" customHeight="1">
      <c r="A185" s="1"/>
      <c r="B185" s="12"/>
      <c r="C185" s="6" t="s">
        <v>1334</v>
      </c>
      <c r="D185" s="15" t="s">
        <v>892</v>
      </c>
      <c r="E185" s="24">
        <v>5603</v>
      </c>
      <c r="F185" s="44"/>
      <c r="G185" s="44" t="s">
        <v>1340</v>
      </c>
      <c r="H185" s="151">
        <v>50</v>
      </c>
      <c r="I185" s="152">
        <v>1</v>
      </c>
      <c r="J185" s="67">
        <f t="shared" si="3"/>
        <v>50</v>
      </c>
      <c r="K185" s="46">
        <v>0.3</v>
      </c>
      <c r="L185" s="39">
        <v>44225</v>
      </c>
      <c r="M185" s="39"/>
      <c r="N185" s="213">
        <v>44225</v>
      </c>
      <c r="O185" s="38">
        <v>2864</v>
      </c>
      <c r="P185" s="6"/>
      <c r="Q185" s="483">
        <v>0.24</v>
      </c>
      <c r="S185" s="489">
        <v>16</v>
      </c>
      <c r="T185" s="113">
        <f t="shared" si="4"/>
        <v>800</v>
      </c>
      <c r="U185" s="507"/>
      <c r="V185" s="494"/>
    </row>
    <row r="186" spans="1:22" ht="18" customHeight="1">
      <c r="C186" s="6" t="s">
        <v>1334</v>
      </c>
      <c r="D186" s="15" t="s">
        <v>892</v>
      </c>
      <c r="E186" s="20" t="s">
        <v>352</v>
      </c>
      <c r="F186" s="44"/>
      <c r="G186" s="44"/>
      <c r="H186" s="151"/>
      <c r="I186" s="151"/>
      <c r="J186" s="151"/>
      <c r="K186" s="34" t="s">
        <v>134</v>
      </c>
      <c r="L186" s="39">
        <v>44225</v>
      </c>
      <c r="M186" s="39"/>
      <c r="N186" s="213">
        <v>44225</v>
      </c>
      <c r="O186" s="38">
        <v>2864</v>
      </c>
      <c r="P186" s="6"/>
      <c r="Q186" s="524"/>
      <c r="S186" s="489"/>
      <c r="T186" s="113"/>
      <c r="U186" s="501"/>
      <c r="V186" s="494"/>
    </row>
    <row r="187" spans="1:22" ht="18" customHeight="1">
      <c r="C187" s="6" t="s">
        <v>1334</v>
      </c>
      <c r="D187" s="15" t="s">
        <v>892</v>
      </c>
      <c r="E187" s="24" t="s">
        <v>446</v>
      </c>
      <c r="F187" s="44"/>
      <c r="G187" s="24" t="s">
        <v>1310</v>
      </c>
      <c r="H187" s="151">
        <v>50</v>
      </c>
      <c r="I187" s="152">
        <v>1</v>
      </c>
      <c r="J187" s="67">
        <f>H187*I187</f>
        <v>50</v>
      </c>
      <c r="K187" s="46">
        <v>0.24</v>
      </c>
      <c r="L187" s="39">
        <v>44225</v>
      </c>
      <c r="M187" s="39"/>
      <c r="N187" s="213">
        <v>44225</v>
      </c>
      <c r="O187" s="38">
        <v>2864</v>
      </c>
      <c r="P187" s="46">
        <f>ROUNDUP(S187/0.75/90,2)</f>
        <v>0.2</v>
      </c>
      <c r="Q187" s="483">
        <v>0.2</v>
      </c>
      <c r="S187" s="489">
        <v>12.9</v>
      </c>
      <c r="T187" s="113">
        <f>S187*J187</f>
        <v>645</v>
      </c>
      <c r="U187" s="507"/>
      <c r="V187" s="494"/>
    </row>
    <row r="188" spans="1:22" s="7" customFormat="1" ht="15.95" customHeight="1">
      <c r="A188" s="1"/>
      <c r="B188" s="12"/>
      <c r="C188" s="6" t="s">
        <v>1334</v>
      </c>
      <c r="D188" s="15" t="s">
        <v>892</v>
      </c>
      <c r="E188" s="24"/>
      <c r="F188" s="138"/>
      <c r="G188" s="24" t="s">
        <v>31</v>
      </c>
      <c r="H188" s="8"/>
      <c r="I188" s="41"/>
      <c r="J188" s="45">
        <v>1</v>
      </c>
      <c r="K188" s="46">
        <v>12</v>
      </c>
      <c r="L188" s="39">
        <v>44225</v>
      </c>
      <c r="M188" s="39"/>
      <c r="N188" s="213">
        <v>44225</v>
      </c>
      <c r="O188" s="38">
        <v>2864</v>
      </c>
      <c r="P188" s="6"/>
      <c r="Q188" s="483">
        <v>12</v>
      </c>
      <c r="S188" s="489">
        <v>1100</v>
      </c>
      <c r="T188" s="113">
        <f>S188*J188</f>
        <v>1100</v>
      </c>
      <c r="U188" s="501"/>
      <c r="V188" s="494"/>
    </row>
    <row r="189" spans="1:22" s="314" customFormat="1" ht="15" customHeight="1">
      <c r="A189" s="1"/>
      <c r="B189" s="313"/>
      <c r="C189" s="302" t="s">
        <v>1334</v>
      </c>
      <c r="D189" s="303" t="s">
        <v>892</v>
      </c>
      <c r="E189" s="304"/>
      <c r="F189" s="305"/>
      <c r="G189" s="305" t="s">
        <v>1227</v>
      </c>
      <c r="H189" s="307" t="s">
        <v>1228</v>
      </c>
      <c r="I189" s="308"/>
      <c r="J189" s="306"/>
      <c r="K189" s="315"/>
      <c r="L189" s="310">
        <v>44225</v>
      </c>
      <c r="M189" s="310"/>
      <c r="N189" s="311">
        <v>44225</v>
      </c>
      <c r="O189" s="309">
        <v>2864</v>
      </c>
      <c r="P189" s="302"/>
      <c r="Q189" s="485">
        <v>0</v>
      </c>
      <c r="S189" s="536">
        <v>0</v>
      </c>
      <c r="T189" s="322">
        <v>0</v>
      </c>
      <c r="U189" s="515"/>
      <c r="V189" s="549"/>
    </row>
    <row r="190" spans="1:22" s="7" customFormat="1" ht="15" customHeight="1">
      <c r="A190" s="1"/>
      <c r="B190" s="12"/>
      <c r="C190" s="6" t="s">
        <v>1341</v>
      </c>
      <c r="D190" s="15" t="s">
        <v>11</v>
      </c>
      <c r="E190" s="20" t="s">
        <v>27</v>
      </c>
      <c r="F190" s="150"/>
      <c r="G190" s="24"/>
      <c r="H190" s="151"/>
      <c r="I190" s="152"/>
      <c r="J190" s="151"/>
      <c r="K190" s="34" t="s">
        <v>10</v>
      </c>
      <c r="L190" s="39">
        <v>44229</v>
      </c>
      <c r="M190" s="39"/>
      <c r="N190" s="213">
        <v>44229</v>
      </c>
      <c r="O190" s="38">
        <v>2869</v>
      </c>
      <c r="P190" s="15"/>
      <c r="Q190" s="483"/>
      <c r="S190" s="489"/>
      <c r="T190" s="113"/>
      <c r="U190" s="506"/>
      <c r="V190" s="494"/>
    </row>
    <row r="191" spans="1:22" s="7" customFormat="1" ht="15">
      <c r="A191" s="1"/>
      <c r="B191" s="12"/>
      <c r="C191" s="6" t="s">
        <v>1341</v>
      </c>
      <c r="D191" s="15" t="s">
        <v>11</v>
      </c>
      <c r="E191" s="24" t="s">
        <v>536</v>
      </c>
      <c r="F191" s="150">
        <v>160</v>
      </c>
      <c r="G191" s="24" t="s">
        <v>862</v>
      </c>
      <c r="H191" s="67">
        <v>50</v>
      </c>
      <c r="I191" s="68">
        <v>4</v>
      </c>
      <c r="J191" s="67">
        <f>H191*I191</f>
        <v>200</v>
      </c>
      <c r="K191" s="25">
        <v>4.45</v>
      </c>
      <c r="L191" s="39">
        <v>44229</v>
      </c>
      <c r="M191" s="39"/>
      <c r="N191" s="213">
        <v>44229</v>
      </c>
      <c r="O191" s="38">
        <v>2869</v>
      </c>
      <c r="P191" s="6"/>
      <c r="Q191" s="483">
        <v>3.95</v>
      </c>
      <c r="S191" s="532">
        <v>320</v>
      </c>
      <c r="T191" s="113">
        <f>S191*J191</f>
        <v>64000</v>
      </c>
      <c r="U191" s="501"/>
      <c r="V191" s="494"/>
    </row>
    <row r="192" spans="1:22" s="218" customFormat="1" ht="15" customHeight="1">
      <c r="A192" s="1"/>
      <c r="B192" s="541"/>
      <c r="C192" s="216" t="s">
        <v>1342</v>
      </c>
      <c r="D192" s="109" t="s">
        <v>11</v>
      </c>
      <c r="E192" s="228"/>
      <c r="F192" s="160"/>
      <c r="G192" s="228" t="s">
        <v>481</v>
      </c>
      <c r="H192" s="214"/>
      <c r="I192" s="215"/>
      <c r="J192" s="43">
        <v>1</v>
      </c>
      <c r="K192" s="229">
        <v>20</v>
      </c>
      <c r="L192" s="39">
        <v>44229</v>
      </c>
      <c r="M192" s="39"/>
      <c r="N192" s="213">
        <v>44229</v>
      </c>
      <c r="O192" s="38">
        <v>2869</v>
      </c>
      <c r="P192" s="216"/>
      <c r="Q192" s="525">
        <v>20</v>
      </c>
      <c r="S192" s="532">
        <v>1800</v>
      </c>
      <c r="T192" s="113">
        <v>1800</v>
      </c>
      <c r="U192" s="504"/>
      <c r="V192" s="547"/>
    </row>
    <row r="193" spans="1:22" s="314" customFormat="1" ht="15">
      <c r="A193" s="1"/>
      <c r="B193" s="313"/>
      <c r="C193" s="302" t="s">
        <v>1341</v>
      </c>
      <c r="D193" s="303" t="s">
        <v>11</v>
      </c>
      <c r="E193" s="304"/>
      <c r="F193" s="305"/>
      <c r="G193" s="305" t="s">
        <v>1227</v>
      </c>
      <c r="H193" s="307" t="s">
        <v>1228</v>
      </c>
      <c r="I193" s="308"/>
      <c r="J193" s="306"/>
      <c r="K193" s="315">
        <v>0</v>
      </c>
      <c r="L193" s="310">
        <v>44229</v>
      </c>
      <c r="M193" s="310"/>
      <c r="N193" s="311">
        <v>44229</v>
      </c>
      <c r="O193" s="309">
        <v>2869</v>
      </c>
      <c r="P193" s="302"/>
      <c r="Q193" s="485">
        <v>0</v>
      </c>
      <c r="S193" s="535">
        <v>0</v>
      </c>
      <c r="T193" s="322">
        <v>0</v>
      </c>
      <c r="U193" s="515"/>
      <c r="V193" s="549"/>
    </row>
    <row r="194" spans="1:22" s="7" customFormat="1" ht="15">
      <c r="A194" s="1"/>
      <c r="B194" s="12"/>
      <c r="C194" s="6" t="s">
        <v>1373</v>
      </c>
      <c r="D194" s="15" t="s">
        <v>909</v>
      </c>
      <c r="E194" s="20" t="s">
        <v>337</v>
      </c>
      <c r="F194" s="26"/>
      <c r="G194" s="24"/>
      <c r="H194" s="45"/>
      <c r="I194" s="68"/>
      <c r="J194" s="67"/>
      <c r="K194" s="17" t="s">
        <v>10</v>
      </c>
      <c r="L194" s="39">
        <v>44231</v>
      </c>
      <c r="M194" s="39"/>
      <c r="N194" s="213">
        <v>44231</v>
      </c>
      <c r="O194" s="38">
        <v>2877</v>
      </c>
      <c r="P194" s="6"/>
      <c r="Q194" s="482"/>
      <c r="S194" s="489"/>
      <c r="T194" s="113"/>
      <c r="U194" s="500"/>
      <c r="V194" s="494"/>
    </row>
    <row r="195" spans="1:22" s="7" customFormat="1" ht="15" customHeight="1">
      <c r="A195" s="1"/>
      <c r="B195" s="12"/>
      <c r="C195" s="6" t="s">
        <v>1365</v>
      </c>
      <c r="D195" s="15" t="s">
        <v>909</v>
      </c>
      <c r="E195" s="24">
        <v>3705</v>
      </c>
      <c r="F195" s="26">
        <v>19</v>
      </c>
      <c r="G195" s="24" t="s">
        <v>1344</v>
      </c>
      <c r="H195" s="151">
        <v>30</v>
      </c>
      <c r="I195" s="152">
        <v>6</v>
      </c>
      <c r="J195" s="67">
        <f>H195*I195</f>
        <v>180</v>
      </c>
      <c r="K195" s="46">
        <v>0.47</v>
      </c>
      <c r="L195" s="39">
        <v>44231</v>
      </c>
      <c r="M195" s="39"/>
      <c r="N195" s="213">
        <v>44231</v>
      </c>
      <c r="O195" s="38">
        <v>2877</v>
      </c>
      <c r="P195" s="6"/>
      <c r="Q195" s="483">
        <v>0.37</v>
      </c>
      <c r="S195" s="489">
        <v>21.434000000000001</v>
      </c>
      <c r="T195" s="113">
        <f>S195*J195</f>
        <v>3858.1200000000003</v>
      </c>
      <c r="U195" s="500" t="s">
        <v>1292</v>
      </c>
      <c r="V195" s="494"/>
    </row>
    <row r="196" spans="1:22" s="7" customFormat="1" ht="15">
      <c r="A196" s="1"/>
      <c r="B196" s="12"/>
      <c r="C196" s="6" t="s">
        <v>1365</v>
      </c>
      <c r="D196" s="15" t="s">
        <v>909</v>
      </c>
      <c r="E196" s="24">
        <v>3717</v>
      </c>
      <c r="F196" s="26">
        <v>19</v>
      </c>
      <c r="G196" s="24" t="s">
        <v>1141</v>
      </c>
      <c r="H196" s="151">
        <v>30</v>
      </c>
      <c r="I196" s="152">
        <v>7</v>
      </c>
      <c r="J196" s="67">
        <f>H196*I196</f>
        <v>210</v>
      </c>
      <c r="K196" s="46">
        <v>0.44</v>
      </c>
      <c r="L196" s="39">
        <v>44231</v>
      </c>
      <c r="M196" s="39"/>
      <c r="N196" s="213">
        <v>44231</v>
      </c>
      <c r="O196" s="38">
        <v>2877</v>
      </c>
      <c r="P196" s="6"/>
      <c r="Q196" s="483">
        <v>0.35</v>
      </c>
      <c r="S196" s="489">
        <v>23.33</v>
      </c>
      <c r="T196" s="113">
        <f>S196*J196</f>
        <v>4899.2999999999993</v>
      </c>
      <c r="U196" s="500"/>
      <c r="V196" s="494"/>
    </row>
    <row r="197" spans="1:22" ht="15.95" customHeight="1">
      <c r="C197" s="6" t="s">
        <v>1365</v>
      </c>
      <c r="D197" s="15" t="s">
        <v>909</v>
      </c>
      <c r="E197" s="24"/>
      <c r="F197" s="138"/>
      <c r="G197" s="24" t="s">
        <v>481</v>
      </c>
      <c r="H197" s="8"/>
      <c r="I197" s="41"/>
      <c r="J197" s="45">
        <v>1</v>
      </c>
      <c r="K197" s="46">
        <v>12</v>
      </c>
      <c r="L197" s="39">
        <v>44231</v>
      </c>
      <c r="M197" s="39"/>
      <c r="N197" s="213">
        <v>44231</v>
      </c>
      <c r="O197" s="38">
        <v>2877</v>
      </c>
      <c r="P197" s="179"/>
      <c r="Q197" s="483">
        <v>12</v>
      </c>
      <c r="S197" s="489">
        <v>0</v>
      </c>
      <c r="T197" s="113">
        <v>0</v>
      </c>
      <c r="U197" s="511"/>
    </row>
    <row r="198" spans="1:22" s="314" customFormat="1" ht="15">
      <c r="A198" s="1"/>
      <c r="B198" s="313"/>
      <c r="C198" s="302" t="s">
        <v>1365</v>
      </c>
      <c r="D198" s="303" t="s">
        <v>909</v>
      </c>
      <c r="E198" s="304"/>
      <c r="F198" s="305"/>
      <c r="G198" s="305" t="s">
        <v>1227</v>
      </c>
      <c r="H198" s="307" t="s">
        <v>1228</v>
      </c>
      <c r="I198" s="308"/>
      <c r="J198" s="306"/>
      <c r="K198" s="315">
        <v>0</v>
      </c>
      <c r="L198" s="310">
        <v>44231</v>
      </c>
      <c r="M198" s="310"/>
      <c r="N198" s="311">
        <v>44231</v>
      </c>
      <c r="O198" s="309">
        <v>2877</v>
      </c>
      <c r="P198" s="302"/>
      <c r="Q198" s="485">
        <v>0</v>
      </c>
      <c r="S198" s="535">
        <v>0</v>
      </c>
      <c r="T198" s="322">
        <v>0</v>
      </c>
      <c r="U198" s="515"/>
      <c r="V198" s="549"/>
    </row>
    <row r="199" spans="1:22" s="7" customFormat="1" ht="15">
      <c r="A199" s="1"/>
      <c r="B199" s="12"/>
      <c r="C199" s="6" t="s">
        <v>1366</v>
      </c>
      <c r="D199" s="15" t="s">
        <v>909</v>
      </c>
      <c r="E199" s="20" t="s">
        <v>1381</v>
      </c>
      <c r="F199" s="44"/>
      <c r="G199" s="44"/>
      <c r="H199" s="151"/>
      <c r="I199" s="151"/>
      <c r="J199" s="151"/>
      <c r="K199" s="34" t="s">
        <v>1027</v>
      </c>
      <c r="L199" s="39">
        <v>44236</v>
      </c>
      <c r="M199" s="39"/>
      <c r="N199" s="213">
        <v>44236</v>
      </c>
      <c r="O199" s="38">
        <v>2890</v>
      </c>
      <c r="P199" s="6"/>
      <c r="Q199" s="524"/>
      <c r="S199" s="489"/>
      <c r="T199" s="113"/>
      <c r="U199" s="501"/>
      <c r="V199" s="494"/>
    </row>
    <row r="200" spans="1:22" s="7" customFormat="1" ht="15" customHeight="1">
      <c r="A200" s="1"/>
      <c r="B200" s="12"/>
      <c r="C200" s="6" t="s">
        <v>1366</v>
      </c>
      <c r="D200" s="15" t="s">
        <v>909</v>
      </c>
      <c r="E200" s="24" t="s">
        <v>1358</v>
      </c>
      <c r="F200" s="44" t="s">
        <v>1030</v>
      </c>
      <c r="G200" s="260" t="s">
        <v>1359</v>
      </c>
      <c r="H200" s="261">
        <v>79</v>
      </c>
      <c r="I200" s="261">
        <v>79</v>
      </c>
      <c r="J200" s="261">
        <v>79</v>
      </c>
      <c r="K200" s="46">
        <v>0.32</v>
      </c>
      <c r="L200" s="39">
        <v>44236</v>
      </c>
      <c r="M200" s="39"/>
      <c r="N200" s="213">
        <v>44236</v>
      </c>
      <c r="O200" s="38">
        <v>2890</v>
      </c>
      <c r="P200" s="46">
        <f t="shared" ref="P200:P211" si="5">ROUNDUP(S200/0.75/90,2)</f>
        <v>0.26</v>
      </c>
      <c r="Q200" s="483">
        <v>0.26</v>
      </c>
      <c r="S200" s="489">
        <v>17.100000000000001</v>
      </c>
      <c r="T200" s="113"/>
      <c r="U200" s="507"/>
      <c r="V200" s="494"/>
    </row>
    <row r="201" spans="1:22" s="7" customFormat="1" ht="15">
      <c r="A201" s="1"/>
      <c r="B201" s="12"/>
      <c r="C201" s="6" t="s">
        <v>1366</v>
      </c>
      <c r="D201" s="15" t="s">
        <v>909</v>
      </c>
      <c r="E201" s="24" t="s">
        <v>1358</v>
      </c>
      <c r="F201" s="44" t="s">
        <v>1032</v>
      </c>
      <c r="G201" s="260" t="s">
        <v>1359</v>
      </c>
      <c r="H201" s="261">
        <v>132</v>
      </c>
      <c r="I201" s="261">
        <v>132</v>
      </c>
      <c r="J201" s="261">
        <v>132</v>
      </c>
      <c r="K201" s="46">
        <v>0.34</v>
      </c>
      <c r="L201" s="39">
        <v>44236</v>
      </c>
      <c r="M201" s="39"/>
      <c r="N201" s="213">
        <v>44236</v>
      </c>
      <c r="O201" s="38">
        <v>2890</v>
      </c>
      <c r="P201" s="46">
        <f t="shared" si="5"/>
        <v>0.27</v>
      </c>
      <c r="Q201" s="483">
        <v>0.27</v>
      </c>
      <c r="S201" s="489">
        <v>18.2</v>
      </c>
      <c r="T201" s="113"/>
      <c r="U201" s="507"/>
      <c r="V201" s="494"/>
    </row>
    <row r="202" spans="1:22" s="7" customFormat="1" ht="15" customHeight="1">
      <c r="A202" s="1"/>
      <c r="B202" s="12"/>
      <c r="C202" s="6" t="s">
        <v>1366</v>
      </c>
      <c r="D202" s="15" t="s">
        <v>909</v>
      </c>
      <c r="E202" s="24" t="s">
        <v>1358</v>
      </c>
      <c r="F202" s="44" t="s">
        <v>1033</v>
      </c>
      <c r="G202" s="260" t="s">
        <v>1359</v>
      </c>
      <c r="H202" s="261">
        <v>25</v>
      </c>
      <c r="I202" s="261">
        <v>25</v>
      </c>
      <c r="J202" s="261">
        <v>25</v>
      </c>
      <c r="K202" s="46">
        <v>0.36</v>
      </c>
      <c r="L202" s="39">
        <v>44236</v>
      </c>
      <c r="M202" s="39"/>
      <c r="N202" s="213">
        <v>44236</v>
      </c>
      <c r="O202" s="38">
        <v>2890</v>
      </c>
      <c r="P202" s="46">
        <f t="shared" si="5"/>
        <v>0.29000000000000004</v>
      </c>
      <c r="Q202" s="483">
        <v>0.28999999999999998</v>
      </c>
      <c r="S202" s="489">
        <v>19</v>
      </c>
      <c r="T202" s="113"/>
      <c r="U202" s="507"/>
      <c r="V202" s="494"/>
    </row>
    <row r="203" spans="1:22" s="7" customFormat="1" ht="15">
      <c r="A203" s="1"/>
      <c r="B203" s="12"/>
      <c r="C203" s="6" t="s">
        <v>1366</v>
      </c>
      <c r="D203" s="15" t="s">
        <v>909</v>
      </c>
      <c r="E203" s="24" t="s">
        <v>1358</v>
      </c>
      <c r="F203" s="44" t="s">
        <v>1034</v>
      </c>
      <c r="G203" s="260" t="s">
        <v>1359</v>
      </c>
      <c r="H203" s="261">
        <v>13</v>
      </c>
      <c r="I203" s="261">
        <v>13</v>
      </c>
      <c r="J203" s="261">
        <v>13</v>
      </c>
      <c r="K203" s="46">
        <v>0.37</v>
      </c>
      <c r="L203" s="39">
        <v>44236</v>
      </c>
      <c r="M203" s="39"/>
      <c r="N203" s="213">
        <v>44236</v>
      </c>
      <c r="O203" s="38">
        <v>2890</v>
      </c>
      <c r="P203" s="46">
        <f t="shared" si="5"/>
        <v>0.3</v>
      </c>
      <c r="Q203" s="483">
        <v>0.3</v>
      </c>
      <c r="S203" s="489">
        <v>19.8</v>
      </c>
      <c r="T203" s="113"/>
      <c r="U203" s="507"/>
      <c r="V203" s="494"/>
    </row>
    <row r="204" spans="1:22" s="7" customFormat="1" ht="15" customHeight="1">
      <c r="A204" s="1"/>
      <c r="B204" s="12"/>
      <c r="C204" s="6" t="s">
        <v>1366</v>
      </c>
      <c r="D204" s="15" t="s">
        <v>909</v>
      </c>
      <c r="E204" s="24" t="s">
        <v>1358</v>
      </c>
      <c r="F204" s="44" t="s">
        <v>1030</v>
      </c>
      <c r="G204" s="260" t="s">
        <v>1359</v>
      </c>
      <c r="H204" s="261">
        <v>65</v>
      </c>
      <c r="I204" s="261">
        <v>65</v>
      </c>
      <c r="J204" s="261">
        <v>65</v>
      </c>
      <c r="K204" s="46">
        <v>0.32</v>
      </c>
      <c r="L204" s="39">
        <v>44236</v>
      </c>
      <c r="M204" s="39"/>
      <c r="N204" s="213">
        <v>44236</v>
      </c>
      <c r="O204" s="38">
        <v>2890</v>
      </c>
      <c r="P204" s="46">
        <f t="shared" si="5"/>
        <v>0.26</v>
      </c>
      <c r="Q204" s="483">
        <v>0.26</v>
      </c>
      <c r="S204" s="489">
        <v>17.100000000000001</v>
      </c>
      <c r="T204" s="113"/>
      <c r="U204" s="507"/>
      <c r="V204" s="494"/>
    </row>
    <row r="205" spans="1:22" s="7" customFormat="1" ht="15">
      <c r="A205" s="1"/>
      <c r="B205" s="12"/>
      <c r="C205" s="6" t="s">
        <v>1366</v>
      </c>
      <c r="D205" s="15" t="s">
        <v>909</v>
      </c>
      <c r="E205" s="24" t="s">
        <v>1358</v>
      </c>
      <c r="F205" s="44" t="s">
        <v>1032</v>
      </c>
      <c r="G205" s="260" t="s">
        <v>1359</v>
      </c>
      <c r="H205" s="261">
        <v>120</v>
      </c>
      <c r="I205" s="261">
        <v>120</v>
      </c>
      <c r="J205" s="261">
        <v>120</v>
      </c>
      <c r="K205" s="46">
        <v>0.34</v>
      </c>
      <c r="L205" s="39">
        <v>44236</v>
      </c>
      <c r="M205" s="39"/>
      <c r="N205" s="213">
        <v>44236</v>
      </c>
      <c r="O205" s="38">
        <v>2890</v>
      </c>
      <c r="P205" s="46">
        <f t="shared" si="5"/>
        <v>0.27</v>
      </c>
      <c r="Q205" s="483">
        <v>0.27</v>
      </c>
      <c r="S205" s="489">
        <v>18.2</v>
      </c>
      <c r="T205" s="113"/>
      <c r="U205" s="507"/>
      <c r="V205" s="494"/>
    </row>
    <row r="206" spans="1:22" s="7" customFormat="1" ht="15">
      <c r="A206" s="1"/>
      <c r="B206" s="12"/>
      <c r="C206" s="6" t="s">
        <v>1366</v>
      </c>
      <c r="D206" s="15" t="s">
        <v>909</v>
      </c>
      <c r="E206" s="24" t="s">
        <v>1358</v>
      </c>
      <c r="F206" s="44" t="s">
        <v>1033</v>
      </c>
      <c r="G206" s="260" t="s">
        <v>1359</v>
      </c>
      <c r="H206" s="261">
        <v>25</v>
      </c>
      <c r="I206" s="261">
        <v>25</v>
      </c>
      <c r="J206" s="261">
        <v>25</v>
      </c>
      <c r="K206" s="46">
        <v>0.36</v>
      </c>
      <c r="L206" s="39">
        <v>44236</v>
      </c>
      <c r="M206" s="39"/>
      <c r="N206" s="213">
        <v>44236</v>
      </c>
      <c r="O206" s="38">
        <v>2890</v>
      </c>
      <c r="P206" s="46">
        <f t="shared" si="5"/>
        <v>0.29000000000000004</v>
      </c>
      <c r="Q206" s="483">
        <v>0.28999999999999998</v>
      </c>
      <c r="S206" s="489">
        <v>19</v>
      </c>
      <c r="T206" s="113"/>
      <c r="U206" s="507"/>
      <c r="V206" s="494"/>
    </row>
    <row r="207" spans="1:22" s="7" customFormat="1" ht="15" customHeight="1">
      <c r="A207" s="1"/>
      <c r="B207" s="12"/>
      <c r="C207" s="6" t="s">
        <v>1366</v>
      </c>
      <c r="D207" s="15" t="s">
        <v>909</v>
      </c>
      <c r="E207" s="24" t="s">
        <v>1358</v>
      </c>
      <c r="F207" s="44" t="s">
        <v>1034</v>
      </c>
      <c r="G207" s="260" t="s">
        <v>1359</v>
      </c>
      <c r="H207" s="261">
        <v>25</v>
      </c>
      <c r="I207" s="261">
        <v>25</v>
      </c>
      <c r="J207" s="261">
        <v>25</v>
      </c>
      <c r="K207" s="46">
        <v>0.37</v>
      </c>
      <c r="L207" s="39">
        <v>44236</v>
      </c>
      <c r="M207" s="39"/>
      <c r="N207" s="213">
        <v>44236</v>
      </c>
      <c r="O207" s="38">
        <v>2890</v>
      </c>
      <c r="P207" s="46">
        <f t="shared" si="5"/>
        <v>0.3</v>
      </c>
      <c r="Q207" s="483">
        <v>0.3</v>
      </c>
      <c r="S207" s="489">
        <v>19.8</v>
      </c>
      <c r="T207" s="113"/>
      <c r="U207" s="507"/>
      <c r="V207" s="494"/>
    </row>
    <row r="208" spans="1:22" s="356" customFormat="1" ht="15">
      <c r="A208" s="1"/>
      <c r="B208" s="544"/>
      <c r="C208" s="178" t="s">
        <v>1363</v>
      </c>
      <c r="D208" s="353" t="s">
        <v>909</v>
      </c>
      <c r="E208" s="164" t="s">
        <v>1358</v>
      </c>
      <c r="F208" s="209" t="s">
        <v>1030</v>
      </c>
      <c r="G208" s="354" t="s">
        <v>1359</v>
      </c>
      <c r="H208" s="355">
        <v>144</v>
      </c>
      <c r="I208" s="355">
        <v>144</v>
      </c>
      <c r="J208" s="355">
        <v>144</v>
      </c>
      <c r="K208" s="328">
        <v>0.32</v>
      </c>
      <c r="L208" s="39">
        <v>44236</v>
      </c>
      <c r="M208" s="39"/>
      <c r="N208" s="213">
        <v>44236</v>
      </c>
      <c r="O208" s="38">
        <v>2890</v>
      </c>
      <c r="P208" s="328">
        <f t="shared" si="5"/>
        <v>0.26</v>
      </c>
      <c r="Q208" s="486">
        <v>0.26</v>
      </c>
      <c r="S208" s="498">
        <v>17.100000000000001</v>
      </c>
      <c r="T208" s="568">
        <f>S208*J208</f>
        <v>2462.4</v>
      </c>
      <c r="U208" s="519"/>
      <c r="V208" s="551"/>
    </row>
    <row r="209" spans="1:22" s="356" customFormat="1" ht="15" customHeight="1">
      <c r="A209" s="1"/>
      <c r="B209" s="544"/>
      <c r="C209" s="178" t="s">
        <v>1363</v>
      </c>
      <c r="D209" s="353" t="s">
        <v>909</v>
      </c>
      <c r="E209" s="164" t="s">
        <v>1358</v>
      </c>
      <c r="F209" s="209" t="s">
        <v>1032</v>
      </c>
      <c r="G209" s="354" t="s">
        <v>1359</v>
      </c>
      <c r="H209" s="355">
        <v>252</v>
      </c>
      <c r="I209" s="355">
        <v>252</v>
      </c>
      <c r="J209" s="355">
        <v>252</v>
      </c>
      <c r="K209" s="328">
        <v>0.34</v>
      </c>
      <c r="L209" s="39">
        <v>44236</v>
      </c>
      <c r="M209" s="39"/>
      <c r="N209" s="213">
        <v>44236</v>
      </c>
      <c r="O209" s="38">
        <v>2890</v>
      </c>
      <c r="P209" s="328">
        <f t="shared" si="5"/>
        <v>0.27</v>
      </c>
      <c r="Q209" s="486">
        <v>0.27</v>
      </c>
      <c r="S209" s="498">
        <v>18.2</v>
      </c>
      <c r="T209" s="568">
        <f>S209*J209</f>
        <v>4586.3999999999996</v>
      </c>
      <c r="U209" s="519"/>
      <c r="V209" s="551"/>
    </row>
    <row r="210" spans="1:22" s="356" customFormat="1" ht="15">
      <c r="A210" s="1"/>
      <c r="B210" s="544"/>
      <c r="C210" s="178" t="s">
        <v>1363</v>
      </c>
      <c r="D210" s="353" t="s">
        <v>909</v>
      </c>
      <c r="E210" s="164" t="s">
        <v>1358</v>
      </c>
      <c r="F210" s="209" t="s">
        <v>1033</v>
      </c>
      <c r="G210" s="354" t="s">
        <v>1359</v>
      </c>
      <c r="H210" s="355">
        <v>100</v>
      </c>
      <c r="I210" s="355">
        <v>100</v>
      </c>
      <c r="J210" s="355">
        <v>100</v>
      </c>
      <c r="K210" s="328">
        <v>0.36</v>
      </c>
      <c r="L210" s="39">
        <v>44236</v>
      </c>
      <c r="M210" s="39"/>
      <c r="N210" s="213">
        <v>44236</v>
      </c>
      <c r="O210" s="38">
        <v>2890</v>
      </c>
      <c r="P210" s="328">
        <f t="shared" si="5"/>
        <v>0.29000000000000004</v>
      </c>
      <c r="Q210" s="486">
        <v>0.28999999999999998</v>
      </c>
      <c r="S210" s="498">
        <v>19</v>
      </c>
      <c r="T210" s="568">
        <f>S210*J210</f>
        <v>1900</v>
      </c>
      <c r="U210" s="519"/>
      <c r="V210" s="551"/>
    </row>
    <row r="211" spans="1:22" s="356" customFormat="1" ht="15" customHeight="1">
      <c r="A211" s="1"/>
      <c r="B211" s="544"/>
      <c r="C211" s="178" t="s">
        <v>1363</v>
      </c>
      <c r="D211" s="353" t="s">
        <v>909</v>
      </c>
      <c r="E211" s="164" t="s">
        <v>1358</v>
      </c>
      <c r="F211" s="209" t="s">
        <v>1034</v>
      </c>
      <c r="G211" s="354" t="s">
        <v>1359</v>
      </c>
      <c r="H211" s="355">
        <v>100</v>
      </c>
      <c r="I211" s="355">
        <v>100</v>
      </c>
      <c r="J211" s="355">
        <v>100</v>
      </c>
      <c r="K211" s="328">
        <v>0.37</v>
      </c>
      <c r="L211" s="39">
        <v>44236</v>
      </c>
      <c r="M211" s="39"/>
      <c r="N211" s="213">
        <v>44236</v>
      </c>
      <c r="O211" s="38">
        <v>2890</v>
      </c>
      <c r="P211" s="328">
        <f t="shared" si="5"/>
        <v>0.3</v>
      </c>
      <c r="Q211" s="486">
        <v>0.3</v>
      </c>
      <c r="S211" s="498">
        <v>19.8</v>
      </c>
      <c r="T211" s="568">
        <f>S211*J211</f>
        <v>1980</v>
      </c>
      <c r="U211" s="519"/>
      <c r="V211" s="551"/>
    </row>
    <row r="212" spans="1:22" s="301" customFormat="1" ht="15.95" customHeight="1">
      <c r="A212" s="1"/>
      <c r="B212" s="542"/>
      <c r="C212" s="178" t="s">
        <v>1363</v>
      </c>
      <c r="D212" s="353" t="s">
        <v>909</v>
      </c>
      <c r="E212" s="164"/>
      <c r="F212" s="357"/>
      <c r="G212" s="164" t="s">
        <v>481</v>
      </c>
      <c r="H212" s="276"/>
      <c r="I212" s="359"/>
      <c r="J212" s="358">
        <v>1</v>
      </c>
      <c r="K212" s="328">
        <v>12</v>
      </c>
      <c r="L212" s="39">
        <v>44236</v>
      </c>
      <c r="M212" s="39"/>
      <c r="N212" s="213">
        <v>44236</v>
      </c>
      <c r="O212" s="38">
        <v>2890</v>
      </c>
      <c r="P212" s="436"/>
      <c r="Q212" s="486">
        <v>12</v>
      </c>
      <c r="S212" s="498">
        <v>1100</v>
      </c>
      <c r="T212" s="568">
        <f>S212*J212</f>
        <v>1100</v>
      </c>
      <c r="U212" s="520"/>
      <c r="V212" s="548"/>
    </row>
    <row r="213" spans="1:22" s="314" customFormat="1" ht="15" customHeight="1">
      <c r="A213" s="1"/>
      <c r="B213" s="313"/>
      <c r="C213" s="302" t="s">
        <v>1363</v>
      </c>
      <c r="D213" s="303" t="s">
        <v>909</v>
      </c>
      <c r="E213" s="304"/>
      <c r="F213" s="305"/>
      <c r="G213" s="305" t="s">
        <v>1227</v>
      </c>
      <c r="H213" s="307" t="s">
        <v>1228</v>
      </c>
      <c r="I213" s="308"/>
      <c r="J213" s="306"/>
      <c r="K213" s="315">
        <v>0</v>
      </c>
      <c r="L213" s="310">
        <v>44236</v>
      </c>
      <c r="M213" s="310"/>
      <c r="N213" s="311">
        <v>44236</v>
      </c>
      <c r="O213" s="309">
        <v>2890</v>
      </c>
      <c r="P213" s="302"/>
      <c r="Q213" s="485">
        <v>0</v>
      </c>
      <c r="S213" s="535">
        <v>0</v>
      </c>
      <c r="T213" s="322">
        <v>0</v>
      </c>
      <c r="U213" s="515"/>
      <c r="V213" s="549"/>
    </row>
    <row r="214" spans="1:22" s="7" customFormat="1" ht="18" customHeight="1">
      <c r="A214" s="1"/>
      <c r="B214" s="12"/>
      <c r="C214" s="6" t="s">
        <v>1354</v>
      </c>
      <c r="D214" s="15" t="s">
        <v>1214</v>
      </c>
      <c r="E214" s="20" t="s">
        <v>1003</v>
      </c>
      <c r="F214" s="24"/>
      <c r="G214" s="44"/>
      <c r="H214" s="151"/>
      <c r="I214" s="151"/>
      <c r="J214" s="151"/>
      <c r="K214" s="153" t="s">
        <v>10</v>
      </c>
      <c r="L214" s="39">
        <v>44257</v>
      </c>
      <c r="M214" s="39"/>
      <c r="N214" s="213">
        <v>44257</v>
      </c>
      <c r="O214" s="38">
        <v>2933</v>
      </c>
      <c r="P214" s="6"/>
      <c r="Q214" s="411"/>
      <c r="S214" s="489"/>
      <c r="T214" s="113"/>
      <c r="U214" s="501"/>
      <c r="V214" s="494"/>
    </row>
    <row r="215" spans="1:22" s="7" customFormat="1" ht="15.95" customHeight="1">
      <c r="A215" s="1"/>
      <c r="B215" s="12"/>
      <c r="C215" s="6" t="s">
        <v>1354</v>
      </c>
      <c r="D215" s="15" t="s">
        <v>1214</v>
      </c>
      <c r="E215" s="24" t="s">
        <v>1355</v>
      </c>
      <c r="F215" s="44"/>
      <c r="G215" s="44" t="s">
        <v>167</v>
      </c>
      <c r="H215" s="8">
        <v>14</v>
      </c>
      <c r="I215" s="41">
        <v>32</v>
      </c>
      <c r="J215" s="8">
        <f>H215*I215</f>
        <v>448</v>
      </c>
      <c r="K215" s="46">
        <v>2.71</v>
      </c>
      <c r="L215" s="39">
        <v>44257</v>
      </c>
      <c r="M215" s="39"/>
      <c r="N215" s="213">
        <v>44257</v>
      </c>
      <c r="O215" s="38">
        <v>2933</v>
      </c>
      <c r="P215" s="6"/>
      <c r="Q215" s="483">
        <v>2.17</v>
      </c>
      <c r="S215" s="489">
        <v>116</v>
      </c>
      <c r="T215" s="567">
        <f>S215*J215</f>
        <v>51968</v>
      </c>
      <c r="U215" s="517" t="s">
        <v>1332</v>
      </c>
      <c r="V215" s="494"/>
    </row>
    <row r="216" spans="1:22" s="7" customFormat="1" ht="15.95" customHeight="1">
      <c r="A216" s="1"/>
      <c r="B216" s="12"/>
      <c r="C216" s="6" t="s">
        <v>1354</v>
      </c>
      <c r="D216" s="15" t="s">
        <v>1214</v>
      </c>
      <c r="E216" s="24" t="s">
        <v>1356</v>
      </c>
      <c r="F216" s="44"/>
      <c r="G216" s="44" t="s">
        <v>167</v>
      </c>
      <c r="H216" s="8">
        <v>14</v>
      </c>
      <c r="I216" s="41">
        <v>49</v>
      </c>
      <c r="J216" s="8">
        <f>H216*I216</f>
        <v>686</v>
      </c>
      <c r="K216" s="46">
        <v>2.77</v>
      </c>
      <c r="L216" s="39">
        <v>44257</v>
      </c>
      <c r="M216" s="39"/>
      <c r="N216" s="213">
        <v>44257</v>
      </c>
      <c r="O216" s="38">
        <v>2933</v>
      </c>
      <c r="P216" s="6"/>
      <c r="Q216" s="483">
        <v>2.21</v>
      </c>
      <c r="S216" s="489">
        <v>119</v>
      </c>
      <c r="T216" s="567">
        <f>S216*J216</f>
        <v>81634</v>
      </c>
      <c r="U216" s="517" t="s">
        <v>1331</v>
      </c>
      <c r="V216" s="494"/>
    </row>
    <row r="217" spans="1:22" s="314" customFormat="1" ht="15" customHeight="1">
      <c r="A217" s="1"/>
      <c r="B217" s="313"/>
      <c r="C217" s="302" t="s">
        <v>1354</v>
      </c>
      <c r="D217" s="303" t="s">
        <v>1214</v>
      </c>
      <c r="E217" s="304"/>
      <c r="F217" s="305"/>
      <c r="G217" s="305" t="s">
        <v>1227</v>
      </c>
      <c r="H217" s="307" t="s">
        <v>1228</v>
      </c>
      <c r="I217" s="308"/>
      <c r="J217" s="306"/>
      <c r="K217" s="315">
        <v>0</v>
      </c>
      <c r="L217" s="310">
        <v>44257</v>
      </c>
      <c r="M217" s="310"/>
      <c r="N217" s="311">
        <v>44257</v>
      </c>
      <c r="O217" s="309">
        <v>2933</v>
      </c>
      <c r="P217" s="302"/>
      <c r="Q217" s="485">
        <v>0</v>
      </c>
      <c r="S217" s="536">
        <v>0</v>
      </c>
      <c r="T217" s="322">
        <v>0</v>
      </c>
      <c r="U217" s="515"/>
      <c r="V217" s="549"/>
    </row>
    <row r="218" spans="1:22" s="7" customFormat="1" ht="15" customHeight="1">
      <c r="A218" s="1"/>
      <c r="B218" s="12"/>
      <c r="C218" s="6" t="s">
        <v>1357</v>
      </c>
      <c r="D218" s="15" t="s">
        <v>500</v>
      </c>
      <c r="E218" s="20" t="s">
        <v>503</v>
      </c>
      <c r="F218" s="26"/>
      <c r="G218" s="24"/>
      <c r="H218" s="67"/>
      <c r="I218" s="68"/>
      <c r="J218" s="67"/>
      <c r="K218" s="17" t="s">
        <v>134</v>
      </c>
      <c r="L218" s="39">
        <v>44231</v>
      </c>
      <c r="M218" s="39"/>
      <c r="N218" s="213">
        <v>44231</v>
      </c>
      <c r="O218" s="38">
        <v>2878</v>
      </c>
      <c r="P218" s="179" t="s">
        <v>23</v>
      </c>
      <c r="Q218" s="435"/>
      <c r="S218" s="489"/>
      <c r="T218" s="113"/>
      <c r="U218" s="510"/>
      <c r="V218" s="494"/>
    </row>
    <row r="219" spans="1:22" s="7" customFormat="1" ht="18" customHeight="1">
      <c r="A219" s="1"/>
      <c r="B219" s="12"/>
      <c r="C219" s="6" t="s">
        <v>1357</v>
      </c>
      <c r="D219" s="15" t="s">
        <v>500</v>
      </c>
      <c r="E219" s="24">
        <v>5356</v>
      </c>
      <c r="F219" s="26">
        <v>3</v>
      </c>
      <c r="G219" s="24" t="s">
        <v>29</v>
      </c>
      <c r="H219" s="67">
        <v>30</v>
      </c>
      <c r="I219" s="68">
        <v>5</v>
      </c>
      <c r="J219" s="67">
        <f>H219*I219</f>
        <v>150</v>
      </c>
      <c r="K219" s="46">
        <v>0.56000000000000005</v>
      </c>
      <c r="L219" s="39">
        <v>44231</v>
      </c>
      <c r="M219" s="39"/>
      <c r="N219" s="213">
        <v>44231</v>
      </c>
      <c r="O219" s="38">
        <v>2878</v>
      </c>
      <c r="P219" s="179"/>
      <c r="Q219" s="180">
        <v>0.45</v>
      </c>
      <c r="S219" s="489">
        <v>30</v>
      </c>
      <c r="T219" s="567">
        <f>S219*J219</f>
        <v>4500</v>
      </c>
      <c r="U219" s="511"/>
      <c r="V219" s="494"/>
    </row>
    <row r="220" spans="1:22" ht="15.95" customHeight="1">
      <c r="C220" s="6" t="s">
        <v>1357</v>
      </c>
      <c r="D220" s="15" t="s">
        <v>500</v>
      </c>
      <c r="E220" s="24"/>
      <c r="F220" s="138"/>
      <c r="G220" s="24" t="s">
        <v>481</v>
      </c>
      <c r="H220" s="8"/>
      <c r="I220" s="41"/>
      <c r="J220" s="45">
        <v>1</v>
      </c>
      <c r="K220" s="46">
        <v>12</v>
      </c>
      <c r="L220" s="39">
        <v>44231</v>
      </c>
      <c r="M220" s="39"/>
      <c r="N220" s="213">
        <v>44231</v>
      </c>
      <c r="O220" s="38">
        <v>2878</v>
      </c>
      <c r="P220" s="179"/>
      <c r="Q220" s="180">
        <v>12</v>
      </c>
      <c r="S220" s="498">
        <v>900</v>
      </c>
      <c r="T220" s="568">
        <f>S220*J220</f>
        <v>900</v>
      </c>
      <c r="U220" s="511"/>
    </row>
    <row r="221" spans="1:22" s="314" customFormat="1" ht="15">
      <c r="A221" s="1"/>
      <c r="B221" s="313"/>
      <c r="C221" s="302" t="s">
        <v>1357</v>
      </c>
      <c r="D221" s="303" t="s">
        <v>500</v>
      </c>
      <c r="E221" s="304"/>
      <c r="F221" s="305"/>
      <c r="G221" s="305" t="s">
        <v>1227</v>
      </c>
      <c r="H221" s="307" t="s">
        <v>1228</v>
      </c>
      <c r="I221" s="308"/>
      <c r="J221" s="306"/>
      <c r="K221" s="315">
        <v>0</v>
      </c>
      <c r="L221" s="310">
        <v>44231</v>
      </c>
      <c r="M221" s="310"/>
      <c r="N221" s="311">
        <v>44231</v>
      </c>
      <c r="O221" s="309">
        <v>2878</v>
      </c>
      <c r="P221" s="302"/>
      <c r="Q221" s="485">
        <v>0</v>
      </c>
      <c r="S221" s="536">
        <v>0</v>
      </c>
      <c r="T221" s="322">
        <v>0</v>
      </c>
      <c r="U221" s="515"/>
      <c r="V221" s="549"/>
    </row>
    <row r="222" spans="1:22" s="7" customFormat="1" ht="15">
      <c r="A222" s="1"/>
      <c r="B222" s="12"/>
      <c r="C222" s="6" t="s">
        <v>1368</v>
      </c>
      <c r="D222" s="15" t="s">
        <v>909</v>
      </c>
      <c r="E222" s="20" t="s">
        <v>1381</v>
      </c>
      <c r="F222" s="44"/>
      <c r="G222" s="44"/>
      <c r="H222" s="151"/>
      <c r="I222" s="151"/>
      <c r="J222" s="151"/>
      <c r="K222" s="34" t="s">
        <v>1027</v>
      </c>
      <c r="L222" s="39">
        <v>44243</v>
      </c>
      <c r="M222" s="39"/>
      <c r="N222" s="213">
        <v>44243</v>
      </c>
      <c r="O222" s="38">
        <v>2896</v>
      </c>
      <c r="P222" s="6"/>
      <c r="Q222" s="524"/>
      <c r="S222" s="489"/>
      <c r="T222" s="113"/>
      <c r="U222" s="501"/>
      <c r="V222" s="494"/>
    </row>
    <row r="223" spans="1:22" s="7" customFormat="1" ht="15">
      <c r="A223" s="1"/>
      <c r="B223" s="12"/>
      <c r="C223" s="6" t="s">
        <v>1368</v>
      </c>
      <c r="D223" s="15" t="s">
        <v>909</v>
      </c>
      <c r="E223" s="24" t="s">
        <v>1358</v>
      </c>
      <c r="F223" s="44" t="s">
        <v>1030</v>
      </c>
      <c r="G223" s="260" t="s">
        <v>1359</v>
      </c>
      <c r="H223" s="261">
        <v>134</v>
      </c>
      <c r="I223" s="261">
        <v>134</v>
      </c>
      <c r="J223" s="261">
        <v>134</v>
      </c>
      <c r="K223" s="46">
        <v>0.32</v>
      </c>
      <c r="L223" s="39">
        <v>44243</v>
      </c>
      <c r="M223" s="39"/>
      <c r="N223" s="213">
        <v>44243</v>
      </c>
      <c r="O223" s="38">
        <v>2896</v>
      </c>
      <c r="P223" s="46">
        <v>0.26</v>
      </c>
      <c r="Q223" s="483">
        <v>0.26</v>
      </c>
      <c r="S223" s="489">
        <v>17.100000000000001</v>
      </c>
      <c r="T223" s="567">
        <f>S223*J223</f>
        <v>2291.4</v>
      </c>
      <c r="U223" s="507"/>
      <c r="V223" s="494"/>
    </row>
    <row r="224" spans="1:22" s="7" customFormat="1" ht="15" customHeight="1">
      <c r="A224" s="1"/>
      <c r="B224" s="12"/>
      <c r="C224" s="6" t="s">
        <v>1368</v>
      </c>
      <c r="D224" s="15" t="s">
        <v>909</v>
      </c>
      <c r="E224" s="24" t="s">
        <v>1358</v>
      </c>
      <c r="F224" s="44" t="s">
        <v>1032</v>
      </c>
      <c r="G224" s="260" t="s">
        <v>1359</v>
      </c>
      <c r="H224" s="261">
        <v>228</v>
      </c>
      <c r="I224" s="261">
        <v>228</v>
      </c>
      <c r="J224" s="261">
        <v>228</v>
      </c>
      <c r="K224" s="46">
        <v>0.34</v>
      </c>
      <c r="L224" s="39">
        <v>44243</v>
      </c>
      <c r="M224" s="39"/>
      <c r="N224" s="213">
        <v>44243</v>
      </c>
      <c r="O224" s="38">
        <v>2896</v>
      </c>
      <c r="P224" s="46">
        <v>0.27</v>
      </c>
      <c r="Q224" s="483">
        <v>0.27</v>
      </c>
      <c r="S224" s="489">
        <v>18.2</v>
      </c>
      <c r="T224" s="567">
        <f>S224*J224</f>
        <v>4149.5999999999995</v>
      </c>
      <c r="U224" s="507"/>
      <c r="V224" s="494"/>
    </row>
    <row r="225" spans="1:22" s="7" customFormat="1" ht="15" customHeight="1">
      <c r="A225" s="1"/>
      <c r="B225" s="12"/>
      <c r="C225" s="6" t="s">
        <v>1368</v>
      </c>
      <c r="D225" s="15" t="s">
        <v>909</v>
      </c>
      <c r="E225" s="24" t="s">
        <v>1358</v>
      </c>
      <c r="F225" s="44" t="s">
        <v>1033</v>
      </c>
      <c r="G225" s="260" t="s">
        <v>1359</v>
      </c>
      <c r="H225" s="261">
        <v>100</v>
      </c>
      <c r="I225" s="261">
        <v>100</v>
      </c>
      <c r="J225" s="261">
        <v>100</v>
      </c>
      <c r="K225" s="46">
        <v>0.36</v>
      </c>
      <c r="L225" s="39">
        <v>44243</v>
      </c>
      <c r="M225" s="39"/>
      <c r="N225" s="213">
        <v>44243</v>
      </c>
      <c r="O225" s="38">
        <v>2896</v>
      </c>
      <c r="P225" s="46">
        <v>0.29000000000000004</v>
      </c>
      <c r="Q225" s="483">
        <v>0.28999999999999998</v>
      </c>
      <c r="S225" s="489">
        <v>19</v>
      </c>
      <c r="T225" s="567">
        <f>S225*J225</f>
        <v>1900</v>
      </c>
      <c r="U225" s="507"/>
      <c r="V225" s="494"/>
    </row>
    <row r="226" spans="1:22" s="7" customFormat="1" ht="15">
      <c r="A226" s="1"/>
      <c r="B226" s="12"/>
      <c r="C226" s="6" t="s">
        <v>1368</v>
      </c>
      <c r="D226" s="15" t="s">
        <v>909</v>
      </c>
      <c r="E226" s="24" t="s">
        <v>1358</v>
      </c>
      <c r="F226" s="44" t="s">
        <v>1034</v>
      </c>
      <c r="G226" s="260" t="s">
        <v>1359</v>
      </c>
      <c r="H226" s="261">
        <v>100</v>
      </c>
      <c r="I226" s="261">
        <v>100</v>
      </c>
      <c r="J226" s="261">
        <v>100</v>
      </c>
      <c r="K226" s="46">
        <v>0.37</v>
      </c>
      <c r="L226" s="39">
        <v>44243</v>
      </c>
      <c r="M226" s="39"/>
      <c r="N226" s="213">
        <v>44243</v>
      </c>
      <c r="O226" s="38">
        <v>2896</v>
      </c>
      <c r="P226" s="46">
        <v>0.3</v>
      </c>
      <c r="Q226" s="483">
        <v>0.3</v>
      </c>
      <c r="S226" s="489">
        <v>19.8</v>
      </c>
      <c r="T226" s="567">
        <f>S226*J226</f>
        <v>1980</v>
      </c>
      <c r="U226" s="507"/>
      <c r="V226" s="494"/>
    </row>
    <row r="227" spans="1:22" ht="15.95" customHeight="1">
      <c r="C227" s="6" t="s">
        <v>1368</v>
      </c>
      <c r="D227" s="15" t="s">
        <v>909</v>
      </c>
      <c r="E227" s="56"/>
      <c r="F227" s="138"/>
      <c r="G227" s="24" t="s">
        <v>481</v>
      </c>
      <c r="H227" s="8"/>
      <c r="I227" s="41"/>
      <c r="J227" s="45">
        <v>1</v>
      </c>
      <c r="K227" s="46">
        <v>12</v>
      </c>
      <c r="L227" s="39">
        <v>44243</v>
      </c>
      <c r="M227" s="39"/>
      <c r="N227" s="213">
        <v>44243</v>
      </c>
      <c r="O227" s="38">
        <v>2896</v>
      </c>
      <c r="P227" s="179"/>
      <c r="Q227" s="483">
        <v>12</v>
      </c>
      <c r="S227" s="489">
        <v>1100</v>
      </c>
      <c r="T227" s="567">
        <f>S227*J227</f>
        <v>1100</v>
      </c>
      <c r="U227" s="511"/>
    </row>
    <row r="228" spans="1:22" s="314" customFormat="1" ht="15" customHeight="1">
      <c r="A228" s="1"/>
      <c r="B228" s="313"/>
      <c r="C228" s="302" t="s">
        <v>1368</v>
      </c>
      <c r="D228" s="303" t="s">
        <v>909</v>
      </c>
      <c r="E228" s="304"/>
      <c r="F228" s="305"/>
      <c r="G228" s="305" t="s">
        <v>1227</v>
      </c>
      <c r="H228" s="307" t="s">
        <v>1228</v>
      </c>
      <c r="I228" s="308"/>
      <c r="J228" s="306"/>
      <c r="K228" s="315">
        <v>0</v>
      </c>
      <c r="L228" s="310">
        <v>44243</v>
      </c>
      <c r="M228" s="310"/>
      <c r="N228" s="311">
        <v>44243</v>
      </c>
      <c r="O228" s="309">
        <v>2896</v>
      </c>
      <c r="P228" s="302"/>
      <c r="Q228" s="485">
        <v>0</v>
      </c>
      <c r="S228" s="535">
        <v>0</v>
      </c>
      <c r="T228" s="322">
        <v>0</v>
      </c>
      <c r="U228" s="515"/>
      <c r="V228" s="549"/>
    </row>
    <row r="229" spans="1:22" s="7" customFormat="1" ht="15" customHeight="1">
      <c r="A229" s="1"/>
      <c r="B229" s="12"/>
      <c r="C229" s="6" t="s">
        <v>1367</v>
      </c>
      <c r="D229" s="15" t="s">
        <v>909</v>
      </c>
      <c r="E229" s="20" t="s">
        <v>1381</v>
      </c>
      <c r="F229" s="44"/>
      <c r="G229" s="44"/>
      <c r="H229" s="151"/>
      <c r="I229" s="151"/>
      <c r="J229" s="151"/>
      <c r="K229" s="34" t="s">
        <v>1027</v>
      </c>
      <c r="L229" s="39">
        <v>44236</v>
      </c>
      <c r="M229" s="39"/>
      <c r="N229" s="213">
        <v>44236</v>
      </c>
      <c r="O229" s="38">
        <v>2890</v>
      </c>
      <c r="P229" s="6"/>
      <c r="Q229" s="524"/>
      <c r="S229" s="489"/>
      <c r="T229" s="113"/>
      <c r="U229" s="501"/>
      <c r="V229" s="494"/>
    </row>
    <row r="230" spans="1:22" s="7" customFormat="1" ht="15" customHeight="1">
      <c r="A230" s="1"/>
      <c r="B230" s="12"/>
      <c r="C230" s="6" t="s">
        <v>1367</v>
      </c>
      <c r="D230" s="15" t="s">
        <v>909</v>
      </c>
      <c r="E230" s="24" t="s">
        <v>1358</v>
      </c>
      <c r="F230" s="44" t="s">
        <v>1030</v>
      </c>
      <c r="G230" s="260" t="s">
        <v>1364</v>
      </c>
      <c r="H230" s="261">
        <v>110</v>
      </c>
      <c r="I230" s="261">
        <v>110</v>
      </c>
      <c r="J230" s="261">
        <v>110</v>
      </c>
      <c r="K230" s="46">
        <v>0.32</v>
      </c>
      <c r="L230" s="39">
        <v>44236</v>
      </c>
      <c r="M230" s="39"/>
      <c r="N230" s="213">
        <v>44236</v>
      </c>
      <c r="O230" s="38">
        <v>2890</v>
      </c>
      <c r="P230" s="46">
        <v>0.26</v>
      </c>
      <c r="Q230" s="483">
        <v>0.26</v>
      </c>
      <c r="S230" s="489">
        <v>17.100000000000001</v>
      </c>
      <c r="T230" s="567">
        <f>S230*J230</f>
        <v>1881.0000000000002</v>
      </c>
      <c r="U230" s="507"/>
      <c r="V230" s="494"/>
    </row>
    <row r="231" spans="1:22" s="7" customFormat="1" ht="15" customHeight="1">
      <c r="A231" s="1"/>
      <c r="B231" s="12"/>
      <c r="C231" s="6" t="s">
        <v>1367</v>
      </c>
      <c r="D231" s="15" t="s">
        <v>909</v>
      </c>
      <c r="E231" s="24" t="s">
        <v>1358</v>
      </c>
      <c r="F231" s="44" t="s">
        <v>1032</v>
      </c>
      <c r="G231" s="260" t="s">
        <v>1364</v>
      </c>
      <c r="H231" s="261">
        <v>115</v>
      </c>
      <c r="I231" s="261">
        <v>115</v>
      </c>
      <c r="J231" s="261">
        <v>115</v>
      </c>
      <c r="K231" s="46">
        <v>0.34</v>
      </c>
      <c r="L231" s="39">
        <v>44236</v>
      </c>
      <c r="M231" s="39"/>
      <c r="N231" s="213">
        <v>44236</v>
      </c>
      <c r="O231" s="38">
        <v>2890</v>
      </c>
      <c r="P231" s="46">
        <v>0.27</v>
      </c>
      <c r="Q231" s="483">
        <v>0.27</v>
      </c>
      <c r="S231" s="489">
        <v>18.2</v>
      </c>
      <c r="T231" s="567">
        <f>S231*J231</f>
        <v>2093</v>
      </c>
      <c r="U231" s="507"/>
      <c r="V231" s="494"/>
    </row>
    <row r="232" spans="1:22" s="7" customFormat="1" ht="15" customHeight="1">
      <c r="A232" s="1"/>
      <c r="B232" s="12"/>
      <c r="C232" s="6" t="s">
        <v>1367</v>
      </c>
      <c r="D232" s="15" t="s">
        <v>909</v>
      </c>
      <c r="E232" s="24" t="s">
        <v>1358</v>
      </c>
      <c r="F232" s="44" t="s">
        <v>1033</v>
      </c>
      <c r="G232" s="260" t="s">
        <v>1364</v>
      </c>
      <c r="H232" s="261">
        <v>100</v>
      </c>
      <c r="I232" s="261">
        <v>100</v>
      </c>
      <c r="J232" s="261">
        <v>100</v>
      </c>
      <c r="K232" s="46">
        <v>0.36</v>
      </c>
      <c r="L232" s="39">
        <v>44236</v>
      </c>
      <c r="M232" s="39"/>
      <c r="N232" s="213">
        <v>44236</v>
      </c>
      <c r="O232" s="38">
        <v>2890</v>
      </c>
      <c r="P232" s="46">
        <v>0.29000000000000004</v>
      </c>
      <c r="Q232" s="483">
        <v>0.28999999999999998</v>
      </c>
      <c r="S232" s="489">
        <v>19</v>
      </c>
      <c r="T232" s="567">
        <f>S232*J232</f>
        <v>1900</v>
      </c>
      <c r="U232" s="507"/>
      <c r="V232" s="494"/>
    </row>
    <row r="233" spans="1:22" s="7" customFormat="1" ht="15">
      <c r="A233" s="1"/>
      <c r="B233" s="12"/>
      <c r="C233" s="6" t="s">
        <v>1367</v>
      </c>
      <c r="D233" s="15" t="s">
        <v>909</v>
      </c>
      <c r="E233" s="24" t="s">
        <v>1358</v>
      </c>
      <c r="F233" s="44" t="s">
        <v>1034</v>
      </c>
      <c r="G233" s="260" t="s">
        <v>1364</v>
      </c>
      <c r="H233" s="261">
        <v>100</v>
      </c>
      <c r="I233" s="261">
        <v>100</v>
      </c>
      <c r="J233" s="261">
        <v>100</v>
      </c>
      <c r="K233" s="46">
        <v>0.37</v>
      </c>
      <c r="L233" s="39">
        <v>44236</v>
      </c>
      <c r="M233" s="39"/>
      <c r="N233" s="213">
        <v>44236</v>
      </c>
      <c r="O233" s="38">
        <v>2890</v>
      </c>
      <c r="P233" s="46">
        <v>0.3</v>
      </c>
      <c r="Q233" s="483">
        <v>0.3</v>
      </c>
      <c r="S233" s="489">
        <v>19.8</v>
      </c>
      <c r="T233" s="567">
        <f>S233*J233</f>
        <v>1980</v>
      </c>
      <c r="U233" s="507"/>
      <c r="V233" s="494"/>
    </row>
    <row r="234" spans="1:22" ht="15.95" customHeight="1">
      <c r="C234" s="6" t="s">
        <v>1367</v>
      </c>
      <c r="D234" s="15" t="s">
        <v>909</v>
      </c>
      <c r="E234" s="24"/>
      <c r="F234" s="138"/>
      <c r="G234" s="24" t="s">
        <v>481</v>
      </c>
      <c r="H234" s="8"/>
      <c r="I234" s="41"/>
      <c r="J234" s="45">
        <v>1</v>
      </c>
      <c r="K234" s="46">
        <v>12</v>
      </c>
      <c r="L234" s="39">
        <v>44236</v>
      </c>
      <c r="M234" s="39"/>
      <c r="N234" s="213">
        <v>44236</v>
      </c>
      <c r="O234" s="38">
        <v>2890</v>
      </c>
      <c r="P234" s="179"/>
      <c r="Q234" s="483">
        <v>12</v>
      </c>
      <c r="S234" s="489">
        <v>1100</v>
      </c>
      <c r="T234" s="567">
        <f>S234*J234</f>
        <v>1100</v>
      </c>
      <c r="U234" s="511"/>
    </row>
    <row r="235" spans="1:22" s="314" customFormat="1" ht="15" customHeight="1">
      <c r="A235" s="1"/>
      <c r="B235" s="313"/>
      <c r="C235" s="302" t="s">
        <v>1367</v>
      </c>
      <c r="D235" s="303" t="s">
        <v>909</v>
      </c>
      <c r="E235" s="304"/>
      <c r="F235" s="305"/>
      <c r="G235" s="305" t="s">
        <v>1227</v>
      </c>
      <c r="H235" s="307" t="s">
        <v>1228</v>
      </c>
      <c r="I235" s="308"/>
      <c r="J235" s="306"/>
      <c r="K235" s="315">
        <v>0</v>
      </c>
      <c r="L235" s="310">
        <v>44236</v>
      </c>
      <c r="M235" s="310"/>
      <c r="N235" s="311">
        <v>44236</v>
      </c>
      <c r="O235" s="309">
        <v>2890</v>
      </c>
      <c r="P235" s="302"/>
      <c r="Q235" s="485">
        <v>0</v>
      </c>
      <c r="S235" s="535">
        <v>0</v>
      </c>
      <c r="T235" s="322">
        <v>0</v>
      </c>
      <c r="U235" s="515"/>
      <c r="V235" s="549"/>
    </row>
    <row r="236" spans="1:22" s="7" customFormat="1" ht="15">
      <c r="A236" s="1"/>
      <c r="B236" s="12"/>
      <c r="C236" s="6" t="s">
        <v>1379</v>
      </c>
      <c r="D236" s="15" t="s">
        <v>500</v>
      </c>
      <c r="E236" s="20" t="s">
        <v>503</v>
      </c>
      <c r="F236" s="26"/>
      <c r="G236" s="24"/>
      <c r="H236" s="67"/>
      <c r="I236" s="68"/>
      <c r="J236" s="67"/>
      <c r="K236" s="17" t="s">
        <v>134</v>
      </c>
      <c r="L236" s="39">
        <v>44242</v>
      </c>
      <c r="M236" s="39"/>
      <c r="N236" s="213">
        <v>44242</v>
      </c>
      <c r="O236" s="38">
        <v>2897</v>
      </c>
      <c r="P236" s="179" t="s">
        <v>23</v>
      </c>
      <c r="Q236" s="435"/>
      <c r="S236" s="489"/>
      <c r="T236" s="113"/>
      <c r="U236" s="510"/>
      <c r="V236" s="494"/>
    </row>
    <row r="237" spans="1:22" s="7" customFormat="1" ht="18" customHeight="1">
      <c r="A237" s="1"/>
      <c r="B237" s="12"/>
      <c r="C237" s="6" t="s">
        <v>1379</v>
      </c>
      <c r="D237" s="15" t="s">
        <v>500</v>
      </c>
      <c r="E237" s="24">
        <v>5356</v>
      </c>
      <c r="F237" s="26">
        <v>4</v>
      </c>
      <c r="G237" s="24" t="s">
        <v>100</v>
      </c>
      <c r="H237" s="67">
        <v>30</v>
      </c>
      <c r="I237" s="68">
        <v>4</v>
      </c>
      <c r="J237" s="67">
        <f>H237*I237</f>
        <v>120</v>
      </c>
      <c r="K237" s="46">
        <v>0.94</v>
      </c>
      <c r="L237" s="39">
        <v>44242</v>
      </c>
      <c r="M237" s="39"/>
      <c r="N237" s="213">
        <v>44242</v>
      </c>
      <c r="O237" s="38">
        <v>2897</v>
      </c>
      <c r="P237" s="46">
        <f>ROUNDUP(S237/0.75/90,2)</f>
        <v>0.75</v>
      </c>
      <c r="Q237" s="180">
        <v>0.75</v>
      </c>
      <c r="S237" s="489">
        <v>50</v>
      </c>
      <c r="T237" s="567">
        <f>S237*J237</f>
        <v>6000</v>
      </c>
      <c r="U237" s="511"/>
      <c r="V237" s="494"/>
    </row>
    <row r="238" spans="1:22" s="7" customFormat="1" ht="18" customHeight="1">
      <c r="A238" s="1"/>
      <c r="B238" s="12"/>
      <c r="C238" s="6" t="s">
        <v>1379</v>
      </c>
      <c r="D238" s="15" t="s">
        <v>500</v>
      </c>
      <c r="E238" s="24">
        <v>5356</v>
      </c>
      <c r="F238" s="26">
        <v>4</v>
      </c>
      <c r="G238" s="24" t="s">
        <v>1380</v>
      </c>
      <c r="H238" s="67">
        <v>30</v>
      </c>
      <c r="I238" s="68">
        <v>4</v>
      </c>
      <c r="J238" s="67">
        <f>H238*I238</f>
        <v>120</v>
      </c>
      <c r="K238" s="46">
        <v>0.94</v>
      </c>
      <c r="L238" s="39">
        <v>44242</v>
      </c>
      <c r="M238" s="39"/>
      <c r="N238" s="213">
        <v>44242</v>
      </c>
      <c r="O238" s="38">
        <v>2897</v>
      </c>
      <c r="P238" s="46">
        <f>ROUNDUP(S238/0.75/90,2)</f>
        <v>0.75</v>
      </c>
      <c r="Q238" s="180">
        <v>0.75</v>
      </c>
      <c r="S238" s="489">
        <v>50</v>
      </c>
      <c r="T238" s="567">
        <f>S238*J238</f>
        <v>6000</v>
      </c>
      <c r="U238" s="511"/>
      <c r="V238" s="494"/>
    </row>
    <row r="239" spans="1:22" ht="15.95" customHeight="1">
      <c r="C239" s="6" t="s">
        <v>1379</v>
      </c>
      <c r="D239" s="15" t="s">
        <v>500</v>
      </c>
      <c r="E239" s="24"/>
      <c r="F239" s="138"/>
      <c r="G239" s="24" t="s">
        <v>481</v>
      </c>
      <c r="H239" s="8"/>
      <c r="I239" s="41"/>
      <c r="J239" s="45">
        <v>1</v>
      </c>
      <c r="K239" s="46">
        <v>12</v>
      </c>
      <c r="L239" s="39">
        <v>44242</v>
      </c>
      <c r="M239" s="39"/>
      <c r="N239" s="213">
        <v>44242</v>
      </c>
      <c r="O239" s="38">
        <v>2897</v>
      </c>
      <c r="P239" s="179"/>
      <c r="Q239" s="180">
        <v>12</v>
      </c>
      <c r="S239" s="498">
        <v>0</v>
      </c>
      <c r="T239" s="568">
        <f>S239*J239</f>
        <v>0</v>
      </c>
      <c r="U239" s="511"/>
    </row>
    <row r="240" spans="1:22" s="314" customFormat="1" ht="15">
      <c r="A240" s="1"/>
      <c r="B240" s="313"/>
      <c r="C240" s="302" t="s">
        <v>1379</v>
      </c>
      <c r="D240" s="303" t="s">
        <v>500</v>
      </c>
      <c r="E240" s="304"/>
      <c r="F240" s="305"/>
      <c r="G240" s="305" t="s">
        <v>1227</v>
      </c>
      <c r="H240" s="307" t="s">
        <v>1228</v>
      </c>
      <c r="I240" s="308"/>
      <c r="J240" s="306"/>
      <c r="K240" s="315">
        <v>0</v>
      </c>
      <c r="L240" s="310">
        <v>44242</v>
      </c>
      <c r="M240" s="310"/>
      <c r="N240" s="311">
        <v>44242</v>
      </c>
      <c r="O240" s="309">
        <v>2897</v>
      </c>
      <c r="P240" s="302"/>
      <c r="Q240" s="485">
        <v>0</v>
      </c>
      <c r="S240" s="536">
        <v>0</v>
      </c>
      <c r="T240" s="322">
        <v>0</v>
      </c>
      <c r="U240" s="515"/>
      <c r="V240" s="549"/>
    </row>
    <row r="241" spans="1:22" s="7" customFormat="1" ht="15">
      <c r="A241" s="1"/>
      <c r="B241" s="12"/>
      <c r="C241" s="6" t="s">
        <v>1382</v>
      </c>
      <c r="D241" s="15" t="s">
        <v>909</v>
      </c>
      <c r="E241" s="20" t="s">
        <v>1381</v>
      </c>
      <c r="F241" s="44"/>
      <c r="G241" s="44"/>
      <c r="H241" s="151"/>
      <c r="I241" s="151"/>
      <c r="J241" s="151"/>
      <c r="K241" s="34" t="s">
        <v>1027</v>
      </c>
      <c r="L241" s="39">
        <v>44246</v>
      </c>
      <c r="M241" s="39"/>
      <c r="N241" s="213">
        <v>44246</v>
      </c>
      <c r="O241" s="38">
        <v>2913</v>
      </c>
      <c r="P241" s="6"/>
      <c r="Q241" s="524"/>
      <c r="S241" s="489"/>
      <c r="T241" s="113"/>
      <c r="U241" s="501"/>
      <c r="V241" s="494"/>
    </row>
    <row r="242" spans="1:22" s="7" customFormat="1" ht="15">
      <c r="A242" s="1"/>
      <c r="B242" s="12"/>
      <c r="C242" s="6" t="s">
        <v>1382</v>
      </c>
      <c r="D242" s="15" t="s">
        <v>909</v>
      </c>
      <c r="E242" s="24" t="s">
        <v>1358</v>
      </c>
      <c r="F242" s="44" t="s">
        <v>1030</v>
      </c>
      <c r="G242" s="260" t="s">
        <v>1383</v>
      </c>
      <c r="H242" s="261">
        <v>125</v>
      </c>
      <c r="I242" s="261">
        <v>125</v>
      </c>
      <c r="J242" s="261">
        <v>125</v>
      </c>
      <c r="K242" s="46">
        <v>0.32</v>
      </c>
      <c r="L242" s="39">
        <v>44246</v>
      </c>
      <c r="M242" s="39"/>
      <c r="N242" s="213">
        <v>44246</v>
      </c>
      <c r="O242" s="38">
        <v>2913</v>
      </c>
      <c r="P242" s="46">
        <v>0.26</v>
      </c>
      <c r="Q242" s="483">
        <v>0.26</v>
      </c>
      <c r="S242" s="489">
        <v>17.100000000000001</v>
      </c>
      <c r="T242" s="567">
        <f>S242*J242</f>
        <v>2137.5</v>
      </c>
      <c r="U242" s="507"/>
      <c r="V242" s="494"/>
    </row>
    <row r="243" spans="1:22" s="7" customFormat="1" ht="15">
      <c r="A243" s="1"/>
      <c r="B243" s="12"/>
      <c r="C243" s="6" t="s">
        <v>1382</v>
      </c>
      <c r="D243" s="15" t="s">
        <v>909</v>
      </c>
      <c r="E243" s="24" t="s">
        <v>1358</v>
      </c>
      <c r="F243" s="44" t="s">
        <v>1032</v>
      </c>
      <c r="G243" s="260" t="s">
        <v>1383</v>
      </c>
      <c r="H243" s="261">
        <v>240</v>
      </c>
      <c r="I243" s="261">
        <v>240</v>
      </c>
      <c r="J243" s="261">
        <v>240</v>
      </c>
      <c r="K243" s="46">
        <v>0.34</v>
      </c>
      <c r="L243" s="39">
        <v>44246</v>
      </c>
      <c r="M243" s="39"/>
      <c r="N243" s="213">
        <v>44246</v>
      </c>
      <c r="O243" s="38">
        <v>2913</v>
      </c>
      <c r="P243" s="46">
        <v>0.27</v>
      </c>
      <c r="Q243" s="483">
        <v>0.27</v>
      </c>
      <c r="S243" s="489">
        <v>18.2</v>
      </c>
      <c r="T243" s="567">
        <f>S243*J243</f>
        <v>4368</v>
      </c>
      <c r="U243" s="507"/>
      <c r="V243" s="494"/>
    </row>
    <row r="244" spans="1:22" s="7" customFormat="1" ht="15" customHeight="1">
      <c r="A244" s="1"/>
      <c r="B244" s="12"/>
      <c r="C244" s="6" t="s">
        <v>1382</v>
      </c>
      <c r="D244" s="15" t="s">
        <v>909</v>
      </c>
      <c r="E244" s="24" t="s">
        <v>1358</v>
      </c>
      <c r="F244" s="44" t="s">
        <v>1033</v>
      </c>
      <c r="G244" s="260" t="s">
        <v>1383</v>
      </c>
      <c r="H244" s="261">
        <v>100</v>
      </c>
      <c r="I244" s="261">
        <v>100</v>
      </c>
      <c r="J244" s="261">
        <v>100</v>
      </c>
      <c r="K244" s="46">
        <v>0.36</v>
      </c>
      <c r="L244" s="39">
        <v>44246</v>
      </c>
      <c r="M244" s="39"/>
      <c r="N244" s="213">
        <v>44246</v>
      </c>
      <c r="O244" s="38">
        <v>2913</v>
      </c>
      <c r="P244" s="46">
        <v>0.29000000000000004</v>
      </c>
      <c r="Q244" s="483">
        <v>0.28999999999999998</v>
      </c>
      <c r="S244" s="489">
        <v>19</v>
      </c>
      <c r="T244" s="567">
        <f>S244*J244</f>
        <v>1900</v>
      </c>
      <c r="U244" s="507"/>
      <c r="V244" s="494"/>
    </row>
    <row r="245" spans="1:22" s="7" customFormat="1" ht="15">
      <c r="A245" s="1"/>
      <c r="B245" s="12"/>
      <c r="C245" s="6" t="s">
        <v>1382</v>
      </c>
      <c r="D245" s="15" t="s">
        <v>909</v>
      </c>
      <c r="E245" s="24" t="s">
        <v>1358</v>
      </c>
      <c r="F245" s="44" t="s">
        <v>1034</v>
      </c>
      <c r="G245" s="260" t="s">
        <v>1383</v>
      </c>
      <c r="H245" s="261">
        <v>100</v>
      </c>
      <c r="I245" s="261">
        <v>100</v>
      </c>
      <c r="J245" s="261">
        <v>100</v>
      </c>
      <c r="K245" s="46">
        <v>0.37</v>
      </c>
      <c r="L245" s="39">
        <v>44246</v>
      </c>
      <c r="M245" s="39"/>
      <c r="N245" s="213">
        <v>44246</v>
      </c>
      <c r="O245" s="38">
        <v>2913</v>
      </c>
      <c r="P245" s="46">
        <v>0.3</v>
      </c>
      <c r="Q245" s="483">
        <v>0.3</v>
      </c>
      <c r="S245" s="489">
        <v>19.8</v>
      </c>
      <c r="T245" s="567">
        <f>S245*J245</f>
        <v>1980</v>
      </c>
      <c r="U245" s="507"/>
      <c r="V245" s="494"/>
    </row>
    <row r="246" spans="1:22" ht="15.95" customHeight="1">
      <c r="C246" s="6" t="s">
        <v>1382</v>
      </c>
      <c r="D246" s="15" t="s">
        <v>909</v>
      </c>
      <c r="E246" s="24"/>
      <c r="F246" s="138"/>
      <c r="G246" s="24" t="s">
        <v>481</v>
      </c>
      <c r="H246" s="8"/>
      <c r="I246" s="41"/>
      <c r="J246" s="45">
        <v>1</v>
      </c>
      <c r="K246" s="46">
        <v>12</v>
      </c>
      <c r="L246" s="39">
        <v>44246</v>
      </c>
      <c r="M246" s="39"/>
      <c r="N246" s="213">
        <v>44246</v>
      </c>
      <c r="O246" s="38">
        <v>2913</v>
      </c>
      <c r="P246" s="179"/>
      <c r="Q246" s="483">
        <v>12</v>
      </c>
      <c r="S246" s="489">
        <v>1100</v>
      </c>
      <c r="T246" s="567">
        <f>S246*J246</f>
        <v>1100</v>
      </c>
      <c r="U246" s="511"/>
    </row>
    <row r="247" spans="1:22" s="314" customFormat="1" ht="15">
      <c r="A247" s="1"/>
      <c r="B247" s="313"/>
      <c r="C247" s="302" t="s">
        <v>1382</v>
      </c>
      <c r="D247" s="303" t="s">
        <v>909</v>
      </c>
      <c r="E247" s="304"/>
      <c r="F247" s="305"/>
      <c r="G247" s="305" t="s">
        <v>1227</v>
      </c>
      <c r="H247" s="307" t="s">
        <v>1228</v>
      </c>
      <c r="I247" s="308"/>
      <c r="J247" s="306"/>
      <c r="K247" s="315">
        <v>0</v>
      </c>
      <c r="L247" s="310">
        <v>44246</v>
      </c>
      <c r="M247" s="310"/>
      <c r="N247" s="311">
        <v>44246</v>
      </c>
      <c r="O247" s="309">
        <v>2913</v>
      </c>
      <c r="P247" s="302"/>
      <c r="Q247" s="485">
        <v>0</v>
      </c>
      <c r="S247" s="535">
        <v>0</v>
      </c>
      <c r="T247" s="322">
        <v>0</v>
      </c>
      <c r="U247" s="515"/>
      <c r="V247" s="549"/>
    </row>
    <row r="248" spans="1:22" s="7" customFormat="1" ht="15">
      <c r="A248" s="1"/>
      <c r="B248" s="12"/>
      <c r="C248" s="6" t="s">
        <v>1384</v>
      </c>
      <c r="D248" s="15" t="s">
        <v>1056</v>
      </c>
      <c r="E248" s="20" t="s">
        <v>337</v>
      </c>
      <c r="F248" s="26"/>
      <c r="G248" s="24"/>
      <c r="H248" s="45"/>
      <c r="I248" s="68"/>
      <c r="J248" s="67"/>
      <c r="K248" s="17" t="s">
        <v>10</v>
      </c>
      <c r="L248" s="39">
        <v>44242</v>
      </c>
      <c r="M248" s="39"/>
      <c r="N248" s="213">
        <v>44242</v>
      </c>
      <c r="O248" s="38">
        <v>2901</v>
      </c>
      <c r="P248" s="6"/>
      <c r="Q248" s="482"/>
      <c r="S248" s="489"/>
      <c r="T248" s="113"/>
      <c r="U248" s="500"/>
      <c r="V248" s="494"/>
    </row>
    <row r="249" spans="1:22" s="7" customFormat="1" ht="15" customHeight="1">
      <c r="A249" s="1"/>
      <c r="B249" s="12"/>
      <c r="C249" s="6" t="s">
        <v>1384</v>
      </c>
      <c r="D249" s="15" t="s">
        <v>1056</v>
      </c>
      <c r="E249" s="24">
        <v>3705</v>
      </c>
      <c r="F249" s="26">
        <v>19</v>
      </c>
      <c r="G249" s="24" t="s">
        <v>1385</v>
      </c>
      <c r="H249" s="151">
        <v>30</v>
      </c>
      <c r="I249" s="152">
        <v>32</v>
      </c>
      <c r="J249" s="67">
        <f>H249*I249</f>
        <v>960</v>
      </c>
      <c r="K249" s="46">
        <v>0.47</v>
      </c>
      <c r="L249" s="39">
        <v>44242</v>
      </c>
      <c r="M249" s="39"/>
      <c r="N249" s="213">
        <v>44242</v>
      </c>
      <c r="O249" s="38">
        <v>2901</v>
      </c>
      <c r="P249" s="6"/>
      <c r="Q249" s="483">
        <v>0.37</v>
      </c>
      <c r="S249" s="489">
        <v>21.434000000000001</v>
      </c>
      <c r="T249" s="567">
        <f>S249*J249</f>
        <v>20576.64</v>
      </c>
      <c r="U249" s="500" t="s">
        <v>1292</v>
      </c>
      <c r="V249" s="494"/>
    </row>
    <row r="250" spans="1:22" ht="15.95" customHeight="1">
      <c r="C250" s="6" t="s">
        <v>1384</v>
      </c>
      <c r="D250" s="15" t="s">
        <v>1056</v>
      </c>
      <c r="E250" s="24"/>
      <c r="F250" s="138"/>
      <c r="G250" s="24" t="s">
        <v>481</v>
      </c>
      <c r="H250" s="8"/>
      <c r="I250" s="41"/>
      <c r="J250" s="45">
        <v>1</v>
      </c>
      <c r="K250" s="46">
        <v>12</v>
      </c>
      <c r="L250" s="39">
        <v>44242</v>
      </c>
      <c r="M250" s="39"/>
      <c r="N250" s="213">
        <v>44242</v>
      </c>
      <c r="O250" s="38">
        <v>2901</v>
      </c>
      <c r="P250" s="179"/>
      <c r="Q250" s="483">
        <v>12</v>
      </c>
      <c r="S250" s="489">
        <v>0</v>
      </c>
      <c r="T250" s="113">
        <v>0</v>
      </c>
      <c r="U250" s="511"/>
    </row>
    <row r="251" spans="1:22" s="314" customFormat="1" ht="15">
      <c r="A251" s="1"/>
      <c r="B251" s="313"/>
      <c r="C251" s="302" t="s">
        <v>1384</v>
      </c>
      <c r="D251" s="303" t="s">
        <v>1056</v>
      </c>
      <c r="E251" s="304"/>
      <c r="F251" s="305"/>
      <c r="G251" s="305" t="s">
        <v>1227</v>
      </c>
      <c r="H251" s="307" t="s">
        <v>1228</v>
      </c>
      <c r="I251" s="308"/>
      <c r="J251" s="306"/>
      <c r="K251" s="315">
        <v>0</v>
      </c>
      <c r="L251" s="310">
        <v>44242</v>
      </c>
      <c r="M251" s="310"/>
      <c r="N251" s="311">
        <v>44242</v>
      </c>
      <c r="O251" s="309">
        <v>2901</v>
      </c>
      <c r="P251" s="302"/>
      <c r="Q251" s="485">
        <v>0</v>
      </c>
      <c r="S251" s="535">
        <v>0</v>
      </c>
      <c r="T251" s="322">
        <v>0</v>
      </c>
      <c r="U251" s="515"/>
      <c r="V251" s="549"/>
    </row>
    <row r="252" spans="1:22" s="7" customFormat="1" ht="15">
      <c r="A252" s="1"/>
      <c r="B252" s="12"/>
      <c r="C252" s="6" t="s">
        <v>1386</v>
      </c>
      <c r="D252" s="15" t="s">
        <v>586</v>
      </c>
      <c r="E252" s="20" t="s">
        <v>55</v>
      </c>
      <c r="F252" s="26"/>
      <c r="G252" s="24"/>
      <c r="H252" s="67"/>
      <c r="I252" s="68"/>
      <c r="J252" s="67"/>
      <c r="K252" s="17" t="s">
        <v>10</v>
      </c>
      <c r="L252" s="39">
        <v>44245</v>
      </c>
      <c r="M252" s="39"/>
      <c r="N252" s="213">
        <v>44245</v>
      </c>
      <c r="O252" s="38">
        <v>2910</v>
      </c>
      <c r="P252" s="6" t="s">
        <v>3</v>
      </c>
      <c r="Q252" s="481"/>
      <c r="S252" s="489"/>
      <c r="T252" s="113"/>
      <c r="U252" s="500"/>
      <c r="V252" s="494"/>
    </row>
    <row r="253" spans="1:22" s="7" customFormat="1" ht="15.75" customHeight="1">
      <c r="A253" s="1"/>
      <c r="B253" s="12"/>
      <c r="C253" s="6" t="s">
        <v>1386</v>
      </c>
      <c r="D253" s="15" t="s">
        <v>586</v>
      </c>
      <c r="E253" s="24" t="s">
        <v>587</v>
      </c>
      <c r="F253" s="26"/>
      <c r="G253" s="24" t="s">
        <v>78</v>
      </c>
      <c r="H253" s="54">
        <v>14</v>
      </c>
      <c r="I253" s="37">
        <v>22</v>
      </c>
      <c r="J253" s="75">
        <f>H253*I253</f>
        <v>308</v>
      </c>
      <c r="K253" s="46">
        <v>2.04</v>
      </c>
      <c r="L253" s="39">
        <v>44245</v>
      </c>
      <c r="M253" s="39"/>
      <c r="N253" s="213">
        <v>44245</v>
      </c>
      <c r="O253" s="38">
        <v>2910</v>
      </c>
      <c r="P253" s="6"/>
      <c r="Q253" s="483">
        <v>1.81</v>
      </c>
      <c r="S253" s="489">
        <v>92</v>
      </c>
      <c r="T253" s="113">
        <f>S253*J253</f>
        <v>28336</v>
      </c>
      <c r="U253" s="506" t="s">
        <v>1224</v>
      </c>
      <c r="V253" s="494"/>
    </row>
    <row r="254" spans="1:22" s="7" customFormat="1" ht="15.75" customHeight="1">
      <c r="A254" s="1"/>
      <c r="B254" s="12"/>
      <c r="C254" s="6" t="s">
        <v>1386</v>
      </c>
      <c r="D254" s="15" t="s">
        <v>586</v>
      </c>
      <c r="E254" s="24" t="s">
        <v>1246</v>
      </c>
      <c r="F254" s="26"/>
      <c r="G254" s="24" t="s">
        <v>78</v>
      </c>
      <c r="H254" s="54">
        <v>14</v>
      </c>
      <c r="I254" s="37">
        <v>2</v>
      </c>
      <c r="J254" s="75">
        <f>H254*I254</f>
        <v>28</v>
      </c>
      <c r="K254" s="46">
        <v>10.1</v>
      </c>
      <c r="L254" s="39">
        <v>44245</v>
      </c>
      <c r="M254" s="39"/>
      <c r="N254" s="213">
        <v>44245</v>
      </c>
      <c r="O254" s="38">
        <v>2910</v>
      </c>
      <c r="P254" s="6"/>
      <c r="Q254" s="483">
        <v>8.08</v>
      </c>
      <c r="S254" s="489">
        <v>545</v>
      </c>
      <c r="T254" s="113">
        <f>S254*J254</f>
        <v>15260</v>
      </c>
      <c r="U254" s="506" t="s">
        <v>1249</v>
      </c>
      <c r="V254" s="494"/>
    </row>
    <row r="255" spans="1:22" s="7" customFormat="1" ht="15.75" customHeight="1">
      <c r="A255" s="1"/>
      <c r="B255" s="12"/>
      <c r="C255" s="6" t="s">
        <v>1386</v>
      </c>
      <c r="D255" s="15" t="s">
        <v>586</v>
      </c>
      <c r="E255" s="24" t="s">
        <v>1246</v>
      </c>
      <c r="F255" s="26"/>
      <c r="G255" s="24" t="s">
        <v>78</v>
      </c>
      <c r="H255" s="54">
        <v>14</v>
      </c>
      <c r="I255" s="37">
        <v>8</v>
      </c>
      <c r="J255" s="75">
        <f>H255*I255</f>
        <v>112</v>
      </c>
      <c r="K255" s="46">
        <v>10.1</v>
      </c>
      <c r="L255" s="39">
        <v>44288</v>
      </c>
      <c r="M255" s="39"/>
      <c r="N255" s="213">
        <v>44288</v>
      </c>
      <c r="O255" s="38">
        <v>3036</v>
      </c>
      <c r="P255" s="6"/>
      <c r="Q255" s="483">
        <v>8.08</v>
      </c>
      <c r="S255" s="489">
        <v>545</v>
      </c>
      <c r="T255" s="113">
        <f>S255*J255</f>
        <v>61040</v>
      </c>
      <c r="U255" s="506" t="s">
        <v>1249</v>
      </c>
      <c r="V255" s="494"/>
    </row>
    <row r="256" spans="1:22" s="314" customFormat="1" ht="15">
      <c r="A256" s="1"/>
      <c r="B256" s="313"/>
      <c r="C256" s="302" t="s">
        <v>1386</v>
      </c>
      <c r="D256" s="303" t="s">
        <v>586</v>
      </c>
      <c r="E256" s="304"/>
      <c r="F256" s="305"/>
      <c r="G256" s="305" t="s">
        <v>1227</v>
      </c>
      <c r="H256" s="307" t="s">
        <v>1228</v>
      </c>
      <c r="I256" s="308"/>
      <c r="J256" s="306"/>
      <c r="K256" s="315"/>
      <c r="L256" s="310"/>
      <c r="M256" s="310"/>
      <c r="N256" s="311"/>
      <c r="O256" s="309"/>
      <c r="P256" s="302"/>
      <c r="Q256" s="485">
        <v>0</v>
      </c>
      <c r="S256" s="536">
        <v>0</v>
      </c>
      <c r="T256" s="322">
        <v>0</v>
      </c>
      <c r="U256" s="515"/>
      <c r="V256" s="549"/>
    </row>
    <row r="257" spans="1:22" ht="18" customHeight="1">
      <c r="C257" s="6" t="s">
        <v>1387</v>
      </c>
      <c r="D257" s="15" t="s">
        <v>500</v>
      </c>
      <c r="E257" s="20" t="s">
        <v>352</v>
      </c>
      <c r="F257" s="44"/>
      <c r="G257" s="44"/>
      <c r="H257" s="151"/>
      <c r="I257" s="151"/>
      <c r="J257" s="151"/>
      <c r="K257" s="34" t="s">
        <v>134</v>
      </c>
      <c r="L257" s="39">
        <v>44242</v>
      </c>
      <c r="M257" s="39"/>
      <c r="N257" s="213">
        <v>44242</v>
      </c>
      <c r="O257" s="38">
        <v>2897</v>
      </c>
      <c r="P257" s="6"/>
      <c r="Q257" s="524"/>
      <c r="S257" s="489"/>
      <c r="T257" s="113"/>
      <c r="U257" s="501"/>
      <c r="V257" s="494"/>
    </row>
    <row r="258" spans="1:22" ht="18" customHeight="1">
      <c r="C258" s="6" t="s">
        <v>1387</v>
      </c>
      <c r="D258" s="15" t="s">
        <v>500</v>
      </c>
      <c r="E258" s="24" t="s">
        <v>538</v>
      </c>
      <c r="F258" s="44">
        <v>4</v>
      </c>
      <c r="G258" s="24" t="s">
        <v>17</v>
      </c>
      <c r="H258" s="151">
        <v>50</v>
      </c>
      <c r="I258" s="152">
        <v>3</v>
      </c>
      <c r="J258" s="67">
        <f>H258*I258</f>
        <v>150</v>
      </c>
      <c r="K258" s="46">
        <v>0.22</v>
      </c>
      <c r="L258" s="39">
        <v>44242</v>
      </c>
      <c r="M258" s="39"/>
      <c r="N258" s="213">
        <v>44242</v>
      </c>
      <c r="O258" s="38">
        <v>2897</v>
      </c>
      <c r="P258" s="46">
        <f>ROUNDUP(S258/0.75/90,2)</f>
        <v>0.17</v>
      </c>
      <c r="Q258" s="483">
        <v>0.17</v>
      </c>
      <c r="S258" s="489">
        <v>11.3</v>
      </c>
      <c r="T258" s="113">
        <f>S258*J258</f>
        <v>1695</v>
      </c>
      <c r="U258" s="507"/>
      <c r="V258" s="494"/>
    </row>
    <row r="259" spans="1:22" s="7" customFormat="1" ht="15.95" customHeight="1">
      <c r="A259" s="1"/>
      <c r="B259" s="12"/>
      <c r="C259" s="6" t="s">
        <v>1387</v>
      </c>
      <c r="D259" s="15" t="s">
        <v>500</v>
      </c>
      <c r="E259" s="24"/>
      <c r="F259" s="138"/>
      <c r="G259" s="24" t="s">
        <v>31</v>
      </c>
      <c r="H259" s="8"/>
      <c r="I259" s="41"/>
      <c r="J259" s="45">
        <v>1</v>
      </c>
      <c r="K259" s="46">
        <v>12</v>
      </c>
      <c r="L259" s="39">
        <v>44242</v>
      </c>
      <c r="M259" s="39"/>
      <c r="N259" s="213">
        <v>44242</v>
      </c>
      <c r="O259" s="38">
        <v>2897</v>
      </c>
      <c r="P259" s="6"/>
      <c r="Q259" s="483">
        <v>12</v>
      </c>
      <c r="S259" s="489">
        <v>1100</v>
      </c>
      <c r="T259" s="113">
        <f>S259*J259</f>
        <v>1100</v>
      </c>
      <c r="U259" s="501"/>
      <c r="V259" s="494"/>
    </row>
    <row r="260" spans="1:22" s="314" customFormat="1" ht="15">
      <c r="A260" s="1"/>
      <c r="B260" s="313"/>
      <c r="C260" s="302" t="s">
        <v>1387</v>
      </c>
      <c r="D260" s="303" t="s">
        <v>500</v>
      </c>
      <c r="E260" s="304"/>
      <c r="F260" s="305"/>
      <c r="G260" s="305" t="s">
        <v>1227</v>
      </c>
      <c r="H260" s="307" t="s">
        <v>1228</v>
      </c>
      <c r="I260" s="308"/>
      <c r="J260" s="306"/>
      <c r="K260" s="315"/>
      <c r="L260" s="310">
        <v>44242</v>
      </c>
      <c r="M260" s="310"/>
      <c r="N260" s="311">
        <v>44242</v>
      </c>
      <c r="O260" s="309">
        <v>2897</v>
      </c>
      <c r="P260" s="302"/>
      <c r="Q260" s="485">
        <v>0</v>
      </c>
      <c r="S260" s="536">
        <v>0</v>
      </c>
      <c r="T260" s="322">
        <v>0</v>
      </c>
      <c r="U260" s="515"/>
      <c r="V260" s="549"/>
    </row>
    <row r="261" spans="1:22" ht="15">
      <c r="C261" s="6" t="s">
        <v>1390</v>
      </c>
      <c r="D261" s="15" t="s">
        <v>1126</v>
      </c>
      <c r="E261" s="20" t="s">
        <v>1127</v>
      </c>
      <c r="F261" s="26"/>
      <c r="G261" s="24"/>
      <c r="H261" s="67"/>
      <c r="I261" s="68"/>
      <c r="J261" s="67"/>
      <c r="K261" s="17" t="s">
        <v>134</v>
      </c>
      <c r="L261" s="39">
        <v>44245</v>
      </c>
      <c r="M261" s="39"/>
      <c r="N261" s="213">
        <v>44245</v>
      </c>
      <c r="O261" s="38">
        <v>2909</v>
      </c>
      <c r="P261" s="6"/>
      <c r="Q261" s="481"/>
      <c r="S261" s="489"/>
      <c r="T261" s="113"/>
      <c r="U261" s="500"/>
    </row>
    <row r="262" spans="1:22" ht="15">
      <c r="C262" s="6" t="s">
        <v>1390</v>
      </c>
      <c r="D262" s="15" t="s">
        <v>1126</v>
      </c>
      <c r="E262" s="24" t="s">
        <v>447</v>
      </c>
      <c r="F262" s="26"/>
      <c r="G262" s="24" t="s">
        <v>353</v>
      </c>
      <c r="H262" s="67">
        <v>50</v>
      </c>
      <c r="I262" s="68">
        <v>10</v>
      </c>
      <c r="J262" s="67">
        <f>H262*I262</f>
        <v>500</v>
      </c>
      <c r="K262" s="25">
        <v>0.27</v>
      </c>
      <c r="L262" s="39">
        <v>44245</v>
      </c>
      <c r="M262" s="39"/>
      <c r="N262" s="213">
        <v>44245</v>
      </c>
      <c r="O262" s="38">
        <v>2909</v>
      </c>
      <c r="P262" s="46">
        <f>ROUNDUP(S262/0.75/90,2)</f>
        <v>0.22</v>
      </c>
      <c r="Q262" s="483">
        <v>0.22</v>
      </c>
      <c r="S262" s="489">
        <v>14.4</v>
      </c>
      <c r="T262" s="113">
        <f>S262*J262</f>
        <v>7200</v>
      </c>
      <c r="U262" s="500"/>
    </row>
    <row r="263" spans="1:22" s="7" customFormat="1" ht="15" customHeight="1">
      <c r="A263" s="1"/>
      <c r="B263" s="12"/>
      <c r="C263" s="6" t="s">
        <v>1390</v>
      </c>
      <c r="D263" s="15" t="s">
        <v>1126</v>
      </c>
      <c r="E263" s="24"/>
      <c r="F263" s="44"/>
      <c r="G263" s="44" t="s">
        <v>31</v>
      </c>
      <c r="H263" s="45"/>
      <c r="I263" s="152" ph="1"/>
      <c r="J263" s="45">
        <v>1</v>
      </c>
      <c r="K263" s="46">
        <v>12</v>
      </c>
      <c r="L263" s="39">
        <v>44245</v>
      </c>
      <c r="M263" s="39"/>
      <c r="N263" s="213">
        <v>44245</v>
      </c>
      <c r="O263" s="38">
        <v>2909</v>
      </c>
      <c r="P263" s="6"/>
      <c r="Q263" s="483">
        <v>12</v>
      </c>
      <c r="S263" s="489">
        <v>1100</v>
      </c>
      <c r="T263" s="113">
        <f>S263*J263</f>
        <v>1100</v>
      </c>
      <c r="U263" s="501"/>
      <c r="V263" s="494"/>
    </row>
    <row r="264" spans="1:22" s="314" customFormat="1" ht="15" customHeight="1">
      <c r="A264" s="1"/>
      <c r="B264" s="313"/>
      <c r="C264" s="302" t="s">
        <v>1390</v>
      </c>
      <c r="D264" s="303" t="s">
        <v>1126</v>
      </c>
      <c r="E264" s="304"/>
      <c r="F264" s="305"/>
      <c r="G264" s="305" t="s">
        <v>1227</v>
      </c>
      <c r="H264" s="307" t="s">
        <v>1228</v>
      </c>
      <c r="I264" s="308"/>
      <c r="J264" s="306"/>
      <c r="K264" s="316">
        <v>0</v>
      </c>
      <c r="L264" s="310">
        <v>44245</v>
      </c>
      <c r="M264" s="310"/>
      <c r="N264" s="311">
        <v>44245</v>
      </c>
      <c r="O264" s="309">
        <v>2909</v>
      </c>
      <c r="P264" s="302"/>
      <c r="Q264" s="485">
        <v>0</v>
      </c>
      <c r="S264" s="536">
        <v>0</v>
      </c>
      <c r="T264" s="322">
        <v>0</v>
      </c>
      <c r="U264" s="515"/>
      <c r="V264" s="549"/>
    </row>
    <row r="265" spans="1:22" ht="18" customHeight="1">
      <c r="C265" s="6" t="s">
        <v>1395</v>
      </c>
      <c r="D265" s="15" t="s">
        <v>892</v>
      </c>
      <c r="E265" s="20" t="s">
        <v>352</v>
      </c>
      <c r="F265" s="44"/>
      <c r="G265" s="44"/>
      <c r="H265" s="151"/>
      <c r="I265" s="151"/>
      <c r="J265" s="151"/>
      <c r="K265" s="34" t="s">
        <v>134</v>
      </c>
      <c r="L265" s="39">
        <v>44252</v>
      </c>
      <c r="M265" s="39"/>
      <c r="N265" s="213">
        <v>44252</v>
      </c>
      <c r="O265" s="38">
        <v>2928</v>
      </c>
      <c r="P265" s="6"/>
      <c r="Q265" s="524"/>
      <c r="S265" s="489"/>
      <c r="T265" s="113"/>
      <c r="U265" s="501"/>
      <c r="V265" s="494"/>
    </row>
    <row r="266" spans="1:22" ht="18" customHeight="1">
      <c r="C266" s="6" t="s">
        <v>1395</v>
      </c>
      <c r="D266" s="15" t="s">
        <v>892</v>
      </c>
      <c r="E266" s="24" t="s">
        <v>446</v>
      </c>
      <c r="F266" s="44"/>
      <c r="G266" s="24" t="s">
        <v>1310</v>
      </c>
      <c r="H266" s="151">
        <v>50</v>
      </c>
      <c r="I266" s="152">
        <v>8</v>
      </c>
      <c r="J266" s="67">
        <f>H266*I266</f>
        <v>400</v>
      </c>
      <c r="K266" s="46">
        <v>0.24</v>
      </c>
      <c r="L266" s="39">
        <v>44252</v>
      </c>
      <c r="M266" s="39"/>
      <c r="N266" s="213">
        <v>44252</v>
      </c>
      <c r="O266" s="38">
        <v>2928</v>
      </c>
      <c r="P266" s="46">
        <v>0.2</v>
      </c>
      <c r="Q266" s="483">
        <v>0.2</v>
      </c>
      <c r="S266" s="489">
        <v>12.9</v>
      </c>
      <c r="T266" s="113">
        <f>S266*J266</f>
        <v>5160</v>
      </c>
      <c r="U266" s="507"/>
      <c r="V266" s="494"/>
    </row>
    <row r="267" spans="1:22" s="7" customFormat="1" ht="15" customHeight="1">
      <c r="A267" s="1"/>
      <c r="B267" s="12"/>
      <c r="C267" s="6" t="s">
        <v>1395</v>
      </c>
      <c r="D267" s="15" t="s">
        <v>892</v>
      </c>
      <c r="E267" s="20" t="s">
        <v>628</v>
      </c>
      <c r="F267" s="44"/>
      <c r="G267" s="44"/>
      <c r="H267" s="151"/>
      <c r="I267" s="151"/>
      <c r="J267" s="151"/>
      <c r="K267" s="153" t="s">
        <v>134</v>
      </c>
      <c r="L267" s="39">
        <v>44252</v>
      </c>
      <c r="M267" s="39"/>
      <c r="N267" s="213">
        <v>44252</v>
      </c>
      <c r="O267" s="38">
        <v>2928</v>
      </c>
      <c r="P267" s="6"/>
      <c r="Q267" s="524"/>
      <c r="S267" s="489"/>
      <c r="T267" s="113"/>
      <c r="U267" s="501"/>
      <c r="V267" s="494"/>
    </row>
    <row r="268" spans="1:22" s="7" customFormat="1" ht="15">
      <c r="A268" s="1"/>
      <c r="B268" s="12"/>
      <c r="C268" s="6" t="s">
        <v>1395</v>
      </c>
      <c r="D268" s="15" t="s">
        <v>892</v>
      </c>
      <c r="E268" s="24">
        <v>5603</v>
      </c>
      <c r="F268" s="44"/>
      <c r="G268" s="44" t="s">
        <v>1085</v>
      </c>
      <c r="H268" s="151">
        <v>50</v>
      </c>
      <c r="I268" s="152">
        <v>3</v>
      </c>
      <c r="J268" s="67">
        <f>H268*I268</f>
        <v>150</v>
      </c>
      <c r="K268" s="46">
        <v>0.3</v>
      </c>
      <c r="L268" s="39">
        <v>44252</v>
      </c>
      <c r="M268" s="39"/>
      <c r="N268" s="213">
        <v>44252</v>
      </c>
      <c r="O268" s="38">
        <v>2928</v>
      </c>
      <c r="P268" s="6"/>
      <c r="Q268" s="483">
        <v>0.24</v>
      </c>
      <c r="S268" s="489">
        <v>16</v>
      </c>
      <c r="T268" s="113">
        <f>S268*J268</f>
        <v>2400</v>
      </c>
      <c r="U268" s="507"/>
      <c r="V268" s="494"/>
    </row>
    <row r="269" spans="1:22" s="7" customFormat="1" ht="15" customHeight="1">
      <c r="A269" s="1"/>
      <c r="B269" s="12"/>
      <c r="C269" s="6" t="s">
        <v>1395</v>
      </c>
      <c r="D269" s="15" t="s">
        <v>892</v>
      </c>
      <c r="E269" s="24">
        <v>5603</v>
      </c>
      <c r="F269" s="44"/>
      <c r="G269" s="44" t="s">
        <v>1396</v>
      </c>
      <c r="H269" s="151">
        <v>50</v>
      </c>
      <c r="I269" s="152">
        <v>22</v>
      </c>
      <c r="J269" s="67">
        <f>H269*I269</f>
        <v>1100</v>
      </c>
      <c r="K269" s="46">
        <v>0.3</v>
      </c>
      <c r="L269" s="39">
        <v>44252</v>
      </c>
      <c r="M269" s="39"/>
      <c r="N269" s="213">
        <v>44252</v>
      </c>
      <c r="O269" s="38">
        <v>2928</v>
      </c>
      <c r="P269" s="6"/>
      <c r="Q269" s="483">
        <v>0.24</v>
      </c>
      <c r="S269" s="489">
        <v>16</v>
      </c>
      <c r="T269" s="113">
        <f>S269*J269</f>
        <v>17600</v>
      </c>
      <c r="U269" s="507"/>
      <c r="V269" s="494"/>
    </row>
    <row r="270" spans="1:22" s="7" customFormat="1" ht="15.95" customHeight="1">
      <c r="A270" s="1"/>
      <c r="B270" s="12"/>
      <c r="C270" s="6" t="s">
        <v>1395</v>
      </c>
      <c r="D270" s="15" t="s">
        <v>892</v>
      </c>
      <c r="E270" s="24"/>
      <c r="F270" s="138"/>
      <c r="G270" s="24" t="s">
        <v>31</v>
      </c>
      <c r="H270" s="8"/>
      <c r="I270" s="41"/>
      <c r="J270" s="45">
        <v>1</v>
      </c>
      <c r="K270" s="46">
        <v>12</v>
      </c>
      <c r="L270" s="39">
        <v>44252</v>
      </c>
      <c r="M270" s="39"/>
      <c r="N270" s="213">
        <v>44252</v>
      </c>
      <c r="O270" s="38">
        <v>2928</v>
      </c>
      <c r="P270" s="6"/>
      <c r="Q270" s="483">
        <v>12</v>
      </c>
      <c r="S270" s="489">
        <v>0</v>
      </c>
      <c r="T270" s="113">
        <f>S270*J270</f>
        <v>0</v>
      </c>
      <c r="U270" s="501"/>
      <c r="V270" s="494"/>
    </row>
    <row r="271" spans="1:22" s="314" customFormat="1" ht="15" customHeight="1">
      <c r="A271" s="1"/>
      <c r="B271" s="313"/>
      <c r="C271" s="302" t="s">
        <v>1395</v>
      </c>
      <c r="D271" s="303" t="s">
        <v>892</v>
      </c>
      <c r="E271" s="304"/>
      <c r="F271" s="305"/>
      <c r="G271" s="305" t="s">
        <v>1227</v>
      </c>
      <c r="H271" s="307" t="s">
        <v>1228</v>
      </c>
      <c r="I271" s="308"/>
      <c r="J271" s="306"/>
      <c r="K271" s="315"/>
      <c r="L271" s="310">
        <v>44252</v>
      </c>
      <c r="M271" s="310"/>
      <c r="N271" s="311">
        <v>44252</v>
      </c>
      <c r="O271" s="309">
        <v>2928</v>
      </c>
      <c r="P271" s="302"/>
      <c r="Q271" s="485">
        <v>0</v>
      </c>
      <c r="S271" s="536">
        <v>0</v>
      </c>
      <c r="T271" s="322">
        <v>0</v>
      </c>
      <c r="U271" s="515"/>
      <c r="V271" s="549"/>
    </row>
    <row r="272" spans="1:22" s="7" customFormat="1" ht="18" customHeight="1">
      <c r="A272" s="1"/>
      <c r="B272" s="12"/>
      <c r="C272" s="6" t="s">
        <v>1397</v>
      </c>
      <c r="D272" s="15" t="s">
        <v>990</v>
      </c>
      <c r="E272" s="20" t="s">
        <v>1003</v>
      </c>
      <c r="F272" s="24"/>
      <c r="G272" s="44"/>
      <c r="H272" s="151"/>
      <c r="I272" s="151"/>
      <c r="J272" s="151"/>
      <c r="K272" s="153" t="s">
        <v>10</v>
      </c>
      <c r="L272" s="39">
        <v>44260</v>
      </c>
      <c r="M272" s="39"/>
      <c r="N272" s="213">
        <v>44260</v>
      </c>
      <c r="O272" s="38">
        <v>2945</v>
      </c>
      <c r="P272" s="6"/>
      <c r="Q272" s="411"/>
      <c r="S272" s="489"/>
      <c r="T272" s="113"/>
      <c r="U272" s="501"/>
      <c r="V272" s="494"/>
    </row>
    <row r="273" spans="1:22" s="7" customFormat="1" ht="15.95" customHeight="1">
      <c r="A273" s="1"/>
      <c r="B273" s="12"/>
      <c r="C273" s="6" t="s">
        <v>1397</v>
      </c>
      <c r="D273" s="15" t="s">
        <v>990</v>
      </c>
      <c r="E273" s="375" t="s">
        <v>521</v>
      </c>
      <c r="F273" s="44"/>
      <c r="G273" s="44" t="s">
        <v>1421</v>
      </c>
      <c r="H273" s="8">
        <v>14</v>
      </c>
      <c r="I273" s="41">
        <v>1</v>
      </c>
      <c r="J273" s="8">
        <f>H273*I273</f>
        <v>14</v>
      </c>
      <c r="K273" s="46">
        <v>0</v>
      </c>
      <c r="L273" s="374" t="s">
        <v>1422</v>
      </c>
      <c r="M273" s="374"/>
      <c r="N273" s="213"/>
      <c r="O273" s="38"/>
      <c r="P273" s="6"/>
      <c r="Q273" s="483">
        <v>1.03</v>
      </c>
      <c r="S273" s="489">
        <v>39</v>
      </c>
      <c r="T273" s="113">
        <f>S273*J273</f>
        <v>546</v>
      </c>
      <c r="U273" s="512" t="s">
        <v>1320</v>
      </c>
      <c r="V273" s="494"/>
    </row>
    <row r="274" spans="1:22" s="7" customFormat="1" ht="15.95" customHeight="1">
      <c r="A274" s="1"/>
      <c r="B274" s="12"/>
      <c r="C274" s="6" t="s">
        <v>1397</v>
      </c>
      <c r="D274" s="15" t="s">
        <v>990</v>
      </c>
      <c r="E274" s="24" t="s">
        <v>1302</v>
      </c>
      <c r="F274" s="44"/>
      <c r="G274" s="44" t="s">
        <v>129</v>
      </c>
      <c r="H274" s="8">
        <v>10</v>
      </c>
      <c r="I274" s="41">
        <v>1</v>
      </c>
      <c r="J274" s="67">
        <f>H274*I274</f>
        <v>10</v>
      </c>
      <c r="K274" s="46">
        <v>1.73</v>
      </c>
      <c r="L274" s="39">
        <v>44260</v>
      </c>
      <c r="M274" s="39"/>
      <c r="N274" s="213">
        <v>44260</v>
      </c>
      <c r="O274" s="38">
        <v>2945</v>
      </c>
      <c r="P274" s="6"/>
      <c r="Q274" s="483">
        <v>1.38</v>
      </c>
      <c r="S274" s="489">
        <v>68</v>
      </c>
      <c r="T274" s="113">
        <f>S274*J274</f>
        <v>680</v>
      </c>
      <c r="U274" s="512" t="s">
        <v>1303</v>
      </c>
      <c r="V274" s="494"/>
    </row>
    <row r="275" spans="1:22" s="7" customFormat="1" ht="15.95" customHeight="1">
      <c r="A275" s="1"/>
      <c r="B275" s="12"/>
      <c r="C275" s="6" t="s">
        <v>1397</v>
      </c>
      <c r="D275" s="15" t="s">
        <v>990</v>
      </c>
      <c r="E275" s="24"/>
      <c r="F275" s="138"/>
      <c r="G275" s="24" t="s">
        <v>31</v>
      </c>
      <c r="H275" s="8"/>
      <c r="I275" s="41"/>
      <c r="J275" s="45">
        <v>1</v>
      </c>
      <c r="K275" s="46">
        <v>15</v>
      </c>
      <c r="L275" s="39">
        <v>44260</v>
      </c>
      <c r="M275" s="39"/>
      <c r="N275" s="213">
        <v>44260</v>
      </c>
      <c r="O275" s="38">
        <v>2945</v>
      </c>
      <c r="P275" s="6"/>
      <c r="Q275" s="483">
        <v>15</v>
      </c>
      <c r="S275" s="532">
        <v>900</v>
      </c>
      <c r="T275" s="113">
        <f>S275*J275</f>
        <v>900</v>
      </c>
      <c r="U275" s="501"/>
      <c r="V275" s="494"/>
    </row>
    <row r="276" spans="1:22" s="314" customFormat="1" ht="15" customHeight="1">
      <c r="A276" s="1"/>
      <c r="B276" s="313"/>
      <c r="C276" s="302" t="s">
        <v>1397</v>
      </c>
      <c r="D276" s="303" t="s">
        <v>990</v>
      </c>
      <c r="E276" s="304"/>
      <c r="F276" s="305"/>
      <c r="G276" s="305" t="s">
        <v>1227</v>
      </c>
      <c r="H276" s="307" t="s">
        <v>1228</v>
      </c>
      <c r="I276" s="308"/>
      <c r="J276" s="306"/>
      <c r="K276" s="315">
        <v>0</v>
      </c>
      <c r="L276" s="310">
        <v>44260</v>
      </c>
      <c r="M276" s="310"/>
      <c r="N276" s="311">
        <v>44260</v>
      </c>
      <c r="O276" s="309">
        <v>2945</v>
      </c>
      <c r="P276" s="302"/>
      <c r="Q276" s="485">
        <v>0</v>
      </c>
      <c r="S276" s="535">
        <v>0</v>
      </c>
      <c r="T276" s="322">
        <v>0</v>
      </c>
      <c r="U276" s="515"/>
      <c r="V276" s="549"/>
    </row>
    <row r="277" spans="1:22" s="7" customFormat="1" ht="18" customHeight="1">
      <c r="A277" s="1"/>
      <c r="B277" s="12"/>
      <c r="C277" s="6" t="s">
        <v>1399</v>
      </c>
      <c r="D277" s="15" t="s">
        <v>990</v>
      </c>
      <c r="E277" s="20" t="s">
        <v>1003</v>
      </c>
      <c r="F277" s="24"/>
      <c r="G277" s="44"/>
      <c r="H277" s="151"/>
      <c r="I277" s="151"/>
      <c r="J277" s="151"/>
      <c r="K277" s="153" t="s">
        <v>10</v>
      </c>
      <c r="L277" s="39">
        <v>44288</v>
      </c>
      <c r="M277" s="39"/>
      <c r="N277" s="213">
        <v>44288</v>
      </c>
      <c r="O277" s="38">
        <v>3035</v>
      </c>
      <c r="P277" s="6"/>
      <c r="Q277" s="411"/>
      <c r="S277" s="489"/>
      <c r="T277" s="113"/>
      <c r="U277" s="501"/>
      <c r="V277" s="494"/>
    </row>
    <row r="278" spans="1:22" s="7" customFormat="1" ht="15.95" customHeight="1">
      <c r="A278" s="1"/>
      <c r="B278" s="12"/>
      <c r="C278" s="6" t="s">
        <v>1399</v>
      </c>
      <c r="D278" s="15" t="s">
        <v>990</v>
      </c>
      <c r="E278" s="24" t="s">
        <v>1302</v>
      </c>
      <c r="F278" s="44"/>
      <c r="G278" s="44" t="s">
        <v>129</v>
      </c>
      <c r="H278" s="8">
        <v>14</v>
      </c>
      <c r="I278" s="41">
        <v>2</v>
      </c>
      <c r="J278" s="67">
        <v>28</v>
      </c>
      <c r="K278" s="46">
        <v>1.73</v>
      </c>
      <c r="L278" s="39">
        <v>44288</v>
      </c>
      <c r="M278" s="39"/>
      <c r="N278" s="213">
        <v>44288</v>
      </c>
      <c r="O278" s="38">
        <v>3035</v>
      </c>
      <c r="P278" s="6"/>
      <c r="Q278" s="483">
        <v>1.38</v>
      </c>
      <c r="S278" s="489">
        <v>68</v>
      </c>
      <c r="T278" s="113">
        <f>S278*J278</f>
        <v>1904</v>
      </c>
      <c r="U278" s="512" t="s">
        <v>1303</v>
      </c>
      <c r="V278" s="494"/>
    </row>
    <row r="279" spans="1:22" s="7" customFormat="1" ht="15.95" customHeight="1">
      <c r="A279" s="1"/>
      <c r="B279" s="12"/>
      <c r="C279" s="6" t="s">
        <v>1399</v>
      </c>
      <c r="D279" s="15" t="s">
        <v>990</v>
      </c>
      <c r="E279" s="24" t="s">
        <v>521</v>
      </c>
      <c r="F279" s="44"/>
      <c r="G279" s="44" t="s">
        <v>129</v>
      </c>
      <c r="H279" s="8">
        <v>14</v>
      </c>
      <c r="I279" s="41">
        <v>1</v>
      </c>
      <c r="J279" s="67">
        <f>H279*I279</f>
        <v>14</v>
      </c>
      <c r="K279" s="46">
        <v>1.28</v>
      </c>
      <c r="L279" s="39">
        <v>44288</v>
      </c>
      <c r="M279" s="39"/>
      <c r="N279" s="213">
        <v>44288</v>
      </c>
      <c r="O279" s="38">
        <v>3035</v>
      </c>
      <c r="P279" s="6"/>
      <c r="Q279" s="483">
        <v>1.03</v>
      </c>
      <c r="S279" s="489">
        <v>39</v>
      </c>
      <c r="T279" s="113">
        <f>S279*J279</f>
        <v>546</v>
      </c>
      <c r="U279" s="512" t="s">
        <v>1320</v>
      </c>
      <c r="V279" s="494"/>
    </row>
    <row r="280" spans="1:22" s="7" customFormat="1" ht="15.95" customHeight="1">
      <c r="A280" s="1"/>
      <c r="B280" s="12"/>
      <c r="C280" s="6" t="s">
        <v>1399</v>
      </c>
      <c r="D280" s="15" t="s">
        <v>990</v>
      </c>
      <c r="E280" s="24"/>
      <c r="F280" s="138"/>
      <c r="G280" s="24" t="s">
        <v>31</v>
      </c>
      <c r="H280" s="8"/>
      <c r="I280" s="41"/>
      <c r="J280" s="45">
        <v>1</v>
      </c>
      <c r="K280" s="46">
        <v>15</v>
      </c>
      <c r="L280" s="39">
        <v>44288</v>
      </c>
      <c r="M280" s="39"/>
      <c r="N280" s="213">
        <v>44288</v>
      </c>
      <c r="O280" s="38">
        <v>3035</v>
      </c>
      <c r="P280" s="6"/>
      <c r="Q280" s="483">
        <v>15</v>
      </c>
      <c r="S280" s="532">
        <f>900+0</f>
        <v>900</v>
      </c>
      <c r="T280" s="113">
        <f>900+0</f>
        <v>900</v>
      </c>
      <c r="U280" s="501"/>
      <c r="V280" s="494"/>
    </row>
    <row r="281" spans="1:22" s="314" customFormat="1" ht="15">
      <c r="A281" s="1"/>
      <c r="B281" s="313"/>
      <c r="C281" s="302" t="s">
        <v>1399</v>
      </c>
      <c r="D281" s="303" t="s">
        <v>990</v>
      </c>
      <c r="E281" s="304"/>
      <c r="F281" s="305"/>
      <c r="G281" s="305" t="s">
        <v>1227</v>
      </c>
      <c r="H281" s="307" t="s">
        <v>1228</v>
      </c>
      <c r="I281" s="308"/>
      <c r="J281" s="306"/>
      <c r="K281" s="315">
        <v>0</v>
      </c>
      <c r="L281" s="310">
        <v>44288</v>
      </c>
      <c r="M281" s="310"/>
      <c r="N281" s="311">
        <v>44288</v>
      </c>
      <c r="O281" s="309">
        <v>3035</v>
      </c>
      <c r="P281" s="302"/>
      <c r="Q281" s="485">
        <v>0</v>
      </c>
      <c r="S281" s="535">
        <v>0</v>
      </c>
      <c r="T281" s="322">
        <v>0</v>
      </c>
      <c r="U281" s="515"/>
      <c r="V281" s="549"/>
    </row>
    <row r="282" spans="1:22" s="7" customFormat="1" ht="15">
      <c r="A282" s="1"/>
      <c r="B282" s="12"/>
      <c r="C282" s="6" t="s">
        <v>1425</v>
      </c>
      <c r="D282" s="15" t="s">
        <v>1171</v>
      </c>
      <c r="E282" s="20" t="s">
        <v>1412</v>
      </c>
      <c r="F282" s="44"/>
      <c r="G282" s="44"/>
      <c r="H282" s="151"/>
      <c r="I282" s="151"/>
      <c r="J282" s="151"/>
      <c r="K282" s="34" t="s">
        <v>1027</v>
      </c>
      <c r="L282" s="39">
        <v>44274</v>
      </c>
      <c r="M282" s="39"/>
      <c r="N282" s="213">
        <v>44274</v>
      </c>
      <c r="O282" s="38">
        <v>2984</v>
      </c>
      <c r="P282" s="6"/>
      <c r="Q282" s="524"/>
      <c r="S282" s="489"/>
      <c r="T282" s="113"/>
      <c r="U282" s="501"/>
      <c r="V282" s="494"/>
    </row>
    <row r="283" spans="1:22" s="7" customFormat="1" ht="15">
      <c r="A283" s="1"/>
      <c r="B283" s="12"/>
      <c r="C283" s="6" t="s">
        <v>1425</v>
      </c>
      <c r="D283" s="15" t="s">
        <v>1171</v>
      </c>
      <c r="E283" s="24" t="s">
        <v>1411</v>
      </c>
      <c r="F283" s="44" t="s">
        <v>1413</v>
      </c>
      <c r="G283" s="370" t="s">
        <v>1414</v>
      </c>
      <c r="H283" s="261">
        <v>100</v>
      </c>
      <c r="I283" s="261">
        <v>100</v>
      </c>
      <c r="J283" s="261">
        <v>100</v>
      </c>
      <c r="K283" s="46">
        <v>2.23</v>
      </c>
      <c r="L283" s="39">
        <v>44274</v>
      </c>
      <c r="M283" s="39"/>
      <c r="N283" s="213">
        <v>44274</v>
      </c>
      <c r="O283" s="38">
        <v>2984</v>
      </c>
      <c r="P283" s="46">
        <f>ROUNDUP(S283/0.75/90,2)</f>
        <v>1.78</v>
      </c>
      <c r="Q283" s="483">
        <v>1.78</v>
      </c>
      <c r="S283" s="489">
        <v>120.1</v>
      </c>
      <c r="T283" s="113">
        <f>S283*J283</f>
        <v>12010</v>
      </c>
      <c r="U283" s="507"/>
      <c r="V283" s="494"/>
    </row>
    <row r="284" spans="1:22" s="7" customFormat="1" ht="15" customHeight="1">
      <c r="A284" s="1"/>
      <c r="B284" s="12"/>
      <c r="C284" s="6" t="s">
        <v>1425</v>
      </c>
      <c r="D284" s="15" t="s">
        <v>1171</v>
      </c>
      <c r="E284" s="20" t="s">
        <v>1409</v>
      </c>
      <c r="F284" s="44"/>
      <c r="G284" s="44"/>
      <c r="H284" s="151"/>
      <c r="I284" s="151"/>
      <c r="J284" s="151"/>
      <c r="K284" s="153" t="s">
        <v>134</v>
      </c>
      <c r="L284" s="39">
        <v>44274</v>
      </c>
      <c r="M284" s="39"/>
      <c r="N284" s="213">
        <v>44274</v>
      </c>
      <c r="O284" s="38">
        <v>2984</v>
      </c>
      <c r="P284" s="6"/>
      <c r="Q284" s="524"/>
      <c r="S284" s="489"/>
      <c r="T284" s="113"/>
      <c r="U284" s="501"/>
      <c r="V284" s="494"/>
    </row>
    <row r="285" spans="1:22" s="7" customFormat="1" ht="15">
      <c r="A285" s="1"/>
      <c r="B285" s="12"/>
      <c r="C285" s="6" t="s">
        <v>1425</v>
      </c>
      <c r="D285" s="15" t="s">
        <v>1171</v>
      </c>
      <c r="E285" s="24">
        <v>5613</v>
      </c>
      <c r="F285" s="44"/>
      <c r="G285" s="44" t="s">
        <v>1410</v>
      </c>
      <c r="H285" s="151">
        <v>50</v>
      </c>
      <c r="I285" s="152">
        <v>2</v>
      </c>
      <c r="J285" s="67">
        <f>H285*I285</f>
        <v>100</v>
      </c>
      <c r="K285" s="46">
        <v>0.54</v>
      </c>
      <c r="L285" s="39">
        <v>44274</v>
      </c>
      <c r="M285" s="39"/>
      <c r="N285" s="213">
        <v>44274</v>
      </c>
      <c r="O285" s="38">
        <v>2984</v>
      </c>
      <c r="P285" s="46">
        <f>ROUNDUP(S285/0.75/90,2)</f>
        <v>0.43</v>
      </c>
      <c r="Q285" s="483">
        <v>0.43</v>
      </c>
      <c r="S285" s="489">
        <v>28.4</v>
      </c>
      <c r="T285" s="113">
        <f>S285*J285</f>
        <v>2840</v>
      </c>
      <c r="U285" s="507"/>
      <c r="V285" s="494"/>
    </row>
    <row r="286" spans="1:22" ht="18" customHeight="1">
      <c r="C286" s="6" t="s">
        <v>1425</v>
      </c>
      <c r="D286" s="15" t="s">
        <v>1171</v>
      </c>
      <c r="E286" s="20" t="s">
        <v>352</v>
      </c>
      <c r="F286" s="44"/>
      <c r="G286" s="44"/>
      <c r="H286" s="151"/>
      <c r="I286" s="151"/>
      <c r="J286" s="151"/>
      <c r="K286" s="34" t="s">
        <v>134</v>
      </c>
      <c r="L286" s="39">
        <v>44274</v>
      </c>
      <c r="M286" s="39"/>
      <c r="N286" s="213">
        <v>44274</v>
      </c>
      <c r="O286" s="38">
        <v>2984</v>
      </c>
      <c r="P286" s="6"/>
      <c r="Q286" s="524"/>
      <c r="S286" s="489"/>
      <c r="T286" s="113"/>
      <c r="U286" s="501"/>
      <c r="V286" s="494"/>
    </row>
    <row r="287" spans="1:22" ht="18" customHeight="1">
      <c r="C287" s="6" t="s">
        <v>1425</v>
      </c>
      <c r="D287" s="15" t="s">
        <v>1171</v>
      </c>
      <c r="E287" s="24" t="s">
        <v>1415</v>
      </c>
      <c r="F287" s="44" t="s">
        <v>502</v>
      </c>
      <c r="G287" s="24" t="s">
        <v>1416</v>
      </c>
      <c r="H287" s="151">
        <v>50</v>
      </c>
      <c r="I287" s="152">
        <v>7</v>
      </c>
      <c r="J287" s="67">
        <f>H287*I287</f>
        <v>350</v>
      </c>
      <c r="K287" s="46">
        <v>0.37</v>
      </c>
      <c r="L287" s="39">
        <v>44274</v>
      </c>
      <c r="M287" s="39"/>
      <c r="N287" s="213">
        <v>44274</v>
      </c>
      <c r="O287" s="38">
        <v>2984</v>
      </c>
      <c r="P287" s="46">
        <f>ROUNDUP(S287/0.75/90,2)</f>
        <v>0.28000000000000003</v>
      </c>
      <c r="Q287" s="483">
        <v>0.28000000000000003</v>
      </c>
      <c r="S287" s="489">
        <v>18.600000000000001</v>
      </c>
      <c r="T287" s="113">
        <f>S287*J287</f>
        <v>6510.0000000000009</v>
      </c>
      <c r="U287" s="507"/>
      <c r="V287" s="494"/>
    </row>
    <row r="288" spans="1:22" s="7" customFormat="1" ht="15.95" customHeight="1">
      <c r="A288" s="1"/>
      <c r="B288" s="12"/>
      <c r="C288" s="6" t="s">
        <v>1425</v>
      </c>
      <c r="D288" s="15" t="s">
        <v>1171</v>
      </c>
      <c r="E288" s="24"/>
      <c r="F288" s="138"/>
      <c r="G288" s="24" t="s">
        <v>31</v>
      </c>
      <c r="H288" s="8"/>
      <c r="I288" s="41"/>
      <c r="J288" s="45">
        <v>1</v>
      </c>
      <c r="K288" s="46">
        <v>12</v>
      </c>
      <c r="L288" s="39">
        <v>44274</v>
      </c>
      <c r="M288" s="39"/>
      <c r="N288" s="213">
        <v>44274</v>
      </c>
      <c r="O288" s="38">
        <v>2984</v>
      </c>
      <c r="P288" s="6"/>
      <c r="Q288" s="483">
        <v>12</v>
      </c>
      <c r="S288" s="489">
        <v>1100</v>
      </c>
      <c r="T288" s="113">
        <f>S288*J288</f>
        <v>1100</v>
      </c>
      <c r="U288" s="501"/>
      <c r="V288" s="494"/>
    </row>
    <row r="289" spans="1:22" s="314" customFormat="1" ht="15" customHeight="1">
      <c r="A289" s="1"/>
      <c r="B289" s="313"/>
      <c r="C289" s="302" t="s">
        <v>1425</v>
      </c>
      <c r="D289" s="303" t="s">
        <v>1171</v>
      </c>
      <c r="E289" s="304"/>
      <c r="F289" s="305"/>
      <c r="G289" s="305" t="s">
        <v>1227</v>
      </c>
      <c r="H289" s="307" t="s">
        <v>1228</v>
      </c>
      <c r="I289" s="308"/>
      <c r="J289" s="306"/>
      <c r="K289" s="315">
        <v>0</v>
      </c>
      <c r="L289" s="310">
        <v>44274</v>
      </c>
      <c r="M289" s="310"/>
      <c r="N289" s="311">
        <v>44274</v>
      </c>
      <c r="O289" s="309">
        <v>2984</v>
      </c>
      <c r="P289" s="302"/>
      <c r="Q289" s="485">
        <v>0</v>
      </c>
      <c r="S289" s="535">
        <v>0</v>
      </c>
      <c r="T289" s="322">
        <v>0</v>
      </c>
      <c r="U289" s="515"/>
      <c r="V289" s="549"/>
    </row>
    <row r="290" spans="1:22" s="7" customFormat="1" ht="15" customHeight="1">
      <c r="A290" s="1"/>
      <c r="B290" s="12"/>
      <c r="C290" s="6" t="s">
        <v>1420</v>
      </c>
      <c r="D290" s="15" t="s">
        <v>983</v>
      </c>
      <c r="E290" s="20" t="s">
        <v>344</v>
      </c>
      <c r="F290" s="26"/>
      <c r="G290" s="24"/>
      <c r="H290" s="67"/>
      <c r="I290" s="68"/>
      <c r="J290" s="67"/>
      <c r="K290" s="17" t="s">
        <v>134</v>
      </c>
      <c r="L290" s="39">
        <v>44259</v>
      </c>
      <c r="M290" s="39"/>
      <c r="N290" s="213">
        <v>44259</v>
      </c>
      <c r="O290" s="38">
        <v>2938</v>
      </c>
      <c r="P290" s="6" t="s">
        <v>23</v>
      </c>
      <c r="Q290" s="481"/>
      <c r="S290" s="489"/>
      <c r="T290" s="113"/>
      <c r="U290" s="500"/>
      <c r="V290" s="494"/>
    </row>
    <row r="291" spans="1:22" s="7" customFormat="1" ht="15">
      <c r="A291" s="1"/>
      <c r="B291" s="12"/>
      <c r="C291" s="6" t="s">
        <v>1420</v>
      </c>
      <c r="D291" s="15" t="s">
        <v>983</v>
      </c>
      <c r="E291" s="24">
        <v>14552</v>
      </c>
      <c r="F291" s="26">
        <v>10</v>
      </c>
      <c r="G291" s="24" t="s">
        <v>431</v>
      </c>
      <c r="H291" s="151">
        <v>30</v>
      </c>
      <c r="I291" s="152">
        <v>7</v>
      </c>
      <c r="J291" s="67">
        <f>H291*I291</f>
        <v>210</v>
      </c>
      <c r="K291" s="25">
        <v>0.57999999999999996</v>
      </c>
      <c r="L291" s="39">
        <v>44259</v>
      </c>
      <c r="M291" s="39"/>
      <c r="N291" s="213">
        <v>44259</v>
      </c>
      <c r="O291" s="38">
        <v>2938</v>
      </c>
      <c r="P291" s="25"/>
      <c r="Q291" s="482">
        <v>0.46</v>
      </c>
      <c r="S291" s="489">
        <v>31</v>
      </c>
      <c r="T291" s="567">
        <f>S291*J291</f>
        <v>6510</v>
      </c>
      <c r="U291" s="500"/>
      <c r="V291" s="494"/>
    </row>
    <row r="292" spans="1:22" s="7" customFormat="1" ht="15" customHeight="1">
      <c r="A292" s="1"/>
      <c r="B292" s="12"/>
      <c r="C292" s="6" t="s">
        <v>1420</v>
      </c>
      <c r="D292" s="15" t="s">
        <v>983</v>
      </c>
      <c r="E292" s="24"/>
      <c r="F292" s="138"/>
      <c r="G292" s="24" t="s">
        <v>481</v>
      </c>
      <c r="H292" s="8"/>
      <c r="I292" s="41"/>
      <c r="J292" s="45">
        <v>1</v>
      </c>
      <c r="K292" s="46">
        <v>12</v>
      </c>
      <c r="L292" s="39">
        <v>44259</v>
      </c>
      <c r="M292" s="39"/>
      <c r="N292" s="213">
        <v>44259</v>
      </c>
      <c r="O292" s="38">
        <v>2938</v>
      </c>
      <c r="P292" s="6"/>
      <c r="Q292" s="483">
        <v>12</v>
      </c>
      <c r="S292" s="489">
        <v>1000</v>
      </c>
      <c r="T292" s="567">
        <f>S292*J292</f>
        <v>1000</v>
      </c>
      <c r="U292" s="501"/>
      <c r="V292" s="494"/>
    </row>
    <row r="293" spans="1:22" s="314" customFormat="1" ht="15" customHeight="1">
      <c r="A293" s="1"/>
      <c r="B293" s="313"/>
      <c r="C293" s="302" t="s">
        <v>1420</v>
      </c>
      <c r="D293" s="303" t="s">
        <v>983</v>
      </c>
      <c r="E293" s="304"/>
      <c r="F293" s="305"/>
      <c r="G293" s="305" t="s">
        <v>1227</v>
      </c>
      <c r="H293" s="307" t="s">
        <v>1243</v>
      </c>
      <c r="I293" s="308"/>
      <c r="J293" s="306"/>
      <c r="K293" s="329">
        <v>45</v>
      </c>
      <c r="L293" s="310">
        <v>44259</v>
      </c>
      <c r="M293" s="310"/>
      <c r="N293" s="311">
        <v>44259</v>
      </c>
      <c r="O293" s="309">
        <v>2938</v>
      </c>
      <c r="P293" s="302"/>
      <c r="Q293" s="527">
        <v>45</v>
      </c>
      <c r="S293" s="537">
        <v>3361</v>
      </c>
      <c r="T293" s="348">
        <v>3361</v>
      </c>
      <c r="U293" s="515"/>
      <c r="V293" s="549"/>
    </row>
    <row r="294" spans="1:22" s="7" customFormat="1" ht="15">
      <c r="A294" s="1"/>
      <c r="B294" s="12"/>
      <c r="C294" s="6" t="s">
        <v>1429</v>
      </c>
      <c r="D294" s="15" t="s">
        <v>11</v>
      </c>
      <c r="E294" s="20" t="s">
        <v>79</v>
      </c>
      <c r="F294" s="150"/>
      <c r="G294" s="24"/>
      <c r="H294" s="151"/>
      <c r="I294" s="152"/>
      <c r="J294" s="151"/>
      <c r="K294" s="153" t="s">
        <v>10</v>
      </c>
      <c r="L294" s="39">
        <v>44263</v>
      </c>
      <c r="M294" s="39"/>
      <c r="N294" s="213">
        <v>44263</v>
      </c>
      <c r="O294" s="38">
        <v>2951</v>
      </c>
      <c r="P294" s="15"/>
      <c r="Q294" s="483"/>
      <c r="S294" s="496"/>
      <c r="T294" s="113"/>
      <c r="U294" s="506"/>
      <c r="V294" s="494"/>
    </row>
    <row r="295" spans="1:22" s="7" customFormat="1" ht="15">
      <c r="A295" s="1"/>
      <c r="B295" s="12"/>
      <c r="C295" s="6" t="s">
        <v>1429</v>
      </c>
      <c r="D295" s="15" t="s">
        <v>11</v>
      </c>
      <c r="E295" s="24">
        <v>2440</v>
      </c>
      <c r="F295" s="150">
        <v>140</v>
      </c>
      <c r="G295" s="24" t="s">
        <v>862</v>
      </c>
      <c r="H295" s="67">
        <v>58</v>
      </c>
      <c r="I295" s="68">
        <v>3</v>
      </c>
      <c r="J295" s="67">
        <f>H295*I295</f>
        <v>174</v>
      </c>
      <c r="K295" s="46">
        <v>3.34</v>
      </c>
      <c r="L295" s="39">
        <v>44263</v>
      </c>
      <c r="M295" s="39"/>
      <c r="N295" s="213">
        <v>44263</v>
      </c>
      <c r="O295" s="38">
        <v>2951</v>
      </c>
      <c r="P295" s="6"/>
      <c r="Q295" s="483">
        <v>2.97</v>
      </c>
      <c r="S295" s="532">
        <v>240</v>
      </c>
      <c r="T295" s="567">
        <f>S295*J295</f>
        <v>41760</v>
      </c>
      <c r="U295" s="501"/>
      <c r="V295" s="494"/>
    </row>
    <row r="296" spans="1:22" s="7" customFormat="1" ht="15" customHeight="1">
      <c r="A296" s="1"/>
      <c r="B296" s="12"/>
      <c r="C296" s="6" t="s">
        <v>1429</v>
      </c>
      <c r="D296" s="15" t="s">
        <v>11</v>
      </c>
      <c r="E296" s="24">
        <v>2440</v>
      </c>
      <c r="F296" s="150">
        <v>140</v>
      </c>
      <c r="G296" s="24" t="s">
        <v>862</v>
      </c>
      <c r="H296" s="67">
        <v>68</v>
      </c>
      <c r="I296" s="68">
        <v>6</v>
      </c>
      <c r="J296" s="67">
        <f>H296*I296</f>
        <v>408</v>
      </c>
      <c r="K296" s="46">
        <v>3.34</v>
      </c>
      <c r="L296" s="39">
        <v>44263</v>
      </c>
      <c r="M296" s="39"/>
      <c r="N296" s="213">
        <v>44263</v>
      </c>
      <c r="O296" s="38">
        <v>2951</v>
      </c>
      <c r="P296" s="6"/>
      <c r="Q296" s="483">
        <v>2.97</v>
      </c>
      <c r="S296" s="532">
        <v>240</v>
      </c>
      <c r="T296" s="567">
        <f>S296*J296</f>
        <v>97920</v>
      </c>
      <c r="U296" s="501"/>
      <c r="V296" s="494"/>
    </row>
    <row r="297" spans="1:22" s="218" customFormat="1" ht="15">
      <c r="A297" s="1"/>
      <c r="B297" s="541"/>
      <c r="C297" s="6" t="s">
        <v>1429</v>
      </c>
      <c r="D297" s="15" t="s">
        <v>11</v>
      </c>
      <c r="E297" s="228"/>
      <c r="F297" s="160"/>
      <c r="G297" s="228" t="s">
        <v>481</v>
      </c>
      <c r="H297" s="214"/>
      <c r="I297" s="215"/>
      <c r="J297" s="43">
        <v>1</v>
      </c>
      <c r="K297" s="229">
        <v>20</v>
      </c>
      <c r="L297" s="39">
        <v>44263</v>
      </c>
      <c r="M297" s="39"/>
      <c r="N297" s="213">
        <v>44263</v>
      </c>
      <c r="O297" s="38">
        <v>2951</v>
      </c>
      <c r="P297" s="216"/>
      <c r="Q297" s="525">
        <v>20</v>
      </c>
      <c r="S297" s="532">
        <v>1800</v>
      </c>
      <c r="T297" s="113">
        <v>1800</v>
      </c>
      <c r="U297" s="504"/>
      <c r="V297" s="547"/>
    </row>
    <row r="298" spans="1:22" s="314" customFormat="1" ht="15">
      <c r="A298" s="1"/>
      <c r="B298" s="313"/>
      <c r="C298" s="302" t="s">
        <v>1429</v>
      </c>
      <c r="D298" s="303" t="s">
        <v>11</v>
      </c>
      <c r="E298" s="304"/>
      <c r="F298" s="305"/>
      <c r="G298" s="305" t="s">
        <v>1227</v>
      </c>
      <c r="H298" s="307" t="s">
        <v>1228</v>
      </c>
      <c r="I298" s="308"/>
      <c r="J298" s="306"/>
      <c r="K298" s="315">
        <v>0</v>
      </c>
      <c r="L298" s="310">
        <v>44263</v>
      </c>
      <c r="M298" s="310"/>
      <c r="N298" s="311">
        <v>44263</v>
      </c>
      <c r="O298" s="309">
        <v>2951</v>
      </c>
      <c r="P298" s="302"/>
      <c r="Q298" s="485">
        <v>0</v>
      </c>
      <c r="S298" s="535">
        <v>0</v>
      </c>
      <c r="T298" s="322">
        <v>0</v>
      </c>
      <c r="U298" s="515"/>
      <c r="V298" s="549"/>
    </row>
    <row r="299" spans="1:22" s="7" customFormat="1" ht="15">
      <c r="A299" s="1"/>
      <c r="B299" s="12"/>
      <c r="C299" s="6" t="s">
        <v>1430</v>
      </c>
      <c r="D299" s="15" t="s">
        <v>983</v>
      </c>
      <c r="E299" s="20" t="s">
        <v>344</v>
      </c>
      <c r="F299" s="26"/>
      <c r="G299" s="24"/>
      <c r="H299" s="67"/>
      <c r="I299" s="68"/>
      <c r="J299" s="67"/>
      <c r="K299" s="17" t="s">
        <v>134</v>
      </c>
      <c r="L299" s="39">
        <v>44263</v>
      </c>
      <c r="M299" s="39"/>
      <c r="N299" s="213">
        <v>44263</v>
      </c>
      <c r="O299" s="38">
        <v>2950</v>
      </c>
      <c r="P299" s="6" t="s">
        <v>23</v>
      </c>
      <c r="Q299" s="481"/>
      <c r="S299" s="489"/>
      <c r="T299" s="113"/>
      <c r="U299" s="500"/>
      <c r="V299" s="494"/>
    </row>
    <row r="300" spans="1:22" s="7" customFormat="1" ht="15">
      <c r="A300" s="1"/>
      <c r="B300" s="12"/>
      <c r="C300" s="6" t="s">
        <v>1430</v>
      </c>
      <c r="D300" s="15" t="s">
        <v>983</v>
      </c>
      <c r="E300" s="24">
        <v>14552</v>
      </c>
      <c r="F300" s="26">
        <v>10</v>
      </c>
      <c r="G300" s="24" t="s">
        <v>431</v>
      </c>
      <c r="H300" s="151">
        <v>30</v>
      </c>
      <c r="I300" s="152">
        <v>10</v>
      </c>
      <c r="J300" s="67">
        <f>H300*I300</f>
        <v>300</v>
      </c>
      <c r="K300" s="25">
        <v>0.57999999999999996</v>
      </c>
      <c r="L300" s="39">
        <v>44263</v>
      </c>
      <c r="M300" s="39"/>
      <c r="N300" s="213">
        <v>44263</v>
      </c>
      <c r="O300" s="38">
        <v>2950</v>
      </c>
      <c r="P300" s="25"/>
      <c r="Q300" s="482">
        <v>0.46</v>
      </c>
      <c r="S300" s="489">
        <v>31</v>
      </c>
      <c r="T300" s="567">
        <f>S300*J300</f>
        <v>9300</v>
      </c>
      <c r="U300" s="500"/>
      <c r="V300" s="494"/>
    </row>
    <row r="301" spans="1:22" s="7" customFormat="1" ht="15" customHeight="1">
      <c r="A301" s="1"/>
      <c r="B301" s="12"/>
      <c r="C301" s="6" t="s">
        <v>1430</v>
      </c>
      <c r="D301" s="15" t="s">
        <v>983</v>
      </c>
      <c r="E301" s="24"/>
      <c r="F301" s="138"/>
      <c r="G301" s="24" t="s">
        <v>481</v>
      </c>
      <c r="H301" s="8"/>
      <c r="I301" s="41"/>
      <c r="J301" s="45">
        <v>1</v>
      </c>
      <c r="K301" s="46">
        <v>12</v>
      </c>
      <c r="L301" s="39">
        <v>44263</v>
      </c>
      <c r="M301" s="39"/>
      <c r="N301" s="213">
        <v>44263</v>
      </c>
      <c r="O301" s="38">
        <v>2950</v>
      </c>
      <c r="P301" s="6"/>
      <c r="Q301" s="483">
        <v>12</v>
      </c>
      <c r="S301" s="489">
        <v>1000</v>
      </c>
      <c r="T301" s="567">
        <f>S301*J301</f>
        <v>1000</v>
      </c>
      <c r="U301" s="501"/>
      <c r="V301" s="494"/>
    </row>
    <row r="302" spans="1:22" s="314" customFormat="1" ht="15" customHeight="1">
      <c r="A302" s="1"/>
      <c r="B302" s="313"/>
      <c r="C302" s="302" t="s">
        <v>1430</v>
      </c>
      <c r="D302" s="303" t="s">
        <v>983</v>
      </c>
      <c r="E302" s="304"/>
      <c r="F302" s="305"/>
      <c r="G302" s="305" t="s">
        <v>1227</v>
      </c>
      <c r="H302" s="307" t="s">
        <v>1243</v>
      </c>
      <c r="I302" s="308"/>
      <c r="J302" s="306"/>
      <c r="K302" s="329">
        <v>45</v>
      </c>
      <c r="L302" s="310">
        <v>44263</v>
      </c>
      <c r="M302" s="310"/>
      <c r="N302" s="311">
        <v>44263</v>
      </c>
      <c r="O302" s="309">
        <v>2950</v>
      </c>
      <c r="P302" s="302"/>
      <c r="Q302" s="527">
        <v>45</v>
      </c>
      <c r="S302" s="537">
        <v>3878</v>
      </c>
      <c r="T302" s="348">
        <v>3878</v>
      </c>
      <c r="U302" s="515"/>
      <c r="V302" s="549"/>
    </row>
    <row r="303" spans="1:22" s="7" customFormat="1" ht="18" customHeight="1">
      <c r="A303" s="1"/>
      <c r="B303" s="12"/>
      <c r="C303" s="6" t="s">
        <v>1438</v>
      </c>
      <c r="D303" s="15" t="s">
        <v>1214</v>
      </c>
      <c r="E303" s="20" t="s">
        <v>1003</v>
      </c>
      <c r="F303" s="24"/>
      <c r="G303" s="44"/>
      <c r="H303" s="151"/>
      <c r="I303" s="151"/>
      <c r="J303" s="151"/>
      <c r="K303" s="153" t="s">
        <v>10</v>
      </c>
      <c r="L303" s="39">
        <v>44271</v>
      </c>
      <c r="M303" s="39"/>
      <c r="N303" s="213">
        <v>44271</v>
      </c>
      <c r="O303" s="38">
        <v>2946</v>
      </c>
      <c r="P303" s="6"/>
      <c r="Q303" s="411"/>
      <c r="S303" s="489"/>
      <c r="T303" s="113"/>
      <c r="U303" s="501"/>
      <c r="V303" s="494"/>
    </row>
    <row r="304" spans="1:22" s="7" customFormat="1" ht="15.95" customHeight="1">
      <c r="A304" s="1"/>
      <c r="B304" s="12"/>
      <c r="C304" s="6" t="s">
        <v>1438</v>
      </c>
      <c r="D304" s="15" t="s">
        <v>1214</v>
      </c>
      <c r="E304" s="24" t="s">
        <v>1426</v>
      </c>
      <c r="F304" s="44"/>
      <c r="G304" s="44" t="s">
        <v>78</v>
      </c>
      <c r="H304" s="8">
        <v>14</v>
      </c>
      <c r="I304" s="41">
        <v>2</v>
      </c>
      <c r="J304" s="67">
        <f>H304*I304</f>
        <v>28</v>
      </c>
      <c r="K304" s="46">
        <v>1.54</v>
      </c>
      <c r="L304" s="39">
        <v>44271</v>
      </c>
      <c r="M304" s="39"/>
      <c r="N304" s="213">
        <v>44271</v>
      </c>
      <c r="O304" s="38">
        <v>2946</v>
      </c>
      <c r="P304" s="6"/>
      <c r="Q304" s="483">
        <v>1.23</v>
      </c>
      <c r="S304" s="489">
        <v>55</v>
      </c>
      <c r="T304" s="567">
        <f>S304*J304</f>
        <v>1540</v>
      </c>
      <c r="U304" s="517" t="s">
        <v>1432</v>
      </c>
      <c r="V304" s="494"/>
    </row>
    <row r="305" spans="1:22" s="7" customFormat="1" ht="15" customHeight="1">
      <c r="A305" s="1"/>
      <c r="B305" s="12"/>
      <c r="C305" s="6" t="s">
        <v>1438</v>
      </c>
      <c r="D305" s="15" t="s">
        <v>1214</v>
      </c>
      <c r="E305" s="24"/>
      <c r="F305" s="138"/>
      <c r="G305" s="24" t="s">
        <v>481</v>
      </c>
      <c r="H305" s="8"/>
      <c r="I305" s="41"/>
      <c r="J305" s="45">
        <v>1</v>
      </c>
      <c r="K305" s="46">
        <v>12</v>
      </c>
      <c r="L305" s="39">
        <v>44271</v>
      </c>
      <c r="M305" s="39"/>
      <c r="N305" s="213">
        <v>44271</v>
      </c>
      <c r="O305" s="38">
        <v>2946</v>
      </c>
      <c r="P305" s="6"/>
      <c r="Q305" s="483">
        <v>12</v>
      </c>
      <c r="S305" s="489">
        <v>900</v>
      </c>
      <c r="T305" s="567">
        <f>S305*J305</f>
        <v>900</v>
      </c>
      <c r="U305" s="501"/>
      <c r="V305" s="494"/>
    </row>
    <row r="306" spans="1:22" s="314" customFormat="1" ht="15" customHeight="1">
      <c r="A306" s="1"/>
      <c r="B306" s="313"/>
      <c r="C306" s="302" t="s">
        <v>1438</v>
      </c>
      <c r="D306" s="303" t="s">
        <v>1214</v>
      </c>
      <c r="E306" s="304"/>
      <c r="F306" s="305"/>
      <c r="G306" s="305" t="s">
        <v>1227</v>
      </c>
      <c r="H306" s="307" t="s">
        <v>1228</v>
      </c>
      <c r="I306" s="308"/>
      <c r="J306" s="306"/>
      <c r="K306" s="315">
        <v>0</v>
      </c>
      <c r="L306" s="310">
        <v>44271</v>
      </c>
      <c r="M306" s="310"/>
      <c r="N306" s="311">
        <v>44271</v>
      </c>
      <c r="O306" s="309">
        <v>2946</v>
      </c>
      <c r="P306" s="302"/>
      <c r="Q306" s="485">
        <v>0</v>
      </c>
      <c r="S306" s="536">
        <v>0</v>
      </c>
      <c r="T306" s="322">
        <v>0</v>
      </c>
      <c r="U306" s="515"/>
      <c r="V306" s="549"/>
    </row>
    <row r="307" spans="1:22" s="7" customFormat="1" ht="15">
      <c r="A307" s="1"/>
      <c r="B307" s="12"/>
      <c r="C307" s="6" t="s">
        <v>1433</v>
      </c>
      <c r="D307" s="15" t="s">
        <v>1056</v>
      </c>
      <c r="E307" s="20" t="s">
        <v>337</v>
      </c>
      <c r="F307" s="26"/>
      <c r="G307" s="24"/>
      <c r="H307" s="45"/>
      <c r="I307" s="68"/>
      <c r="J307" s="67"/>
      <c r="K307" s="17" t="s">
        <v>10</v>
      </c>
      <c r="L307" s="39">
        <v>44273</v>
      </c>
      <c r="M307" s="39"/>
      <c r="N307" s="213">
        <v>44273</v>
      </c>
      <c r="O307" s="38">
        <v>2978</v>
      </c>
      <c r="P307" s="6"/>
      <c r="Q307" s="482"/>
      <c r="S307" s="489"/>
      <c r="T307" s="113"/>
      <c r="U307" s="500"/>
      <c r="V307" s="494"/>
    </row>
    <row r="308" spans="1:22" s="7" customFormat="1" ht="15" customHeight="1">
      <c r="A308" s="1"/>
      <c r="B308" s="12"/>
      <c r="C308" s="6" t="s">
        <v>1433</v>
      </c>
      <c r="D308" s="15" t="s">
        <v>1056</v>
      </c>
      <c r="E308" s="24">
        <v>3705</v>
      </c>
      <c r="F308" s="26">
        <v>19</v>
      </c>
      <c r="G308" s="24" t="s">
        <v>913</v>
      </c>
      <c r="H308" s="151">
        <v>30</v>
      </c>
      <c r="I308" s="152">
        <v>6</v>
      </c>
      <c r="J308" s="67">
        <f>H308*I308</f>
        <v>180</v>
      </c>
      <c r="K308" s="46">
        <v>0.47</v>
      </c>
      <c r="L308" s="39">
        <v>44273</v>
      </c>
      <c r="M308" s="39"/>
      <c r="N308" s="213">
        <v>44273</v>
      </c>
      <c r="O308" s="38">
        <v>2978</v>
      </c>
      <c r="P308" s="6"/>
      <c r="Q308" s="483">
        <v>0.37</v>
      </c>
      <c r="S308" s="489">
        <v>21.434000000000001</v>
      </c>
      <c r="T308" s="567">
        <f>S308*J308</f>
        <v>3858.1200000000003</v>
      </c>
      <c r="U308" s="500" t="s">
        <v>1292</v>
      </c>
      <c r="V308" s="494"/>
    </row>
    <row r="309" spans="1:22" s="222" customFormat="1" ht="15">
      <c r="A309" s="1"/>
      <c r="B309" s="232"/>
      <c r="C309" s="220" t="s">
        <v>1433</v>
      </c>
      <c r="D309" s="224" t="s">
        <v>1056</v>
      </c>
      <c r="E309" s="177">
        <v>3705</v>
      </c>
      <c r="F309" s="176">
        <v>19</v>
      </c>
      <c r="G309" s="177" t="s">
        <v>912</v>
      </c>
      <c r="H309" s="223">
        <v>30</v>
      </c>
      <c r="I309" s="231">
        <v>13</v>
      </c>
      <c r="J309" s="221">
        <f>H309*I309</f>
        <v>390</v>
      </c>
      <c r="K309" s="201">
        <v>0.47</v>
      </c>
      <c r="L309" s="376" t="s">
        <v>96</v>
      </c>
      <c r="M309" s="786"/>
      <c r="N309" s="204"/>
      <c r="O309" s="203"/>
      <c r="P309" s="220"/>
      <c r="Q309" s="484"/>
      <c r="S309" s="493"/>
      <c r="T309" s="566"/>
      <c r="U309" s="509"/>
      <c r="V309" s="495"/>
    </row>
    <row r="310" spans="1:22" ht="15.95" customHeight="1">
      <c r="C310" s="6" t="s">
        <v>1433</v>
      </c>
      <c r="D310" s="15" t="s">
        <v>1056</v>
      </c>
      <c r="E310" s="24"/>
      <c r="F310" s="138"/>
      <c r="G310" s="24" t="s">
        <v>481</v>
      </c>
      <c r="H310" s="8"/>
      <c r="I310" s="41"/>
      <c r="J310" s="45">
        <v>1</v>
      </c>
      <c r="K310" s="46">
        <v>12</v>
      </c>
      <c r="L310" s="39">
        <v>44273</v>
      </c>
      <c r="M310" s="39"/>
      <c r="N310" s="213">
        <v>44273</v>
      </c>
      <c r="O310" s="38">
        <v>2978</v>
      </c>
      <c r="P310" s="179"/>
      <c r="Q310" s="483">
        <v>12</v>
      </c>
      <c r="S310" s="489">
        <v>0</v>
      </c>
      <c r="T310" s="113">
        <v>0</v>
      </c>
      <c r="U310" s="511"/>
    </row>
    <row r="311" spans="1:22" s="314" customFormat="1" ht="15">
      <c r="A311" s="1"/>
      <c r="B311" s="313"/>
      <c r="C311" s="302" t="s">
        <v>1433</v>
      </c>
      <c r="D311" s="303" t="s">
        <v>1056</v>
      </c>
      <c r="E311" s="304"/>
      <c r="F311" s="305"/>
      <c r="G311" s="305" t="s">
        <v>1227</v>
      </c>
      <c r="H311" s="307" t="s">
        <v>1228</v>
      </c>
      <c r="I311" s="308"/>
      <c r="J311" s="306"/>
      <c r="K311" s="315">
        <v>0</v>
      </c>
      <c r="L311" s="310">
        <v>44273</v>
      </c>
      <c r="M311" s="310"/>
      <c r="N311" s="311">
        <v>44273</v>
      </c>
      <c r="O311" s="309">
        <v>2978</v>
      </c>
      <c r="P311" s="302"/>
      <c r="Q311" s="485">
        <v>0</v>
      </c>
      <c r="S311" s="535">
        <v>0</v>
      </c>
      <c r="T311" s="322">
        <v>0</v>
      </c>
      <c r="U311" s="515"/>
      <c r="V311" s="549"/>
    </row>
    <row r="312" spans="1:22" ht="15">
      <c r="C312" s="6" t="s">
        <v>1437</v>
      </c>
      <c r="D312" s="15" t="s">
        <v>415</v>
      </c>
      <c r="E312" s="20" t="s">
        <v>1127</v>
      </c>
      <c r="F312" s="26"/>
      <c r="G312" s="24"/>
      <c r="H312" s="67"/>
      <c r="I312" s="68"/>
      <c r="J312" s="67"/>
      <c r="K312" s="17" t="s">
        <v>134</v>
      </c>
      <c r="L312" s="39">
        <v>44271</v>
      </c>
      <c r="M312" s="39"/>
      <c r="N312" s="213">
        <v>44271</v>
      </c>
      <c r="O312" s="38">
        <v>2972</v>
      </c>
      <c r="P312" s="6"/>
      <c r="Q312" s="481"/>
      <c r="S312" s="489"/>
      <c r="T312" s="113"/>
      <c r="U312" s="500"/>
    </row>
    <row r="313" spans="1:22" ht="15">
      <c r="C313" s="6" t="s">
        <v>1437</v>
      </c>
      <c r="D313" s="15" t="s">
        <v>415</v>
      </c>
      <c r="E313" s="24" t="s">
        <v>354</v>
      </c>
      <c r="F313" s="26"/>
      <c r="G313" s="24" t="s">
        <v>353</v>
      </c>
      <c r="H313" s="67">
        <v>50</v>
      </c>
      <c r="I313" s="68">
        <v>1</v>
      </c>
      <c r="J313" s="67">
        <v>50</v>
      </c>
      <c r="K313" s="25">
        <v>0.3</v>
      </c>
      <c r="L313" s="39">
        <v>44271</v>
      </c>
      <c r="M313" s="39"/>
      <c r="N313" s="213">
        <v>44271</v>
      </c>
      <c r="O313" s="38">
        <v>2972</v>
      </c>
      <c r="P313" s="6" t="s">
        <v>23</v>
      </c>
      <c r="Q313" s="483">
        <v>0.24</v>
      </c>
      <c r="S313" s="489">
        <v>16</v>
      </c>
      <c r="T313" s="113">
        <v>800</v>
      </c>
      <c r="U313" s="500"/>
    </row>
    <row r="314" spans="1:22" s="7" customFormat="1" ht="15" customHeight="1">
      <c r="A314" s="1"/>
      <c r="B314" s="12"/>
      <c r="C314" s="6" t="s">
        <v>1437</v>
      </c>
      <c r="D314" s="15" t="s">
        <v>415</v>
      </c>
      <c r="E314" s="24"/>
      <c r="F314" s="138"/>
      <c r="G314" s="24" t="s">
        <v>481</v>
      </c>
      <c r="H314" s="8"/>
      <c r="I314" s="41"/>
      <c r="J314" s="45">
        <v>1</v>
      </c>
      <c r="K314" s="46">
        <v>12</v>
      </c>
      <c r="L314" s="39">
        <v>44271</v>
      </c>
      <c r="M314" s="39"/>
      <c r="N314" s="213">
        <v>44271</v>
      </c>
      <c r="O314" s="38">
        <v>2972</v>
      </c>
      <c r="P314" s="6"/>
      <c r="Q314" s="483">
        <v>12</v>
      </c>
      <c r="S314" s="489">
        <v>1100</v>
      </c>
      <c r="T314" s="567">
        <f>S314*J314</f>
        <v>1100</v>
      </c>
      <c r="U314" s="501"/>
      <c r="V314" s="494"/>
    </row>
    <row r="315" spans="1:22" s="314" customFormat="1" ht="15" customHeight="1">
      <c r="A315" s="1"/>
      <c r="B315" s="313"/>
      <c r="C315" s="302" t="s">
        <v>1437</v>
      </c>
      <c r="D315" s="303" t="s">
        <v>415</v>
      </c>
      <c r="E315" s="304"/>
      <c r="F315" s="305"/>
      <c r="G315" s="305" t="s">
        <v>1227</v>
      </c>
      <c r="H315" s="307" t="s">
        <v>1243</v>
      </c>
      <c r="I315" s="308"/>
      <c r="J315" s="306"/>
      <c r="K315" s="329">
        <v>50</v>
      </c>
      <c r="L315" s="310">
        <v>44271</v>
      </c>
      <c r="M315" s="310"/>
      <c r="N315" s="311">
        <v>44271</v>
      </c>
      <c r="O315" s="309">
        <v>2972</v>
      </c>
      <c r="P315" s="302"/>
      <c r="Q315" s="527">
        <v>50</v>
      </c>
      <c r="S315" s="537">
        <v>4795</v>
      </c>
      <c r="T315" s="348">
        <v>4795</v>
      </c>
      <c r="U315" s="515"/>
      <c r="V315" s="549"/>
    </row>
    <row r="316" spans="1:22" s="7" customFormat="1" ht="18" customHeight="1">
      <c r="A316" s="1"/>
      <c r="B316" s="12"/>
      <c r="C316" s="6" t="s">
        <v>1440</v>
      </c>
      <c r="D316" s="15" t="s">
        <v>722</v>
      </c>
      <c r="E316" s="20" t="s">
        <v>977</v>
      </c>
      <c r="F316" s="150"/>
      <c r="G316" s="24"/>
      <c r="H316" s="151"/>
      <c r="I316" s="152"/>
      <c r="J316" s="151"/>
      <c r="K316" s="34" t="s">
        <v>10</v>
      </c>
      <c r="L316" s="39">
        <v>44274</v>
      </c>
      <c r="M316" s="39"/>
      <c r="N316" s="213">
        <v>44274</v>
      </c>
      <c r="O316" s="38">
        <v>2977</v>
      </c>
      <c r="P316" s="15"/>
      <c r="Q316" s="483"/>
      <c r="S316" s="489"/>
      <c r="T316" s="113"/>
      <c r="U316" s="506"/>
      <c r="V316" s="494"/>
    </row>
    <row r="317" spans="1:22" s="7" customFormat="1" ht="15">
      <c r="A317" s="1"/>
      <c r="B317" s="12"/>
      <c r="C317" s="6" t="s">
        <v>1440</v>
      </c>
      <c r="D317" s="15" t="s">
        <v>722</v>
      </c>
      <c r="E317" s="24" t="s">
        <v>1218</v>
      </c>
      <c r="F317" s="150">
        <v>152</v>
      </c>
      <c r="G317" s="24" t="s">
        <v>1079</v>
      </c>
      <c r="H317" s="67">
        <v>58</v>
      </c>
      <c r="I317" s="68">
        <v>4</v>
      </c>
      <c r="J317" s="67">
        <f>H317*I317</f>
        <v>232</v>
      </c>
      <c r="K317" s="25">
        <v>5.57</v>
      </c>
      <c r="L317" s="39">
        <v>44274</v>
      </c>
      <c r="M317" s="39"/>
      <c r="N317" s="213">
        <v>44274</v>
      </c>
      <c r="O317" s="38">
        <v>2977</v>
      </c>
      <c r="P317" s="6"/>
      <c r="Q317" s="483">
        <v>4.1900000000000004</v>
      </c>
      <c r="S317" s="489">
        <v>320</v>
      </c>
      <c r="T317" s="567">
        <f>S317*J317</f>
        <v>74240</v>
      </c>
      <c r="U317" s="521" t="s">
        <v>1441</v>
      </c>
      <c r="V317" s="494"/>
    </row>
    <row r="318" spans="1:22" s="7" customFormat="1" ht="15">
      <c r="A318" s="1"/>
      <c r="B318" s="12"/>
      <c r="C318" s="6" t="s">
        <v>1440</v>
      </c>
      <c r="D318" s="15" t="s">
        <v>722</v>
      </c>
      <c r="E318" s="56"/>
      <c r="F318" s="138"/>
      <c r="G318" s="24" t="s">
        <v>31</v>
      </c>
      <c r="H318" s="45"/>
      <c r="I318" s="41"/>
      <c r="J318" s="45">
        <v>1</v>
      </c>
      <c r="K318" s="46">
        <v>20</v>
      </c>
      <c r="L318" s="39">
        <v>44274</v>
      </c>
      <c r="M318" s="39"/>
      <c r="N318" s="213">
        <v>44274</v>
      </c>
      <c r="O318" s="38">
        <v>2977</v>
      </c>
      <c r="P318" s="6"/>
      <c r="Q318" s="483">
        <v>20</v>
      </c>
      <c r="S318" s="489">
        <v>1800</v>
      </c>
      <c r="T318" s="113">
        <v>1800</v>
      </c>
      <c r="U318" s="501"/>
      <c r="V318" s="494"/>
    </row>
    <row r="319" spans="1:22" s="7" customFormat="1" ht="18" customHeight="1">
      <c r="A319" s="1"/>
      <c r="B319" s="12"/>
      <c r="C319" s="6" t="s">
        <v>1440</v>
      </c>
      <c r="D319" s="15" t="s">
        <v>722</v>
      </c>
      <c r="E319" s="377"/>
      <c r="F319" s="44"/>
      <c r="G319" s="44" t="s">
        <v>195</v>
      </c>
      <c r="H319" s="8"/>
      <c r="I319" s="8"/>
      <c r="J319" s="45">
        <v>1</v>
      </c>
      <c r="K319" s="46">
        <v>30</v>
      </c>
      <c r="L319" s="39">
        <v>44274</v>
      </c>
      <c r="M319" s="39"/>
      <c r="N319" s="213">
        <v>44274</v>
      </c>
      <c r="O319" s="38">
        <v>2977</v>
      </c>
      <c r="P319" s="6"/>
      <c r="Q319" s="483">
        <v>30</v>
      </c>
      <c r="S319" s="536">
        <v>3000</v>
      </c>
      <c r="T319" s="321">
        <v>3000</v>
      </c>
      <c r="U319" s="507"/>
      <c r="V319" s="494"/>
    </row>
    <row r="320" spans="1:22" s="378" customFormat="1" ht="15">
      <c r="A320" s="1"/>
      <c r="B320" s="312"/>
      <c r="C320" s="302" t="s">
        <v>1440</v>
      </c>
      <c r="D320" s="303" t="s">
        <v>722</v>
      </c>
      <c r="E320" s="304"/>
      <c r="F320" s="305"/>
      <c r="G320" s="305" t="s">
        <v>1227</v>
      </c>
      <c r="H320" s="307" t="s">
        <v>1442</v>
      </c>
      <c r="I320" s="308"/>
      <c r="J320" s="306"/>
      <c r="K320" s="315">
        <v>145</v>
      </c>
      <c r="L320" s="310">
        <v>44274</v>
      </c>
      <c r="M320" s="310"/>
      <c r="N320" s="311">
        <v>44274</v>
      </c>
      <c r="O320" s="309">
        <v>2977</v>
      </c>
      <c r="P320" s="302"/>
      <c r="Q320" s="527">
        <v>145</v>
      </c>
      <c r="S320" s="536">
        <v>8465</v>
      </c>
      <c r="T320" s="321">
        <v>8465</v>
      </c>
      <c r="U320" s="515"/>
      <c r="V320" s="535"/>
    </row>
    <row r="321" spans="1:22" s="7" customFormat="1" ht="15">
      <c r="A321" s="1"/>
      <c r="B321" s="12"/>
      <c r="C321" s="6" t="s">
        <v>1443</v>
      </c>
      <c r="D321" s="15" t="s">
        <v>500</v>
      </c>
      <c r="E321" s="20" t="s">
        <v>503</v>
      </c>
      <c r="F321" s="26"/>
      <c r="G321" s="24"/>
      <c r="H321" s="67"/>
      <c r="I321" s="68"/>
      <c r="J321" s="67"/>
      <c r="K321" s="17" t="s">
        <v>134</v>
      </c>
      <c r="L321" s="39">
        <v>44273</v>
      </c>
      <c r="M321" s="39"/>
      <c r="N321" s="213">
        <v>44273</v>
      </c>
      <c r="O321" s="38">
        <v>2980</v>
      </c>
      <c r="P321" s="179" t="s">
        <v>23</v>
      </c>
      <c r="Q321" s="435"/>
      <c r="S321" s="489"/>
      <c r="T321" s="113"/>
      <c r="U321" s="510"/>
      <c r="V321" s="494"/>
    </row>
    <row r="322" spans="1:22" s="7" customFormat="1" ht="18" customHeight="1">
      <c r="A322" s="1"/>
      <c r="B322" s="12"/>
      <c r="C322" s="6" t="s">
        <v>1443</v>
      </c>
      <c r="D322" s="15" t="s">
        <v>500</v>
      </c>
      <c r="E322" s="24">
        <v>5356</v>
      </c>
      <c r="F322" s="26">
        <v>3</v>
      </c>
      <c r="G322" s="24" t="s">
        <v>29</v>
      </c>
      <c r="H322" s="67">
        <v>30</v>
      </c>
      <c r="I322" s="68">
        <v>4</v>
      </c>
      <c r="J322" s="67">
        <f>H322*I322</f>
        <v>120</v>
      </c>
      <c r="K322" s="46">
        <v>0.56000000000000005</v>
      </c>
      <c r="L322" s="39">
        <v>44273</v>
      </c>
      <c r="M322" s="39"/>
      <c r="N322" s="213">
        <v>44273</v>
      </c>
      <c r="O322" s="38">
        <v>2980</v>
      </c>
      <c r="P322" s="179"/>
      <c r="Q322" s="180">
        <v>0.45</v>
      </c>
      <c r="S322" s="489">
        <v>30</v>
      </c>
      <c r="T322" s="567">
        <f>S322*J322</f>
        <v>3600</v>
      </c>
      <c r="U322" s="511"/>
      <c r="V322" s="494"/>
    </row>
    <row r="323" spans="1:22" ht="15.95" customHeight="1">
      <c r="C323" s="6" t="s">
        <v>1443</v>
      </c>
      <c r="D323" s="15" t="s">
        <v>500</v>
      </c>
      <c r="E323" s="24"/>
      <c r="F323" s="138"/>
      <c r="G323" s="24" t="s">
        <v>481</v>
      </c>
      <c r="H323" s="8"/>
      <c r="I323" s="41"/>
      <c r="J323" s="45">
        <v>1</v>
      </c>
      <c r="K323" s="46">
        <v>12</v>
      </c>
      <c r="L323" s="39">
        <v>44273</v>
      </c>
      <c r="M323" s="39"/>
      <c r="N323" s="213">
        <v>44273</v>
      </c>
      <c r="O323" s="38">
        <v>2980</v>
      </c>
      <c r="P323" s="179"/>
      <c r="Q323" s="180">
        <v>12</v>
      </c>
      <c r="S323" s="498">
        <v>900</v>
      </c>
      <c r="T323" s="568">
        <f>S323*J323</f>
        <v>900</v>
      </c>
      <c r="U323" s="511"/>
    </row>
    <row r="324" spans="1:22" s="314" customFormat="1" ht="15" customHeight="1">
      <c r="A324" s="1"/>
      <c r="B324" s="313"/>
      <c r="C324" s="302" t="s">
        <v>1443</v>
      </c>
      <c r="D324" s="303" t="s">
        <v>500</v>
      </c>
      <c r="E324" s="304"/>
      <c r="F324" s="305"/>
      <c r="G324" s="305" t="s">
        <v>1227</v>
      </c>
      <c r="H324" s="307" t="s">
        <v>1228</v>
      </c>
      <c r="I324" s="308"/>
      <c r="J324" s="306"/>
      <c r="K324" s="315">
        <v>0</v>
      </c>
      <c r="L324" s="310">
        <v>44273</v>
      </c>
      <c r="M324" s="310"/>
      <c r="N324" s="311">
        <v>44273</v>
      </c>
      <c r="O324" s="309">
        <v>2980</v>
      </c>
      <c r="P324" s="302"/>
      <c r="Q324" s="485">
        <v>0</v>
      </c>
      <c r="S324" s="536">
        <v>0</v>
      </c>
      <c r="T324" s="322">
        <v>0</v>
      </c>
      <c r="U324" s="515"/>
      <c r="V324" s="549"/>
    </row>
    <row r="325" spans="1:22" s="7" customFormat="1" ht="15">
      <c r="A325" s="1"/>
      <c r="B325" s="12"/>
      <c r="C325" s="6" t="s">
        <v>1444</v>
      </c>
      <c r="D325" s="15" t="s">
        <v>909</v>
      </c>
      <c r="E325" s="20" t="s">
        <v>1026</v>
      </c>
      <c r="F325" s="44"/>
      <c r="G325" s="44"/>
      <c r="H325" s="151"/>
      <c r="I325" s="151"/>
      <c r="J325" s="151"/>
      <c r="K325" s="34" t="s">
        <v>1027</v>
      </c>
      <c r="L325" s="39">
        <v>44287</v>
      </c>
      <c r="M325" s="39"/>
      <c r="N325" s="213">
        <v>44287</v>
      </c>
      <c r="O325" s="38">
        <v>3033</v>
      </c>
      <c r="P325" s="6"/>
      <c r="Q325" s="524"/>
      <c r="S325" s="489"/>
      <c r="T325" s="113"/>
      <c r="U325" s="501"/>
      <c r="V325" s="494"/>
    </row>
    <row r="326" spans="1:22" s="7" customFormat="1" ht="15" customHeight="1">
      <c r="A326" s="1"/>
      <c r="B326" s="12"/>
      <c r="C326" s="6" t="s">
        <v>1444</v>
      </c>
      <c r="D326" s="15" t="s">
        <v>909</v>
      </c>
      <c r="E326" s="24" t="s">
        <v>1346</v>
      </c>
      <c r="F326" s="44" t="s">
        <v>1030</v>
      </c>
      <c r="G326" s="267" t="s">
        <v>1445</v>
      </c>
      <c r="H326" s="261">
        <v>195</v>
      </c>
      <c r="I326" s="261">
        <v>195</v>
      </c>
      <c r="J326" s="261">
        <v>195</v>
      </c>
      <c r="K326" s="46">
        <v>0.48</v>
      </c>
      <c r="L326" s="39">
        <v>44287</v>
      </c>
      <c r="M326" s="39"/>
      <c r="N326" s="213">
        <v>44287</v>
      </c>
      <c r="O326" s="38">
        <v>3033</v>
      </c>
      <c r="P326" s="6"/>
      <c r="Q326" s="483">
        <v>0.38</v>
      </c>
      <c r="S326" s="489">
        <v>25.6</v>
      </c>
      <c r="T326" s="567">
        <f t="shared" ref="T326:T340" si="6">S326*J326</f>
        <v>4992</v>
      </c>
      <c r="U326" s="507"/>
      <c r="V326" s="494"/>
    </row>
    <row r="327" spans="1:22" s="7" customFormat="1" ht="15" customHeight="1">
      <c r="A327" s="1"/>
      <c r="B327" s="12"/>
      <c r="C327" s="6" t="s">
        <v>1444</v>
      </c>
      <c r="D327" s="15" t="s">
        <v>909</v>
      </c>
      <c r="E327" s="24" t="s">
        <v>1346</v>
      </c>
      <c r="F327" s="44" t="s">
        <v>1032</v>
      </c>
      <c r="G327" s="267" t="s">
        <v>1445</v>
      </c>
      <c r="H327" s="261">
        <v>301</v>
      </c>
      <c r="I327" s="261">
        <v>301</v>
      </c>
      <c r="J327" s="261">
        <v>301</v>
      </c>
      <c r="K327" s="46">
        <v>0.5</v>
      </c>
      <c r="L327" s="39">
        <v>44287</v>
      </c>
      <c r="M327" s="39"/>
      <c r="N327" s="213">
        <v>44287</v>
      </c>
      <c r="O327" s="38">
        <v>3033</v>
      </c>
      <c r="P327" s="6"/>
      <c r="Q327" s="483">
        <v>0.4</v>
      </c>
      <c r="S327" s="489">
        <v>26.7</v>
      </c>
      <c r="T327" s="567">
        <f t="shared" si="6"/>
        <v>8036.7</v>
      </c>
      <c r="U327" s="507"/>
      <c r="V327" s="494"/>
    </row>
    <row r="328" spans="1:22" s="7" customFormat="1" ht="15">
      <c r="A328" s="1"/>
      <c r="B328" s="12"/>
      <c r="C328" s="6" t="s">
        <v>1444</v>
      </c>
      <c r="D328" s="15" t="s">
        <v>909</v>
      </c>
      <c r="E328" s="24" t="s">
        <v>1346</v>
      </c>
      <c r="F328" s="44" t="s">
        <v>1033</v>
      </c>
      <c r="G328" s="267" t="s">
        <v>1445</v>
      </c>
      <c r="H328" s="261">
        <v>100</v>
      </c>
      <c r="I328" s="261">
        <v>100</v>
      </c>
      <c r="J328" s="261">
        <v>100</v>
      </c>
      <c r="K328" s="46">
        <v>0.51</v>
      </c>
      <c r="L328" s="39">
        <v>44287</v>
      </c>
      <c r="M328" s="39"/>
      <c r="N328" s="213">
        <v>44287</v>
      </c>
      <c r="O328" s="38">
        <v>3033</v>
      </c>
      <c r="P328" s="6"/>
      <c r="Q328" s="483">
        <v>0.41000000000000003</v>
      </c>
      <c r="S328" s="489">
        <v>27.5</v>
      </c>
      <c r="T328" s="567">
        <f t="shared" si="6"/>
        <v>2750</v>
      </c>
      <c r="U328" s="507"/>
      <c r="V328" s="494"/>
    </row>
    <row r="329" spans="1:22" s="7" customFormat="1" ht="15" customHeight="1">
      <c r="A329" s="1"/>
      <c r="B329" s="12"/>
      <c r="C329" s="6" t="s">
        <v>1444</v>
      </c>
      <c r="D329" s="15" t="s">
        <v>909</v>
      </c>
      <c r="E329" s="24" t="s">
        <v>1346</v>
      </c>
      <c r="F329" s="44" t="s">
        <v>1034</v>
      </c>
      <c r="G329" s="267" t="s">
        <v>1445</v>
      </c>
      <c r="H329" s="261">
        <v>100</v>
      </c>
      <c r="I329" s="261">
        <v>100</v>
      </c>
      <c r="J329" s="261">
        <v>100</v>
      </c>
      <c r="K329" s="46">
        <v>0.53</v>
      </c>
      <c r="L329" s="39">
        <v>44287</v>
      </c>
      <c r="M329" s="39"/>
      <c r="N329" s="213">
        <v>44287</v>
      </c>
      <c r="O329" s="38">
        <v>3033</v>
      </c>
      <c r="P329" s="6"/>
      <c r="Q329" s="483">
        <v>0.42</v>
      </c>
      <c r="S329" s="489">
        <v>28.3</v>
      </c>
      <c r="T329" s="567">
        <f t="shared" si="6"/>
        <v>2830</v>
      </c>
      <c r="U329" s="507"/>
      <c r="V329" s="494"/>
    </row>
    <row r="330" spans="1:22" s="7" customFormat="1" ht="15" customHeight="1">
      <c r="A330" s="1"/>
      <c r="B330" s="12"/>
      <c r="C330" s="6" t="s">
        <v>1444</v>
      </c>
      <c r="D330" s="15" t="s">
        <v>909</v>
      </c>
      <c r="E330" s="24" t="s">
        <v>1346</v>
      </c>
      <c r="F330" s="44" t="s">
        <v>1030</v>
      </c>
      <c r="G330" s="267" t="s">
        <v>1347</v>
      </c>
      <c r="H330" s="261">
        <v>511</v>
      </c>
      <c r="I330" s="261">
        <v>511</v>
      </c>
      <c r="J330" s="261">
        <v>511</v>
      </c>
      <c r="K330" s="46">
        <v>0.48</v>
      </c>
      <c r="L330" s="39">
        <v>44287</v>
      </c>
      <c r="M330" s="39"/>
      <c r="N330" s="213">
        <v>44287</v>
      </c>
      <c r="O330" s="38">
        <v>3033</v>
      </c>
      <c r="P330" s="6"/>
      <c r="Q330" s="483">
        <v>0.38</v>
      </c>
      <c r="S330" s="489">
        <v>25.6</v>
      </c>
      <c r="T330" s="567">
        <f t="shared" si="6"/>
        <v>13081.6</v>
      </c>
      <c r="U330" s="507"/>
      <c r="V330" s="494"/>
    </row>
    <row r="331" spans="1:22" s="7" customFormat="1" ht="15">
      <c r="A331" s="1"/>
      <c r="B331" s="12"/>
      <c r="C331" s="6" t="s">
        <v>1444</v>
      </c>
      <c r="D331" s="15" t="s">
        <v>909</v>
      </c>
      <c r="E331" s="24" t="s">
        <v>1346</v>
      </c>
      <c r="F331" s="44" t="s">
        <v>1032</v>
      </c>
      <c r="G331" s="267" t="s">
        <v>1347</v>
      </c>
      <c r="H331" s="261">
        <v>1055</v>
      </c>
      <c r="I331" s="261">
        <v>1055</v>
      </c>
      <c r="J331" s="261">
        <v>1055</v>
      </c>
      <c r="K331" s="46">
        <v>0.5</v>
      </c>
      <c r="L331" s="39">
        <v>44287</v>
      </c>
      <c r="M331" s="39"/>
      <c r="N331" s="213">
        <v>44287</v>
      </c>
      <c r="O331" s="38">
        <v>3033</v>
      </c>
      <c r="P331" s="6"/>
      <c r="Q331" s="483">
        <v>0.4</v>
      </c>
      <c r="S331" s="489">
        <v>26.7</v>
      </c>
      <c r="T331" s="567">
        <f t="shared" si="6"/>
        <v>28168.5</v>
      </c>
      <c r="U331" s="507"/>
      <c r="V331" s="494"/>
    </row>
    <row r="332" spans="1:22" s="7" customFormat="1" ht="15" customHeight="1">
      <c r="A332" s="1"/>
      <c r="B332" s="12"/>
      <c r="C332" s="6" t="s">
        <v>1444</v>
      </c>
      <c r="D332" s="15" t="s">
        <v>909</v>
      </c>
      <c r="E332" s="24" t="s">
        <v>1346</v>
      </c>
      <c r="F332" s="44" t="s">
        <v>1033</v>
      </c>
      <c r="G332" s="267" t="s">
        <v>1347</v>
      </c>
      <c r="H332" s="261">
        <v>217</v>
      </c>
      <c r="I332" s="261">
        <v>217</v>
      </c>
      <c r="J332" s="261">
        <v>217</v>
      </c>
      <c r="K332" s="46">
        <v>0.51</v>
      </c>
      <c r="L332" s="39">
        <v>44287</v>
      </c>
      <c r="M332" s="39"/>
      <c r="N332" s="213">
        <v>44287</v>
      </c>
      <c r="O332" s="38">
        <v>3033</v>
      </c>
      <c r="P332" s="6"/>
      <c r="Q332" s="483">
        <v>0.41000000000000003</v>
      </c>
      <c r="S332" s="489">
        <v>27.5</v>
      </c>
      <c r="T332" s="567">
        <f t="shared" si="6"/>
        <v>5967.5</v>
      </c>
      <c r="U332" s="507"/>
      <c r="V332" s="494"/>
    </row>
    <row r="333" spans="1:22" s="7" customFormat="1" ht="15" customHeight="1">
      <c r="A333" s="1"/>
      <c r="B333" s="12"/>
      <c r="C333" s="6" t="s">
        <v>1444</v>
      </c>
      <c r="D333" s="15" t="s">
        <v>909</v>
      </c>
      <c r="E333" s="24" t="s">
        <v>1346</v>
      </c>
      <c r="F333" s="44" t="s">
        <v>1034</v>
      </c>
      <c r="G333" s="267" t="s">
        <v>1347</v>
      </c>
      <c r="H333" s="261">
        <v>120</v>
      </c>
      <c r="I333" s="261">
        <v>120</v>
      </c>
      <c r="J333" s="261">
        <v>120</v>
      </c>
      <c r="K333" s="46">
        <v>0.53</v>
      </c>
      <c r="L333" s="39">
        <v>44287</v>
      </c>
      <c r="M333" s="39"/>
      <c r="N333" s="213">
        <v>44287</v>
      </c>
      <c r="O333" s="38">
        <v>3033</v>
      </c>
      <c r="P333" s="6"/>
      <c r="Q333" s="483">
        <v>0.42</v>
      </c>
      <c r="S333" s="489">
        <v>28.3</v>
      </c>
      <c r="T333" s="567">
        <f t="shared" si="6"/>
        <v>3396</v>
      </c>
      <c r="U333" s="507"/>
      <c r="V333" s="494"/>
    </row>
    <row r="334" spans="1:22" s="7" customFormat="1" ht="15" customHeight="1">
      <c r="A334" s="1"/>
      <c r="B334" s="12"/>
      <c r="C334" s="6" t="s">
        <v>1444</v>
      </c>
      <c r="D334" s="15" t="s">
        <v>909</v>
      </c>
      <c r="E334" s="24" t="s">
        <v>1346</v>
      </c>
      <c r="F334" s="44" t="s">
        <v>1030</v>
      </c>
      <c r="G334" s="267" t="s">
        <v>1446</v>
      </c>
      <c r="H334" s="261">
        <v>125</v>
      </c>
      <c r="I334" s="261">
        <v>125</v>
      </c>
      <c r="J334" s="261">
        <v>125</v>
      </c>
      <c r="K334" s="46">
        <v>0.48</v>
      </c>
      <c r="L334" s="39">
        <v>44287</v>
      </c>
      <c r="M334" s="39"/>
      <c r="N334" s="213">
        <v>44287</v>
      </c>
      <c r="O334" s="38">
        <v>3033</v>
      </c>
      <c r="P334" s="6"/>
      <c r="Q334" s="483">
        <v>0.38</v>
      </c>
      <c r="S334" s="489">
        <v>25.6</v>
      </c>
      <c r="T334" s="567">
        <f t="shared" si="6"/>
        <v>3200</v>
      </c>
      <c r="U334" s="507"/>
      <c r="V334" s="494"/>
    </row>
    <row r="335" spans="1:22" s="7" customFormat="1" ht="15">
      <c r="A335" s="1"/>
      <c r="B335" s="12"/>
      <c r="C335" s="6" t="s">
        <v>1444</v>
      </c>
      <c r="D335" s="15" t="s">
        <v>909</v>
      </c>
      <c r="E335" s="24" t="s">
        <v>1346</v>
      </c>
      <c r="F335" s="44" t="s">
        <v>1032</v>
      </c>
      <c r="G335" s="267" t="s">
        <v>1446</v>
      </c>
      <c r="H335" s="261">
        <v>191</v>
      </c>
      <c r="I335" s="261">
        <v>191</v>
      </c>
      <c r="J335" s="261">
        <v>191</v>
      </c>
      <c r="K335" s="46">
        <v>0.5</v>
      </c>
      <c r="L335" s="39">
        <v>44287</v>
      </c>
      <c r="M335" s="39"/>
      <c r="N335" s="213">
        <v>44287</v>
      </c>
      <c r="O335" s="38">
        <v>3033</v>
      </c>
      <c r="P335" s="6"/>
      <c r="Q335" s="483">
        <v>0.4</v>
      </c>
      <c r="S335" s="489">
        <v>26.7</v>
      </c>
      <c r="T335" s="567">
        <f t="shared" si="6"/>
        <v>5099.7</v>
      </c>
      <c r="U335" s="507"/>
      <c r="V335" s="494"/>
    </row>
    <row r="336" spans="1:22" s="7" customFormat="1" ht="15" customHeight="1">
      <c r="A336" s="1"/>
      <c r="B336" s="12"/>
      <c r="C336" s="6" t="s">
        <v>1444</v>
      </c>
      <c r="D336" s="15" t="s">
        <v>909</v>
      </c>
      <c r="E336" s="24" t="s">
        <v>1346</v>
      </c>
      <c r="F336" s="44" t="s">
        <v>1033</v>
      </c>
      <c r="G336" s="267" t="s">
        <v>1446</v>
      </c>
      <c r="H336" s="261">
        <v>100</v>
      </c>
      <c r="I336" s="261">
        <v>100</v>
      </c>
      <c r="J336" s="261">
        <v>100</v>
      </c>
      <c r="K336" s="46">
        <v>0.51</v>
      </c>
      <c r="L336" s="39">
        <v>44287</v>
      </c>
      <c r="M336" s="39"/>
      <c r="N336" s="213">
        <v>44287</v>
      </c>
      <c r="O336" s="38">
        <v>3033</v>
      </c>
      <c r="P336" s="6"/>
      <c r="Q336" s="483">
        <v>0.41000000000000003</v>
      </c>
      <c r="S336" s="489">
        <v>27.5</v>
      </c>
      <c r="T336" s="567">
        <f t="shared" si="6"/>
        <v>2750</v>
      </c>
      <c r="U336" s="507"/>
      <c r="V336" s="494"/>
    </row>
    <row r="337" spans="1:22" s="7" customFormat="1" ht="15">
      <c r="A337" s="1"/>
      <c r="B337" s="12"/>
      <c r="C337" s="6" t="s">
        <v>1444</v>
      </c>
      <c r="D337" s="15" t="s">
        <v>909</v>
      </c>
      <c r="E337" s="24" t="s">
        <v>1346</v>
      </c>
      <c r="F337" s="44" t="s">
        <v>1034</v>
      </c>
      <c r="G337" s="267" t="s">
        <v>1446</v>
      </c>
      <c r="H337" s="261">
        <v>100</v>
      </c>
      <c r="I337" s="261">
        <v>100</v>
      </c>
      <c r="J337" s="261">
        <v>100</v>
      </c>
      <c r="K337" s="46">
        <v>0.53</v>
      </c>
      <c r="L337" s="39">
        <v>44287</v>
      </c>
      <c r="M337" s="39"/>
      <c r="N337" s="213">
        <v>44287</v>
      </c>
      <c r="O337" s="38">
        <v>3033</v>
      </c>
      <c r="P337" s="6"/>
      <c r="Q337" s="483">
        <v>0.42</v>
      </c>
      <c r="S337" s="489">
        <v>28.3</v>
      </c>
      <c r="T337" s="567">
        <f t="shared" si="6"/>
        <v>2830</v>
      </c>
      <c r="U337" s="507"/>
      <c r="V337" s="494"/>
    </row>
    <row r="338" spans="1:22" s="7" customFormat="1" ht="15" customHeight="1">
      <c r="A338" s="1"/>
      <c r="B338" s="12"/>
      <c r="C338" s="6" t="s">
        <v>1444</v>
      </c>
      <c r="D338" s="15" t="s">
        <v>909</v>
      </c>
      <c r="E338" s="24" t="s">
        <v>1346</v>
      </c>
      <c r="F338" s="44" t="s">
        <v>1030</v>
      </c>
      <c r="G338" s="267" t="s">
        <v>1446</v>
      </c>
      <c r="H338" s="261">
        <v>100</v>
      </c>
      <c r="I338" s="261">
        <v>100</v>
      </c>
      <c r="J338" s="261">
        <v>100</v>
      </c>
      <c r="K338" s="46">
        <v>0.48</v>
      </c>
      <c r="L338" s="39">
        <v>44284</v>
      </c>
      <c r="M338" s="39"/>
      <c r="N338" s="213">
        <v>44284</v>
      </c>
      <c r="O338" s="38">
        <v>3013</v>
      </c>
      <c r="P338" s="6"/>
      <c r="Q338" s="483">
        <v>0.38</v>
      </c>
      <c r="S338" s="489">
        <v>25.6</v>
      </c>
      <c r="T338" s="567">
        <f t="shared" si="6"/>
        <v>2560</v>
      </c>
      <c r="U338" s="507"/>
      <c r="V338" s="494"/>
    </row>
    <row r="339" spans="1:22" s="7" customFormat="1" ht="15">
      <c r="A339" s="1"/>
      <c r="B339" s="12"/>
      <c r="C339" s="6" t="s">
        <v>1444</v>
      </c>
      <c r="D339" s="15" t="s">
        <v>909</v>
      </c>
      <c r="E339" s="24" t="s">
        <v>1346</v>
      </c>
      <c r="F339" s="44" t="s">
        <v>1032</v>
      </c>
      <c r="G339" s="267" t="s">
        <v>1446</v>
      </c>
      <c r="H339" s="261">
        <v>130</v>
      </c>
      <c r="I339" s="261">
        <v>130</v>
      </c>
      <c r="J339" s="261">
        <v>130</v>
      </c>
      <c r="K339" s="46">
        <v>0.5</v>
      </c>
      <c r="L339" s="39">
        <v>44284</v>
      </c>
      <c r="M339" s="39"/>
      <c r="N339" s="213">
        <v>44284</v>
      </c>
      <c r="O339" s="38">
        <v>3013</v>
      </c>
      <c r="P339" s="6"/>
      <c r="Q339" s="483">
        <v>0.4</v>
      </c>
      <c r="S339" s="489">
        <v>26.7</v>
      </c>
      <c r="T339" s="567">
        <f t="shared" si="6"/>
        <v>3471</v>
      </c>
      <c r="U339" s="507"/>
      <c r="V339" s="494"/>
    </row>
    <row r="340" spans="1:22" s="7" customFormat="1" ht="15" customHeight="1">
      <c r="A340" s="1"/>
      <c r="B340" s="12"/>
      <c r="C340" s="6" t="s">
        <v>1444</v>
      </c>
      <c r="D340" s="15" t="s">
        <v>909</v>
      </c>
      <c r="E340" s="24"/>
      <c r="F340" s="138"/>
      <c r="G340" s="24" t="s">
        <v>481</v>
      </c>
      <c r="H340" s="8"/>
      <c r="I340" s="41"/>
      <c r="J340" s="45">
        <v>1</v>
      </c>
      <c r="K340" s="46">
        <v>12</v>
      </c>
      <c r="L340" s="39">
        <v>44284</v>
      </c>
      <c r="M340" s="39"/>
      <c r="N340" s="213">
        <v>44284</v>
      </c>
      <c r="O340" s="38">
        <v>3013</v>
      </c>
      <c r="P340" s="6"/>
      <c r="Q340" s="483">
        <v>12</v>
      </c>
      <c r="S340" s="489">
        <f>1100+200</f>
        <v>1300</v>
      </c>
      <c r="T340" s="567">
        <f t="shared" si="6"/>
        <v>1300</v>
      </c>
      <c r="U340" s="501"/>
      <c r="V340" s="494"/>
    </row>
    <row r="341" spans="1:22" s="7" customFormat="1" ht="15">
      <c r="A341" s="1"/>
      <c r="B341" s="12"/>
      <c r="C341" s="6" t="s">
        <v>1444</v>
      </c>
      <c r="D341" s="15" t="s">
        <v>909</v>
      </c>
      <c r="E341" s="20" t="s">
        <v>1451</v>
      </c>
      <c r="F341" s="44"/>
      <c r="G341" s="44"/>
      <c r="H341" s="151"/>
      <c r="I341" s="151"/>
      <c r="J341" s="151"/>
      <c r="K341" s="34" t="s">
        <v>1027</v>
      </c>
      <c r="L341" s="39">
        <v>44287</v>
      </c>
      <c r="M341" s="39"/>
      <c r="N341" s="213">
        <v>44287</v>
      </c>
      <c r="O341" s="38">
        <v>3033</v>
      </c>
      <c r="P341" s="6"/>
      <c r="Q341" s="524"/>
      <c r="S341" s="489"/>
      <c r="T341" s="113"/>
      <c r="U341" s="501"/>
      <c r="V341" s="494"/>
    </row>
    <row r="342" spans="1:22" s="7" customFormat="1" ht="15">
      <c r="A342" s="1"/>
      <c r="B342" s="12"/>
      <c r="C342" s="6" t="s">
        <v>1444</v>
      </c>
      <c r="D342" s="15" t="s">
        <v>909</v>
      </c>
      <c r="E342" s="24" t="s">
        <v>1452</v>
      </c>
      <c r="F342" s="44" t="s">
        <v>1453</v>
      </c>
      <c r="G342" s="260" t="s">
        <v>1447</v>
      </c>
      <c r="H342" s="261">
        <v>100</v>
      </c>
      <c r="I342" s="261">
        <v>100</v>
      </c>
      <c r="J342" s="261">
        <v>100</v>
      </c>
      <c r="K342" s="46">
        <v>0.28000000000000003</v>
      </c>
      <c r="L342" s="39">
        <v>44287</v>
      </c>
      <c r="M342" s="39"/>
      <c r="N342" s="213">
        <v>44287</v>
      </c>
      <c r="O342" s="38">
        <v>3033</v>
      </c>
      <c r="P342" s="46">
        <f t="shared" ref="P342:P349" si="7">ROUNDUP(S342/0.75/90,2)</f>
        <v>0.23</v>
      </c>
      <c r="Q342" s="483">
        <v>0.23</v>
      </c>
      <c r="S342" s="489">
        <v>15</v>
      </c>
      <c r="T342" s="113">
        <f t="shared" ref="T342:T350" si="8">S342*J342</f>
        <v>1500</v>
      </c>
      <c r="U342" s="507"/>
      <c r="V342" s="494"/>
    </row>
    <row r="343" spans="1:22" s="7" customFormat="1" ht="15" customHeight="1">
      <c r="A343" s="1"/>
      <c r="B343" s="12"/>
      <c r="C343" s="6" t="s">
        <v>1444</v>
      </c>
      <c r="D343" s="15" t="s">
        <v>909</v>
      </c>
      <c r="E343" s="24" t="s">
        <v>1452</v>
      </c>
      <c r="F343" s="44" t="s">
        <v>1454</v>
      </c>
      <c r="G343" s="260" t="s">
        <v>1447</v>
      </c>
      <c r="H343" s="261">
        <v>106</v>
      </c>
      <c r="I343" s="261">
        <v>106</v>
      </c>
      <c r="J343" s="261">
        <v>106</v>
      </c>
      <c r="K343" s="46">
        <v>0.28999999999999998</v>
      </c>
      <c r="L343" s="39">
        <v>44287</v>
      </c>
      <c r="M343" s="39"/>
      <c r="N343" s="213">
        <v>44287</v>
      </c>
      <c r="O343" s="38">
        <v>3033</v>
      </c>
      <c r="P343" s="46">
        <f t="shared" si="7"/>
        <v>0.24000000000000002</v>
      </c>
      <c r="Q343" s="483">
        <v>0.24</v>
      </c>
      <c r="S343" s="489">
        <v>15.6</v>
      </c>
      <c r="T343" s="113">
        <f t="shared" si="8"/>
        <v>1653.6</v>
      </c>
      <c r="U343" s="507"/>
      <c r="V343" s="494"/>
    </row>
    <row r="344" spans="1:22" s="7" customFormat="1" ht="15">
      <c r="A344" s="1"/>
      <c r="B344" s="12"/>
      <c r="C344" s="6" t="s">
        <v>1444</v>
      </c>
      <c r="D344" s="15" t="s">
        <v>909</v>
      </c>
      <c r="E344" s="24" t="s">
        <v>1452</v>
      </c>
      <c r="F344" s="44" t="s">
        <v>1030</v>
      </c>
      <c r="G344" s="260" t="s">
        <v>1447</v>
      </c>
      <c r="H344" s="261">
        <v>142</v>
      </c>
      <c r="I344" s="261">
        <v>142</v>
      </c>
      <c r="J344" s="261">
        <v>142</v>
      </c>
      <c r="K344" s="46">
        <v>0.3</v>
      </c>
      <c r="L344" s="39">
        <v>44287</v>
      </c>
      <c r="M344" s="39"/>
      <c r="N344" s="213">
        <v>44287</v>
      </c>
      <c r="O344" s="38">
        <v>3033</v>
      </c>
      <c r="P344" s="46">
        <f t="shared" si="7"/>
        <v>0.24000000000000002</v>
      </c>
      <c r="Q344" s="483">
        <v>0.24</v>
      </c>
      <c r="S344" s="489">
        <v>16.100000000000001</v>
      </c>
      <c r="T344" s="113">
        <f t="shared" si="8"/>
        <v>2286.2000000000003</v>
      </c>
      <c r="U344" s="507"/>
      <c r="V344" s="494"/>
    </row>
    <row r="345" spans="1:22" s="7" customFormat="1" ht="15">
      <c r="A345" s="1"/>
      <c r="B345" s="12"/>
      <c r="C345" s="6" t="s">
        <v>1444</v>
      </c>
      <c r="D345" s="15" t="s">
        <v>909</v>
      </c>
      <c r="E345" s="24" t="s">
        <v>1452</v>
      </c>
      <c r="F345" s="44" t="s">
        <v>1455</v>
      </c>
      <c r="G345" s="260" t="s">
        <v>1447</v>
      </c>
      <c r="H345" s="261">
        <v>105</v>
      </c>
      <c r="I345" s="261">
        <v>105</v>
      </c>
      <c r="J345" s="261">
        <v>105</v>
      </c>
      <c r="K345" s="46">
        <v>0.31</v>
      </c>
      <c r="L345" s="39">
        <v>44287</v>
      </c>
      <c r="M345" s="39"/>
      <c r="N345" s="213">
        <v>44287</v>
      </c>
      <c r="O345" s="38">
        <v>3033</v>
      </c>
      <c r="P345" s="46">
        <f t="shared" si="7"/>
        <v>0.25</v>
      </c>
      <c r="Q345" s="483">
        <v>0.25</v>
      </c>
      <c r="S345" s="489">
        <v>16.7</v>
      </c>
      <c r="T345" s="113">
        <f t="shared" si="8"/>
        <v>1753.5</v>
      </c>
      <c r="U345" s="507"/>
      <c r="V345" s="494"/>
    </row>
    <row r="346" spans="1:22" s="7" customFormat="1" ht="15" customHeight="1">
      <c r="A346" s="1"/>
      <c r="B346" s="12"/>
      <c r="C346" s="6" t="s">
        <v>1444</v>
      </c>
      <c r="D346" s="15" t="s">
        <v>909</v>
      </c>
      <c r="E346" s="24" t="s">
        <v>1452</v>
      </c>
      <c r="F346" s="44" t="s">
        <v>1453</v>
      </c>
      <c r="G346" s="260" t="s">
        <v>1448</v>
      </c>
      <c r="H346" s="261">
        <v>100</v>
      </c>
      <c r="I346" s="261">
        <v>100</v>
      </c>
      <c r="J346" s="261">
        <v>100</v>
      </c>
      <c r="K346" s="46">
        <v>0.28000000000000003</v>
      </c>
      <c r="L346" s="39">
        <v>44287</v>
      </c>
      <c r="M346" s="39"/>
      <c r="N346" s="213">
        <v>44287</v>
      </c>
      <c r="O346" s="38">
        <v>3033</v>
      </c>
      <c r="P346" s="46">
        <f t="shared" si="7"/>
        <v>0.23</v>
      </c>
      <c r="Q346" s="483">
        <v>0.23</v>
      </c>
      <c r="S346" s="489">
        <v>15</v>
      </c>
      <c r="T346" s="113">
        <f t="shared" si="8"/>
        <v>1500</v>
      </c>
      <c r="U346" s="507"/>
      <c r="V346" s="494"/>
    </row>
    <row r="347" spans="1:22" s="7" customFormat="1" ht="15">
      <c r="A347" s="1"/>
      <c r="B347" s="12"/>
      <c r="C347" s="6" t="s">
        <v>1444</v>
      </c>
      <c r="D347" s="15" t="s">
        <v>909</v>
      </c>
      <c r="E347" s="24" t="s">
        <v>1452</v>
      </c>
      <c r="F347" s="44" t="s">
        <v>1454</v>
      </c>
      <c r="G347" s="260" t="s">
        <v>1448</v>
      </c>
      <c r="H347" s="261">
        <v>100</v>
      </c>
      <c r="I347" s="261">
        <v>100</v>
      </c>
      <c r="J347" s="261">
        <v>100</v>
      </c>
      <c r="K347" s="46">
        <v>0.28999999999999998</v>
      </c>
      <c r="L347" s="39">
        <v>44287</v>
      </c>
      <c r="M347" s="39"/>
      <c r="N347" s="213">
        <v>44287</v>
      </c>
      <c r="O347" s="38">
        <v>3033</v>
      </c>
      <c r="P347" s="46">
        <f t="shared" si="7"/>
        <v>0.24000000000000002</v>
      </c>
      <c r="Q347" s="483">
        <v>0.24</v>
      </c>
      <c r="S347" s="489">
        <v>15.6</v>
      </c>
      <c r="T347" s="113">
        <f t="shared" si="8"/>
        <v>1560</v>
      </c>
      <c r="U347" s="507"/>
      <c r="V347" s="494"/>
    </row>
    <row r="348" spans="1:22" s="7" customFormat="1" ht="15" customHeight="1">
      <c r="A348" s="1"/>
      <c r="B348" s="12"/>
      <c r="C348" s="6" t="s">
        <v>1444</v>
      </c>
      <c r="D348" s="15" t="s">
        <v>909</v>
      </c>
      <c r="E348" s="24" t="s">
        <v>1452</v>
      </c>
      <c r="F348" s="44" t="s">
        <v>1030</v>
      </c>
      <c r="G348" s="260" t="s">
        <v>1448</v>
      </c>
      <c r="H348" s="261">
        <v>135</v>
      </c>
      <c r="I348" s="261">
        <v>135</v>
      </c>
      <c r="J348" s="261">
        <v>135</v>
      </c>
      <c r="K348" s="46">
        <v>0.3</v>
      </c>
      <c r="L348" s="39">
        <v>44287</v>
      </c>
      <c r="M348" s="39"/>
      <c r="N348" s="213">
        <v>44287</v>
      </c>
      <c r="O348" s="38">
        <v>3033</v>
      </c>
      <c r="P348" s="46">
        <f t="shared" si="7"/>
        <v>0.24000000000000002</v>
      </c>
      <c r="Q348" s="483">
        <v>0.24</v>
      </c>
      <c r="S348" s="489">
        <v>16.100000000000001</v>
      </c>
      <c r="T348" s="113">
        <f t="shared" si="8"/>
        <v>2173.5</v>
      </c>
      <c r="U348" s="507"/>
      <c r="V348" s="494"/>
    </row>
    <row r="349" spans="1:22" s="7" customFormat="1" ht="15">
      <c r="A349" s="1"/>
      <c r="B349" s="12"/>
      <c r="C349" s="6" t="s">
        <v>1444</v>
      </c>
      <c r="D349" s="15" t="s">
        <v>909</v>
      </c>
      <c r="E349" s="24" t="s">
        <v>1452</v>
      </c>
      <c r="F349" s="44" t="s">
        <v>1455</v>
      </c>
      <c r="G349" s="260" t="s">
        <v>1448</v>
      </c>
      <c r="H349" s="261">
        <v>100</v>
      </c>
      <c r="I349" s="261">
        <v>100</v>
      </c>
      <c r="J349" s="261">
        <v>100</v>
      </c>
      <c r="K349" s="46">
        <v>0.31</v>
      </c>
      <c r="L349" s="39">
        <v>44287</v>
      </c>
      <c r="M349" s="39"/>
      <c r="N349" s="213">
        <v>44287</v>
      </c>
      <c r="O349" s="38">
        <v>3033</v>
      </c>
      <c r="P349" s="46">
        <f t="shared" si="7"/>
        <v>0.25</v>
      </c>
      <c r="Q349" s="483">
        <v>0.25</v>
      </c>
      <c r="S349" s="489">
        <v>16.7</v>
      </c>
      <c r="T349" s="113">
        <f t="shared" si="8"/>
        <v>1670</v>
      </c>
      <c r="U349" s="507"/>
      <c r="V349" s="494"/>
    </row>
    <row r="350" spans="1:22" s="7" customFormat="1" ht="15" customHeight="1">
      <c r="A350" s="1"/>
      <c r="B350" s="12"/>
      <c r="C350" s="6" t="s">
        <v>1444</v>
      </c>
      <c r="D350" s="15" t="s">
        <v>909</v>
      </c>
      <c r="E350" s="24"/>
      <c r="F350" s="138"/>
      <c r="G350" s="24" t="s">
        <v>481</v>
      </c>
      <c r="H350" s="8"/>
      <c r="I350" s="41"/>
      <c r="J350" s="45">
        <v>1</v>
      </c>
      <c r="K350" s="46">
        <v>12</v>
      </c>
      <c r="L350" s="39">
        <v>44287</v>
      </c>
      <c r="M350" s="39"/>
      <c r="N350" s="213">
        <v>44287</v>
      </c>
      <c r="O350" s="38">
        <v>3033</v>
      </c>
      <c r="P350" s="6"/>
      <c r="Q350" s="483">
        <v>12</v>
      </c>
      <c r="S350" s="489">
        <v>1100</v>
      </c>
      <c r="T350" s="567">
        <f t="shared" si="8"/>
        <v>1100</v>
      </c>
      <c r="U350" s="501"/>
      <c r="V350" s="494"/>
    </row>
    <row r="351" spans="1:22" s="314" customFormat="1" ht="15" customHeight="1">
      <c r="A351" s="1"/>
      <c r="B351" s="313"/>
      <c r="C351" s="302" t="s">
        <v>1444</v>
      </c>
      <c r="D351" s="303" t="s">
        <v>909</v>
      </c>
      <c r="E351" s="304"/>
      <c r="F351" s="305"/>
      <c r="G351" s="305" t="s">
        <v>1227</v>
      </c>
      <c r="H351" s="307" t="s">
        <v>1228</v>
      </c>
      <c r="I351" s="308"/>
      <c r="J351" s="306"/>
      <c r="K351" s="315">
        <v>0</v>
      </c>
      <c r="L351" s="310">
        <v>44287</v>
      </c>
      <c r="M351" s="310"/>
      <c r="N351" s="311">
        <v>44287</v>
      </c>
      <c r="O351" s="309">
        <v>3033</v>
      </c>
      <c r="P351" s="302"/>
      <c r="Q351" s="485">
        <v>0</v>
      </c>
      <c r="S351" s="535">
        <v>0</v>
      </c>
      <c r="T351" s="322">
        <v>0</v>
      </c>
      <c r="U351" s="515"/>
      <c r="V351" s="549"/>
    </row>
    <row r="352" spans="1:22" ht="15" customHeight="1">
      <c r="C352" s="6" t="s">
        <v>1449</v>
      </c>
      <c r="D352" s="15" t="s">
        <v>415</v>
      </c>
      <c r="E352" s="20" t="s">
        <v>1127</v>
      </c>
      <c r="F352" s="26"/>
      <c r="G352" s="24"/>
      <c r="H352" s="67"/>
      <c r="I352" s="68"/>
      <c r="J352" s="67"/>
      <c r="K352" s="17" t="s">
        <v>134</v>
      </c>
      <c r="L352" s="39">
        <v>44278</v>
      </c>
      <c r="M352" s="39"/>
      <c r="N352" s="213">
        <v>44278</v>
      </c>
      <c r="O352" s="38">
        <v>2993</v>
      </c>
      <c r="P352" s="6"/>
      <c r="Q352" s="481"/>
      <c r="S352" s="489"/>
      <c r="T352" s="113"/>
      <c r="U352" s="500"/>
    </row>
    <row r="353" spans="1:22" ht="15">
      <c r="C353" s="6" t="s">
        <v>1449</v>
      </c>
      <c r="D353" s="15" t="s">
        <v>415</v>
      </c>
      <c r="E353" s="24" t="s">
        <v>354</v>
      </c>
      <c r="F353" s="26"/>
      <c r="G353" s="24" t="s">
        <v>353</v>
      </c>
      <c r="H353" s="67">
        <v>50</v>
      </c>
      <c r="I353" s="68">
        <v>19</v>
      </c>
      <c r="J353" s="67">
        <f>H353*I353</f>
        <v>950</v>
      </c>
      <c r="K353" s="25">
        <v>0.3</v>
      </c>
      <c r="L353" s="39">
        <v>44278</v>
      </c>
      <c r="M353" s="39"/>
      <c r="N353" s="213">
        <v>44278</v>
      </c>
      <c r="O353" s="38">
        <v>2993</v>
      </c>
      <c r="P353" s="6" t="s">
        <v>23</v>
      </c>
      <c r="Q353" s="483">
        <v>0.24</v>
      </c>
      <c r="S353" s="489">
        <v>16</v>
      </c>
      <c r="T353" s="567">
        <f>S353*J353</f>
        <v>15200</v>
      </c>
      <c r="U353" s="500"/>
    </row>
    <row r="354" spans="1:22" s="7" customFormat="1" ht="15">
      <c r="A354" s="1"/>
      <c r="B354" s="12"/>
      <c r="C354" s="6" t="s">
        <v>1449</v>
      </c>
      <c r="D354" s="15" t="s">
        <v>415</v>
      </c>
      <c r="E354" s="24"/>
      <c r="F354" s="138"/>
      <c r="G354" s="24" t="s">
        <v>481</v>
      </c>
      <c r="H354" s="8"/>
      <c r="I354" s="41"/>
      <c r="J354" s="45">
        <v>1</v>
      </c>
      <c r="K354" s="46">
        <v>12</v>
      </c>
      <c r="L354" s="39">
        <v>44278</v>
      </c>
      <c r="M354" s="39"/>
      <c r="N354" s="213">
        <v>44278</v>
      </c>
      <c r="O354" s="38">
        <v>2993</v>
      </c>
      <c r="P354" s="6"/>
      <c r="Q354" s="483">
        <v>12</v>
      </c>
      <c r="S354" s="489">
        <v>0</v>
      </c>
      <c r="T354" s="567">
        <f>S354*J354</f>
        <v>0</v>
      </c>
      <c r="U354" s="501"/>
      <c r="V354" s="494"/>
    </row>
    <row r="355" spans="1:22" s="314" customFormat="1" ht="15">
      <c r="A355" s="1"/>
      <c r="B355" s="313"/>
      <c r="C355" s="302" t="s">
        <v>1449</v>
      </c>
      <c r="D355" s="303" t="s">
        <v>415</v>
      </c>
      <c r="E355" s="304"/>
      <c r="F355" s="305"/>
      <c r="G355" s="305" t="s">
        <v>1227</v>
      </c>
      <c r="H355" s="307" t="s">
        <v>1243</v>
      </c>
      <c r="I355" s="308"/>
      <c r="J355" s="306"/>
      <c r="K355" s="329">
        <v>165</v>
      </c>
      <c r="L355" s="310">
        <v>44278</v>
      </c>
      <c r="M355" s="310"/>
      <c r="N355" s="311">
        <v>44278</v>
      </c>
      <c r="O355" s="309">
        <v>2993</v>
      </c>
      <c r="P355" s="302"/>
      <c r="Q355" s="529">
        <v>165</v>
      </c>
      <c r="S355" s="537">
        <v>16311</v>
      </c>
      <c r="T355" s="348">
        <v>16311</v>
      </c>
      <c r="U355" s="515"/>
      <c r="V355" s="549"/>
    </row>
    <row r="356" spans="1:22" s="7" customFormat="1" ht="15">
      <c r="A356" s="1"/>
      <c r="B356" s="12"/>
      <c r="C356" s="6" t="s">
        <v>1466</v>
      </c>
      <c r="D356" s="15" t="s">
        <v>983</v>
      </c>
      <c r="E356" s="20" t="s">
        <v>344</v>
      </c>
      <c r="F356" s="26"/>
      <c r="G356" s="24"/>
      <c r="H356" s="67"/>
      <c r="I356" s="68"/>
      <c r="J356" s="67"/>
      <c r="K356" s="17" t="s">
        <v>134</v>
      </c>
      <c r="L356" s="39">
        <v>44278</v>
      </c>
      <c r="M356" s="39"/>
      <c r="N356" s="213">
        <v>44278</v>
      </c>
      <c r="O356" s="38">
        <v>2991</v>
      </c>
      <c r="P356" s="6" t="s">
        <v>23</v>
      </c>
      <c r="Q356" s="481"/>
      <c r="S356" s="489"/>
      <c r="T356" s="113"/>
      <c r="U356" s="500"/>
      <c r="V356" s="494"/>
    </row>
    <row r="357" spans="1:22" s="7" customFormat="1" ht="15">
      <c r="A357" s="1"/>
      <c r="B357" s="12"/>
      <c r="C357" s="6" t="s">
        <v>1466</v>
      </c>
      <c r="D357" s="15" t="s">
        <v>983</v>
      </c>
      <c r="E357" s="24">
        <v>14552</v>
      </c>
      <c r="F357" s="26">
        <v>10</v>
      </c>
      <c r="G357" s="24" t="s">
        <v>1467</v>
      </c>
      <c r="H357" s="151">
        <v>30</v>
      </c>
      <c r="I357" s="152">
        <v>10</v>
      </c>
      <c r="J357" s="67">
        <f>H357*I357</f>
        <v>300</v>
      </c>
      <c r="K357" s="25">
        <v>0.57999999999999996</v>
      </c>
      <c r="L357" s="39">
        <v>44278</v>
      </c>
      <c r="M357" s="39"/>
      <c r="N357" s="213">
        <v>44278</v>
      </c>
      <c r="O357" s="38">
        <v>2991</v>
      </c>
      <c r="P357" s="25"/>
      <c r="Q357" s="482">
        <v>0.46</v>
      </c>
      <c r="S357" s="489">
        <v>31</v>
      </c>
      <c r="T357" s="567">
        <f>S357*J357</f>
        <v>9300</v>
      </c>
      <c r="U357" s="500"/>
      <c r="V357" s="494"/>
    </row>
    <row r="358" spans="1:22" s="7" customFormat="1" ht="15" customHeight="1">
      <c r="A358" s="1"/>
      <c r="B358" s="12"/>
      <c r="C358" s="6" t="s">
        <v>1466</v>
      </c>
      <c r="D358" s="15" t="s">
        <v>983</v>
      </c>
      <c r="E358" s="24"/>
      <c r="F358" s="138"/>
      <c r="G358" s="24" t="s">
        <v>481</v>
      </c>
      <c r="H358" s="8"/>
      <c r="I358" s="41"/>
      <c r="J358" s="45">
        <v>1</v>
      </c>
      <c r="K358" s="46">
        <v>12</v>
      </c>
      <c r="L358" s="39">
        <v>44278</v>
      </c>
      <c r="M358" s="39"/>
      <c r="N358" s="213">
        <v>44278</v>
      </c>
      <c r="O358" s="38">
        <v>2991</v>
      </c>
      <c r="P358" s="6"/>
      <c r="Q358" s="483">
        <v>12</v>
      </c>
      <c r="S358" s="489">
        <v>1000</v>
      </c>
      <c r="T358" s="567">
        <f>S358*J358</f>
        <v>1000</v>
      </c>
      <c r="U358" s="501"/>
      <c r="V358" s="494"/>
    </row>
    <row r="359" spans="1:22" s="314" customFormat="1" ht="15" customHeight="1">
      <c r="A359" s="1"/>
      <c r="B359" s="313"/>
      <c r="C359" s="302" t="s">
        <v>1466</v>
      </c>
      <c r="D359" s="303" t="s">
        <v>983</v>
      </c>
      <c r="E359" s="304"/>
      <c r="F359" s="305"/>
      <c r="G359" s="305" t="s">
        <v>1227</v>
      </c>
      <c r="H359" s="307" t="s">
        <v>1243</v>
      </c>
      <c r="I359" s="308"/>
      <c r="J359" s="306"/>
      <c r="K359" s="329">
        <v>45</v>
      </c>
      <c r="L359" s="310">
        <v>44278</v>
      </c>
      <c r="M359" s="310"/>
      <c r="N359" s="311">
        <v>44278</v>
      </c>
      <c r="O359" s="309">
        <v>2991</v>
      </c>
      <c r="P359" s="302"/>
      <c r="Q359" s="529">
        <v>45</v>
      </c>
      <c r="S359" s="537">
        <v>3895</v>
      </c>
      <c r="T359" s="348">
        <v>3895</v>
      </c>
      <c r="U359" s="515"/>
      <c r="V359" s="549"/>
    </row>
    <row r="360" spans="1:22" ht="18" customHeight="1">
      <c r="C360" s="6" t="s">
        <v>1471</v>
      </c>
      <c r="D360" s="15" t="s">
        <v>892</v>
      </c>
      <c r="E360" s="20" t="s">
        <v>1468</v>
      </c>
      <c r="F360" s="44"/>
      <c r="G360" s="44"/>
      <c r="H360" s="151"/>
      <c r="I360" s="151"/>
      <c r="J360" s="151"/>
      <c r="K360" s="34" t="s">
        <v>134</v>
      </c>
      <c r="L360" s="39">
        <v>44280</v>
      </c>
      <c r="M360" s="39"/>
      <c r="N360" s="213">
        <v>44280</v>
      </c>
      <c r="O360" s="38">
        <v>3005</v>
      </c>
      <c r="P360" s="6"/>
      <c r="Q360" s="524"/>
      <c r="S360" s="489"/>
      <c r="T360" s="113"/>
      <c r="U360" s="501"/>
      <c r="V360" s="494"/>
    </row>
    <row r="361" spans="1:22" ht="18" customHeight="1">
      <c r="C361" s="6" t="s">
        <v>1471</v>
      </c>
      <c r="D361" s="15" t="s">
        <v>892</v>
      </c>
      <c r="E361" s="20" t="s">
        <v>1461</v>
      </c>
      <c r="F361" s="44">
        <v>7</v>
      </c>
      <c r="G361" s="24" t="s">
        <v>1469</v>
      </c>
      <c r="H361" s="151">
        <v>25</v>
      </c>
      <c r="I361" s="152">
        <v>1</v>
      </c>
      <c r="J361" s="67">
        <f>H361*I361</f>
        <v>25</v>
      </c>
      <c r="K361" s="46">
        <v>3.08</v>
      </c>
      <c r="L361" s="39">
        <v>44280</v>
      </c>
      <c r="M361" s="39"/>
      <c r="N361" s="213">
        <v>44280</v>
      </c>
      <c r="O361" s="38">
        <v>3005</v>
      </c>
      <c r="P361" s="46"/>
      <c r="Q361" s="482">
        <v>2.46</v>
      </c>
      <c r="S361" s="489">
        <v>166</v>
      </c>
      <c r="T361" s="567">
        <f>S361*J361</f>
        <v>4150</v>
      </c>
      <c r="U361" s="507"/>
      <c r="V361" s="494"/>
    </row>
    <row r="362" spans="1:22" ht="18" customHeight="1">
      <c r="C362" s="6" t="s">
        <v>1471</v>
      </c>
      <c r="D362" s="15" t="s">
        <v>892</v>
      </c>
      <c r="E362" s="20" t="s">
        <v>1461</v>
      </c>
      <c r="F362" s="44">
        <v>7</v>
      </c>
      <c r="G362" s="24" t="s">
        <v>1470</v>
      </c>
      <c r="H362" s="151">
        <v>25</v>
      </c>
      <c r="I362" s="152">
        <v>1</v>
      </c>
      <c r="J362" s="67">
        <f>H362*I362</f>
        <v>25</v>
      </c>
      <c r="K362" s="46">
        <v>3.08</v>
      </c>
      <c r="L362" s="39">
        <v>44280</v>
      </c>
      <c r="M362" s="39"/>
      <c r="N362" s="213">
        <v>44280</v>
      </c>
      <c r="O362" s="38">
        <v>3005</v>
      </c>
      <c r="P362" s="46"/>
      <c r="Q362" s="482">
        <v>2.46</v>
      </c>
      <c r="S362" s="489">
        <v>166</v>
      </c>
      <c r="T362" s="567">
        <f>S362*J362</f>
        <v>4150</v>
      </c>
      <c r="U362" s="507"/>
      <c r="V362" s="494"/>
    </row>
    <row r="363" spans="1:22" s="7" customFormat="1" ht="15.95" customHeight="1">
      <c r="A363" s="1"/>
      <c r="B363" s="12"/>
      <c r="C363" s="6" t="s">
        <v>1471</v>
      </c>
      <c r="D363" s="15" t="s">
        <v>892</v>
      </c>
      <c r="E363" s="24"/>
      <c r="F363" s="138"/>
      <c r="G363" s="24" t="s">
        <v>31</v>
      </c>
      <c r="H363" s="8"/>
      <c r="I363" s="41"/>
      <c r="J363" s="45">
        <v>1</v>
      </c>
      <c r="K363" s="46">
        <v>12</v>
      </c>
      <c r="L363" s="39">
        <v>44280</v>
      </c>
      <c r="M363" s="39"/>
      <c r="N363" s="213">
        <v>44280</v>
      </c>
      <c r="O363" s="38">
        <v>3005</v>
      </c>
      <c r="P363" s="6"/>
      <c r="Q363" s="483">
        <v>12</v>
      </c>
      <c r="S363" s="489">
        <f>550+550</f>
        <v>1100</v>
      </c>
      <c r="T363" s="567">
        <f>S363*J363</f>
        <v>1100</v>
      </c>
      <c r="U363" s="501"/>
      <c r="V363" s="494"/>
    </row>
    <row r="364" spans="1:22" ht="18" customHeight="1">
      <c r="C364" s="6" t="s">
        <v>1471</v>
      </c>
      <c r="D364" s="15" t="s">
        <v>892</v>
      </c>
      <c r="E364" s="20" t="s">
        <v>1463</v>
      </c>
      <c r="F364" s="44">
        <v>9</v>
      </c>
      <c r="G364" s="24" t="s">
        <v>1472</v>
      </c>
      <c r="H364" s="151">
        <v>25</v>
      </c>
      <c r="I364" s="152">
        <v>1</v>
      </c>
      <c r="J364" s="67">
        <v>25</v>
      </c>
      <c r="K364" s="46">
        <v>4.37</v>
      </c>
      <c r="L364" s="39">
        <v>44281</v>
      </c>
      <c r="M364" s="39"/>
      <c r="N364" s="213">
        <v>44281</v>
      </c>
      <c r="O364" s="38">
        <v>3007</v>
      </c>
      <c r="P364" s="46"/>
      <c r="Q364" s="482">
        <v>3.5</v>
      </c>
      <c r="S364" s="489">
        <v>236</v>
      </c>
      <c r="T364" s="567">
        <f>S364*J364</f>
        <v>5900</v>
      </c>
      <c r="U364" s="507"/>
      <c r="V364" s="494"/>
    </row>
    <row r="365" spans="1:22" ht="18" customHeight="1">
      <c r="C365" s="6" t="s">
        <v>1471</v>
      </c>
      <c r="D365" s="15" t="s">
        <v>892</v>
      </c>
      <c r="E365" s="20" t="s">
        <v>1464</v>
      </c>
      <c r="F365" s="44">
        <v>11</v>
      </c>
      <c r="G365" s="24" t="s">
        <v>1473</v>
      </c>
      <c r="H365" s="151">
        <v>25</v>
      </c>
      <c r="I365" s="152">
        <v>1</v>
      </c>
      <c r="J365" s="67">
        <v>25</v>
      </c>
      <c r="K365" s="46">
        <v>5.86</v>
      </c>
      <c r="L365" s="39">
        <v>44281</v>
      </c>
      <c r="M365" s="39"/>
      <c r="N365" s="213">
        <v>44281</v>
      </c>
      <c r="O365" s="38">
        <v>3007</v>
      </c>
      <c r="P365" s="46"/>
      <c r="Q365" s="482">
        <v>4.6900000000000004</v>
      </c>
      <c r="S365" s="489">
        <v>316</v>
      </c>
      <c r="T365" s="567">
        <f>S365*J365</f>
        <v>7900</v>
      </c>
      <c r="U365" s="507"/>
      <c r="V365" s="494"/>
    </row>
    <row r="366" spans="1:22" s="314" customFormat="1" ht="15" customHeight="1">
      <c r="A366" s="1"/>
      <c r="B366" s="313"/>
      <c r="C366" s="302" t="s">
        <v>1471</v>
      </c>
      <c r="D366" s="303" t="s">
        <v>892</v>
      </c>
      <c r="E366" s="304"/>
      <c r="F366" s="305"/>
      <c r="G366" s="305" t="s">
        <v>1227</v>
      </c>
      <c r="H366" s="307" t="s">
        <v>1228</v>
      </c>
      <c r="I366" s="308"/>
      <c r="J366" s="306"/>
      <c r="K366" s="315">
        <v>0</v>
      </c>
      <c r="L366" s="310">
        <v>44281</v>
      </c>
      <c r="M366" s="310"/>
      <c r="N366" s="311">
        <v>44281</v>
      </c>
      <c r="O366" s="309">
        <v>3007</v>
      </c>
      <c r="P366" s="302"/>
      <c r="Q366" s="485">
        <v>0</v>
      </c>
      <c r="S366" s="536">
        <v>0</v>
      </c>
      <c r="T366" s="322">
        <v>0</v>
      </c>
      <c r="U366" s="515"/>
      <c r="V366" s="549"/>
    </row>
    <row r="367" spans="1:22" s="7" customFormat="1" ht="15" customHeight="1">
      <c r="A367" s="1"/>
      <c r="B367" s="12"/>
      <c r="C367" s="6" t="s">
        <v>1478</v>
      </c>
      <c r="D367" s="15" t="s">
        <v>500</v>
      </c>
      <c r="E367" s="20" t="s">
        <v>503</v>
      </c>
      <c r="F367" s="26"/>
      <c r="G367" s="24"/>
      <c r="H367" s="67"/>
      <c r="I367" s="68"/>
      <c r="J367" s="67"/>
      <c r="K367" s="17" t="s">
        <v>134</v>
      </c>
      <c r="L367" s="39">
        <v>44285</v>
      </c>
      <c r="M367" s="39"/>
      <c r="N367" s="213">
        <v>44285</v>
      </c>
      <c r="O367" s="38">
        <v>3023</v>
      </c>
      <c r="P367" s="179" t="s">
        <v>23</v>
      </c>
      <c r="Q367" s="435"/>
      <c r="S367" s="489"/>
      <c r="T367" s="113"/>
      <c r="U367" s="510"/>
      <c r="V367" s="494"/>
    </row>
    <row r="368" spans="1:22" s="7" customFormat="1" ht="18" customHeight="1">
      <c r="A368" s="1"/>
      <c r="B368" s="12"/>
      <c r="C368" s="6" t="s">
        <v>1478</v>
      </c>
      <c r="D368" s="15" t="s">
        <v>500</v>
      </c>
      <c r="E368" s="24">
        <v>5356</v>
      </c>
      <c r="F368" s="26">
        <v>4</v>
      </c>
      <c r="G368" s="24" t="s">
        <v>1480</v>
      </c>
      <c r="H368" s="67">
        <v>30</v>
      </c>
      <c r="I368" s="68">
        <v>4</v>
      </c>
      <c r="J368" s="67">
        <v>120</v>
      </c>
      <c r="K368" s="46">
        <v>0.94</v>
      </c>
      <c r="L368" s="39">
        <v>44285</v>
      </c>
      <c r="M368" s="39"/>
      <c r="N368" s="213">
        <v>44285</v>
      </c>
      <c r="O368" s="38">
        <v>3023</v>
      </c>
      <c r="P368" s="46">
        <v>0.75</v>
      </c>
      <c r="Q368" s="180">
        <v>0.75</v>
      </c>
      <c r="S368" s="489">
        <v>50</v>
      </c>
      <c r="T368" s="567">
        <f>S368*J368</f>
        <v>6000</v>
      </c>
      <c r="U368" s="511"/>
      <c r="V368" s="494"/>
    </row>
    <row r="369" spans="1:22" ht="15.95" customHeight="1">
      <c r="C369" s="6" t="s">
        <v>1478</v>
      </c>
      <c r="D369" s="15" t="s">
        <v>500</v>
      </c>
      <c r="E369" s="24"/>
      <c r="F369" s="138"/>
      <c r="G369" s="24" t="s">
        <v>481</v>
      </c>
      <c r="H369" s="8"/>
      <c r="I369" s="41"/>
      <c r="J369" s="45">
        <v>1</v>
      </c>
      <c r="K369" s="46">
        <v>12</v>
      </c>
      <c r="L369" s="39">
        <v>44285</v>
      </c>
      <c r="M369" s="39"/>
      <c r="N369" s="213">
        <v>44285</v>
      </c>
      <c r="O369" s="38">
        <v>3023</v>
      </c>
      <c r="P369" s="179"/>
      <c r="Q369" s="180">
        <v>12</v>
      </c>
      <c r="S369" s="498">
        <v>900</v>
      </c>
      <c r="T369" s="567">
        <f>S369*J369</f>
        <v>900</v>
      </c>
      <c r="U369" s="511"/>
    </row>
    <row r="370" spans="1:22" s="314" customFormat="1" ht="15" customHeight="1">
      <c r="A370" s="1"/>
      <c r="B370" s="313"/>
      <c r="C370" s="302" t="s">
        <v>1478</v>
      </c>
      <c r="D370" s="303" t="s">
        <v>500</v>
      </c>
      <c r="E370" s="304"/>
      <c r="F370" s="305"/>
      <c r="G370" s="305" t="s">
        <v>1227</v>
      </c>
      <c r="H370" s="307" t="s">
        <v>1228</v>
      </c>
      <c r="I370" s="308"/>
      <c r="J370" s="306"/>
      <c r="K370" s="315">
        <v>0</v>
      </c>
      <c r="L370" s="310">
        <v>44285</v>
      </c>
      <c r="M370" s="310"/>
      <c r="N370" s="311">
        <v>44285</v>
      </c>
      <c r="O370" s="309">
        <v>3023</v>
      </c>
      <c r="P370" s="302"/>
      <c r="Q370" s="485">
        <v>0</v>
      </c>
      <c r="S370" s="536">
        <v>0</v>
      </c>
      <c r="T370" s="322">
        <v>0</v>
      </c>
      <c r="U370" s="515"/>
      <c r="V370" s="549"/>
    </row>
    <row r="371" spans="1:22" s="7" customFormat="1" ht="15.75" customHeight="1">
      <c r="A371" s="1"/>
      <c r="B371" s="12"/>
      <c r="C371" s="6" t="s">
        <v>1479</v>
      </c>
      <c r="D371" s="15" t="s">
        <v>990</v>
      </c>
      <c r="E371" s="20" t="s">
        <v>996</v>
      </c>
      <c r="F371" s="26"/>
      <c r="G371" s="24"/>
      <c r="H371" s="16"/>
      <c r="I371" s="68"/>
      <c r="J371" s="67"/>
      <c r="K371" s="17" t="s">
        <v>10</v>
      </c>
      <c r="L371" s="39">
        <v>44284</v>
      </c>
      <c r="M371" s="39"/>
      <c r="N371" s="213">
        <v>44284</v>
      </c>
      <c r="O371" s="38">
        <v>3009</v>
      </c>
      <c r="P371" s="6" t="s">
        <v>3</v>
      </c>
      <c r="Q371" s="481"/>
      <c r="S371" s="489"/>
      <c r="T371" s="113"/>
      <c r="U371" s="500"/>
      <c r="V371" s="494"/>
    </row>
    <row r="372" spans="1:22" s="7" customFormat="1" ht="15.75">
      <c r="A372" s="1"/>
      <c r="B372" s="12"/>
      <c r="C372" s="6" t="s">
        <v>1479</v>
      </c>
      <c r="D372" s="15" t="s">
        <v>990</v>
      </c>
      <c r="E372" s="24">
        <v>8003</v>
      </c>
      <c r="F372" s="26"/>
      <c r="G372" s="24" t="s">
        <v>997</v>
      </c>
      <c r="H372" s="8">
        <v>20</v>
      </c>
      <c r="I372" s="41">
        <v>7</v>
      </c>
      <c r="J372" s="8">
        <f>H372*I372</f>
        <v>140</v>
      </c>
      <c r="K372" s="46">
        <v>0.92</v>
      </c>
      <c r="L372" s="39">
        <v>44284</v>
      </c>
      <c r="M372" s="39"/>
      <c r="N372" s="213">
        <v>44284</v>
      </c>
      <c r="O372" s="38">
        <v>3009</v>
      </c>
      <c r="P372" s="6"/>
      <c r="Q372" s="483">
        <v>0.82</v>
      </c>
      <c r="S372" s="489">
        <v>55</v>
      </c>
      <c r="T372" s="567">
        <f>S372*J372</f>
        <v>7700</v>
      </c>
      <c r="U372" s="513"/>
      <c r="V372" s="494"/>
    </row>
    <row r="373" spans="1:22" s="7" customFormat="1" ht="15" customHeight="1">
      <c r="A373" s="1"/>
      <c r="B373" s="12"/>
      <c r="C373" s="6" t="s">
        <v>1479</v>
      </c>
      <c r="D373" s="15" t="s">
        <v>990</v>
      </c>
      <c r="E373" s="24"/>
      <c r="F373" s="26"/>
      <c r="G373" s="24" t="s">
        <v>31</v>
      </c>
      <c r="H373" s="45"/>
      <c r="I373" s="41"/>
      <c r="J373" s="45">
        <v>1</v>
      </c>
      <c r="K373" s="46">
        <v>12</v>
      </c>
      <c r="L373" s="39">
        <v>44284</v>
      </c>
      <c r="M373" s="39"/>
      <c r="N373" s="213">
        <v>44284</v>
      </c>
      <c r="O373" s="38">
        <v>3009</v>
      </c>
      <c r="P373" s="6"/>
      <c r="Q373" s="483">
        <v>12</v>
      </c>
      <c r="S373" s="498">
        <v>1000</v>
      </c>
      <c r="T373" s="567">
        <f>S373*J373</f>
        <v>1000</v>
      </c>
      <c r="U373" s="501"/>
      <c r="V373" s="494"/>
    </row>
    <row r="374" spans="1:22" s="314" customFormat="1" ht="15">
      <c r="A374" s="1"/>
      <c r="B374" s="313"/>
      <c r="C374" s="302" t="s">
        <v>1479</v>
      </c>
      <c r="D374" s="303" t="s">
        <v>990</v>
      </c>
      <c r="E374" s="304"/>
      <c r="F374" s="305"/>
      <c r="G374" s="305" t="s">
        <v>1227</v>
      </c>
      <c r="H374" s="307" t="s">
        <v>1228</v>
      </c>
      <c r="I374" s="308"/>
      <c r="J374" s="306"/>
      <c r="K374" s="315">
        <v>0</v>
      </c>
      <c r="L374" s="310">
        <v>44284</v>
      </c>
      <c r="M374" s="310"/>
      <c r="N374" s="311">
        <v>44284</v>
      </c>
      <c r="O374" s="309">
        <v>3009</v>
      </c>
      <c r="P374" s="302"/>
      <c r="Q374" s="485">
        <v>0</v>
      </c>
      <c r="S374" s="535">
        <v>0</v>
      </c>
      <c r="T374" s="322">
        <v>0</v>
      </c>
      <c r="U374" s="515"/>
      <c r="V374" s="549"/>
    </row>
    <row r="375" spans="1:22" s="7" customFormat="1" ht="15">
      <c r="A375" s="1"/>
      <c r="B375" s="12"/>
      <c r="C375" s="6" t="s">
        <v>1481</v>
      </c>
      <c r="D375" s="15" t="s">
        <v>909</v>
      </c>
      <c r="E375" s="20" t="s">
        <v>337</v>
      </c>
      <c r="F375" s="26"/>
      <c r="G375" s="24"/>
      <c r="H375" s="45"/>
      <c r="I375" s="68"/>
      <c r="J375" s="67"/>
      <c r="K375" s="17" t="s">
        <v>10</v>
      </c>
      <c r="L375" s="39">
        <v>44287</v>
      </c>
      <c r="M375" s="39"/>
      <c r="N375" s="213">
        <v>44287</v>
      </c>
      <c r="O375" s="38">
        <v>3032</v>
      </c>
      <c r="P375" s="6"/>
      <c r="Q375" s="482"/>
      <c r="S375" s="489"/>
      <c r="T375" s="113"/>
      <c r="U375" s="500"/>
      <c r="V375" s="494"/>
    </row>
    <row r="376" spans="1:22" s="7" customFormat="1" ht="15">
      <c r="A376" s="1"/>
      <c r="B376" s="12"/>
      <c r="C376" s="6" t="s">
        <v>1481</v>
      </c>
      <c r="D376" s="15" t="s">
        <v>909</v>
      </c>
      <c r="E376" s="24">
        <v>3705</v>
      </c>
      <c r="F376" s="26">
        <v>19</v>
      </c>
      <c r="G376" s="24" t="s">
        <v>1482</v>
      </c>
      <c r="H376" s="151">
        <v>30</v>
      </c>
      <c r="I376" s="152">
        <v>9</v>
      </c>
      <c r="J376" s="8">
        <f>H376*I376</f>
        <v>270</v>
      </c>
      <c r="K376" s="46">
        <v>0.47</v>
      </c>
      <c r="L376" s="39">
        <v>44287</v>
      </c>
      <c r="M376" s="39"/>
      <c r="N376" s="213">
        <v>44287</v>
      </c>
      <c r="O376" s="38">
        <v>3032</v>
      </c>
      <c r="P376" s="6"/>
      <c r="Q376" s="483">
        <v>0.37</v>
      </c>
      <c r="S376" s="489">
        <v>21.434000000000001</v>
      </c>
      <c r="T376" s="567">
        <f>S376*J376</f>
        <v>5787.18</v>
      </c>
      <c r="U376" s="500" t="s">
        <v>1292</v>
      </c>
      <c r="V376" s="494"/>
    </row>
    <row r="377" spans="1:22" s="7" customFormat="1" ht="15">
      <c r="A377" s="1"/>
      <c r="B377" s="12"/>
      <c r="C377" s="6" t="s">
        <v>1481</v>
      </c>
      <c r="D377" s="15" t="s">
        <v>909</v>
      </c>
      <c r="E377" s="24">
        <v>3705</v>
      </c>
      <c r="F377" s="26">
        <v>19</v>
      </c>
      <c r="G377" s="24" t="s">
        <v>913</v>
      </c>
      <c r="H377" s="151">
        <v>30</v>
      </c>
      <c r="I377" s="152">
        <v>29</v>
      </c>
      <c r="J377" s="8">
        <f>H377*I377</f>
        <v>870</v>
      </c>
      <c r="K377" s="46">
        <v>0.47</v>
      </c>
      <c r="L377" s="39">
        <v>44287</v>
      </c>
      <c r="M377" s="39"/>
      <c r="N377" s="213">
        <v>44287</v>
      </c>
      <c r="O377" s="38">
        <v>3032</v>
      </c>
      <c r="P377" s="6"/>
      <c r="Q377" s="483">
        <v>0.37</v>
      </c>
      <c r="S377" s="489">
        <v>21.434000000000001</v>
      </c>
      <c r="T377" s="567">
        <f>S377*J377</f>
        <v>18647.580000000002</v>
      </c>
      <c r="U377" s="500" t="s">
        <v>1292</v>
      </c>
      <c r="V377" s="494"/>
    </row>
    <row r="378" spans="1:22" ht="15.95" customHeight="1">
      <c r="C378" s="6" t="s">
        <v>1481</v>
      </c>
      <c r="D378" s="15" t="s">
        <v>909</v>
      </c>
      <c r="E378" s="24"/>
      <c r="F378" s="138"/>
      <c r="G378" s="24" t="s">
        <v>481</v>
      </c>
      <c r="H378" s="8"/>
      <c r="I378" s="41"/>
      <c r="J378" s="45">
        <v>1</v>
      </c>
      <c r="K378" s="46">
        <v>12</v>
      </c>
      <c r="L378" s="39">
        <v>44287</v>
      </c>
      <c r="M378" s="39"/>
      <c r="N378" s="213">
        <v>44287</v>
      </c>
      <c r="O378" s="38">
        <v>3032</v>
      </c>
      <c r="P378" s="179"/>
      <c r="Q378" s="483">
        <v>12</v>
      </c>
      <c r="S378" s="489">
        <v>0</v>
      </c>
      <c r="T378" s="113">
        <v>0</v>
      </c>
      <c r="U378" s="511"/>
    </row>
    <row r="379" spans="1:22" s="314" customFormat="1" ht="15" customHeight="1">
      <c r="A379" s="1"/>
      <c r="B379" s="313"/>
      <c r="C379" s="302" t="s">
        <v>1481</v>
      </c>
      <c r="D379" s="303" t="s">
        <v>909</v>
      </c>
      <c r="E379" s="304"/>
      <c r="F379" s="305"/>
      <c r="G379" s="305" t="s">
        <v>1227</v>
      </c>
      <c r="H379" s="307" t="s">
        <v>1228</v>
      </c>
      <c r="I379" s="308"/>
      <c r="J379" s="306"/>
      <c r="K379" s="315">
        <v>0</v>
      </c>
      <c r="L379" s="310">
        <v>44287</v>
      </c>
      <c r="M379" s="310"/>
      <c r="N379" s="311">
        <v>44287</v>
      </c>
      <c r="O379" s="309">
        <v>3032</v>
      </c>
      <c r="P379" s="302"/>
      <c r="Q379" s="485">
        <v>0</v>
      </c>
      <c r="S379" s="535">
        <v>0</v>
      </c>
      <c r="T379" s="322">
        <v>0</v>
      </c>
      <c r="U379" s="515"/>
      <c r="V379" s="549"/>
    </row>
    <row r="380" spans="1:22" s="7" customFormat="1" ht="18" customHeight="1">
      <c r="A380" s="1"/>
      <c r="B380" s="12"/>
      <c r="C380" s="6" t="s">
        <v>1483</v>
      </c>
      <c r="D380" s="15" t="s">
        <v>990</v>
      </c>
      <c r="E380" s="20" t="s">
        <v>1003</v>
      </c>
      <c r="F380" s="24"/>
      <c r="G380" s="44"/>
      <c r="H380" s="151"/>
      <c r="I380" s="151"/>
      <c r="J380" s="151"/>
      <c r="K380" s="153" t="s">
        <v>10</v>
      </c>
      <c r="L380" s="39">
        <v>44288</v>
      </c>
      <c r="M380" s="39"/>
      <c r="N380" s="213">
        <v>44288</v>
      </c>
      <c r="O380" s="38">
        <v>3046</v>
      </c>
      <c r="P380" s="6"/>
      <c r="Q380" s="411"/>
      <c r="S380" s="489"/>
      <c r="T380" s="113"/>
      <c r="U380" s="501"/>
      <c r="V380" s="494"/>
    </row>
    <row r="381" spans="1:22" s="7" customFormat="1" ht="15.95" customHeight="1">
      <c r="A381" s="1"/>
      <c r="B381" s="12"/>
      <c r="C381" s="6" t="s">
        <v>1483</v>
      </c>
      <c r="D381" s="15" t="s">
        <v>990</v>
      </c>
      <c r="E381" s="24" t="s">
        <v>1121</v>
      </c>
      <c r="F381" s="44"/>
      <c r="G381" s="44" t="s">
        <v>129</v>
      </c>
      <c r="H381" s="67">
        <v>14</v>
      </c>
      <c r="I381" s="68">
        <v>23</v>
      </c>
      <c r="J381" s="67">
        <f>H381*I381</f>
        <v>322</v>
      </c>
      <c r="K381" s="46">
        <v>1.8</v>
      </c>
      <c r="L381" s="39">
        <v>44288</v>
      </c>
      <c r="M381" s="39"/>
      <c r="N381" s="213">
        <v>44288</v>
      </c>
      <c r="O381" s="38">
        <v>3046</v>
      </c>
      <c r="P381" s="6"/>
      <c r="Q381" s="483">
        <v>1.44</v>
      </c>
      <c r="S381" s="489">
        <v>67</v>
      </c>
      <c r="T381" s="567">
        <f>S381*J381</f>
        <v>21574</v>
      </c>
      <c r="U381" s="512" t="s">
        <v>1484</v>
      </c>
      <c r="V381" s="494"/>
    </row>
    <row r="382" spans="1:22" s="7" customFormat="1" ht="15" customHeight="1">
      <c r="A382" s="1"/>
      <c r="B382" s="12"/>
      <c r="C382" s="6" t="s">
        <v>1483</v>
      </c>
      <c r="D382" s="15" t="s">
        <v>990</v>
      </c>
      <c r="E382" s="24"/>
      <c r="F382" s="138"/>
      <c r="G382" s="24" t="s">
        <v>31</v>
      </c>
      <c r="H382" s="8"/>
      <c r="I382" s="41"/>
      <c r="J382" s="45">
        <v>1</v>
      </c>
      <c r="K382" s="46">
        <v>12</v>
      </c>
      <c r="L382" s="39">
        <v>44288</v>
      </c>
      <c r="M382" s="39"/>
      <c r="N382" s="213">
        <v>44288</v>
      </c>
      <c r="O382" s="38">
        <v>3046</v>
      </c>
      <c r="P382" s="6"/>
      <c r="Q382" s="483">
        <v>12</v>
      </c>
      <c r="S382" s="498">
        <v>0</v>
      </c>
      <c r="T382" s="567">
        <f>S382*J382</f>
        <v>0</v>
      </c>
      <c r="U382" s="501"/>
      <c r="V382" s="494"/>
    </row>
    <row r="383" spans="1:22" s="7" customFormat="1" ht="15.95" customHeight="1">
      <c r="A383" s="1"/>
      <c r="B383" s="12"/>
      <c r="C383" s="6" t="s">
        <v>1483</v>
      </c>
      <c r="D383" s="15" t="s">
        <v>990</v>
      </c>
      <c r="E383" s="24" t="s">
        <v>1121</v>
      </c>
      <c r="F383" s="44"/>
      <c r="G383" s="44" t="s">
        <v>129</v>
      </c>
      <c r="H383" s="67">
        <v>14</v>
      </c>
      <c r="I383" s="68">
        <v>3</v>
      </c>
      <c r="J383" s="67">
        <f>H383*I383</f>
        <v>42</v>
      </c>
      <c r="K383" s="46">
        <v>1.8</v>
      </c>
      <c r="L383" s="39">
        <v>44323</v>
      </c>
      <c r="M383" s="39"/>
      <c r="N383" s="213">
        <v>44323</v>
      </c>
      <c r="O383" s="38">
        <v>3126</v>
      </c>
      <c r="P383" s="6"/>
      <c r="Q383" s="483">
        <v>1.44</v>
      </c>
      <c r="S383" s="489">
        <v>67</v>
      </c>
      <c r="T383" s="567">
        <f>S383*J383</f>
        <v>2814</v>
      </c>
      <c r="U383" s="512" t="s">
        <v>1484</v>
      </c>
      <c r="V383" s="494"/>
    </row>
    <row r="384" spans="1:22" s="314" customFormat="1" ht="15" customHeight="1">
      <c r="A384" s="1"/>
      <c r="B384" s="313"/>
      <c r="C384" s="302" t="s">
        <v>1483</v>
      </c>
      <c r="D384" s="303" t="s">
        <v>990</v>
      </c>
      <c r="E384" s="304"/>
      <c r="F384" s="305"/>
      <c r="G384" s="305" t="s">
        <v>1227</v>
      </c>
      <c r="H384" s="307" t="s">
        <v>1228</v>
      </c>
      <c r="I384" s="308"/>
      <c r="J384" s="306"/>
      <c r="K384" s="315">
        <v>0</v>
      </c>
      <c r="L384" s="310">
        <v>44323</v>
      </c>
      <c r="M384" s="310"/>
      <c r="N384" s="311">
        <v>44323</v>
      </c>
      <c r="O384" s="309">
        <v>3126</v>
      </c>
      <c r="P384" s="302"/>
      <c r="Q384" s="485">
        <v>0</v>
      </c>
      <c r="S384" s="536">
        <v>0</v>
      </c>
      <c r="T384" s="321">
        <v>0</v>
      </c>
      <c r="U384" s="515"/>
      <c r="V384" s="549"/>
    </row>
    <row r="385" spans="1:22" s="7" customFormat="1" ht="18" customHeight="1">
      <c r="A385" s="1"/>
      <c r="B385" s="12"/>
      <c r="C385" s="6" t="s">
        <v>1485</v>
      </c>
      <c r="D385" s="15" t="s">
        <v>990</v>
      </c>
      <c r="E385" s="20" t="s">
        <v>1003</v>
      </c>
      <c r="F385" s="24"/>
      <c r="G385" s="44"/>
      <c r="H385" s="151"/>
      <c r="I385" s="151"/>
      <c r="J385" s="151"/>
      <c r="K385" s="153" t="s">
        <v>10</v>
      </c>
      <c r="L385" s="39">
        <v>44288</v>
      </c>
      <c r="M385" s="39"/>
      <c r="N385" s="213">
        <v>44288</v>
      </c>
      <c r="O385" s="38">
        <v>3046</v>
      </c>
      <c r="P385" s="6"/>
      <c r="Q385" s="411"/>
      <c r="S385" s="489"/>
      <c r="T385" s="113"/>
      <c r="U385" s="501"/>
      <c r="V385" s="494"/>
    </row>
    <row r="386" spans="1:22" s="7" customFormat="1" ht="15.95" customHeight="1">
      <c r="A386" s="1"/>
      <c r="B386" s="12"/>
      <c r="C386" s="6" t="s">
        <v>1485</v>
      </c>
      <c r="D386" s="15" t="s">
        <v>990</v>
      </c>
      <c r="E386" s="24" t="s">
        <v>92</v>
      </c>
      <c r="F386" s="44"/>
      <c r="G386" s="44" t="s">
        <v>129</v>
      </c>
      <c r="H386" s="67">
        <v>14</v>
      </c>
      <c r="I386" s="68">
        <v>61</v>
      </c>
      <c r="J386" s="67">
        <f>H386*I386</f>
        <v>854</v>
      </c>
      <c r="K386" s="46">
        <v>1.45</v>
      </c>
      <c r="L386" s="39">
        <v>44288</v>
      </c>
      <c r="M386" s="39"/>
      <c r="N386" s="213">
        <v>44288</v>
      </c>
      <c r="O386" s="38">
        <v>3046</v>
      </c>
      <c r="P386" s="6"/>
      <c r="Q386" s="483">
        <v>1.1599999999999999</v>
      </c>
      <c r="S386" s="489">
        <v>36</v>
      </c>
      <c r="T386" s="113">
        <f>S386*J386</f>
        <v>30744</v>
      </c>
      <c r="U386" s="512" t="s">
        <v>1234</v>
      </c>
      <c r="V386" s="494"/>
    </row>
    <row r="387" spans="1:22" s="7" customFormat="1" ht="15" customHeight="1">
      <c r="A387" s="1"/>
      <c r="B387" s="12"/>
      <c r="C387" s="6" t="s">
        <v>1485</v>
      </c>
      <c r="D387" s="15" t="s">
        <v>990</v>
      </c>
      <c r="E387" s="24"/>
      <c r="F387" s="44"/>
      <c r="G387" s="44" t="s">
        <v>31</v>
      </c>
      <c r="H387" s="45"/>
      <c r="I387" s="152" ph="1"/>
      <c r="J387" s="45">
        <v>1</v>
      </c>
      <c r="K387" s="46">
        <v>12</v>
      </c>
      <c r="L387" s="39">
        <v>44288</v>
      </c>
      <c r="M387" s="39"/>
      <c r="N387" s="213">
        <v>44288</v>
      </c>
      <c r="O387" s="38">
        <v>3046</v>
      </c>
      <c r="P387" s="6"/>
      <c r="Q387" s="483">
        <v>12</v>
      </c>
      <c r="S387" s="489">
        <v>0</v>
      </c>
      <c r="T387" s="113">
        <f>S387*J387</f>
        <v>0</v>
      </c>
      <c r="U387" s="501"/>
      <c r="V387" s="494"/>
    </row>
    <row r="388" spans="1:22" s="314" customFormat="1" ht="15" customHeight="1">
      <c r="A388" s="1"/>
      <c r="B388" s="313"/>
      <c r="C388" s="302" t="s">
        <v>1485</v>
      </c>
      <c r="D388" s="303" t="s">
        <v>990</v>
      </c>
      <c r="E388" s="304"/>
      <c r="F388" s="305"/>
      <c r="G388" s="305" t="s">
        <v>1227</v>
      </c>
      <c r="H388" s="307" t="s">
        <v>1228</v>
      </c>
      <c r="I388" s="308"/>
      <c r="J388" s="306"/>
      <c r="K388" s="315">
        <v>0</v>
      </c>
      <c r="L388" s="310">
        <v>44288</v>
      </c>
      <c r="M388" s="310"/>
      <c r="N388" s="311">
        <v>44288</v>
      </c>
      <c r="O388" s="309">
        <v>3046</v>
      </c>
      <c r="P388" s="302"/>
      <c r="Q388" s="485">
        <v>0</v>
      </c>
      <c r="S388" s="535">
        <v>0</v>
      </c>
      <c r="T388" s="322">
        <v>0</v>
      </c>
      <c r="U388" s="515"/>
      <c r="V388" s="549"/>
    </row>
    <row r="389" spans="1:22" s="7" customFormat="1" ht="15">
      <c r="A389" s="1"/>
      <c r="B389" s="12"/>
      <c r="C389" s="6" t="s">
        <v>1487</v>
      </c>
      <c r="D389" s="15" t="s">
        <v>586</v>
      </c>
      <c r="E389" s="20" t="s">
        <v>55</v>
      </c>
      <c r="F389" s="26"/>
      <c r="G389" s="24"/>
      <c r="H389" s="67"/>
      <c r="I389" s="68"/>
      <c r="J389" s="67"/>
      <c r="K389" s="17" t="s">
        <v>10</v>
      </c>
      <c r="L389" s="39">
        <v>44288</v>
      </c>
      <c r="M389" s="39"/>
      <c r="N389" s="213">
        <v>44288</v>
      </c>
      <c r="O389" s="38">
        <v>3036</v>
      </c>
      <c r="P389" s="6" t="s">
        <v>3</v>
      </c>
      <c r="Q389" s="481"/>
      <c r="S389" s="489"/>
      <c r="T389" s="113"/>
      <c r="U389" s="500"/>
      <c r="V389" s="494"/>
    </row>
    <row r="390" spans="1:22" s="7" customFormat="1" ht="15.75" customHeight="1">
      <c r="A390" s="1"/>
      <c r="B390" s="12"/>
      <c r="C390" s="6" t="s">
        <v>1487</v>
      </c>
      <c r="D390" s="15" t="s">
        <v>586</v>
      </c>
      <c r="E390" s="24" t="s">
        <v>588</v>
      </c>
      <c r="F390" s="26"/>
      <c r="G390" s="24" t="s">
        <v>78</v>
      </c>
      <c r="H390" s="151">
        <v>14</v>
      </c>
      <c r="I390" s="41">
        <v>1</v>
      </c>
      <c r="J390" s="320">
        <v>14</v>
      </c>
      <c r="K390" s="46">
        <v>1.99</v>
      </c>
      <c r="L390" s="39">
        <v>44288</v>
      </c>
      <c r="M390" s="39"/>
      <c r="N390" s="213">
        <v>44288</v>
      </c>
      <c r="O390" s="38">
        <v>3036</v>
      </c>
      <c r="P390" s="6"/>
      <c r="Q390" s="483">
        <v>1.77</v>
      </c>
      <c r="S390" s="489">
        <v>71</v>
      </c>
      <c r="T390" s="113">
        <f>S390*J390</f>
        <v>994</v>
      </c>
      <c r="U390" s="517" t="s">
        <v>1488</v>
      </c>
      <c r="V390" s="494"/>
    </row>
    <row r="391" spans="1:22" s="218" customFormat="1" ht="15">
      <c r="A391" s="1"/>
      <c r="B391" s="541"/>
      <c r="C391" s="6" t="s">
        <v>1487</v>
      </c>
      <c r="D391" s="15" t="s">
        <v>586</v>
      </c>
      <c r="E391" s="24"/>
      <c r="F391" s="26"/>
      <c r="G391" s="24" t="s">
        <v>31</v>
      </c>
      <c r="H391" s="45"/>
      <c r="I391" s="41"/>
      <c r="J391" s="45">
        <v>1</v>
      </c>
      <c r="K391" s="46">
        <v>12</v>
      </c>
      <c r="L391" s="39">
        <v>44288</v>
      </c>
      <c r="M391" s="39"/>
      <c r="N391" s="213">
        <v>44288</v>
      </c>
      <c r="O391" s="38">
        <v>3036</v>
      </c>
      <c r="P391" s="216"/>
      <c r="Q391" s="483">
        <v>12</v>
      </c>
      <c r="S391" s="489">
        <v>0</v>
      </c>
      <c r="T391" s="113">
        <f>S391*J391</f>
        <v>0</v>
      </c>
      <c r="U391" s="504"/>
      <c r="V391" s="547"/>
    </row>
    <row r="392" spans="1:22" s="314" customFormat="1" ht="15" customHeight="1">
      <c r="A392" s="1"/>
      <c r="B392" s="313"/>
      <c r="C392" s="302" t="s">
        <v>1487</v>
      </c>
      <c r="D392" s="303" t="s">
        <v>586</v>
      </c>
      <c r="E392" s="304"/>
      <c r="F392" s="305"/>
      <c r="G392" s="305" t="s">
        <v>1227</v>
      </c>
      <c r="H392" s="307" t="s">
        <v>1228</v>
      </c>
      <c r="I392" s="308"/>
      <c r="J392" s="306"/>
      <c r="K392" s="315">
        <v>0</v>
      </c>
      <c r="L392" s="310">
        <v>44288</v>
      </c>
      <c r="M392" s="310"/>
      <c r="N392" s="311">
        <v>44288</v>
      </c>
      <c r="O392" s="309">
        <v>3036</v>
      </c>
      <c r="P392" s="302"/>
      <c r="Q392" s="485">
        <v>0</v>
      </c>
      <c r="S392" s="535">
        <v>0</v>
      </c>
      <c r="T392" s="322">
        <v>0</v>
      </c>
      <c r="U392" s="515"/>
      <c r="V392" s="549"/>
    </row>
    <row r="393" spans="1:22" s="7" customFormat="1" ht="18.600000000000001" customHeight="1">
      <c r="A393" s="1"/>
      <c r="B393" s="12"/>
      <c r="C393" s="6" t="s">
        <v>1525</v>
      </c>
      <c r="D393" s="15" t="s">
        <v>990</v>
      </c>
      <c r="E393" s="20" t="s">
        <v>1003</v>
      </c>
      <c r="F393" s="24"/>
      <c r="G393" s="44"/>
      <c r="H393" s="151"/>
      <c r="I393" s="151"/>
      <c r="J393" s="151"/>
      <c r="K393" s="153" t="s">
        <v>10</v>
      </c>
      <c r="L393" s="39">
        <v>44295</v>
      </c>
      <c r="M393" s="39"/>
      <c r="N393" s="213">
        <v>44295</v>
      </c>
      <c r="O393" s="38">
        <v>3053</v>
      </c>
      <c r="P393" s="6"/>
      <c r="Q393" s="411"/>
      <c r="S393" s="489"/>
      <c r="T393" s="113"/>
      <c r="U393" s="501"/>
      <c r="V393" s="494"/>
    </row>
    <row r="394" spans="1:22" s="7" customFormat="1" ht="15.95" customHeight="1">
      <c r="A394" s="1"/>
      <c r="B394" s="12"/>
      <c r="C394" s="6" t="s">
        <v>1525</v>
      </c>
      <c r="D394" s="15" t="s">
        <v>990</v>
      </c>
      <c r="E394" s="24" t="s">
        <v>1489</v>
      </c>
      <c r="F394" s="44"/>
      <c r="G394" s="44" t="s">
        <v>129</v>
      </c>
      <c r="H394" s="67">
        <v>14</v>
      </c>
      <c r="I394" s="68">
        <v>1</v>
      </c>
      <c r="J394" s="67">
        <f>H394*I394</f>
        <v>14</v>
      </c>
      <c r="K394" s="46">
        <v>2.23</v>
      </c>
      <c r="L394" s="39">
        <v>44295</v>
      </c>
      <c r="M394" s="39"/>
      <c r="N394" s="213">
        <v>44295</v>
      </c>
      <c r="O394" s="38">
        <v>3053</v>
      </c>
      <c r="P394" s="6"/>
      <c r="Q394" s="483">
        <v>1.78</v>
      </c>
      <c r="S394" s="489">
        <v>90</v>
      </c>
      <c r="T394" s="113">
        <f t="shared" ref="T394:T409" si="9">S394*J394</f>
        <v>1260</v>
      </c>
      <c r="U394" s="512" t="s">
        <v>1490</v>
      </c>
      <c r="V394" s="494"/>
    </row>
    <row r="395" spans="1:22" s="7" customFormat="1" ht="15.95" customHeight="1">
      <c r="A395" s="1"/>
      <c r="B395" s="12"/>
      <c r="C395" s="6" t="s">
        <v>1525</v>
      </c>
      <c r="D395" s="15" t="s">
        <v>990</v>
      </c>
      <c r="E395" s="24" t="s">
        <v>1491</v>
      </c>
      <c r="F395" s="44"/>
      <c r="G395" s="44" t="s">
        <v>129</v>
      </c>
      <c r="H395" s="67">
        <v>14</v>
      </c>
      <c r="I395" s="68">
        <v>1</v>
      </c>
      <c r="J395" s="67">
        <f>H395*I395</f>
        <v>14</v>
      </c>
      <c r="K395" s="46">
        <v>2.54</v>
      </c>
      <c r="L395" s="39">
        <v>44295</v>
      </c>
      <c r="M395" s="39"/>
      <c r="N395" s="213">
        <v>44295</v>
      </c>
      <c r="O395" s="38">
        <v>3053</v>
      </c>
      <c r="P395" s="6"/>
      <c r="Q395" s="483">
        <v>2.0299999999999998</v>
      </c>
      <c r="S395" s="489">
        <v>107</v>
      </c>
      <c r="T395" s="113">
        <f t="shared" si="9"/>
        <v>1498</v>
      </c>
      <c r="U395" s="512" t="s">
        <v>1492</v>
      </c>
      <c r="V395" s="494"/>
    </row>
    <row r="396" spans="1:22" s="7" customFormat="1" ht="15.95" customHeight="1">
      <c r="A396" s="1"/>
      <c r="B396" s="12"/>
      <c r="C396" s="6" t="s">
        <v>1525</v>
      </c>
      <c r="D396" s="15" t="s">
        <v>990</v>
      </c>
      <c r="E396" s="24" t="s">
        <v>1493</v>
      </c>
      <c r="F396" s="44"/>
      <c r="G396" s="44" t="s">
        <v>129</v>
      </c>
      <c r="H396" s="67">
        <v>14</v>
      </c>
      <c r="I396" s="68">
        <v>1</v>
      </c>
      <c r="J396" s="67">
        <f>H396*I396</f>
        <v>14</v>
      </c>
      <c r="K396" s="46">
        <v>4.04</v>
      </c>
      <c r="L396" s="39">
        <v>44295</v>
      </c>
      <c r="M396" s="39"/>
      <c r="N396" s="213">
        <v>44295</v>
      </c>
      <c r="O396" s="38">
        <v>3053</v>
      </c>
      <c r="P396" s="6"/>
      <c r="Q396" s="483">
        <v>3.23</v>
      </c>
      <c r="S396" s="489">
        <v>178</v>
      </c>
      <c r="T396" s="113">
        <f t="shared" si="9"/>
        <v>2492</v>
      </c>
      <c r="U396" s="512" t="s">
        <v>1494</v>
      </c>
      <c r="V396" s="494"/>
    </row>
    <row r="397" spans="1:22" s="7" customFormat="1" ht="15.95" customHeight="1">
      <c r="A397" s="1"/>
      <c r="B397" s="12"/>
      <c r="C397" s="6" t="s">
        <v>1524</v>
      </c>
      <c r="D397" s="15" t="s">
        <v>990</v>
      </c>
      <c r="E397" s="24" t="s">
        <v>93</v>
      </c>
      <c r="F397" s="44"/>
      <c r="G397" s="44" t="s">
        <v>129</v>
      </c>
      <c r="H397" s="67">
        <v>14</v>
      </c>
      <c r="I397" s="68">
        <v>1</v>
      </c>
      <c r="J397" s="67">
        <f>H397*I397</f>
        <v>14</v>
      </c>
      <c r="K397" s="46">
        <v>1.84</v>
      </c>
      <c r="L397" s="39">
        <v>44295</v>
      </c>
      <c r="M397" s="39"/>
      <c r="N397" s="213">
        <v>44295</v>
      </c>
      <c r="O397" s="38">
        <v>3053</v>
      </c>
      <c r="P397" s="6"/>
      <c r="Q397" s="483">
        <v>1.47</v>
      </c>
      <c r="S397" s="489">
        <v>57</v>
      </c>
      <c r="T397" s="113">
        <f t="shared" si="9"/>
        <v>798</v>
      </c>
      <c r="U397" s="512" t="s">
        <v>1511</v>
      </c>
      <c r="V397" s="494"/>
    </row>
    <row r="398" spans="1:22" s="7" customFormat="1" ht="15.95" customHeight="1">
      <c r="A398" s="1"/>
      <c r="B398" s="12"/>
      <c r="C398" s="6" t="s">
        <v>1524</v>
      </c>
      <c r="D398" s="15" t="s">
        <v>990</v>
      </c>
      <c r="E398" s="24" t="s">
        <v>1512</v>
      </c>
      <c r="F398" s="44"/>
      <c r="G398" s="44" t="s">
        <v>129</v>
      </c>
      <c r="H398" s="67">
        <v>14</v>
      </c>
      <c r="I398" s="68">
        <v>1</v>
      </c>
      <c r="J398" s="67">
        <f>H398*I398</f>
        <v>14</v>
      </c>
      <c r="K398" s="46">
        <v>1.45</v>
      </c>
      <c r="L398" s="39">
        <v>44295</v>
      </c>
      <c r="M398" s="39"/>
      <c r="N398" s="213">
        <v>44295</v>
      </c>
      <c r="O398" s="38">
        <v>3053</v>
      </c>
      <c r="P398" s="6"/>
      <c r="Q398" s="483">
        <v>1.1599999999999999</v>
      </c>
      <c r="S398" s="489">
        <v>50</v>
      </c>
      <c r="T398" s="113">
        <f t="shared" si="9"/>
        <v>700</v>
      </c>
      <c r="U398" s="512" t="s">
        <v>1513</v>
      </c>
      <c r="V398" s="494"/>
    </row>
    <row r="399" spans="1:22" s="7" customFormat="1" ht="15.95" customHeight="1">
      <c r="A399" s="1"/>
      <c r="B399" s="12"/>
      <c r="C399" s="6" t="s">
        <v>1525</v>
      </c>
      <c r="D399" s="15" t="s">
        <v>990</v>
      </c>
      <c r="E399" s="24" t="s">
        <v>1495</v>
      </c>
      <c r="F399" s="44"/>
      <c r="G399" s="44" t="s">
        <v>129</v>
      </c>
      <c r="H399" s="67">
        <v>10</v>
      </c>
      <c r="I399" s="67">
        <v>10</v>
      </c>
      <c r="J399" s="67">
        <v>10</v>
      </c>
      <c r="K399" s="46">
        <v>0.45</v>
      </c>
      <c r="L399" s="39">
        <v>44295</v>
      </c>
      <c r="M399" s="39"/>
      <c r="N399" s="213">
        <v>44295</v>
      </c>
      <c r="O399" s="38">
        <v>3053</v>
      </c>
      <c r="P399" s="46">
        <f t="shared" ref="P399:P408" si="10">ROUNDUP(S399/0.75/90,2)</f>
        <v>0.36</v>
      </c>
      <c r="Q399" s="483">
        <v>0.36</v>
      </c>
      <c r="S399" s="489">
        <v>24</v>
      </c>
      <c r="T399" s="113">
        <f t="shared" si="9"/>
        <v>240</v>
      </c>
      <c r="U399" s="512" t="s">
        <v>1496</v>
      </c>
      <c r="V399" s="494"/>
    </row>
    <row r="400" spans="1:22" s="7" customFormat="1" ht="15.95" customHeight="1">
      <c r="A400" s="1"/>
      <c r="B400" s="12"/>
      <c r="C400" s="6" t="s">
        <v>1525</v>
      </c>
      <c r="D400" s="15" t="s">
        <v>990</v>
      </c>
      <c r="E400" s="24" t="s">
        <v>1497</v>
      </c>
      <c r="F400" s="44"/>
      <c r="G400" s="44" t="s">
        <v>129</v>
      </c>
      <c r="H400" s="67">
        <v>10</v>
      </c>
      <c r="I400" s="67">
        <v>10</v>
      </c>
      <c r="J400" s="67">
        <v>10</v>
      </c>
      <c r="K400" s="46">
        <v>0.6</v>
      </c>
      <c r="L400" s="39">
        <v>44295</v>
      </c>
      <c r="M400" s="39"/>
      <c r="N400" s="213">
        <v>44295</v>
      </c>
      <c r="O400" s="38">
        <v>3053</v>
      </c>
      <c r="P400" s="46">
        <f t="shared" si="10"/>
        <v>0.48</v>
      </c>
      <c r="Q400" s="483">
        <v>0.48</v>
      </c>
      <c r="S400" s="489">
        <v>32</v>
      </c>
      <c r="T400" s="113">
        <f t="shared" si="9"/>
        <v>320</v>
      </c>
      <c r="U400" s="512" t="s">
        <v>1499</v>
      </c>
      <c r="V400" s="494"/>
    </row>
    <row r="401" spans="1:22" s="7" customFormat="1" ht="15.95" customHeight="1">
      <c r="A401" s="1"/>
      <c r="B401" s="12"/>
      <c r="C401" s="6" t="s">
        <v>1524</v>
      </c>
      <c r="D401" s="15" t="s">
        <v>990</v>
      </c>
      <c r="E401" s="24" t="s">
        <v>1523</v>
      </c>
      <c r="F401" s="44"/>
      <c r="G401" s="44" t="s">
        <v>129</v>
      </c>
      <c r="H401" s="67">
        <v>10</v>
      </c>
      <c r="I401" s="67">
        <v>10</v>
      </c>
      <c r="J401" s="67">
        <v>10</v>
      </c>
      <c r="K401" s="46">
        <v>0.57999999999999996</v>
      </c>
      <c r="L401" s="39">
        <v>44295</v>
      </c>
      <c r="M401" s="39"/>
      <c r="N401" s="213">
        <v>44295</v>
      </c>
      <c r="O401" s="38">
        <v>3053</v>
      </c>
      <c r="P401" s="46">
        <f t="shared" si="10"/>
        <v>0.46</v>
      </c>
      <c r="Q401" s="483">
        <v>0.46</v>
      </c>
      <c r="S401" s="489">
        <v>31</v>
      </c>
      <c r="T401" s="113">
        <f t="shared" si="9"/>
        <v>310</v>
      </c>
      <c r="U401" s="512" t="s">
        <v>1498</v>
      </c>
      <c r="V401" s="494"/>
    </row>
    <row r="402" spans="1:22" s="7" customFormat="1" ht="15.95" customHeight="1">
      <c r="A402" s="1"/>
      <c r="B402" s="12"/>
      <c r="C402" s="6" t="s">
        <v>1524</v>
      </c>
      <c r="D402" s="15" t="s">
        <v>990</v>
      </c>
      <c r="E402" s="24" t="s">
        <v>1500</v>
      </c>
      <c r="F402" s="44"/>
      <c r="G402" s="44" t="s">
        <v>129</v>
      </c>
      <c r="H402" s="67">
        <v>10</v>
      </c>
      <c r="I402" s="67">
        <v>10</v>
      </c>
      <c r="J402" s="67">
        <v>10</v>
      </c>
      <c r="K402" s="46">
        <v>0.41</v>
      </c>
      <c r="L402" s="39">
        <v>44295</v>
      </c>
      <c r="M402" s="39"/>
      <c r="N402" s="213">
        <v>44295</v>
      </c>
      <c r="O402" s="38">
        <v>3053</v>
      </c>
      <c r="P402" s="46">
        <f t="shared" si="10"/>
        <v>0.33</v>
      </c>
      <c r="Q402" s="483">
        <v>0.33</v>
      </c>
      <c r="S402" s="489">
        <v>22</v>
      </c>
      <c r="T402" s="113">
        <f t="shared" si="9"/>
        <v>220</v>
      </c>
      <c r="U402" s="512" t="s">
        <v>1501</v>
      </c>
      <c r="V402" s="494"/>
    </row>
    <row r="403" spans="1:22" s="7" customFormat="1" ht="15.95" customHeight="1">
      <c r="A403" s="1"/>
      <c r="B403" s="12"/>
      <c r="C403" s="6" t="s">
        <v>1524</v>
      </c>
      <c r="D403" s="15" t="s">
        <v>990</v>
      </c>
      <c r="E403" s="24" t="s">
        <v>1522</v>
      </c>
      <c r="F403" s="44"/>
      <c r="G403" s="44" t="s">
        <v>129</v>
      </c>
      <c r="H403" s="67">
        <v>10</v>
      </c>
      <c r="I403" s="67">
        <v>10</v>
      </c>
      <c r="J403" s="67">
        <v>10</v>
      </c>
      <c r="K403" s="46">
        <v>0.5</v>
      </c>
      <c r="L403" s="39">
        <v>44295</v>
      </c>
      <c r="M403" s="39"/>
      <c r="N403" s="213">
        <v>44295</v>
      </c>
      <c r="O403" s="38">
        <v>3053</v>
      </c>
      <c r="P403" s="46">
        <f t="shared" si="10"/>
        <v>0.4</v>
      </c>
      <c r="Q403" s="483">
        <v>0.4</v>
      </c>
      <c r="S403" s="489">
        <v>27</v>
      </c>
      <c r="T403" s="113">
        <f t="shared" si="9"/>
        <v>270</v>
      </c>
      <c r="U403" s="512" t="s">
        <v>1502</v>
      </c>
      <c r="V403" s="494"/>
    </row>
    <row r="404" spans="1:22" s="7" customFormat="1" ht="15.95" customHeight="1">
      <c r="A404" s="1"/>
      <c r="B404" s="12"/>
      <c r="C404" s="6" t="s">
        <v>1524</v>
      </c>
      <c r="D404" s="15" t="s">
        <v>990</v>
      </c>
      <c r="E404" s="24" t="s">
        <v>1503</v>
      </c>
      <c r="F404" s="44"/>
      <c r="G404" s="44" t="s">
        <v>129</v>
      </c>
      <c r="H404" s="67">
        <v>10</v>
      </c>
      <c r="I404" s="67">
        <v>10</v>
      </c>
      <c r="J404" s="67">
        <v>10</v>
      </c>
      <c r="K404" s="46">
        <v>0.6</v>
      </c>
      <c r="L404" s="39">
        <v>44295</v>
      </c>
      <c r="M404" s="39"/>
      <c r="N404" s="213">
        <v>44295</v>
      </c>
      <c r="O404" s="38">
        <v>3053</v>
      </c>
      <c r="P404" s="46">
        <f t="shared" si="10"/>
        <v>0.48</v>
      </c>
      <c r="Q404" s="483">
        <v>0.48</v>
      </c>
      <c r="S404" s="489">
        <v>32</v>
      </c>
      <c r="T404" s="113">
        <f t="shared" si="9"/>
        <v>320</v>
      </c>
      <c r="U404" s="512" t="s">
        <v>1499</v>
      </c>
      <c r="V404" s="494"/>
    </row>
    <row r="405" spans="1:22" s="7" customFormat="1" ht="15.95" customHeight="1">
      <c r="A405" s="1"/>
      <c r="B405" s="12"/>
      <c r="C405" s="6" t="s">
        <v>1524</v>
      </c>
      <c r="D405" s="15" t="s">
        <v>990</v>
      </c>
      <c r="E405" s="24" t="s">
        <v>1504</v>
      </c>
      <c r="F405" s="44"/>
      <c r="G405" s="44" t="s">
        <v>129</v>
      </c>
      <c r="H405" s="67">
        <v>10</v>
      </c>
      <c r="I405" s="67">
        <v>10</v>
      </c>
      <c r="J405" s="67">
        <v>10</v>
      </c>
      <c r="K405" s="46">
        <v>0.69</v>
      </c>
      <c r="L405" s="39">
        <v>44295</v>
      </c>
      <c r="M405" s="39"/>
      <c r="N405" s="213">
        <v>44295</v>
      </c>
      <c r="O405" s="38">
        <v>3053</v>
      </c>
      <c r="P405" s="46">
        <f t="shared" si="10"/>
        <v>0.55000000000000004</v>
      </c>
      <c r="Q405" s="483">
        <v>0.55000000000000004</v>
      </c>
      <c r="S405" s="489">
        <v>37</v>
      </c>
      <c r="T405" s="113">
        <f t="shared" si="9"/>
        <v>370</v>
      </c>
      <c r="U405" s="512" t="s">
        <v>1505</v>
      </c>
      <c r="V405" s="494"/>
    </row>
    <row r="406" spans="1:22" s="7" customFormat="1" ht="15.95" customHeight="1">
      <c r="A406" s="1"/>
      <c r="B406" s="12"/>
      <c r="C406" s="6" t="s">
        <v>1524</v>
      </c>
      <c r="D406" s="15" t="s">
        <v>990</v>
      </c>
      <c r="E406" s="24" t="s">
        <v>1506</v>
      </c>
      <c r="F406" s="44"/>
      <c r="G406" s="44" t="s">
        <v>129</v>
      </c>
      <c r="H406" s="67">
        <v>10</v>
      </c>
      <c r="I406" s="67">
        <v>10</v>
      </c>
      <c r="J406" s="67">
        <v>10</v>
      </c>
      <c r="K406" s="46">
        <v>0.6</v>
      </c>
      <c r="L406" s="39">
        <v>44295</v>
      </c>
      <c r="M406" s="39"/>
      <c r="N406" s="213">
        <v>44295</v>
      </c>
      <c r="O406" s="38">
        <v>3053</v>
      </c>
      <c r="P406" s="46">
        <f t="shared" si="10"/>
        <v>0.48</v>
      </c>
      <c r="Q406" s="483">
        <v>0.48</v>
      </c>
      <c r="S406" s="489">
        <v>32</v>
      </c>
      <c r="T406" s="113">
        <f t="shared" si="9"/>
        <v>320</v>
      </c>
      <c r="U406" s="512" t="s">
        <v>1499</v>
      </c>
      <c r="V406" s="494"/>
    </row>
    <row r="407" spans="1:22" s="7" customFormat="1" ht="15.95" customHeight="1">
      <c r="A407" s="1"/>
      <c r="B407" s="12"/>
      <c r="C407" s="6" t="s">
        <v>1524</v>
      </c>
      <c r="D407" s="15" t="s">
        <v>990</v>
      </c>
      <c r="E407" s="24" t="s">
        <v>1507</v>
      </c>
      <c r="F407" s="44"/>
      <c r="G407" s="44" t="s">
        <v>129</v>
      </c>
      <c r="H407" s="67">
        <v>10</v>
      </c>
      <c r="I407" s="67">
        <v>10</v>
      </c>
      <c r="J407" s="67">
        <v>10</v>
      </c>
      <c r="K407" s="46">
        <v>0.78</v>
      </c>
      <c r="L407" s="39">
        <v>44295</v>
      </c>
      <c r="M407" s="39"/>
      <c r="N407" s="213">
        <v>44295</v>
      </c>
      <c r="O407" s="38">
        <v>3053</v>
      </c>
      <c r="P407" s="46">
        <f t="shared" si="10"/>
        <v>0.63</v>
      </c>
      <c r="Q407" s="483">
        <v>0.63</v>
      </c>
      <c r="S407" s="489">
        <v>42</v>
      </c>
      <c r="T407" s="113">
        <f t="shared" si="9"/>
        <v>420</v>
      </c>
      <c r="U407" s="512" t="s">
        <v>1508</v>
      </c>
      <c r="V407" s="494"/>
    </row>
    <row r="408" spans="1:22" s="7" customFormat="1" ht="15.95" customHeight="1">
      <c r="A408" s="1"/>
      <c r="B408" s="12"/>
      <c r="C408" s="6" t="s">
        <v>1524</v>
      </c>
      <c r="D408" s="15" t="s">
        <v>990</v>
      </c>
      <c r="E408" s="24" t="s">
        <v>1509</v>
      </c>
      <c r="F408" s="44"/>
      <c r="G408" s="44" t="s">
        <v>129</v>
      </c>
      <c r="H408" s="67">
        <v>10</v>
      </c>
      <c r="I408" s="67">
        <v>10</v>
      </c>
      <c r="J408" s="67">
        <v>10</v>
      </c>
      <c r="K408" s="46">
        <v>0.82</v>
      </c>
      <c r="L408" s="39">
        <v>44295</v>
      </c>
      <c r="M408" s="39"/>
      <c r="N408" s="213">
        <v>44295</v>
      </c>
      <c r="O408" s="38">
        <v>3053</v>
      </c>
      <c r="P408" s="46">
        <f t="shared" si="10"/>
        <v>0.66</v>
      </c>
      <c r="Q408" s="483">
        <v>0.66</v>
      </c>
      <c r="S408" s="489">
        <v>44</v>
      </c>
      <c r="T408" s="113">
        <f t="shared" si="9"/>
        <v>440</v>
      </c>
      <c r="U408" s="512" t="s">
        <v>1510</v>
      </c>
      <c r="V408" s="494"/>
    </row>
    <row r="409" spans="1:22" s="218" customFormat="1" ht="15">
      <c r="A409" s="1"/>
      <c r="B409" s="541"/>
      <c r="C409" s="6" t="s">
        <v>1524</v>
      </c>
      <c r="D409" s="15" t="s">
        <v>990</v>
      </c>
      <c r="E409" s="24"/>
      <c r="F409" s="26"/>
      <c r="G409" s="24" t="s">
        <v>31</v>
      </c>
      <c r="H409" s="45"/>
      <c r="I409" s="41"/>
      <c r="J409" s="45">
        <v>1</v>
      </c>
      <c r="K409" s="46">
        <v>15</v>
      </c>
      <c r="L409" s="39">
        <v>44295</v>
      </c>
      <c r="M409" s="39"/>
      <c r="N409" s="213">
        <v>44295</v>
      </c>
      <c r="O409" s="38">
        <v>3053</v>
      </c>
      <c r="P409" s="216"/>
      <c r="Q409" s="483">
        <v>15</v>
      </c>
      <c r="S409" s="489">
        <f>900+900</f>
        <v>1800</v>
      </c>
      <c r="T409" s="113">
        <f t="shared" si="9"/>
        <v>1800</v>
      </c>
      <c r="U409" s="504"/>
      <c r="V409" s="547"/>
    </row>
    <row r="410" spans="1:22" s="314" customFormat="1" ht="15">
      <c r="A410" s="1"/>
      <c r="B410" s="313"/>
      <c r="C410" s="302" t="s">
        <v>1524</v>
      </c>
      <c r="D410" s="303" t="s">
        <v>990</v>
      </c>
      <c r="E410" s="304"/>
      <c r="F410" s="305"/>
      <c r="G410" s="305" t="s">
        <v>1227</v>
      </c>
      <c r="H410" s="307" t="s">
        <v>1228</v>
      </c>
      <c r="I410" s="308"/>
      <c r="J410" s="306"/>
      <c r="K410" s="315">
        <v>0</v>
      </c>
      <c r="L410" s="310">
        <v>44295</v>
      </c>
      <c r="M410" s="310"/>
      <c r="N410" s="311">
        <v>44295</v>
      </c>
      <c r="O410" s="309">
        <v>3053</v>
      </c>
      <c r="P410" s="302"/>
      <c r="Q410" s="485">
        <v>0</v>
      </c>
      <c r="S410" s="535">
        <v>0</v>
      </c>
      <c r="T410" s="322">
        <v>0</v>
      </c>
      <c r="U410" s="515"/>
      <c r="V410" s="549"/>
    </row>
    <row r="411" spans="1:22" s="7" customFormat="1" ht="18.600000000000001" customHeight="1">
      <c r="A411" s="1"/>
      <c r="B411" s="12"/>
      <c r="C411" s="6" t="s">
        <v>1532</v>
      </c>
      <c r="D411" s="15" t="s">
        <v>990</v>
      </c>
      <c r="E411" s="20" t="s">
        <v>1003</v>
      </c>
      <c r="F411" s="24"/>
      <c r="G411" s="44"/>
      <c r="H411" s="151"/>
      <c r="I411" s="151"/>
      <c r="J411" s="151"/>
      <c r="K411" s="153" t="s">
        <v>10</v>
      </c>
      <c r="L411" s="39">
        <v>44295</v>
      </c>
      <c r="M411" s="39"/>
      <c r="N411" s="213">
        <v>44295</v>
      </c>
      <c r="O411" s="38">
        <v>3053</v>
      </c>
      <c r="P411" s="6"/>
      <c r="Q411" s="411"/>
      <c r="S411" s="489"/>
      <c r="T411" s="113"/>
      <c r="U411" s="1861" t="s">
        <v>1527</v>
      </c>
      <c r="V411" s="494"/>
    </row>
    <row r="412" spans="1:22" s="7" customFormat="1" ht="15.95" customHeight="1">
      <c r="A412" s="1"/>
      <c r="B412" s="12"/>
      <c r="C412" s="6" t="s">
        <v>1532</v>
      </c>
      <c r="D412" s="15" t="s">
        <v>990</v>
      </c>
      <c r="E412" s="24" t="s">
        <v>1526</v>
      </c>
      <c r="F412" s="44"/>
      <c r="G412" s="44" t="s">
        <v>129</v>
      </c>
      <c r="H412" s="67">
        <v>14</v>
      </c>
      <c r="I412" s="68">
        <v>2</v>
      </c>
      <c r="J412" s="67">
        <f>H412*I412</f>
        <v>28</v>
      </c>
      <c r="K412" s="46">
        <v>1.73</v>
      </c>
      <c r="L412" s="39">
        <v>44295</v>
      </c>
      <c r="M412" s="39"/>
      <c r="N412" s="213">
        <v>44295</v>
      </c>
      <c r="O412" s="38">
        <v>3053</v>
      </c>
      <c r="P412" s="46" t="e">
        <f>ROUNDUP(#REF!/0.75/90,2)</f>
        <v>#REF!</v>
      </c>
      <c r="Q412" s="483">
        <v>1.38</v>
      </c>
      <c r="S412" s="489">
        <v>63</v>
      </c>
      <c r="T412" s="113">
        <f>S412*J412</f>
        <v>1764</v>
      </c>
      <c r="U412" s="512">
        <f>63+30</f>
        <v>93</v>
      </c>
      <c r="V412" s="494"/>
    </row>
    <row r="413" spans="1:22" s="7" customFormat="1" ht="15.95" customHeight="1">
      <c r="A413" s="1"/>
      <c r="B413" s="12"/>
      <c r="C413" s="6" t="s">
        <v>1532</v>
      </c>
      <c r="D413" s="15" t="s">
        <v>990</v>
      </c>
      <c r="E413" s="24" t="s">
        <v>1528</v>
      </c>
      <c r="F413" s="44"/>
      <c r="G413" s="44" t="s">
        <v>129</v>
      </c>
      <c r="H413" s="67">
        <v>14</v>
      </c>
      <c r="I413" s="68">
        <v>2</v>
      </c>
      <c r="J413" s="67">
        <f>H413*I413</f>
        <v>28</v>
      </c>
      <c r="K413" s="46">
        <v>1.62</v>
      </c>
      <c r="L413" s="39">
        <v>44295</v>
      </c>
      <c r="M413" s="39"/>
      <c r="N413" s="213">
        <v>44295</v>
      </c>
      <c r="O413" s="38">
        <v>3053</v>
      </c>
      <c r="P413" s="46" t="e">
        <f>ROUNDUP(#REF!/0.75/90,2)</f>
        <v>#REF!</v>
      </c>
      <c r="Q413" s="483">
        <v>1.29</v>
      </c>
      <c r="S413" s="489">
        <v>57</v>
      </c>
      <c r="T413" s="113">
        <f>S413*J413</f>
        <v>1596</v>
      </c>
      <c r="U413" s="512">
        <f>57+30</f>
        <v>87</v>
      </c>
      <c r="V413" s="494"/>
    </row>
    <row r="414" spans="1:22" s="7" customFormat="1" ht="15.95" customHeight="1">
      <c r="A414" s="1"/>
      <c r="B414" s="12"/>
      <c r="C414" s="6" t="s">
        <v>1532</v>
      </c>
      <c r="D414" s="15" t="s">
        <v>990</v>
      </c>
      <c r="E414" s="24" t="s">
        <v>1529</v>
      </c>
      <c r="F414" s="44"/>
      <c r="G414" s="44" t="s">
        <v>129</v>
      </c>
      <c r="H414" s="67">
        <v>14</v>
      </c>
      <c r="I414" s="68">
        <v>2</v>
      </c>
      <c r="J414" s="67">
        <f>H414*I414</f>
        <v>28</v>
      </c>
      <c r="K414" s="46">
        <v>2.36</v>
      </c>
      <c r="L414" s="39">
        <v>44295</v>
      </c>
      <c r="M414" s="39"/>
      <c r="N414" s="213">
        <v>44295</v>
      </c>
      <c r="O414" s="38">
        <v>3053</v>
      </c>
      <c r="P414" s="46" t="e">
        <f>ROUNDUP(#REF!/0.75/90,2)</f>
        <v>#REF!</v>
      </c>
      <c r="Q414" s="483">
        <v>1.89</v>
      </c>
      <c r="S414" s="489">
        <v>97</v>
      </c>
      <c r="T414" s="113">
        <f>S414*J414</f>
        <v>2716</v>
      </c>
      <c r="U414" s="512">
        <f>97+30</f>
        <v>127</v>
      </c>
      <c r="V414" s="494"/>
    </row>
    <row r="415" spans="1:22" s="7" customFormat="1" ht="15.95" customHeight="1">
      <c r="A415" s="1"/>
      <c r="B415" s="12"/>
      <c r="C415" s="6" t="s">
        <v>1532</v>
      </c>
      <c r="D415" s="15" t="s">
        <v>990</v>
      </c>
      <c r="E415" s="24" t="s">
        <v>1005</v>
      </c>
      <c r="F415" s="44"/>
      <c r="G415" s="44" t="s">
        <v>129</v>
      </c>
      <c r="H415" s="67">
        <v>14</v>
      </c>
      <c r="I415" s="68">
        <v>2</v>
      </c>
      <c r="J415" s="67">
        <f>H415*I415</f>
        <v>28</v>
      </c>
      <c r="K415" s="46">
        <v>1.54</v>
      </c>
      <c r="L415" s="39">
        <v>44295</v>
      </c>
      <c r="M415" s="39"/>
      <c r="N415" s="213">
        <v>44295</v>
      </c>
      <c r="O415" s="38">
        <v>3053</v>
      </c>
      <c r="P415" s="46" t="e">
        <f>ROUNDUP(#REF!/0.75/90,2)</f>
        <v>#REF!</v>
      </c>
      <c r="Q415" s="483">
        <v>1.23</v>
      </c>
      <c r="S415" s="489">
        <v>53</v>
      </c>
      <c r="T415" s="113">
        <f>S415*J415</f>
        <v>1484</v>
      </c>
      <c r="U415" s="512">
        <f>53+30</f>
        <v>83</v>
      </c>
      <c r="V415" s="494"/>
    </row>
    <row r="416" spans="1:22" s="218" customFormat="1" ht="15">
      <c r="A416" s="1"/>
      <c r="B416" s="541"/>
      <c r="C416" s="6" t="s">
        <v>1532</v>
      </c>
      <c r="D416" s="15" t="s">
        <v>990</v>
      </c>
      <c r="E416" s="24"/>
      <c r="F416" s="26"/>
      <c r="G416" s="24" t="s">
        <v>31</v>
      </c>
      <c r="H416" s="45"/>
      <c r="I416" s="41"/>
      <c r="J416" s="45">
        <v>1</v>
      </c>
      <c r="K416" s="46">
        <v>15</v>
      </c>
      <c r="L416" s="39">
        <v>44295</v>
      </c>
      <c r="M416" s="39"/>
      <c r="N416" s="213">
        <v>44295</v>
      </c>
      <c r="O416" s="38">
        <v>3053</v>
      </c>
      <c r="P416" s="216"/>
      <c r="Q416" s="483">
        <v>15</v>
      </c>
      <c r="S416" s="489">
        <v>900</v>
      </c>
      <c r="T416" s="113">
        <f>S416*J416</f>
        <v>900</v>
      </c>
      <c r="U416" s="504"/>
      <c r="V416" s="547"/>
    </row>
    <row r="417" spans="1:22" s="314" customFormat="1" ht="15">
      <c r="A417" s="1"/>
      <c r="B417" s="313"/>
      <c r="C417" s="302" t="s">
        <v>1532</v>
      </c>
      <c r="D417" s="303" t="s">
        <v>990</v>
      </c>
      <c r="E417" s="304"/>
      <c r="F417" s="305"/>
      <c r="G417" s="305" t="s">
        <v>1227</v>
      </c>
      <c r="H417" s="307" t="s">
        <v>1228</v>
      </c>
      <c r="I417" s="308"/>
      <c r="J417" s="306"/>
      <c r="K417" s="315">
        <v>0</v>
      </c>
      <c r="L417" s="310">
        <v>44295</v>
      </c>
      <c r="M417" s="310"/>
      <c r="N417" s="311">
        <v>44295</v>
      </c>
      <c r="O417" s="309">
        <v>3053</v>
      </c>
      <c r="P417" s="302"/>
      <c r="Q417" s="485">
        <v>0</v>
      </c>
      <c r="S417" s="535">
        <v>0</v>
      </c>
      <c r="T417" s="322">
        <v>0</v>
      </c>
      <c r="U417" s="515"/>
      <c r="V417" s="549"/>
    </row>
    <row r="418" spans="1:22" s="7" customFormat="1" ht="18.600000000000001" customHeight="1">
      <c r="A418" s="1"/>
      <c r="B418" s="12"/>
      <c r="C418" s="6" t="s">
        <v>1542</v>
      </c>
      <c r="D418" s="15" t="s">
        <v>990</v>
      </c>
      <c r="E418" s="20" t="s">
        <v>1003</v>
      </c>
      <c r="F418" s="24"/>
      <c r="G418" s="44"/>
      <c r="H418" s="151"/>
      <c r="I418" s="151"/>
      <c r="J418" s="151"/>
      <c r="K418" s="153" t="s">
        <v>10</v>
      </c>
      <c r="L418" s="39">
        <v>44295</v>
      </c>
      <c r="M418" s="39"/>
      <c r="N418" s="213">
        <v>44295</v>
      </c>
      <c r="O418" s="38">
        <v>3053</v>
      </c>
      <c r="P418" s="6"/>
      <c r="Q418" s="411"/>
      <c r="S418" s="489"/>
      <c r="T418" s="113"/>
      <c r="U418" s="1861" t="s">
        <v>1527</v>
      </c>
      <c r="V418" s="494"/>
    </row>
    <row r="419" spans="1:22" s="7" customFormat="1" ht="15.95" customHeight="1">
      <c r="A419" s="1"/>
      <c r="B419" s="12"/>
      <c r="C419" s="6" t="s">
        <v>1542</v>
      </c>
      <c r="D419" s="15" t="s">
        <v>990</v>
      </c>
      <c r="E419" s="24" t="s">
        <v>1533</v>
      </c>
      <c r="F419" s="44"/>
      <c r="G419" s="44" t="s">
        <v>129</v>
      </c>
      <c r="H419" s="67">
        <v>14</v>
      </c>
      <c r="I419" s="68">
        <v>1</v>
      </c>
      <c r="J419" s="67">
        <f t="shared" ref="J419:J425" si="11">H419*I419</f>
        <v>14</v>
      </c>
      <c r="K419" s="46">
        <v>4.2300000000000004</v>
      </c>
      <c r="L419" s="39">
        <v>44295</v>
      </c>
      <c r="M419" s="39"/>
      <c r="N419" s="213">
        <v>44295</v>
      </c>
      <c r="O419" s="38">
        <v>3053</v>
      </c>
      <c r="P419" s="46" t="e">
        <f>ROUNDUP(#REF!/0.75/90,2)</f>
        <v>#REF!</v>
      </c>
      <c r="Q419" s="483">
        <v>3.38</v>
      </c>
      <c r="S419" s="489">
        <v>193</v>
      </c>
      <c r="T419" s="113">
        <f t="shared" ref="T419:T426" si="12">S419*J419</f>
        <v>2702</v>
      </c>
      <c r="U419" s="512">
        <f>193+35</f>
        <v>228</v>
      </c>
      <c r="V419" s="494"/>
    </row>
    <row r="420" spans="1:22" s="7" customFormat="1" ht="15.95" customHeight="1">
      <c r="A420" s="1"/>
      <c r="B420" s="12"/>
      <c r="C420" s="6" t="s">
        <v>1542</v>
      </c>
      <c r="D420" s="15" t="s">
        <v>990</v>
      </c>
      <c r="E420" s="24" t="s">
        <v>1534</v>
      </c>
      <c r="F420" s="44"/>
      <c r="G420" s="44" t="s">
        <v>129</v>
      </c>
      <c r="H420" s="67">
        <v>14</v>
      </c>
      <c r="I420" s="68">
        <v>1</v>
      </c>
      <c r="J420" s="67">
        <f t="shared" si="11"/>
        <v>14</v>
      </c>
      <c r="K420" s="46">
        <v>1.67</v>
      </c>
      <c r="L420" s="39">
        <v>44295</v>
      </c>
      <c r="M420" s="39"/>
      <c r="N420" s="213">
        <v>44295</v>
      </c>
      <c r="O420" s="38">
        <v>3053</v>
      </c>
      <c r="P420" s="46" t="e">
        <f>ROUNDUP(#REF!/0.75/90,2)</f>
        <v>#REF!</v>
      </c>
      <c r="Q420" s="483">
        <v>1.34</v>
      </c>
      <c r="S420" s="489">
        <v>65</v>
      </c>
      <c r="T420" s="113">
        <f t="shared" si="12"/>
        <v>910</v>
      </c>
      <c r="U420" s="512">
        <f>65+25</f>
        <v>90</v>
      </c>
      <c r="V420" s="494"/>
    </row>
    <row r="421" spans="1:22" s="7" customFormat="1" ht="15.95" customHeight="1">
      <c r="A421" s="1"/>
      <c r="B421" s="12"/>
      <c r="C421" s="6" t="s">
        <v>1542</v>
      </c>
      <c r="D421" s="15" t="s">
        <v>990</v>
      </c>
      <c r="E421" s="24" t="s">
        <v>1535</v>
      </c>
      <c r="F421" s="44"/>
      <c r="G421" s="44" t="s">
        <v>129</v>
      </c>
      <c r="H421" s="67">
        <v>14</v>
      </c>
      <c r="I421" s="68">
        <v>1</v>
      </c>
      <c r="J421" s="67">
        <f t="shared" si="11"/>
        <v>14</v>
      </c>
      <c r="K421" s="46">
        <v>2.2599999999999998</v>
      </c>
      <c r="L421" s="39">
        <v>44295</v>
      </c>
      <c r="M421" s="39"/>
      <c r="N421" s="213">
        <v>44295</v>
      </c>
      <c r="O421" s="38">
        <v>3053</v>
      </c>
      <c r="P421" s="46" t="e">
        <f>ROUNDUP(#REF!/0.75/90,2)</f>
        <v>#REF!</v>
      </c>
      <c r="Q421" s="483">
        <v>1.81</v>
      </c>
      <c r="S421" s="489">
        <v>84</v>
      </c>
      <c r="T421" s="113">
        <f t="shared" si="12"/>
        <v>1176</v>
      </c>
      <c r="U421" s="512">
        <f>84+38</f>
        <v>122</v>
      </c>
      <c r="V421" s="494"/>
    </row>
    <row r="422" spans="1:22" s="7" customFormat="1" ht="15.95" customHeight="1">
      <c r="A422" s="1"/>
      <c r="B422" s="12"/>
      <c r="C422" s="6" t="s">
        <v>1542</v>
      </c>
      <c r="D422" s="15" t="s">
        <v>990</v>
      </c>
      <c r="E422" s="24" t="s">
        <v>1536</v>
      </c>
      <c r="F422" s="44"/>
      <c r="G422" s="44" t="s">
        <v>129</v>
      </c>
      <c r="H422" s="67">
        <v>14</v>
      </c>
      <c r="I422" s="68">
        <v>1</v>
      </c>
      <c r="J422" s="67">
        <f t="shared" si="11"/>
        <v>14</v>
      </c>
      <c r="K422" s="46">
        <v>1.63</v>
      </c>
      <c r="L422" s="39">
        <v>44295</v>
      </c>
      <c r="M422" s="39"/>
      <c r="N422" s="213">
        <v>44295</v>
      </c>
      <c r="O422" s="38">
        <v>3053</v>
      </c>
      <c r="P422" s="46" t="e">
        <f>ROUNDUP(#REF!/0.75/90,2)</f>
        <v>#REF!</v>
      </c>
      <c r="Q422" s="483">
        <v>1.31</v>
      </c>
      <c r="S422" s="489">
        <v>60</v>
      </c>
      <c r="T422" s="113">
        <f t="shared" si="12"/>
        <v>840</v>
      </c>
      <c r="U422" s="512">
        <f>60+28</f>
        <v>88</v>
      </c>
      <c r="V422" s="494"/>
    </row>
    <row r="423" spans="1:22" s="7" customFormat="1" ht="15.95" customHeight="1">
      <c r="A423" s="1"/>
      <c r="B423" s="12"/>
      <c r="C423" s="6" t="s">
        <v>1542</v>
      </c>
      <c r="D423" s="15" t="s">
        <v>990</v>
      </c>
      <c r="E423" s="24" t="s">
        <v>1537</v>
      </c>
      <c r="F423" s="44"/>
      <c r="G423" s="44" t="s">
        <v>129</v>
      </c>
      <c r="H423" s="67">
        <v>14</v>
      </c>
      <c r="I423" s="68">
        <v>1</v>
      </c>
      <c r="J423" s="67">
        <f t="shared" si="11"/>
        <v>14</v>
      </c>
      <c r="K423" s="46">
        <v>1.89</v>
      </c>
      <c r="L423" s="39">
        <v>44295</v>
      </c>
      <c r="M423" s="39"/>
      <c r="N423" s="213">
        <v>44295</v>
      </c>
      <c r="O423" s="38">
        <v>3053</v>
      </c>
      <c r="P423" s="46" t="e">
        <f>ROUNDUP(#REF!/0.75/90,2)</f>
        <v>#REF!</v>
      </c>
      <c r="Q423" s="483">
        <v>1.52</v>
      </c>
      <c r="S423" s="489">
        <v>64</v>
      </c>
      <c r="T423" s="113">
        <f t="shared" si="12"/>
        <v>896</v>
      </c>
      <c r="U423" s="512">
        <f>64+38</f>
        <v>102</v>
      </c>
      <c r="V423" s="494"/>
    </row>
    <row r="424" spans="1:22" s="7" customFormat="1" ht="15.95" customHeight="1">
      <c r="A424" s="1"/>
      <c r="B424" s="12"/>
      <c r="C424" s="6" t="s">
        <v>1542</v>
      </c>
      <c r="D424" s="15" t="s">
        <v>990</v>
      </c>
      <c r="E424" s="24" t="s">
        <v>1538</v>
      </c>
      <c r="F424" s="44"/>
      <c r="G424" s="44" t="s">
        <v>129</v>
      </c>
      <c r="H424" s="67">
        <v>14</v>
      </c>
      <c r="I424" s="68">
        <v>1</v>
      </c>
      <c r="J424" s="67">
        <f t="shared" si="11"/>
        <v>14</v>
      </c>
      <c r="K424" s="46">
        <v>3.91</v>
      </c>
      <c r="L424" s="39">
        <v>44295</v>
      </c>
      <c r="M424" s="39"/>
      <c r="N424" s="213">
        <v>44295</v>
      </c>
      <c r="O424" s="38">
        <v>3053</v>
      </c>
      <c r="P424" s="46" t="e">
        <f>ROUNDUP(#REF!/0.75/90,2)</f>
        <v>#REF!</v>
      </c>
      <c r="Q424" s="483">
        <v>3.13</v>
      </c>
      <c r="S424" s="489">
        <v>165</v>
      </c>
      <c r="T424" s="113">
        <f t="shared" si="12"/>
        <v>2310</v>
      </c>
      <c r="U424" s="512">
        <f>165+46</f>
        <v>211</v>
      </c>
      <c r="V424" s="494"/>
    </row>
    <row r="425" spans="1:22" s="7" customFormat="1" ht="15.95" customHeight="1">
      <c r="A425" s="1"/>
      <c r="B425" s="12"/>
      <c r="C425" s="6" t="s">
        <v>1542</v>
      </c>
      <c r="D425" s="15" t="s">
        <v>990</v>
      </c>
      <c r="E425" s="24" t="s">
        <v>1539</v>
      </c>
      <c r="F425" s="44"/>
      <c r="G425" s="44" t="s">
        <v>129</v>
      </c>
      <c r="H425" s="67">
        <v>14</v>
      </c>
      <c r="I425" s="68">
        <v>1</v>
      </c>
      <c r="J425" s="67">
        <f t="shared" si="11"/>
        <v>14</v>
      </c>
      <c r="K425" s="46">
        <v>5.85</v>
      </c>
      <c r="L425" s="39">
        <v>44295</v>
      </c>
      <c r="M425" s="39"/>
      <c r="N425" s="213">
        <v>44295</v>
      </c>
      <c r="O425" s="38">
        <v>3053</v>
      </c>
      <c r="P425" s="46" t="e">
        <f>ROUNDUP(#REF!/0.8/90,2)</f>
        <v>#REF!</v>
      </c>
      <c r="Q425" s="483">
        <v>5.12</v>
      </c>
      <c r="S425" s="489">
        <v>305</v>
      </c>
      <c r="T425" s="113">
        <f t="shared" si="12"/>
        <v>4270</v>
      </c>
      <c r="U425" s="512">
        <f>305+63</f>
        <v>368</v>
      </c>
      <c r="V425" s="494"/>
    </row>
    <row r="426" spans="1:22" s="218" customFormat="1" ht="15" customHeight="1">
      <c r="A426" s="1"/>
      <c r="B426" s="541"/>
      <c r="C426" s="6" t="s">
        <v>1542</v>
      </c>
      <c r="D426" s="15" t="s">
        <v>990</v>
      </c>
      <c r="E426" s="56"/>
      <c r="F426" s="26"/>
      <c r="G426" s="24" t="s">
        <v>31</v>
      </c>
      <c r="H426" s="45"/>
      <c r="I426" s="41"/>
      <c r="J426" s="45">
        <v>1</v>
      </c>
      <c r="K426" s="46">
        <v>15</v>
      </c>
      <c r="L426" s="39">
        <v>44295</v>
      </c>
      <c r="M426" s="39"/>
      <c r="N426" s="213">
        <v>44295</v>
      </c>
      <c r="O426" s="38">
        <v>3053</v>
      </c>
      <c r="P426" s="216"/>
      <c r="Q426" s="483">
        <v>15</v>
      </c>
      <c r="S426" s="489">
        <v>900</v>
      </c>
      <c r="T426" s="113">
        <f t="shared" si="12"/>
        <v>900</v>
      </c>
      <c r="U426" s="504"/>
      <c r="V426" s="547"/>
    </row>
    <row r="427" spans="1:22" s="314" customFormat="1" ht="15">
      <c r="A427" s="1"/>
      <c r="B427" s="313"/>
      <c r="C427" s="302" t="s">
        <v>1542</v>
      </c>
      <c r="D427" s="303" t="s">
        <v>990</v>
      </c>
      <c r="E427" s="304"/>
      <c r="F427" s="305"/>
      <c r="G427" s="305" t="s">
        <v>1227</v>
      </c>
      <c r="H427" s="307" t="s">
        <v>1228</v>
      </c>
      <c r="I427" s="308"/>
      <c r="J427" s="306"/>
      <c r="K427" s="315">
        <v>0</v>
      </c>
      <c r="L427" s="310">
        <v>44295</v>
      </c>
      <c r="M427" s="310"/>
      <c r="N427" s="311">
        <v>44295</v>
      </c>
      <c r="O427" s="309">
        <v>3053</v>
      </c>
      <c r="P427" s="302"/>
      <c r="Q427" s="485">
        <v>0</v>
      </c>
      <c r="S427" s="535">
        <v>0</v>
      </c>
      <c r="T427" s="322">
        <v>0</v>
      </c>
      <c r="U427" s="515"/>
      <c r="V427" s="549"/>
    </row>
    <row r="428" spans="1:22" s="7" customFormat="1" ht="15" customHeight="1">
      <c r="A428" s="1"/>
      <c r="B428" s="12"/>
      <c r="C428" s="6" t="s">
        <v>1541</v>
      </c>
      <c r="D428" s="15" t="s">
        <v>983</v>
      </c>
      <c r="E428" s="20" t="s">
        <v>344</v>
      </c>
      <c r="F428" s="26"/>
      <c r="G428" s="24"/>
      <c r="H428" s="67"/>
      <c r="I428" s="68"/>
      <c r="J428" s="67"/>
      <c r="K428" s="17" t="s">
        <v>134</v>
      </c>
      <c r="L428" s="39">
        <v>44295</v>
      </c>
      <c r="M428" s="39"/>
      <c r="N428" s="213">
        <v>44295</v>
      </c>
      <c r="O428" s="38">
        <v>3052</v>
      </c>
      <c r="P428" s="6" t="s">
        <v>23</v>
      </c>
      <c r="Q428" s="481"/>
      <c r="S428" s="489"/>
      <c r="T428" s="113"/>
      <c r="U428" s="500"/>
      <c r="V428" s="494"/>
    </row>
    <row r="429" spans="1:22" s="7" customFormat="1" ht="15" customHeight="1">
      <c r="A429" s="1"/>
      <c r="B429" s="12"/>
      <c r="C429" s="6" t="s">
        <v>1541</v>
      </c>
      <c r="D429" s="15" t="s">
        <v>983</v>
      </c>
      <c r="E429" s="24">
        <v>14552</v>
      </c>
      <c r="F429" s="26">
        <v>10</v>
      </c>
      <c r="G429" s="24" t="s">
        <v>1467</v>
      </c>
      <c r="H429" s="151">
        <v>30</v>
      </c>
      <c r="I429" s="152">
        <v>15</v>
      </c>
      <c r="J429" s="67">
        <f>H429*I429</f>
        <v>450</v>
      </c>
      <c r="K429" s="25">
        <v>0.57999999999999996</v>
      </c>
      <c r="L429" s="39">
        <v>44295</v>
      </c>
      <c r="M429" s="39"/>
      <c r="N429" s="213">
        <v>44295</v>
      </c>
      <c r="O429" s="38">
        <v>3052</v>
      </c>
      <c r="P429" s="25"/>
      <c r="Q429" s="482">
        <v>0.46</v>
      </c>
      <c r="S429" s="489">
        <v>31</v>
      </c>
      <c r="T429" s="567">
        <f>S429*J429</f>
        <v>13950</v>
      </c>
      <c r="U429" s="500"/>
      <c r="V429" s="494"/>
    </row>
    <row r="430" spans="1:22" s="7" customFormat="1" ht="15" customHeight="1">
      <c r="A430" s="1"/>
      <c r="B430" s="12"/>
      <c r="C430" s="6" t="s">
        <v>1541</v>
      </c>
      <c r="D430" s="15" t="s">
        <v>983</v>
      </c>
      <c r="E430" s="24"/>
      <c r="F430" s="138"/>
      <c r="G430" s="24" t="s">
        <v>481</v>
      </c>
      <c r="H430" s="8"/>
      <c r="I430" s="41"/>
      <c r="J430" s="45">
        <v>1</v>
      </c>
      <c r="K430" s="46">
        <v>12</v>
      </c>
      <c r="L430" s="39">
        <v>44295</v>
      </c>
      <c r="M430" s="39"/>
      <c r="N430" s="213">
        <v>44295</v>
      </c>
      <c r="O430" s="38">
        <v>3052</v>
      </c>
      <c r="P430" s="6"/>
      <c r="Q430" s="483">
        <v>12</v>
      </c>
      <c r="S430" s="489">
        <v>0</v>
      </c>
      <c r="T430" s="567">
        <f>S430*J430</f>
        <v>0</v>
      </c>
      <c r="U430" s="501"/>
      <c r="V430" s="494"/>
    </row>
    <row r="431" spans="1:22" s="314" customFormat="1" ht="15">
      <c r="A431" s="1"/>
      <c r="B431" s="313"/>
      <c r="C431" s="302" t="s">
        <v>1541</v>
      </c>
      <c r="D431" s="303" t="s">
        <v>983</v>
      </c>
      <c r="E431" s="304"/>
      <c r="F431" s="305"/>
      <c r="G431" s="305" t="s">
        <v>1227</v>
      </c>
      <c r="H431" s="307" t="s">
        <v>1243</v>
      </c>
      <c r="I431" s="308"/>
      <c r="J431" s="306"/>
      <c r="K431" s="329">
        <v>50</v>
      </c>
      <c r="L431" s="310">
        <v>44295</v>
      </c>
      <c r="M431" s="310"/>
      <c r="N431" s="311">
        <v>44295</v>
      </c>
      <c r="O431" s="309">
        <v>3052</v>
      </c>
      <c r="P431" s="302"/>
      <c r="Q431" s="529">
        <v>50</v>
      </c>
      <c r="S431" s="537">
        <v>4356</v>
      </c>
      <c r="T431" s="348">
        <v>4356</v>
      </c>
      <c r="U431" s="515"/>
      <c r="V431" s="549"/>
    </row>
    <row r="432" spans="1:22" s="7" customFormat="1" ht="15" customHeight="1">
      <c r="A432" s="1"/>
      <c r="B432" s="12"/>
      <c r="C432" s="6" t="s">
        <v>1543</v>
      </c>
      <c r="D432" s="15" t="s">
        <v>814</v>
      </c>
      <c r="E432" s="20" t="s">
        <v>823</v>
      </c>
      <c r="F432" s="150"/>
      <c r="G432" s="24"/>
      <c r="H432" s="151"/>
      <c r="I432" s="152"/>
      <c r="J432" s="151"/>
      <c r="K432" s="34" t="s">
        <v>10</v>
      </c>
      <c r="L432" s="39">
        <v>44301</v>
      </c>
      <c r="M432" s="39"/>
      <c r="N432" s="213">
        <v>44301</v>
      </c>
      <c r="O432" s="38">
        <v>3063</v>
      </c>
      <c r="P432" s="15"/>
      <c r="Q432" s="483"/>
      <c r="S432" s="489"/>
      <c r="T432" s="113"/>
      <c r="U432" s="506"/>
      <c r="V432" s="494"/>
    </row>
    <row r="433" spans="1:22" s="7" customFormat="1" ht="15" customHeight="1">
      <c r="A433" s="1"/>
      <c r="B433" s="12"/>
      <c r="C433" s="6" t="s">
        <v>1543</v>
      </c>
      <c r="D433" s="15" t="s">
        <v>814</v>
      </c>
      <c r="E433" s="24">
        <v>2255</v>
      </c>
      <c r="F433" s="26">
        <v>36</v>
      </c>
      <c r="G433" s="24" t="s">
        <v>103</v>
      </c>
      <c r="H433" s="151">
        <v>30</v>
      </c>
      <c r="I433" s="152">
        <v>2</v>
      </c>
      <c r="J433" s="8">
        <f>H433*I433</f>
        <v>60</v>
      </c>
      <c r="K433" s="46">
        <v>0.99</v>
      </c>
      <c r="L433" s="39">
        <v>44301</v>
      </c>
      <c r="M433" s="39"/>
      <c r="N433" s="213">
        <v>44301</v>
      </c>
      <c r="O433" s="38">
        <v>3063</v>
      </c>
      <c r="P433" s="6"/>
      <c r="Q433" s="483">
        <v>0.79</v>
      </c>
      <c r="S433" s="489">
        <v>53</v>
      </c>
      <c r="T433" s="567">
        <f>S433*J433</f>
        <v>3180</v>
      </c>
      <c r="U433" s="501"/>
      <c r="V433" s="494"/>
    </row>
    <row r="434" spans="1:22" s="7" customFormat="1" ht="15" customHeight="1">
      <c r="A434" s="1"/>
      <c r="B434" s="12"/>
      <c r="C434" s="6" t="s">
        <v>1543</v>
      </c>
      <c r="D434" s="15" t="s">
        <v>814</v>
      </c>
      <c r="E434" s="24"/>
      <c r="F434" s="26"/>
      <c r="G434" s="24" t="s">
        <v>31</v>
      </c>
      <c r="H434" s="45"/>
      <c r="I434" s="41"/>
      <c r="J434" s="45">
        <v>1</v>
      </c>
      <c r="K434" s="46">
        <v>12</v>
      </c>
      <c r="L434" s="39">
        <v>44301</v>
      </c>
      <c r="M434" s="39"/>
      <c r="N434" s="213">
        <v>44301</v>
      </c>
      <c r="O434" s="38">
        <v>3063</v>
      </c>
      <c r="P434" s="6"/>
      <c r="Q434" s="483">
        <v>12</v>
      </c>
      <c r="S434" s="489">
        <v>0</v>
      </c>
      <c r="T434" s="113">
        <v>0</v>
      </c>
      <c r="U434" s="501"/>
      <c r="V434" s="494"/>
    </row>
    <row r="435" spans="1:22" s="314" customFormat="1" ht="15">
      <c r="A435" s="1"/>
      <c r="B435" s="313"/>
      <c r="C435" s="302" t="s">
        <v>1543</v>
      </c>
      <c r="D435" s="303" t="s">
        <v>814</v>
      </c>
      <c r="E435" s="304"/>
      <c r="F435" s="305"/>
      <c r="G435" s="305" t="s">
        <v>1227</v>
      </c>
      <c r="H435" s="307" t="s">
        <v>1243</v>
      </c>
      <c r="I435" s="308"/>
      <c r="J435" s="306"/>
      <c r="K435" s="329">
        <v>65</v>
      </c>
      <c r="L435" s="310">
        <v>44301</v>
      </c>
      <c r="M435" s="310"/>
      <c r="N435" s="311">
        <v>44301</v>
      </c>
      <c r="O435" s="309">
        <v>3063</v>
      </c>
      <c r="P435" s="302"/>
      <c r="Q435" s="529">
        <v>65</v>
      </c>
      <c r="S435" s="537">
        <v>6267</v>
      </c>
      <c r="T435" s="348">
        <v>6267</v>
      </c>
      <c r="U435" s="515"/>
      <c r="V435" s="549"/>
    </row>
    <row r="436" spans="1:22" s="7" customFormat="1" ht="15" customHeight="1">
      <c r="A436" s="1"/>
      <c r="B436" s="12"/>
      <c r="C436" s="6" t="s">
        <v>1544</v>
      </c>
      <c r="D436" s="15" t="s">
        <v>983</v>
      </c>
      <c r="E436" s="20" t="s">
        <v>344</v>
      </c>
      <c r="F436" s="26"/>
      <c r="G436" s="24"/>
      <c r="H436" s="67"/>
      <c r="I436" s="68"/>
      <c r="J436" s="67"/>
      <c r="K436" s="17" t="s">
        <v>134</v>
      </c>
      <c r="L436" s="39">
        <v>44306</v>
      </c>
      <c r="M436" s="39"/>
      <c r="N436" s="213">
        <v>44306</v>
      </c>
      <c r="O436" s="38">
        <v>3082</v>
      </c>
      <c r="P436" s="6" t="s">
        <v>23</v>
      </c>
      <c r="Q436" s="481"/>
      <c r="S436" s="489"/>
      <c r="T436" s="113"/>
      <c r="U436" s="500"/>
      <c r="V436" s="494"/>
    </row>
    <row r="437" spans="1:22" s="7" customFormat="1" ht="15" customHeight="1">
      <c r="A437" s="1"/>
      <c r="B437" s="12"/>
      <c r="C437" s="6" t="s">
        <v>1544</v>
      </c>
      <c r="D437" s="15" t="s">
        <v>983</v>
      </c>
      <c r="E437" s="24">
        <v>14552</v>
      </c>
      <c r="F437" s="26">
        <v>10</v>
      </c>
      <c r="G437" s="24" t="s">
        <v>431</v>
      </c>
      <c r="H437" s="151">
        <v>30</v>
      </c>
      <c r="I437" s="152">
        <v>7</v>
      </c>
      <c r="J437" s="67">
        <f>H437*I437</f>
        <v>210</v>
      </c>
      <c r="K437" s="25">
        <v>0.57999999999999996</v>
      </c>
      <c r="L437" s="39">
        <v>44306</v>
      </c>
      <c r="M437" s="39"/>
      <c r="N437" s="213">
        <v>44306</v>
      </c>
      <c r="O437" s="38">
        <v>3082</v>
      </c>
      <c r="P437" s="25"/>
      <c r="Q437" s="482">
        <v>0.46</v>
      </c>
      <c r="S437" s="489">
        <v>31</v>
      </c>
      <c r="T437" s="567">
        <f>S437*J437</f>
        <v>6510</v>
      </c>
      <c r="U437" s="500"/>
      <c r="V437" s="494"/>
    </row>
    <row r="438" spans="1:22" s="7" customFormat="1" ht="15" customHeight="1">
      <c r="A438" s="1"/>
      <c r="B438" s="12"/>
      <c r="C438" s="6" t="s">
        <v>1544</v>
      </c>
      <c r="D438" s="15" t="s">
        <v>983</v>
      </c>
      <c r="E438" s="24"/>
      <c r="F438" s="138"/>
      <c r="G438" s="24" t="s">
        <v>481</v>
      </c>
      <c r="H438" s="8"/>
      <c r="I438" s="41"/>
      <c r="J438" s="45">
        <v>1</v>
      </c>
      <c r="K438" s="46">
        <v>12</v>
      </c>
      <c r="L438" s="39">
        <v>44306</v>
      </c>
      <c r="M438" s="39"/>
      <c r="N438" s="213">
        <v>44306</v>
      </c>
      <c r="O438" s="38">
        <v>3082</v>
      </c>
      <c r="P438" s="6"/>
      <c r="Q438" s="483">
        <v>12</v>
      </c>
      <c r="S438" s="489">
        <v>0</v>
      </c>
      <c r="T438" s="567">
        <f>S438*J438</f>
        <v>0</v>
      </c>
      <c r="U438" s="501"/>
      <c r="V438" s="494"/>
    </row>
    <row r="439" spans="1:22" s="314" customFormat="1" ht="15">
      <c r="A439" s="1"/>
      <c r="B439" s="313"/>
      <c r="C439" s="302" t="s">
        <v>1544</v>
      </c>
      <c r="D439" s="303" t="s">
        <v>983</v>
      </c>
      <c r="E439" s="304"/>
      <c r="F439" s="305"/>
      <c r="G439" s="305" t="s">
        <v>1227</v>
      </c>
      <c r="H439" s="307" t="s">
        <v>1243</v>
      </c>
      <c r="I439" s="308"/>
      <c r="J439" s="306"/>
      <c r="K439" s="329">
        <v>38</v>
      </c>
      <c r="L439" s="310">
        <v>44306</v>
      </c>
      <c r="M439" s="310"/>
      <c r="N439" s="311">
        <v>44306</v>
      </c>
      <c r="O439" s="309">
        <v>3082</v>
      </c>
      <c r="P439" s="302"/>
      <c r="Q439" s="529">
        <v>38</v>
      </c>
      <c r="S439" s="537">
        <v>3361</v>
      </c>
      <c r="T439" s="348">
        <v>3361</v>
      </c>
      <c r="U439" s="515"/>
      <c r="V439" s="549"/>
    </row>
    <row r="440" spans="1:22" s="7" customFormat="1" ht="15">
      <c r="A440" s="1"/>
      <c r="B440" s="12"/>
      <c r="C440" s="6" t="s">
        <v>1545</v>
      </c>
      <c r="D440" s="15" t="s">
        <v>892</v>
      </c>
      <c r="E440" s="20" t="s">
        <v>628</v>
      </c>
      <c r="F440" s="44"/>
      <c r="G440" s="44"/>
      <c r="H440" s="151"/>
      <c r="I440" s="151"/>
      <c r="J440" s="151"/>
      <c r="K440" s="153" t="s">
        <v>134</v>
      </c>
      <c r="L440" s="39">
        <v>44309</v>
      </c>
      <c r="M440" s="39"/>
      <c r="N440" s="213">
        <v>44309</v>
      </c>
      <c r="O440" s="38">
        <v>3099</v>
      </c>
      <c r="P440" s="6"/>
      <c r="Q440" s="524"/>
      <c r="S440" s="489"/>
      <c r="T440" s="113"/>
      <c r="U440" s="501"/>
      <c r="V440" s="494"/>
    </row>
    <row r="441" spans="1:22" s="7" customFormat="1" ht="15">
      <c r="A441" s="1"/>
      <c r="B441" s="12"/>
      <c r="C441" s="6" t="s">
        <v>1545</v>
      </c>
      <c r="D441" s="15" t="s">
        <v>892</v>
      </c>
      <c r="E441" s="24">
        <v>5603</v>
      </c>
      <c r="F441" s="44"/>
      <c r="G441" s="44" t="s">
        <v>102</v>
      </c>
      <c r="H441" s="151">
        <v>50</v>
      </c>
      <c r="I441" s="152">
        <v>4</v>
      </c>
      <c r="J441" s="67">
        <f>H441*I441</f>
        <v>200</v>
      </c>
      <c r="K441" s="46">
        <v>0.3</v>
      </c>
      <c r="L441" s="39">
        <v>44309</v>
      </c>
      <c r="M441" s="39"/>
      <c r="N441" s="213">
        <v>44309</v>
      </c>
      <c r="O441" s="38">
        <v>3099</v>
      </c>
      <c r="P441" s="6"/>
      <c r="Q441" s="483">
        <v>0.24</v>
      </c>
      <c r="S441" s="489">
        <v>16</v>
      </c>
      <c r="T441" s="567">
        <f>S441*J441</f>
        <v>3200</v>
      </c>
      <c r="U441" s="507"/>
      <c r="V441" s="494"/>
    </row>
    <row r="442" spans="1:22" s="7" customFormat="1" ht="15.95" customHeight="1">
      <c r="A442" s="1"/>
      <c r="B442" s="12"/>
      <c r="C442" s="6" t="s">
        <v>1545</v>
      </c>
      <c r="D442" s="15" t="s">
        <v>892</v>
      </c>
      <c r="E442" s="24"/>
      <c r="F442" s="138"/>
      <c r="G442" s="24" t="s">
        <v>31</v>
      </c>
      <c r="H442" s="8"/>
      <c r="I442" s="41"/>
      <c r="J442" s="45">
        <v>1</v>
      </c>
      <c r="K442" s="46">
        <v>12</v>
      </c>
      <c r="L442" s="39">
        <v>44309</v>
      </c>
      <c r="M442" s="39"/>
      <c r="N442" s="213">
        <v>44309</v>
      </c>
      <c r="O442" s="38">
        <v>3099</v>
      </c>
      <c r="P442" s="6"/>
      <c r="Q442" s="483">
        <v>12</v>
      </c>
      <c r="S442" s="489">
        <v>1100</v>
      </c>
      <c r="T442" s="113">
        <v>1100</v>
      </c>
      <c r="U442" s="501"/>
      <c r="V442" s="494"/>
    </row>
    <row r="443" spans="1:22" s="314" customFormat="1" ht="15">
      <c r="A443" s="1"/>
      <c r="B443" s="313"/>
      <c r="C443" s="302" t="s">
        <v>1545</v>
      </c>
      <c r="D443" s="303" t="s">
        <v>892</v>
      </c>
      <c r="E443" s="304"/>
      <c r="F443" s="305"/>
      <c r="G443" s="305" t="s">
        <v>1227</v>
      </c>
      <c r="H443" s="307" t="s">
        <v>1228</v>
      </c>
      <c r="I443" s="308"/>
      <c r="J443" s="306"/>
      <c r="K443" s="315"/>
      <c r="L443" s="310">
        <v>44309</v>
      </c>
      <c r="M443" s="310"/>
      <c r="N443" s="311">
        <v>44309</v>
      </c>
      <c r="O443" s="309">
        <v>3099</v>
      </c>
      <c r="P443" s="302"/>
      <c r="Q443" s="485">
        <v>0</v>
      </c>
      <c r="S443" s="536">
        <v>0</v>
      </c>
      <c r="T443" s="322">
        <v>0</v>
      </c>
      <c r="U443" s="515"/>
      <c r="V443" s="549"/>
    </row>
    <row r="444" spans="1:22" s="7" customFormat="1" ht="15" customHeight="1">
      <c r="A444" s="1"/>
      <c r="B444" s="12"/>
      <c r="C444" s="6" t="s">
        <v>1546</v>
      </c>
      <c r="D444" s="15" t="s">
        <v>11</v>
      </c>
      <c r="E444" s="20" t="s">
        <v>79</v>
      </c>
      <c r="F444" s="150"/>
      <c r="G444" s="24"/>
      <c r="H444" s="151"/>
      <c r="I444" s="152"/>
      <c r="J444" s="151"/>
      <c r="K444" s="153" t="s">
        <v>10</v>
      </c>
      <c r="L444" s="39">
        <v>44312</v>
      </c>
      <c r="M444" s="39"/>
      <c r="N444" s="213">
        <v>44312</v>
      </c>
      <c r="O444" s="38">
        <v>3111</v>
      </c>
      <c r="P444" s="15"/>
      <c r="Q444" s="483"/>
      <c r="S444" s="496"/>
      <c r="T444" s="113"/>
      <c r="U444" s="506"/>
      <c r="V444" s="494"/>
    </row>
    <row r="445" spans="1:22" s="7" customFormat="1" ht="15">
      <c r="A445" s="1"/>
      <c r="B445" s="12"/>
      <c r="C445" s="6" t="s">
        <v>1546</v>
      </c>
      <c r="D445" s="15" t="s">
        <v>11</v>
      </c>
      <c r="E445" s="24">
        <v>2440</v>
      </c>
      <c r="F445" s="150">
        <v>140</v>
      </c>
      <c r="G445" s="24" t="s">
        <v>862</v>
      </c>
      <c r="H445" s="67">
        <v>58</v>
      </c>
      <c r="I445" s="68">
        <v>10</v>
      </c>
      <c r="J445" s="67">
        <f>H445*I445</f>
        <v>580</v>
      </c>
      <c r="K445" s="46">
        <v>3.34</v>
      </c>
      <c r="L445" s="39">
        <v>44312</v>
      </c>
      <c r="M445" s="39"/>
      <c r="N445" s="213">
        <v>44312</v>
      </c>
      <c r="O445" s="38">
        <v>3111</v>
      </c>
      <c r="P445" s="6"/>
      <c r="Q445" s="483">
        <v>2.97</v>
      </c>
      <c r="S445" s="532">
        <v>240</v>
      </c>
      <c r="T445" s="567">
        <f>S445*J445</f>
        <v>139200</v>
      </c>
      <c r="U445" s="501"/>
      <c r="V445" s="494"/>
    </row>
    <row r="446" spans="1:22" s="7" customFormat="1" ht="15">
      <c r="A446" s="1"/>
      <c r="B446" s="12"/>
      <c r="C446" s="6" t="s">
        <v>1546</v>
      </c>
      <c r="D446" s="15" t="s">
        <v>11</v>
      </c>
      <c r="E446" s="24">
        <v>2440</v>
      </c>
      <c r="F446" s="150">
        <v>140</v>
      </c>
      <c r="G446" s="24" t="s">
        <v>1547</v>
      </c>
      <c r="H446" s="67">
        <v>58</v>
      </c>
      <c r="I446" s="68">
        <v>1</v>
      </c>
      <c r="J446" s="67">
        <f>H446*I446</f>
        <v>58</v>
      </c>
      <c r="K446" s="46">
        <v>3.34</v>
      </c>
      <c r="L446" s="39">
        <v>44312</v>
      </c>
      <c r="M446" s="39"/>
      <c r="N446" s="213">
        <v>44312</v>
      </c>
      <c r="O446" s="38">
        <v>3111</v>
      </c>
      <c r="P446" s="6"/>
      <c r="Q446" s="483">
        <v>2.97</v>
      </c>
      <c r="S446" s="532">
        <v>240</v>
      </c>
      <c r="T446" s="567">
        <f>S446*J446</f>
        <v>13920</v>
      </c>
      <c r="U446" s="501"/>
      <c r="V446" s="494"/>
    </row>
    <row r="447" spans="1:22" s="7" customFormat="1" ht="15" customHeight="1">
      <c r="A447" s="1"/>
      <c r="B447" s="12"/>
      <c r="C447" s="6" t="s">
        <v>1546</v>
      </c>
      <c r="D447" s="15" t="s">
        <v>11</v>
      </c>
      <c r="E447" s="24">
        <v>2440</v>
      </c>
      <c r="F447" s="150">
        <v>140</v>
      </c>
      <c r="G447" s="24" t="s">
        <v>1548</v>
      </c>
      <c r="H447" s="67">
        <v>58</v>
      </c>
      <c r="I447" s="68">
        <v>2</v>
      </c>
      <c r="J447" s="67">
        <f>H447*I447</f>
        <v>116</v>
      </c>
      <c r="K447" s="46">
        <v>3.34</v>
      </c>
      <c r="L447" s="39">
        <v>44312</v>
      </c>
      <c r="M447" s="39"/>
      <c r="N447" s="213">
        <v>44312</v>
      </c>
      <c r="O447" s="38">
        <v>3111</v>
      </c>
      <c r="P447" s="6"/>
      <c r="Q447" s="483">
        <v>2.97</v>
      </c>
      <c r="S447" s="532">
        <v>240</v>
      </c>
      <c r="T447" s="567">
        <f>S447*J447</f>
        <v>27840</v>
      </c>
      <c r="U447" s="501"/>
      <c r="V447" s="494"/>
    </row>
    <row r="448" spans="1:22" s="218" customFormat="1" ht="15" customHeight="1">
      <c r="A448" s="1"/>
      <c r="B448" s="541"/>
      <c r="C448" s="6" t="s">
        <v>1546</v>
      </c>
      <c r="D448" s="15" t="s">
        <v>11</v>
      </c>
      <c r="E448" s="228"/>
      <c r="F448" s="160"/>
      <c r="G448" s="228" t="s">
        <v>481</v>
      </c>
      <c r="H448" s="214"/>
      <c r="I448" s="215"/>
      <c r="J448" s="43">
        <v>1</v>
      </c>
      <c r="K448" s="229">
        <v>20</v>
      </c>
      <c r="L448" s="39">
        <v>44312</v>
      </c>
      <c r="M448" s="39"/>
      <c r="N448" s="213">
        <v>44312</v>
      </c>
      <c r="O448" s="38">
        <v>3111</v>
      </c>
      <c r="P448" s="216"/>
      <c r="Q448" s="525">
        <v>20</v>
      </c>
      <c r="S448" s="532">
        <v>1800</v>
      </c>
      <c r="T448" s="567">
        <f>S448*J448</f>
        <v>1800</v>
      </c>
      <c r="U448" s="504"/>
      <c r="V448" s="547"/>
    </row>
    <row r="449" spans="1:22" s="314" customFormat="1" ht="15" customHeight="1">
      <c r="A449" s="1"/>
      <c r="B449" s="313"/>
      <c r="C449" s="302" t="s">
        <v>1546</v>
      </c>
      <c r="D449" s="303" t="s">
        <v>11</v>
      </c>
      <c r="E449" s="304"/>
      <c r="F449" s="305"/>
      <c r="G449" s="305" t="s">
        <v>1227</v>
      </c>
      <c r="H449" s="307" t="s">
        <v>1228</v>
      </c>
      <c r="I449" s="308"/>
      <c r="J449" s="306"/>
      <c r="K449" s="315">
        <v>0</v>
      </c>
      <c r="L449" s="310"/>
      <c r="M449" s="310"/>
      <c r="N449" s="311"/>
      <c r="O449" s="309"/>
      <c r="P449" s="302"/>
      <c r="Q449" s="485">
        <v>0</v>
      </c>
      <c r="S449" s="535">
        <v>0</v>
      </c>
      <c r="T449" s="322">
        <v>0</v>
      </c>
      <c r="U449" s="515"/>
      <c r="V449" s="549"/>
    </row>
    <row r="450" spans="1:22" s="7" customFormat="1" ht="18.600000000000001" customHeight="1">
      <c r="A450" s="1"/>
      <c r="B450" s="12"/>
      <c r="C450" s="6" t="s">
        <v>1579</v>
      </c>
      <c r="D450" s="15" t="s">
        <v>1126</v>
      </c>
      <c r="E450" s="24" t="s">
        <v>1550</v>
      </c>
      <c r="F450" s="24"/>
      <c r="G450" s="44"/>
      <c r="H450" s="151"/>
      <c r="I450" s="151"/>
      <c r="J450" s="151"/>
      <c r="K450" s="153" t="s">
        <v>10</v>
      </c>
      <c r="L450" s="39">
        <v>44312</v>
      </c>
      <c r="M450" s="39"/>
      <c r="N450" s="213">
        <v>44312</v>
      </c>
      <c r="O450" s="38">
        <v>3112</v>
      </c>
      <c r="P450" s="6"/>
      <c r="Q450" s="411"/>
      <c r="S450" s="489"/>
      <c r="T450" s="113"/>
      <c r="U450" s="1861"/>
      <c r="V450" s="494"/>
    </row>
    <row r="451" spans="1:22" s="7" customFormat="1" ht="15.95" customHeight="1">
      <c r="A451" s="1"/>
      <c r="B451" s="12"/>
      <c r="C451" s="6" t="s">
        <v>1579</v>
      </c>
      <c r="D451" s="15" t="s">
        <v>1126</v>
      </c>
      <c r="E451" s="24" t="s">
        <v>1552</v>
      </c>
      <c r="F451" s="44"/>
      <c r="G451" s="44" t="s">
        <v>129</v>
      </c>
      <c r="H451" s="67">
        <v>5</v>
      </c>
      <c r="I451" s="67">
        <v>5</v>
      </c>
      <c r="J451" s="67">
        <v>5</v>
      </c>
      <c r="K451" s="46">
        <f>ROUNDUP(S451/0.6/90,2)</f>
        <v>7.6</v>
      </c>
      <c r="L451" s="39">
        <v>44312</v>
      </c>
      <c r="M451" s="39"/>
      <c r="N451" s="213">
        <v>44312</v>
      </c>
      <c r="O451" s="38">
        <v>3112</v>
      </c>
      <c r="P451" s="46">
        <f>ROUNDUP(S451/0.75/90,2)</f>
        <v>6.08</v>
      </c>
      <c r="Q451" s="485">
        <v>6.08</v>
      </c>
      <c r="S451" s="489">
        <v>410</v>
      </c>
      <c r="T451" s="567">
        <f>S451*J451</f>
        <v>2050</v>
      </c>
      <c r="U451" s="512"/>
      <c r="V451" s="494"/>
    </row>
    <row r="452" spans="1:22" s="7" customFormat="1" ht="15.95" customHeight="1">
      <c r="A452" s="1"/>
      <c r="B452" s="12"/>
      <c r="C452" s="6" t="s">
        <v>1579</v>
      </c>
      <c r="D452" s="15" t="s">
        <v>1126</v>
      </c>
      <c r="E452" s="24" t="s">
        <v>1554</v>
      </c>
      <c r="F452" s="44"/>
      <c r="G452" s="44" t="s">
        <v>129</v>
      </c>
      <c r="H452" s="67">
        <v>5</v>
      </c>
      <c r="I452" s="67">
        <v>5</v>
      </c>
      <c r="J452" s="67">
        <v>5</v>
      </c>
      <c r="K452" s="46">
        <f>ROUNDUP(S452/0.6/90,2)</f>
        <v>2.67</v>
      </c>
      <c r="L452" s="39">
        <v>44312</v>
      </c>
      <c r="M452" s="39"/>
      <c r="N452" s="213">
        <v>44312</v>
      </c>
      <c r="O452" s="38">
        <v>3112</v>
      </c>
      <c r="P452" s="46">
        <f>ROUNDUP(S452/0.75/90,2)</f>
        <v>2.1399999999999997</v>
      </c>
      <c r="Q452" s="485">
        <v>2.14</v>
      </c>
      <c r="S452" s="489">
        <v>144</v>
      </c>
      <c r="T452" s="567">
        <f>S452*J452</f>
        <v>720</v>
      </c>
      <c r="U452" s="512"/>
      <c r="V452" s="494"/>
    </row>
    <row r="453" spans="1:22" s="218" customFormat="1" ht="15" customHeight="1">
      <c r="A453" s="1"/>
      <c r="B453" s="541"/>
      <c r="C453" s="6" t="s">
        <v>1579</v>
      </c>
      <c r="D453" s="15" t="s">
        <v>1126</v>
      </c>
      <c r="E453" s="56"/>
      <c r="F453" s="26"/>
      <c r="G453" s="24" t="s">
        <v>31</v>
      </c>
      <c r="H453" s="45"/>
      <c r="I453" s="41"/>
      <c r="J453" s="45">
        <v>1</v>
      </c>
      <c r="K453" s="46">
        <v>12</v>
      </c>
      <c r="L453" s="39">
        <v>44312</v>
      </c>
      <c r="M453" s="39"/>
      <c r="N453" s="213">
        <v>44312</v>
      </c>
      <c r="O453" s="38">
        <v>3112</v>
      </c>
      <c r="P453" s="216"/>
      <c r="Q453" s="483">
        <v>12</v>
      </c>
      <c r="S453" s="489">
        <v>0</v>
      </c>
      <c r="T453" s="567">
        <f>S453*J453</f>
        <v>0</v>
      </c>
      <c r="U453" s="504"/>
      <c r="V453" s="547"/>
    </row>
    <row r="454" spans="1:22" s="314" customFormat="1" ht="15">
      <c r="A454" s="1"/>
      <c r="B454" s="313"/>
      <c r="C454" s="302" t="s">
        <v>1579</v>
      </c>
      <c r="D454" s="303" t="s">
        <v>1126</v>
      </c>
      <c r="E454" s="304"/>
      <c r="F454" s="305"/>
      <c r="G454" s="305" t="s">
        <v>1227</v>
      </c>
      <c r="H454" s="307" t="s">
        <v>1228</v>
      </c>
      <c r="I454" s="308"/>
      <c r="J454" s="306"/>
      <c r="K454" s="315">
        <v>0</v>
      </c>
      <c r="L454" s="310">
        <v>44312</v>
      </c>
      <c r="M454" s="310"/>
      <c r="N454" s="311">
        <v>44312</v>
      </c>
      <c r="O454" s="309">
        <v>3112</v>
      </c>
      <c r="P454" s="302"/>
      <c r="Q454" s="485">
        <v>0</v>
      </c>
      <c r="S454" s="535">
        <v>0</v>
      </c>
      <c r="T454" s="322">
        <v>0</v>
      </c>
      <c r="U454" s="515"/>
      <c r="V454" s="549"/>
    </row>
    <row r="455" spans="1:22" s="7" customFormat="1" ht="18.600000000000001" customHeight="1">
      <c r="A455" s="1"/>
      <c r="B455" s="12"/>
      <c r="C455" s="6" t="s">
        <v>1592</v>
      </c>
      <c r="D455" s="15" t="s">
        <v>1126</v>
      </c>
      <c r="E455" s="20" t="s">
        <v>1609</v>
      </c>
      <c r="F455" s="24"/>
      <c r="G455" s="44"/>
      <c r="H455" s="151"/>
      <c r="I455" s="151"/>
      <c r="J455" s="151"/>
      <c r="K455" s="153" t="s">
        <v>10</v>
      </c>
      <c r="L455" s="39">
        <v>44326</v>
      </c>
      <c r="M455" s="39"/>
      <c r="N455" s="213">
        <v>44326</v>
      </c>
      <c r="O455" s="38">
        <v>3139</v>
      </c>
      <c r="P455" s="6"/>
      <c r="Q455" s="411"/>
      <c r="S455" s="489"/>
      <c r="T455" s="113"/>
      <c r="U455" s="1861"/>
      <c r="V455" s="494"/>
    </row>
    <row r="456" spans="1:22" s="7" customFormat="1" ht="15.95" customHeight="1">
      <c r="A456" s="1"/>
      <c r="B456" s="12"/>
      <c r="C456" s="6" t="s">
        <v>1592</v>
      </c>
      <c r="D456" s="15" t="s">
        <v>1126</v>
      </c>
      <c r="E456" s="24" t="s">
        <v>237</v>
      </c>
      <c r="F456" s="44"/>
      <c r="G456" s="44" t="s">
        <v>129</v>
      </c>
      <c r="H456" s="19">
        <v>13.7</v>
      </c>
      <c r="I456" s="68">
        <v>2</v>
      </c>
      <c r="J456" s="19">
        <f>H456*I456</f>
        <v>27.4</v>
      </c>
      <c r="K456" s="46">
        <f>ROUNDUP(S456/0.6/90,2)</f>
        <v>3.23</v>
      </c>
      <c r="L456" s="39">
        <v>44326</v>
      </c>
      <c r="M456" s="39"/>
      <c r="N456" s="213">
        <v>44326</v>
      </c>
      <c r="O456" s="38">
        <v>3139</v>
      </c>
      <c r="P456" s="46">
        <f>ROUNDUP(S456/0.75/90,2)</f>
        <v>2.5799999999999996</v>
      </c>
      <c r="Q456" s="485">
        <v>2.58</v>
      </c>
      <c r="S456" s="489">
        <v>174</v>
      </c>
      <c r="T456" s="567">
        <f>S456*J456</f>
        <v>4767.5999999999995</v>
      </c>
      <c r="U456" s="512"/>
      <c r="V456" s="494"/>
    </row>
    <row r="457" spans="1:22" s="7" customFormat="1" ht="15.95" customHeight="1">
      <c r="A457" s="1"/>
      <c r="B457" s="12"/>
      <c r="C457" s="6" t="s">
        <v>1592</v>
      </c>
      <c r="D457" s="15" t="s">
        <v>1126</v>
      </c>
      <c r="E457" s="24" t="s">
        <v>1595</v>
      </c>
      <c r="F457" s="44"/>
      <c r="G457" s="44" t="s">
        <v>129</v>
      </c>
      <c r="H457" s="19">
        <v>13.7</v>
      </c>
      <c r="I457" s="68">
        <v>1</v>
      </c>
      <c r="J457" s="19">
        <f>H457*I457</f>
        <v>13.7</v>
      </c>
      <c r="K457" s="46">
        <f>ROUNDUP(S457/0.6/90,2)</f>
        <v>9.17</v>
      </c>
      <c r="L457" s="39">
        <v>44326</v>
      </c>
      <c r="M457" s="39"/>
      <c r="N457" s="213">
        <v>44326</v>
      </c>
      <c r="O457" s="38">
        <v>3139</v>
      </c>
      <c r="P457" s="46">
        <f>ROUNDUP(S457/0.75/90,2)</f>
        <v>7.34</v>
      </c>
      <c r="Q457" s="485">
        <v>7.34</v>
      </c>
      <c r="S457" s="489">
        <v>495</v>
      </c>
      <c r="T457" s="567">
        <f>S457*J457</f>
        <v>6781.5</v>
      </c>
      <c r="U457" s="512"/>
      <c r="V457" s="494"/>
    </row>
    <row r="458" spans="1:22" s="7" customFormat="1" ht="15.95" customHeight="1">
      <c r="A458" s="1"/>
      <c r="B458" s="12"/>
      <c r="C458" s="6" t="s">
        <v>1592</v>
      </c>
      <c r="D458" s="15" t="s">
        <v>1126</v>
      </c>
      <c r="E458" s="24" t="s">
        <v>1597</v>
      </c>
      <c r="F458" s="44"/>
      <c r="G458" s="44" t="s">
        <v>129</v>
      </c>
      <c r="H458" s="19">
        <v>13.7</v>
      </c>
      <c r="I458" s="68">
        <v>1</v>
      </c>
      <c r="J458" s="19">
        <f>H458*I458</f>
        <v>13.7</v>
      </c>
      <c r="K458" s="46">
        <f>ROUNDUP(S458/0.6/90,2)</f>
        <v>3.21</v>
      </c>
      <c r="L458" s="39">
        <v>44326</v>
      </c>
      <c r="M458" s="39"/>
      <c r="N458" s="213">
        <v>44326</v>
      </c>
      <c r="O458" s="38">
        <v>3139</v>
      </c>
      <c r="P458" s="46">
        <f>ROUNDUP(S458/0.75/90,2)</f>
        <v>2.57</v>
      </c>
      <c r="Q458" s="485">
        <v>2.57</v>
      </c>
      <c r="S458" s="489">
        <v>173</v>
      </c>
      <c r="T458" s="567">
        <f>S458*J458</f>
        <v>2370.1</v>
      </c>
      <c r="U458" s="512"/>
      <c r="V458" s="494"/>
    </row>
    <row r="459" spans="1:22" s="7" customFormat="1" ht="15.95" customHeight="1">
      <c r="A459" s="1"/>
      <c r="B459" s="12"/>
      <c r="C459" s="6" t="s">
        <v>1592</v>
      </c>
      <c r="D459" s="15" t="s">
        <v>1126</v>
      </c>
      <c r="E459" s="24" t="s">
        <v>1599</v>
      </c>
      <c r="F459" s="44"/>
      <c r="G459" s="44" t="s">
        <v>129</v>
      </c>
      <c r="H459" s="19">
        <v>13.7</v>
      </c>
      <c r="I459" s="68">
        <v>1</v>
      </c>
      <c r="J459" s="19">
        <f>H459*I459</f>
        <v>13.7</v>
      </c>
      <c r="K459" s="46">
        <f>ROUNDUP(S459/0.6/90,2)</f>
        <v>4.1899999999999995</v>
      </c>
      <c r="L459" s="39">
        <v>44326</v>
      </c>
      <c r="M459" s="39"/>
      <c r="N459" s="213">
        <v>44326</v>
      </c>
      <c r="O459" s="38">
        <v>3139</v>
      </c>
      <c r="P459" s="46">
        <f>ROUNDUP(S459/0.75/90,2)</f>
        <v>3.3499999999999996</v>
      </c>
      <c r="Q459" s="485">
        <v>3.35</v>
      </c>
      <c r="S459" s="489">
        <v>226</v>
      </c>
      <c r="T459" s="567">
        <f>S459*J459</f>
        <v>3096.2</v>
      </c>
      <c r="U459" s="512"/>
      <c r="V459" s="494"/>
    </row>
    <row r="460" spans="1:22" s="7" customFormat="1" ht="18.600000000000001" customHeight="1">
      <c r="A460" s="1"/>
      <c r="B460" s="12"/>
      <c r="C460" s="6" t="s">
        <v>1592</v>
      </c>
      <c r="D460" s="15" t="s">
        <v>1126</v>
      </c>
      <c r="E460" s="20" t="s">
        <v>1608</v>
      </c>
      <c r="F460" s="24"/>
      <c r="G460" s="44"/>
      <c r="H460" s="151"/>
      <c r="I460" s="151"/>
      <c r="J460" s="151"/>
      <c r="K460" s="153" t="s">
        <v>10</v>
      </c>
      <c r="L460" s="39">
        <v>44326</v>
      </c>
      <c r="M460" s="39"/>
      <c r="N460" s="213">
        <v>44326</v>
      </c>
      <c r="O460" s="38">
        <v>3139</v>
      </c>
      <c r="P460" s="6"/>
      <c r="Q460" s="411"/>
      <c r="S460" s="489"/>
      <c r="T460" s="113"/>
      <c r="U460" s="1861"/>
      <c r="V460" s="494"/>
    </row>
    <row r="461" spans="1:22" s="7" customFormat="1" ht="15.95" customHeight="1">
      <c r="A461" s="1"/>
      <c r="B461" s="12"/>
      <c r="C461" s="6" t="s">
        <v>1592</v>
      </c>
      <c r="D461" s="15" t="s">
        <v>1126</v>
      </c>
      <c r="E461" s="24" t="s">
        <v>1552</v>
      </c>
      <c r="F461" s="44"/>
      <c r="G461" s="44" t="s">
        <v>129</v>
      </c>
      <c r="H461" s="19">
        <v>13.7</v>
      </c>
      <c r="I461" s="68">
        <v>2</v>
      </c>
      <c r="J461" s="19">
        <f>H461*I461</f>
        <v>27.4</v>
      </c>
      <c r="K461" s="46">
        <f>ROUNDUP(S461/0.6/90,2)</f>
        <v>7.6</v>
      </c>
      <c r="L461" s="39">
        <v>44326</v>
      </c>
      <c r="M461" s="39"/>
      <c r="N461" s="213">
        <v>44326</v>
      </c>
      <c r="O461" s="38">
        <v>3139</v>
      </c>
      <c r="P461" s="46">
        <f>ROUNDUP(S461/0.75/90,2)</f>
        <v>6.08</v>
      </c>
      <c r="Q461" s="485">
        <v>6.08</v>
      </c>
      <c r="S461" s="489">
        <v>410</v>
      </c>
      <c r="T461" s="567">
        <f>S461*J461</f>
        <v>11234</v>
      </c>
      <c r="U461" s="512"/>
      <c r="V461" s="494"/>
    </row>
    <row r="462" spans="1:22" s="218" customFormat="1" ht="15">
      <c r="A462" s="1"/>
      <c r="B462" s="541"/>
      <c r="C462" s="6" t="s">
        <v>1592</v>
      </c>
      <c r="D462" s="15" t="s">
        <v>1126</v>
      </c>
      <c r="E462" s="24"/>
      <c r="F462" s="26"/>
      <c r="G462" s="24" t="s">
        <v>31</v>
      </c>
      <c r="H462" s="45"/>
      <c r="I462" s="41"/>
      <c r="J462" s="45">
        <v>1</v>
      </c>
      <c r="K462" s="46">
        <v>12</v>
      </c>
      <c r="L462" s="39">
        <v>44326</v>
      </c>
      <c r="M462" s="39"/>
      <c r="N462" s="213">
        <v>44326</v>
      </c>
      <c r="O462" s="38">
        <v>3139</v>
      </c>
      <c r="P462" s="216"/>
      <c r="Q462" s="483">
        <v>12</v>
      </c>
      <c r="S462" s="489">
        <v>0</v>
      </c>
      <c r="T462" s="567">
        <f>S462*J462</f>
        <v>0</v>
      </c>
      <c r="U462" s="504"/>
      <c r="V462" s="547"/>
    </row>
    <row r="463" spans="1:22" s="314" customFormat="1" ht="15" customHeight="1">
      <c r="A463" s="1"/>
      <c r="B463" s="313"/>
      <c r="C463" s="302" t="s">
        <v>1592</v>
      </c>
      <c r="D463" s="303" t="s">
        <v>1126</v>
      </c>
      <c r="E463" s="304"/>
      <c r="F463" s="305"/>
      <c r="G463" s="305" t="s">
        <v>1227</v>
      </c>
      <c r="H463" s="307" t="s">
        <v>1228</v>
      </c>
      <c r="I463" s="308"/>
      <c r="J463" s="306"/>
      <c r="K463" s="315">
        <v>0</v>
      </c>
      <c r="L463" s="310">
        <v>44326</v>
      </c>
      <c r="M463" s="310"/>
      <c r="N463" s="311">
        <v>44326</v>
      </c>
      <c r="O463" s="309">
        <v>3139</v>
      </c>
      <c r="P463" s="302"/>
      <c r="Q463" s="485">
        <v>0</v>
      </c>
      <c r="S463" s="535">
        <v>0</v>
      </c>
      <c r="T463" s="322">
        <v>0</v>
      </c>
      <c r="U463" s="515"/>
      <c r="V463" s="549"/>
    </row>
    <row r="464" spans="1:22" s="7" customFormat="1" ht="15" customHeight="1">
      <c r="A464" s="1"/>
      <c r="B464" s="12"/>
      <c r="C464" s="6" t="s">
        <v>1600</v>
      </c>
      <c r="D464" s="15" t="s">
        <v>909</v>
      </c>
      <c r="E464" s="20" t="s">
        <v>628</v>
      </c>
      <c r="F464" s="44"/>
      <c r="G464" s="44"/>
      <c r="H464" s="151"/>
      <c r="I464" s="151"/>
      <c r="J464" s="151"/>
      <c r="K464" s="153" t="s">
        <v>10</v>
      </c>
      <c r="L464" s="39">
        <v>44327</v>
      </c>
      <c r="M464" s="39"/>
      <c r="N464" s="213">
        <v>44327</v>
      </c>
      <c r="O464" s="38">
        <v>3141</v>
      </c>
      <c r="P464" s="6"/>
      <c r="Q464" s="524"/>
      <c r="S464" s="489"/>
      <c r="T464" s="113"/>
      <c r="U464" s="501"/>
      <c r="V464" s="494"/>
    </row>
    <row r="465" spans="1:22" s="7" customFormat="1" ht="15" customHeight="1">
      <c r="A465" s="1"/>
      <c r="B465" s="12"/>
      <c r="C465" s="6" t="s">
        <v>1600</v>
      </c>
      <c r="D465" s="15" t="s">
        <v>909</v>
      </c>
      <c r="E465" s="24">
        <v>5603</v>
      </c>
      <c r="F465" s="44"/>
      <c r="G465" s="44" t="s">
        <v>1610</v>
      </c>
      <c r="H465" s="151">
        <v>50</v>
      </c>
      <c r="I465" s="152">
        <v>11</v>
      </c>
      <c r="J465" s="67">
        <f>H465*I465</f>
        <v>550</v>
      </c>
      <c r="K465" s="46">
        <v>0.3</v>
      </c>
      <c r="L465" s="39">
        <v>44327</v>
      </c>
      <c r="M465" s="39"/>
      <c r="N465" s="213">
        <v>44327</v>
      </c>
      <c r="O465" s="38">
        <v>3141</v>
      </c>
      <c r="P465" s="6"/>
      <c r="Q465" s="483">
        <v>0.24</v>
      </c>
      <c r="S465" s="489">
        <v>16</v>
      </c>
      <c r="T465" s="567">
        <f>S465*J465</f>
        <v>8800</v>
      </c>
      <c r="U465" s="507"/>
      <c r="V465" s="494"/>
    </row>
    <row r="466" spans="1:22" s="7" customFormat="1" ht="15">
      <c r="A466" s="1"/>
      <c r="B466" s="12"/>
      <c r="C466" s="6" t="s">
        <v>1600</v>
      </c>
      <c r="D466" s="15" t="s">
        <v>909</v>
      </c>
      <c r="E466" s="24"/>
      <c r="F466" s="138"/>
      <c r="G466" s="24" t="s">
        <v>481</v>
      </c>
      <c r="H466" s="8"/>
      <c r="I466" s="41"/>
      <c r="J466" s="45">
        <v>1</v>
      </c>
      <c r="K466" s="46">
        <v>12</v>
      </c>
      <c r="L466" s="39">
        <v>44327</v>
      </c>
      <c r="M466" s="39"/>
      <c r="N466" s="213">
        <v>44327</v>
      </c>
      <c r="O466" s="38">
        <v>3141</v>
      </c>
      <c r="P466" s="179"/>
      <c r="Q466" s="483">
        <v>12</v>
      </c>
      <c r="S466" s="489">
        <v>1100</v>
      </c>
      <c r="T466" s="567">
        <f>S466*J466</f>
        <v>1100</v>
      </c>
      <c r="U466" s="511"/>
      <c r="V466" s="494"/>
    </row>
    <row r="467" spans="1:22" s="314" customFormat="1" ht="15">
      <c r="A467" s="1"/>
      <c r="B467" s="313"/>
      <c r="C467" s="302" t="s">
        <v>1600</v>
      </c>
      <c r="D467" s="303" t="s">
        <v>909</v>
      </c>
      <c r="E467" s="304"/>
      <c r="F467" s="305"/>
      <c r="G467" s="305" t="s">
        <v>1227</v>
      </c>
      <c r="H467" s="307" t="s">
        <v>1228</v>
      </c>
      <c r="I467" s="308"/>
      <c r="J467" s="306"/>
      <c r="K467" s="315">
        <v>0</v>
      </c>
      <c r="L467" s="310">
        <v>44327</v>
      </c>
      <c r="M467" s="310"/>
      <c r="N467" s="311">
        <v>44327</v>
      </c>
      <c r="O467" s="309">
        <v>3141</v>
      </c>
      <c r="P467" s="302"/>
      <c r="Q467" s="485">
        <v>0</v>
      </c>
      <c r="S467" s="535">
        <v>0</v>
      </c>
      <c r="T467" s="322">
        <v>0</v>
      </c>
      <c r="U467" s="515"/>
      <c r="V467" s="549"/>
    </row>
    <row r="468" spans="1:22" s="7" customFormat="1" ht="15">
      <c r="A468" s="1"/>
      <c r="B468" s="12"/>
      <c r="C468" s="6" t="s">
        <v>1601</v>
      </c>
      <c r="D468" s="15" t="s">
        <v>909</v>
      </c>
      <c r="E468" s="20" t="s">
        <v>337</v>
      </c>
      <c r="F468" s="26"/>
      <c r="G468" s="24"/>
      <c r="H468" s="45"/>
      <c r="I468" s="68"/>
      <c r="J468" s="67"/>
      <c r="K468" s="17" t="s">
        <v>10</v>
      </c>
      <c r="L468" s="39">
        <v>44326</v>
      </c>
      <c r="M468" s="39"/>
      <c r="N468" s="213">
        <v>44326</v>
      </c>
      <c r="O468" s="38">
        <v>3142</v>
      </c>
      <c r="P468" s="6"/>
      <c r="Q468" s="482"/>
      <c r="S468" s="489"/>
      <c r="T468" s="113"/>
      <c r="U468" s="500"/>
      <c r="V468" s="494"/>
    </row>
    <row r="469" spans="1:22" s="7" customFormat="1" ht="15" customHeight="1">
      <c r="A469" s="1"/>
      <c r="B469" s="12"/>
      <c r="C469" s="6" t="s">
        <v>1601</v>
      </c>
      <c r="D469" s="15" t="s">
        <v>909</v>
      </c>
      <c r="E469" s="24">
        <v>3705</v>
      </c>
      <c r="F469" s="26">
        <v>19</v>
      </c>
      <c r="G469" s="24" t="s">
        <v>913</v>
      </c>
      <c r="H469" s="151">
        <v>30</v>
      </c>
      <c r="I469" s="152">
        <v>5</v>
      </c>
      <c r="J469" s="67">
        <f>H469*I469</f>
        <v>150</v>
      </c>
      <c r="K469" s="46">
        <v>0.47</v>
      </c>
      <c r="L469" s="39">
        <v>44326</v>
      </c>
      <c r="M469" s="39"/>
      <c r="N469" s="213">
        <v>44326</v>
      </c>
      <c r="O469" s="38">
        <v>3142</v>
      </c>
      <c r="P469" s="6"/>
      <c r="Q469" s="483">
        <v>0.37</v>
      </c>
      <c r="S469" s="489">
        <v>21.434000000000001</v>
      </c>
      <c r="T469" s="567">
        <f>S469*J469</f>
        <v>3215.1000000000004</v>
      </c>
      <c r="U469" s="500" t="s">
        <v>1292</v>
      </c>
      <c r="V469" s="494"/>
    </row>
    <row r="470" spans="1:22" ht="15.95" customHeight="1">
      <c r="C470" s="6" t="s">
        <v>1601</v>
      </c>
      <c r="D470" s="15" t="s">
        <v>909</v>
      </c>
      <c r="E470" s="24"/>
      <c r="F470" s="138"/>
      <c r="G470" s="24" t="s">
        <v>481</v>
      </c>
      <c r="H470" s="8"/>
      <c r="I470" s="41"/>
      <c r="J470" s="45">
        <v>1</v>
      </c>
      <c r="K470" s="46">
        <v>12</v>
      </c>
      <c r="L470" s="39">
        <v>44326</v>
      </c>
      <c r="M470" s="39"/>
      <c r="N470" s="213">
        <v>44326</v>
      </c>
      <c r="O470" s="38">
        <v>3142</v>
      </c>
      <c r="P470" s="179"/>
      <c r="Q470" s="483">
        <v>12</v>
      </c>
      <c r="S470" s="489">
        <v>0</v>
      </c>
      <c r="T470" s="113">
        <v>0</v>
      </c>
      <c r="U470" s="511"/>
    </row>
    <row r="471" spans="1:22" s="314" customFormat="1" ht="15">
      <c r="A471" s="1"/>
      <c r="B471" s="313"/>
      <c r="C471" s="302" t="s">
        <v>1601</v>
      </c>
      <c r="D471" s="303" t="s">
        <v>909</v>
      </c>
      <c r="E471" s="304"/>
      <c r="F471" s="305"/>
      <c r="G471" s="305" t="s">
        <v>1227</v>
      </c>
      <c r="H471" s="307" t="s">
        <v>1228</v>
      </c>
      <c r="I471" s="308"/>
      <c r="J471" s="306"/>
      <c r="K471" s="315">
        <v>0</v>
      </c>
      <c r="L471" s="310">
        <v>44326</v>
      </c>
      <c r="M471" s="310"/>
      <c r="N471" s="311">
        <v>44326</v>
      </c>
      <c r="O471" s="309">
        <v>3142</v>
      </c>
      <c r="P471" s="302"/>
      <c r="Q471" s="485">
        <v>0</v>
      </c>
      <c r="S471" s="535">
        <v>0</v>
      </c>
      <c r="T471" s="322">
        <v>0</v>
      </c>
      <c r="U471" s="515"/>
      <c r="V471" s="549"/>
    </row>
    <row r="472" spans="1:22" s="7" customFormat="1" ht="15">
      <c r="A472" s="1"/>
      <c r="B472" s="12"/>
      <c r="C472" s="6" t="s">
        <v>1606</v>
      </c>
      <c r="D472" s="15" t="s">
        <v>500</v>
      </c>
      <c r="E472" s="20" t="s">
        <v>503</v>
      </c>
      <c r="F472" s="26"/>
      <c r="G472" s="24"/>
      <c r="H472" s="67"/>
      <c r="I472" s="68"/>
      <c r="J472" s="67"/>
      <c r="K472" s="17" t="s">
        <v>134</v>
      </c>
      <c r="L472" s="39">
        <v>44326</v>
      </c>
      <c r="M472" s="39"/>
      <c r="N472" s="213">
        <v>44326</v>
      </c>
      <c r="O472" s="38">
        <v>3140</v>
      </c>
      <c r="P472" s="179" t="s">
        <v>23</v>
      </c>
      <c r="Q472" s="435"/>
      <c r="S472" s="489"/>
      <c r="T472" s="113"/>
      <c r="U472" s="510"/>
      <c r="V472" s="494"/>
    </row>
    <row r="473" spans="1:22" s="7" customFormat="1" ht="18" customHeight="1">
      <c r="A473" s="1"/>
      <c r="B473" s="12"/>
      <c r="C473" s="6" t="s">
        <v>1606</v>
      </c>
      <c r="D473" s="15" t="s">
        <v>500</v>
      </c>
      <c r="E473" s="24">
        <v>5356</v>
      </c>
      <c r="F473" s="26">
        <v>3</v>
      </c>
      <c r="G473" s="24" t="s">
        <v>1607</v>
      </c>
      <c r="H473" s="67">
        <v>30</v>
      </c>
      <c r="I473" s="68">
        <v>2</v>
      </c>
      <c r="J473" s="67">
        <f>H473*I473</f>
        <v>60</v>
      </c>
      <c r="K473" s="46">
        <v>0.56000000000000005</v>
      </c>
      <c r="L473" s="39">
        <v>44326</v>
      </c>
      <c r="M473" s="39"/>
      <c r="N473" s="213">
        <v>44326</v>
      </c>
      <c r="O473" s="38">
        <v>3140</v>
      </c>
      <c r="P473" s="179"/>
      <c r="Q473" s="180">
        <v>0.45</v>
      </c>
      <c r="S473" s="489">
        <v>30</v>
      </c>
      <c r="T473" s="567">
        <f>S473*J473</f>
        <v>1800</v>
      </c>
      <c r="U473" s="511"/>
      <c r="V473" s="494"/>
    </row>
    <row r="474" spans="1:22" ht="15.95" customHeight="1">
      <c r="C474" s="6" t="s">
        <v>1606</v>
      </c>
      <c r="D474" s="15" t="s">
        <v>500</v>
      </c>
      <c r="E474" s="24"/>
      <c r="F474" s="138"/>
      <c r="G474" s="24" t="s">
        <v>481</v>
      </c>
      <c r="H474" s="8"/>
      <c r="I474" s="41"/>
      <c r="J474" s="45">
        <v>1</v>
      </c>
      <c r="K474" s="46">
        <v>12</v>
      </c>
      <c r="L474" s="39">
        <v>44326</v>
      </c>
      <c r="M474" s="39"/>
      <c r="N474" s="213">
        <v>44326</v>
      </c>
      <c r="O474" s="38">
        <v>3140</v>
      </c>
      <c r="P474" s="179"/>
      <c r="Q474" s="180">
        <v>12</v>
      </c>
      <c r="S474" s="498">
        <v>0</v>
      </c>
      <c r="T474" s="568">
        <f>S474*J474</f>
        <v>0</v>
      </c>
      <c r="U474" s="511"/>
    </row>
    <row r="475" spans="1:22" s="314" customFormat="1" ht="15" customHeight="1">
      <c r="A475" s="1"/>
      <c r="B475" s="313"/>
      <c r="C475" s="302" t="s">
        <v>1606</v>
      </c>
      <c r="D475" s="303" t="s">
        <v>500</v>
      </c>
      <c r="E475" s="304"/>
      <c r="F475" s="305"/>
      <c r="G475" s="305" t="s">
        <v>1227</v>
      </c>
      <c r="H475" s="307" t="s">
        <v>1228</v>
      </c>
      <c r="I475" s="308"/>
      <c r="J475" s="306"/>
      <c r="K475" s="315">
        <v>0</v>
      </c>
      <c r="L475" s="310">
        <v>44326</v>
      </c>
      <c r="M475" s="310"/>
      <c r="N475" s="311">
        <v>44326</v>
      </c>
      <c r="O475" s="309">
        <v>3140</v>
      </c>
      <c r="P475" s="302"/>
      <c r="Q475" s="485">
        <v>0</v>
      </c>
      <c r="S475" s="536">
        <v>0</v>
      </c>
      <c r="T475" s="322">
        <v>0</v>
      </c>
      <c r="U475" s="515"/>
      <c r="V475" s="549"/>
    </row>
    <row r="476" spans="1:22" s="7" customFormat="1" ht="15" customHeight="1">
      <c r="A476" s="1"/>
      <c r="B476" s="12"/>
      <c r="C476" s="6" t="s">
        <v>1611</v>
      </c>
      <c r="D476" s="15" t="s">
        <v>958</v>
      </c>
      <c r="E476" s="20" t="s">
        <v>628</v>
      </c>
      <c r="F476" s="26"/>
      <c r="G476" s="24"/>
      <c r="H476" s="67"/>
      <c r="I476" s="68"/>
      <c r="J476" s="67"/>
      <c r="K476" s="17" t="s">
        <v>134</v>
      </c>
      <c r="L476" s="39">
        <v>44341</v>
      </c>
      <c r="M476" s="39"/>
      <c r="N476" s="213">
        <v>44341</v>
      </c>
      <c r="O476" s="38">
        <v>3151</v>
      </c>
      <c r="P476" s="179" t="s">
        <v>23</v>
      </c>
      <c r="Q476" s="438" t="s">
        <v>959</v>
      </c>
      <c r="S476" s="489"/>
      <c r="T476" s="113"/>
      <c r="U476" s="510"/>
      <c r="V476" s="494"/>
    </row>
    <row r="477" spans="1:22" s="7" customFormat="1" ht="18" customHeight="1">
      <c r="A477" s="1"/>
      <c r="B477" s="12"/>
      <c r="C477" s="6" t="s">
        <v>1611</v>
      </c>
      <c r="D477" s="15" t="s">
        <v>958</v>
      </c>
      <c r="E477" s="24">
        <v>5291</v>
      </c>
      <c r="F477" s="26">
        <v>8</v>
      </c>
      <c r="G477" s="24" t="s">
        <v>29</v>
      </c>
      <c r="H477" s="67">
        <v>50</v>
      </c>
      <c r="I477" s="68">
        <v>5</v>
      </c>
      <c r="J477" s="67">
        <f>H477*I477</f>
        <v>250</v>
      </c>
      <c r="K477" s="46">
        <v>0.63</v>
      </c>
      <c r="L477" s="39">
        <v>44341</v>
      </c>
      <c r="M477" s="39"/>
      <c r="N477" s="213">
        <v>44341</v>
      </c>
      <c r="O477" s="38">
        <v>3151</v>
      </c>
      <c r="P477" s="179"/>
      <c r="Q477" s="180">
        <v>0.36</v>
      </c>
      <c r="S477" s="489">
        <v>24</v>
      </c>
      <c r="T477" s="113">
        <f>S477*J477</f>
        <v>6000</v>
      </c>
      <c r="U477" s="511"/>
      <c r="V477" s="494"/>
    </row>
    <row r="478" spans="1:22" s="7" customFormat="1" ht="18" customHeight="1">
      <c r="A478" s="1"/>
      <c r="B478" s="12"/>
      <c r="C478" s="6" t="s">
        <v>1611</v>
      </c>
      <c r="D478" s="15" t="s">
        <v>958</v>
      </c>
      <c r="E478" s="24">
        <v>5291</v>
      </c>
      <c r="F478" s="26">
        <v>8</v>
      </c>
      <c r="G478" s="24" t="s">
        <v>499</v>
      </c>
      <c r="H478" s="67">
        <v>50</v>
      </c>
      <c r="I478" s="68">
        <v>3</v>
      </c>
      <c r="J478" s="67">
        <f>H478*I478</f>
        <v>150</v>
      </c>
      <c r="K478" s="46">
        <v>0.63</v>
      </c>
      <c r="L478" s="39">
        <v>44341</v>
      </c>
      <c r="M478" s="39"/>
      <c r="N478" s="213">
        <v>44341</v>
      </c>
      <c r="O478" s="38">
        <v>3151</v>
      </c>
      <c r="P478" s="179"/>
      <c r="Q478" s="180">
        <v>0.36</v>
      </c>
      <c r="S478" s="489">
        <v>24</v>
      </c>
      <c r="T478" s="113">
        <f>S478*J478</f>
        <v>3600</v>
      </c>
      <c r="U478" s="511"/>
      <c r="V478" s="494"/>
    </row>
    <row r="479" spans="1:22" ht="15.95" customHeight="1">
      <c r="C479" s="6" t="s">
        <v>1611</v>
      </c>
      <c r="D479" s="15" t="s">
        <v>958</v>
      </c>
      <c r="E479" s="24"/>
      <c r="F479" s="138"/>
      <c r="G479" s="24" t="s">
        <v>481</v>
      </c>
      <c r="H479" s="8"/>
      <c r="I479" s="41"/>
      <c r="J479" s="45">
        <v>1</v>
      </c>
      <c r="K479" s="46">
        <v>12</v>
      </c>
      <c r="L479" s="39">
        <v>44341</v>
      </c>
      <c r="M479" s="39"/>
      <c r="N479" s="213">
        <v>44341</v>
      </c>
      <c r="O479" s="38">
        <v>3151</v>
      </c>
      <c r="P479" s="179"/>
      <c r="Q479" s="180">
        <v>12</v>
      </c>
      <c r="S479" s="498">
        <v>1000</v>
      </c>
      <c r="T479" s="568">
        <f>S479*J479</f>
        <v>1000</v>
      </c>
      <c r="U479" s="511"/>
    </row>
    <row r="480" spans="1:22" s="314" customFormat="1" ht="15" customHeight="1">
      <c r="A480" s="1"/>
      <c r="B480" s="313"/>
      <c r="C480" s="302" t="s">
        <v>1611</v>
      </c>
      <c r="D480" s="303" t="s">
        <v>958</v>
      </c>
      <c r="E480" s="304"/>
      <c r="F480" s="305"/>
      <c r="G480" s="305" t="s">
        <v>1227</v>
      </c>
      <c r="H480" s="410">
        <v>400</v>
      </c>
      <c r="I480" s="308"/>
      <c r="J480" s="306"/>
      <c r="K480" s="315">
        <v>72</v>
      </c>
      <c r="L480" s="310">
        <v>44341</v>
      </c>
      <c r="M480" s="310"/>
      <c r="N480" s="311">
        <v>44341</v>
      </c>
      <c r="O480" s="309">
        <v>3151</v>
      </c>
      <c r="P480" s="302"/>
      <c r="Q480" s="485">
        <v>60</v>
      </c>
      <c r="S480" s="537">
        <v>5735</v>
      </c>
      <c r="T480" s="348">
        <v>5735</v>
      </c>
      <c r="U480" s="515"/>
      <c r="V480" s="549"/>
    </row>
    <row r="481" spans="1:22" s="7" customFormat="1" ht="15" customHeight="1">
      <c r="A481" s="1"/>
      <c r="B481" s="12"/>
      <c r="C481" s="6" t="s">
        <v>1612</v>
      </c>
      <c r="D481" s="15" t="s">
        <v>909</v>
      </c>
      <c r="E481" s="20" t="s">
        <v>337</v>
      </c>
      <c r="F481" s="26"/>
      <c r="G481" s="24"/>
      <c r="H481" s="45"/>
      <c r="I481" s="68"/>
      <c r="J481" s="67"/>
      <c r="K481" s="17" t="s">
        <v>10</v>
      </c>
      <c r="L481" s="39">
        <v>44354</v>
      </c>
      <c r="M481" s="39"/>
      <c r="N481" s="213">
        <v>44354</v>
      </c>
      <c r="O481" s="38">
        <v>3220</v>
      </c>
      <c r="P481" s="6"/>
      <c r="Q481" s="482"/>
      <c r="S481" s="489"/>
      <c r="T481" s="113"/>
      <c r="U481" s="500"/>
      <c r="V481" s="494"/>
    </row>
    <row r="482" spans="1:22" s="7" customFormat="1" ht="15" customHeight="1">
      <c r="A482" s="1"/>
      <c r="B482" s="12"/>
      <c r="C482" s="6" t="s">
        <v>1612</v>
      </c>
      <c r="D482" s="15" t="s">
        <v>909</v>
      </c>
      <c r="E482" s="24">
        <v>3705</v>
      </c>
      <c r="F482" s="26">
        <v>19</v>
      </c>
      <c r="G482" s="24" t="s">
        <v>912</v>
      </c>
      <c r="H482" s="151">
        <v>30</v>
      </c>
      <c r="I482" s="152">
        <v>17</v>
      </c>
      <c r="J482" s="67">
        <f>H482*I482</f>
        <v>510</v>
      </c>
      <c r="K482" s="46">
        <v>0.47</v>
      </c>
      <c r="L482" s="39">
        <v>44354</v>
      </c>
      <c r="M482" s="39"/>
      <c r="N482" s="213">
        <v>44354</v>
      </c>
      <c r="O482" s="38">
        <v>3220</v>
      </c>
      <c r="P482" s="6"/>
      <c r="Q482" s="483">
        <v>0.37</v>
      </c>
      <c r="S482" s="489">
        <v>21.434000000000001</v>
      </c>
      <c r="T482" s="567">
        <f>S482*J482</f>
        <v>10931.34</v>
      </c>
      <c r="U482" s="500" t="s">
        <v>1292</v>
      </c>
      <c r="V482" s="494"/>
    </row>
    <row r="483" spans="1:22" s="7" customFormat="1" ht="15" customHeight="1">
      <c r="A483" s="1"/>
      <c r="B483" s="12"/>
      <c r="C483" s="6" t="s">
        <v>1612</v>
      </c>
      <c r="D483" s="15" t="s">
        <v>909</v>
      </c>
      <c r="E483" s="24">
        <v>3705</v>
      </c>
      <c r="F483" s="26">
        <v>19</v>
      </c>
      <c r="G483" s="24" t="s">
        <v>913</v>
      </c>
      <c r="H483" s="151">
        <v>30</v>
      </c>
      <c r="I483" s="152">
        <v>9</v>
      </c>
      <c r="J483" s="67">
        <f>H483*I483</f>
        <v>270</v>
      </c>
      <c r="K483" s="46">
        <v>0.47</v>
      </c>
      <c r="L483" s="39">
        <v>44354</v>
      </c>
      <c r="M483" s="39"/>
      <c r="N483" s="213">
        <v>44354</v>
      </c>
      <c r="O483" s="38">
        <v>3220</v>
      </c>
      <c r="P483" s="6"/>
      <c r="Q483" s="483">
        <v>0.37</v>
      </c>
      <c r="S483" s="489">
        <v>21.434000000000001</v>
      </c>
      <c r="T483" s="567">
        <f>S483*J483</f>
        <v>5787.18</v>
      </c>
      <c r="U483" s="500" t="s">
        <v>1292</v>
      </c>
      <c r="V483" s="494"/>
    </row>
    <row r="484" spans="1:22" s="7" customFormat="1" ht="15" customHeight="1">
      <c r="A484" s="1"/>
      <c r="B484" s="12"/>
      <c r="C484" s="6" t="s">
        <v>1612</v>
      </c>
      <c r="D484" s="15" t="s">
        <v>909</v>
      </c>
      <c r="E484" s="24">
        <v>3705</v>
      </c>
      <c r="F484" s="26">
        <v>19</v>
      </c>
      <c r="G484" s="24" t="s">
        <v>1613</v>
      </c>
      <c r="H484" s="151">
        <v>30</v>
      </c>
      <c r="I484" s="152">
        <v>14</v>
      </c>
      <c r="J484" s="67">
        <f>H484*I484</f>
        <v>420</v>
      </c>
      <c r="K484" s="46">
        <v>0.47</v>
      </c>
      <c r="L484" s="39">
        <v>44354</v>
      </c>
      <c r="M484" s="39"/>
      <c r="N484" s="213">
        <v>44354</v>
      </c>
      <c r="O484" s="38">
        <v>3220</v>
      </c>
      <c r="P484" s="6"/>
      <c r="Q484" s="483">
        <v>0.37</v>
      </c>
      <c r="S484" s="489">
        <v>21.434000000000001</v>
      </c>
      <c r="T484" s="567">
        <f>S484*J484</f>
        <v>9002.2800000000007</v>
      </c>
      <c r="U484" s="500" t="s">
        <v>1292</v>
      </c>
      <c r="V484" s="494"/>
    </row>
    <row r="485" spans="1:22" s="7" customFormat="1" ht="15">
      <c r="A485" s="1"/>
      <c r="B485" s="12"/>
      <c r="C485" s="6" t="s">
        <v>1612</v>
      </c>
      <c r="D485" s="15" t="s">
        <v>909</v>
      </c>
      <c r="E485" s="20" t="s">
        <v>1139</v>
      </c>
      <c r="F485" s="26"/>
      <c r="G485" s="24"/>
      <c r="H485" s="45"/>
      <c r="I485" s="68"/>
      <c r="J485" s="67"/>
      <c r="K485" s="17" t="s">
        <v>10</v>
      </c>
      <c r="L485" s="39">
        <v>44354</v>
      </c>
      <c r="M485" s="39"/>
      <c r="N485" s="213">
        <v>44354</v>
      </c>
      <c r="O485" s="38">
        <v>3220</v>
      </c>
      <c r="P485" s="6"/>
      <c r="Q485" s="482"/>
      <c r="S485" s="489"/>
      <c r="T485" s="113"/>
      <c r="U485" s="500"/>
      <c r="V485" s="494"/>
    </row>
    <row r="486" spans="1:22" s="7" customFormat="1" ht="15" customHeight="1">
      <c r="A486" s="1"/>
      <c r="B486" s="12"/>
      <c r="C486" s="6" t="s">
        <v>1612</v>
      </c>
      <c r="D486" s="15" t="s">
        <v>909</v>
      </c>
      <c r="E486" s="24">
        <v>3717</v>
      </c>
      <c r="F486" s="26">
        <v>19</v>
      </c>
      <c r="G486" s="24" t="s">
        <v>1615</v>
      </c>
      <c r="H486" s="151">
        <v>30</v>
      </c>
      <c r="I486" s="152">
        <v>12</v>
      </c>
      <c r="J486" s="67">
        <f>H486*I486</f>
        <v>360</v>
      </c>
      <c r="K486" s="46">
        <v>0.44</v>
      </c>
      <c r="L486" s="39">
        <v>44354</v>
      </c>
      <c r="M486" s="39"/>
      <c r="N486" s="213">
        <v>44354</v>
      </c>
      <c r="O486" s="38">
        <v>3220</v>
      </c>
      <c r="P486" s="6"/>
      <c r="Q486" s="483">
        <v>0.35</v>
      </c>
      <c r="S486" s="489">
        <v>23.33</v>
      </c>
      <c r="T486" s="567">
        <f>S486*J486</f>
        <v>8398.7999999999993</v>
      </c>
      <c r="U486" s="500"/>
      <c r="V486" s="494"/>
    </row>
    <row r="487" spans="1:22" ht="15.95" customHeight="1">
      <c r="C487" s="6" t="s">
        <v>1612</v>
      </c>
      <c r="D487" s="15" t="s">
        <v>909</v>
      </c>
      <c r="E487" s="24"/>
      <c r="F487" s="138"/>
      <c r="G487" s="24" t="s">
        <v>481</v>
      </c>
      <c r="H487" s="8"/>
      <c r="I487" s="41"/>
      <c r="J487" s="45">
        <v>1</v>
      </c>
      <c r="K487" s="46">
        <v>12</v>
      </c>
      <c r="L487" s="39">
        <v>44354</v>
      </c>
      <c r="M487" s="39"/>
      <c r="N487" s="213">
        <v>44354</v>
      </c>
      <c r="O487" s="38">
        <v>3220</v>
      </c>
      <c r="P487" s="179"/>
      <c r="Q487" s="483">
        <v>12</v>
      </c>
      <c r="S487" s="489">
        <v>0</v>
      </c>
      <c r="T487" s="113">
        <v>0</v>
      </c>
      <c r="U487" s="511"/>
    </row>
    <row r="488" spans="1:22" s="314" customFormat="1" ht="15">
      <c r="A488" s="1"/>
      <c r="B488" s="313"/>
      <c r="C488" s="302" t="s">
        <v>1612</v>
      </c>
      <c r="D488" s="303" t="s">
        <v>909</v>
      </c>
      <c r="E488" s="304"/>
      <c r="F488" s="305"/>
      <c r="G488" s="305" t="s">
        <v>1227</v>
      </c>
      <c r="H488" s="307" t="s">
        <v>1228</v>
      </c>
      <c r="I488" s="308"/>
      <c r="J488" s="306"/>
      <c r="K488" s="315">
        <v>0</v>
      </c>
      <c r="L488" s="310">
        <v>44354</v>
      </c>
      <c r="M488" s="310"/>
      <c r="N488" s="311">
        <v>44354</v>
      </c>
      <c r="O488" s="309">
        <v>3220</v>
      </c>
      <c r="P488" s="302"/>
      <c r="Q488" s="485">
        <v>0</v>
      </c>
      <c r="S488" s="535">
        <v>0</v>
      </c>
      <c r="T488" s="322">
        <v>0</v>
      </c>
      <c r="U488" s="515"/>
      <c r="V488" s="549"/>
    </row>
    <row r="489" spans="1:22" s="7" customFormat="1" ht="15">
      <c r="A489" s="1"/>
      <c r="B489" s="12"/>
      <c r="C489" s="6" t="s">
        <v>1614</v>
      </c>
      <c r="D489" s="15" t="s">
        <v>909</v>
      </c>
      <c r="E489" s="20" t="s">
        <v>1110</v>
      </c>
      <c r="F489" s="44"/>
      <c r="G489" s="44"/>
      <c r="H489" s="151"/>
      <c r="I489" s="151"/>
      <c r="J489" s="151"/>
      <c r="K489" s="17" t="s">
        <v>134</v>
      </c>
      <c r="L489" s="39">
        <v>44334</v>
      </c>
      <c r="M489" s="39"/>
      <c r="N489" s="213">
        <v>44334</v>
      </c>
      <c r="O489" s="38">
        <v>3163</v>
      </c>
      <c r="P489" s="6"/>
      <c r="Q489" s="524"/>
      <c r="S489" s="489"/>
      <c r="T489" s="113"/>
      <c r="U489" s="501"/>
      <c r="V489" s="494"/>
    </row>
    <row r="490" spans="1:22" s="7" customFormat="1" ht="15">
      <c r="A490" s="1"/>
      <c r="B490" s="12"/>
      <c r="C490" s="6" t="s">
        <v>1614</v>
      </c>
      <c r="D490" s="15" t="s">
        <v>909</v>
      </c>
      <c r="E490" s="24">
        <v>5654</v>
      </c>
      <c r="F490" s="44"/>
      <c r="G490" s="260" t="s">
        <v>1064</v>
      </c>
      <c r="H490" s="67">
        <v>50</v>
      </c>
      <c r="I490" s="68">
        <v>4</v>
      </c>
      <c r="J490" s="67">
        <f>H490*I490</f>
        <v>200</v>
      </c>
      <c r="K490" s="46">
        <v>0.28999999999999998</v>
      </c>
      <c r="L490" s="39">
        <v>44334</v>
      </c>
      <c r="M490" s="39"/>
      <c r="N490" s="213">
        <v>44334</v>
      </c>
      <c r="O490" s="38">
        <v>3163</v>
      </c>
      <c r="P490" s="6"/>
      <c r="Q490" s="483">
        <v>0.22</v>
      </c>
      <c r="S490" s="489">
        <v>14.8</v>
      </c>
      <c r="T490" s="567">
        <f>S490*J490</f>
        <v>2960</v>
      </c>
      <c r="U490" s="507"/>
      <c r="V490" s="494"/>
    </row>
    <row r="491" spans="1:22" s="7" customFormat="1" ht="15" customHeight="1">
      <c r="A491" s="1"/>
      <c r="B491" s="12"/>
      <c r="C491" s="6" t="s">
        <v>1614</v>
      </c>
      <c r="D491" s="15" t="s">
        <v>909</v>
      </c>
      <c r="E491" s="24"/>
      <c r="F491" s="44"/>
      <c r="G491" s="44" t="s">
        <v>31</v>
      </c>
      <c r="H491" s="8"/>
      <c r="I491" s="152" ph="1"/>
      <c r="J491" s="45">
        <v>1</v>
      </c>
      <c r="K491" s="46">
        <v>12</v>
      </c>
      <c r="L491" s="39">
        <v>44334</v>
      </c>
      <c r="M491" s="39"/>
      <c r="N491" s="213">
        <v>44334</v>
      </c>
      <c r="O491" s="38">
        <v>3163</v>
      </c>
      <c r="P491" s="6"/>
      <c r="Q491" s="483">
        <v>12</v>
      </c>
      <c r="S491" s="489">
        <v>1100</v>
      </c>
      <c r="T491" s="113">
        <v>1100</v>
      </c>
      <c r="U491" s="501"/>
      <c r="V491" s="494"/>
    </row>
    <row r="492" spans="1:22" s="314" customFormat="1" ht="15">
      <c r="A492" s="1"/>
      <c r="B492" s="313"/>
      <c r="C492" s="302" t="s">
        <v>1614</v>
      </c>
      <c r="D492" s="303" t="s">
        <v>909</v>
      </c>
      <c r="E492" s="304"/>
      <c r="F492" s="305"/>
      <c r="G492" s="305" t="s">
        <v>1227</v>
      </c>
      <c r="H492" s="307" t="s">
        <v>1228</v>
      </c>
      <c r="I492" s="308"/>
      <c r="J492" s="306"/>
      <c r="K492" s="315">
        <v>0</v>
      </c>
      <c r="L492" s="310">
        <v>44334</v>
      </c>
      <c r="M492" s="310"/>
      <c r="N492" s="311">
        <v>44334</v>
      </c>
      <c r="O492" s="309">
        <v>3163</v>
      </c>
      <c r="P492" s="302"/>
      <c r="Q492" s="485">
        <v>0</v>
      </c>
      <c r="S492" s="535">
        <v>0</v>
      </c>
      <c r="T492" s="322">
        <v>0</v>
      </c>
      <c r="U492" s="515"/>
      <c r="V492" s="549"/>
    </row>
    <row r="493" spans="1:22" s="7" customFormat="1" ht="18.600000000000001" customHeight="1">
      <c r="A493" s="1"/>
      <c r="B493" s="12"/>
      <c r="C493" s="6" t="s">
        <v>1616</v>
      </c>
      <c r="D493" s="15" t="s">
        <v>990</v>
      </c>
      <c r="E493" s="20" t="s">
        <v>1550</v>
      </c>
      <c r="F493" s="24"/>
      <c r="G493" s="44"/>
      <c r="H493" s="151"/>
      <c r="I493" s="151"/>
      <c r="J493" s="151"/>
      <c r="K493" s="153" t="s">
        <v>10</v>
      </c>
      <c r="L493" s="39">
        <v>44337</v>
      </c>
      <c r="M493" s="39"/>
      <c r="N493" s="213">
        <v>44337</v>
      </c>
      <c r="O493" s="38">
        <v>3180</v>
      </c>
      <c r="P493" s="6"/>
      <c r="Q493" s="411"/>
      <c r="S493" s="489"/>
      <c r="T493" s="113"/>
      <c r="U493" s="1861"/>
      <c r="V493" s="494"/>
    </row>
    <row r="494" spans="1:22" s="7" customFormat="1" ht="15.95" customHeight="1">
      <c r="A494" s="1"/>
      <c r="B494" s="12"/>
      <c r="C494" s="6" t="s">
        <v>1616</v>
      </c>
      <c r="D494" s="15" t="s">
        <v>990</v>
      </c>
      <c r="E494" s="24" t="s">
        <v>1617</v>
      </c>
      <c r="F494" s="44"/>
      <c r="G494" s="44" t="s">
        <v>129</v>
      </c>
      <c r="H494" s="67">
        <v>30</v>
      </c>
      <c r="I494" s="67">
        <v>30</v>
      </c>
      <c r="J494" s="67">
        <v>30</v>
      </c>
      <c r="K494" s="46">
        <v>2.76</v>
      </c>
      <c r="L494" s="39">
        <v>44337</v>
      </c>
      <c r="M494" s="39"/>
      <c r="N494" s="213">
        <v>44337</v>
      </c>
      <c r="O494" s="38">
        <v>3180</v>
      </c>
      <c r="P494" s="46" t="e">
        <f>ROUNDUP(#REF!/0.75/90,2)</f>
        <v>#REF!</v>
      </c>
      <c r="Q494" s="485">
        <v>2.21</v>
      </c>
      <c r="S494" s="489">
        <v>79</v>
      </c>
      <c r="T494" s="567">
        <f>S494*J494</f>
        <v>2370</v>
      </c>
      <c r="U494" s="512">
        <f>79+70</f>
        <v>149</v>
      </c>
      <c r="V494" s="494"/>
    </row>
    <row r="495" spans="1:22" s="7" customFormat="1" ht="15.95" customHeight="1">
      <c r="A495" s="1"/>
      <c r="B495" s="12"/>
      <c r="C495" s="6" t="s">
        <v>1616</v>
      </c>
      <c r="D495" s="15" t="s">
        <v>990</v>
      </c>
      <c r="E495" s="24" t="s">
        <v>1620</v>
      </c>
      <c r="F495" s="44"/>
      <c r="G495" s="44" t="s">
        <v>129</v>
      </c>
      <c r="H495" s="67">
        <v>30</v>
      </c>
      <c r="I495" s="67">
        <v>30</v>
      </c>
      <c r="J495" s="67">
        <v>30</v>
      </c>
      <c r="K495" s="46">
        <v>2.71</v>
      </c>
      <c r="L495" s="39">
        <v>44337</v>
      </c>
      <c r="M495" s="39"/>
      <c r="N495" s="213">
        <v>44337</v>
      </c>
      <c r="O495" s="38">
        <v>3180</v>
      </c>
      <c r="P495" s="46" t="e">
        <f>ROUNDUP(#REF!/0.75/90,2)</f>
        <v>#REF!</v>
      </c>
      <c r="Q495" s="485">
        <v>2.17</v>
      </c>
      <c r="S495" s="489">
        <v>76</v>
      </c>
      <c r="T495" s="567">
        <f>S495*J495</f>
        <v>2280</v>
      </c>
      <c r="U495" s="512">
        <f>76+70</f>
        <v>146</v>
      </c>
      <c r="V495" s="494"/>
    </row>
    <row r="496" spans="1:22" s="7" customFormat="1" ht="15.95" customHeight="1">
      <c r="A496" s="1"/>
      <c r="B496" s="12"/>
      <c r="C496" s="6" t="s">
        <v>1616</v>
      </c>
      <c r="D496" s="15" t="s">
        <v>990</v>
      </c>
      <c r="E496" s="24" t="s">
        <v>1618</v>
      </c>
      <c r="F496" s="44"/>
      <c r="G496" s="44" t="s">
        <v>129</v>
      </c>
      <c r="H496" s="67">
        <v>65</v>
      </c>
      <c r="I496" s="67">
        <v>65</v>
      </c>
      <c r="J496" s="67">
        <v>65</v>
      </c>
      <c r="K496" s="46">
        <v>0.93</v>
      </c>
      <c r="L496" s="39">
        <v>44337</v>
      </c>
      <c r="M496" s="39"/>
      <c r="N496" s="213">
        <v>44337</v>
      </c>
      <c r="O496" s="38">
        <v>3180</v>
      </c>
      <c r="P496" s="46" t="e">
        <f>ROUNDUP(#REF!/0.75/90,2)</f>
        <v>#REF!</v>
      </c>
      <c r="Q496" s="485">
        <v>0.75</v>
      </c>
      <c r="S496" s="489">
        <v>20</v>
      </c>
      <c r="T496" s="567">
        <f>S496*J496</f>
        <v>1300</v>
      </c>
      <c r="U496" s="512">
        <f>20+30</f>
        <v>50</v>
      </c>
      <c r="V496" s="494"/>
    </row>
    <row r="497" spans="1:22" s="218" customFormat="1" ht="15">
      <c r="A497" s="1"/>
      <c r="B497" s="541"/>
      <c r="C497" s="6" t="s">
        <v>1616</v>
      </c>
      <c r="D497" s="15" t="s">
        <v>990</v>
      </c>
      <c r="E497" s="24"/>
      <c r="F497" s="26"/>
      <c r="G497" s="24" t="s">
        <v>31</v>
      </c>
      <c r="H497" s="45"/>
      <c r="I497" s="41"/>
      <c r="J497" s="45">
        <v>1</v>
      </c>
      <c r="K497" s="46">
        <v>20</v>
      </c>
      <c r="L497" s="39">
        <v>44337</v>
      </c>
      <c r="M497" s="39"/>
      <c r="N497" s="213">
        <v>44337</v>
      </c>
      <c r="O497" s="38">
        <v>3180</v>
      </c>
      <c r="P497" s="216"/>
      <c r="Q497" s="483">
        <v>20</v>
      </c>
      <c r="S497" s="489">
        <f>900+900</f>
        <v>1800</v>
      </c>
      <c r="T497" s="567">
        <f>S497*J497</f>
        <v>1800</v>
      </c>
      <c r="U497" s="504"/>
      <c r="V497" s="547"/>
    </row>
    <row r="498" spans="1:22" s="314" customFormat="1" ht="15">
      <c r="A498" s="1"/>
      <c r="B498" s="313"/>
      <c r="C498" s="302" t="s">
        <v>1616</v>
      </c>
      <c r="D498" s="303" t="s">
        <v>990</v>
      </c>
      <c r="E498" s="304"/>
      <c r="F498" s="305"/>
      <c r="G498" s="305" t="s">
        <v>1227</v>
      </c>
      <c r="H498" s="307" t="s">
        <v>1228</v>
      </c>
      <c r="I498" s="308"/>
      <c r="J498" s="306"/>
      <c r="K498" s="315">
        <v>0</v>
      </c>
      <c r="L498" s="310">
        <v>44337</v>
      </c>
      <c r="M498" s="310"/>
      <c r="N498" s="311">
        <v>44337</v>
      </c>
      <c r="O498" s="309">
        <v>3180</v>
      </c>
      <c r="P498" s="302"/>
      <c r="Q498" s="485">
        <v>0</v>
      </c>
      <c r="S498" s="535">
        <v>0</v>
      </c>
      <c r="T498" s="322">
        <v>0</v>
      </c>
      <c r="U498" s="515"/>
      <c r="V498" s="549"/>
    </row>
    <row r="499" spans="1:22" s="7" customFormat="1" ht="15">
      <c r="A499" s="1"/>
      <c r="B499" s="12"/>
      <c r="C499" s="6" t="s">
        <v>1627</v>
      </c>
      <c r="D499" s="15" t="s">
        <v>1632</v>
      </c>
      <c r="E499" s="20" t="s">
        <v>55</v>
      </c>
      <c r="F499" s="26"/>
      <c r="G499" s="24"/>
      <c r="H499" s="67"/>
      <c r="I499" s="68"/>
      <c r="J499" s="67"/>
      <c r="K499" s="17" t="s">
        <v>10</v>
      </c>
      <c r="L499" s="39">
        <v>44341</v>
      </c>
      <c r="M499" s="39"/>
      <c r="N499" s="213">
        <v>44341</v>
      </c>
      <c r="O499" s="38">
        <v>3188</v>
      </c>
      <c r="P499" s="6"/>
      <c r="Q499" s="481"/>
      <c r="S499" s="489"/>
      <c r="T499" s="113"/>
      <c r="U499" s="500"/>
      <c r="V499" s="494"/>
    </row>
    <row r="500" spans="1:22" s="7" customFormat="1" ht="15">
      <c r="A500" s="1"/>
      <c r="B500" s="12"/>
      <c r="C500" s="6" t="s">
        <v>1627</v>
      </c>
      <c r="D500" s="15" t="s">
        <v>1632</v>
      </c>
      <c r="E500" s="24" t="s">
        <v>242</v>
      </c>
      <c r="F500" s="26"/>
      <c r="G500" s="24" t="s">
        <v>78</v>
      </c>
      <c r="H500" s="151">
        <v>13.7</v>
      </c>
      <c r="I500" s="41">
        <v>2</v>
      </c>
      <c r="J500" s="199">
        <f>H500*I500</f>
        <v>27.4</v>
      </c>
      <c r="K500" s="46">
        <f>ROUNDUP(S500/0.6/90,2)</f>
        <v>1.52</v>
      </c>
      <c r="L500" s="39">
        <v>44341</v>
      </c>
      <c r="M500" s="39"/>
      <c r="N500" s="213">
        <v>44341</v>
      </c>
      <c r="O500" s="38">
        <v>3188</v>
      </c>
      <c r="P500" s="46">
        <f>ROUNDUP(S500/0.75/90,2)</f>
        <v>1.22</v>
      </c>
      <c r="Q500" s="485">
        <v>1.22</v>
      </c>
      <c r="S500" s="489">
        <v>82</v>
      </c>
      <c r="T500" s="567">
        <f>S500*J500</f>
        <v>2246.7999999999997</v>
      </c>
      <c r="U500" s="505"/>
      <c r="V500" s="494"/>
    </row>
    <row r="501" spans="1:22" s="218" customFormat="1" ht="15" customHeight="1">
      <c r="A501" s="1"/>
      <c r="B501" s="541"/>
      <c r="C501" s="6" t="s">
        <v>1627</v>
      </c>
      <c r="D501" s="15" t="s">
        <v>1632</v>
      </c>
      <c r="E501" s="24"/>
      <c r="F501" s="26"/>
      <c r="G501" s="24" t="s">
        <v>31</v>
      </c>
      <c r="H501" s="45"/>
      <c r="I501" s="41"/>
      <c r="J501" s="45">
        <v>1</v>
      </c>
      <c r="K501" s="46">
        <v>12</v>
      </c>
      <c r="L501" s="39">
        <v>44341</v>
      </c>
      <c r="M501" s="39"/>
      <c r="N501" s="213">
        <v>44341</v>
      </c>
      <c r="O501" s="38">
        <v>3188</v>
      </c>
      <c r="P501" s="216"/>
      <c r="Q501" s="483">
        <v>12</v>
      </c>
      <c r="S501" s="489">
        <v>0</v>
      </c>
      <c r="T501" s="567">
        <f>S501*J501</f>
        <v>0</v>
      </c>
      <c r="U501" s="504"/>
      <c r="V501" s="547"/>
    </row>
    <row r="502" spans="1:22" s="314" customFormat="1" ht="15" customHeight="1">
      <c r="A502" s="1"/>
      <c r="B502" s="313"/>
      <c r="C502" s="302" t="s">
        <v>1627</v>
      </c>
      <c r="D502" s="303" t="s">
        <v>1632</v>
      </c>
      <c r="E502" s="304"/>
      <c r="F502" s="305"/>
      <c r="G502" s="305" t="s">
        <v>1227</v>
      </c>
      <c r="H502" s="307" t="s">
        <v>1228</v>
      </c>
      <c r="I502" s="308"/>
      <c r="J502" s="306"/>
      <c r="K502" s="315">
        <v>0</v>
      </c>
      <c r="L502" s="310">
        <v>44341</v>
      </c>
      <c r="M502" s="310"/>
      <c r="N502" s="311">
        <v>44341</v>
      </c>
      <c r="O502" s="309">
        <v>3188</v>
      </c>
      <c r="P502" s="302"/>
      <c r="Q502" s="485">
        <v>0</v>
      </c>
      <c r="S502" s="489">
        <v>0</v>
      </c>
      <c r="T502" s="567">
        <f>S502*J502</f>
        <v>0</v>
      </c>
      <c r="U502" s="515"/>
      <c r="V502" s="549"/>
    </row>
    <row r="503" spans="1:22" s="7" customFormat="1" ht="15">
      <c r="A503" s="1"/>
      <c r="B503" s="12"/>
      <c r="C503" s="6" t="s">
        <v>1628</v>
      </c>
      <c r="D503" s="15" t="s">
        <v>11</v>
      </c>
      <c r="E503" s="20" t="s">
        <v>79</v>
      </c>
      <c r="F503" s="150"/>
      <c r="G503" s="24"/>
      <c r="H503" s="151"/>
      <c r="I503" s="152"/>
      <c r="J503" s="151"/>
      <c r="K503" s="153" t="s">
        <v>10</v>
      </c>
      <c r="L503" s="39">
        <v>44343</v>
      </c>
      <c r="M503" s="39"/>
      <c r="N503" s="213">
        <v>44343</v>
      </c>
      <c r="O503" s="38">
        <v>3195</v>
      </c>
      <c r="P503" s="15"/>
      <c r="Q503" s="483"/>
      <c r="S503" s="496"/>
      <c r="T503" s="113"/>
      <c r="U503" s="506"/>
      <c r="V503" s="494"/>
    </row>
    <row r="504" spans="1:22" s="7" customFormat="1" ht="15" customHeight="1">
      <c r="A504" s="1"/>
      <c r="B504" s="12"/>
      <c r="C504" s="6" t="s">
        <v>1628</v>
      </c>
      <c r="D504" s="15" t="s">
        <v>11</v>
      </c>
      <c r="E504" s="24">
        <v>2440</v>
      </c>
      <c r="F504" s="150">
        <v>140</v>
      </c>
      <c r="G504" s="24" t="s">
        <v>862</v>
      </c>
      <c r="H504" s="67">
        <v>58</v>
      </c>
      <c r="I504" s="68">
        <v>12</v>
      </c>
      <c r="J504" s="67">
        <f>H504*I504</f>
        <v>696</v>
      </c>
      <c r="K504" s="46">
        <v>3.34</v>
      </c>
      <c r="L504" s="39">
        <v>44343</v>
      </c>
      <c r="M504" s="39"/>
      <c r="N504" s="213">
        <v>44343</v>
      </c>
      <c r="O504" s="38">
        <v>3195</v>
      </c>
      <c r="P504" s="6"/>
      <c r="Q504" s="483">
        <v>2.97</v>
      </c>
      <c r="S504" s="532">
        <v>240</v>
      </c>
      <c r="T504" s="567">
        <f>S504*J504</f>
        <v>167040</v>
      </c>
      <c r="U504" s="501"/>
      <c r="V504" s="494"/>
    </row>
    <row r="505" spans="1:22" s="218" customFormat="1" ht="15" customHeight="1">
      <c r="A505" s="1"/>
      <c r="B505" s="541"/>
      <c r="C505" s="6" t="s">
        <v>1628</v>
      </c>
      <c r="D505" s="15" t="s">
        <v>11</v>
      </c>
      <c r="E505" s="228"/>
      <c r="F505" s="160"/>
      <c r="G505" s="228" t="s">
        <v>481</v>
      </c>
      <c r="H505" s="214"/>
      <c r="I505" s="215"/>
      <c r="J505" s="43">
        <v>1</v>
      </c>
      <c r="K505" s="229">
        <v>20</v>
      </c>
      <c r="L505" s="39">
        <v>44343</v>
      </c>
      <c r="M505" s="39"/>
      <c r="N505" s="213">
        <v>44343</v>
      </c>
      <c r="O505" s="38">
        <v>3195</v>
      </c>
      <c r="P505" s="216"/>
      <c r="Q505" s="525">
        <v>20</v>
      </c>
      <c r="S505" s="532">
        <v>1800</v>
      </c>
      <c r="T505" s="567">
        <f>S505*J505</f>
        <v>1800</v>
      </c>
      <c r="U505" s="504"/>
      <c r="V505" s="547"/>
    </row>
    <row r="506" spans="1:22" s="7" customFormat="1" ht="15" customHeight="1">
      <c r="A506" s="1"/>
      <c r="B506" s="12"/>
      <c r="C506" s="6" t="s">
        <v>1628</v>
      </c>
      <c r="D506" s="15" t="s">
        <v>11</v>
      </c>
      <c r="E506" s="24">
        <v>2440</v>
      </c>
      <c r="F506" s="150">
        <v>140</v>
      </c>
      <c r="G506" s="24" t="s">
        <v>1547</v>
      </c>
      <c r="H506" s="67">
        <v>58</v>
      </c>
      <c r="I506" s="68">
        <v>1</v>
      </c>
      <c r="J506" s="67">
        <f>H506*I506</f>
        <v>58</v>
      </c>
      <c r="K506" s="46">
        <v>3.34</v>
      </c>
      <c r="L506" s="39">
        <v>44361</v>
      </c>
      <c r="M506" s="39"/>
      <c r="N506" s="213">
        <v>44361</v>
      </c>
      <c r="O506" s="38">
        <v>3227</v>
      </c>
      <c r="P506" s="46">
        <f>K506*0.94</f>
        <v>3.1395999999999997</v>
      </c>
      <c r="Q506" s="483">
        <v>3.14</v>
      </c>
      <c r="S506" s="532">
        <v>240</v>
      </c>
      <c r="T506" s="567">
        <f>S506*J506</f>
        <v>13920</v>
      </c>
      <c r="U506" s="501"/>
      <c r="V506" s="494"/>
    </row>
    <row r="507" spans="1:22" s="218" customFormat="1" ht="15" customHeight="1">
      <c r="A507" s="1"/>
      <c r="B507" s="541"/>
      <c r="C507" s="6" t="s">
        <v>1628</v>
      </c>
      <c r="D507" s="15" t="s">
        <v>11</v>
      </c>
      <c r="E507" s="228"/>
      <c r="F507" s="160"/>
      <c r="G507" s="228" t="s">
        <v>481</v>
      </c>
      <c r="H507" s="214"/>
      <c r="I507" s="215"/>
      <c r="J507" s="43">
        <v>1</v>
      </c>
      <c r="K507" s="229">
        <v>20</v>
      </c>
      <c r="L507" s="417" t="s">
        <v>1676</v>
      </c>
      <c r="M507" s="417"/>
      <c r="N507" s="213"/>
      <c r="O507" s="38"/>
      <c r="P507" s="216"/>
      <c r="Q507" s="525">
        <v>20</v>
      </c>
      <c r="S507" s="532">
        <v>1800</v>
      </c>
      <c r="T507" s="567">
        <f>S507*J507</f>
        <v>1800</v>
      </c>
      <c r="U507" s="504"/>
      <c r="V507" s="547"/>
    </row>
    <row r="508" spans="1:22" s="314" customFormat="1" ht="15" customHeight="1">
      <c r="A508" s="1"/>
      <c r="B508" s="313"/>
      <c r="C508" s="302" t="s">
        <v>1628</v>
      </c>
      <c r="D508" s="303" t="s">
        <v>11</v>
      </c>
      <c r="E508" s="304"/>
      <c r="F508" s="305"/>
      <c r="G508" s="305" t="s">
        <v>1227</v>
      </c>
      <c r="H508" s="307" t="s">
        <v>1228</v>
      </c>
      <c r="I508" s="308"/>
      <c r="J508" s="306"/>
      <c r="K508" s="315">
        <v>0</v>
      </c>
      <c r="L508" s="310">
        <v>44361</v>
      </c>
      <c r="M508" s="310"/>
      <c r="N508" s="311">
        <v>44361</v>
      </c>
      <c r="O508" s="309">
        <v>3227</v>
      </c>
      <c r="P508" s="302"/>
      <c r="Q508" s="485">
        <v>0</v>
      </c>
      <c r="S508" s="535">
        <v>0</v>
      </c>
      <c r="T508" s="322">
        <v>0</v>
      </c>
      <c r="U508" s="515"/>
      <c r="V508" s="549"/>
    </row>
    <row r="509" spans="1:22" s="7" customFormat="1" ht="18" customHeight="1">
      <c r="A509" s="1"/>
      <c r="B509" s="12"/>
      <c r="C509" s="6" t="s">
        <v>1633</v>
      </c>
      <c r="D509" s="15" t="s">
        <v>990</v>
      </c>
      <c r="E509" s="20" t="s">
        <v>1003</v>
      </c>
      <c r="F509" s="24"/>
      <c r="G509" s="44"/>
      <c r="H509" s="151"/>
      <c r="I509" s="151"/>
      <c r="J509" s="151"/>
      <c r="K509" s="153" t="s">
        <v>10</v>
      </c>
      <c r="L509" s="39">
        <v>44344</v>
      </c>
      <c r="M509" s="39"/>
      <c r="N509" s="213">
        <v>44344</v>
      </c>
      <c r="O509" s="38">
        <v>3201</v>
      </c>
      <c r="P509" s="6"/>
      <c r="Q509" s="411"/>
      <c r="S509" s="489"/>
      <c r="T509" s="113"/>
      <c r="U509" s="501"/>
      <c r="V509" s="494"/>
    </row>
    <row r="510" spans="1:22" s="7" customFormat="1" ht="15.95" customHeight="1">
      <c r="A510" s="1"/>
      <c r="B510" s="12"/>
      <c r="C510" s="6" t="s">
        <v>1633</v>
      </c>
      <c r="D510" s="15" t="s">
        <v>990</v>
      </c>
      <c r="E510" s="24" t="s">
        <v>1006</v>
      </c>
      <c r="F510" s="44"/>
      <c r="G510" s="44" t="s">
        <v>129</v>
      </c>
      <c r="H510" s="8">
        <v>14</v>
      </c>
      <c r="I510" s="41">
        <v>58</v>
      </c>
      <c r="J510" s="67">
        <f>H510*I510</f>
        <v>812</v>
      </c>
      <c r="K510" s="46">
        <v>3.1</v>
      </c>
      <c r="L510" s="39">
        <v>44344</v>
      </c>
      <c r="M510" s="39"/>
      <c r="N510" s="213">
        <v>44344</v>
      </c>
      <c r="O510" s="38">
        <v>3201</v>
      </c>
      <c r="P510" s="6"/>
      <c r="Q510" s="483">
        <v>2.76</v>
      </c>
      <c r="S510" s="489">
        <v>156</v>
      </c>
      <c r="T510" s="567">
        <f>S510*J510</f>
        <v>126672</v>
      </c>
      <c r="U510" s="512">
        <f>156+30</f>
        <v>186</v>
      </c>
      <c r="V510" s="494"/>
    </row>
    <row r="511" spans="1:22" s="222" customFormat="1" ht="15.95" customHeight="1">
      <c r="A511" s="1"/>
      <c r="B511" s="232"/>
      <c r="C511" s="220" t="s">
        <v>1633</v>
      </c>
      <c r="D511" s="224" t="s">
        <v>990</v>
      </c>
      <c r="E511" s="225" t="s">
        <v>1006</v>
      </c>
      <c r="F511" s="187"/>
      <c r="G511" s="187" t="s">
        <v>129</v>
      </c>
      <c r="H511" s="226">
        <v>14</v>
      </c>
      <c r="I511" s="227">
        <v>3</v>
      </c>
      <c r="J511" s="221">
        <f>H511*I511</f>
        <v>42</v>
      </c>
      <c r="K511" s="201">
        <v>3.1</v>
      </c>
      <c r="L511" s="376" t="s">
        <v>96</v>
      </c>
      <c r="M511" s="786"/>
      <c r="N511" s="204"/>
      <c r="O511" s="203"/>
      <c r="P511" s="220"/>
      <c r="Q511" s="484">
        <v>2.76</v>
      </c>
      <c r="S511" s="493">
        <v>156</v>
      </c>
      <c r="T511" s="566">
        <f>S511*J511</f>
        <v>6552</v>
      </c>
      <c r="U511" s="522">
        <f>156+30</f>
        <v>186</v>
      </c>
      <c r="V511" s="495"/>
    </row>
    <row r="512" spans="1:22" s="314" customFormat="1" ht="15">
      <c r="A512" s="1"/>
      <c r="B512" s="313"/>
      <c r="C512" s="302" t="s">
        <v>1633</v>
      </c>
      <c r="D512" s="303" t="s">
        <v>990</v>
      </c>
      <c r="E512" s="304"/>
      <c r="F512" s="305"/>
      <c r="G512" s="305" t="s">
        <v>1227</v>
      </c>
      <c r="H512" s="307" t="s">
        <v>1228</v>
      </c>
      <c r="I512" s="308"/>
      <c r="J512" s="306"/>
      <c r="K512" s="315">
        <v>0</v>
      </c>
      <c r="L512" s="310"/>
      <c r="M512" s="310"/>
      <c r="N512" s="311"/>
      <c r="O512" s="309"/>
      <c r="P512" s="302"/>
      <c r="Q512" s="485">
        <v>0</v>
      </c>
      <c r="S512" s="535">
        <v>0</v>
      </c>
      <c r="T512" s="322">
        <v>0</v>
      </c>
      <c r="U512" s="515"/>
      <c r="V512" s="549"/>
    </row>
    <row r="513" spans="1:22" ht="15" customHeight="1">
      <c r="C513" s="6" t="s">
        <v>1637</v>
      </c>
      <c r="D513" s="15" t="s">
        <v>1638</v>
      </c>
      <c r="E513" s="20" t="s">
        <v>1639</v>
      </c>
      <c r="F513" s="26"/>
      <c r="G513" s="24"/>
      <c r="H513" s="16"/>
      <c r="I513" s="68"/>
      <c r="J513" s="67"/>
      <c r="K513" s="17" t="s">
        <v>140</v>
      </c>
      <c r="L513" s="39">
        <v>44349</v>
      </c>
      <c r="M513" s="39"/>
      <c r="N513" s="213">
        <v>44349</v>
      </c>
      <c r="O513" s="38">
        <v>3210</v>
      </c>
      <c r="P513" s="6" t="s">
        <v>23</v>
      </c>
      <c r="Q513" s="481"/>
      <c r="S513" s="489"/>
      <c r="T513" s="113"/>
      <c r="U513" s="500"/>
      <c r="V513" s="494"/>
    </row>
    <row r="514" spans="1:22" ht="15">
      <c r="C514" s="6" t="s">
        <v>1637</v>
      </c>
      <c r="D514" s="15" t="s">
        <v>1638</v>
      </c>
      <c r="E514" s="24" t="s">
        <v>1264</v>
      </c>
      <c r="F514" s="26" t="s">
        <v>19</v>
      </c>
      <c r="G514" s="24" t="s">
        <v>1640</v>
      </c>
      <c r="H514" s="67">
        <v>2</v>
      </c>
      <c r="I514" s="261">
        <v>10</v>
      </c>
      <c r="J514" s="67">
        <f>H514*I514</f>
        <v>20</v>
      </c>
      <c r="K514" s="25">
        <v>62.5</v>
      </c>
      <c r="L514" s="39">
        <v>44349</v>
      </c>
      <c r="M514" s="39"/>
      <c r="N514" s="213">
        <v>44349</v>
      </c>
      <c r="O514" s="38">
        <v>3210</v>
      </c>
      <c r="P514" s="46"/>
      <c r="Q514" s="485">
        <v>56.25</v>
      </c>
      <c r="S514" s="489">
        <v>4500</v>
      </c>
      <c r="T514" s="113">
        <v>4500</v>
      </c>
      <c r="U514" s="502"/>
      <c r="V514" s="494"/>
    </row>
    <row r="515" spans="1:22" ht="15" customHeight="1">
      <c r="C515" s="6" t="s">
        <v>1637</v>
      </c>
      <c r="D515" s="15" t="s">
        <v>1638</v>
      </c>
      <c r="E515" s="24" t="s">
        <v>1264</v>
      </c>
      <c r="F515" s="26" t="s">
        <v>19</v>
      </c>
      <c r="G515" s="24" t="s">
        <v>1640</v>
      </c>
      <c r="H515" s="67">
        <v>2</v>
      </c>
      <c r="I515" s="261">
        <v>1</v>
      </c>
      <c r="J515" s="67">
        <f>H515*I515</f>
        <v>2</v>
      </c>
      <c r="K515" s="25">
        <v>62.5</v>
      </c>
      <c r="L515" s="417" t="s">
        <v>1641</v>
      </c>
      <c r="M515" s="417"/>
      <c r="N515" s="213"/>
      <c r="O515" s="38"/>
      <c r="P515" s="46"/>
      <c r="Q515" s="483"/>
      <c r="S515" s="489">
        <v>4500</v>
      </c>
      <c r="T515" s="113">
        <v>4500</v>
      </c>
      <c r="U515" s="502"/>
      <c r="V515" s="494"/>
    </row>
    <row r="516" spans="1:22" s="314" customFormat="1" ht="15" customHeight="1">
      <c r="A516" s="1"/>
      <c r="B516" s="313"/>
      <c r="C516" s="302" t="s">
        <v>1637</v>
      </c>
      <c r="D516" s="303" t="s">
        <v>1638</v>
      </c>
      <c r="E516" s="304"/>
      <c r="F516" s="305"/>
      <c r="G516" s="305" t="s">
        <v>1227</v>
      </c>
      <c r="H516" s="307" t="s">
        <v>1228</v>
      </c>
      <c r="I516" s="308"/>
      <c r="J516" s="306"/>
      <c r="K516" s="315">
        <v>0</v>
      </c>
      <c r="L516" s="310">
        <v>44349</v>
      </c>
      <c r="M516" s="310"/>
      <c r="N516" s="311">
        <v>44349</v>
      </c>
      <c r="O516" s="309">
        <v>3210</v>
      </c>
      <c r="P516" s="302"/>
      <c r="Q516" s="485">
        <v>0</v>
      </c>
      <c r="S516" s="535">
        <v>0</v>
      </c>
      <c r="T516" s="322">
        <v>0</v>
      </c>
      <c r="U516" s="515"/>
      <c r="V516" s="549"/>
    </row>
    <row r="517" spans="1:22" s="7" customFormat="1" ht="18" customHeight="1">
      <c r="A517" s="1"/>
      <c r="B517" s="12"/>
      <c r="C517" s="6" t="s">
        <v>1646</v>
      </c>
      <c r="D517" s="15" t="s">
        <v>722</v>
      </c>
      <c r="E517" s="20" t="s">
        <v>1647</v>
      </c>
      <c r="F517" s="150"/>
      <c r="G517" s="24"/>
      <c r="H517" s="151"/>
      <c r="I517" s="152"/>
      <c r="J517" s="151"/>
      <c r="K517" s="34" t="s">
        <v>10</v>
      </c>
      <c r="L517" s="39">
        <v>44349</v>
      </c>
      <c r="M517" s="39"/>
      <c r="N517" s="213">
        <v>44349</v>
      </c>
      <c r="O517" s="38">
        <v>3206</v>
      </c>
      <c r="P517" s="15"/>
      <c r="Q517" s="483"/>
      <c r="S517" s="489"/>
      <c r="T517" s="113"/>
      <c r="U517" s="506"/>
      <c r="V517" s="494"/>
    </row>
    <row r="518" spans="1:22" s="7" customFormat="1" ht="15" customHeight="1">
      <c r="A518" s="1"/>
      <c r="B518" s="12"/>
      <c r="C518" s="6" t="s">
        <v>1646</v>
      </c>
      <c r="D518" s="15" t="s">
        <v>722</v>
      </c>
      <c r="E518" s="24" t="s">
        <v>1218</v>
      </c>
      <c r="F518" s="150">
        <v>152</v>
      </c>
      <c r="G518" s="24" t="s">
        <v>1079</v>
      </c>
      <c r="H518" s="67">
        <v>229</v>
      </c>
      <c r="I518" s="67">
        <v>229</v>
      </c>
      <c r="J518" s="67">
        <v>229</v>
      </c>
      <c r="K518" s="25">
        <v>5.57</v>
      </c>
      <c r="L518" s="39">
        <v>44349</v>
      </c>
      <c r="M518" s="39"/>
      <c r="N518" s="213">
        <v>44349</v>
      </c>
      <c r="O518" s="38">
        <v>3206</v>
      </c>
      <c r="P518" s="6"/>
      <c r="Q518" s="483">
        <v>4.1900000000000004</v>
      </c>
      <c r="S518" s="489">
        <v>320</v>
      </c>
      <c r="T518" s="567">
        <f>S518*J518</f>
        <v>73280</v>
      </c>
      <c r="U518" s="521" t="s">
        <v>1441</v>
      </c>
      <c r="V518" s="494"/>
    </row>
    <row r="519" spans="1:22" s="7" customFormat="1" ht="15" customHeight="1">
      <c r="A519" s="1"/>
      <c r="B519" s="12"/>
      <c r="C519" s="6" t="s">
        <v>1646</v>
      </c>
      <c r="D519" s="15" t="s">
        <v>722</v>
      </c>
      <c r="E519" s="56"/>
      <c r="F519" s="138"/>
      <c r="G519" s="24" t="s">
        <v>31</v>
      </c>
      <c r="H519" s="45"/>
      <c r="I519" s="41"/>
      <c r="J519" s="45">
        <v>1</v>
      </c>
      <c r="K519" s="46">
        <v>20</v>
      </c>
      <c r="L519" s="39">
        <v>44349</v>
      </c>
      <c r="M519" s="39"/>
      <c r="N519" s="213">
        <v>44349</v>
      </c>
      <c r="O519" s="38">
        <v>3206</v>
      </c>
      <c r="P519" s="6"/>
      <c r="Q519" s="483">
        <v>20</v>
      </c>
      <c r="S519" s="489">
        <v>1800</v>
      </c>
      <c r="T519" s="113">
        <v>1800</v>
      </c>
      <c r="U519" s="501"/>
      <c r="V519" s="494"/>
    </row>
    <row r="520" spans="1:22" s="7" customFormat="1" ht="18" customHeight="1">
      <c r="A520" s="1"/>
      <c r="B520" s="12"/>
      <c r="C520" s="6" t="s">
        <v>1646</v>
      </c>
      <c r="D520" s="15" t="s">
        <v>722</v>
      </c>
      <c r="E520" s="377"/>
      <c r="F520" s="44"/>
      <c r="G520" s="44" t="s">
        <v>195</v>
      </c>
      <c r="H520" s="8"/>
      <c r="I520" s="8"/>
      <c r="J520" s="45">
        <v>1</v>
      </c>
      <c r="K520" s="46">
        <v>30</v>
      </c>
      <c r="L520" s="39">
        <v>44349</v>
      </c>
      <c r="M520" s="39"/>
      <c r="N520" s="213">
        <v>44349</v>
      </c>
      <c r="O520" s="38">
        <v>3206</v>
      </c>
      <c r="P520" s="6"/>
      <c r="Q520" s="483">
        <v>30</v>
      </c>
      <c r="S520" s="536">
        <v>3000</v>
      </c>
      <c r="T520" s="321">
        <v>3000</v>
      </c>
      <c r="U520" s="507"/>
      <c r="V520" s="494"/>
    </row>
    <row r="521" spans="1:22" s="378" customFormat="1" ht="15" customHeight="1">
      <c r="A521" s="1"/>
      <c r="B521" s="312"/>
      <c r="C521" s="302" t="s">
        <v>1646</v>
      </c>
      <c r="D521" s="303" t="s">
        <v>722</v>
      </c>
      <c r="E521" s="304"/>
      <c r="F521" s="305"/>
      <c r="G521" s="305" t="s">
        <v>1227</v>
      </c>
      <c r="H521" s="307" t="s">
        <v>1442</v>
      </c>
      <c r="I521" s="308"/>
      <c r="J521" s="306"/>
      <c r="K521" s="315">
        <v>142.36000000000001</v>
      </c>
      <c r="L521" s="310">
        <v>44349</v>
      </c>
      <c r="M521" s="310"/>
      <c r="N521" s="311">
        <v>44349</v>
      </c>
      <c r="O521" s="309">
        <v>3206</v>
      </c>
      <c r="P521" s="302"/>
      <c r="Q521" s="527">
        <v>142.36000000000001</v>
      </c>
      <c r="S521" s="536">
        <v>11090</v>
      </c>
      <c r="T521" s="321">
        <v>11090</v>
      </c>
      <c r="U521" s="515"/>
      <c r="V521" s="535"/>
    </row>
    <row r="522" spans="1:22" ht="15">
      <c r="C522" s="6" t="s">
        <v>1651</v>
      </c>
      <c r="D522" s="15" t="s">
        <v>1648</v>
      </c>
      <c r="E522" s="20" t="s">
        <v>593</v>
      </c>
      <c r="F522" s="26"/>
      <c r="G522" s="24"/>
      <c r="H522" s="16"/>
      <c r="I522" s="68"/>
      <c r="J522" s="67"/>
      <c r="K522" s="17" t="s">
        <v>134</v>
      </c>
      <c r="L522" s="39">
        <v>44365</v>
      </c>
      <c r="M522" s="39"/>
      <c r="N522" s="213">
        <v>44365</v>
      </c>
      <c r="O522" s="38">
        <v>3244</v>
      </c>
      <c r="P522" s="6" t="s">
        <v>23</v>
      </c>
      <c r="Q522" s="481"/>
      <c r="S522" s="489"/>
      <c r="T522" s="113"/>
      <c r="U522" s="500"/>
      <c r="V522" s="494"/>
    </row>
    <row r="523" spans="1:22" ht="15" customHeight="1">
      <c r="C523" s="6" t="s">
        <v>1651</v>
      </c>
      <c r="D523" s="15" t="s">
        <v>1648</v>
      </c>
      <c r="E523" s="24">
        <v>5610</v>
      </c>
      <c r="F523" s="26"/>
      <c r="G523" s="24" t="s">
        <v>1656</v>
      </c>
      <c r="H523" s="67">
        <v>50</v>
      </c>
      <c r="I523" s="68">
        <v>56</v>
      </c>
      <c r="J523" s="67">
        <f>H523*I523</f>
        <v>2800</v>
      </c>
      <c r="K523" s="25">
        <v>0.4</v>
      </c>
      <c r="L523" s="39">
        <v>44365</v>
      </c>
      <c r="M523" s="39"/>
      <c r="N523" s="213">
        <v>44365</v>
      </c>
      <c r="O523" s="38">
        <v>3244</v>
      </c>
      <c r="P523" s="25">
        <f>K523*0.88</f>
        <v>0.35200000000000004</v>
      </c>
      <c r="Q523" s="482">
        <v>0.35</v>
      </c>
      <c r="S523" s="489">
        <v>21.3</v>
      </c>
      <c r="T523" s="567">
        <f>S523*J523</f>
        <v>59640</v>
      </c>
      <c r="U523" s="502"/>
      <c r="V523" s="494"/>
    </row>
    <row r="524" spans="1:22" ht="15">
      <c r="C524" s="6" t="s">
        <v>1651</v>
      </c>
      <c r="D524" s="15" t="s">
        <v>1648</v>
      </c>
      <c r="E524" s="24">
        <v>5610</v>
      </c>
      <c r="F524" s="26"/>
      <c r="G524" s="24" t="s">
        <v>1657</v>
      </c>
      <c r="H524" s="67">
        <v>50</v>
      </c>
      <c r="I524" s="68">
        <v>32</v>
      </c>
      <c r="J524" s="67">
        <f>H524*I524</f>
        <v>1600</v>
      </c>
      <c r="K524" s="25">
        <v>0.4</v>
      </c>
      <c r="L524" s="39">
        <v>44365</v>
      </c>
      <c r="M524" s="39"/>
      <c r="N524" s="213">
        <v>44365</v>
      </c>
      <c r="O524" s="38">
        <v>3244</v>
      </c>
      <c r="P524" s="25">
        <f>K524*0.88</f>
        <v>0.35200000000000004</v>
      </c>
      <c r="Q524" s="482">
        <v>0.35</v>
      </c>
      <c r="S524" s="489">
        <v>21.3</v>
      </c>
      <c r="T524" s="567">
        <f>S524*J524</f>
        <v>34080</v>
      </c>
      <c r="U524" s="502"/>
      <c r="V524" s="494"/>
    </row>
    <row r="525" spans="1:22" s="218" customFormat="1" ht="15" customHeight="1">
      <c r="A525" s="1"/>
      <c r="B525" s="541"/>
      <c r="C525" s="6" t="s">
        <v>1651</v>
      </c>
      <c r="D525" s="15" t="s">
        <v>1648</v>
      </c>
      <c r="E525" s="24"/>
      <c r="F525" s="26"/>
      <c r="G525" s="24" t="s">
        <v>31</v>
      </c>
      <c r="H525" s="36"/>
      <c r="I525" s="41"/>
      <c r="J525" s="45">
        <v>1</v>
      </c>
      <c r="K525" s="25">
        <v>12</v>
      </c>
      <c r="L525" s="39">
        <v>44365</v>
      </c>
      <c r="M525" s="39"/>
      <c r="N525" s="213">
        <v>44365</v>
      </c>
      <c r="O525" s="38">
        <v>3244</v>
      </c>
      <c r="P525" s="216"/>
      <c r="Q525" s="483">
        <v>12</v>
      </c>
      <c r="S525" s="489">
        <v>1100</v>
      </c>
      <c r="T525" s="567">
        <f>S525*J525</f>
        <v>1100</v>
      </c>
      <c r="U525" s="504"/>
      <c r="V525" s="547"/>
    </row>
    <row r="526" spans="1:22" s="314" customFormat="1" ht="15">
      <c r="A526" s="1"/>
      <c r="B526" s="313"/>
      <c r="C526" s="302" t="s">
        <v>1651</v>
      </c>
      <c r="D526" s="303" t="s">
        <v>1648</v>
      </c>
      <c r="E526" s="304"/>
      <c r="F526" s="305"/>
      <c r="G526" s="305" t="s">
        <v>1227</v>
      </c>
      <c r="H526" s="307" t="s">
        <v>1228</v>
      </c>
      <c r="I526" s="308"/>
      <c r="J526" s="306"/>
      <c r="K526" s="315">
        <v>0</v>
      </c>
      <c r="L526" s="310">
        <v>44365</v>
      </c>
      <c r="M526" s="310"/>
      <c r="N526" s="311">
        <v>44365</v>
      </c>
      <c r="O526" s="309">
        <v>3244</v>
      </c>
      <c r="P526" s="302"/>
      <c r="Q526" s="485">
        <v>0</v>
      </c>
      <c r="S526" s="535">
        <v>0</v>
      </c>
      <c r="T526" s="322">
        <v>0</v>
      </c>
      <c r="U526" s="515"/>
      <c r="V526" s="549"/>
    </row>
    <row r="527" spans="1:22" s="80" customFormat="1" ht="15" customHeight="1">
      <c r="A527" s="1"/>
      <c r="B527" s="540"/>
      <c r="C527" s="76" t="s">
        <v>1658</v>
      </c>
      <c r="D527" s="77" t="s">
        <v>983</v>
      </c>
      <c r="E527" s="252" t="s">
        <v>1659</v>
      </c>
      <c r="F527" s="78"/>
      <c r="G527" s="79"/>
      <c r="H527" s="247"/>
      <c r="I527" s="248"/>
      <c r="J527" s="247"/>
      <c r="K527" s="426" t="s">
        <v>134</v>
      </c>
      <c r="L527" s="429" t="s">
        <v>96</v>
      </c>
      <c r="M527" s="429"/>
      <c r="N527" s="428"/>
      <c r="O527" s="427"/>
      <c r="P527" s="76"/>
      <c r="Q527" s="487"/>
      <c r="S527" s="491"/>
      <c r="T527" s="563"/>
      <c r="U527" s="523"/>
      <c r="V527" s="546"/>
    </row>
    <row r="528" spans="1:22" s="80" customFormat="1" ht="15">
      <c r="A528" s="1"/>
      <c r="B528" s="540"/>
      <c r="C528" s="76" t="s">
        <v>1658</v>
      </c>
      <c r="D528" s="77" t="s">
        <v>983</v>
      </c>
      <c r="E528" s="255" t="s">
        <v>1660</v>
      </c>
      <c r="F528" s="78">
        <v>12</v>
      </c>
      <c r="G528" s="79" t="s">
        <v>1661</v>
      </c>
      <c r="H528" s="253">
        <v>100</v>
      </c>
      <c r="I528" s="254">
        <v>3</v>
      </c>
      <c r="J528" s="247">
        <f>H528*I528</f>
        <v>300</v>
      </c>
      <c r="K528" s="257">
        <v>0.55000000000000004</v>
      </c>
      <c r="L528" s="429" t="s">
        <v>96</v>
      </c>
      <c r="M528" s="429"/>
      <c r="N528" s="428"/>
      <c r="O528" s="257"/>
      <c r="P528" s="257"/>
      <c r="Q528" s="530"/>
      <c r="S528" s="491"/>
      <c r="T528" s="563"/>
      <c r="U528" s="523"/>
      <c r="V528" s="546"/>
    </row>
    <row r="529" spans="1:22" s="7" customFormat="1" ht="15" customHeight="1">
      <c r="A529" s="1"/>
      <c r="B529" s="12"/>
      <c r="C529" s="6" t="s">
        <v>1658</v>
      </c>
      <c r="D529" s="15" t="s">
        <v>983</v>
      </c>
      <c r="E529" s="20" t="s">
        <v>344</v>
      </c>
      <c r="F529" s="26"/>
      <c r="G529" s="24"/>
      <c r="H529" s="67"/>
      <c r="I529" s="68"/>
      <c r="J529" s="67"/>
      <c r="K529" s="17" t="s">
        <v>134</v>
      </c>
      <c r="L529" s="39">
        <v>44364</v>
      </c>
      <c r="M529" s="39"/>
      <c r="N529" s="213">
        <v>44364</v>
      </c>
      <c r="O529" s="38">
        <v>3246</v>
      </c>
      <c r="P529" s="6" t="s">
        <v>23</v>
      </c>
      <c r="Q529" s="481"/>
      <c r="S529" s="489"/>
      <c r="T529" s="113"/>
      <c r="U529" s="500"/>
      <c r="V529" s="494"/>
    </row>
    <row r="530" spans="1:22" s="7" customFormat="1" ht="15">
      <c r="A530" s="1"/>
      <c r="B530" s="12"/>
      <c r="C530" s="6" t="s">
        <v>1658</v>
      </c>
      <c r="D530" s="15" t="s">
        <v>983</v>
      </c>
      <c r="E530" s="24">
        <v>14552</v>
      </c>
      <c r="F530" s="26">
        <v>10</v>
      </c>
      <c r="G530" s="24" t="s">
        <v>1662</v>
      </c>
      <c r="H530" s="151">
        <v>30</v>
      </c>
      <c r="I530" s="152">
        <v>30</v>
      </c>
      <c r="J530" s="67">
        <f>H530*I530</f>
        <v>900</v>
      </c>
      <c r="K530" s="25">
        <v>0.57999999999999996</v>
      </c>
      <c r="L530" s="39">
        <v>44364</v>
      </c>
      <c r="M530" s="39"/>
      <c r="N530" s="213">
        <v>44364</v>
      </c>
      <c r="O530" s="38">
        <v>3246</v>
      </c>
      <c r="P530" s="25">
        <f>K530*0.88</f>
        <v>0.51039999999999996</v>
      </c>
      <c r="Q530" s="482">
        <v>0.51</v>
      </c>
      <c r="S530" s="489">
        <v>31</v>
      </c>
      <c r="T530" s="567">
        <f>S530*J530</f>
        <v>27900</v>
      </c>
      <c r="U530" s="500"/>
      <c r="V530" s="494"/>
    </row>
    <row r="531" spans="1:22" s="7" customFormat="1" ht="15">
      <c r="A531" s="1"/>
      <c r="B531" s="12"/>
      <c r="C531" s="6" t="s">
        <v>1658</v>
      </c>
      <c r="D531" s="15" t="s">
        <v>983</v>
      </c>
      <c r="E531" s="24">
        <v>14552</v>
      </c>
      <c r="F531" s="26">
        <v>10</v>
      </c>
      <c r="G531" s="24" t="s">
        <v>1663</v>
      </c>
      <c r="H531" s="151">
        <v>30</v>
      </c>
      <c r="I531" s="152">
        <v>20</v>
      </c>
      <c r="J531" s="67">
        <f>H531*I531</f>
        <v>600</v>
      </c>
      <c r="K531" s="25">
        <v>0.57999999999999996</v>
      </c>
      <c r="L531" s="39">
        <v>44364</v>
      </c>
      <c r="M531" s="39"/>
      <c r="N531" s="213">
        <v>44364</v>
      </c>
      <c r="O531" s="38">
        <v>3246</v>
      </c>
      <c r="P531" s="25">
        <f>K531*0.88</f>
        <v>0.51039999999999996</v>
      </c>
      <c r="Q531" s="482">
        <v>0.51</v>
      </c>
      <c r="S531" s="489">
        <v>31</v>
      </c>
      <c r="T531" s="567">
        <f>S531*J531</f>
        <v>18600</v>
      </c>
      <c r="U531" s="500"/>
      <c r="V531" s="494"/>
    </row>
    <row r="532" spans="1:22" s="7" customFormat="1" ht="15" customHeight="1">
      <c r="A532" s="1"/>
      <c r="B532" s="12"/>
      <c r="C532" s="6" t="s">
        <v>1658</v>
      </c>
      <c r="D532" s="15" t="s">
        <v>983</v>
      </c>
      <c r="E532" s="24"/>
      <c r="F532" s="138"/>
      <c r="G532" s="24" t="s">
        <v>481</v>
      </c>
      <c r="H532" s="8"/>
      <c r="I532" s="41"/>
      <c r="J532" s="45">
        <v>1</v>
      </c>
      <c r="K532" s="46">
        <v>12</v>
      </c>
      <c r="L532" s="39">
        <v>44364</v>
      </c>
      <c r="M532" s="39"/>
      <c r="N532" s="213">
        <v>44364</v>
      </c>
      <c r="O532" s="38">
        <v>3246</v>
      </c>
      <c r="P532" s="6"/>
      <c r="Q532" s="483">
        <v>12</v>
      </c>
      <c r="S532" s="489">
        <v>0</v>
      </c>
      <c r="T532" s="567">
        <f>S532*J532</f>
        <v>0</v>
      </c>
      <c r="U532" s="501"/>
      <c r="V532" s="494"/>
    </row>
    <row r="533" spans="1:22" s="7" customFormat="1" ht="15" customHeight="1">
      <c r="A533" s="1"/>
      <c r="B533" s="12"/>
      <c r="C533" s="6" t="s">
        <v>1658</v>
      </c>
      <c r="D533" s="15" t="s">
        <v>983</v>
      </c>
      <c r="E533" s="24"/>
      <c r="F533" s="138"/>
      <c r="G533" s="157" t="s">
        <v>1664</v>
      </c>
      <c r="H533" s="8"/>
      <c r="I533" s="41"/>
      <c r="J533" s="152">
        <v>50</v>
      </c>
      <c r="K533" s="46">
        <v>0</v>
      </c>
      <c r="L533" s="39">
        <v>44364</v>
      </c>
      <c r="M533" s="39"/>
      <c r="N533" s="213">
        <v>44364</v>
      </c>
      <c r="O533" s="38">
        <v>3246</v>
      </c>
      <c r="P533" s="6"/>
      <c r="Q533" s="483">
        <v>17</v>
      </c>
      <c r="S533" s="489">
        <v>30</v>
      </c>
      <c r="T533" s="567">
        <f>S533*J533</f>
        <v>1500</v>
      </c>
      <c r="U533" s="501"/>
      <c r="V533" s="494"/>
    </row>
    <row r="534" spans="1:22" s="314" customFormat="1" ht="15" customHeight="1">
      <c r="A534" s="1"/>
      <c r="B534" s="313"/>
      <c r="C534" s="302" t="s">
        <v>1658</v>
      </c>
      <c r="D534" s="303" t="s">
        <v>983</v>
      </c>
      <c r="E534" s="304"/>
      <c r="F534" s="305"/>
      <c r="G534" s="305" t="s">
        <v>1227</v>
      </c>
      <c r="H534" s="307" t="s">
        <v>1243</v>
      </c>
      <c r="I534" s="308"/>
      <c r="J534" s="306"/>
      <c r="K534" s="315">
        <v>82</v>
      </c>
      <c r="L534" s="310">
        <v>44364</v>
      </c>
      <c r="M534" s="310"/>
      <c r="N534" s="311">
        <v>44364</v>
      </c>
      <c r="O534" s="309">
        <v>3246</v>
      </c>
      <c r="P534" s="302"/>
      <c r="Q534" s="483">
        <v>65</v>
      </c>
      <c r="S534" s="489">
        <v>5761</v>
      </c>
      <c r="T534" s="113">
        <v>5761</v>
      </c>
      <c r="U534" s="515"/>
      <c r="V534" s="549"/>
    </row>
    <row r="535" spans="1:22" s="7" customFormat="1" ht="15">
      <c r="A535" s="1"/>
      <c r="B535" s="12"/>
      <c r="C535" s="6" t="s">
        <v>1665</v>
      </c>
      <c r="D535" s="15" t="s">
        <v>1666</v>
      </c>
      <c r="E535" s="20" t="s">
        <v>1667</v>
      </c>
      <c r="F535" s="26"/>
      <c r="G535" s="24"/>
      <c r="H535" s="67"/>
      <c r="I535" s="68"/>
      <c r="J535" s="67"/>
      <c r="K535" s="17" t="s">
        <v>134</v>
      </c>
      <c r="L535" s="39">
        <v>44357</v>
      </c>
      <c r="M535" s="39"/>
      <c r="N535" s="213">
        <v>44357</v>
      </c>
      <c r="O535" s="38">
        <v>3221</v>
      </c>
      <c r="P535" s="6" t="s">
        <v>23</v>
      </c>
      <c r="Q535" s="481"/>
      <c r="S535" s="489"/>
      <c r="T535" s="113"/>
      <c r="U535" s="500"/>
      <c r="V535" s="494"/>
    </row>
    <row r="536" spans="1:22" s="7" customFormat="1" ht="15">
      <c r="A536" s="1"/>
      <c r="B536" s="12"/>
      <c r="C536" s="6" t="s">
        <v>1665</v>
      </c>
      <c r="D536" s="15" t="s">
        <v>1666</v>
      </c>
      <c r="E536" s="24" t="s">
        <v>1668</v>
      </c>
      <c r="F536" s="26">
        <v>25</v>
      </c>
      <c r="G536" s="24" t="s">
        <v>2025</v>
      </c>
      <c r="H536" s="151">
        <v>30</v>
      </c>
      <c r="I536" s="152">
        <v>1</v>
      </c>
      <c r="J536" s="67">
        <f>H536*I536</f>
        <v>30</v>
      </c>
      <c r="K536" s="25">
        <v>2.97</v>
      </c>
      <c r="L536" s="39">
        <v>44357</v>
      </c>
      <c r="M536" s="39"/>
      <c r="N536" s="213">
        <v>44357</v>
      </c>
      <c r="O536" s="38">
        <v>3221</v>
      </c>
      <c r="P536" s="25">
        <f>K536*0.9</f>
        <v>2.673</v>
      </c>
      <c r="Q536" s="482">
        <v>2.67</v>
      </c>
      <c r="S536" s="489">
        <v>160</v>
      </c>
      <c r="T536" s="567">
        <f>S536*J536</f>
        <v>4800</v>
      </c>
      <c r="U536" s="500"/>
      <c r="V536" s="494"/>
    </row>
    <row r="537" spans="1:22" s="7" customFormat="1" ht="15">
      <c r="A537" s="1"/>
      <c r="B537" s="12"/>
      <c r="C537" s="6" t="s">
        <v>1665</v>
      </c>
      <c r="D537" s="15" t="s">
        <v>1666</v>
      </c>
      <c r="E537" s="24" t="s">
        <v>1668</v>
      </c>
      <c r="F537" s="26">
        <v>25</v>
      </c>
      <c r="G537" s="24" t="s">
        <v>137</v>
      </c>
      <c r="H537" s="151">
        <v>30</v>
      </c>
      <c r="I537" s="152">
        <v>1</v>
      </c>
      <c r="J537" s="67">
        <f>H537*I537</f>
        <v>30</v>
      </c>
      <c r="K537" s="25">
        <v>2.97</v>
      </c>
      <c r="L537" s="39">
        <v>44357</v>
      </c>
      <c r="M537" s="39"/>
      <c r="N537" s="213">
        <v>44357</v>
      </c>
      <c r="O537" s="38">
        <v>3221</v>
      </c>
      <c r="P537" s="25">
        <f>K537*0.9</f>
        <v>2.673</v>
      </c>
      <c r="Q537" s="482">
        <v>2.67</v>
      </c>
      <c r="S537" s="489">
        <v>160</v>
      </c>
      <c r="T537" s="567">
        <f>S537*J537</f>
        <v>4800</v>
      </c>
      <c r="U537" s="500"/>
      <c r="V537" s="494"/>
    </row>
    <row r="538" spans="1:22" s="7" customFormat="1" ht="15" customHeight="1">
      <c r="A538" s="1"/>
      <c r="B538" s="12"/>
      <c r="C538" s="6" t="s">
        <v>1665</v>
      </c>
      <c r="D538" s="15" t="s">
        <v>1666</v>
      </c>
      <c r="E538" s="24"/>
      <c r="F538" s="138"/>
      <c r="G538" s="24" t="s">
        <v>481</v>
      </c>
      <c r="H538" s="8"/>
      <c r="I538" s="41"/>
      <c r="J538" s="45">
        <v>1</v>
      </c>
      <c r="K538" s="46">
        <v>12</v>
      </c>
      <c r="L538" s="39">
        <v>44357</v>
      </c>
      <c r="M538" s="39"/>
      <c r="N538" s="213">
        <v>44357</v>
      </c>
      <c r="O538" s="38">
        <v>3221</v>
      </c>
      <c r="P538" s="6"/>
      <c r="Q538" s="483">
        <v>12</v>
      </c>
      <c r="S538" s="489">
        <v>1000</v>
      </c>
      <c r="T538" s="567">
        <f>S538*J538</f>
        <v>1000</v>
      </c>
      <c r="U538" s="501"/>
      <c r="V538" s="494"/>
    </row>
    <row r="539" spans="1:22" s="7" customFormat="1" ht="15">
      <c r="A539" s="1"/>
      <c r="B539" s="12"/>
      <c r="C539" s="6" t="s">
        <v>1665</v>
      </c>
      <c r="D539" s="15" t="s">
        <v>1666</v>
      </c>
      <c r="E539" s="20" t="s">
        <v>1670</v>
      </c>
      <c r="F539" s="26"/>
      <c r="G539" s="24"/>
      <c r="H539" s="67"/>
      <c r="I539" s="68"/>
      <c r="J539" s="67"/>
      <c r="K539" s="17" t="s">
        <v>134</v>
      </c>
      <c r="L539" s="39">
        <v>44375</v>
      </c>
      <c r="M539" s="39"/>
      <c r="N539" s="213">
        <v>44375</v>
      </c>
      <c r="O539" s="38">
        <v>3276</v>
      </c>
      <c r="P539" s="6" t="s">
        <v>23</v>
      </c>
      <c r="Q539" s="481"/>
      <c r="S539" s="489"/>
      <c r="T539" s="113"/>
      <c r="U539" s="500"/>
      <c r="V539" s="494"/>
    </row>
    <row r="540" spans="1:22" s="7" customFormat="1" ht="15">
      <c r="A540" s="1"/>
      <c r="B540" s="12"/>
      <c r="C540" s="6" t="s">
        <v>1665</v>
      </c>
      <c r="D540" s="15" t="s">
        <v>1666</v>
      </c>
      <c r="E540" s="24" t="s">
        <v>1671</v>
      </c>
      <c r="F540" s="26">
        <v>15</v>
      </c>
      <c r="G540" s="24" t="s">
        <v>137</v>
      </c>
      <c r="H540" s="151">
        <v>30</v>
      </c>
      <c r="I540" s="68"/>
      <c r="J540" s="67">
        <f>H540*I540</f>
        <v>0</v>
      </c>
      <c r="K540" s="25">
        <v>1.39</v>
      </c>
      <c r="L540" s="39">
        <v>44375</v>
      </c>
      <c r="M540" s="39"/>
      <c r="N540" s="213">
        <v>44375</v>
      </c>
      <c r="O540" s="38">
        <v>3276</v>
      </c>
      <c r="P540" s="25">
        <f>K540*0.88</f>
        <v>1.2231999999999998</v>
      </c>
      <c r="Q540" s="482">
        <v>1.22</v>
      </c>
      <c r="S540" s="489">
        <v>75</v>
      </c>
      <c r="T540" s="567">
        <f>S540*J540</f>
        <v>0</v>
      </c>
      <c r="U540" s="500"/>
      <c r="V540" s="494"/>
    </row>
    <row r="541" spans="1:22" s="7" customFormat="1" ht="15">
      <c r="A541" s="1"/>
      <c r="B541" s="12"/>
      <c r="C541" s="6" t="s">
        <v>1665</v>
      </c>
      <c r="D541" s="15" t="s">
        <v>1666</v>
      </c>
      <c r="E541" s="24"/>
      <c r="F541" s="138"/>
      <c r="G541" s="24" t="s">
        <v>481</v>
      </c>
      <c r="H541" s="8"/>
      <c r="I541" s="41"/>
      <c r="J541" s="45">
        <v>1</v>
      </c>
      <c r="K541" s="46">
        <v>12</v>
      </c>
      <c r="L541" s="417" t="s">
        <v>1676</v>
      </c>
      <c r="M541" s="417"/>
      <c r="N541" s="213"/>
      <c r="O541" s="38"/>
      <c r="P541" s="6"/>
      <c r="Q541" s="483"/>
      <c r="S541" s="489">
        <v>1000</v>
      </c>
      <c r="T541" s="567">
        <f>S541*J541</f>
        <v>1000</v>
      </c>
      <c r="U541" s="501"/>
      <c r="V541" s="494"/>
    </row>
    <row r="542" spans="1:22" s="314" customFormat="1" ht="15" customHeight="1">
      <c r="A542" s="1"/>
      <c r="B542" s="313"/>
      <c r="C542" s="302" t="s">
        <v>1665</v>
      </c>
      <c r="D542" s="303" t="s">
        <v>1666</v>
      </c>
      <c r="E542" s="304"/>
      <c r="F542" s="305"/>
      <c r="G542" s="305" t="s">
        <v>1227</v>
      </c>
      <c r="H542" s="307" t="s">
        <v>1228</v>
      </c>
      <c r="I542" s="308"/>
      <c r="J542" s="306"/>
      <c r="K542" s="315">
        <v>0</v>
      </c>
      <c r="L542" s="310">
        <v>44375</v>
      </c>
      <c r="M542" s="310"/>
      <c r="N542" s="311">
        <v>44375</v>
      </c>
      <c r="O542" s="309">
        <v>3276</v>
      </c>
      <c r="P542" s="302"/>
      <c r="Q542" s="483">
        <v>0</v>
      </c>
      <c r="S542" s="538">
        <v>0</v>
      </c>
      <c r="T542" s="420">
        <v>0</v>
      </c>
      <c r="U542" s="515"/>
      <c r="V542" s="549"/>
    </row>
    <row r="543" spans="1:22" s="7" customFormat="1" ht="15" customHeight="1">
      <c r="A543" s="1"/>
      <c r="B543" s="12"/>
      <c r="C543" s="6" t="s">
        <v>1677</v>
      </c>
      <c r="D543" s="15" t="s">
        <v>11</v>
      </c>
      <c r="E543" s="20" t="s">
        <v>79</v>
      </c>
      <c r="F543" s="150"/>
      <c r="G543" s="24"/>
      <c r="H543" s="151"/>
      <c r="I543" s="152"/>
      <c r="J543" s="151"/>
      <c r="K543" s="153" t="s">
        <v>10</v>
      </c>
      <c r="L543" s="39">
        <v>44361</v>
      </c>
      <c r="M543" s="39"/>
      <c r="N543" s="213">
        <v>44361</v>
      </c>
      <c r="O543" s="38">
        <v>3227</v>
      </c>
      <c r="P543" s="15"/>
      <c r="Q543" s="483"/>
      <c r="S543" s="496"/>
      <c r="T543" s="113"/>
      <c r="U543" s="506"/>
      <c r="V543" s="494"/>
    </row>
    <row r="544" spans="1:22" s="7" customFormat="1" ht="15" customHeight="1">
      <c r="A544" s="1"/>
      <c r="B544" s="12"/>
      <c r="C544" s="6" t="s">
        <v>1677</v>
      </c>
      <c r="D544" s="15" t="s">
        <v>11</v>
      </c>
      <c r="E544" s="24">
        <v>2440</v>
      </c>
      <c r="F544" s="150">
        <v>140</v>
      </c>
      <c r="G544" s="24" t="s">
        <v>862</v>
      </c>
      <c r="H544" s="67">
        <v>58</v>
      </c>
      <c r="I544" s="68">
        <v>6</v>
      </c>
      <c r="J544" s="67">
        <f>H544*I544</f>
        <v>348</v>
      </c>
      <c r="K544" s="46">
        <v>3.34</v>
      </c>
      <c r="L544" s="39">
        <v>44361</v>
      </c>
      <c r="M544" s="39"/>
      <c r="N544" s="213">
        <v>44361</v>
      </c>
      <c r="O544" s="38">
        <v>3227</v>
      </c>
      <c r="P544" s="46">
        <f>K544*0.94</f>
        <v>3.1395999999999997</v>
      </c>
      <c r="Q544" s="483">
        <v>3.14</v>
      </c>
      <c r="S544" s="532">
        <v>240</v>
      </c>
      <c r="T544" s="567">
        <f>S544*J544</f>
        <v>83520</v>
      </c>
      <c r="U544" s="501"/>
      <c r="V544" s="494"/>
    </row>
    <row r="545" spans="1:22" s="218" customFormat="1" ht="15">
      <c r="A545" s="1"/>
      <c r="B545" s="541"/>
      <c r="C545" s="6" t="s">
        <v>1677</v>
      </c>
      <c r="D545" s="15" t="s">
        <v>11</v>
      </c>
      <c r="E545" s="228"/>
      <c r="F545" s="160"/>
      <c r="G545" s="228" t="s">
        <v>481</v>
      </c>
      <c r="H545" s="214"/>
      <c r="I545" s="215"/>
      <c r="J545" s="43">
        <v>1</v>
      </c>
      <c r="K545" s="229">
        <v>20</v>
      </c>
      <c r="L545" s="417" t="s">
        <v>1676</v>
      </c>
      <c r="M545" s="417"/>
      <c r="N545" s="213"/>
      <c r="O545" s="38"/>
      <c r="P545" s="216"/>
      <c r="Q545" s="525">
        <v>20</v>
      </c>
      <c r="S545" s="532">
        <v>1800</v>
      </c>
      <c r="T545" s="567">
        <v>1800</v>
      </c>
      <c r="U545" s="504"/>
      <c r="V545" s="547"/>
    </row>
    <row r="546" spans="1:22" s="314" customFormat="1" ht="15" customHeight="1">
      <c r="A546" s="1"/>
      <c r="B546" s="313"/>
      <c r="C546" s="302" t="s">
        <v>1677</v>
      </c>
      <c r="D546" s="303" t="s">
        <v>11</v>
      </c>
      <c r="E546" s="304"/>
      <c r="F546" s="305"/>
      <c r="G546" s="305" t="s">
        <v>1227</v>
      </c>
      <c r="H546" s="307" t="s">
        <v>1228</v>
      </c>
      <c r="I546" s="308"/>
      <c r="J546" s="306"/>
      <c r="K546" s="315">
        <v>0</v>
      </c>
      <c r="L546" s="310">
        <v>44361</v>
      </c>
      <c r="M546" s="310"/>
      <c r="N546" s="311">
        <v>44361</v>
      </c>
      <c r="O546" s="309">
        <v>3227</v>
      </c>
      <c r="P546" s="302"/>
      <c r="Q546" s="485">
        <v>0</v>
      </c>
      <c r="S546" s="535">
        <v>0</v>
      </c>
      <c r="T546" s="322">
        <v>0</v>
      </c>
      <c r="U546" s="515"/>
      <c r="V546" s="549"/>
    </row>
    <row r="547" spans="1:22" ht="18" customHeight="1">
      <c r="C547" s="6" t="s">
        <v>1679</v>
      </c>
      <c r="D547" s="15" t="s">
        <v>976</v>
      </c>
      <c r="E547" s="20" t="s">
        <v>975</v>
      </c>
      <c r="F547" s="44"/>
      <c r="G547" s="44"/>
      <c r="H547" s="151"/>
      <c r="I547" s="151"/>
      <c r="J547" s="151"/>
      <c r="K547" s="34" t="s">
        <v>134</v>
      </c>
      <c r="L547" s="39">
        <v>44361</v>
      </c>
      <c r="M547" s="39"/>
      <c r="N547" s="213">
        <v>44361</v>
      </c>
      <c r="O547" s="38">
        <v>3232</v>
      </c>
      <c r="P547" s="6"/>
      <c r="Q547" s="524"/>
      <c r="S547" s="489"/>
      <c r="T547" s="113"/>
      <c r="U547" s="501"/>
      <c r="V547" s="494"/>
    </row>
    <row r="548" spans="1:22" ht="18" customHeight="1">
      <c r="C548" s="6" t="s">
        <v>1679</v>
      </c>
      <c r="D548" s="15" t="s">
        <v>976</v>
      </c>
      <c r="E548" s="24">
        <v>2250</v>
      </c>
      <c r="F548" s="44">
        <v>18</v>
      </c>
      <c r="G548" s="24" t="s">
        <v>1680</v>
      </c>
      <c r="H548" s="151">
        <v>30</v>
      </c>
      <c r="I548" s="152">
        <v>5</v>
      </c>
      <c r="J548" s="67">
        <f>H548*I548</f>
        <v>150</v>
      </c>
      <c r="K548" s="46">
        <v>0.46</v>
      </c>
      <c r="L548" s="39">
        <v>44361</v>
      </c>
      <c r="M548" s="39"/>
      <c r="N548" s="213">
        <v>44361</v>
      </c>
      <c r="O548" s="38">
        <v>3232</v>
      </c>
      <c r="P548" s="25">
        <f>K548*0.88</f>
        <v>0.40479999999999999</v>
      </c>
      <c r="Q548" s="483">
        <v>0.4</v>
      </c>
      <c r="S548" s="489">
        <v>24.5</v>
      </c>
      <c r="T548" s="113">
        <f>S548*J548</f>
        <v>3675</v>
      </c>
      <c r="U548" s="507"/>
      <c r="V548" s="494"/>
    </row>
    <row r="549" spans="1:22" s="7" customFormat="1" ht="15.95" customHeight="1">
      <c r="A549" s="1"/>
      <c r="B549" s="12"/>
      <c r="C549" s="6" t="s">
        <v>1679</v>
      </c>
      <c r="D549" s="15" t="s">
        <v>976</v>
      </c>
      <c r="E549" s="24"/>
      <c r="F549" s="138"/>
      <c r="G549" s="24" t="s">
        <v>31</v>
      </c>
      <c r="H549" s="8"/>
      <c r="I549" s="41"/>
      <c r="J549" s="45">
        <v>1</v>
      </c>
      <c r="K549" s="46">
        <v>12</v>
      </c>
      <c r="L549" s="39">
        <v>44361</v>
      </c>
      <c r="M549" s="39"/>
      <c r="N549" s="213">
        <v>44361</v>
      </c>
      <c r="O549" s="38">
        <v>3232</v>
      </c>
      <c r="P549" s="6"/>
      <c r="Q549" s="483">
        <v>12</v>
      </c>
      <c r="S549" s="532">
        <v>0</v>
      </c>
      <c r="T549" s="113">
        <f>S549*J549</f>
        <v>0</v>
      </c>
      <c r="U549" s="501"/>
      <c r="V549" s="494"/>
    </row>
    <row r="550" spans="1:22" s="314" customFormat="1" ht="15" customHeight="1">
      <c r="A550" s="1"/>
      <c r="B550" s="313"/>
      <c r="C550" s="302" t="s">
        <v>1679</v>
      </c>
      <c r="D550" s="303" t="s">
        <v>976</v>
      </c>
      <c r="E550" s="304"/>
      <c r="F550" s="305"/>
      <c r="G550" s="305" t="s">
        <v>1227</v>
      </c>
      <c r="H550" s="307" t="s">
        <v>1243</v>
      </c>
      <c r="I550" s="308"/>
      <c r="J550" s="306"/>
      <c r="K550" s="315">
        <v>25</v>
      </c>
      <c r="L550" s="310">
        <v>44361</v>
      </c>
      <c r="M550" s="310"/>
      <c r="N550" s="311">
        <v>44361</v>
      </c>
      <c r="O550" s="309">
        <v>3232</v>
      </c>
      <c r="P550" s="302"/>
      <c r="Q550" s="485">
        <v>25</v>
      </c>
      <c r="S550" s="537">
        <v>2109</v>
      </c>
      <c r="T550" s="348">
        <v>2109</v>
      </c>
      <c r="U550" s="515"/>
      <c r="V550" s="549"/>
    </row>
    <row r="551" spans="1:22" s="7" customFormat="1" ht="18" customHeight="1">
      <c r="A551" s="1"/>
      <c r="B551" s="12"/>
      <c r="C551" s="6" t="s">
        <v>1681</v>
      </c>
      <c r="D551" s="15" t="s">
        <v>1214</v>
      </c>
      <c r="E551" s="20" t="s">
        <v>1003</v>
      </c>
      <c r="F551" s="24"/>
      <c r="G551" s="44"/>
      <c r="H551" s="151"/>
      <c r="I551" s="151"/>
      <c r="J551" s="151"/>
      <c r="K551" s="153" t="s">
        <v>10</v>
      </c>
      <c r="L551" s="39">
        <v>44364</v>
      </c>
      <c r="M551" s="39"/>
      <c r="N551" s="213">
        <v>44364</v>
      </c>
      <c r="O551" s="38">
        <v>3242</v>
      </c>
      <c r="P551" s="6"/>
      <c r="Q551" s="411"/>
      <c r="S551" s="489"/>
      <c r="T551" s="113"/>
      <c r="U551" s="501"/>
      <c r="V551" s="494"/>
    </row>
    <row r="552" spans="1:22" s="7" customFormat="1" ht="15.95" customHeight="1">
      <c r="A552" s="1"/>
      <c r="B552" s="12"/>
      <c r="C552" s="6" t="s">
        <v>1681</v>
      </c>
      <c r="D552" s="15" t="s">
        <v>1214</v>
      </c>
      <c r="E552" s="24" t="s">
        <v>1426</v>
      </c>
      <c r="F552" s="44"/>
      <c r="G552" s="44" t="s">
        <v>78</v>
      </c>
      <c r="H552" s="8">
        <v>14</v>
      </c>
      <c r="I552" s="41">
        <v>2</v>
      </c>
      <c r="J552" s="67">
        <f>H552*I552</f>
        <v>28</v>
      </c>
      <c r="K552" s="46">
        <v>1.54</v>
      </c>
      <c r="L552" s="39">
        <v>44364</v>
      </c>
      <c r="M552" s="39"/>
      <c r="N552" s="213">
        <v>44364</v>
      </c>
      <c r="O552" s="38">
        <v>3242</v>
      </c>
      <c r="P552" s="25">
        <f>K552*0.88</f>
        <v>1.3552</v>
      </c>
      <c r="Q552" s="483">
        <v>1.36</v>
      </c>
      <c r="S552" s="489">
        <v>55</v>
      </c>
      <c r="T552" s="567">
        <f>S552*J552</f>
        <v>1540</v>
      </c>
      <c r="U552" s="517" t="s">
        <v>1432</v>
      </c>
      <c r="V552" s="494"/>
    </row>
    <row r="553" spans="1:22" s="7" customFormat="1" ht="15">
      <c r="A553" s="1"/>
      <c r="B553" s="12"/>
      <c r="C553" s="6" t="s">
        <v>1681</v>
      </c>
      <c r="D553" s="15" t="s">
        <v>1214</v>
      </c>
      <c r="E553" s="24"/>
      <c r="F553" s="138"/>
      <c r="G553" s="24" t="s">
        <v>481</v>
      </c>
      <c r="H553" s="8"/>
      <c r="I553" s="41"/>
      <c r="J553" s="45">
        <v>1</v>
      </c>
      <c r="K553" s="46">
        <v>12</v>
      </c>
      <c r="L553" s="39">
        <v>44364</v>
      </c>
      <c r="M553" s="39"/>
      <c r="N553" s="213">
        <v>44364</v>
      </c>
      <c r="O553" s="38">
        <v>3242</v>
      </c>
      <c r="P553" s="6"/>
      <c r="Q553" s="483">
        <v>12</v>
      </c>
      <c r="S553" s="489">
        <v>900</v>
      </c>
      <c r="T553" s="567">
        <f>S553*J553</f>
        <v>900</v>
      </c>
      <c r="U553" s="501"/>
      <c r="V553" s="494"/>
    </row>
    <row r="554" spans="1:22" s="314" customFormat="1" ht="15">
      <c r="A554" s="1"/>
      <c r="B554" s="313"/>
      <c r="C554" s="302" t="s">
        <v>1681</v>
      </c>
      <c r="D554" s="303" t="s">
        <v>1214</v>
      </c>
      <c r="E554" s="304"/>
      <c r="F554" s="305"/>
      <c r="G554" s="305" t="s">
        <v>1227</v>
      </c>
      <c r="H554" s="307" t="s">
        <v>1228</v>
      </c>
      <c r="I554" s="308"/>
      <c r="J554" s="306"/>
      <c r="K554" s="315">
        <v>0</v>
      </c>
      <c r="L554" s="310">
        <v>44364</v>
      </c>
      <c r="M554" s="310"/>
      <c r="N554" s="311">
        <v>44364</v>
      </c>
      <c r="O554" s="309">
        <v>3242</v>
      </c>
      <c r="P554" s="302"/>
      <c r="Q554" s="485">
        <v>0</v>
      </c>
      <c r="S554" s="536">
        <v>0</v>
      </c>
      <c r="T554" s="322">
        <v>0</v>
      </c>
      <c r="U554" s="515"/>
      <c r="V554" s="549"/>
    </row>
    <row r="555" spans="1:22" s="7" customFormat="1" ht="18" customHeight="1">
      <c r="A555" s="1"/>
      <c r="B555" s="12"/>
      <c r="C555" s="6" t="s">
        <v>1682</v>
      </c>
      <c r="D555" s="15" t="s">
        <v>1683</v>
      </c>
      <c r="E555" s="20" t="s">
        <v>1003</v>
      </c>
      <c r="F555" s="24"/>
      <c r="G555" s="44"/>
      <c r="H555" s="151"/>
      <c r="I555" s="151"/>
      <c r="J555" s="151"/>
      <c r="K555" s="153" t="s">
        <v>10</v>
      </c>
      <c r="L555" s="39">
        <v>44370</v>
      </c>
      <c r="M555" s="39"/>
      <c r="N555" s="213">
        <v>44370</v>
      </c>
      <c r="O555" s="38">
        <v>3262</v>
      </c>
      <c r="P555" s="6"/>
      <c r="Q555" s="411"/>
      <c r="S555" s="489"/>
      <c r="T555" s="113"/>
      <c r="U555" s="501"/>
      <c r="V555" s="494"/>
    </row>
    <row r="556" spans="1:22" s="7" customFormat="1" ht="15.95" customHeight="1">
      <c r="A556" s="1"/>
      <c r="B556" s="12"/>
      <c r="C556" s="6" t="s">
        <v>1682</v>
      </c>
      <c r="D556" s="15" t="s">
        <v>1683</v>
      </c>
      <c r="E556" s="24" t="s">
        <v>1717</v>
      </c>
      <c r="F556" s="44"/>
      <c r="G556" s="44" t="s">
        <v>78</v>
      </c>
      <c r="H556" s="8">
        <v>14</v>
      </c>
      <c r="I556" s="41">
        <v>4</v>
      </c>
      <c r="J556" s="67">
        <f>H556*I556</f>
        <v>56</v>
      </c>
      <c r="K556" s="46">
        <v>1.04</v>
      </c>
      <c r="L556" s="39">
        <v>44370</v>
      </c>
      <c r="M556" s="39"/>
      <c r="N556" s="213">
        <v>44370</v>
      </c>
      <c r="O556" s="38">
        <v>3262</v>
      </c>
      <c r="P556" s="25">
        <f>K556*0.88</f>
        <v>0.91520000000000001</v>
      </c>
      <c r="Q556" s="483">
        <v>0.92</v>
      </c>
      <c r="S556" s="489">
        <v>56</v>
      </c>
      <c r="T556" s="567">
        <f>S556*J556</f>
        <v>3136</v>
      </c>
      <c r="U556" s="517"/>
      <c r="V556" s="494"/>
    </row>
    <row r="557" spans="1:22" s="7" customFormat="1" ht="15.95" customHeight="1">
      <c r="A557" s="1"/>
      <c r="B557" s="12"/>
      <c r="C557" s="6" t="s">
        <v>1682</v>
      </c>
      <c r="D557" s="15" t="s">
        <v>1683</v>
      </c>
      <c r="E557" s="24" t="s">
        <v>1215</v>
      </c>
      <c r="F557" s="44"/>
      <c r="G557" s="44" t="s">
        <v>78</v>
      </c>
      <c r="H557" s="8">
        <v>14</v>
      </c>
      <c r="I557" s="41">
        <v>4</v>
      </c>
      <c r="J557" s="67">
        <f>H557*I557</f>
        <v>56</v>
      </c>
      <c r="K557" s="46">
        <v>2.21</v>
      </c>
      <c r="L557" s="39">
        <v>44370</v>
      </c>
      <c r="M557" s="39"/>
      <c r="N557" s="213">
        <v>44370</v>
      </c>
      <c r="O557" s="38">
        <v>3262</v>
      </c>
      <c r="P557" s="25">
        <f>K557*0.88</f>
        <v>1.9448000000000001</v>
      </c>
      <c r="Q557" s="483">
        <v>1.94</v>
      </c>
      <c r="S557" s="489">
        <v>119</v>
      </c>
      <c r="T557" s="567">
        <f>S557*J557</f>
        <v>6664</v>
      </c>
      <c r="U557" s="517"/>
      <c r="V557" s="494"/>
    </row>
    <row r="558" spans="1:22" s="7" customFormat="1" ht="15.95" customHeight="1">
      <c r="A558" s="1"/>
      <c r="B558" s="12"/>
      <c r="C558" s="6" t="s">
        <v>1682</v>
      </c>
      <c r="D558" s="15" t="s">
        <v>1683</v>
      </c>
      <c r="E558" s="24" t="s">
        <v>1685</v>
      </c>
      <c r="F558" s="44"/>
      <c r="G558" s="44" t="s">
        <v>78</v>
      </c>
      <c r="H558" s="8">
        <v>20</v>
      </c>
      <c r="I558" s="41">
        <v>1</v>
      </c>
      <c r="J558" s="67">
        <f>H558*I558</f>
        <v>20</v>
      </c>
      <c r="K558" s="46">
        <v>2.97</v>
      </c>
      <c r="L558" s="39">
        <v>44370</v>
      </c>
      <c r="M558" s="39"/>
      <c r="N558" s="213">
        <v>44370</v>
      </c>
      <c r="O558" s="38">
        <v>3262</v>
      </c>
      <c r="P558" s="25">
        <f>K558*0.88</f>
        <v>2.6136000000000004</v>
      </c>
      <c r="Q558" s="483">
        <v>2.61</v>
      </c>
      <c r="S558" s="489">
        <v>160</v>
      </c>
      <c r="T558" s="567">
        <f>S558*J558</f>
        <v>3200</v>
      </c>
      <c r="U558" s="517"/>
      <c r="V558" s="494"/>
    </row>
    <row r="559" spans="1:22" s="7" customFormat="1" ht="15">
      <c r="A559" s="1"/>
      <c r="B559" s="12"/>
      <c r="C559" s="6" t="s">
        <v>1682</v>
      </c>
      <c r="D559" s="15" t="s">
        <v>1683</v>
      </c>
      <c r="E559" s="24"/>
      <c r="F559" s="138"/>
      <c r="G559" s="24" t="s">
        <v>481</v>
      </c>
      <c r="H559" s="8"/>
      <c r="I559" s="41"/>
      <c r="J559" s="45">
        <v>1</v>
      </c>
      <c r="K559" s="46">
        <v>20</v>
      </c>
      <c r="L559" s="39">
        <v>44370</v>
      </c>
      <c r="M559" s="39"/>
      <c r="N559" s="213">
        <v>44370</v>
      </c>
      <c r="O559" s="38">
        <v>3262</v>
      </c>
      <c r="P559" s="6"/>
      <c r="Q559" s="483">
        <v>20</v>
      </c>
      <c r="S559" s="489">
        <f>900+900</f>
        <v>1800</v>
      </c>
      <c r="T559" s="567">
        <f>S559*J559</f>
        <v>1800</v>
      </c>
      <c r="U559" s="501"/>
      <c r="V559" s="494"/>
    </row>
    <row r="560" spans="1:22" s="314" customFormat="1" ht="15">
      <c r="A560" s="1"/>
      <c r="B560" s="313"/>
      <c r="C560" s="302" t="s">
        <v>1682</v>
      </c>
      <c r="D560" s="303" t="s">
        <v>1683</v>
      </c>
      <c r="E560" s="304"/>
      <c r="F560" s="305"/>
      <c r="G560" s="305" t="s">
        <v>1227</v>
      </c>
      <c r="H560" s="307" t="s">
        <v>1228</v>
      </c>
      <c r="I560" s="308"/>
      <c r="J560" s="306"/>
      <c r="K560" s="315">
        <v>0</v>
      </c>
      <c r="L560" s="310">
        <v>44370</v>
      </c>
      <c r="M560" s="310"/>
      <c r="N560" s="311">
        <v>44370</v>
      </c>
      <c r="O560" s="309">
        <v>3262</v>
      </c>
      <c r="P560" s="302"/>
      <c r="Q560" s="485">
        <v>0</v>
      </c>
      <c r="S560" s="536">
        <v>0</v>
      </c>
      <c r="T560" s="322">
        <v>0</v>
      </c>
      <c r="U560" s="515"/>
      <c r="V560" s="549"/>
    </row>
    <row r="561" spans="1:22" s="7" customFormat="1" ht="15" customHeight="1">
      <c r="A561" s="1"/>
      <c r="B561" s="12"/>
      <c r="C561" s="6" t="s">
        <v>1708</v>
      </c>
      <c r="D561" s="15" t="s">
        <v>1709</v>
      </c>
      <c r="E561" s="20" t="s">
        <v>1707</v>
      </c>
      <c r="F561" s="26"/>
      <c r="G561" s="24"/>
      <c r="H561" s="67"/>
      <c r="I561" s="68"/>
      <c r="J561" s="67"/>
      <c r="K561" s="17" t="s">
        <v>134</v>
      </c>
      <c r="L561" s="39">
        <v>44369</v>
      </c>
      <c r="M561" s="39"/>
      <c r="N561" s="213">
        <v>44369</v>
      </c>
      <c r="O561" s="38">
        <v>3256</v>
      </c>
      <c r="P561" s="6"/>
      <c r="Q561" s="481"/>
      <c r="S561" s="489"/>
      <c r="T561" s="113"/>
      <c r="U561" s="500"/>
      <c r="V561" s="494"/>
    </row>
    <row r="562" spans="1:22" s="7" customFormat="1" ht="15" customHeight="1">
      <c r="A562" s="1"/>
      <c r="B562" s="12"/>
      <c r="C562" s="6" t="s">
        <v>1708</v>
      </c>
      <c r="D562" s="15" t="s">
        <v>1709</v>
      </c>
      <c r="E562" s="24" t="s">
        <v>1686</v>
      </c>
      <c r="F562" s="26">
        <v>10</v>
      </c>
      <c r="G562" s="24" t="s">
        <v>1661</v>
      </c>
      <c r="H562" s="151">
        <v>100</v>
      </c>
      <c r="I562" s="152">
        <v>1</v>
      </c>
      <c r="J562" s="67">
        <f>H562*I562</f>
        <v>100</v>
      </c>
      <c r="K562" s="25">
        <v>0.36</v>
      </c>
      <c r="L562" s="39">
        <v>44369</v>
      </c>
      <c r="M562" s="39"/>
      <c r="N562" s="213">
        <v>44369</v>
      </c>
      <c r="O562" s="38">
        <v>3256</v>
      </c>
      <c r="P562" s="25">
        <f>K562*0.88</f>
        <v>0.31679999999999997</v>
      </c>
      <c r="Q562" s="482">
        <v>0.32</v>
      </c>
      <c r="S562" s="489">
        <v>19</v>
      </c>
      <c r="T562" s="567">
        <f>S562*J562</f>
        <v>1900</v>
      </c>
      <c r="U562" s="500"/>
      <c r="V562" s="494"/>
    </row>
    <row r="563" spans="1:22" s="7" customFormat="1" ht="15">
      <c r="A563" s="1"/>
      <c r="B563" s="12"/>
      <c r="C563" s="6" t="s">
        <v>1708</v>
      </c>
      <c r="D563" s="15" t="s">
        <v>1709</v>
      </c>
      <c r="E563" s="24"/>
      <c r="F563" s="138"/>
      <c r="G563" s="24" t="s">
        <v>481</v>
      </c>
      <c r="H563" s="8"/>
      <c r="I563" s="41"/>
      <c r="J563" s="45">
        <v>1</v>
      </c>
      <c r="K563" s="46">
        <v>12</v>
      </c>
      <c r="L563" s="39">
        <v>44369</v>
      </c>
      <c r="M563" s="39"/>
      <c r="N563" s="213">
        <v>44369</v>
      </c>
      <c r="O563" s="38">
        <v>3256</v>
      </c>
      <c r="P563" s="6"/>
      <c r="Q563" s="483">
        <v>12</v>
      </c>
      <c r="S563" s="489">
        <v>1000</v>
      </c>
      <c r="T563" s="567">
        <v>1000</v>
      </c>
      <c r="U563" s="501"/>
      <c r="V563" s="494"/>
    </row>
    <row r="564" spans="1:22" s="314" customFormat="1" ht="15">
      <c r="A564" s="1"/>
      <c r="B564" s="313"/>
      <c r="C564" s="302" t="s">
        <v>1708</v>
      </c>
      <c r="D564" s="303" t="s">
        <v>1709</v>
      </c>
      <c r="E564" s="304"/>
      <c r="F564" s="305"/>
      <c r="G564" s="305" t="s">
        <v>1227</v>
      </c>
      <c r="H564" s="307" t="s">
        <v>1228</v>
      </c>
      <c r="I564" s="308"/>
      <c r="J564" s="306"/>
      <c r="K564" s="315">
        <v>0</v>
      </c>
      <c r="L564" s="310">
        <v>44369</v>
      </c>
      <c r="M564" s="310"/>
      <c r="N564" s="311">
        <v>44369</v>
      </c>
      <c r="O564" s="309">
        <v>3256</v>
      </c>
      <c r="P564" s="302"/>
      <c r="Q564" s="531">
        <v>0</v>
      </c>
      <c r="S564" s="489">
        <v>0</v>
      </c>
      <c r="T564" s="567">
        <v>0</v>
      </c>
      <c r="U564" s="515"/>
      <c r="V564" s="549"/>
    </row>
    <row r="565" spans="1:22" s="7" customFormat="1" ht="15">
      <c r="A565" s="1"/>
      <c r="B565" s="12"/>
      <c r="C565" s="6" t="s">
        <v>1739</v>
      </c>
      <c r="D565" s="15" t="s">
        <v>983</v>
      </c>
      <c r="E565" s="20" t="s">
        <v>344</v>
      </c>
      <c r="F565" s="26"/>
      <c r="G565" s="24"/>
      <c r="H565" s="67"/>
      <c r="I565" s="68"/>
      <c r="J565" s="67"/>
      <c r="K565" s="17" t="s">
        <v>134</v>
      </c>
      <c r="L565" s="39">
        <v>44376</v>
      </c>
      <c r="M565" s="39"/>
      <c r="N565" s="213">
        <v>44376</v>
      </c>
      <c r="O565" s="38">
        <v>3282</v>
      </c>
      <c r="P565" s="6" t="s">
        <v>23</v>
      </c>
      <c r="Q565" s="481"/>
      <c r="S565" s="489"/>
      <c r="T565" s="113"/>
      <c r="U565" s="500"/>
      <c r="V565" s="494"/>
    </row>
    <row r="566" spans="1:22" s="7" customFormat="1" ht="15">
      <c r="A566" s="1"/>
      <c r="B566" s="12"/>
      <c r="C566" s="6" t="s">
        <v>1739</v>
      </c>
      <c r="D566" s="15" t="s">
        <v>983</v>
      </c>
      <c r="E566" s="24">
        <v>14552</v>
      </c>
      <c r="F566" s="26">
        <v>10</v>
      </c>
      <c r="G566" s="24" t="s">
        <v>431</v>
      </c>
      <c r="H566" s="151">
        <v>30</v>
      </c>
      <c r="I566" s="152">
        <v>4</v>
      </c>
      <c r="J566" s="67">
        <f>H566*I566</f>
        <v>120</v>
      </c>
      <c r="K566" s="25">
        <v>0.57999999999999996</v>
      </c>
      <c r="L566" s="39">
        <v>44376</v>
      </c>
      <c r="M566" s="39"/>
      <c r="N566" s="213">
        <v>44376</v>
      </c>
      <c r="O566" s="38">
        <v>3282</v>
      </c>
      <c r="P566" s="25">
        <f>K566*0.88</f>
        <v>0.51039999999999996</v>
      </c>
      <c r="Q566" s="482">
        <v>0.51</v>
      </c>
      <c r="S566" s="489">
        <v>31</v>
      </c>
      <c r="T566" s="567">
        <f>S566*J566</f>
        <v>3720</v>
      </c>
      <c r="U566" s="500"/>
      <c r="V566" s="494"/>
    </row>
    <row r="567" spans="1:22" s="7" customFormat="1" ht="15" customHeight="1">
      <c r="A567" s="1"/>
      <c r="B567" s="12"/>
      <c r="C567" s="6" t="s">
        <v>1739</v>
      </c>
      <c r="D567" s="15" t="s">
        <v>983</v>
      </c>
      <c r="E567" s="24">
        <v>14552</v>
      </c>
      <c r="F567" s="26">
        <v>10</v>
      </c>
      <c r="G567" s="24" t="s">
        <v>1467</v>
      </c>
      <c r="H567" s="151">
        <v>30</v>
      </c>
      <c r="I567" s="152">
        <v>4</v>
      </c>
      <c r="J567" s="67">
        <f>H567*I567</f>
        <v>120</v>
      </c>
      <c r="K567" s="25">
        <v>0.57999999999999996</v>
      </c>
      <c r="L567" s="39">
        <v>44376</v>
      </c>
      <c r="M567" s="39"/>
      <c r="N567" s="213">
        <v>44376</v>
      </c>
      <c r="O567" s="38">
        <v>3282</v>
      </c>
      <c r="P567" s="25">
        <f>K567*0.88</f>
        <v>0.51039999999999996</v>
      </c>
      <c r="Q567" s="482">
        <v>0.51</v>
      </c>
      <c r="S567" s="489">
        <v>31</v>
      </c>
      <c r="T567" s="567">
        <f>S567*J567</f>
        <v>3720</v>
      </c>
      <c r="U567" s="500"/>
      <c r="V567" s="494"/>
    </row>
    <row r="568" spans="1:22" s="7" customFormat="1" ht="15">
      <c r="A568" s="1"/>
      <c r="B568" s="12"/>
      <c r="C568" s="6" t="s">
        <v>1739</v>
      </c>
      <c r="D568" s="15" t="s">
        <v>983</v>
      </c>
      <c r="E568" s="24">
        <v>14552</v>
      </c>
      <c r="F568" s="26">
        <v>10</v>
      </c>
      <c r="G568" s="24" t="s">
        <v>1740</v>
      </c>
      <c r="H568" s="151">
        <v>30</v>
      </c>
      <c r="I568" s="152">
        <v>4</v>
      </c>
      <c r="J568" s="67">
        <f>H568*I568</f>
        <v>120</v>
      </c>
      <c r="K568" s="25">
        <v>0.57999999999999996</v>
      </c>
      <c r="L568" s="39">
        <v>44376</v>
      </c>
      <c r="M568" s="39"/>
      <c r="N568" s="213">
        <v>44376</v>
      </c>
      <c r="O568" s="38">
        <v>3282</v>
      </c>
      <c r="P568" s="25">
        <f>K568*0.88</f>
        <v>0.51039999999999996</v>
      </c>
      <c r="Q568" s="482">
        <v>0.51</v>
      </c>
      <c r="S568" s="489">
        <v>31</v>
      </c>
      <c r="T568" s="567">
        <f>S568*J568</f>
        <v>3720</v>
      </c>
      <c r="U568" s="500"/>
      <c r="V568" s="494"/>
    </row>
    <row r="569" spans="1:22" s="7" customFormat="1" ht="15">
      <c r="A569" s="1"/>
      <c r="B569" s="12"/>
      <c r="C569" s="6" t="s">
        <v>1739</v>
      </c>
      <c r="D569" s="15" t="s">
        <v>983</v>
      </c>
      <c r="E569" s="24"/>
      <c r="F569" s="138"/>
      <c r="G569" s="24" t="s">
        <v>481</v>
      </c>
      <c r="H569" s="8"/>
      <c r="I569" s="41"/>
      <c r="J569" s="45">
        <v>1</v>
      </c>
      <c r="K569" s="46">
        <v>12</v>
      </c>
      <c r="L569" s="39">
        <v>44376</v>
      </c>
      <c r="M569" s="39"/>
      <c r="N569" s="213">
        <v>44376</v>
      </c>
      <c r="O569" s="38">
        <v>3282</v>
      </c>
      <c r="P569" s="6"/>
      <c r="Q569" s="483">
        <v>12</v>
      </c>
      <c r="S569" s="489">
        <v>1000</v>
      </c>
      <c r="T569" s="567">
        <f>S569*J569</f>
        <v>1000</v>
      </c>
      <c r="U569" s="501"/>
      <c r="V569" s="494"/>
    </row>
    <row r="570" spans="1:22" s="314" customFormat="1" ht="15">
      <c r="A570" s="1"/>
      <c r="B570" s="313"/>
      <c r="C570" s="302" t="s">
        <v>1739</v>
      </c>
      <c r="D570" s="303" t="s">
        <v>983</v>
      </c>
      <c r="E570" s="304"/>
      <c r="F570" s="305"/>
      <c r="G570" s="305" t="s">
        <v>1227</v>
      </c>
      <c r="H570" s="307" t="s">
        <v>1243</v>
      </c>
      <c r="I570" s="308"/>
      <c r="J570" s="306"/>
      <c r="K570" s="315">
        <v>29</v>
      </c>
      <c r="L570" s="310">
        <v>44376</v>
      </c>
      <c r="M570" s="310"/>
      <c r="N570" s="311">
        <v>44376</v>
      </c>
      <c r="O570" s="309">
        <v>3282</v>
      </c>
      <c r="P570" s="302"/>
      <c r="Q570" s="483">
        <v>29</v>
      </c>
      <c r="S570" s="489">
        <v>2532</v>
      </c>
      <c r="T570" s="113">
        <v>2532</v>
      </c>
      <c r="U570" s="515"/>
      <c r="V570" s="549"/>
    </row>
    <row r="571" spans="1:22" s="7" customFormat="1" ht="15">
      <c r="A571" s="1"/>
      <c r="B571" s="12"/>
      <c r="C571" s="6" t="s">
        <v>1741</v>
      </c>
      <c r="D571" s="15" t="s">
        <v>1056</v>
      </c>
      <c r="E571" s="20" t="s">
        <v>1742</v>
      </c>
      <c r="F571" s="26"/>
      <c r="G571" s="24"/>
      <c r="H571" s="45"/>
      <c r="I571" s="68"/>
      <c r="J571" s="67"/>
      <c r="K571" s="17" t="s">
        <v>10</v>
      </c>
      <c r="L571" s="39">
        <v>44378</v>
      </c>
      <c r="M571" s="39"/>
      <c r="N571" s="213">
        <v>44378</v>
      </c>
      <c r="O571" s="38">
        <v>3285</v>
      </c>
      <c r="P571" s="6"/>
      <c r="Q571" s="482"/>
      <c r="S571" s="489"/>
      <c r="T571" s="113"/>
      <c r="U571" s="500"/>
      <c r="V571" s="494"/>
    </row>
    <row r="572" spans="1:22" s="7" customFormat="1" ht="15" customHeight="1">
      <c r="A572" s="1"/>
      <c r="B572" s="12"/>
      <c r="C572" s="6" t="s">
        <v>1741</v>
      </c>
      <c r="D572" s="15" t="s">
        <v>1056</v>
      </c>
      <c r="E572" s="24">
        <v>5637</v>
      </c>
      <c r="F572" s="26" t="s">
        <v>502</v>
      </c>
      <c r="G572" s="24" t="s">
        <v>1743</v>
      </c>
      <c r="H572" s="151">
        <v>50</v>
      </c>
      <c r="I572" s="152">
        <v>1</v>
      </c>
      <c r="J572" s="67">
        <f>H572*I572</f>
        <v>50</v>
      </c>
      <c r="K572" s="46">
        <v>0.24</v>
      </c>
      <c r="L572" s="39">
        <v>44378</v>
      </c>
      <c r="M572" s="39"/>
      <c r="N572" s="213">
        <v>44378</v>
      </c>
      <c r="O572" s="38">
        <v>3285</v>
      </c>
      <c r="P572" s="25">
        <f>K572*0.88</f>
        <v>0.2112</v>
      </c>
      <c r="Q572" s="482">
        <v>0.21</v>
      </c>
      <c r="S572" s="489">
        <v>10.4</v>
      </c>
      <c r="T572" s="567">
        <f>S572*J572</f>
        <v>520</v>
      </c>
      <c r="U572" s="516" t="s">
        <v>1744</v>
      </c>
      <c r="V572" s="494"/>
    </row>
    <row r="573" spans="1:22" ht="15.95" customHeight="1">
      <c r="C573" s="6" t="s">
        <v>1741</v>
      </c>
      <c r="D573" s="15" t="s">
        <v>1056</v>
      </c>
      <c r="E573" s="24"/>
      <c r="F573" s="138"/>
      <c r="G573" s="24" t="s">
        <v>481</v>
      </c>
      <c r="H573" s="8"/>
      <c r="I573" s="41"/>
      <c r="J573" s="45">
        <v>1</v>
      </c>
      <c r="K573" s="46">
        <v>12</v>
      </c>
      <c r="L573" s="39">
        <v>44378</v>
      </c>
      <c r="M573" s="39"/>
      <c r="N573" s="213">
        <v>44378</v>
      </c>
      <c r="O573" s="38">
        <v>3285</v>
      </c>
      <c r="P573" s="179"/>
      <c r="Q573" s="483">
        <v>12</v>
      </c>
      <c r="S573" s="489">
        <v>1100</v>
      </c>
      <c r="T573" s="567">
        <f>S573*J573</f>
        <v>1100</v>
      </c>
      <c r="U573" s="511"/>
    </row>
    <row r="574" spans="1:22" s="314" customFormat="1" ht="15">
      <c r="A574" s="1"/>
      <c r="B574" s="313"/>
      <c r="C574" s="302" t="s">
        <v>1741</v>
      </c>
      <c r="D574" s="303" t="s">
        <v>1056</v>
      </c>
      <c r="E574" s="304"/>
      <c r="F574" s="305"/>
      <c r="G574" s="305" t="s">
        <v>1227</v>
      </c>
      <c r="H574" s="307" t="s">
        <v>1228</v>
      </c>
      <c r="I574" s="308"/>
      <c r="J574" s="306"/>
      <c r="K574" s="315">
        <v>0</v>
      </c>
      <c r="L574" s="310">
        <v>44378</v>
      </c>
      <c r="M574" s="310"/>
      <c r="N574" s="311">
        <v>44378</v>
      </c>
      <c r="O574" s="309">
        <v>3285</v>
      </c>
      <c r="P574" s="302"/>
      <c r="Q574" s="485">
        <v>0</v>
      </c>
      <c r="S574" s="535">
        <v>0</v>
      </c>
      <c r="T574" s="322">
        <v>0</v>
      </c>
      <c r="U574" s="515"/>
      <c r="V574" s="549"/>
    </row>
    <row r="575" spans="1:22" s="7" customFormat="1" ht="18" customHeight="1">
      <c r="A575" s="1"/>
      <c r="B575" s="12"/>
      <c r="C575" s="6" t="s">
        <v>1745</v>
      </c>
      <c r="D575" s="15" t="s">
        <v>1214</v>
      </c>
      <c r="E575" s="20" t="s">
        <v>1003</v>
      </c>
      <c r="F575" s="24"/>
      <c r="G575" s="44"/>
      <c r="H575" s="151"/>
      <c r="I575" s="151"/>
      <c r="J575" s="151"/>
      <c r="K575" s="153" t="s">
        <v>10</v>
      </c>
      <c r="L575" s="39">
        <v>44379</v>
      </c>
      <c r="M575" s="39"/>
      <c r="N575" s="213">
        <v>44379</v>
      </c>
      <c r="O575" s="38">
        <v>3284</v>
      </c>
      <c r="P575" s="6"/>
      <c r="Q575" s="411"/>
      <c r="S575" s="489"/>
      <c r="T575" s="113"/>
      <c r="U575" s="501"/>
      <c r="V575" s="494"/>
    </row>
    <row r="576" spans="1:22" s="7" customFormat="1" ht="15.95" customHeight="1">
      <c r="A576" s="1"/>
      <c r="B576" s="12"/>
      <c r="C576" s="6" t="s">
        <v>1745</v>
      </c>
      <c r="D576" s="15" t="s">
        <v>1214</v>
      </c>
      <c r="E576" s="24" t="s">
        <v>1426</v>
      </c>
      <c r="F576" s="44"/>
      <c r="G576" s="44" t="s">
        <v>78</v>
      </c>
      <c r="H576" s="8">
        <v>14</v>
      </c>
      <c r="I576" s="41">
        <v>2</v>
      </c>
      <c r="J576" s="67">
        <f>H576*I576</f>
        <v>28</v>
      </c>
      <c r="K576" s="46">
        <v>1.54</v>
      </c>
      <c r="L576" s="39">
        <v>44379</v>
      </c>
      <c r="M576" s="39"/>
      <c r="N576" s="213">
        <v>44379</v>
      </c>
      <c r="O576" s="38">
        <v>3284</v>
      </c>
      <c r="P576" s="25">
        <f>K576*0.88</f>
        <v>1.3552</v>
      </c>
      <c r="Q576" s="483">
        <v>1.36</v>
      </c>
      <c r="S576" s="489">
        <v>55</v>
      </c>
      <c r="T576" s="567">
        <f>S576*J576</f>
        <v>1540</v>
      </c>
      <c r="U576" s="517" t="s">
        <v>1432</v>
      </c>
      <c r="V576" s="494"/>
    </row>
    <row r="577" spans="1:22" s="7" customFormat="1" ht="15">
      <c r="A577" s="1"/>
      <c r="B577" s="12"/>
      <c r="C577" s="6" t="s">
        <v>1745</v>
      </c>
      <c r="D577" s="15" t="s">
        <v>1214</v>
      </c>
      <c r="E577" s="24"/>
      <c r="F577" s="138"/>
      <c r="G577" s="24" t="s">
        <v>481</v>
      </c>
      <c r="H577" s="8"/>
      <c r="I577" s="41"/>
      <c r="J577" s="45">
        <v>1</v>
      </c>
      <c r="K577" s="46">
        <v>12</v>
      </c>
      <c r="L577" s="39">
        <v>44379</v>
      </c>
      <c r="M577" s="39"/>
      <c r="N577" s="213">
        <v>44379</v>
      </c>
      <c r="O577" s="38">
        <v>3284</v>
      </c>
      <c r="P577" s="6"/>
      <c r="Q577" s="483">
        <v>12</v>
      </c>
      <c r="S577" s="489">
        <v>900</v>
      </c>
      <c r="T577" s="567">
        <f>S577*J577</f>
        <v>900</v>
      </c>
      <c r="U577" s="501"/>
      <c r="V577" s="494"/>
    </row>
    <row r="578" spans="1:22" s="314" customFormat="1" ht="15">
      <c r="A578" s="1"/>
      <c r="B578" s="313"/>
      <c r="C578" s="302" t="s">
        <v>1745</v>
      </c>
      <c r="D578" s="303" t="s">
        <v>1214</v>
      </c>
      <c r="E578" s="304"/>
      <c r="F578" s="305"/>
      <c r="G578" s="305" t="s">
        <v>1227</v>
      </c>
      <c r="H578" s="307" t="s">
        <v>1228</v>
      </c>
      <c r="I578" s="308"/>
      <c r="J578" s="306"/>
      <c r="K578" s="315">
        <v>0</v>
      </c>
      <c r="L578" s="310">
        <v>44379</v>
      </c>
      <c r="M578" s="310"/>
      <c r="N578" s="311">
        <v>44379</v>
      </c>
      <c r="O578" s="309">
        <v>3284</v>
      </c>
      <c r="P578" s="302"/>
      <c r="Q578" s="485">
        <v>0</v>
      </c>
      <c r="S578" s="536">
        <v>0</v>
      </c>
      <c r="T578" s="322">
        <v>0</v>
      </c>
      <c r="U578" s="515"/>
      <c r="V578" s="549"/>
    </row>
    <row r="579" spans="1:22" s="7" customFormat="1" ht="15" customHeight="1">
      <c r="A579" s="1"/>
      <c r="B579" s="12"/>
      <c r="C579" s="6" t="s">
        <v>1746</v>
      </c>
      <c r="D579" s="15" t="s">
        <v>870</v>
      </c>
      <c r="E579" s="20" t="s">
        <v>79</v>
      </c>
      <c r="F579" s="150"/>
      <c r="G579" s="24"/>
      <c r="H579" s="151"/>
      <c r="I579" s="152"/>
      <c r="J579" s="151"/>
      <c r="K579" s="153" t="s">
        <v>10</v>
      </c>
      <c r="L579" s="39">
        <v>44392</v>
      </c>
      <c r="M579" s="39"/>
      <c r="N579" s="213">
        <v>44392</v>
      </c>
      <c r="O579" s="38">
        <v>3328</v>
      </c>
      <c r="P579" s="15"/>
      <c r="Q579" s="483"/>
      <c r="S579" s="489"/>
      <c r="T579" s="113"/>
      <c r="U579" s="506"/>
      <c r="V579" s="494"/>
    </row>
    <row r="580" spans="1:22" s="7" customFormat="1" ht="15" customHeight="1">
      <c r="A580" s="1"/>
      <c r="B580" s="12"/>
      <c r="C580" s="6" t="s">
        <v>1746</v>
      </c>
      <c r="D580" s="15" t="s">
        <v>870</v>
      </c>
      <c r="E580" s="24" t="s">
        <v>22</v>
      </c>
      <c r="F580" s="138">
        <v>132</v>
      </c>
      <c r="G580" s="24" t="s">
        <v>863</v>
      </c>
      <c r="H580" s="67">
        <v>50</v>
      </c>
      <c r="I580" s="68">
        <v>4</v>
      </c>
      <c r="J580" s="67">
        <f>H580*I580</f>
        <v>200</v>
      </c>
      <c r="K580" s="46">
        <v>4.45</v>
      </c>
      <c r="L580" s="39">
        <v>44392</v>
      </c>
      <c r="M580" s="39"/>
      <c r="N580" s="213">
        <v>44392</v>
      </c>
      <c r="O580" s="38">
        <v>3328</v>
      </c>
      <c r="P580" s="25">
        <f>K580*0.94</f>
        <v>4.1829999999999998</v>
      </c>
      <c r="Q580" s="483">
        <v>4.18</v>
      </c>
      <c r="S580" s="489">
        <v>320</v>
      </c>
      <c r="T580" s="567">
        <f>S580*J580</f>
        <v>64000</v>
      </c>
      <c r="U580" s="501"/>
      <c r="V580" s="494"/>
    </row>
    <row r="581" spans="1:22" s="7" customFormat="1" ht="15" customHeight="1">
      <c r="A581" s="1"/>
      <c r="B581" s="12"/>
      <c r="C581" s="6" t="s">
        <v>1746</v>
      </c>
      <c r="D581" s="15" t="s">
        <v>870</v>
      </c>
      <c r="E581" s="24"/>
      <c r="F581" s="26"/>
      <c r="G581" s="24" t="s">
        <v>31</v>
      </c>
      <c r="H581" s="45"/>
      <c r="I581" s="41"/>
      <c r="J581" s="45">
        <v>1</v>
      </c>
      <c r="K581" s="46">
        <v>20</v>
      </c>
      <c r="L581" s="39">
        <v>44392</v>
      </c>
      <c r="M581" s="39"/>
      <c r="N581" s="213">
        <v>44392</v>
      </c>
      <c r="O581" s="38">
        <v>3328</v>
      </c>
      <c r="P581" s="6"/>
      <c r="Q581" s="483">
        <v>20</v>
      </c>
      <c r="S581" s="489">
        <v>1800</v>
      </c>
      <c r="T581" s="113">
        <f>S581*J581</f>
        <v>1800</v>
      </c>
      <c r="U581" s="501"/>
      <c r="V581" s="494"/>
    </row>
    <row r="582" spans="1:22" s="314" customFormat="1" ht="15">
      <c r="A582" s="1"/>
      <c r="B582" s="313"/>
      <c r="C582" s="302" t="s">
        <v>1746</v>
      </c>
      <c r="D582" s="303" t="s">
        <v>870</v>
      </c>
      <c r="E582" s="304"/>
      <c r="F582" s="305"/>
      <c r="G582" s="305" t="s">
        <v>1227</v>
      </c>
      <c r="H582" s="307" t="s">
        <v>1228</v>
      </c>
      <c r="I582" s="308"/>
      <c r="J582" s="306"/>
      <c r="K582" s="315">
        <v>0</v>
      </c>
      <c r="L582" s="310">
        <v>44392</v>
      </c>
      <c r="M582" s="310"/>
      <c r="N582" s="311">
        <v>44392</v>
      </c>
      <c r="O582" s="309">
        <v>3328</v>
      </c>
      <c r="P582" s="302"/>
      <c r="Q582" s="485">
        <v>0</v>
      </c>
      <c r="S582" s="535">
        <v>0</v>
      </c>
      <c r="T582" s="322">
        <v>0</v>
      </c>
      <c r="U582" s="515"/>
      <c r="V582" s="549"/>
    </row>
    <row r="583" spans="1:22" s="7" customFormat="1" ht="15" customHeight="1">
      <c r="A583" s="1"/>
      <c r="B583" s="12"/>
      <c r="C583" s="6" t="s">
        <v>1748</v>
      </c>
      <c r="D583" s="15" t="s">
        <v>909</v>
      </c>
      <c r="E583" s="20" t="s">
        <v>628</v>
      </c>
      <c r="F583" s="44"/>
      <c r="G583" s="44"/>
      <c r="H583" s="151"/>
      <c r="I583" s="151"/>
      <c r="J583" s="151"/>
      <c r="K583" s="153" t="s">
        <v>10</v>
      </c>
      <c r="L583" s="39">
        <v>44389</v>
      </c>
      <c r="M583" s="39"/>
      <c r="N583" s="213">
        <v>44389</v>
      </c>
      <c r="O583" s="38">
        <v>3317</v>
      </c>
      <c r="P583" s="6"/>
      <c r="Q583" s="524"/>
      <c r="S583" s="489"/>
      <c r="T583" s="113"/>
      <c r="U583" s="501"/>
      <c r="V583" s="494"/>
    </row>
    <row r="584" spans="1:22" s="7" customFormat="1" ht="15" customHeight="1">
      <c r="A584" s="1"/>
      <c r="B584" s="12"/>
      <c r="C584" s="6" t="s">
        <v>1748</v>
      </c>
      <c r="D584" s="15" t="s">
        <v>909</v>
      </c>
      <c r="E584" s="24">
        <v>5603</v>
      </c>
      <c r="F584" s="44"/>
      <c r="G584" s="44" t="s">
        <v>1610</v>
      </c>
      <c r="H584" s="151">
        <v>50</v>
      </c>
      <c r="I584" s="152">
        <v>11</v>
      </c>
      <c r="J584" s="67">
        <f>H584*I584</f>
        <v>550</v>
      </c>
      <c r="K584" s="46">
        <v>0.3</v>
      </c>
      <c r="L584" s="39">
        <v>44389</v>
      </c>
      <c r="M584" s="39"/>
      <c r="N584" s="213">
        <v>44389</v>
      </c>
      <c r="O584" s="38">
        <v>3317</v>
      </c>
      <c r="P584" s="25">
        <f>K584*0.88</f>
        <v>0.26400000000000001</v>
      </c>
      <c r="Q584" s="483">
        <v>0.26</v>
      </c>
      <c r="S584" s="489">
        <v>16</v>
      </c>
      <c r="T584" s="567">
        <f>S584*J584</f>
        <v>8800</v>
      </c>
      <c r="U584" s="507"/>
      <c r="V584" s="494"/>
    </row>
    <row r="585" spans="1:22" s="7" customFormat="1" ht="15" customHeight="1">
      <c r="A585" s="1"/>
      <c r="B585" s="12"/>
      <c r="C585" s="6" t="s">
        <v>1748</v>
      </c>
      <c r="D585" s="15" t="s">
        <v>909</v>
      </c>
      <c r="E585" s="24">
        <v>5603</v>
      </c>
      <c r="F585" s="44"/>
      <c r="G585" s="44" t="s">
        <v>1749</v>
      </c>
      <c r="H585" s="151">
        <v>50</v>
      </c>
      <c r="I585" s="152">
        <v>11</v>
      </c>
      <c r="J585" s="67">
        <f>H585*I585</f>
        <v>550</v>
      </c>
      <c r="K585" s="46">
        <v>0.3</v>
      </c>
      <c r="L585" s="39">
        <v>44389</v>
      </c>
      <c r="M585" s="39"/>
      <c r="N585" s="213">
        <v>44389</v>
      </c>
      <c r="O585" s="38">
        <v>3317</v>
      </c>
      <c r="P585" s="25">
        <f>K585*0.88</f>
        <v>0.26400000000000001</v>
      </c>
      <c r="Q585" s="483">
        <v>0.26</v>
      </c>
      <c r="S585" s="489">
        <v>16</v>
      </c>
      <c r="T585" s="567">
        <f>S585*J585</f>
        <v>8800</v>
      </c>
      <c r="U585" s="507"/>
      <c r="V585" s="494"/>
    </row>
    <row r="586" spans="1:22" s="7" customFormat="1" ht="15">
      <c r="A586" s="1"/>
      <c r="B586" s="12"/>
      <c r="C586" s="6" t="s">
        <v>1748</v>
      </c>
      <c r="D586" s="15" t="s">
        <v>909</v>
      </c>
      <c r="E586" s="24"/>
      <c r="F586" s="138"/>
      <c r="G586" s="24" t="s">
        <v>481</v>
      </c>
      <c r="H586" s="8"/>
      <c r="I586" s="41"/>
      <c r="J586" s="45">
        <v>1</v>
      </c>
      <c r="K586" s="46">
        <v>12</v>
      </c>
      <c r="L586" s="39">
        <v>44389</v>
      </c>
      <c r="M586" s="39"/>
      <c r="N586" s="213">
        <v>44389</v>
      </c>
      <c r="O586" s="38">
        <v>3317</v>
      </c>
      <c r="P586" s="179"/>
      <c r="Q586" s="483">
        <v>12</v>
      </c>
      <c r="S586" s="489">
        <v>1100</v>
      </c>
      <c r="T586" s="567">
        <f>S586*J586</f>
        <v>1100</v>
      </c>
      <c r="U586" s="511"/>
      <c r="V586" s="494"/>
    </row>
    <row r="587" spans="1:22" s="314" customFormat="1" ht="15">
      <c r="A587" s="1"/>
      <c r="B587" s="313"/>
      <c r="C587" s="302" t="s">
        <v>1748</v>
      </c>
      <c r="D587" s="303" t="s">
        <v>909</v>
      </c>
      <c r="E587" s="304"/>
      <c r="F587" s="305"/>
      <c r="G587" s="305" t="s">
        <v>1227</v>
      </c>
      <c r="H587" s="307" t="s">
        <v>1228</v>
      </c>
      <c r="I587" s="308"/>
      <c r="J587" s="306"/>
      <c r="K587" s="315">
        <v>0</v>
      </c>
      <c r="L587" s="310">
        <v>44389</v>
      </c>
      <c r="M587" s="310"/>
      <c r="N587" s="311">
        <v>44389</v>
      </c>
      <c r="O587" s="309">
        <v>3317</v>
      </c>
      <c r="P587" s="302"/>
      <c r="Q587" s="485">
        <v>0</v>
      </c>
      <c r="S587" s="535">
        <v>0</v>
      </c>
      <c r="T587" s="322">
        <v>0</v>
      </c>
      <c r="U587" s="515"/>
      <c r="V587" s="549"/>
    </row>
    <row r="588" spans="1:22" s="7" customFormat="1" ht="15" customHeight="1">
      <c r="A588" s="1"/>
      <c r="B588" s="12"/>
      <c r="C588" s="6" t="s">
        <v>1750</v>
      </c>
      <c r="D588" s="15" t="s">
        <v>8</v>
      </c>
      <c r="E588" s="20" t="s">
        <v>628</v>
      </c>
      <c r="F588" s="26"/>
      <c r="G588" s="24"/>
      <c r="H588" s="67"/>
      <c r="I588" s="68"/>
      <c r="J588" s="67"/>
      <c r="K588" s="17" t="s">
        <v>134</v>
      </c>
      <c r="L588" s="39">
        <v>44386</v>
      </c>
      <c r="M588" s="39"/>
      <c r="N588" s="213">
        <v>44386</v>
      </c>
      <c r="O588" s="38">
        <v>3307</v>
      </c>
      <c r="P588" s="179" t="s">
        <v>23</v>
      </c>
      <c r="Q588" s="438" t="s">
        <v>959</v>
      </c>
      <c r="S588" s="489"/>
      <c r="T588" s="113"/>
      <c r="U588" s="510"/>
      <c r="V588" s="494"/>
    </row>
    <row r="589" spans="1:22" s="7" customFormat="1" ht="18" customHeight="1">
      <c r="A589" s="1"/>
      <c r="B589" s="12"/>
      <c r="C589" s="6" t="s">
        <v>1750</v>
      </c>
      <c r="D589" s="15" t="s">
        <v>8</v>
      </c>
      <c r="E589" s="24">
        <v>5291</v>
      </c>
      <c r="F589" s="26">
        <v>4</v>
      </c>
      <c r="G589" s="24" t="s">
        <v>1339</v>
      </c>
      <c r="H589" s="67">
        <v>50</v>
      </c>
      <c r="I589" s="68">
        <v>1</v>
      </c>
      <c r="J589" s="67">
        <f>H589*I589</f>
        <v>50</v>
      </c>
      <c r="K589" s="46">
        <v>0.13</v>
      </c>
      <c r="L589" s="39">
        <v>44386</v>
      </c>
      <c r="M589" s="39"/>
      <c r="N589" s="213">
        <v>44386</v>
      </c>
      <c r="O589" s="38">
        <v>3307</v>
      </c>
      <c r="P589" s="25">
        <f>K589*0.88</f>
        <v>0.1144</v>
      </c>
      <c r="Q589" s="180">
        <v>0.11</v>
      </c>
      <c r="S589" s="489">
        <v>6.4</v>
      </c>
      <c r="T589" s="113">
        <f>S589*J589</f>
        <v>320</v>
      </c>
      <c r="U589" s="511"/>
      <c r="V589" s="494"/>
    </row>
    <row r="590" spans="1:22" s="7" customFormat="1" ht="18" customHeight="1">
      <c r="A590" s="1"/>
      <c r="B590" s="12"/>
      <c r="C590" s="6" t="s">
        <v>1750</v>
      </c>
      <c r="D590" s="15" t="s">
        <v>8</v>
      </c>
      <c r="E590" s="24">
        <v>5291</v>
      </c>
      <c r="F590" s="26">
        <v>4</v>
      </c>
      <c r="G590" s="24" t="s">
        <v>1751</v>
      </c>
      <c r="H590" s="67">
        <v>50</v>
      </c>
      <c r="I590" s="68">
        <v>1</v>
      </c>
      <c r="J590" s="67">
        <f>H590*I590</f>
        <v>50</v>
      </c>
      <c r="K590" s="46">
        <v>0.13</v>
      </c>
      <c r="L590" s="39">
        <v>44386</v>
      </c>
      <c r="M590" s="39"/>
      <c r="N590" s="213">
        <v>44386</v>
      </c>
      <c r="O590" s="38">
        <v>3307</v>
      </c>
      <c r="P590" s="25">
        <f>K590*0.88</f>
        <v>0.1144</v>
      </c>
      <c r="Q590" s="180">
        <v>0.11</v>
      </c>
      <c r="S590" s="489">
        <v>6.4</v>
      </c>
      <c r="T590" s="113">
        <f>S590*J590</f>
        <v>320</v>
      </c>
      <c r="U590" s="511"/>
      <c r="V590" s="494"/>
    </row>
    <row r="591" spans="1:22" ht="15.95" customHeight="1">
      <c r="C591" s="6" t="s">
        <v>1750</v>
      </c>
      <c r="D591" s="15" t="s">
        <v>8</v>
      </c>
      <c r="E591" s="24"/>
      <c r="F591" s="138"/>
      <c r="G591" s="24" t="s">
        <v>481</v>
      </c>
      <c r="H591" s="8"/>
      <c r="I591" s="41"/>
      <c r="J591" s="45">
        <v>1</v>
      </c>
      <c r="K591" s="46">
        <v>12</v>
      </c>
      <c r="L591" s="39">
        <v>44386</v>
      </c>
      <c r="M591" s="39"/>
      <c r="N591" s="213">
        <v>44386</v>
      </c>
      <c r="O591" s="38">
        <v>3307</v>
      </c>
      <c r="P591" s="179"/>
      <c r="Q591" s="180">
        <v>12</v>
      </c>
      <c r="S591" s="498">
        <v>850</v>
      </c>
      <c r="T591" s="568">
        <f>S591*J591</f>
        <v>850</v>
      </c>
      <c r="U591" s="511"/>
    </row>
    <row r="592" spans="1:22" s="314" customFormat="1" ht="15" customHeight="1">
      <c r="A592" s="1"/>
      <c r="B592" s="313"/>
      <c r="C592" s="302" t="s">
        <v>1750</v>
      </c>
      <c r="D592" s="303" t="s">
        <v>8</v>
      </c>
      <c r="E592" s="304"/>
      <c r="F592" s="305"/>
      <c r="G592" s="305" t="s">
        <v>1227</v>
      </c>
      <c r="H592" s="307" t="s">
        <v>1228</v>
      </c>
      <c r="I592" s="308"/>
      <c r="J592" s="306"/>
      <c r="K592" s="315">
        <v>0</v>
      </c>
      <c r="L592" s="310">
        <v>44386</v>
      </c>
      <c r="M592" s="310"/>
      <c r="N592" s="311">
        <v>44386</v>
      </c>
      <c r="O592" s="309">
        <v>3307</v>
      </c>
      <c r="P592" s="302"/>
      <c r="Q592" s="485">
        <v>0</v>
      </c>
      <c r="S592" s="535">
        <v>0</v>
      </c>
      <c r="T592" s="322">
        <v>0</v>
      </c>
      <c r="U592" s="515"/>
      <c r="V592" s="549"/>
    </row>
    <row r="593" spans="1:22" ht="15">
      <c r="C593" s="6" t="s">
        <v>1790</v>
      </c>
      <c r="D593" s="15" t="s">
        <v>1789</v>
      </c>
      <c r="E593" s="20" t="s">
        <v>593</v>
      </c>
      <c r="F593" s="26"/>
      <c r="G593" s="24"/>
      <c r="H593" s="16"/>
      <c r="I593" s="68"/>
      <c r="J593" s="67"/>
      <c r="K593" s="17" t="s">
        <v>134</v>
      </c>
      <c r="L593" s="39">
        <v>44393</v>
      </c>
      <c r="M593" s="39"/>
      <c r="N593" s="213">
        <v>44393</v>
      </c>
      <c r="O593" s="38">
        <v>3336</v>
      </c>
      <c r="P593" s="6" t="s">
        <v>23</v>
      </c>
      <c r="Q593" s="481"/>
      <c r="S593" s="489"/>
      <c r="T593" s="113"/>
      <c r="U593" s="500"/>
      <c r="V593" s="494"/>
    </row>
    <row r="594" spans="1:22" ht="15" customHeight="1">
      <c r="C594" s="6" t="s">
        <v>1790</v>
      </c>
      <c r="D594" s="15" t="s">
        <v>1789</v>
      </c>
      <c r="E594" s="24" t="s">
        <v>1763</v>
      </c>
      <c r="F594" s="26"/>
      <c r="G594" s="24" t="s">
        <v>1211</v>
      </c>
      <c r="H594" s="67">
        <v>50</v>
      </c>
      <c r="I594" s="68">
        <v>1</v>
      </c>
      <c r="J594" s="67">
        <f>H594*I594</f>
        <v>50</v>
      </c>
      <c r="K594" s="25">
        <v>0.4</v>
      </c>
      <c r="L594" s="39">
        <v>44393</v>
      </c>
      <c r="M594" s="39"/>
      <c r="N594" s="213">
        <v>44393</v>
      </c>
      <c r="O594" s="38">
        <v>3336</v>
      </c>
      <c r="P594" s="25">
        <f>K594*0.88</f>
        <v>0.35200000000000004</v>
      </c>
      <c r="Q594" s="482">
        <v>0.35</v>
      </c>
      <c r="S594" s="489">
        <v>21.3</v>
      </c>
      <c r="T594" s="567">
        <f>S594*J594</f>
        <v>1065</v>
      </c>
      <c r="U594" s="502"/>
      <c r="V594" s="494"/>
    </row>
    <row r="595" spans="1:22" ht="15" customHeight="1">
      <c r="C595" s="6" t="s">
        <v>1790</v>
      </c>
      <c r="D595" s="15" t="s">
        <v>1789</v>
      </c>
      <c r="E595" s="24" t="s">
        <v>1763</v>
      </c>
      <c r="F595" s="26"/>
      <c r="G595" s="24" t="s">
        <v>1760</v>
      </c>
      <c r="H595" s="67">
        <v>50</v>
      </c>
      <c r="I595" s="68">
        <v>1</v>
      </c>
      <c r="J595" s="67">
        <f>H595*I595</f>
        <v>50</v>
      </c>
      <c r="K595" s="25">
        <v>0.4</v>
      </c>
      <c r="L595" s="39">
        <v>44393</v>
      </c>
      <c r="M595" s="39"/>
      <c r="N595" s="213">
        <v>44393</v>
      </c>
      <c r="O595" s="38">
        <v>3336</v>
      </c>
      <c r="P595" s="25">
        <f>K595*0.88</f>
        <v>0.35200000000000004</v>
      </c>
      <c r="Q595" s="482">
        <v>0.35</v>
      </c>
      <c r="S595" s="489">
        <v>21.3</v>
      </c>
      <c r="T595" s="567">
        <f>S595*J595</f>
        <v>1065</v>
      </c>
      <c r="U595" s="502"/>
      <c r="V595" s="494"/>
    </row>
    <row r="596" spans="1:22" ht="15" customHeight="1">
      <c r="C596" s="6" t="s">
        <v>1790</v>
      </c>
      <c r="D596" s="15" t="s">
        <v>1789</v>
      </c>
      <c r="E596" s="24" t="s">
        <v>1763</v>
      </c>
      <c r="F596" s="26"/>
      <c r="G596" s="24" t="s">
        <v>1761</v>
      </c>
      <c r="H596" s="67">
        <v>50</v>
      </c>
      <c r="I596" s="68">
        <v>1</v>
      </c>
      <c r="J596" s="67">
        <f>H596*I596</f>
        <v>50</v>
      </c>
      <c r="K596" s="25">
        <v>0.4</v>
      </c>
      <c r="L596" s="39">
        <v>44393</v>
      </c>
      <c r="M596" s="39"/>
      <c r="N596" s="213">
        <v>44393</v>
      </c>
      <c r="O596" s="38">
        <v>3336</v>
      </c>
      <c r="P596" s="25">
        <f>K596*0.88</f>
        <v>0.35200000000000004</v>
      </c>
      <c r="Q596" s="482">
        <v>0.35</v>
      </c>
      <c r="S596" s="489">
        <v>21.3</v>
      </c>
      <c r="T596" s="567">
        <f>S596*J596</f>
        <v>1065</v>
      </c>
      <c r="U596" s="502"/>
      <c r="V596" s="494"/>
    </row>
    <row r="597" spans="1:22" ht="15" customHeight="1">
      <c r="C597" s="6" t="s">
        <v>1790</v>
      </c>
      <c r="D597" s="15" t="s">
        <v>1789</v>
      </c>
      <c r="E597" s="24" t="s">
        <v>1763</v>
      </c>
      <c r="F597" s="26"/>
      <c r="G597" s="24" t="s">
        <v>1762</v>
      </c>
      <c r="H597" s="67">
        <v>50</v>
      </c>
      <c r="I597" s="68">
        <v>1</v>
      </c>
      <c r="J597" s="67">
        <f>H597*I597</f>
        <v>50</v>
      </c>
      <c r="K597" s="25">
        <v>0.4</v>
      </c>
      <c r="L597" s="39">
        <v>44393</v>
      </c>
      <c r="M597" s="39"/>
      <c r="N597" s="213">
        <v>44393</v>
      </c>
      <c r="O597" s="38">
        <v>3336</v>
      </c>
      <c r="P597" s="25">
        <f>K597*0.88</f>
        <v>0.35200000000000004</v>
      </c>
      <c r="Q597" s="482">
        <v>0.35</v>
      </c>
      <c r="S597" s="489">
        <v>21.3</v>
      </c>
      <c r="T597" s="567">
        <f>S597*J597</f>
        <v>1065</v>
      </c>
      <c r="U597" s="502"/>
      <c r="V597" s="494"/>
    </row>
    <row r="598" spans="1:22" s="218" customFormat="1" ht="15" customHeight="1">
      <c r="A598" s="1"/>
      <c r="B598" s="541"/>
      <c r="C598" s="6" t="s">
        <v>1790</v>
      </c>
      <c r="D598" s="15" t="s">
        <v>1789</v>
      </c>
      <c r="E598" s="24"/>
      <c r="F598" s="26"/>
      <c r="G598" s="24" t="s">
        <v>31</v>
      </c>
      <c r="H598" s="36"/>
      <c r="I598" s="41"/>
      <c r="J598" s="45">
        <v>1</v>
      </c>
      <c r="K598" s="25">
        <v>12</v>
      </c>
      <c r="L598" s="39">
        <v>44393</v>
      </c>
      <c r="M598" s="39"/>
      <c r="N598" s="213">
        <v>44393</v>
      </c>
      <c r="O598" s="38">
        <v>3336</v>
      </c>
      <c r="P598" s="216"/>
      <c r="Q598" s="483">
        <v>12</v>
      </c>
      <c r="S598" s="489">
        <v>1100</v>
      </c>
      <c r="T598" s="567">
        <f>S598*J598</f>
        <v>1100</v>
      </c>
      <c r="U598" s="504"/>
      <c r="V598" s="547"/>
    </row>
    <row r="599" spans="1:22" s="314" customFormat="1" ht="15">
      <c r="A599" s="1"/>
      <c r="B599" s="313"/>
      <c r="C599" s="302" t="s">
        <v>1790</v>
      </c>
      <c r="D599" s="303" t="s">
        <v>1789</v>
      </c>
      <c r="E599" s="304"/>
      <c r="F599" s="305"/>
      <c r="G599" s="305" t="s">
        <v>1227</v>
      </c>
      <c r="H599" s="307" t="s">
        <v>1228</v>
      </c>
      <c r="I599" s="308"/>
      <c r="J599" s="306"/>
      <c r="K599" s="315">
        <v>0</v>
      </c>
      <c r="L599" s="310">
        <v>44393</v>
      </c>
      <c r="M599" s="310"/>
      <c r="N599" s="311">
        <v>44393</v>
      </c>
      <c r="O599" s="309">
        <v>3336</v>
      </c>
      <c r="P599" s="302"/>
      <c r="Q599" s="485">
        <v>0</v>
      </c>
      <c r="S599" s="535">
        <v>0</v>
      </c>
      <c r="T599" s="322">
        <v>0</v>
      </c>
      <c r="U599" s="515"/>
      <c r="V599" s="549"/>
    </row>
    <row r="600" spans="1:22" s="7" customFormat="1" ht="18" customHeight="1">
      <c r="A600" s="1"/>
      <c r="B600" s="12"/>
      <c r="C600" s="6" t="s">
        <v>1764</v>
      </c>
      <c r="D600" s="15" t="s">
        <v>1765</v>
      </c>
      <c r="E600" s="20" t="s">
        <v>1092</v>
      </c>
      <c r="F600" s="150"/>
      <c r="H600" s="151"/>
      <c r="I600" s="152"/>
      <c r="J600" s="151"/>
      <c r="K600" s="153" t="s">
        <v>10</v>
      </c>
      <c r="L600" s="39">
        <v>44403</v>
      </c>
      <c r="M600" s="39"/>
      <c r="N600" s="213">
        <v>44403</v>
      </c>
      <c r="O600" s="38">
        <v>3337</v>
      </c>
      <c r="P600" s="15"/>
      <c r="Q600" s="411" t="s">
        <v>194</v>
      </c>
      <c r="S600" s="489"/>
      <c r="T600" s="113"/>
      <c r="U600" s="506"/>
      <c r="V600" s="494"/>
    </row>
    <row r="601" spans="1:22" s="7" customFormat="1" ht="18" customHeight="1">
      <c r="A601" s="1"/>
      <c r="B601" s="12"/>
      <c r="C601" s="6" t="s">
        <v>1764</v>
      </c>
      <c r="D601" s="15" t="s">
        <v>1765</v>
      </c>
      <c r="E601" s="24" t="s">
        <v>80</v>
      </c>
      <c r="F601" s="150">
        <v>160</v>
      </c>
      <c r="G601" s="24" t="s">
        <v>349</v>
      </c>
      <c r="H601" s="151">
        <v>10</v>
      </c>
      <c r="I601" s="152">
        <v>1</v>
      </c>
      <c r="J601" s="67">
        <f t="shared" ref="J601:J611" si="13">H601*I601</f>
        <v>10</v>
      </c>
      <c r="K601" s="46">
        <v>4.87</v>
      </c>
      <c r="L601" s="39">
        <v>44403</v>
      </c>
      <c r="M601" s="39"/>
      <c r="N601" s="213">
        <v>44403</v>
      </c>
      <c r="O601" s="38">
        <v>3337</v>
      </c>
      <c r="P601" s="25">
        <f t="shared" ref="P601:P612" si="14">K601*0.94</f>
        <v>4.5777999999999999</v>
      </c>
      <c r="Q601" s="483">
        <v>4.58</v>
      </c>
      <c r="S601" s="489">
        <v>350</v>
      </c>
      <c r="T601" s="567">
        <f t="shared" ref="T601:T613" si="15">S601*J601</f>
        <v>3500</v>
      </c>
      <c r="U601" s="501"/>
      <c r="V601" s="494"/>
    </row>
    <row r="602" spans="1:22" s="7" customFormat="1" ht="18" customHeight="1">
      <c r="A602" s="1"/>
      <c r="B602" s="12"/>
      <c r="C602" s="6" t="s">
        <v>1764</v>
      </c>
      <c r="D602" s="15" t="s">
        <v>1765</v>
      </c>
      <c r="E602" s="24" t="s">
        <v>80</v>
      </c>
      <c r="F602" s="150">
        <v>160</v>
      </c>
      <c r="G602" s="24" t="s">
        <v>334</v>
      </c>
      <c r="H602" s="151">
        <v>10</v>
      </c>
      <c r="I602" s="152">
        <v>1</v>
      </c>
      <c r="J602" s="67">
        <f t="shared" si="13"/>
        <v>10</v>
      </c>
      <c r="K602" s="46">
        <v>4.87</v>
      </c>
      <c r="L602" s="39">
        <v>44403</v>
      </c>
      <c r="M602" s="39"/>
      <c r="N602" s="213">
        <v>44403</v>
      </c>
      <c r="O602" s="38">
        <v>3337</v>
      </c>
      <c r="P602" s="25">
        <f t="shared" si="14"/>
        <v>4.5777999999999999</v>
      </c>
      <c r="Q602" s="483">
        <v>4.58</v>
      </c>
      <c r="S602" s="489">
        <v>350</v>
      </c>
      <c r="T602" s="567">
        <f t="shared" si="15"/>
        <v>3500</v>
      </c>
      <c r="U602" s="501"/>
      <c r="V602" s="494"/>
    </row>
    <row r="603" spans="1:22" s="7" customFormat="1" ht="18" customHeight="1">
      <c r="A603" s="1"/>
      <c r="B603" s="12"/>
      <c r="C603" s="6" t="s">
        <v>1764</v>
      </c>
      <c r="D603" s="15" t="s">
        <v>1765</v>
      </c>
      <c r="E603" s="24" t="s">
        <v>80</v>
      </c>
      <c r="F603" s="150">
        <v>160</v>
      </c>
      <c r="G603" s="24" t="s">
        <v>1766</v>
      </c>
      <c r="H603" s="151">
        <v>10</v>
      </c>
      <c r="I603" s="152">
        <v>1</v>
      </c>
      <c r="J603" s="67">
        <f t="shared" si="13"/>
        <v>10</v>
      </c>
      <c r="K603" s="46">
        <v>4.87</v>
      </c>
      <c r="L603" s="39">
        <v>44403</v>
      </c>
      <c r="M603" s="39"/>
      <c r="N603" s="213">
        <v>44403</v>
      </c>
      <c r="O603" s="38">
        <v>3337</v>
      </c>
      <c r="P603" s="25">
        <f t="shared" si="14"/>
        <v>4.5777999999999999</v>
      </c>
      <c r="Q603" s="483">
        <v>4.58</v>
      </c>
      <c r="S603" s="489">
        <v>350</v>
      </c>
      <c r="T603" s="567">
        <f t="shared" si="15"/>
        <v>3500</v>
      </c>
      <c r="U603" s="501"/>
      <c r="V603" s="494"/>
    </row>
    <row r="604" spans="1:22" s="7" customFormat="1" ht="18" customHeight="1">
      <c r="A604" s="1"/>
      <c r="B604" s="12"/>
      <c r="C604" s="6" t="s">
        <v>1764</v>
      </c>
      <c r="D604" s="15" t="s">
        <v>1765</v>
      </c>
      <c r="E604" s="24" t="s">
        <v>80</v>
      </c>
      <c r="F604" s="150">
        <v>160</v>
      </c>
      <c r="G604" s="24" t="s">
        <v>204</v>
      </c>
      <c r="H604" s="151">
        <v>12</v>
      </c>
      <c r="I604" s="152">
        <v>1</v>
      </c>
      <c r="J604" s="67">
        <f t="shared" si="13"/>
        <v>12</v>
      </c>
      <c r="K604" s="46">
        <v>4.87</v>
      </c>
      <c r="L604" s="39">
        <v>44403</v>
      </c>
      <c r="M604" s="39"/>
      <c r="N604" s="213">
        <v>44403</v>
      </c>
      <c r="O604" s="38">
        <v>3337</v>
      </c>
      <c r="P604" s="25">
        <f t="shared" si="14"/>
        <v>4.5777999999999999</v>
      </c>
      <c r="Q604" s="483">
        <v>4.58</v>
      </c>
      <c r="S604" s="489">
        <v>350</v>
      </c>
      <c r="T604" s="567">
        <f t="shared" si="15"/>
        <v>4200</v>
      </c>
      <c r="U604" s="501"/>
      <c r="V604" s="494"/>
    </row>
    <row r="605" spans="1:22" s="7" customFormat="1" ht="18" customHeight="1">
      <c r="A605" s="1"/>
      <c r="B605" s="12"/>
      <c r="C605" s="6" t="s">
        <v>1764</v>
      </c>
      <c r="D605" s="15" t="s">
        <v>1765</v>
      </c>
      <c r="E605" s="24" t="s">
        <v>80</v>
      </c>
      <c r="F605" s="150">
        <v>160</v>
      </c>
      <c r="G605" s="24" t="s">
        <v>206</v>
      </c>
      <c r="H605" s="151">
        <v>10</v>
      </c>
      <c r="I605" s="152">
        <v>1</v>
      </c>
      <c r="J605" s="67">
        <f t="shared" si="13"/>
        <v>10</v>
      </c>
      <c r="K605" s="46">
        <v>4.87</v>
      </c>
      <c r="L605" s="39">
        <v>44403</v>
      </c>
      <c r="M605" s="39"/>
      <c r="N605" s="213">
        <v>44403</v>
      </c>
      <c r="O605" s="38">
        <v>3337</v>
      </c>
      <c r="P605" s="25">
        <f t="shared" si="14"/>
        <v>4.5777999999999999</v>
      </c>
      <c r="Q605" s="483">
        <v>4.58</v>
      </c>
      <c r="S605" s="489">
        <v>350</v>
      </c>
      <c r="T605" s="567">
        <f t="shared" si="15"/>
        <v>3500</v>
      </c>
      <c r="U605" s="501"/>
      <c r="V605" s="494"/>
    </row>
    <row r="606" spans="1:22" s="7" customFormat="1" ht="18" customHeight="1">
      <c r="A606" s="1"/>
      <c r="B606" s="12"/>
      <c r="C606" s="6" t="s">
        <v>1764</v>
      </c>
      <c r="D606" s="15" t="s">
        <v>1765</v>
      </c>
      <c r="E606" s="24" t="s">
        <v>80</v>
      </c>
      <c r="F606" s="150">
        <v>160</v>
      </c>
      <c r="G606" s="24" t="s">
        <v>1767</v>
      </c>
      <c r="H606" s="151">
        <v>10</v>
      </c>
      <c r="I606" s="152">
        <v>1</v>
      </c>
      <c r="J606" s="67">
        <f t="shared" si="13"/>
        <v>10</v>
      </c>
      <c r="K606" s="46">
        <v>4.87</v>
      </c>
      <c r="L606" s="39">
        <v>44403</v>
      </c>
      <c r="M606" s="39"/>
      <c r="N606" s="213">
        <v>44403</v>
      </c>
      <c r="O606" s="38">
        <v>3337</v>
      </c>
      <c r="P606" s="25">
        <f t="shared" si="14"/>
        <v>4.5777999999999999</v>
      </c>
      <c r="Q606" s="483">
        <v>4.58</v>
      </c>
      <c r="S606" s="489">
        <v>350</v>
      </c>
      <c r="T606" s="567">
        <f t="shared" si="15"/>
        <v>3500</v>
      </c>
      <c r="U606" s="501"/>
      <c r="V606" s="494"/>
    </row>
    <row r="607" spans="1:22" s="7" customFormat="1" ht="18" customHeight="1">
      <c r="A607" s="1"/>
      <c r="B607" s="12"/>
      <c r="C607" s="6" t="s">
        <v>1764</v>
      </c>
      <c r="D607" s="15" t="s">
        <v>1765</v>
      </c>
      <c r="E607" s="24" t="s">
        <v>80</v>
      </c>
      <c r="F607" s="150">
        <v>160</v>
      </c>
      <c r="G607" s="24" t="s">
        <v>160</v>
      </c>
      <c r="H607" s="151">
        <v>10</v>
      </c>
      <c r="I607" s="152">
        <v>1</v>
      </c>
      <c r="J607" s="67">
        <f t="shared" si="13"/>
        <v>10</v>
      </c>
      <c r="K607" s="46">
        <v>4.87</v>
      </c>
      <c r="L607" s="39">
        <v>44403</v>
      </c>
      <c r="M607" s="39"/>
      <c r="N607" s="213">
        <v>44403</v>
      </c>
      <c r="O607" s="38">
        <v>3337</v>
      </c>
      <c r="P607" s="25">
        <f t="shared" si="14"/>
        <v>4.5777999999999999</v>
      </c>
      <c r="Q607" s="483">
        <v>4.58</v>
      </c>
      <c r="S607" s="489">
        <v>350</v>
      </c>
      <c r="T607" s="567">
        <f t="shared" si="15"/>
        <v>3500</v>
      </c>
      <c r="U607" s="501"/>
      <c r="V607" s="494"/>
    </row>
    <row r="608" spans="1:22" s="7" customFormat="1" ht="18" customHeight="1">
      <c r="A608" s="1"/>
      <c r="B608" s="12"/>
      <c r="C608" s="6" t="s">
        <v>1764</v>
      </c>
      <c r="D608" s="15" t="s">
        <v>1765</v>
      </c>
      <c r="E608" s="24" t="s">
        <v>80</v>
      </c>
      <c r="F608" s="150">
        <v>160</v>
      </c>
      <c r="G608" s="24" t="s">
        <v>211</v>
      </c>
      <c r="H608" s="151">
        <v>10</v>
      </c>
      <c r="I608" s="152">
        <v>1</v>
      </c>
      <c r="J608" s="67">
        <f t="shared" si="13"/>
        <v>10</v>
      </c>
      <c r="K608" s="46">
        <v>4.87</v>
      </c>
      <c r="L608" s="39">
        <v>44403</v>
      </c>
      <c r="M608" s="39"/>
      <c r="N608" s="213">
        <v>44403</v>
      </c>
      <c r="O608" s="38">
        <v>3337</v>
      </c>
      <c r="P608" s="25">
        <f t="shared" si="14"/>
        <v>4.5777999999999999</v>
      </c>
      <c r="Q608" s="483">
        <v>4.58</v>
      </c>
      <c r="S608" s="489">
        <v>350</v>
      </c>
      <c r="T608" s="567">
        <f t="shared" si="15"/>
        <v>3500</v>
      </c>
      <c r="U608" s="501"/>
      <c r="V608" s="494"/>
    </row>
    <row r="609" spans="1:22" s="7" customFormat="1" ht="18" customHeight="1">
      <c r="A609" s="1"/>
      <c r="B609" s="12"/>
      <c r="C609" s="6" t="s">
        <v>1764</v>
      </c>
      <c r="D609" s="15" t="s">
        <v>1765</v>
      </c>
      <c r="E609" s="24" t="s">
        <v>80</v>
      </c>
      <c r="F609" s="150">
        <v>160</v>
      </c>
      <c r="G609" s="24" t="s">
        <v>1768</v>
      </c>
      <c r="H609" s="151">
        <v>10</v>
      </c>
      <c r="I609" s="152">
        <v>1</v>
      </c>
      <c r="J609" s="67">
        <f t="shared" si="13"/>
        <v>10</v>
      </c>
      <c r="K609" s="46">
        <v>4.87</v>
      </c>
      <c r="L609" s="39">
        <v>44403</v>
      </c>
      <c r="M609" s="39"/>
      <c r="N609" s="213">
        <v>44403</v>
      </c>
      <c r="O609" s="38">
        <v>3337</v>
      </c>
      <c r="P609" s="25">
        <f t="shared" si="14"/>
        <v>4.5777999999999999</v>
      </c>
      <c r="Q609" s="483">
        <v>4.58</v>
      </c>
      <c r="S609" s="489">
        <v>350</v>
      </c>
      <c r="T609" s="567">
        <f t="shared" si="15"/>
        <v>3500</v>
      </c>
      <c r="U609" s="501"/>
      <c r="V609" s="494"/>
    </row>
    <row r="610" spans="1:22" s="7" customFormat="1" ht="18" customHeight="1">
      <c r="A610" s="1"/>
      <c r="B610" s="12"/>
      <c r="C610" s="6" t="s">
        <v>1764</v>
      </c>
      <c r="D610" s="15" t="s">
        <v>1765</v>
      </c>
      <c r="E610" s="24" t="s">
        <v>80</v>
      </c>
      <c r="F610" s="150">
        <v>160</v>
      </c>
      <c r="G610" s="24" t="s">
        <v>1085</v>
      </c>
      <c r="H610" s="151">
        <v>10</v>
      </c>
      <c r="I610" s="152">
        <v>1</v>
      </c>
      <c r="J610" s="67">
        <f t="shared" si="13"/>
        <v>10</v>
      </c>
      <c r="K610" s="46">
        <v>4.87</v>
      </c>
      <c r="L610" s="39">
        <v>44403</v>
      </c>
      <c r="M610" s="39"/>
      <c r="N610" s="213">
        <v>44403</v>
      </c>
      <c r="O610" s="38">
        <v>3337</v>
      </c>
      <c r="P610" s="25">
        <f t="shared" si="14"/>
        <v>4.5777999999999999</v>
      </c>
      <c r="Q610" s="483">
        <v>4.58</v>
      </c>
      <c r="S610" s="489">
        <v>350</v>
      </c>
      <c r="T610" s="567">
        <f t="shared" si="15"/>
        <v>3500</v>
      </c>
      <c r="U610" s="501"/>
      <c r="V610" s="494"/>
    </row>
    <row r="611" spans="1:22" s="7" customFormat="1" ht="18" customHeight="1">
      <c r="A611" s="1"/>
      <c r="B611" s="12"/>
      <c r="C611" s="6" t="s">
        <v>1764</v>
      </c>
      <c r="D611" s="15" t="s">
        <v>1765</v>
      </c>
      <c r="E611" s="24" t="s">
        <v>80</v>
      </c>
      <c r="F611" s="150">
        <v>160</v>
      </c>
      <c r="G611" s="24" t="s">
        <v>1769</v>
      </c>
      <c r="H611" s="151">
        <v>10</v>
      </c>
      <c r="I611" s="152">
        <v>1</v>
      </c>
      <c r="J611" s="67">
        <f t="shared" si="13"/>
        <v>10</v>
      </c>
      <c r="K611" s="46">
        <v>4.87</v>
      </c>
      <c r="L611" s="39">
        <v>44403</v>
      </c>
      <c r="M611" s="39"/>
      <c r="N611" s="213">
        <v>44403</v>
      </c>
      <c r="O611" s="38">
        <v>3337</v>
      </c>
      <c r="P611" s="25">
        <f t="shared" si="14"/>
        <v>4.5777999999999999</v>
      </c>
      <c r="Q611" s="483">
        <v>4.58</v>
      </c>
      <c r="S611" s="489">
        <v>350</v>
      </c>
      <c r="T611" s="567">
        <f t="shared" si="15"/>
        <v>3500</v>
      </c>
      <c r="U611" s="501"/>
      <c r="V611" s="494"/>
    </row>
    <row r="612" spans="1:22" s="7" customFormat="1" ht="18" customHeight="1">
      <c r="A612" s="1"/>
      <c r="B612" s="12"/>
      <c r="C612" s="6" t="s">
        <v>1764</v>
      </c>
      <c r="D612" s="15" t="s">
        <v>1765</v>
      </c>
      <c r="E612" s="24" t="s">
        <v>80</v>
      </c>
      <c r="F612" s="150">
        <v>160</v>
      </c>
      <c r="G612" s="24" t="s">
        <v>205</v>
      </c>
      <c r="H612" s="151">
        <v>10</v>
      </c>
      <c r="I612" s="152">
        <v>1</v>
      </c>
      <c r="J612" s="67">
        <f>H612</f>
        <v>10</v>
      </c>
      <c r="K612" s="46">
        <v>4.87</v>
      </c>
      <c r="L612" s="39">
        <v>44403</v>
      </c>
      <c r="M612" s="39"/>
      <c r="N612" s="213">
        <v>44403</v>
      </c>
      <c r="O612" s="38">
        <v>3337</v>
      </c>
      <c r="P612" s="25">
        <f t="shared" si="14"/>
        <v>4.5777999999999999</v>
      </c>
      <c r="Q612" s="483">
        <v>4.58</v>
      </c>
      <c r="S612" s="489">
        <v>350</v>
      </c>
      <c r="T612" s="567">
        <f t="shared" si="15"/>
        <v>3500</v>
      </c>
      <c r="U612" s="501"/>
      <c r="V612" s="494"/>
    </row>
    <row r="613" spans="1:22" s="7" customFormat="1" ht="17.25" customHeight="1">
      <c r="A613" s="1"/>
      <c r="B613" s="12"/>
      <c r="C613" s="6" t="s">
        <v>1764</v>
      </c>
      <c r="D613" s="15" t="s">
        <v>1765</v>
      </c>
      <c r="E613" s="238"/>
      <c r="F613" s="44"/>
      <c r="G613" s="260" t="s">
        <v>1770</v>
      </c>
      <c r="H613" s="8"/>
      <c r="I613" s="152" ph="1"/>
      <c r="J613" s="45">
        <v>11</v>
      </c>
      <c r="K613" s="46">
        <v>12</v>
      </c>
      <c r="L613" s="39">
        <v>44403</v>
      </c>
      <c r="M613" s="39"/>
      <c r="N613" s="213">
        <v>44403</v>
      </c>
      <c r="O613" s="38">
        <v>3337</v>
      </c>
      <c r="P613" s="6"/>
      <c r="Q613" s="483">
        <v>132</v>
      </c>
      <c r="S613" s="489">
        <v>1000</v>
      </c>
      <c r="T613" s="567">
        <f t="shared" si="15"/>
        <v>11000</v>
      </c>
      <c r="U613" s="501"/>
      <c r="V613" s="494"/>
    </row>
    <row r="614" spans="1:22" s="7" customFormat="1" ht="18" customHeight="1">
      <c r="A614" s="1"/>
      <c r="B614" s="12"/>
      <c r="C614" s="6" t="s">
        <v>1764</v>
      </c>
      <c r="D614" s="15" t="s">
        <v>1765</v>
      </c>
      <c r="E614" s="20" t="s">
        <v>27</v>
      </c>
      <c r="F614" s="150"/>
      <c r="G614" s="24"/>
      <c r="H614" s="151"/>
      <c r="I614" s="152"/>
      <c r="J614" s="151"/>
      <c r="K614" s="34" t="s">
        <v>10</v>
      </c>
      <c r="L614" s="39">
        <v>44403</v>
      </c>
      <c r="M614" s="39"/>
      <c r="N614" s="213">
        <v>44403</v>
      </c>
      <c r="O614" s="38">
        <v>3337</v>
      </c>
      <c r="P614" s="15"/>
      <c r="Q614" s="483"/>
      <c r="S614" s="489"/>
      <c r="T614" s="113"/>
      <c r="U614" s="506"/>
      <c r="V614" s="494"/>
    </row>
    <row r="615" spans="1:22" s="7" customFormat="1" ht="18" customHeight="1">
      <c r="A615" s="1"/>
      <c r="B615" s="12"/>
      <c r="C615" s="6" t="s">
        <v>1764</v>
      </c>
      <c r="D615" s="15" t="s">
        <v>1765</v>
      </c>
      <c r="E615" s="24" t="s">
        <v>738</v>
      </c>
      <c r="F615" s="150">
        <v>152</v>
      </c>
      <c r="G615" s="24" t="s">
        <v>364</v>
      </c>
      <c r="H615" s="151">
        <v>10</v>
      </c>
      <c r="I615" s="152">
        <v>1</v>
      </c>
      <c r="J615" s="67">
        <f>H615*I615</f>
        <v>10</v>
      </c>
      <c r="K615" s="46">
        <v>4.17</v>
      </c>
      <c r="L615" s="39">
        <v>44403</v>
      </c>
      <c r="M615" s="39"/>
      <c r="N615" s="213">
        <v>44403</v>
      </c>
      <c r="O615" s="38">
        <v>3337</v>
      </c>
      <c r="P615" s="25">
        <f>K615*0.94</f>
        <v>3.9197999999999995</v>
      </c>
      <c r="Q615" s="483">
        <v>3.92</v>
      </c>
      <c r="S615" s="489">
        <v>300</v>
      </c>
      <c r="T615" s="567">
        <f t="shared" ref="T615:T620" si="16">S615*J615</f>
        <v>3000</v>
      </c>
      <c r="U615" s="501"/>
      <c r="V615" s="494"/>
    </row>
    <row r="616" spans="1:22" s="7" customFormat="1" ht="18" customHeight="1">
      <c r="A616" s="1"/>
      <c r="B616" s="12"/>
      <c r="C616" s="6" t="s">
        <v>1764</v>
      </c>
      <c r="D616" s="15" t="s">
        <v>1765</v>
      </c>
      <c r="E616" s="24" t="s">
        <v>738</v>
      </c>
      <c r="F616" s="150">
        <v>152</v>
      </c>
      <c r="G616" s="24" t="s">
        <v>1771</v>
      </c>
      <c r="H616" s="151">
        <v>10</v>
      </c>
      <c r="I616" s="152">
        <v>1</v>
      </c>
      <c r="J616" s="67">
        <f>H616*I616</f>
        <v>10</v>
      </c>
      <c r="K616" s="46">
        <v>4.17</v>
      </c>
      <c r="L616" s="39">
        <v>44403</v>
      </c>
      <c r="M616" s="39"/>
      <c r="N616" s="213">
        <v>44403</v>
      </c>
      <c r="O616" s="38">
        <v>3337</v>
      </c>
      <c r="P616" s="25">
        <f>K616*0.94</f>
        <v>3.9197999999999995</v>
      </c>
      <c r="Q616" s="483">
        <v>3.92</v>
      </c>
      <c r="S616" s="489">
        <v>300</v>
      </c>
      <c r="T616" s="567">
        <f t="shared" si="16"/>
        <v>3000</v>
      </c>
      <c r="U616" s="501"/>
      <c r="V616" s="494"/>
    </row>
    <row r="617" spans="1:22" s="7" customFormat="1" ht="18" customHeight="1">
      <c r="A617" s="1"/>
      <c r="B617" s="12"/>
      <c r="C617" s="6" t="s">
        <v>1764</v>
      </c>
      <c r="D617" s="15" t="s">
        <v>1765</v>
      </c>
      <c r="E617" s="24" t="s">
        <v>738</v>
      </c>
      <c r="F617" s="150">
        <v>152</v>
      </c>
      <c r="G617" s="24" t="s">
        <v>1772</v>
      </c>
      <c r="H617" s="151">
        <v>10</v>
      </c>
      <c r="I617" s="152">
        <v>1</v>
      </c>
      <c r="J617" s="67">
        <f>H617*I617</f>
        <v>10</v>
      </c>
      <c r="K617" s="46">
        <v>4.17</v>
      </c>
      <c r="L617" s="39">
        <v>44403</v>
      </c>
      <c r="M617" s="39"/>
      <c r="N617" s="213">
        <v>44403</v>
      </c>
      <c r="O617" s="38">
        <v>3337</v>
      </c>
      <c r="P617" s="25">
        <f>K617*0.94</f>
        <v>3.9197999999999995</v>
      </c>
      <c r="Q617" s="483">
        <v>3.92</v>
      </c>
      <c r="S617" s="489">
        <v>300</v>
      </c>
      <c r="T617" s="567">
        <f t="shared" si="16"/>
        <v>3000</v>
      </c>
      <c r="U617" s="501"/>
      <c r="V617" s="494"/>
    </row>
    <row r="618" spans="1:22" s="7" customFormat="1" ht="18" customHeight="1">
      <c r="A618" s="1"/>
      <c r="B618" s="12"/>
      <c r="C618" s="6" t="s">
        <v>1764</v>
      </c>
      <c r="D618" s="15" t="s">
        <v>1765</v>
      </c>
      <c r="E618" s="24" t="s">
        <v>738</v>
      </c>
      <c r="F618" s="150">
        <v>152</v>
      </c>
      <c r="G618" s="24" t="s">
        <v>1773</v>
      </c>
      <c r="H618" s="151">
        <v>10</v>
      </c>
      <c r="I618" s="152">
        <v>1</v>
      </c>
      <c r="J618" s="67">
        <f>H618*I618</f>
        <v>10</v>
      </c>
      <c r="K618" s="46">
        <v>4.17</v>
      </c>
      <c r="L618" s="39">
        <v>44403</v>
      </c>
      <c r="M618" s="39"/>
      <c r="N618" s="213">
        <v>44403</v>
      </c>
      <c r="O618" s="38">
        <v>3337</v>
      </c>
      <c r="P618" s="25">
        <f>K618*0.94</f>
        <v>3.9197999999999995</v>
      </c>
      <c r="Q618" s="483">
        <v>3.92</v>
      </c>
      <c r="S618" s="489">
        <v>300</v>
      </c>
      <c r="T618" s="567">
        <f t="shared" si="16"/>
        <v>3000</v>
      </c>
      <c r="U618" s="501"/>
      <c r="V618" s="494"/>
    </row>
    <row r="619" spans="1:22" s="7" customFormat="1" ht="18" customHeight="1">
      <c r="A619" s="1"/>
      <c r="B619" s="12"/>
      <c r="C619" s="6" t="s">
        <v>1764</v>
      </c>
      <c r="D619" s="15" t="s">
        <v>1765</v>
      </c>
      <c r="E619" s="24" t="s">
        <v>738</v>
      </c>
      <c r="F619" s="150">
        <v>152</v>
      </c>
      <c r="G619" s="24" t="s">
        <v>1774</v>
      </c>
      <c r="H619" s="151">
        <v>10</v>
      </c>
      <c r="I619" s="152">
        <v>1</v>
      </c>
      <c r="J619" s="67">
        <f>H619*I619</f>
        <v>10</v>
      </c>
      <c r="K619" s="46">
        <v>4.17</v>
      </c>
      <c r="L619" s="39">
        <v>44403</v>
      </c>
      <c r="M619" s="39"/>
      <c r="N619" s="213">
        <v>44403</v>
      </c>
      <c r="O619" s="38">
        <v>3337</v>
      </c>
      <c r="P619" s="25">
        <f>K619*0.94</f>
        <v>3.9197999999999995</v>
      </c>
      <c r="Q619" s="483">
        <v>3.92</v>
      </c>
      <c r="S619" s="489">
        <v>300</v>
      </c>
      <c r="T619" s="567">
        <f t="shared" si="16"/>
        <v>3000</v>
      </c>
      <c r="U619" s="501"/>
      <c r="V619" s="494"/>
    </row>
    <row r="620" spans="1:22" s="7" customFormat="1" ht="17.25" customHeight="1">
      <c r="A620" s="1"/>
      <c r="B620" s="12"/>
      <c r="C620" s="6" t="s">
        <v>1764</v>
      </c>
      <c r="D620" s="15" t="s">
        <v>1765</v>
      </c>
      <c r="E620" s="238"/>
      <c r="F620" s="44"/>
      <c r="G620" s="260" t="s">
        <v>1775</v>
      </c>
      <c r="H620" s="8"/>
      <c r="I620" s="152" ph="1"/>
      <c r="J620" s="45">
        <v>5</v>
      </c>
      <c r="K620" s="46">
        <v>12</v>
      </c>
      <c r="L620" s="39">
        <v>44403</v>
      </c>
      <c r="M620" s="39"/>
      <c r="N620" s="213">
        <v>44403</v>
      </c>
      <c r="O620" s="38">
        <v>3337</v>
      </c>
      <c r="P620" s="6"/>
      <c r="Q620" s="483">
        <v>72</v>
      </c>
      <c r="S620" s="489">
        <v>1000</v>
      </c>
      <c r="T620" s="567">
        <f t="shared" si="16"/>
        <v>5000</v>
      </c>
      <c r="U620" s="501"/>
      <c r="V620" s="494"/>
    </row>
    <row r="621" spans="1:22" s="7" customFormat="1" ht="18" customHeight="1">
      <c r="A621" s="1"/>
      <c r="B621" s="12"/>
      <c r="C621" s="6" t="s">
        <v>1764</v>
      </c>
      <c r="D621" s="15" t="s">
        <v>1765</v>
      </c>
      <c r="E621" s="20" t="s">
        <v>1550</v>
      </c>
      <c r="F621" s="24"/>
      <c r="G621" s="44"/>
      <c r="H621" s="151"/>
      <c r="I621" s="151"/>
      <c r="J621" s="151"/>
      <c r="K621" s="153" t="s">
        <v>10</v>
      </c>
      <c r="L621" s="39">
        <v>44403</v>
      </c>
      <c r="M621" s="39"/>
      <c r="N621" s="213">
        <v>44403</v>
      </c>
      <c r="O621" s="38">
        <v>3337</v>
      </c>
      <c r="P621" s="6"/>
      <c r="Q621" s="411"/>
      <c r="S621" s="489"/>
      <c r="T621" s="113"/>
      <c r="U621" s="501"/>
      <c r="V621" s="494"/>
    </row>
    <row r="622" spans="1:22" s="7" customFormat="1" ht="15.95" customHeight="1">
      <c r="A622" s="1"/>
      <c r="B622" s="12"/>
      <c r="C622" s="6" t="s">
        <v>1764</v>
      </c>
      <c r="D622" s="15" t="s">
        <v>1765</v>
      </c>
      <c r="E622" s="24" t="s">
        <v>157</v>
      </c>
      <c r="F622" s="44"/>
      <c r="G622" s="44" t="s">
        <v>78</v>
      </c>
      <c r="H622" s="8">
        <v>5</v>
      </c>
      <c r="I622" s="41">
        <v>1</v>
      </c>
      <c r="J622" s="67">
        <f>H622*I622</f>
        <v>5</v>
      </c>
      <c r="K622" s="46">
        <v>7.95</v>
      </c>
      <c r="L622" s="39">
        <v>44403</v>
      </c>
      <c r="M622" s="39"/>
      <c r="N622" s="213">
        <v>44403</v>
      </c>
      <c r="O622" s="38">
        <v>3337</v>
      </c>
      <c r="P622" s="25">
        <f>K622*0.88</f>
        <v>6.9960000000000004</v>
      </c>
      <c r="Q622" s="483">
        <v>7</v>
      </c>
      <c r="S622" s="489">
        <v>429</v>
      </c>
      <c r="T622" s="567">
        <f>S622*J622</f>
        <v>2145</v>
      </c>
      <c r="U622" s="517"/>
      <c r="V622" s="494"/>
    </row>
    <row r="623" spans="1:22" s="7" customFormat="1" ht="15.95" customHeight="1">
      <c r="A623" s="1"/>
      <c r="B623" s="12"/>
      <c r="C623" s="6" t="s">
        <v>1764</v>
      </c>
      <c r="D623" s="15" t="s">
        <v>1765</v>
      </c>
      <c r="E623" s="24" t="s">
        <v>1776</v>
      </c>
      <c r="F623" s="44"/>
      <c r="G623" s="44" t="s">
        <v>78</v>
      </c>
      <c r="H623" s="8">
        <v>5</v>
      </c>
      <c r="I623" s="41">
        <v>1</v>
      </c>
      <c r="J623" s="67">
        <f>H623*I623</f>
        <v>5</v>
      </c>
      <c r="K623" s="46">
        <v>4.49</v>
      </c>
      <c r="L623" s="39">
        <v>44403</v>
      </c>
      <c r="M623" s="39"/>
      <c r="N623" s="213">
        <v>44403</v>
      </c>
      <c r="O623" s="38">
        <v>3337</v>
      </c>
      <c r="P623" s="25">
        <f>K623*0.88</f>
        <v>3.9512</v>
      </c>
      <c r="Q623" s="483">
        <v>3.95</v>
      </c>
      <c r="S623" s="489">
        <v>242</v>
      </c>
      <c r="T623" s="567">
        <f>S623*J623</f>
        <v>1210</v>
      </c>
      <c r="U623" s="517"/>
      <c r="V623" s="494"/>
    </row>
    <row r="624" spans="1:22" s="7" customFormat="1" ht="15.95" customHeight="1">
      <c r="A624" s="1"/>
      <c r="B624" s="12"/>
      <c r="C624" s="6" t="s">
        <v>1764</v>
      </c>
      <c r="D624" s="15" t="s">
        <v>1765</v>
      </c>
      <c r="E624" s="24" t="s">
        <v>1777</v>
      </c>
      <c r="F624" s="44"/>
      <c r="G624" s="44" t="s">
        <v>78</v>
      </c>
      <c r="H624" s="8">
        <v>5</v>
      </c>
      <c r="I624" s="41">
        <v>1</v>
      </c>
      <c r="J624" s="67">
        <f>H624*I624</f>
        <v>5</v>
      </c>
      <c r="K624" s="46">
        <v>14.82</v>
      </c>
      <c r="L624" s="39">
        <v>44403</v>
      </c>
      <c r="M624" s="39"/>
      <c r="N624" s="213">
        <v>44403</v>
      </c>
      <c r="O624" s="38">
        <v>3337</v>
      </c>
      <c r="P624" s="25">
        <f>K624*0.88</f>
        <v>13.041600000000001</v>
      </c>
      <c r="Q624" s="483">
        <v>13.04</v>
      </c>
      <c r="S624" s="489">
        <v>800</v>
      </c>
      <c r="T624" s="567">
        <f>S624*J624</f>
        <v>4000</v>
      </c>
      <c r="U624" s="517"/>
      <c r="V624" s="494"/>
    </row>
    <row r="625" spans="1:22" s="7" customFormat="1" ht="17.25" customHeight="1">
      <c r="A625" s="1"/>
      <c r="B625" s="12"/>
      <c r="C625" s="6" t="s">
        <v>1764</v>
      </c>
      <c r="D625" s="15" t="s">
        <v>1765</v>
      </c>
      <c r="E625" s="238"/>
      <c r="F625" s="44"/>
      <c r="G625" s="44" t="s">
        <v>31</v>
      </c>
      <c r="H625" s="8"/>
      <c r="I625" s="152" ph="1"/>
      <c r="J625" s="45">
        <v>1</v>
      </c>
      <c r="K625" s="46">
        <v>32</v>
      </c>
      <c r="L625" s="39">
        <v>44403</v>
      </c>
      <c r="M625" s="39"/>
      <c r="N625" s="213">
        <v>44403</v>
      </c>
      <c r="O625" s="38">
        <v>3337</v>
      </c>
      <c r="P625" s="6"/>
      <c r="Q625" s="483">
        <v>32</v>
      </c>
      <c r="S625" s="489">
        <f>1000+900</f>
        <v>1900</v>
      </c>
      <c r="T625" s="567">
        <f>S625*J625</f>
        <v>1900</v>
      </c>
      <c r="U625" s="501"/>
      <c r="V625" s="494"/>
    </row>
    <row r="626" spans="1:22" s="314" customFormat="1" ht="15">
      <c r="A626" s="1"/>
      <c r="B626" s="313"/>
      <c r="C626" s="302" t="s">
        <v>1764</v>
      </c>
      <c r="D626" s="303" t="s">
        <v>1765</v>
      </c>
      <c r="E626" s="304"/>
      <c r="F626" s="305"/>
      <c r="G626" s="305" t="s">
        <v>1227</v>
      </c>
      <c r="H626" s="307" t="s">
        <v>1228</v>
      </c>
      <c r="I626" s="308"/>
      <c r="J626" s="306"/>
      <c r="K626" s="315">
        <v>0</v>
      </c>
      <c r="L626" s="310">
        <v>44403</v>
      </c>
      <c r="M626" s="310"/>
      <c r="N626" s="311">
        <v>44403</v>
      </c>
      <c r="O626" s="309">
        <v>3337</v>
      </c>
      <c r="P626" s="302"/>
      <c r="Q626" s="485">
        <v>0</v>
      </c>
      <c r="S626" s="535">
        <v>0</v>
      </c>
      <c r="T626" s="322">
        <v>0</v>
      </c>
      <c r="U626" s="515"/>
      <c r="V626" s="549"/>
    </row>
    <row r="627" spans="1:22" ht="15" customHeight="1">
      <c r="C627" s="6" t="s">
        <v>1810</v>
      </c>
      <c r="D627" s="15" t="s">
        <v>1638</v>
      </c>
      <c r="E627" s="20" t="s">
        <v>1639</v>
      </c>
      <c r="F627" s="26"/>
      <c r="G627" s="24"/>
      <c r="H627" s="16"/>
      <c r="I627" s="68"/>
      <c r="J627" s="67"/>
      <c r="K627" s="153" t="s">
        <v>10</v>
      </c>
      <c r="L627" s="39">
        <v>44426</v>
      </c>
      <c r="M627" s="39"/>
      <c r="N627" s="213">
        <v>44426</v>
      </c>
      <c r="O627" s="38">
        <v>3345</v>
      </c>
      <c r="P627" s="6" t="s">
        <v>23</v>
      </c>
      <c r="Q627" s="481"/>
      <c r="S627" s="489"/>
      <c r="T627" s="113"/>
      <c r="U627" s="500"/>
      <c r="V627" s="494"/>
    </row>
    <row r="628" spans="1:22" ht="15">
      <c r="C628" s="6" t="s">
        <v>1810</v>
      </c>
      <c r="D628" s="15" t="s">
        <v>1638</v>
      </c>
      <c r="E628" s="24" t="s">
        <v>1264</v>
      </c>
      <c r="F628" s="26" t="s">
        <v>19</v>
      </c>
      <c r="G628" s="24" t="s">
        <v>1640</v>
      </c>
      <c r="H628" s="198">
        <v>13.5</v>
      </c>
      <c r="I628" s="41">
        <v>72</v>
      </c>
      <c r="J628" s="19">
        <f>H628*I628</f>
        <v>972</v>
      </c>
      <c r="K628" s="25">
        <v>1.71</v>
      </c>
      <c r="L628" s="39">
        <v>44426</v>
      </c>
      <c r="M628" s="39"/>
      <c r="N628" s="213">
        <v>44426</v>
      </c>
      <c r="O628" s="38">
        <v>3345</v>
      </c>
      <c r="P628" s="25">
        <f>K628*0.88</f>
        <v>1.5047999999999999</v>
      </c>
      <c r="Q628" s="483">
        <v>1.5</v>
      </c>
      <c r="S628" s="489">
        <v>65</v>
      </c>
      <c r="T628" s="567">
        <f>S628*J628</f>
        <v>63180</v>
      </c>
      <c r="U628" s="502"/>
      <c r="V628" s="494"/>
    </row>
    <row r="629" spans="1:22" s="7" customFormat="1" ht="17.25" customHeight="1">
      <c r="A629" s="1"/>
      <c r="B629" s="12"/>
      <c r="C629" s="6" t="s">
        <v>1810</v>
      </c>
      <c r="D629" s="15" t="s">
        <v>1638</v>
      </c>
      <c r="E629" s="238"/>
      <c r="F629" s="44"/>
      <c r="G629" s="44" t="s">
        <v>31</v>
      </c>
      <c r="H629" s="8"/>
      <c r="I629" s="152" ph="1"/>
      <c r="J629" s="45">
        <v>1</v>
      </c>
      <c r="K629" s="46">
        <v>12</v>
      </c>
      <c r="L629" s="39">
        <v>44426</v>
      </c>
      <c r="M629" s="39"/>
      <c r="N629" s="213">
        <v>44426</v>
      </c>
      <c r="O629" s="38">
        <v>3345</v>
      </c>
      <c r="P629" s="6"/>
      <c r="Q629" s="483">
        <v>12</v>
      </c>
      <c r="S629" s="490">
        <v>0</v>
      </c>
      <c r="T629" s="567">
        <f>S629*J629</f>
        <v>0</v>
      </c>
      <c r="U629" s="501"/>
      <c r="V629" s="494"/>
    </row>
    <row r="630" spans="1:22" ht="15">
      <c r="C630" s="6" t="s">
        <v>1810</v>
      </c>
      <c r="D630" s="15" t="s">
        <v>1638</v>
      </c>
      <c r="E630" s="24" t="s">
        <v>1264</v>
      </c>
      <c r="F630" s="26" t="s">
        <v>19</v>
      </c>
      <c r="G630" s="24" t="s">
        <v>1640</v>
      </c>
      <c r="H630" s="198">
        <v>13.5</v>
      </c>
      <c r="I630" s="41">
        <v>5</v>
      </c>
      <c r="J630" s="19">
        <f>H630*I630</f>
        <v>67.5</v>
      </c>
      <c r="K630" s="25">
        <v>1.71</v>
      </c>
      <c r="L630" s="451" t="s">
        <v>1841</v>
      </c>
      <c r="M630" s="417"/>
      <c r="N630" s="213"/>
      <c r="O630" s="38"/>
      <c r="P630" s="25"/>
      <c r="Q630" s="483"/>
      <c r="S630" s="489">
        <v>65</v>
      </c>
      <c r="T630" s="567">
        <f>S630*J630</f>
        <v>4387.5</v>
      </c>
      <c r="U630" s="502"/>
      <c r="V630" s="494"/>
    </row>
    <row r="631" spans="1:22" s="314" customFormat="1" ht="15" customHeight="1">
      <c r="A631" s="1"/>
      <c r="B631" s="313"/>
      <c r="C631" s="302" t="s">
        <v>1810</v>
      </c>
      <c r="D631" s="303" t="s">
        <v>1638</v>
      </c>
      <c r="E631" s="304"/>
      <c r="F631" s="305"/>
      <c r="G631" s="305" t="s">
        <v>1227</v>
      </c>
      <c r="H631" s="307" t="s">
        <v>1228</v>
      </c>
      <c r="I631" s="308"/>
      <c r="J631" s="306"/>
      <c r="K631" s="315">
        <v>0</v>
      </c>
      <c r="L631" s="310"/>
      <c r="M631" s="310"/>
      <c r="N631" s="311"/>
      <c r="O631" s="309"/>
      <c r="P631" s="302"/>
      <c r="Q631" s="485">
        <v>0</v>
      </c>
      <c r="S631" s="535">
        <v>0</v>
      </c>
      <c r="T631" s="567">
        <f>S631*J631</f>
        <v>0</v>
      </c>
      <c r="U631" s="515"/>
      <c r="V631" s="549"/>
    </row>
    <row r="632" spans="1:22" s="7" customFormat="1" ht="18" customHeight="1">
      <c r="A632" s="1"/>
      <c r="B632" s="12"/>
      <c r="C632" s="6" t="s">
        <v>1792</v>
      </c>
      <c r="D632" s="15" t="s">
        <v>1214</v>
      </c>
      <c r="E632" s="20" t="s">
        <v>1003</v>
      </c>
      <c r="F632" s="24"/>
      <c r="G632" s="44"/>
      <c r="H632" s="151"/>
      <c r="I632" s="151"/>
      <c r="J632" s="151"/>
      <c r="K632" s="153" t="s">
        <v>10</v>
      </c>
      <c r="L632" s="39">
        <v>44397</v>
      </c>
      <c r="M632" s="39"/>
      <c r="N632" s="213">
        <v>44397</v>
      </c>
      <c r="O632" s="38">
        <v>3343</v>
      </c>
      <c r="P632" s="6"/>
      <c r="Q632" s="411"/>
      <c r="S632" s="489"/>
      <c r="T632" s="113"/>
      <c r="U632" s="501"/>
      <c r="V632" s="494"/>
    </row>
    <row r="633" spans="1:22" s="7" customFormat="1" ht="15.95" customHeight="1">
      <c r="A633" s="1"/>
      <c r="B633" s="12"/>
      <c r="C633" s="6" t="s">
        <v>1792</v>
      </c>
      <c r="D633" s="15" t="s">
        <v>1214</v>
      </c>
      <c r="E633" s="24" t="s">
        <v>1426</v>
      </c>
      <c r="F633" s="44"/>
      <c r="G633" s="44" t="s">
        <v>78</v>
      </c>
      <c r="H633" s="8">
        <v>14</v>
      </c>
      <c r="I633" s="41">
        <v>2</v>
      </c>
      <c r="J633" s="67">
        <f>H633*I633</f>
        <v>28</v>
      </c>
      <c r="K633" s="46">
        <v>1.54</v>
      </c>
      <c r="L633" s="39">
        <v>44397</v>
      </c>
      <c r="M633" s="39"/>
      <c r="N633" s="213">
        <v>44397</v>
      </c>
      <c r="O633" s="38">
        <v>3343</v>
      </c>
      <c r="P633" s="25">
        <f>K633*0.88</f>
        <v>1.3552</v>
      </c>
      <c r="Q633" s="483">
        <v>1.36</v>
      </c>
      <c r="S633" s="489">
        <v>55</v>
      </c>
      <c r="T633" s="567">
        <f>S633*J633</f>
        <v>1540</v>
      </c>
      <c r="U633" s="517" t="s">
        <v>1432</v>
      </c>
      <c r="V633" s="494"/>
    </row>
    <row r="634" spans="1:22" s="7" customFormat="1" ht="15">
      <c r="A634" s="1"/>
      <c r="B634" s="12"/>
      <c r="C634" s="6" t="s">
        <v>1792</v>
      </c>
      <c r="D634" s="15" t="s">
        <v>1214</v>
      </c>
      <c r="E634" s="24"/>
      <c r="F634" s="138"/>
      <c r="G634" s="24" t="s">
        <v>481</v>
      </c>
      <c r="H634" s="8"/>
      <c r="I634" s="41"/>
      <c r="J634" s="45">
        <v>1</v>
      </c>
      <c r="K634" s="46">
        <v>12</v>
      </c>
      <c r="L634" s="39">
        <v>44397</v>
      </c>
      <c r="M634" s="39"/>
      <c r="N634" s="213">
        <v>44397</v>
      </c>
      <c r="O634" s="38">
        <v>3343</v>
      </c>
      <c r="P634" s="6"/>
      <c r="Q634" s="483">
        <v>12</v>
      </c>
      <c r="S634" s="489">
        <v>900</v>
      </c>
      <c r="T634" s="567">
        <f>S634*J634</f>
        <v>900</v>
      </c>
      <c r="U634" s="501"/>
      <c r="V634" s="494"/>
    </row>
    <row r="635" spans="1:22" s="314" customFormat="1" ht="15">
      <c r="A635" s="1"/>
      <c r="B635" s="313"/>
      <c r="C635" s="302" t="s">
        <v>1792</v>
      </c>
      <c r="D635" s="303" t="s">
        <v>1214</v>
      </c>
      <c r="E635" s="304"/>
      <c r="F635" s="305"/>
      <c r="G635" s="305" t="s">
        <v>1227</v>
      </c>
      <c r="H635" s="307" t="s">
        <v>1228</v>
      </c>
      <c r="I635" s="308"/>
      <c r="J635" s="306"/>
      <c r="K635" s="315">
        <v>0</v>
      </c>
      <c r="L635" s="310">
        <v>44397</v>
      </c>
      <c r="M635" s="310"/>
      <c r="N635" s="311">
        <v>44397</v>
      </c>
      <c r="O635" s="309">
        <v>3343</v>
      </c>
      <c r="P635" s="302"/>
      <c r="Q635" s="485">
        <v>0</v>
      </c>
      <c r="S635" s="536">
        <v>0</v>
      </c>
      <c r="T635" s="322">
        <v>0</v>
      </c>
      <c r="U635" s="515"/>
      <c r="V635" s="549"/>
    </row>
    <row r="636" spans="1:22" s="7" customFormat="1" ht="15">
      <c r="A636" s="1"/>
      <c r="B636" s="12"/>
      <c r="C636" s="6" t="s">
        <v>1807</v>
      </c>
      <c r="D636" s="15" t="s">
        <v>1793</v>
      </c>
      <c r="E636" s="20" t="s">
        <v>344</v>
      </c>
      <c r="F636" s="26"/>
      <c r="G636" s="24"/>
      <c r="H636" s="67"/>
      <c r="I636" s="68"/>
      <c r="J636" s="67"/>
      <c r="K636" s="17" t="s">
        <v>134</v>
      </c>
      <c r="L636" s="39">
        <v>44397</v>
      </c>
      <c r="M636" s="39"/>
      <c r="N636" s="213">
        <v>44397</v>
      </c>
      <c r="O636" s="38">
        <v>3342</v>
      </c>
      <c r="P636" s="6" t="s">
        <v>23</v>
      </c>
      <c r="Q636" s="481"/>
      <c r="S636" s="489"/>
      <c r="T636" s="113"/>
      <c r="U636" s="500"/>
      <c r="V636" s="494"/>
    </row>
    <row r="637" spans="1:22" s="7" customFormat="1" ht="15">
      <c r="A637" s="1"/>
      <c r="B637" s="12"/>
      <c r="C637" s="6" t="s">
        <v>1807</v>
      </c>
      <c r="D637" s="15" t="s">
        <v>1793</v>
      </c>
      <c r="E637" s="24">
        <v>14552</v>
      </c>
      <c r="F637" s="26">
        <v>25</v>
      </c>
      <c r="G637" s="24" t="s">
        <v>1794</v>
      </c>
      <c r="H637" s="151">
        <v>30</v>
      </c>
      <c r="I637" s="152">
        <v>1</v>
      </c>
      <c r="J637" s="67">
        <f>H637*I637</f>
        <v>30</v>
      </c>
      <c r="K637" s="46">
        <v>1.03</v>
      </c>
      <c r="L637" s="39">
        <v>44397</v>
      </c>
      <c r="M637" s="39"/>
      <c r="N637" s="213">
        <v>44397</v>
      </c>
      <c r="O637" s="38">
        <v>3342</v>
      </c>
      <c r="P637" s="25">
        <f>K637*0.88</f>
        <v>0.90639999999999998</v>
      </c>
      <c r="Q637" s="482">
        <v>0.91</v>
      </c>
      <c r="S637" s="489">
        <v>55</v>
      </c>
      <c r="T637" s="567">
        <f>S637*J637</f>
        <v>1650</v>
      </c>
      <c r="U637" s="500"/>
      <c r="V637" s="494"/>
    </row>
    <row r="638" spans="1:22" s="7" customFormat="1" ht="15" customHeight="1">
      <c r="A638" s="1"/>
      <c r="B638" s="12"/>
      <c r="C638" s="6" t="s">
        <v>1807</v>
      </c>
      <c r="D638" s="15" t="s">
        <v>1793</v>
      </c>
      <c r="E638" s="24">
        <v>14552</v>
      </c>
      <c r="F638" s="26">
        <v>25</v>
      </c>
      <c r="G638" s="24" t="s">
        <v>431</v>
      </c>
      <c r="H638" s="151">
        <v>30</v>
      </c>
      <c r="I638" s="152">
        <v>1</v>
      </c>
      <c r="J638" s="67">
        <f>H638*I638</f>
        <v>30</v>
      </c>
      <c r="K638" s="46">
        <v>1.03</v>
      </c>
      <c r="L638" s="39">
        <v>44397</v>
      </c>
      <c r="M638" s="39"/>
      <c r="N638" s="213">
        <v>44397</v>
      </c>
      <c r="O638" s="38">
        <v>3342</v>
      </c>
      <c r="P638" s="25">
        <f>K638*0.88</f>
        <v>0.90639999999999998</v>
      </c>
      <c r="Q638" s="482">
        <v>0.91</v>
      </c>
      <c r="S638" s="489">
        <v>55</v>
      </c>
      <c r="T638" s="567">
        <f>S638*J638</f>
        <v>1650</v>
      </c>
      <c r="U638" s="500"/>
      <c r="V638" s="494"/>
    </row>
    <row r="639" spans="1:22" s="7" customFormat="1" ht="15">
      <c r="A639" s="1"/>
      <c r="B639" s="12"/>
      <c r="C639" s="6" t="s">
        <v>1807</v>
      </c>
      <c r="D639" s="15" t="s">
        <v>1793</v>
      </c>
      <c r="E639" s="24"/>
      <c r="F639" s="138"/>
      <c r="G639" s="24" t="s">
        <v>481</v>
      </c>
      <c r="H639" s="8"/>
      <c r="I639" s="41"/>
      <c r="J639" s="45">
        <v>1</v>
      </c>
      <c r="K639" s="46">
        <v>12</v>
      </c>
      <c r="L639" s="39">
        <v>44397</v>
      </c>
      <c r="M639" s="39"/>
      <c r="N639" s="213">
        <v>44397</v>
      </c>
      <c r="O639" s="38">
        <v>3342</v>
      </c>
      <c r="P639" s="6"/>
      <c r="Q639" s="483">
        <v>12</v>
      </c>
      <c r="S639" s="489">
        <v>1000</v>
      </c>
      <c r="T639" s="567">
        <f>S639*J639</f>
        <v>1000</v>
      </c>
      <c r="U639" s="501"/>
      <c r="V639" s="494"/>
    </row>
    <row r="640" spans="1:22" s="314" customFormat="1" ht="15">
      <c r="A640" s="1"/>
      <c r="B640" s="313"/>
      <c r="C640" s="302" t="s">
        <v>1807</v>
      </c>
      <c r="D640" s="303" t="s">
        <v>1793</v>
      </c>
      <c r="E640" s="304"/>
      <c r="F640" s="305"/>
      <c r="G640" s="305" t="s">
        <v>1227</v>
      </c>
      <c r="H640" s="307" t="s">
        <v>1228</v>
      </c>
      <c r="I640" s="308"/>
      <c r="J640" s="306"/>
      <c r="K640" s="315">
        <v>0</v>
      </c>
      <c r="L640" s="310">
        <v>44397</v>
      </c>
      <c r="M640" s="310"/>
      <c r="N640" s="311">
        <v>44397</v>
      </c>
      <c r="O640" s="309">
        <v>3342</v>
      </c>
      <c r="P640" s="302"/>
      <c r="Q640" s="485">
        <v>0</v>
      </c>
      <c r="S640" s="536">
        <v>0</v>
      </c>
      <c r="T640" s="322">
        <v>0</v>
      </c>
      <c r="U640" s="515"/>
      <c r="V640" s="549"/>
    </row>
    <row r="641" spans="1:22" s="7" customFormat="1" ht="18" customHeight="1">
      <c r="A641" s="1"/>
      <c r="B641" s="12"/>
      <c r="C641" s="6" t="s">
        <v>1808</v>
      </c>
      <c r="D641" s="15" t="s">
        <v>586</v>
      </c>
      <c r="E641" s="20" t="s">
        <v>1003</v>
      </c>
      <c r="F641" s="24"/>
      <c r="G641" s="44"/>
      <c r="H641" s="151"/>
      <c r="I641" s="151"/>
      <c r="J641" s="151"/>
      <c r="K641" s="153" t="s">
        <v>10</v>
      </c>
      <c r="L641" s="39">
        <v>44398</v>
      </c>
      <c r="M641" s="39"/>
      <c r="N641" s="213">
        <v>44398</v>
      </c>
      <c r="O641" s="38">
        <v>3350</v>
      </c>
      <c r="P641" s="6"/>
      <c r="Q641" s="411"/>
      <c r="S641" s="489"/>
      <c r="T641" s="113"/>
      <c r="U641" s="501"/>
      <c r="V641" s="494"/>
    </row>
    <row r="642" spans="1:22" s="7" customFormat="1" ht="15.95" customHeight="1">
      <c r="A642" s="1"/>
      <c r="B642" s="12"/>
      <c r="C642" s="6" t="s">
        <v>1808</v>
      </c>
      <c r="D642" s="15" t="s">
        <v>586</v>
      </c>
      <c r="E642" s="24" t="s">
        <v>313</v>
      </c>
      <c r="F642" s="44"/>
      <c r="G642" s="44" t="s">
        <v>78</v>
      </c>
      <c r="H642" s="8">
        <v>14</v>
      </c>
      <c r="I642" s="41">
        <v>1</v>
      </c>
      <c r="J642" s="67">
        <f>H642*I642</f>
        <v>14</v>
      </c>
      <c r="K642" s="46">
        <v>1.21</v>
      </c>
      <c r="L642" s="39">
        <v>44398</v>
      </c>
      <c r="M642" s="39"/>
      <c r="N642" s="213">
        <v>44398</v>
      </c>
      <c r="O642" s="38">
        <v>3350</v>
      </c>
      <c r="P642" s="25">
        <f>K642*0.88</f>
        <v>1.0648</v>
      </c>
      <c r="Q642" s="483">
        <v>1.06</v>
      </c>
      <c r="S642" s="489">
        <v>65</v>
      </c>
      <c r="T642" s="567">
        <f>S642*J642</f>
        <v>910</v>
      </c>
      <c r="U642" s="517"/>
      <c r="V642" s="494"/>
    </row>
    <row r="643" spans="1:22" s="7" customFormat="1" ht="15.95" customHeight="1">
      <c r="A643" s="1"/>
      <c r="B643" s="12"/>
      <c r="C643" s="6" t="s">
        <v>1808</v>
      </c>
      <c r="D643" s="15" t="s">
        <v>586</v>
      </c>
      <c r="E643" s="24" t="s">
        <v>1801</v>
      </c>
      <c r="F643" s="44"/>
      <c r="G643" s="44" t="s">
        <v>78</v>
      </c>
      <c r="H643" s="8">
        <v>14</v>
      </c>
      <c r="I643" s="41">
        <v>1</v>
      </c>
      <c r="J643" s="67">
        <f>H643*I643</f>
        <v>14</v>
      </c>
      <c r="K643" s="46">
        <v>1.6</v>
      </c>
      <c r="L643" s="39">
        <v>44398</v>
      </c>
      <c r="M643" s="39"/>
      <c r="N643" s="213">
        <v>44398</v>
      </c>
      <c r="O643" s="38">
        <v>3350</v>
      </c>
      <c r="P643" s="25">
        <f>K643*0.88</f>
        <v>1.4080000000000001</v>
      </c>
      <c r="Q643" s="483">
        <v>1.41</v>
      </c>
      <c r="S643" s="489">
        <v>86</v>
      </c>
      <c r="T643" s="567">
        <f>S643*J643</f>
        <v>1204</v>
      </c>
      <c r="U643" s="517"/>
      <c r="V643" s="494"/>
    </row>
    <row r="644" spans="1:22" s="7" customFormat="1" ht="15.95" customHeight="1">
      <c r="A644" s="1"/>
      <c r="B644" s="12"/>
      <c r="C644" s="6" t="s">
        <v>1808</v>
      </c>
      <c r="D644" s="15" t="s">
        <v>586</v>
      </c>
      <c r="E644" s="24" t="s">
        <v>1802</v>
      </c>
      <c r="F644" s="44"/>
      <c r="G644" s="44" t="s">
        <v>78</v>
      </c>
      <c r="H644" s="8">
        <v>14</v>
      </c>
      <c r="I644" s="41">
        <v>1</v>
      </c>
      <c r="J644" s="67">
        <f>H644*I644</f>
        <v>14</v>
      </c>
      <c r="K644" s="46">
        <v>1.62</v>
      </c>
      <c r="L644" s="39">
        <v>44398</v>
      </c>
      <c r="M644" s="39"/>
      <c r="N644" s="213">
        <v>44398</v>
      </c>
      <c r="O644" s="38">
        <v>3350</v>
      </c>
      <c r="P644" s="25">
        <f>K644*0.88</f>
        <v>1.4256000000000002</v>
      </c>
      <c r="Q644" s="483">
        <v>1.43</v>
      </c>
      <c r="S644" s="489">
        <v>87</v>
      </c>
      <c r="T644" s="567">
        <f>S644*J644</f>
        <v>1218</v>
      </c>
      <c r="U644" s="517"/>
      <c r="V644" s="494"/>
    </row>
    <row r="645" spans="1:22" s="7" customFormat="1" ht="15">
      <c r="A645" s="1"/>
      <c r="B645" s="12"/>
      <c r="C645" s="6" t="s">
        <v>1808</v>
      </c>
      <c r="D645" s="15" t="s">
        <v>586</v>
      </c>
      <c r="E645" s="24"/>
      <c r="F645" s="138"/>
      <c r="G645" s="24" t="s">
        <v>481</v>
      </c>
      <c r="H645" s="8"/>
      <c r="I645" s="41"/>
      <c r="J645" s="45">
        <v>1</v>
      </c>
      <c r="K645" s="46">
        <v>12</v>
      </c>
      <c r="L645" s="39">
        <v>44398</v>
      </c>
      <c r="M645" s="39"/>
      <c r="N645" s="213">
        <v>44398</v>
      </c>
      <c r="O645" s="38">
        <v>3350</v>
      </c>
      <c r="P645" s="6"/>
      <c r="Q645" s="483">
        <v>12</v>
      </c>
      <c r="S645" s="489">
        <v>900</v>
      </c>
      <c r="T645" s="567">
        <f>S645*J645</f>
        <v>900</v>
      </c>
      <c r="U645" s="501"/>
      <c r="V645" s="494"/>
    </row>
    <row r="646" spans="1:22" s="314" customFormat="1" ht="15">
      <c r="A646" s="1"/>
      <c r="B646" s="313"/>
      <c r="C646" s="302" t="s">
        <v>1808</v>
      </c>
      <c r="D646" s="303" t="s">
        <v>586</v>
      </c>
      <c r="E646" s="304"/>
      <c r="F646" s="305"/>
      <c r="G646" s="305" t="s">
        <v>1227</v>
      </c>
      <c r="H646" s="307" t="s">
        <v>1228</v>
      </c>
      <c r="I646" s="308"/>
      <c r="J646" s="306"/>
      <c r="K646" s="315">
        <v>0</v>
      </c>
      <c r="L646" s="310">
        <v>44398</v>
      </c>
      <c r="M646" s="310"/>
      <c r="N646" s="311">
        <v>44398</v>
      </c>
      <c r="O646" s="309">
        <v>3350</v>
      </c>
      <c r="P646" s="302"/>
      <c r="Q646" s="485">
        <v>0</v>
      </c>
      <c r="S646" s="536">
        <v>0</v>
      </c>
      <c r="T646" s="322">
        <v>0</v>
      </c>
      <c r="U646" s="515"/>
      <c r="V646" s="549"/>
    </row>
    <row r="647" spans="1:22" s="7" customFormat="1" ht="15">
      <c r="A647" s="1"/>
      <c r="B647" s="12"/>
      <c r="C647" s="6" t="s">
        <v>1820</v>
      </c>
      <c r="D647" s="15" t="s">
        <v>586</v>
      </c>
      <c r="E647" s="20" t="s">
        <v>408</v>
      </c>
      <c r="F647" s="26"/>
      <c r="G647" s="24"/>
      <c r="H647" s="67"/>
      <c r="I647" s="68"/>
      <c r="J647" s="67"/>
      <c r="K647" s="17" t="s">
        <v>134</v>
      </c>
      <c r="L647" s="39">
        <v>44403</v>
      </c>
      <c r="M647" s="39"/>
      <c r="N647" s="213">
        <v>44403</v>
      </c>
      <c r="O647" s="38">
        <v>3354</v>
      </c>
      <c r="P647" s="6" t="s">
        <v>23</v>
      </c>
      <c r="Q647" s="481"/>
      <c r="S647" s="489"/>
      <c r="T647" s="113"/>
      <c r="U647" s="500"/>
      <c r="V647" s="494"/>
    </row>
    <row r="648" spans="1:22" s="7" customFormat="1" ht="15">
      <c r="A648" s="1"/>
      <c r="B648" s="12"/>
      <c r="C648" s="6" t="s">
        <v>1820</v>
      </c>
      <c r="D648" s="15" t="s">
        <v>586</v>
      </c>
      <c r="E648" s="24">
        <v>5265</v>
      </c>
      <c r="F648" s="26">
        <v>4</v>
      </c>
      <c r="G648" s="24" t="s">
        <v>353</v>
      </c>
      <c r="H648" s="151">
        <v>50</v>
      </c>
      <c r="I648" s="152">
        <v>1</v>
      </c>
      <c r="J648" s="67">
        <f>H648*I648</f>
        <v>50</v>
      </c>
      <c r="K648" s="46">
        <v>0.33</v>
      </c>
      <c r="L648" s="39">
        <v>44403</v>
      </c>
      <c r="M648" s="39"/>
      <c r="N648" s="213">
        <v>44403</v>
      </c>
      <c r="O648" s="38">
        <v>3354</v>
      </c>
      <c r="P648" s="25">
        <f>K648*0.88</f>
        <v>0.29039999999999999</v>
      </c>
      <c r="Q648" s="482">
        <v>0.28999999999999998</v>
      </c>
      <c r="S648" s="489">
        <v>16</v>
      </c>
      <c r="T648" s="567">
        <f>S648*J648</f>
        <v>800</v>
      </c>
      <c r="U648" s="500"/>
      <c r="V648" s="494"/>
    </row>
    <row r="649" spans="1:22" s="7" customFormat="1" ht="15">
      <c r="A649" s="1"/>
      <c r="B649" s="12"/>
      <c r="C649" s="6" t="s">
        <v>1820</v>
      </c>
      <c r="D649" s="15" t="s">
        <v>586</v>
      </c>
      <c r="E649" s="24">
        <v>5265</v>
      </c>
      <c r="F649" s="26">
        <v>6</v>
      </c>
      <c r="G649" s="24" t="s">
        <v>353</v>
      </c>
      <c r="H649" s="151">
        <v>50</v>
      </c>
      <c r="I649" s="152">
        <v>1</v>
      </c>
      <c r="J649" s="67">
        <f>H649*I649</f>
        <v>50</v>
      </c>
      <c r="K649" s="46">
        <v>0.38</v>
      </c>
      <c r="L649" s="39">
        <v>44403</v>
      </c>
      <c r="M649" s="39"/>
      <c r="N649" s="213">
        <v>44403</v>
      </c>
      <c r="O649" s="38">
        <v>3354</v>
      </c>
      <c r="P649" s="25">
        <f>K649*0.88</f>
        <v>0.33440000000000003</v>
      </c>
      <c r="Q649" s="482">
        <v>0.33</v>
      </c>
      <c r="S649" s="489">
        <v>19</v>
      </c>
      <c r="T649" s="567">
        <f>S649*J649</f>
        <v>950</v>
      </c>
      <c r="U649" s="500"/>
      <c r="V649" s="494"/>
    </row>
    <row r="650" spans="1:22" s="7" customFormat="1" ht="15">
      <c r="A650" s="1"/>
      <c r="B650" s="12"/>
      <c r="C650" s="6" t="s">
        <v>1820</v>
      </c>
      <c r="D650" s="15" t="s">
        <v>586</v>
      </c>
      <c r="E650" s="24"/>
      <c r="F650" s="138"/>
      <c r="G650" s="24" t="s">
        <v>481</v>
      </c>
      <c r="H650" s="8"/>
      <c r="I650" s="41"/>
      <c r="J650" s="45">
        <v>1</v>
      </c>
      <c r="K650" s="46">
        <v>12</v>
      </c>
      <c r="L650" s="39">
        <v>44403</v>
      </c>
      <c r="M650" s="39"/>
      <c r="N650" s="213">
        <v>44403</v>
      </c>
      <c r="O650" s="38">
        <v>3354</v>
      </c>
      <c r="P650" s="6"/>
      <c r="Q650" s="483">
        <v>12</v>
      </c>
      <c r="S650" s="489">
        <v>900</v>
      </c>
      <c r="T650" s="567">
        <f>S650*J650</f>
        <v>900</v>
      </c>
      <c r="U650" s="501"/>
      <c r="V650" s="494"/>
    </row>
    <row r="651" spans="1:22" s="314" customFormat="1" ht="15">
      <c r="A651" s="1"/>
      <c r="B651" s="313"/>
      <c r="C651" s="302" t="s">
        <v>1820</v>
      </c>
      <c r="D651" s="303" t="s">
        <v>586</v>
      </c>
      <c r="E651" s="304"/>
      <c r="F651" s="305"/>
      <c r="G651" s="305" t="s">
        <v>1227</v>
      </c>
      <c r="H651" s="307" t="s">
        <v>1228</v>
      </c>
      <c r="I651" s="308"/>
      <c r="J651" s="306"/>
      <c r="K651" s="315">
        <v>0</v>
      </c>
      <c r="L651" s="310">
        <v>44403</v>
      </c>
      <c r="M651" s="310"/>
      <c r="N651" s="311">
        <v>44403</v>
      </c>
      <c r="O651" s="309">
        <v>3354</v>
      </c>
      <c r="P651" s="302"/>
      <c r="Q651" s="485">
        <v>0</v>
      </c>
      <c r="S651" s="536">
        <v>0</v>
      </c>
      <c r="T651" s="322">
        <v>0</v>
      </c>
      <c r="U651" s="515"/>
      <c r="V651" s="549"/>
    </row>
    <row r="652" spans="1:22" s="7" customFormat="1" ht="18" customHeight="1">
      <c r="A652" s="1"/>
      <c r="B652" s="12"/>
      <c r="C652" s="6" t="s">
        <v>1821</v>
      </c>
      <c r="D652" s="15" t="s">
        <v>1683</v>
      </c>
      <c r="E652" s="20" t="s">
        <v>1003</v>
      </c>
      <c r="F652" s="24"/>
      <c r="G652" s="44"/>
      <c r="H652" s="151"/>
      <c r="I652" s="151"/>
      <c r="J652" s="151"/>
      <c r="K652" s="153" t="s">
        <v>10</v>
      </c>
      <c r="L652" s="39">
        <v>44403</v>
      </c>
      <c r="M652" s="39"/>
      <c r="N652" s="213">
        <v>44403</v>
      </c>
      <c r="O652" s="38">
        <v>3355</v>
      </c>
      <c r="P652" s="6"/>
      <c r="Q652" s="411"/>
      <c r="S652" s="489"/>
      <c r="T652" s="113"/>
      <c r="U652" s="501"/>
      <c r="V652" s="494"/>
    </row>
    <row r="653" spans="1:22" s="7" customFormat="1" ht="15.95" customHeight="1">
      <c r="A653" s="1"/>
      <c r="B653" s="12"/>
      <c r="C653" s="6" t="s">
        <v>1821</v>
      </c>
      <c r="D653" s="15" t="s">
        <v>1683</v>
      </c>
      <c r="E653" s="24" t="s">
        <v>1215</v>
      </c>
      <c r="F653" s="44"/>
      <c r="G653" s="44" t="s">
        <v>78</v>
      </c>
      <c r="H653" s="8">
        <v>14</v>
      </c>
      <c r="I653" s="41">
        <v>4</v>
      </c>
      <c r="J653" s="67">
        <v>56</v>
      </c>
      <c r="K653" s="46">
        <v>2.21</v>
      </c>
      <c r="L653" s="39">
        <v>44403</v>
      </c>
      <c r="M653" s="39"/>
      <c r="N653" s="213">
        <v>44403</v>
      </c>
      <c r="O653" s="38">
        <v>3355</v>
      </c>
      <c r="P653" s="25">
        <v>1.9448000000000001</v>
      </c>
      <c r="Q653" s="483">
        <v>1.94</v>
      </c>
      <c r="S653" s="489">
        <v>119</v>
      </c>
      <c r="T653" s="567">
        <f>S653*J653</f>
        <v>6664</v>
      </c>
      <c r="U653" s="517"/>
      <c r="V653" s="494"/>
    </row>
    <row r="654" spans="1:22" s="7" customFormat="1" ht="15">
      <c r="A654" s="1"/>
      <c r="B654" s="12"/>
      <c r="C654" s="6" t="s">
        <v>1821</v>
      </c>
      <c r="D654" s="15" t="s">
        <v>1683</v>
      </c>
      <c r="E654" s="24"/>
      <c r="F654" s="138"/>
      <c r="G654" s="24" t="s">
        <v>481</v>
      </c>
      <c r="H654" s="8"/>
      <c r="I654" s="41"/>
      <c r="J654" s="45">
        <v>1</v>
      </c>
      <c r="K654" s="46">
        <v>12</v>
      </c>
      <c r="L654" s="39">
        <v>44403</v>
      </c>
      <c r="M654" s="39"/>
      <c r="N654" s="213">
        <v>44403</v>
      </c>
      <c r="O654" s="38">
        <v>3355</v>
      </c>
      <c r="P654" s="6"/>
      <c r="Q654" s="483">
        <v>12</v>
      </c>
      <c r="S654" s="489">
        <v>0</v>
      </c>
      <c r="T654" s="567">
        <f>S654*J654</f>
        <v>0</v>
      </c>
      <c r="U654" s="501"/>
      <c r="V654" s="494"/>
    </row>
    <row r="655" spans="1:22" s="314" customFormat="1" ht="15">
      <c r="A655" s="1"/>
      <c r="B655" s="313"/>
      <c r="C655" s="302" t="s">
        <v>1821</v>
      </c>
      <c r="D655" s="303" t="s">
        <v>1683</v>
      </c>
      <c r="E655" s="304"/>
      <c r="F655" s="305"/>
      <c r="G655" s="305" t="s">
        <v>1227</v>
      </c>
      <c r="H655" s="307" t="s">
        <v>1228</v>
      </c>
      <c r="I655" s="308"/>
      <c r="J655" s="306"/>
      <c r="K655" s="315">
        <v>0</v>
      </c>
      <c r="L655" s="310">
        <v>44403</v>
      </c>
      <c r="M655" s="310"/>
      <c r="N655" s="311">
        <v>44403</v>
      </c>
      <c r="O655" s="309">
        <v>3355</v>
      </c>
      <c r="P655" s="302"/>
      <c r="Q655" s="485">
        <v>0</v>
      </c>
      <c r="S655" s="536">
        <v>0</v>
      </c>
      <c r="T655" s="322">
        <v>0</v>
      </c>
      <c r="U655" s="515"/>
      <c r="V655" s="549"/>
    </row>
    <row r="656" spans="1:22" s="7" customFormat="1" ht="15">
      <c r="A656" s="1"/>
      <c r="B656" s="12"/>
      <c r="C656" s="6" t="s">
        <v>1829</v>
      </c>
      <c r="D656" s="15" t="s">
        <v>909</v>
      </c>
      <c r="E656" s="20" t="s">
        <v>1139</v>
      </c>
      <c r="F656" s="26"/>
      <c r="G656" s="24"/>
      <c r="H656" s="45"/>
      <c r="I656" s="68"/>
      <c r="J656" s="67"/>
      <c r="K656" s="17" t="s">
        <v>10</v>
      </c>
      <c r="L656" s="39">
        <v>44406</v>
      </c>
      <c r="M656" s="39"/>
      <c r="N656" s="213">
        <v>44406</v>
      </c>
      <c r="O656" s="38">
        <v>3364</v>
      </c>
      <c r="P656" s="6"/>
      <c r="Q656" s="482"/>
      <c r="S656" s="489"/>
      <c r="T656" s="113"/>
      <c r="U656" s="500"/>
      <c r="V656" s="494"/>
    </row>
    <row r="657" spans="1:22" s="7" customFormat="1" ht="15" customHeight="1">
      <c r="A657" s="1"/>
      <c r="B657" s="12"/>
      <c r="C657" s="6" t="s">
        <v>1829</v>
      </c>
      <c r="D657" s="15" t="s">
        <v>909</v>
      </c>
      <c r="E657" s="24">
        <v>3717</v>
      </c>
      <c r="F657" s="26">
        <v>19</v>
      </c>
      <c r="G657" s="24" t="s">
        <v>1830</v>
      </c>
      <c r="H657" s="151">
        <v>30</v>
      </c>
      <c r="I657" s="152">
        <v>3</v>
      </c>
      <c r="J657" s="67">
        <f>H657*I657</f>
        <v>90</v>
      </c>
      <c r="K657" s="46">
        <v>0.44</v>
      </c>
      <c r="L657" s="39">
        <v>44406</v>
      </c>
      <c r="M657" s="39"/>
      <c r="N657" s="213">
        <v>44406</v>
      </c>
      <c r="O657" s="38">
        <v>3364</v>
      </c>
      <c r="P657" s="25">
        <f>K657*0.88</f>
        <v>0.38719999999999999</v>
      </c>
      <c r="Q657" s="483">
        <v>0.39</v>
      </c>
      <c r="S657" s="489">
        <v>23.33</v>
      </c>
      <c r="T657" s="567">
        <f>S657*J657</f>
        <v>2099.6999999999998</v>
      </c>
      <c r="U657" s="500"/>
      <c r="V657" s="494"/>
    </row>
    <row r="658" spans="1:22" s="7" customFormat="1" ht="15" customHeight="1">
      <c r="A658" s="1"/>
      <c r="B658" s="12"/>
      <c r="C658" s="6" t="s">
        <v>1829</v>
      </c>
      <c r="D658" s="15" t="s">
        <v>909</v>
      </c>
      <c r="E658" s="20" t="s">
        <v>337</v>
      </c>
      <c r="F658" s="26"/>
      <c r="G658" s="24"/>
      <c r="H658" s="45"/>
      <c r="I658" s="68"/>
      <c r="J658" s="67"/>
      <c r="K658" s="17" t="s">
        <v>10</v>
      </c>
      <c r="L658" s="39">
        <v>44406</v>
      </c>
      <c r="M658" s="39"/>
      <c r="N658" s="213">
        <v>44406</v>
      </c>
      <c r="O658" s="38">
        <v>3364</v>
      </c>
      <c r="P658" s="6"/>
      <c r="Q658" s="482"/>
      <c r="S658" s="489"/>
      <c r="T658" s="113"/>
      <c r="U658" s="500"/>
      <c r="V658" s="494"/>
    </row>
    <row r="659" spans="1:22" s="7" customFormat="1" ht="15" customHeight="1">
      <c r="A659" s="1"/>
      <c r="B659" s="12"/>
      <c r="C659" s="6" t="s">
        <v>1829</v>
      </c>
      <c r="D659" s="15" t="s">
        <v>909</v>
      </c>
      <c r="E659" s="24">
        <v>3705</v>
      </c>
      <c r="F659" s="26">
        <v>19</v>
      </c>
      <c r="G659" s="24" t="s">
        <v>1831</v>
      </c>
      <c r="H659" s="151">
        <v>30</v>
      </c>
      <c r="I659" s="152">
        <v>7</v>
      </c>
      <c r="J659" s="67">
        <f>H659*I659</f>
        <v>210</v>
      </c>
      <c r="K659" s="46">
        <v>0.47</v>
      </c>
      <c r="L659" s="39">
        <v>44406</v>
      </c>
      <c r="M659" s="39"/>
      <c r="N659" s="213">
        <v>44406</v>
      </c>
      <c r="O659" s="38">
        <v>3364</v>
      </c>
      <c r="P659" s="25">
        <f>K659*0.88</f>
        <v>0.41359999999999997</v>
      </c>
      <c r="Q659" s="483">
        <v>0.41</v>
      </c>
      <c r="S659" s="489">
        <v>21.434000000000001</v>
      </c>
      <c r="T659" s="567">
        <f>S659*J659</f>
        <v>4501.1400000000003</v>
      </c>
      <c r="U659" s="500" t="s">
        <v>1292</v>
      </c>
      <c r="V659" s="494"/>
    </row>
    <row r="660" spans="1:22" ht="15.95" customHeight="1">
      <c r="C660" s="6" t="s">
        <v>1829</v>
      </c>
      <c r="D660" s="15" t="s">
        <v>909</v>
      </c>
      <c r="E660" s="24"/>
      <c r="F660" s="138"/>
      <c r="G660" s="24" t="s">
        <v>481</v>
      </c>
      <c r="H660" s="8"/>
      <c r="I660" s="41"/>
      <c r="J660" s="45">
        <v>1</v>
      </c>
      <c r="K660" s="46">
        <v>12</v>
      </c>
      <c r="L660" s="39">
        <v>44406</v>
      </c>
      <c r="M660" s="39"/>
      <c r="N660" s="213">
        <v>44406</v>
      </c>
      <c r="O660" s="38">
        <v>3364</v>
      </c>
      <c r="P660" s="179"/>
      <c r="Q660" s="483">
        <v>12</v>
      </c>
      <c r="S660" s="489">
        <v>0</v>
      </c>
      <c r="T660" s="567">
        <f>S660*J660</f>
        <v>0</v>
      </c>
      <c r="U660" s="511"/>
    </row>
    <row r="661" spans="1:22" s="314" customFormat="1" ht="15">
      <c r="A661" s="1"/>
      <c r="B661" s="313"/>
      <c r="C661" s="302" t="s">
        <v>1829</v>
      </c>
      <c r="D661" s="303" t="s">
        <v>909</v>
      </c>
      <c r="E661" s="304"/>
      <c r="F661" s="305"/>
      <c r="G661" s="305" t="s">
        <v>1227</v>
      </c>
      <c r="H661" s="307" t="s">
        <v>1228</v>
      </c>
      <c r="I661" s="308"/>
      <c r="J661" s="306"/>
      <c r="K661" s="315">
        <v>0</v>
      </c>
      <c r="L661" s="310">
        <v>44406</v>
      </c>
      <c r="M661" s="310"/>
      <c r="N661" s="311">
        <v>44406</v>
      </c>
      <c r="O661" s="309">
        <v>3364</v>
      </c>
      <c r="P661" s="302"/>
      <c r="Q661" s="485">
        <v>0</v>
      </c>
      <c r="S661" s="535">
        <v>0</v>
      </c>
      <c r="T661" s="322">
        <v>0</v>
      </c>
      <c r="U661" s="515"/>
      <c r="V661" s="549"/>
    </row>
    <row r="662" spans="1:22" s="7" customFormat="1" ht="15" customHeight="1">
      <c r="A662" s="1"/>
      <c r="B662" s="12"/>
      <c r="C662" s="6" t="s">
        <v>1837</v>
      </c>
      <c r="D662" s="15" t="s">
        <v>169</v>
      </c>
      <c r="E662" s="20" t="s">
        <v>27</v>
      </c>
      <c r="F662" s="150"/>
      <c r="G662" s="24"/>
      <c r="H662" s="151"/>
      <c r="I662" s="152"/>
      <c r="J662" s="151"/>
      <c r="K662" s="34" t="s">
        <v>10</v>
      </c>
      <c r="L662" s="39">
        <v>44406</v>
      </c>
      <c r="M662" s="39"/>
      <c r="N662" s="213">
        <v>44406</v>
      </c>
      <c r="O662" s="38">
        <v>3363</v>
      </c>
      <c r="P662" s="15"/>
      <c r="Q662" s="483"/>
      <c r="S662" s="489"/>
      <c r="T662" s="113"/>
      <c r="U662" s="506"/>
      <c r="V662" s="494"/>
    </row>
    <row r="663" spans="1:22" s="7" customFormat="1" ht="15">
      <c r="A663" s="1"/>
      <c r="B663" s="12"/>
      <c r="C663" s="6" t="s">
        <v>1837</v>
      </c>
      <c r="D663" s="15" t="s">
        <v>169</v>
      </c>
      <c r="E663" s="24" t="s">
        <v>536</v>
      </c>
      <c r="F663" s="150">
        <v>160</v>
      </c>
      <c r="G663" s="24" t="s">
        <v>824</v>
      </c>
      <c r="H663" s="67">
        <v>50</v>
      </c>
      <c r="I663" s="68">
        <v>1</v>
      </c>
      <c r="J663" s="67">
        <f>H663*I663</f>
        <v>50</v>
      </c>
      <c r="K663" s="25">
        <v>4.45</v>
      </c>
      <c r="L663" s="39">
        <v>44406</v>
      </c>
      <c r="M663" s="39"/>
      <c r="N663" s="213">
        <v>44406</v>
      </c>
      <c r="O663" s="38">
        <v>3363</v>
      </c>
      <c r="P663" s="25">
        <f>K663*0.94</f>
        <v>4.1829999999999998</v>
      </c>
      <c r="Q663" s="483">
        <v>4.18</v>
      </c>
      <c r="S663" s="532">
        <v>320</v>
      </c>
      <c r="T663" s="113">
        <f>S663*J663</f>
        <v>16000</v>
      </c>
      <c r="U663" s="501"/>
      <c r="V663" s="494"/>
    </row>
    <row r="664" spans="1:22" s="7" customFormat="1" ht="15">
      <c r="A664" s="1"/>
      <c r="B664" s="12"/>
      <c r="C664" s="6" t="s">
        <v>1837</v>
      </c>
      <c r="D664" s="15" t="s">
        <v>169</v>
      </c>
      <c r="E664" s="24" t="s">
        <v>536</v>
      </c>
      <c r="F664" s="150">
        <v>160</v>
      </c>
      <c r="G664" s="24" t="s">
        <v>114</v>
      </c>
      <c r="H664" s="67">
        <v>50</v>
      </c>
      <c r="I664" s="68">
        <v>1</v>
      </c>
      <c r="J664" s="67">
        <f>H664*I664</f>
        <v>50</v>
      </c>
      <c r="K664" s="25">
        <v>4.45</v>
      </c>
      <c r="L664" s="39">
        <v>44406</v>
      </c>
      <c r="M664" s="39"/>
      <c r="N664" s="213">
        <v>44406</v>
      </c>
      <c r="O664" s="38">
        <v>3363</v>
      </c>
      <c r="P664" s="25">
        <f>K664*0.94</f>
        <v>4.1829999999999998</v>
      </c>
      <c r="Q664" s="483">
        <v>4.18</v>
      </c>
      <c r="S664" s="532">
        <v>320</v>
      </c>
      <c r="T664" s="113">
        <f>S664*J664</f>
        <v>16000</v>
      </c>
      <c r="U664" s="501"/>
      <c r="V664" s="494"/>
    </row>
    <row r="665" spans="1:22" s="7" customFormat="1" ht="15" customHeight="1">
      <c r="A665" s="1"/>
      <c r="B665" s="12"/>
      <c r="C665" s="6" t="s">
        <v>1837</v>
      </c>
      <c r="D665" s="15" t="s">
        <v>169</v>
      </c>
      <c r="E665" s="56"/>
      <c r="F665" s="138"/>
      <c r="G665" s="24" t="s">
        <v>481</v>
      </c>
      <c r="H665" s="8"/>
      <c r="I665" s="41"/>
      <c r="J665" s="45">
        <v>1</v>
      </c>
      <c r="K665" s="46">
        <v>20</v>
      </c>
      <c r="L665" s="39">
        <v>44406</v>
      </c>
      <c r="M665" s="39"/>
      <c r="N665" s="213">
        <v>44406</v>
      </c>
      <c r="O665" s="38">
        <v>3363</v>
      </c>
      <c r="P665" s="6"/>
      <c r="Q665" s="483">
        <v>20</v>
      </c>
      <c r="S665" s="532">
        <v>1800</v>
      </c>
      <c r="T665" s="113">
        <v>1800</v>
      </c>
      <c r="U665" s="501"/>
      <c r="V665" s="494"/>
    </row>
    <row r="666" spans="1:22" s="314" customFormat="1" ht="15">
      <c r="A666" s="1"/>
      <c r="B666" s="313"/>
      <c r="C666" s="302" t="s">
        <v>1837</v>
      </c>
      <c r="D666" s="303" t="s">
        <v>169</v>
      </c>
      <c r="E666" s="304"/>
      <c r="F666" s="305"/>
      <c r="G666" s="305" t="s">
        <v>1227</v>
      </c>
      <c r="H666" s="307" t="s">
        <v>1228</v>
      </c>
      <c r="I666" s="308"/>
      <c r="J666" s="306"/>
      <c r="K666" s="315">
        <v>0</v>
      </c>
      <c r="L666" s="310">
        <v>44406</v>
      </c>
      <c r="M666" s="310"/>
      <c r="N666" s="311">
        <v>44406</v>
      </c>
      <c r="O666" s="309">
        <v>3363</v>
      </c>
      <c r="P666" s="302"/>
      <c r="Q666" s="485">
        <v>0</v>
      </c>
      <c r="S666" s="535">
        <v>0</v>
      </c>
      <c r="T666" s="322">
        <v>0</v>
      </c>
      <c r="U666" s="515"/>
      <c r="V666" s="549"/>
    </row>
    <row r="667" spans="1:22" s="7" customFormat="1" ht="15" customHeight="1">
      <c r="A667" s="1"/>
      <c r="B667" s="12"/>
      <c r="C667" s="6" t="s">
        <v>1838</v>
      </c>
      <c r="D667" s="15" t="s">
        <v>1709</v>
      </c>
      <c r="E667" s="20" t="s">
        <v>1839</v>
      </c>
      <c r="F667" s="26"/>
      <c r="G667" s="24"/>
      <c r="H667" s="67"/>
      <c r="I667" s="68"/>
      <c r="J667" s="67"/>
      <c r="K667" s="17" t="s">
        <v>134</v>
      </c>
      <c r="L667" s="39"/>
      <c r="M667" s="39"/>
      <c r="N667" s="213"/>
      <c r="O667" s="38"/>
      <c r="P667" s="6"/>
      <c r="Q667" s="481"/>
      <c r="S667" s="489"/>
      <c r="T667" s="113"/>
      <c r="U667" s="500"/>
      <c r="V667" s="494">
        <v>90</v>
      </c>
    </row>
    <row r="668" spans="1:22" s="7" customFormat="1" ht="15" customHeight="1">
      <c r="A668" s="1"/>
      <c r="B668" s="12" t="s">
        <v>1856</v>
      </c>
      <c r="C668" s="6" t="s">
        <v>1838</v>
      </c>
      <c r="D668" s="15" t="s">
        <v>1709</v>
      </c>
      <c r="E668" s="95" t="s">
        <v>1834</v>
      </c>
      <c r="F668" s="26">
        <v>5</v>
      </c>
      <c r="G668" s="24" t="s">
        <v>1840</v>
      </c>
      <c r="H668" s="151">
        <v>30</v>
      </c>
      <c r="I668" s="152">
        <v>1</v>
      </c>
      <c r="J668" s="67">
        <f>H668*I668</f>
        <v>30</v>
      </c>
      <c r="K668" s="25">
        <f>S668/V668/(VLOOKUP(B668,$C$2:$F$6,4,FALSE))</f>
        <v>0.83333333333333337</v>
      </c>
      <c r="L668" s="39"/>
      <c r="M668" s="39"/>
      <c r="N668" s="213"/>
      <c r="O668" s="38"/>
      <c r="P668" s="180">
        <f>K668*(VLOOKUP(B668,$C$2:$F$6,3,FALSE))</f>
        <v>0.73333333333333339</v>
      </c>
      <c r="Q668" s="482">
        <v>0.73</v>
      </c>
      <c r="S668" s="489">
        <v>45</v>
      </c>
      <c r="T668" s="567">
        <f>S668*J668</f>
        <v>1350</v>
      </c>
      <c r="U668" s="500"/>
      <c r="V668" s="494">
        <v>90</v>
      </c>
    </row>
    <row r="669" spans="1:22" s="7" customFormat="1" ht="15">
      <c r="A669" s="1"/>
      <c r="B669" s="12"/>
      <c r="C669" s="6" t="s">
        <v>1838</v>
      </c>
      <c r="D669" s="15" t="s">
        <v>1709</v>
      </c>
      <c r="E669" s="24"/>
      <c r="F669" s="138"/>
      <c r="G669" s="24" t="s">
        <v>481</v>
      </c>
      <c r="H669" s="8"/>
      <c r="I669" s="41"/>
      <c r="J669" s="45">
        <v>1</v>
      </c>
      <c r="K669" s="46">
        <v>12</v>
      </c>
      <c r="L669" s="39"/>
      <c r="M669" s="39"/>
      <c r="N669" s="213"/>
      <c r="O669" s="38"/>
      <c r="P669" s="6"/>
      <c r="Q669" s="483">
        <v>12</v>
      </c>
      <c r="S669" s="490">
        <v>1000</v>
      </c>
      <c r="T669" s="567">
        <f>S669*J669</f>
        <v>1000</v>
      </c>
      <c r="U669" s="501"/>
      <c r="V669" s="494">
        <v>90</v>
      </c>
    </row>
    <row r="670" spans="1:22" s="314" customFormat="1" ht="15">
      <c r="A670" s="1"/>
      <c r="B670" s="313"/>
      <c r="C670" s="302" t="s">
        <v>1838</v>
      </c>
      <c r="D670" s="303" t="s">
        <v>1709</v>
      </c>
      <c r="E670" s="304"/>
      <c r="F670" s="305"/>
      <c r="G670" s="305" t="s">
        <v>1227</v>
      </c>
      <c r="H670" s="307" t="s">
        <v>1228</v>
      </c>
      <c r="I670" s="308"/>
      <c r="J670" s="306"/>
      <c r="K670" s="315">
        <v>0</v>
      </c>
      <c r="L670" s="310"/>
      <c r="M670" s="310"/>
      <c r="N670" s="311"/>
      <c r="O670" s="309"/>
      <c r="P670" s="302"/>
      <c r="Q670" s="531">
        <v>0</v>
      </c>
      <c r="S670" s="489">
        <v>0</v>
      </c>
      <c r="T670" s="567">
        <v>0</v>
      </c>
      <c r="U670" s="515"/>
      <c r="V670" s="494">
        <v>90</v>
      </c>
    </row>
    <row r="671" spans="1:22" s="7" customFormat="1" ht="15" customHeight="1">
      <c r="A671" s="1"/>
      <c r="B671" s="12"/>
      <c r="C671" s="6" t="s">
        <v>1842</v>
      </c>
      <c r="D671" s="15" t="s">
        <v>958</v>
      </c>
      <c r="E671" s="20" t="s">
        <v>628</v>
      </c>
      <c r="F671" s="26"/>
      <c r="G671" s="24"/>
      <c r="H671" s="67"/>
      <c r="I671" s="68"/>
      <c r="J671" s="67"/>
      <c r="K671" s="17" t="s">
        <v>134</v>
      </c>
      <c r="L671" s="39">
        <v>44419</v>
      </c>
      <c r="M671" s="39"/>
      <c r="N671" s="213">
        <v>44419</v>
      </c>
      <c r="O671" s="38">
        <v>3375</v>
      </c>
      <c r="P671" s="179" t="s">
        <v>23</v>
      </c>
      <c r="Q671" s="438" t="s">
        <v>959</v>
      </c>
      <c r="S671" s="489"/>
      <c r="T671" s="113"/>
      <c r="U671" s="510"/>
      <c r="V671" s="494">
        <v>90</v>
      </c>
    </row>
    <row r="672" spans="1:22" s="7" customFormat="1" ht="18" customHeight="1">
      <c r="A672" s="1"/>
      <c r="B672" s="12" t="s">
        <v>1856</v>
      </c>
      <c r="C672" s="6" t="s">
        <v>1842</v>
      </c>
      <c r="D672" s="15" t="s">
        <v>958</v>
      </c>
      <c r="E672" s="24">
        <v>5291</v>
      </c>
      <c r="F672" s="26">
        <v>8</v>
      </c>
      <c r="G672" s="24" t="s">
        <v>29</v>
      </c>
      <c r="H672" s="67">
        <v>50</v>
      </c>
      <c r="I672" s="68">
        <v>10</v>
      </c>
      <c r="J672" s="67">
        <f>H672*I672</f>
        <v>500</v>
      </c>
      <c r="K672" s="46">
        <v>0.63</v>
      </c>
      <c r="L672" s="39">
        <v>44419</v>
      </c>
      <c r="M672" s="39"/>
      <c r="N672" s="213">
        <v>44419</v>
      </c>
      <c r="O672" s="38">
        <v>3375</v>
      </c>
      <c r="P672" s="180">
        <v>0.4</v>
      </c>
      <c r="Q672" s="180">
        <v>0.4</v>
      </c>
      <c r="S672" s="489">
        <v>24</v>
      </c>
      <c r="T672" s="113">
        <f>S672*J672</f>
        <v>12000</v>
      </c>
      <c r="U672" s="511"/>
      <c r="V672" s="494">
        <v>90</v>
      </c>
    </row>
    <row r="673" spans="1:22" s="7" customFormat="1" ht="18" customHeight="1">
      <c r="A673" s="1"/>
      <c r="B673" s="12"/>
      <c r="C673" s="6" t="s">
        <v>1843</v>
      </c>
      <c r="D673" s="15" t="s">
        <v>958</v>
      </c>
      <c r="E673" s="24">
        <v>5291</v>
      </c>
      <c r="F673" s="26">
        <v>8</v>
      </c>
      <c r="G673" s="24" t="s">
        <v>499</v>
      </c>
      <c r="H673" s="67">
        <v>50</v>
      </c>
      <c r="I673" s="68">
        <v>16</v>
      </c>
      <c r="J673" s="67">
        <f>H673*I673</f>
        <v>800</v>
      </c>
      <c r="K673" s="46">
        <v>0.63</v>
      </c>
      <c r="L673" s="39">
        <v>44419</v>
      </c>
      <c r="M673" s="39"/>
      <c r="N673" s="213">
        <v>44419</v>
      </c>
      <c r="O673" s="38">
        <v>3375</v>
      </c>
      <c r="P673" s="180">
        <f>0.45*0.88</f>
        <v>0.39600000000000002</v>
      </c>
      <c r="Q673" s="180">
        <v>0.4</v>
      </c>
      <c r="S673" s="489">
        <v>24</v>
      </c>
      <c r="T673" s="113">
        <f>S673*J673</f>
        <v>19200</v>
      </c>
      <c r="U673" s="511"/>
      <c r="V673" s="494">
        <v>90</v>
      </c>
    </row>
    <row r="674" spans="1:22" ht="15.95" customHeight="1">
      <c r="C674" s="6" t="s">
        <v>1843</v>
      </c>
      <c r="D674" s="15" t="s">
        <v>958</v>
      </c>
      <c r="E674" s="24"/>
      <c r="F674" s="138"/>
      <c r="G674" s="24" t="s">
        <v>481</v>
      </c>
      <c r="H674" s="8"/>
      <c r="I674" s="41"/>
      <c r="J674" s="45">
        <v>1</v>
      </c>
      <c r="K674" s="46">
        <v>0</v>
      </c>
      <c r="L674" s="39">
        <v>44419</v>
      </c>
      <c r="M674" s="39"/>
      <c r="N674" s="213">
        <v>44419</v>
      </c>
      <c r="O674" s="38">
        <v>3375</v>
      </c>
      <c r="P674" s="179"/>
      <c r="Q674" s="180">
        <v>0</v>
      </c>
      <c r="S674" s="498">
        <v>0</v>
      </c>
      <c r="T674" s="568">
        <f>S674*J674</f>
        <v>0</v>
      </c>
      <c r="U674" s="511"/>
      <c r="V674" s="494">
        <v>90</v>
      </c>
    </row>
    <row r="675" spans="1:22" s="314" customFormat="1" ht="15" customHeight="1">
      <c r="A675" s="1"/>
      <c r="B675" s="313"/>
      <c r="C675" s="302" t="s">
        <v>1843</v>
      </c>
      <c r="D675" s="303" t="s">
        <v>958</v>
      </c>
      <c r="E675" s="304"/>
      <c r="F675" s="305"/>
      <c r="G675" s="305" t="s">
        <v>1227</v>
      </c>
      <c r="H675" s="410">
        <v>1300</v>
      </c>
      <c r="I675" s="308"/>
      <c r="J675" s="306"/>
      <c r="K675" s="315">
        <v>234</v>
      </c>
      <c r="L675" s="310">
        <v>44419</v>
      </c>
      <c r="M675" s="310"/>
      <c r="N675" s="311">
        <v>44419</v>
      </c>
      <c r="O675" s="309">
        <v>3375</v>
      </c>
      <c r="P675" s="302"/>
      <c r="Q675" s="485">
        <v>234</v>
      </c>
      <c r="S675" s="537">
        <v>20090</v>
      </c>
      <c r="T675" s="348">
        <v>20090</v>
      </c>
      <c r="U675" s="515"/>
      <c r="V675" s="494">
        <v>90</v>
      </c>
    </row>
    <row r="676" spans="1:22" s="7" customFormat="1" ht="18" customHeight="1">
      <c r="A676" s="1"/>
      <c r="B676" s="12"/>
      <c r="C676" s="6" t="s">
        <v>1866</v>
      </c>
      <c r="D676" s="15" t="s">
        <v>586</v>
      </c>
      <c r="E676" s="20" t="s">
        <v>1003</v>
      </c>
      <c r="F676" s="24"/>
      <c r="G676" s="44"/>
      <c r="H676" s="151"/>
      <c r="I676" s="151"/>
      <c r="J676" s="151"/>
      <c r="K676" s="153" t="s">
        <v>10</v>
      </c>
      <c r="L676" s="39">
        <v>44414</v>
      </c>
      <c r="M676" s="39"/>
      <c r="N676" s="213">
        <v>44414</v>
      </c>
      <c r="O676" s="38">
        <v>3392</v>
      </c>
      <c r="P676" s="6"/>
      <c r="Q676" s="411"/>
      <c r="S676" s="489"/>
      <c r="T676" s="113"/>
      <c r="U676" s="501"/>
      <c r="V676" s="494">
        <v>90</v>
      </c>
    </row>
    <row r="677" spans="1:22" s="7" customFormat="1" ht="15.95" customHeight="1">
      <c r="A677" s="1"/>
      <c r="B677" s="12" t="s">
        <v>1856</v>
      </c>
      <c r="C677" s="6" t="s">
        <v>1866</v>
      </c>
      <c r="D677" s="15" t="s">
        <v>586</v>
      </c>
      <c r="E677" s="24" t="s">
        <v>1801</v>
      </c>
      <c r="F677" s="44"/>
      <c r="G677" s="44" t="s">
        <v>78</v>
      </c>
      <c r="H677" s="8">
        <v>14</v>
      </c>
      <c r="I677" s="41">
        <v>7</v>
      </c>
      <c r="J677" s="67">
        <f>H677*I677</f>
        <v>98</v>
      </c>
      <c r="K677" s="46">
        <v>1.6</v>
      </c>
      <c r="L677" s="39">
        <v>44414</v>
      </c>
      <c r="M677" s="39"/>
      <c r="N677" s="213">
        <v>44414</v>
      </c>
      <c r="O677" s="38">
        <v>3392</v>
      </c>
      <c r="P677" s="180">
        <f>K677*(VLOOKUP(B677,$C$2:$F$6,3,FALSE))</f>
        <v>1.4080000000000001</v>
      </c>
      <c r="Q677" s="483">
        <v>1.41</v>
      </c>
      <c r="S677" s="489">
        <v>86</v>
      </c>
      <c r="T677" s="113">
        <f>S677*J677</f>
        <v>8428</v>
      </c>
      <c r="U677" s="517"/>
      <c r="V677" s="494">
        <v>90</v>
      </c>
    </row>
    <row r="678" spans="1:22" s="7" customFormat="1" ht="15">
      <c r="A678" s="1"/>
      <c r="B678" s="12"/>
      <c r="C678" s="6" t="s">
        <v>1866</v>
      </c>
      <c r="D678" s="15" t="s">
        <v>586</v>
      </c>
      <c r="E678" s="24"/>
      <c r="F678" s="138"/>
      <c r="G678" s="24" t="s">
        <v>481</v>
      </c>
      <c r="H678" s="8"/>
      <c r="I678" s="41"/>
      <c r="J678" s="45">
        <v>1</v>
      </c>
      <c r="K678" s="46">
        <v>12</v>
      </c>
      <c r="L678" s="39">
        <v>44414</v>
      </c>
      <c r="M678" s="39"/>
      <c r="N678" s="213">
        <v>44414</v>
      </c>
      <c r="O678" s="38">
        <v>3392</v>
      </c>
      <c r="P678" s="6"/>
      <c r="Q678" s="483">
        <v>12</v>
      </c>
      <c r="S678" s="489">
        <v>900</v>
      </c>
      <c r="T678" s="567">
        <v>900</v>
      </c>
      <c r="U678" s="501"/>
      <c r="V678" s="494">
        <v>90</v>
      </c>
    </row>
    <row r="679" spans="1:22" s="314" customFormat="1" ht="15">
      <c r="A679" s="1"/>
      <c r="B679" s="313"/>
      <c r="C679" s="302" t="s">
        <v>1866</v>
      </c>
      <c r="D679" s="303" t="s">
        <v>586</v>
      </c>
      <c r="E679" s="304"/>
      <c r="F679" s="305"/>
      <c r="G679" s="305" t="s">
        <v>1227</v>
      </c>
      <c r="H679" s="307" t="s">
        <v>1228</v>
      </c>
      <c r="I679" s="308"/>
      <c r="J679" s="306"/>
      <c r="K679" s="315">
        <v>0</v>
      </c>
      <c r="L679" s="310">
        <v>44414</v>
      </c>
      <c r="M679" s="310"/>
      <c r="N679" s="311">
        <v>44414</v>
      </c>
      <c r="O679" s="309">
        <v>3392</v>
      </c>
      <c r="P679" s="302"/>
      <c r="Q679" s="485">
        <v>0</v>
      </c>
      <c r="S679" s="536">
        <v>0</v>
      </c>
      <c r="T679" s="322">
        <v>0</v>
      </c>
      <c r="U679" s="515"/>
      <c r="V679" s="494">
        <v>90</v>
      </c>
    </row>
    <row r="680" spans="1:22" s="7" customFormat="1" ht="18" customHeight="1">
      <c r="A680" s="1"/>
      <c r="B680" s="12"/>
      <c r="C680" s="6" t="s">
        <v>1867</v>
      </c>
      <c r="D680" s="15" t="s">
        <v>1214</v>
      </c>
      <c r="E680" s="20" t="s">
        <v>1003</v>
      </c>
      <c r="F680" s="24"/>
      <c r="G680" s="44"/>
      <c r="H680" s="151"/>
      <c r="I680" s="151"/>
      <c r="J680" s="151"/>
      <c r="K680" s="153" t="s">
        <v>10</v>
      </c>
      <c r="L680" s="39">
        <v>44418</v>
      </c>
      <c r="M680" s="39"/>
      <c r="N680" s="213">
        <v>44418</v>
      </c>
      <c r="O680" s="38">
        <v>3395</v>
      </c>
      <c r="P680" s="6"/>
      <c r="Q680" s="411"/>
      <c r="S680" s="489"/>
      <c r="T680" s="113"/>
      <c r="U680" s="501"/>
      <c r="V680" s="494">
        <v>90</v>
      </c>
    </row>
    <row r="681" spans="1:22" s="7" customFormat="1" ht="15.95" customHeight="1">
      <c r="A681" s="1"/>
      <c r="B681" s="12" t="s">
        <v>1856</v>
      </c>
      <c r="C681" s="6" t="s">
        <v>1867</v>
      </c>
      <c r="D681" s="15" t="s">
        <v>1214</v>
      </c>
      <c r="E681" s="24" t="s">
        <v>1426</v>
      </c>
      <c r="F681" s="44"/>
      <c r="G681" s="44" t="s">
        <v>78</v>
      </c>
      <c r="H681" s="8">
        <v>14</v>
      </c>
      <c r="I681" s="41">
        <v>28</v>
      </c>
      <c r="J681" s="67">
        <f>H681*I681</f>
        <v>392</v>
      </c>
      <c r="K681" s="46">
        <v>1.54</v>
      </c>
      <c r="L681" s="39">
        <v>44418</v>
      </c>
      <c r="M681" s="39"/>
      <c r="N681" s="213">
        <v>44418</v>
      </c>
      <c r="O681" s="38">
        <v>3395</v>
      </c>
      <c r="P681" s="180">
        <f>K681*(VLOOKUP(B681,$C$2:$F$6,3,FALSE))</f>
        <v>1.3552</v>
      </c>
      <c r="Q681" s="483">
        <v>1.36</v>
      </c>
      <c r="S681" s="489">
        <v>55</v>
      </c>
      <c r="T681" s="567">
        <f>S681*J681</f>
        <v>21560</v>
      </c>
      <c r="U681" s="517" t="s">
        <v>1432</v>
      </c>
      <c r="V681" s="494">
        <v>90</v>
      </c>
    </row>
    <row r="682" spans="1:22" s="7" customFormat="1" ht="15">
      <c r="A682" s="1"/>
      <c r="B682" s="12"/>
      <c r="C682" s="6" t="s">
        <v>1867</v>
      </c>
      <c r="D682" s="15" t="s">
        <v>1214</v>
      </c>
      <c r="E682" s="56"/>
      <c r="F682" s="138"/>
      <c r="G682" s="24" t="s">
        <v>481</v>
      </c>
      <c r="H682" s="8"/>
      <c r="I682" s="41"/>
      <c r="J682" s="45">
        <v>1</v>
      </c>
      <c r="K682" s="46">
        <v>12</v>
      </c>
      <c r="L682" s="39">
        <v>44418</v>
      </c>
      <c r="M682" s="39"/>
      <c r="N682" s="213">
        <v>44418</v>
      </c>
      <c r="O682" s="38">
        <v>3395</v>
      </c>
      <c r="P682" s="6"/>
      <c r="Q682" s="483">
        <v>12</v>
      </c>
      <c r="S682" s="489">
        <v>0</v>
      </c>
      <c r="T682" s="567">
        <f>S682*J682</f>
        <v>0</v>
      </c>
      <c r="U682" s="501"/>
      <c r="V682" s="494">
        <v>90</v>
      </c>
    </row>
    <row r="683" spans="1:22" s="7" customFormat="1" ht="15.95" customHeight="1">
      <c r="A683" s="1"/>
      <c r="B683" s="12" t="s">
        <v>1856</v>
      </c>
      <c r="C683" s="6" t="s">
        <v>1867</v>
      </c>
      <c r="D683" s="15" t="s">
        <v>1214</v>
      </c>
      <c r="E683" s="24" t="s">
        <v>1426</v>
      </c>
      <c r="F683" s="44"/>
      <c r="G683" s="44" t="s">
        <v>78</v>
      </c>
      <c r="H683" s="8">
        <v>14</v>
      </c>
      <c r="I683" s="41">
        <v>51</v>
      </c>
      <c r="J683" s="67">
        <f>H683*I683</f>
        <v>714</v>
      </c>
      <c r="K683" s="46">
        <v>1.54</v>
      </c>
      <c r="L683" s="46">
        <f>K683*J683</f>
        <v>1099.56</v>
      </c>
      <c r="M683" s="112"/>
      <c r="N683" s="213">
        <v>44449</v>
      </c>
      <c r="O683" s="38">
        <v>3476</v>
      </c>
      <c r="P683" s="46">
        <f>K683*(VLOOKUP(B683,$C$2:$F$6,3,FALSE))</f>
        <v>1.3552</v>
      </c>
      <c r="Q683" s="483">
        <v>1.36</v>
      </c>
      <c r="S683" s="489">
        <v>55</v>
      </c>
      <c r="T683" s="567">
        <f>S683*J683</f>
        <v>39270</v>
      </c>
      <c r="U683" s="517" t="s">
        <v>1432</v>
      </c>
      <c r="V683" s="494">
        <v>90</v>
      </c>
    </row>
    <row r="684" spans="1:22" s="314" customFormat="1" ht="15">
      <c r="A684" s="1"/>
      <c r="B684" s="313"/>
      <c r="C684" s="302" t="s">
        <v>1867</v>
      </c>
      <c r="D684" s="303" t="s">
        <v>1214</v>
      </c>
      <c r="E684" s="304"/>
      <c r="F684" s="305"/>
      <c r="G684" s="305" t="s">
        <v>1227</v>
      </c>
      <c r="H684" s="307" t="s">
        <v>1228</v>
      </c>
      <c r="I684" s="308"/>
      <c r="J684" s="306"/>
      <c r="K684" s="315">
        <v>0</v>
      </c>
      <c r="L684" s="310"/>
      <c r="M684" s="310"/>
      <c r="N684" s="311">
        <v>44449</v>
      </c>
      <c r="O684" s="309">
        <v>3476</v>
      </c>
      <c r="P684" s="302"/>
      <c r="Q684" s="485">
        <v>0</v>
      </c>
      <c r="S684" s="536">
        <v>0</v>
      </c>
      <c r="T684" s="322">
        <v>0</v>
      </c>
      <c r="U684" s="515"/>
      <c r="V684" s="494">
        <v>90</v>
      </c>
    </row>
    <row r="685" spans="1:22" ht="15">
      <c r="C685" s="6" t="s">
        <v>1870</v>
      </c>
      <c r="D685" s="15" t="s">
        <v>1871</v>
      </c>
      <c r="E685" s="20" t="s">
        <v>325</v>
      </c>
      <c r="F685" s="26"/>
      <c r="G685" s="24"/>
      <c r="H685" s="16"/>
      <c r="I685" s="68"/>
      <c r="J685" s="67"/>
      <c r="K685" s="17" t="s">
        <v>134</v>
      </c>
      <c r="L685" s="39">
        <v>44414</v>
      </c>
      <c r="M685" s="39"/>
      <c r="N685" s="213">
        <v>44414</v>
      </c>
      <c r="O685" s="38">
        <v>3391</v>
      </c>
      <c r="P685" s="6" t="s">
        <v>23</v>
      </c>
      <c r="Q685" s="481"/>
      <c r="S685" s="489"/>
      <c r="T685" s="113"/>
      <c r="U685" s="500"/>
      <c r="V685" s="494">
        <v>90</v>
      </c>
    </row>
    <row r="686" spans="1:22" ht="15">
      <c r="B686" s="28" t="s">
        <v>1856</v>
      </c>
      <c r="C686" s="6" t="s">
        <v>1870</v>
      </c>
      <c r="D686" s="15" t="s">
        <v>1871</v>
      </c>
      <c r="E686" s="24">
        <v>4141</v>
      </c>
      <c r="F686" s="26">
        <v>18</v>
      </c>
      <c r="G686" s="24" t="s">
        <v>486</v>
      </c>
      <c r="H686" s="67">
        <v>20</v>
      </c>
      <c r="I686" s="68">
        <v>2</v>
      </c>
      <c r="J686" s="67">
        <f>H686*I686</f>
        <v>40</v>
      </c>
      <c r="K686" s="25">
        <v>1.83</v>
      </c>
      <c r="L686" s="39">
        <v>44414</v>
      </c>
      <c r="M686" s="39"/>
      <c r="N686" s="213">
        <v>44414</v>
      </c>
      <c r="O686" s="38">
        <v>3391</v>
      </c>
      <c r="P686" s="46">
        <f>K686*(VLOOKUP(B686,$C$2:$F$6,3,FALSE))</f>
        <v>1.6104000000000001</v>
      </c>
      <c r="Q686" s="482">
        <v>1.61</v>
      </c>
      <c r="S686" s="489">
        <v>98</v>
      </c>
      <c r="T686" s="567">
        <f>S686*J686</f>
        <v>3920</v>
      </c>
      <c r="U686" s="502"/>
      <c r="V686" s="494">
        <v>90</v>
      </c>
    </row>
    <row r="687" spans="1:22" ht="15">
      <c r="B687" s="28" t="s">
        <v>1856</v>
      </c>
      <c r="C687" s="6" t="s">
        <v>1870</v>
      </c>
      <c r="D687" s="15" t="s">
        <v>1871</v>
      </c>
      <c r="E687" s="24">
        <v>4141</v>
      </c>
      <c r="F687" s="26">
        <v>18</v>
      </c>
      <c r="G687" s="55" t="s">
        <v>1872</v>
      </c>
      <c r="H687" s="67">
        <v>20</v>
      </c>
      <c r="I687" s="68">
        <v>2</v>
      </c>
      <c r="J687" s="67">
        <f>H687*I687</f>
        <v>40</v>
      </c>
      <c r="K687" s="25">
        <v>1.83</v>
      </c>
      <c r="L687" s="39">
        <v>44414</v>
      </c>
      <c r="M687" s="39"/>
      <c r="N687" s="213">
        <v>44414</v>
      </c>
      <c r="O687" s="38">
        <v>3391</v>
      </c>
      <c r="P687" s="46">
        <f>K687*(VLOOKUP(B687,$C$2:$F$6,3,FALSE))</f>
        <v>1.6104000000000001</v>
      </c>
      <c r="Q687" s="482">
        <v>1.61</v>
      </c>
      <c r="S687" s="489">
        <v>98</v>
      </c>
      <c r="T687" s="567">
        <f>S687*J687</f>
        <v>3920</v>
      </c>
      <c r="U687" s="502"/>
      <c r="V687" s="494">
        <v>90</v>
      </c>
    </row>
    <row r="688" spans="1:22" s="218" customFormat="1" ht="15">
      <c r="A688" s="1"/>
      <c r="B688" s="541"/>
      <c r="C688" s="6" t="s">
        <v>1870</v>
      </c>
      <c r="D688" s="15" t="s">
        <v>1871</v>
      </c>
      <c r="E688" s="24"/>
      <c r="F688" s="26"/>
      <c r="G688" s="24" t="s">
        <v>31</v>
      </c>
      <c r="H688" s="36"/>
      <c r="I688" s="41"/>
      <c r="J688" s="45">
        <v>1</v>
      </c>
      <c r="K688" s="40">
        <v>12</v>
      </c>
      <c r="L688" s="39">
        <v>44414</v>
      </c>
      <c r="M688" s="39"/>
      <c r="N688" s="213">
        <v>44414</v>
      </c>
      <c r="O688" s="38">
        <v>3391</v>
      </c>
      <c r="P688" s="216"/>
      <c r="Q688" s="483">
        <v>12</v>
      </c>
      <c r="S688" s="489">
        <v>0</v>
      </c>
      <c r="T688" s="567">
        <f>S688*J688</f>
        <v>0</v>
      </c>
      <c r="U688" s="504"/>
      <c r="V688" s="494">
        <v>90</v>
      </c>
    </row>
    <row r="689" spans="1:22" s="314" customFormat="1" ht="15">
      <c r="A689" s="1"/>
      <c r="B689" s="313"/>
      <c r="C689" s="302" t="s">
        <v>1870</v>
      </c>
      <c r="D689" s="303" t="s">
        <v>1871</v>
      </c>
      <c r="E689" s="304"/>
      <c r="F689" s="305"/>
      <c r="G689" s="305" t="s">
        <v>1227</v>
      </c>
      <c r="H689" s="307" t="s">
        <v>1228</v>
      </c>
      <c r="I689" s="308"/>
      <c r="J689" s="306"/>
      <c r="K689" s="315">
        <v>0</v>
      </c>
      <c r="L689" s="310">
        <v>44414</v>
      </c>
      <c r="M689" s="310"/>
      <c r="N689" s="311">
        <v>44414</v>
      </c>
      <c r="O689" s="309">
        <v>3391</v>
      </c>
      <c r="P689" s="302"/>
      <c r="Q689" s="485">
        <v>0</v>
      </c>
      <c r="S689" s="536">
        <v>0</v>
      </c>
      <c r="T689" s="322">
        <v>0</v>
      </c>
      <c r="U689" s="515"/>
      <c r="V689" s="494">
        <v>90</v>
      </c>
    </row>
    <row r="690" spans="1:22" s="7" customFormat="1" ht="15">
      <c r="A690" s="1"/>
      <c r="B690" s="12"/>
      <c r="C690" s="6" t="s">
        <v>1873</v>
      </c>
      <c r="D690" s="15" t="s">
        <v>1056</v>
      </c>
      <c r="E690" s="20" t="s">
        <v>1742</v>
      </c>
      <c r="F690" s="26"/>
      <c r="G690" s="24"/>
      <c r="H690" s="45"/>
      <c r="I690" s="68"/>
      <c r="J690" s="67"/>
      <c r="K690" s="17" t="s">
        <v>10</v>
      </c>
      <c r="L690" s="39"/>
      <c r="M690" s="39"/>
      <c r="N690" s="39">
        <v>44427</v>
      </c>
      <c r="O690" s="38">
        <v>3411</v>
      </c>
      <c r="P690" s="6"/>
      <c r="Q690" s="482"/>
      <c r="S690" s="489"/>
      <c r="T690" s="113"/>
      <c r="U690" s="500"/>
      <c r="V690" s="494">
        <v>90</v>
      </c>
    </row>
    <row r="691" spans="1:22" s="7" customFormat="1" ht="15" customHeight="1">
      <c r="A691" s="1"/>
      <c r="B691" s="12" t="s">
        <v>1856</v>
      </c>
      <c r="C691" s="6" t="s">
        <v>1873</v>
      </c>
      <c r="D691" s="15" t="s">
        <v>1056</v>
      </c>
      <c r="E691" s="24">
        <v>5637</v>
      </c>
      <c r="F691" s="26" t="s">
        <v>502</v>
      </c>
      <c r="G691" s="24" t="s">
        <v>1884</v>
      </c>
      <c r="H691" s="151">
        <v>50</v>
      </c>
      <c r="I691" s="152">
        <v>1</v>
      </c>
      <c r="J691" s="67">
        <f>H691*I691</f>
        <v>50</v>
      </c>
      <c r="K691" s="46">
        <v>0.24</v>
      </c>
      <c r="L691" s="46">
        <f>K691*J691</f>
        <v>12</v>
      </c>
      <c r="M691" s="112"/>
      <c r="N691" s="39">
        <v>44427</v>
      </c>
      <c r="O691" s="38">
        <v>3411</v>
      </c>
      <c r="P691" s="46">
        <f>K691*(VLOOKUP(B691,$C$2:$F$6,3,FALSE))</f>
        <v>0.2112</v>
      </c>
      <c r="Q691" s="482">
        <v>0.21</v>
      </c>
      <c r="S691" s="489">
        <v>12.6</v>
      </c>
      <c r="T691" s="567">
        <f>S691*J691</f>
        <v>630</v>
      </c>
      <c r="U691" s="516"/>
      <c r="V691" s="494">
        <v>90</v>
      </c>
    </row>
    <row r="692" spans="1:22" s="7" customFormat="1" ht="15" customHeight="1">
      <c r="A692" s="1"/>
      <c r="B692" s="12" t="s">
        <v>1856</v>
      </c>
      <c r="C692" s="6" t="s">
        <v>1873</v>
      </c>
      <c r="D692" s="15" t="s">
        <v>1056</v>
      </c>
      <c r="E692" s="24">
        <v>5637</v>
      </c>
      <c r="F692" s="26" t="s">
        <v>502</v>
      </c>
      <c r="G692" s="24" t="s">
        <v>1885</v>
      </c>
      <c r="H692" s="151">
        <v>50</v>
      </c>
      <c r="I692" s="152">
        <v>1</v>
      </c>
      <c r="J692" s="67">
        <f>H692*I692</f>
        <v>50</v>
      </c>
      <c r="K692" s="46">
        <v>0.24</v>
      </c>
      <c r="L692" s="46">
        <f>K692*J692</f>
        <v>12</v>
      </c>
      <c r="M692" s="112"/>
      <c r="N692" s="39">
        <v>44427</v>
      </c>
      <c r="O692" s="38">
        <v>3411</v>
      </c>
      <c r="P692" s="46">
        <f>K692*(VLOOKUP(B692,$C$2:$F$6,3,FALSE))</f>
        <v>0.2112</v>
      </c>
      <c r="Q692" s="482">
        <v>0.21</v>
      </c>
      <c r="S692" s="489">
        <v>12.6</v>
      </c>
      <c r="T692" s="567">
        <f>S692*J692</f>
        <v>630</v>
      </c>
      <c r="U692" s="516"/>
      <c r="V692" s="494">
        <v>90</v>
      </c>
    </row>
    <row r="693" spans="1:22" ht="15.95" customHeight="1">
      <c r="C693" s="6" t="s">
        <v>1873</v>
      </c>
      <c r="D693" s="15" t="s">
        <v>1056</v>
      </c>
      <c r="E693" s="24"/>
      <c r="F693" s="138"/>
      <c r="G693" s="24" t="s">
        <v>481</v>
      </c>
      <c r="H693" s="8"/>
      <c r="I693" s="41"/>
      <c r="J693" s="45">
        <v>1</v>
      </c>
      <c r="K693" s="46">
        <v>12</v>
      </c>
      <c r="L693" s="46">
        <f>K693*J693</f>
        <v>12</v>
      </c>
      <c r="M693" s="112"/>
      <c r="N693" s="39">
        <v>44427</v>
      </c>
      <c r="O693" s="38">
        <v>3411</v>
      </c>
      <c r="P693" s="6"/>
      <c r="Q693" s="483">
        <v>12</v>
      </c>
      <c r="S693" s="489">
        <v>0</v>
      </c>
      <c r="T693" s="567">
        <f>S693*J693</f>
        <v>0</v>
      </c>
      <c r="U693" s="511"/>
      <c r="V693" s="494">
        <v>90</v>
      </c>
    </row>
    <row r="694" spans="1:22" s="80" customFormat="1" ht="15" customHeight="1">
      <c r="A694" s="1"/>
      <c r="B694" s="540" t="s">
        <v>1856</v>
      </c>
      <c r="C694" s="76" t="s">
        <v>1873</v>
      </c>
      <c r="D694" s="77" t="s">
        <v>1056</v>
      </c>
      <c r="E694" s="249">
        <v>5637</v>
      </c>
      <c r="F694" s="78" t="s">
        <v>502</v>
      </c>
      <c r="G694" s="79" t="s">
        <v>1874</v>
      </c>
      <c r="H694" s="253">
        <v>50</v>
      </c>
      <c r="I694" s="254">
        <v>1</v>
      </c>
      <c r="J694" s="247">
        <f>H694*I694</f>
        <v>50</v>
      </c>
      <c r="K694" s="250">
        <v>0.24</v>
      </c>
      <c r="L694" s="576"/>
      <c r="M694" s="576"/>
      <c r="N694" s="428"/>
      <c r="O694" s="575" t="s">
        <v>96</v>
      </c>
      <c r="P694" s="250"/>
      <c r="Q694" s="591" t="s">
        <v>1909</v>
      </c>
      <c r="S694" s="491"/>
      <c r="T694" s="563"/>
      <c r="U694" s="577"/>
      <c r="V694" s="546">
        <v>90</v>
      </c>
    </row>
    <row r="695" spans="1:22" s="80" customFormat="1" ht="15" customHeight="1">
      <c r="A695" s="1"/>
      <c r="B695" s="540" t="s">
        <v>1856</v>
      </c>
      <c r="C695" s="76" t="s">
        <v>1873</v>
      </c>
      <c r="D695" s="77" t="s">
        <v>1056</v>
      </c>
      <c r="E695" s="249">
        <v>5637</v>
      </c>
      <c r="F695" s="78" t="s">
        <v>502</v>
      </c>
      <c r="G695" s="79" t="s">
        <v>1886</v>
      </c>
      <c r="H695" s="253">
        <v>50</v>
      </c>
      <c r="I695" s="254">
        <v>1</v>
      </c>
      <c r="J695" s="247">
        <f>H695*I695</f>
        <v>50</v>
      </c>
      <c r="K695" s="250">
        <v>0.24</v>
      </c>
      <c r="L695" s="576"/>
      <c r="M695" s="576"/>
      <c r="N695" s="428"/>
      <c r="O695" s="575" t="s">
        <v>96</v>
      </c>
      <c r="P695" s="250"/>
      <c r="Q695" s="530"/>
      <c r="S695" s="491"/>
      <c r="T695" s="563"/>
      <c r="U695" s="577"/>
      <c r="V695" s="546">
        <v>90</v>
      </c>
    </row>
    <row r="696" spans="1:22" s="314" customFormat="1" ht="15">
      <c r="A696" s="1"/>
      <c r="B696" s="313"/>
      <c r="C696" s="302" t="s">
        <v>1873</v>
      </c>
      <c r="D696" s="303" t="s">
        <v>1056</v>
      </c>
      <c r="E696" s="304"/>
      <c r="F696" s="305"/>
      <c r="G696" s="305" t="s">
        <v>1227</v>
      </c>
      <c r="H696" s="307" t="s">
        <v>1228</v>
      </c>
      <c r="I696" s="308"/>
      <c r="J696" s="306"/>
      <c r="K696" s="315">
        <v>0</v>
      </c>
      <c r="L696" s="310"/>
      <c r="M696" s="310"/>
      <c r="N696" s="310">
        <v>44427</v>
      </c>
      <c r="O696" s="309">
        <v>3411</v>
      </c>
      <c r="P696" s="302"/>
      <c r="Q696" s="485">
        <v>0</v>
      </c>
      <c r="S696" s="535">
        <v>0</v>
      </c>
      <c r="T696" s="322">
        <v>0</v>
      </c>
      <c r="U696" s="515"/>
      <c r="V696" s="494">
        <v>90</v>
      </c>
    </row>
    <row r="697" spans="1:22" s="7" customFormat="1" ht="15" customHeight="1">
      <c r="A697" s="1"/>
      <c r="B697" s="12"/>
      <c r="C697" s="6" t="s">
        <v>1887</v>
      </c>
      <c r="D697" s="15" t="s">
        <v>8</v>
      </c>
      <c r="E697" s="20" t="s">
        <v>337</v>
      </c>
      <c r="F697" s="26"/>
      <c r="G697" s="24"/>
      <c r="H697" s="45"/>
      <c r="I697" s="68"/>
      <c r="J697" s="67"/>
      <c r="K697" s="17" t="s">
        <v>10</v>
      </c>
      <c r="L697" s="39">
        <v>44419</v>
      </c>
      <c r="M697" s="39"/>
      <c r="N697" s="213">
        <v>44419</v>
      </c>
      <c r="O697" s="38">
        <v>3407</v>
      </c>
      <c r="P697" s="6"/>
      <c r="Q697" s="482"/>
      <c r="S697" s="489"/>
      <c r="T697" s="113"/>
      <c r="U697" s="500"/>
      <c r="V697" s="494">
        <v>90</v>
      </c>
    </row>
    <row r="698" spans="1:22" s="7" customFormat="1" ht="15" customHeight="1">
      <c r="A698" s="1"/>
      <c r="B698" s="12" t="s">
        <v>1856</v>
      </c>
      <c r="C698" s="6" t="s">
        <v>1887</v>
      </c>
      <c r="D698" s="15" t="s">
        <v>8</v>
      </c>
      <c r="E698" s="24">
        <v>3705</v>
      </c>
      <c r="F698" s="26">
        <v>25</v>
      </c>
      <c r="G698" s="24" t="s">
        <v>1888</v>
      </c>
      <c r="H698" s="151">
        <v>30</v>
      </c>
      <c r="I698" s="152">
        <v>1</v>
      </c>
      <c r="J698" s="67">
        <f>H698*I698</f>
        <v>30</v>
      </c>
      <c r="K698" s="46">
        <v>0.6</v>
      </c>
      <c r="L698" s="39">
        <v>44419</v>
      </c>
      <c r="M698" s="39"/>
      <c r="N698" s="213">
        <v>44419</v>
      </c>
      <c r="O698" s="38">
        <v>3407</v>
      </c>
      <c r="P698" s="46">
        <f>K698*(VLOOKUP(B698,$C$2:$F$6,3,FALSE))</f>
        <v>0.52800000000000002</v>
      </c>
      <c r="Q698" s="482">
        <v>0.53</v>
      </c>
      <c r="S698" s="489">
        <v>27.3</v>
      </c>
      <c r="T698" s="567">
        <f>S698*J698</f>
        <v>819</v>
      </c>
      <c r="U698" s="1862" t="s">
        <v>1889</v>
      </c>
      <c r="V698" s="494">
        <v>90</v>
      </c>
    </row>
    <row r="699" spans="1:22" ht="15.95" customHeight="1">
      <c r="C699" s="6" t="s">
        <v>1887</v>
      </c>
      <c r="D699" s="15" t="s">
        <v>8</v>
      </c>
      <c r="E699" s="24"/>
      <c r="F699" s="138"/>
      <c r="G699" s="24" t="s">
        <v>481</v>
      </c>
      <c r="H699" s="8"/>
      <c r="I699" s="41"/>
      <c r="J699" s="45">
        <v>1</v>
      </c>
      <c r="K699" s="46">
        <v>12</v>
      </c>
      <c r="L699" s="39">
        <v>44419</v>
      </c>
      <c r="M699" s="39"/>
      <c r="N699" s="213">
        <v>44419</v>
      </c>
      <c r="O699" s="38">
        <v>3407</v>
      </c>
      <c r="P699" s="179"/>
      <c r="Q699" s="483">
        <v>12</v>
      </c>
      <c r="S699" s="489">
        <v>0</v>
      </c>
      <c r="T699" s="567">
        <f>S699*J699</f>
        <v>0</v>
      </c>
      <c r="U699" s="511"/>
      <c r="V699" s="494">
        <v>90</v>
      </c>
    </row>
    <row r="700" spans="1:22" s="314" customFormat="1" ht="15">
      <c r="A700" s="1"/>
      <c r="B700" s="313"/>
      <c r="C700" s="302" t="s">
        <v>1887</v>
      </c>
      <c r="D700" s="303" t="s">
        <v>8</v>
      </c>
      <c r="E700" s="304"/>
      <c r="F700" s="305"/>
      <c r="G700" s="305" t="s">
        <v>1227</v>
      </c>
      <c r="H700" s="307" t="s">
        <v>1228</v>
      </c>
      <c r="I700" s="308"/>
      <c r="J700" s="306"/>
      <c r="K700" s="315">
        <v>0</v>
      </c>
      <c r="L700" s="310">
        <v>44419</v>
      </c>
      <c r="M700" s="310"/>
      <c r="N700" s="311">
        <v>44419</v>
      </c>
      <c r="O700" s="309">
        <v>3407</v>
      </c>
      <c r="P700" s="302"/>
      <c r="Q700" s="485">
        <v>0</v>
      </c>
      <c r="S700" s="535">
        <v>0</v>
      </c>
      <c r="T700" s="322">
        <v>0</v>
      </c>
      <c r="U700" s="515"/>
      <c r="V700" s="494">
        <v>90</v>
      </c>
    </row>
    <row r="701" spans="1:22" ht="15" customHeight="1">
      <c r="C701" s="6" t="s">
        <v>1890</v>
      </c>
      <c r="D701" s="15" t="s">
        <v>1891</v>
      </c>
      <c r="E701" s="20" t="s">
        <v>1639</v>
      </c>
      <c r="F701" s="26"/>
      <c r="G701" s="24"/>
      <c r="H701" s="16"/>
      <c r="I701" s="68"/>
      <c r="J701" s="67"/>
      <c r="K701" s="153" t="s">
        <v>10</v>
      </c>
      <c r="L701" s="39">
        <v>44419</v>
      </c>
      <c r="M701" s="39"/>
      <c r="N701" s="213">
        <v>44419</v>
      </c>
      <c r="O701" s="38">
        <v>3409</v>
      </c>
      <c r="P701" s="6" t="s">
        <v>23</v>
      </c>
      <c r="Q701" s="481"/>
      <c r="S701" s="489"/>
      <c r="T701" s="113"/>
      <c r="U701" s="500"/>
      <c r="V701" s="494">
        <v>90</v>
      </c>
    </row>
    <row r="702" spans="1:22" ht="15">
      <c r="C702" s="6" t="s">
        <v>1890</v>
      </c>
      <c r="D702" s="15" t="s">
        <v>1891</v>
      </c>
      <c r="E702" s="24" t="s">
        <v>1264</v>
      </c>
      <c r="F702" s="26" t="s">
        <v>19</v>
      </c>
      <c r="G702" s="24" t="s">
        <v>1640</v>
      </c>
      <c r="H702" s="198">
        <v>13.5</v>
      </c>
      <c r="I702" s="41">
        <v>1</v>
      </c>
      <c r="J702" s="19">
        <f>H702*I702</f>
        <v>13.5</v>
      </c>
      <c r="K702" s="25">
        <v>1.71</v>
      </c>
      <c r="L702" s="39">
        <v>44419</v>
      </c>
      <c r="M702" s="39"/>
      <c r="N702" s="213">
        <v>44419</v>
      </c>
      <c r="O702" s="38">
        <v>3409</v>
      </c>
      <c r="P702" s="25">
        <f>K702*0.88</f>
        <v>1.5047999999999999</v>
      </c>
      <c r="Q702" s="483">
        <v>1.5</v>
      </c>
      <c r="S702" s="489">
        <v>65</v>
      </c>
      <c r="T702" s="567">
        <f>S702*J702</f>
        <v>877.5</v>
      </c>
      <c r="U702" s="502"/>
      <c r="V702" s="494">
        <v>90</v>
      </c>
    </row>
    <row r="703" spans="1:22" s="7" customFormat="1" ht="17.25" customHeight="1">
      <c r="A703" s="1"/>
      <c r="B703" s="12"/>
      <c r="C703" s="6" t="s">
        <v>1890</v>
      </c>
      <c r="D703" s="15" t="s">
        <v>1891</v>
      </c>
      <c r="E703" s="238"/>
      <c r="F703" s="44"/>
      <c r="G703" s="44" t="s">
        <v>31</v>
      </c>
      <c r="H703" s="8"/>
      <c r="I703" s="152" ph="1"/>
      <c r="J703" s="45">
        <v>1</v>
      </c>
      <c r="K703" s="46">
        <v>12</v>
      </c>
      <c r="L703" s="39">
        <v>44419</v>
      </c>
      <c r="M703" s="39"/>
      <c r="N703" s="213">
        <v>44419</v>
      </c>
      <c r="O703" s="38">
        <v>3409</v>
      </c>
      <c r="P703" s="6"/>
      <c r="Q703" s="483">
        <v>12</v>
      </c>
      <c r="S703" s="489">
        <v>0</v>
      </c>
      <c r="T703" s="567">
        <f>S703*J703</f>
        <v>0</v>
      </c>
      <c r="U703" s="501"/>
      <c r="V703" s="494">
        <v>90</v>
      </c>
    </row>
    <row r="704" spans="1:22" s="314" customFormat="1" ht="15">
      <c r="A704" s="1"/>
      <c r="B704" s="313"/>
      <c r="C704" s="302" t="s">
        <v>1890</v>
      </c>
      <c r="D704" s="303" t="s">
        <v>1891</v>
      </c>
      <c r="E704" s="304"/>
      <c r="F704" s="305"/>
      <c r="G704" s="305" t="s">
        <v>1227</v>
      </c>
      <c r="H704" s="307" t="s">
        <v>1228</v>
      </c>
      <c r="I704" s="308"/>
      <c r="J704" s="306"/>
      <c r="K704" s="315">
        <v>0</v>
      </c>
      <c r="L704" s="310">
        <v>44419</v>
      </c>
      <c r="M704" s="310"/>
      <c r="N704" s="311">
        <v>44419</v>
      </c>
      <c r="O704" s="309">
        <v>3409</v>
      </c>
      <c r="P704" s="302"/>
      <c r="Q704" s="485">
        <v>0</v>
      </c>
      <c r="S704" s="535">
        <v>0</v>
      </c>
      <c r="T704" s="322">
        <v>0</v>
      </c>
      <c r="U704" s="515"/>
      <c r="V704" s="494">
        <v>90</v>
      </c>
    </row>
    <row r="705" spans="1:22" s="7" customFormat="1" ht="15">
      <c r="A705" s="1"/>
      <c r="B705" s="12"/>
      <c r="C705" s="6" t="s">
        <v>1892</v>
      </c>
      <c r="D705" s="15" t="s">
        <v>500</v>
      </c>
      <c r="E705" s="20" t="s">
        <v>503</v>
      </c>
      <c r="F705" s="26"/>
      <c r="G705" s="24"/>
      <c r="H705" s="67"/>
      <c r="I705" s="68"/>
      <c r="J705" s="67"/>
      <c r="K705" s="17" t="s">
        <v>134</v>
      </c>
      <c r="L705" s="39"/>
      <c r="M705" s="39"/>
      <c r="N705" s="213">
        <v>44425</v>
      </c>
      <c r="O705" s="38">
        <v>3410</v>
      </c>
      <c r="P705" s="179" t="s">
        <v>23</v>
      </c>
      <c r="Q705" s="435"/>
      <c r="S705" s="489"/>
      <c r="T705" s="113"/>
      <c r="U705" s="510"/>
      <c r="V705" s="494">
        <v>90</v>
      </c>
    </row>
    <row r="706" spans="1:22" s="7" customFormat="1" ht="18" customHeight="1">
      <c r="A706" s="1"/>
      <c r="B706" s="12" t="s">
        <v>1856</v>
      </c>
      <c r="C706" s="6" t="s">
        <v>1892</v>
      </c>
      <c r="D706" s="15" t="s">
        <v>500</v>
      </c>
      <c r="E706" s="24">
        <v>5356</v>
      </c>
      <c r="F706" s="26">
        <v>3</v>
      </c>
      <c r="G706" s="24" t="s">
        <v>504</v>
      </c>
      <c r="H706" s="67">
        <v>30</v>
      </c>
      <c r="I706" s="68">
        <v>3</v>
      </c>
      <c r="J706" s="67">
        <f>H706*I706</f>
        <v>90</v>
      </c>
      <c r="K706" s="46">
        <v>0.56000000000000005</v>
      </c>
      <c r="L706" s="46">
        <f>K706*J706</f>
        <v>50.400000000000006</v>
      </c>
      <c r="M706" s="112"/>
      <c r="N706" s="213">
        <v>44425</v>
      </c>
      <c r="O706" s="38">
        <v>3410</v>
      </c>
      <c r="P706" s="46">
        <f>K706*(VLOOKUP(B706,$C$2:$F$6,3,FALSE))</f>
        <v>0.49280000000000007</v>
      </c>
      <c r="Q706" s="180">
        <v>0.49</v>
      </c>
      <c r="S706" s="489">
        <v>30</v>
      </c>
      <c r="T706" s="567">
        <f>S706*J706</f>
        <v>2700</v>
      </c>
      <c r="U706" s="511"/>
      <c r="V706" s="494">
        <v>90</v>
      </c>
    </row>
    <row r="707" spans="1:22" ht="15.95" customHeight="1">
      <c r="C707" s="6" t="s">
        <v>1892</v>
      </c>
      <c r="D707" s="15" t="s">
        <v>500</v>
      </c>
      <c r="E707" s="24"/>
      <c r="F707" s="138"/>
      <c r="G707" s="24" t="s">
        <v>481</v>
      </c>
      <c r="H707" s="8"/>
      <c r="I707" s="41"/>
      <c r="J707" s="45">
        <v>1</v>
      </c>
      <c r="K707" s="46">
        <v>12</v>
      </c>
      <c r="L707" s="46">
        <f>K707*J707</f>
        <v>12</v>
      </c>
      <c r="M707" s="112"/>
      <c r="N707" s="213">
        <v>44425</v>
      </c>
      <c r="O707" s="38">
        <v>3410</v>
      </c>
      <c r="P707" s="179"/>
      <c r="Q707" s="180">
        <v>12</v>
      </c>
      <c r="S707" s="498">
        <v>900</v>
      </c>
      <c r="T707" s="568">
        <f>S707*J707</f>
        <v>900</v>
      </c>
      <c r="U707" s="511"/>
      <c r="V707" s="494">
        <v>90</v>
      </c>
    </row>
    <row r="708" spans="1:22" s="314" customFormat="1" ht="15" customHeight="1">
      <c r="A708" s="1"/>
      <c r="B708" s="313"/>
      <c r="C708" s="302" t="s">
        <v>1892</v>
      </c>
      <c r="D708" s="303" t="s">
        <v>500</v>
      </c>
      <c r="E708" s="304"/>
      <c r="F708" s="305"/>
      <c r="G708" s="305" t="s">
        <v>1227</v>
      </c>
      <c r="H708" s="307" t="s">
        <v>1228</v>
      </c>
      <c r="I708" s="308"/>
      <c r="J708" s="306"/>
      <c r="K708" s="315">
        <v>0</v>
      </c>
      <c r="L708" s="310"/>
      <c r="M708" s="310"/>
      <c r="N708" s="311">
        <v>44425</v>
      </c>
      <c r="O708" s="309">
        <v>3410</v>
      </c>
      <c r="P708" s="302"/>
      <c r="Q708" s="485">
        <v>0</v>
      </c>
      <c r="S708" s="536">
        <v>0</v>
      </c>
      <c r="T708" s="322">
        <v>0</v>
      </c>
      <c r="U708" s="515"/>
      <c r="V708" s="494">
        <v>90</v>
      </c>
    </row>
    <row r="709" spans="1:22" s="7" customFormat="1" ht="15">
      <c r="A709" s="1"/>
      <c r="B709" s="12"/>
      <c r="C709" s="6" t="s">
        <v>1893</v>
      </c>
      <c r="D709" s="15" t="s">
        <v>983</v>
      </c>
      <c r="E709" s="20" t="s">
        <v>344</v>
      </c>
      <c r="F709" s="26"/>
      <c r="G709" s="24"/>
      <c r="H709" s="67"/>
      <c r="I709" s="68"/>
      <c r="J709" s="67"/>
      <c r="K709" s="17" t="s">
        <v>134</v>
      </c>
      <c r="L709" s="39"/>
      <c r="M709" s="39"/>
      <c r="N709" s="39">
        <v>44433</v>
      </c>
      <c r="O709" s="38">
        <v>3439</v>
      </c>
      <c r="P709" s="6" t="s">
        <v>23</v>
      </c>
      <c r="Q709" s="481"/>
      <c r="S709" s="489"/>
      <c r="T709" s="113"/>
      <c r="U709" s="500"/>
      <c r="V709" s="494">
        <v>90</v>
      </c>
    </row>
    <row r="710" spans="1:22" s="7" customFormat="1" ht="15">
      <c r="A710" s="1"/>
      <c r="B710" s="12" t="s">
        <v>1856</v>
      </c>
      <c r="C710" s="6" t="s">
        <v>1893</v>
      </c>
      <c r="D710" s="15" t="s">
        <v>983</v>
      </c>
      <c r="E710" s="24">
        <v>14552</v>
      </c>
      <c r="F710" s="26">
        <v>10</v>
      </c>
      <c r="G710" s="24" t="s">
        <v>431</v>
      </c>
      <c r="H710" s="151">
        <v>30</v>
      </c>
      <c r="I710" s="152">
        <v>100</v>
      </c>
      <c r="J710" s="67">
        <f>H710*I710</f>
        <v>3000</v>
      </c>
      <c r="K710" s="25">
        <v>0.57999999999999996</v>
      </c>
      <c r="L710" s="46">
        <f>K710*J710</f>
        <v>1739.9999999999998</v>
      </c>
      <c r="M710" s="112"/>
      <c r="N710" s="39">
        <v>44433</v>
      </c>
      <c r="O710" s="38">
        <v>3439</v>
      </c>
      <c r="P710" s="46">
        <f>K710*(VLOOKUP(B710,$C$2:$F$6,3,FALSE))</f>
        <v>0.51039999999999996</v>
      </c>
      <c r="Q710" s="482">
        <v>0.51</v>
      </c>
      <c r="S710" s="489">
        <v>31</v>
      </c>
      <c r="T710" s="567">
        <f>S710*J710</f>
        <v>93000</v>
      </c>
      <c r="U710" s="500"/>
      <c r="V710" s="494">
        <v>90</v>
      </c>
    </row>
    <row r="711" spans="1:22" s="7" customFormat="1" ht="15">
      <c r="A711" s="1"/>
      <c r="B711" s="12"/>
      <c r="C711" s="6" t="s">
        <v>1893</v>
      </c>
      <c r="D711" s="15" t="s">
        <v>983</v>
      </c>
      <c r="E711" s="24"/>
      <c r="F711" s="138"/>
      <c r="G711" s="24" t="s">
        <v>481</v>
      </c>
      <c r="H711" s="8"/>
      <c r="I711" s="41"/>
      <c r="J711" s="45">
        <v>1</v>
      </c>
      <c r="K711" s="46">
        <v>12</v>
      </c>
      <c r="L711" s="46">
        <f>K711*J711</f>
        <v>12</v>
      </c>
      <c r="M711" s="112"/>
      <c r="N711" s="39">
        <v>44433</v>
      </c>
      <c r="O711" s="38">
        <v>3439</v>
      </c>
      <c r="P711" s="6"/>
      <c r="Q711" s="483">
        <v>12</v>
      </c>
      <c r="S711" s="489">
        <v>0</v>
      </c>
      <c r="T711" s="567">
        <f>S711*J711</f>
        <v>0</v>
      </c>
      <c r="U711" s="501"/>
      <c r="V711" s="494">
        <v>90</v>
      </c>
    </row>
    <row r="712" spans="1:22" s="7" customFormat="1" ht="15" customHeight="1">
      <c r="A712" s="1"/>
      <c r="B712" s="12"/>
      <c r="C712" s="6" t="s">
        <v>1893</v>
      </c>
      <c r="D712" s="15" t="s">
        <v>983</v>
      </c>
      <c r="E712" s="24"/>
      <c r="F712" s="138"/>
      <c r="G712" s="157" t="s">
        <v>1664</v>
      </c>
      <c r="H712" s="8"/>
      <c r="I712" s="41"/>
      <c r="J712" s="152">
        <v>100</v>
      </c>
      <c r="K712" s="46">
        <v>0</v>
      </c>
      <c r="L712" s="46">
        <f>K712*J712</f>
        <v>0</v>
      </c>
      <c r="M712" s="112"/>
      <c r="N712" s="39">
        <v>44433</v>
      </c>
      <c r="O712" s="38">
        <v>3439</v>
      </c>
      <c r="P712" s="6"/>
      <c r="Q712" s="483">
        <v>34</v>
      </c>
      <c r="S712" s="489">
        <v>30</v>
      </c>
      <c r="T712" s="567">
        <f>S712*J712</f>
        <v>3000</v>
      </c>
      <c r="U712" s="501"/>
      <c r="V712" s="494">
        <v>90</v>
      </c>
    </row>
    <row r="713" spans="1:22" s="314" customFormat="1" ht="15">
      <c r="A713" s="1"/>
      <c r="B713" s="313"/>
      <c r="C713" s="302" t="s">
        <v>1893</v>
      </c>
      <c r="D713" s="303" t="s">
        <v>983</v>
      </c>
      <c r="E713" s="304"/>
      <c r="F713" s="305"/>
      <c r="G713" s="305" t="s">
        <v>1227</v>
      </c>
      <c r="H713" s="307" t="s">
        <v>1243</v>
      </c>
      <c r="I713" s="308"/>
      <c r="J713" s="306"/>
      <c r="K713" s="329">
        <v>222</v>
      </c>
      <c r="L713" s="310"/>
      <c r="M713" s="310"/>
      <c r="N713" s="310">
        <v>44433</v>
      </c>
      <c r="O713" s="309">
        <v>3439</v>
      </c>
      <c r="P713" s="302"/>
      <c r="Q713" s="578">
        <v>188</v>
      </c>
      <c r="S713" s="532">
        <v>16825</v>
      </c>
      <c r="T713" s="532">
        <v>16825</v>
      </c>
      <c r="U713" s="515"/>
      <c r="V713" s="494">
        <v>90</v>
      </c>
    </row>
    <row r="714" spans="1:22" s="7" customFormat="1" ht="15">
      <c r="A714" s="1"/>
      <c r="B714" s="12"/>
      <c r="C714" s="6" t="s">
        <v>1895</v>
      </c>
      <c r="D714" s="15" t="s">
        <v>1871</v>
      </c>
      <c r="E714" s="20" t="s">
        <v>1896</v>
      </c>
      <c r="F714" s="26"/>
      <c r="G714" s="24"/>
      <c r="H714" s="67"/>
      <c r="I714" s="68"/>
      <c r="J714" s="67"/>
      <c r="K714" s="17" t="s">
        <v>134</v>
      </c>
      <c r="L714" s="39"/>
      <c r="M714" s="39"/>
      <c r="N714" s="213">
        <v>44426</v>
      </c>
      <c r="O714" s="38">
        <v>3420</v>
      </c>
      <c r="P714" s="6" t="s">
        <v>23</v>
      </c>
      <c r="Q714" s="481"/>
      <c r="S714" s="489"/>
      <c r="T714" s="113"/>
      <c r="U714" s="500"/>
      <c r="V714" s="494">
        <v>90</v>
      </c>
    </row>
    <row r="715" spans="1:22" s="7" customFormat="1" ht="15">
      <c r="A715" s="1"/>
      <c r="B715" s="12" t="s">
        <v>1856</v>
      </c>
      <c r="C715" s="6" t="s">
        <v>1895</v>
      </c>
      <c r="D715" s="15" t="s">
        <v>1871</v>
      </c>
      <c r="E715" s="24">
        <v>3921</v>
      </c>
      <c r="F715" s="26">
        <v>24</v>
      </c>
      <c r="G715" s="24" t="s">
        <v>207</v>
      </c>
      <c r="H715" s="151">
        <v>30</v>
      </c>
      <c r="I715" s="152">
        <v>1</v>
      </c>
      <c r="J715" s="67">
        <f t="shared" ref="J715:J720" si="17">H715*I715</f>
        <v>30</v>
      </c>
      <c r="K715" s="46">
        <v>0.74</v>
      </c>
      <c r="L715" s="46">
        <f t="shared" ref="L715:L720" si="18">K715*J715</f>
        <v>22.2</v>
      </c>
      <c r="M715" s="112"/>
      <c r="N715" s="213">
        <v>44426</v>
      </c>
      <c r="O715" s="38">
        <v>3420</v>
      </c>
      <c r="P715" s="46">
        <f t="shared" ref="P715:P720" si="19">K715*(VLOOKUP(B715,$C$2:$F$6,3,FALSE))</f>
        <v>0.6512</v>
      </c>
      <c r="Q715" s="482">
        <v>0.65</v>
      </c>
      <c r="S715" s="489">
        <v>39.57</v>
      </c>
      <c r="T715" s="567">
        <f t="shared" ref="T715:T721" si="20">S715*J715</f>
        <v>1187.0999999999999</v>
      </c>
      <c r="U715" s="500"/>
      <c r="V715" s="494">
        <v>90</v>
      </c>
    </row>
    <row r="716" spans="1:22" s="7" customFormat="1" ht="15">
      <c r="A716" s="1"/>
      <c r="B716" s="12" t="s">
        <v>1856</v>
      </c>
      <c r="C716" s="6" t="s">
        <v>1895</v>
      </c>
      <c r="D716" s="15" t="s">
        <v>1871</v>
      </c>
      <c r="E716" s="24">
        <v>3921</v>
      </c>
      <c r="F716" s="26">
        <v>24</v>
      </c>
      <c r="G716" s="24" t="s">
        <v>349</v>
      </c>
      <c r="H716" s="151">
        <v>30</v>
      </c>
      <c r="I716" s="152">
        <v>1</v>
      </c>
      <c r="J716" s="67">
        <f t="shared" si="17"/>
        <v>30</v>
      </c>
      <c r="K716" s="46">
        <v>0.74</v>
      </c>
      <c r="L716" s="46">
        <f t="shared" si="18"/>
        <v>22.2</v>
      </c>
      <c r="M716" s="112"/>
      <c r="N716" s="213">
        <v>44426</v>
      </c>
      <c r="O716" s="38">
        <v>3420</v>
      </c>
      <c r="P716" s="46">
        <f t="shared" si="19"/>
        <v>0.6512</v>
      </c>
      <c r="Q716" s="482">
        <v>0.65</v>
      </c>
      <c r="S716" s="489">
        <v>39.57</v>
      </c>
      <c r="T716" s="567">
        <f t="shared" si="20"/>
        <v>1187.0999999999999</v>
      </c>
      <c r="U716" s="500"/>
      <c r="V716" s="494">
        <v>90</v>
      </c>
    </row>
    <row r="717" spans="1:22" s="7" customFormat="1" ht="15">
      <c r="A717" s="1"/>
      <c r="B717" s="12" t="s">
        <v>1856</v>
      </c>
      <c r="C717" s="6" t="s">
        <v>1895</v>
      </c>
      <c r="D717" s="15" t="s">
        <v>1871</v>
      </c>
      <c r="E717" s="24">
        <v>3921</v>
      </c>
      <c r="F717" s="26">
        <v>24</v>
      </c>
      <c r="G717" s="24" t="s">
        <v>333</v>
      </c>
      <c r="H717" s="151">
        <v>30</v>
      </c>
      <c r="I717" s="152">
        <v>1</v>
      </c>
      <c r="J717" s="67">
        <f t="shared" si="17"/>
        <v>30</v>
      </c>
      <c r="K717" s="46">
        <v>0.74</v>
      </c>
      <c r="L717" s="46">
        <f t="shared" si="18"/>
        <v>22.2</v>
      </c>
      <c r="M717" s="112"/>
      <c r="N717" s="213">
        <v>44426</v>
      </c>
      <c r="O717" s="38">
        <v>3420</v>
      </c>
      <c r="P717" s="46">
        <f t="shared" si="19"/>
        <v>0.6512</v>
      </c>
      <c r="Q717" s="482">
        <v>0.65</v>
      </c>
      <c r="S717" s="489">
        <v>39.57</v>
      </c>
      <c r="T717" s="567">
        <f t="shared" si="20"/>
        <v>1187.0999999999999</v>
      </c>
      <c r="U717" s="500"/>
      <c r="V717" s="494">
        <v>90</v>
      </c>
    </row>
    <row r="718" spans="1:22" s="7" customFormat="1" ht="15">
      <c r="A718" s="1"/>
      <c r="B718" s="12" t="s">
        <v>1856</v>
      </c>
      <c r="C718" s="6" t="s">
        <v>1895</v>
      </c>
      <c r="D718" s="15" t="s">
        <v>1871</v>
      </c>
      <c r="E718" s="24">
        <v>3921</v>
      </c>
      <c r="F718" s="26">
        <v>24</v>
      </c>
      <c r="G718" s="24" t="s">
        <v>1901</v>
      </c>
      <c r="H718" s="151">
        <v>30</v>
      </c>
      <c r="I718" s="152">
        <v>1</v>
      </c>
      <c r="J718" s="67">
        <f t="shared" si="17"/>
        <v>30</v>
      </c>
      <c r="K718" s="46">
        <v>0.74</v>
      </c>
      <c r="L718" s="46">
        <f t="shared" si="18"/>
        <v>22.2</v>
      </c>
      <c r="M718" s="112"/>
      <c r="N718" s="213">
        <v>44426</v>
      </c>
      <c r="O718" s="38">
        <v>3420</v>
      </c>
      <c r="P718" s="46">
        <f t="shared" si="19"/>
        <v>0.6512</v>
      </c>
      <c r="Q718" s="482">
        <v>0.65</v>
      </c>
      <c r="S718" s="489">
        <v>39.57</v>
      </c>
      <c r="T718" s="567">
        <f t="shared" si="20"/>
        <v>1187.0999999999999</v>
      </c>
      <c r="U718" s="500"/>
      <c r="V718" s="494">
        <v>90</v>
      </c>
    </row>
    <row r="719" spans="1:22" s="7" customFormat="1" ht="15">
      <c r="A719" s="1"/>
      <c r="B719" s="12" t="s">
        <v>1856</v>
      </c>
      <c r="C719" s="6" t="s">
        <v>1895</v>
      </c>
      <c r="D719" s="15" t="s">
        <v>1871</v>
      </c>
      <c r="E719" s="24">
        <v>3921</v>
      </c>
      <c r="F719" s="26">
        <v>24</v>
      </c>
      <c r="G719" s="24" t="s">
        <v>45</v>
      </c>
      <c r="H719" s="151">
        <v>30</v>
      </c>
      <c r="I719" s="152">
        <v>1</v>
      </c>
      <c r="J719" s="67">
        <f t="shared" si="17"/>
        <v>30</v>
      </c>
      <c r="K719" s="46">
        <v>0.74</v>
      </c>
      <c r="L719" s="46">
        <f t="shared" si="18"/>
        <v>22.2</v>
      </c>
      <c r="M719" s="112"/>
      <c r="N719" s="213">
        <v>44426</v>
      </c>
      <c r="O719" s="38">
        <v>3420</v>
      </c>
      <c r="P719" s="46">
        <f t="shared" si="19"/>
        <v>0.6512</v>
      </c>
      <c r="Q719" s="482">
        <v>0.65</v>
      </c>
      <c r="S719" s="489">
        <v>39.57</v>
      </c>
      <c r="T719" s="567">
        <f t="shared" si="20"/>
        <v>1187.0999999999999</v>
      </c>
      <c r="U719" s="500"/>
      <c r="V719" s="494">
        <v>90</v>
      </c>
    </row>
    <row r="720" spans="1:22" s="7" customFormat="1" ht="15">
      <c r="A720" s="1"/>
      <c r="B720" s="12" t="s">
        <v>1856</v>
      </c>
      <c r="C720" s="6" t="s">
        <v>1895</v>
      </c>
      <c r="D720" s="15" t="s">
        <v>1871</v>
      </c>
      <c r="E720" s="24">
        <v>3921</v>
      </c>
      <c r="F720" s="26">
        <v>24</v>
      </c>
      <c r="G720" s="24" t="s">
        <v>103</v>
      </c>
      <c r="H720" s="151">
        <v>30</v>
      </c>
      <c r="I720" s="152">
        <v>1</v>
      </c>
      <c r="J720" s="67">
        <f t="shared" si="17"/>
        <v>30</v>
      </c>
      <c r="K720" s="46">
        <v>0.74</v>
      </c>
      <c r="L720" s="46">
        <f t="shared" si="18"/>
        <v>22.2</v>
      </c>
      <c r="M720" s="112"/>
      <c r="N720" s="213">
        <v>44426</v>
      </c>
      <c r="O720" s="38">
        <v>3420</v>
      </c>
      <c r="P720" s="46">
        <f t="shared" si="19"/>
        <v>0.6512</v>
      </c>
      <c r="Q720" s="482">
        <v>0.65</v>
      </c>
      <c r="S720" s="489">
        <v>39.57</v>
      </c>
      <c r="T720" s="567">
        <f t="shared" si="20"/>
        <v>1187.0999999999999</v>
      </c>
      <c r="U720" s="500"/>
      <c r="V720" s="494">
        <v>90</v>
      </c>
    </row>
    <row r="721" spans="1:22" s="7" customFormat="1" ht="15">
      <c r="A721" s="1"/>
      <c r="B721" s="12"/>
      <c r="C721" s="6" t="s">
        <v>1895</v>
      </c>
      <c r="D721" s="15" t="s">
        <v>1871</v>
      </c>
      <c r="E721" s="56"/>
      <c r="F721" s="138"/>
      <c r="G721" s="24" t="s">
        <v>481</v>
      </c>
      <c r="H721" s="8"/>
      <c r="I721" s="41"/>
      <c r="J721" s="45">
        <v>1</v>
      </c>
      <c r="K721" s="46">
        <v>12</v>
      </c>
      <c r="L721" s="46">
        <v>12</v>
      </c>
      <c r="M721" s="112"/>
      <c r="N721" s="213">
        <v>44426</v>
      </c>
      <c r="O721" s="38">
        <v>3420</v>
      </c>
      <c r="P721" s="6"/>
      <c r="Q721" s="483">
        <v>12</v>
      </c>
      <c r="S721" s="489">
        <v>0</v>
      </c>
      <c r="T721" s="567">
        <f t="shared" si="20"/>
        <v>0</v>
      </c>
      <c r="U721" s="501"/>
      <c r="V721" s="494">
        <v>90</v>
      </c>
    </row>
    <row r="722" spans="1:22" s="314" customFormat="1" ht="15">
      <c r="A722" s="1"/>
      <c r="B722" s="313"/>
      <c r="C722" s="302" t="s">
        <v>1895</v>
      </c>
      <c r="D722" s="303" t="s">
        <v>1871</v>
      </c>
      <c r="E722" s="304"/>
      <c r="F722" s="305"/>
      <c r="G722" s="305" t="s">
        <v>1227</v>
      </c>
      <c r="H722" s="307" t="s">
        <v>1228</v>
      </c>
      <c r="I722" s="308"/>
      <c r="J722" s="306"/>
      <c r="K722" s="315">
        <v>0</v>
      </c>
      <c r="L722" s="310"/>
      <c r="M722" s="310"/>
      <c r="N722" s="311">
        <v>44426</v>
      </c>
      <c r="O722" s="309">
        <v>3420</v>
      </c>
      <c r="P722" s="302"/>
      <c r="Q722" s="485">
        <v>0</v>
      </c>
      <c r="S722" s="536">
        <v>0</v>
      </c>
      <c r="T722" s="322">
        <v>0</v>
      </c>
      <c r="U722" s="515"/>
      <c r="V722" s="494">
        <v>90</v>
      </c>
    </row>
    <row r="723" spans="1:22" s="7" customFormat="1" ht="15">
      <c r="A723" s="1"/>
      <c r="B723" s="12"/>
      <c r="C723" s="6" t="s">
        <v>1906</v>
      </c>
      <c r="D723" s="15" t="s">
        <v>500</v>
      </c>
      <c r="E723" s="20" t="s">
        <v>1907</v>
      </c>
      <c r="F723" s="26"/>
      <c r="G723" s="24"/>
      <c r="H723" s="67"/>
      <c r="I723" s="68"/>
      <c r="J723" s="67"/>
      <c r="K723" s="17" t="s">
        <v>134</v>
      </c>
      <c r="L723" s="39"/>
      <c r="M723" s="39"/>
      <c r="N723" s="39">
        <v>44427</v>
      </c>
      <c r="O723" s="38">
        <v>3425</v>
      </c>
      <c r="P723" s="179" t="s">
        <v>23</v>
      </c>
      <c r="Q723" s="435"/>
      <c r="S723" s="489"/>
      <c r="T723" s="113"/>
      <c r="U723" s="510"/>
      <c r="V723" s="494">
        <v>90</v>
      </c>
    </row>
    <row r="724" spans="1:22" s="7" customFormat="1" ht="18" customHeight="1">
      <c r="A724" s="1"/>
      <c r="B724" s="12" t="s">
        <v>1856</v>
      </c>
      <c r="C724" s="6" t="s">
        <v>1906</v>
      </c>
      <c r="D724" s="15" t="s">
        <v>500</v>
      </c>
      <c r="E724" s="24" t="s">
        <v>1902</v>
      </c>
      <c r="F724" s="26">
        <v>4</v>
      </c>
      <c r="G724" s="24" t="s">
        <v>1908</v>
      </c>
      <c r="H724" s="67">
        <v>30</v>
      </c>
      <c r="I724" s="68">
        <v>3</v>
      </c>
      <c r="J724" s="67">
        <f>H724*I724</f>
        <v>90</v>
      </c>
      <c r="K724" s="46">
        <v>1.67</v>
      </c>
      <c r="L724" s="46">
        <f>K724*J724</f>
        <v>150.29999999999998</v>
      </c>
      <c r="M724" s="112"/>
      <c r="N724" s="39">
        <v>44427</v>
      </c>
      <c r="O724" s="38">
        <v>3425</v>
      </c>
      <c r="P724" s="46">
        <f>K724*(VLOOKUP(B724,$C$2:$F$6,3,FALSE))</f>
        <v>1.4696</v>
      </c>
      <c r="Q724" s="180">
        <v>1.47</v>
      </c>
      <c r="S724" s="489">
        <v>90</v>
      </c>
      <c r="T724" s="567">
        <f>S724*J724</f>
        <v>8100</v>
      </c>
      <c r="U724" s="511"/>
      <c r="V724" s="494">
        <v>90</v>
      </c>
    </row>
    <row r="725" spans="1:22" ht="15.95" customHeight="1">
      <c r="C725" s="6" t="s">
        <v>1906</v>
      </c>
      <c r="D725" s="15" t="s">
        <v>500</v>
      </c>
      <c r="E725" s="24"/>
      <c r="F725" s="138"/>
      <c r="G725" s="24" t="s">
        <v>481</v>
      </c>
      <c r="H725" s="8"/>
      <c r="I725" s="41"/>
      <c r="J725" s="45">
        <v>1</v>
      </c>
      <c r="K725" s="46">
        <v>12</v>
      </c>
      <c r="L725" s="46">
        <f>K725*J725</f>
        <v>12</v>
      </c>
      <c r="M725" s="112"/>
      <c r="N725" s="39">
        <v>44427</v>
      </c>
      <c r="O725" s="38">
        <v>3425</v>
      </c>
      <c r="P725" s="179"/>
      <c r="Q725" s="180">
        <v>12</v>
      </c>
      <c r="S725" s="498">
        <v>550</v>
      </c>
      <c r="T725" s="568">
        <f>S725*J725</f>
        <v>550</v>
      </c>
      <c r="U725" s="511"/>
      <c r="V725" s="494">
        <v>90</v>
      </c>
    </row>
    <row r="726" spans="1:22" s="314" customFormat="1" ht="15" customHeight="1">
      <c r="A726" s="1"/>
      <c r="B726" s="313"/>
      <c r="C726" s="302" t="s">
        <v>1906</v>
      </c>
      <c r="D726" s="303" t="s">
        <v>500</v>
      </c>
      <c r="E726" s="304"/>
      <c r="F726" s="305"/>
      <c r="G726" s="305" t="s">
        <v>1227</v>
      </c>
      <c r="H726" s="307" t="s">
        <v>1228</v>
      </c>
      <c r="I726" s="308"/>
      <c r="J726" s="306"/>
      <c r="K726" s="315">
        <v>0</v>
      </c>
      <c r="L726" s="310"/>
      <c r="M726" s="310"/>
      <c r="N726" s="310">
        <v>44427</v>
      </c>
      <c r="O726" s="309">
        <v>3425</v>
      </c>
      <c r="P726" s="302"/>
      <c r="Q726" s="485">
        <v>0</v>
      </c>
      <c r="S726" s="536">
        <v>0</v>
      </c>
      <c r="T726" s="322">
        <v>0</v>
      </c>
      <c r="U726" s="515"/>
      <c r="V726" s="494">
        <v>90</v>
      </c>
    </row>
    <row r="727" spans="1:22" ht="15">
      <c r="C727" s="6" t="s">
        <v>1910</v>
      </c>
      <c r="D727" s="15" t="s">
        <v>11</v>
      </c>
      <c r="E727" s="20" t="s">
        <v>79</v>
      </c>
      <c r="F727" s="150"/>
      <c r="G727" s="24"/>
      <c r="H727" s="151"/>
      <c r="I727" s="152"/>
      <c r="J727" s="151"/>
      <c r="K727" s="153" t="s">
        <v>10</v>
      </c>
      <c r="L727" s="39"/>
      <c r="M727" s="39"/>
      <c r="N727" s="39">
        <v>44438</v>
      </c>
      <c r="O727" s="38">
        <v>3457</v>
      </c>
      <c r="P727" s="15"/>
      <c r="Q727" s="483"/>
      <c r="S727" s="496"/>
      <c r="T727" s="113"/>
      <c r="V727" s="494">
        <v>90</v>
      </c>
    </row>
    <row r="728" spans="1:22" ht="15">
      <c r="B728" s="28" t="s">
        <v>1858</v>
      </c>
      <c r="C728" s="6" t="s">
        <v>1910</v>
      </c>
      <c r="D728" s="15" t="s">
        <v>11</v>
      </c>
      <c r="E728" s="24">
        <v>2440</v>
      </c>
      <c r="F728" s="150">
        <v>140</v>
      </c>
      <c r="G728" s="24" t="s">
        <v>862</v>
      </c>
      <c r="H728" s="67">
        <v>58</v>
      </c>
      <c r="I728" s="68">
        <v>10</v>
      </c>
      <c r="J728" s="67">
        <f>H728*I728</f>
        <v>580</v>
      </c>
      <c r="K728" s="46">
        <v>3.34</v>
      </c>
      <c r="L728" s="46">
        <f>K728*J728</f>
        <v>1937.1999999999998</v>
      </c>
      <c r="M728" s="112"/>
      <c r="N728" s="39">
        <v>44438</v>
      </c>
      <c r="O728" s="38">
        <v>3457</v>
      </c>
      <c r="P728" s="46">
        <f>K728*(VLOOKUP(B728,$C$2:$F$6,3,FALSE))</f>
        <v>3.1395999999999997</v>
      </c>
      <c r="Q728" s="483">
        <v>3.14</v>
      </c>
      <c r="S728" s="532">
        <v>240</v>
      </c>
      <c r="T728" s="567">
        <f>S728*J728</f>
        <v>139200</v>
      </c>
      <c r="V728" s="494">
        <v>90</v>
      </c>
    </row>
    <row r="729" spans="1:22" ht="15">
      <c r="B729" s="28" t="s">
        <v>1858</v>
      </c>
      <c r="C729" s="6" t="s">
        <v>1910</v>
      </c>
      <c r="D729" s="15" t="s">
        <v>11</v>
      </c>
      <c r="E729" s="24">
        <v>2440</v>
      </c>
      <c r="F729" s="150">
        <v>140</v>
      </c>
      <c r="G729" s="24" t="s">
        <v>1922</v>
      </c>
      <c r="H729" s="67">
        <v>58</v>
      </c>
      <c r="I729" s="68">
        <v>3</v>
      </c>
      <c r="J729" s="67">
        <f>H729*I729</f>
        <v>174</v>
      </c>
      <c r="K729" s="46">
        <v>3.34</v>
      </c>
      <c r="L729" s="46">
        <f>K729*J729</f>
        <v>581.16</v>
      </c>
      <c r="M729" s="112"/>
      <c r="N729" s="39">
        <v>44438</v>
      </c>
      <c r="O729" s="38">
        <v>3457</v>
      </c>
      <c r="P729" s="46">
        <f>K729*(VLOOKUP(B729,$C$2:$F$6,3,FALSE))</f>
        <v>3.1395999999999997</v>
      </c>
      <c r="Q729" s="483">
        <v>3.14</v>
      </c>
      <c r="S729" s="532">
        <v>240</v>
      </c>
      <c r="T729" s="567">
        <f>S729*J729</f>
        <v>41760</v>
      </c>
      <c r="V729" s="494">
        <v>90</v>
      </c>
    </row>
    <row r="730" spans="1:22" ht="15">
      <c r="C730" s="6" t="s">
        <v>1910</v>
      </c>
      <c r="D730" s="15" t="s">
        <v>11</v>
      </c>
      <c r="E730" s="228"/>
      <c r="F730" s="160"/>
      <c r="G730" s="228" t="s">
        <v>481</v>
      </c>
      <c r="H730" s="214"/>
      <c r="I730" s="215"/>
      <c r="J730" s="43">
        <v>1</v>
      </c>
      <c r="K730" s="229">
        <v>20</v>
      </c>
      <c r="L730" s="417" t="s">
        <v>1676</v>
      </c>
      <c r="M730" s="417"/>
      <c r="N730" s="39">
        <v>44438</v>
      </c>
      <c r="O730" s="38">
        <v>3457</v>
      </c>
      <c r="P730" s="216"/>
      <c r="Q730" s="525">
        <v>0</v>
      </c>
      <c r="S730" s="532">
        <v>1800</v>
      </c>
      <c r="T730" s="567">
        <v>1800</v>
      </c>
      <c r="V730" s="494">
        <v>90</v>
      </c>
    </row>
    <row r="731" spans="1:22" ht="15">
      <c r="C731" s="302" t="s">
        <v>1910</v>
      </c>
      <c r="D731" s="303" t="s">
        <v>11</v>
      </c>
      <c r="E731" s="304"/>
      <c r="F731" s="305"/>
      <c r="G731" s="305" t="s">
        <v>1227</v>
      </c>
      <c r="H731" s="307" t="s">
        <v>1228</v>
      </c>
      <c r="I731" s="308"/>
      <c r="J731" s="306"/>
      <c r="K731" s="315">
        <v>0</v>
      </c>
      <c r="L731" s="310"/>
      <c r="M731" s="310"/>
      <c r="N731" s="310">
        <v>44438</v>
      </c>
      <c r="O731" s="309">
        <v>3457</v>
      </c>
      <c r="P731" s="302"/>
      <c r="Q731" s="485">
        <v>0</v>
      </c>
      <c r="S731" s="535">
        <v>0</v>
      </c>
      <c r="T731" s="322">
        <v>0</v>
      </c>
      <c r="V731" s="494">
        <v>90</v>
      </c>
    </row>
    <row r="732" spans="1:22" s="7" customFormat="1" ht="15" customHeight="1">
      <c r="A732" s="1"/>
      <c r="B732" s="12"/>
      <c r="C732" s="6" t="s">
        <v>1914</v>
      </c>
      <c r="D732" s="15" t="s">
        <v>892</v>
      </c>
      <c r="E732" s="20" t="s">
        <v>628</v>
      </c>
      <c r="F732" s="26"/>
      <c r="G732" s="24"/>
      <c r="H732" s="67"/>
      <c r="I732" s="68"/>
      <c r="J732" s="67"/>
      <c r="K732" s="17" t="s">
        <v>134</v>
      </c>
      <c r="L732" s="39"/>
      <c r="M732" s="39"/>
      <c r="N732" s="39">
        <v>44435</v>
      </c>
      <c r="O732" s="38">
        <v>3454</v>
      </c>
      <c r="P732" s="179" t="s">
        <v>23</v>
      </c>
      <c r="Q732" s="438" t="s">
        <v>959</v>
      </c>
      <c r="S732" s="489"/>
      <c r="T732" s="113"/>
      <c r="U732" s="510"/>
      <c r="V732" s="494">
        <v>90</v>
      </c>
    </row>
    <row r="733" spans="1:22" s="7" customFormat="1" ht="18" customHeight="1">
      <c r="A733" s="1"/>
      <c r="B733" s="12" t="s">
        <v>1856</v>
      </c>
      <c r="C733" s="6" t="s">
        <v>1914</v>
      </c>
      <c r="D733" s="15" t="s">
        <v>892</v>
      </c>
      <c r="E733" s="24">
        <v>5291</v>
      </c>
      <c r="F733" s="26">
        <v>8</v>
      </c>
      <c r="G733" s="24" t="s">
        <v>29</v>
      </c>
      <c r="H733" s="67">
        <v>50</v>
      </c>
      <c r="I733" s="68">
        <v>1</v>
      </c>
      <c r="J733" s="67">
        <f>H733*I733</f>
        <v>50</v>
      </c>
      <c r="K733" s="46">
        <v>0.45</v>
      </c>
      <c r="L733" s="46">
        <f>K733*J733</f>
        <v>22.5</v>
      </c>
      <c r="M733" s="112"/>
      <c r="N733" s="39">
        <v>44435</v>
      </c>
      <c r="O733" s="38">
        <v>3454</v>
      </c>
      <c r="P733" s="46">
        <f>K733*(VLOOKUP(B733,$C$2:$F$6,3,FALSE))</f>
        <v>0.39600000000000002</v>
      </c>
      <c r="Q733" s="180">
        <v>0.4</v>
      </c>
      <c r="S733" s="489">
        <v>24</v>
      </c>
      <c r="T733" s="113">
        <f>S733*J733</f>
        <v>1200</v>
      </c>
      <c r="U733" s="511"/>
      <c r="V733" s="494">
        <v>90</v>
      </c>
    </row>
    <row r="734" spans="1:22" ht="15.95" customHeight="1">
      <c r="C734" s="6" t="s">
        <v>1914</v>
      </c>
      <c r="D734" s="15" t="s">
        <v>892</v>
      </c>
      <c r="E734" s="24"/>
      <c r="F734" s="138"/>
      <c r="G734" s="24" t="s">
        <v>481</v>
      </c>
      <c r="H734" s="8"/>
      <c r="I734" s="41"/>
      <c r="J734" s="45">
        <v>1</v>
      </c>
      <c r="K734" s="46">
        <v>12</v>
      </c>
      <c r="L734" s="46">
        <f>K734*J734</f>
        <v>12</v>
      </c>
      <c r="M734" s="112"/>
      <c r="N734" s="39">
        <v>44435</v>
      </c>
      <c r="O734" s="38">
        <v>3454</v>
      </c>
      <c r="P734" s="179"/>
      <c r="Q734" s="180">
        <v>12</v>
      </c>
      <c r="S734" s="498">
        <v>850</v>
      </c>
      <c r="T734" s="568">
        <f>S734*J734</f>
        <v>850</v>
      </c>
      <c r="U734" s="511"/>
      <c r="V734" s="494">
        <v>90</v>
      </c>
    </row>
    <row r="735" spans="1:22" s="314" customFormat="1" ht="15" customHeight="1">
      <c r="A735" s="1"/>
      <c r="B735" s="313"/>
      <c r="C735" s="302" t="s">
        <v>1914</v>
      </c>
      <c r="D735" s="303" t="s">
        <v>892</v>
      </c>
      <c r="E735" s="304"/>
      <c r="F735" s="305"/>
      <c r="G735" s="305" t="s">
        <v>1227</v>
      </c>
      <c r="H735" s="307" t="s">
        <v>1228</v>
      </c>
      <c r="I735" s="308"/>
      <c r="J735" s="306"/>
      <c r="K735" s="315">
        <v>0</v>
      </c>
      <c r="L735" s="310"/>
      <c r="M735" s="310"/>
      <c r="N735" s="310">
        <v>44435</v>
      </c>
      <c r="O735" s="309">
        <v>3454</v>
      </c>
      <c r="P735" s="302"/>
      <c r="Q735" s="485">
        <v>0</v>
      </c>
      <c r="S735" s="536">
        <v>0</v>
      </c>
      <c r="T735" s="322">
        <v>0</v>
      </c>
      <c r="U735" s="515"/>
      <c r="V735" s="494">
        <v>90</v>
      </c>
    </row>
    <row r="736" spans="1:22" ht="15">
      <c r="C736" s="6" t="s">
        <v>1916</v>
      </c>
      <c r="D736" s="61" t="s">
        <v>1917</v>
      </c>
      <c r="E736" s="20" t="s">
        <v>1018</v>
      </c>
      <c r="F736" s="26"/>
      <c r="G736" s="24"/>
      <c r="H736" s="67"/>
      <c r="I736" s="68"/>
      <c r="J736" s="67"/>
      <c r="K736" s="17" t="s">
        <v>10</v>
      </c>
      <c r="L736" s="46"/>
      <c r="M736" s="112"/>
      <c r="N736" s="39">
        <v>44435</v>
      </c>
      <c r="O736" s="38">
        <v>3451</v>
      </c>
      <c r="P736" s="175"/>
      <c r="Q736" s="485">
        <v>0</v>
      </c>
      <c r="S736" s="536">
        <v>0</v>
      </c>
      <c r="T736" s="7"/>
      <c r="V736" s="494">
        <v>90</v>
      </c>
    </row>
    <row r="737" spans="1:22" ht="15">
      <c r="B737" s="28" t="s">
        <v>1856</v>
      </c>
      <c r="C737" s="6" t="s">
        <v>1916</v>
      </c>
      <c r="D737" s="61" t="s">
        <v>1917</v>
      </c>
      <c r="E737" s="24">
        <v>1962</v>
      </c>
      <c r="F737" s="26" t="s">
        <v>1915</v>
      </c>
      <c r="G737" s="24" t="s">
        <v>1918</v>
      </c>
      <c r="H737" s="67">
        <v>30</v>
      </c>
      <c r="I737" s="68">
        <v>1</v>
      </c>
      <c r="J737" s="67">
        <v>30</v>
      </c>
      <c r="K737" s="46">
        <v>0.89</v>
      </c>
      <c r="L737" s="46">
        <f>K737*J737</f>
        <v>26.7</v>
      </c>
      <c r="M737" s="112"/>
      <c r="N737" s="39">
        <v>44435</v>
      </c>
      <c r="O737" s="38">
        <v>3451</v>
      </c>
      <c r="P737" s="46">
        <f>K737*(VLOOKUP(B737,$C$2:$F$6,3,FALSE))</f>
        <v>0.78320000000000001</v>
      </c>
      <c r="Q737" s="593">
        <v>0.78</v>
      </c>
      <c r="S737" s="113">
        <v>48</v>
      </c>
      <c r="T737" s="113">
        <f>S737*J737</f>
        <v>1440</v>
      </c>
      <c r="V737" s="494">
        <v>90</v>
      </c>
    </row>
    <row r="738" spans="1:22" ht="15.95" customHeight="1">
      <c r="C738" s="6" t="s">
        <v>1916</v>
      </c>
      <c r="D738" s="61" t="s">
        <v>1917</v>
      </c>
      <c r="E738" s="24"/>
      <c r="F738" s="138"/>
      <c r="G738" s="24" t="s">
        <v>481</v>
      </c>
      <c r="H738" s="8"/>
      <c r="I738" s="41"/>
      <c r="J738" s="45">
        <v>1</v>
      </c>
      <c r="K738" s="46">
        <v>12</v>
      </c>
      <c r="L738" s="46">
        <f>K738*J738</f>
        <v>12</v>
      </c>
      <c r="M738" s="112"/>
      <c r="N738" s="39">
        <v>44435</v>
      </c>
      <c r="O738" s="38">
        <v>3451</v>
      </c>
      <c r="P738" s="179"/>
      <c r="Q738" s="180">
        <v>12</v>
      </c>
      <c r="S738" s="498">
        <v>900</v>
      </c>
      <c r="T738" s="568">
        <f>S738*J738</f>
        <v>900</v>
      </c>
      <c r="U738" s="511"/>
      <c r="V738" s="494">
        <v>90</v>
      </c>
    </row>
    <row r="739" spans="1:22" s="314" customFormat="1" ht="15" customHeight="1">
      <c r="A739" s="1"/>
      <c r="B739" s="313"/>
      <c r="C739" s="302" t="s">
        <v>1916</v>
      </c>
      <c r="D739" s="592" t="s">
        <v>1917</v>
      </c>
      <c r="E739" s="304"/>
      <c r="F739" s="305"/>
      <c r="G739" s="305" t="s">
        <v>1227</v>
      </c>
      <c r="H739" s="307" t="s">
        <v>1228</v>
      </c>
      <c r="I739" s="308"/>
      <c r="J739" s="306"/>
      <c r="K739" s="315">
        <v>0</v>
      </c>
      <c r="L739" s="310"/>
      <c r="M739" s="310"/>
      <c r="N739" s="310">
        <v>44435</v>
      </c>
      <c r="O739" s="309">
        <v>3451</v>
      </c>
      <c r="P739" s="302"/>
      <c r="Q739" s="485">
        <v>0</v>
      </c>
      <c r="S739" s="536">
        <v>0</v>
      </c>
      <c r="T739" s="322">
        <v>0</v>
      </c>
      <c r="U739" s="515"/>
      <c r="V739" s="494">
        <v>90</v>
      </c>
    </row>
    <row r="740" spans="1:22" ht="15" customHeight="1">
      <c r="C740" s="6" t="s">
        <v>1919</v>
      </c>
      <c r="D740" s="15" t="s">
        <v>1891</v>
      </c>
      <c r="E740" s="20" t="s">
        <v>1639</v>
      </c>
      <c r="F740" s="26"/>
      <c r="G740" s="24"/>
      <c r="H740" s="16"/>
      <c r="I740" s="68"/>
      <c r="J740" s="67"/>
      <c r="K740" s="153" t="s">
        <v>10</v>
      </c>
      <c r="L740" s="39"/>
      <c r="M740" s="39"/>
      <c r="N740" s="39">
        <v>44449</v>
      </c>
      <c r="O740" s="38">
        <v>3461</v>
      </c>
      <c r="P740" s="6" t="s">
        <v>23</v>
      </c>
      <c r="Q740" s="481"/>
      <c r="S740" s="489"/>
      <c r="T740" s="113"/>
      <c r="U740" s="500"/>
      <c r="V740" s="494">
        <v>90</v>
      </c>
    </row>
    <row r="741" spans="1:22" ht="15">
      <c r="B741" s="28" t="s">
        <v>1856</v>
      </c>
      <c r="C741" s="6" t="s">
        <v>1919</v>
      </c>
      <c r="D741" s="15" t="s">
        <v>1891</v>
      </c>
      <c r="E741" s="24" t="s">
        <v>1264</v>
      </c>
      <c r="F741" s="26" t="s">
        <v>19</v>
      </c>
      <c r="G741" s="24" t="s">
        <v>1640</v>
      </c>
      <c r="H741" s="67">
        <v>6</v>
      </c>
      <c r="I741" s="68">
        <v>144</v>
      </c>
      <c r="J741" s="67">
        <f>H741*I741</f>
        <v>864</v>
      </c>
      <c r="K741" s="25">
        <v>1.71</v>
      </c>
      <c r="L741" s="46">
        <f>K741*J741</f>
        <v>1477.44</v>
      </c>
      <c r="M741" s="112"/>
      <c r="N741" s="39">
        <v>44449</v>
      </c>
      <c r="O741" s="38">
        <v>3461</v>
      </c>
      <c r="P741" s="25">
        <f>K741*0.88</f>
        <v>1.5047999999999999</v>
      </c>
      <c r="Q741" s="483">
        <v>1.5</v>
      </c>
      <c r="S741" s="489">
        <v>65</v>
      </c>
      <c r="T741" s="567">
        <f>S741*J741</f>
        <v>56160</v>
      </c>
      <c r="U741" s="502"/>
      <c r="V741" s="494">
        <v>90</v>
      </c>
    </row>
    <row r="742" spans="1:22" s="7" customFormat="1" ht="17.25" customHeight="1">
      <c r="A742" s="1"/>
      <c r="B742" s="12"/>
      <c r="C742" s="6" t="s">
        <v>1919</v>
      </c>
      <c r="D742" s="15" t="s">
        <v>1891</v>
      </c>
      <c r="E742" s="238"/>
      <c r="F742" s="44"/>
      <c r="G742" s="44" t="s">
        <v>31</v>
      </c>
      <c r="H742" s="8"/>
      <c r="I742" s="152" ph="1"/>
      <c r="J742" s="45">
        <v>1</v>
      </c>
      <c r="K742" s="46">
        <v>12</v>
      </c>
      <c r="L742" s="46">
        <f>K742*J742</f>
        <v>12</v>
      </c>
      <c r="M742" s="112"/>
      <c r="N742" s="39">
        <v>44449</v>
      </c>
      <c r="O742" s="38">
        <v>3461</v>
      </c>
      <c r="P742" s="6"/>
      <c r="Q742" s="483">
        <v>12</v>
      </c>
      <c r="S742" s="489">
        <v>0</v>
      </c>
      <c r="T742" s="567">
        <f>S742*J742</f>
        <v>0</v>
      </c>
      <c r="U742" s="501"/>
      <c r="V742" s="494">
        <v>90</v>
      </c>
    </row>
    <row r="743" spans="1:22" s="314" customFormat="1" ht="15">
      <c r="A743" s="1"/>
      <c r="B743" s="313"/>
      <c r="C743" s="302" t="s">
        <v>1919</v>
      </c>
      <c r="D743" s="303" t="s">
        <v>1891</v>
      </c>
      <c r="E743" s="304"/>
      <c r="F743" s="305"/>
      <c r="G743" s="305" t="s">
        <v>1227</v>
      </c>
      <c r="H743" s="307" t="s">
        <v>1228</v>
      </c>
      <c r="I743" s="308"/>
      <c r="J743" s="306"/>
      <c r="K743" s="315">
        <v>0</v>
      </c>
      <c r="L743" s="310"/>
      <c r="M743" s="310"/>
      <c r="N743" s="310">
        <v>44449</v>
      </c>
      <c r="O743" s="309">
        <v>3461</v>
      </c>
      <c r="P743" s="302"/>
      <c r="Q743" s="485">
        <v>0</v>
      </c>
      <c r="S743" s="535">
        <v>0</v>
      </c>
      <c r="T743" s="322">
        <v>0</v>
      </c>
      <c r="U743" s="515"/>
      <c r="V743" s="494">
        <v>90</v>
      </c>
    </row>
    <row r="744" spans="1:22" s="7" customFormat="1" ht="15">
      <c r="A744" s="1"/>
      <c r="B744" s="12"/>
      <c r="C744" s="6" t="s">
        <v>1933</v>
      </c>
      <c r="D744" s="15" t="s">
        <v>909</v>
      </c>
      <c r="E744" s="20" t="s">
        <v>1110</v>
      </c>
      <c r="F744" s="44"/>
      <c r="G744" s="44"/>
      <c r="H744" s="151"/>
      <c r="I744" s="151"/>
      <c r="J744" s="151"/>
      <c r="K744" s="17" t="s">
        <v>134</v>
      </c>
      <c r="L744" s="39"/>
      <c r="M744" s="39"/>
      <c r="N744" s="39">
        <v>44440</v>
      </c>
      <c r="O744" s="38">
        <v>3460</v>
      </c>
      <c r="P744" s="6"/>
      <c r="Q744" s="524"/>
      <c r="S744" s="489"/>
      <c r="T744" s="113"/>
      <c r="U744" s="501"/>
      <c r="V744" s="494">
        <v>90</v>
      </c>
    </row>
    <row r="745" spans="1:22" s="7" customFormat="1" ht="15">
      <c r="A745" s="1"/>
      <c r="B745" s="12" t="s">
        <v>1856</v>
      </c>
      <c r="C745" s="6" t="s">
        <v>1920</v>
      </c>
      <c r="D745" s="15" t="s">
        <v>909</v>
      </c>
      <c r="E745" s="24">
        <v>5654</v>
      </c>
      <c r="F745" s="44"/>
      <c r="G745" s="260" t="s">
        <v>1921</v>
      </c>
      <c r="H745" s="67">
        <v>50</v>
      </c>
      <c r="I745" s="68">
        <v>4</v>
      </c>
      <c r="J745" s="67">
        <f>H745*I745</f>
        <v>200</v>
      </c>
      <c r="K745" s="46">
        <v>0.28999999999999998</v>
      </c>
      <c r="L745" s="46">
        <f>K745*J745</f>
        <v>57.999999999999993</v>
      </c>
      <c r="M745" s="112"/>
      <c r="N745" s="39">
        <v>44440</v>
      </c>
      <c r="O745" s="38">
        <v>3460</v>
      </c>
      <c r="P745" s="46">
        <f>K745*(VLOOKUP(B745,$C$2:$F$6,3,FALSE))</f>
        <v>0.25519999999999998</v>
      </c>
      <c r="Q745" s="483">
        <v>0.26</v>
      </c>
      <c r="S745" s="489">
        <v>14.8</v>
      </c>
      <c r="T745" s="567">
        <f>S745*J745</f>
        <v>2960</v>
      </c>
      <c r="U745" s="507"/>
      <c r="V745" s="494">
        <v>90</v>
      </c>
    </row>
    <row r="746" spans="1:22" s="7" customFormat="1" ht="15" customHeight="1">
      <c r="A746" s="1"/>
      <c r="B746" s="12"/>
      <c r="C746" s="6" t="s">
        <v>1920</v>
      </c>
      <c r="D746" s="15" t="s">
        <v>909</v>
      </c>
      <c r="E746" s="24"/>
      <c r="F746" s="44"/>
      <c r="G746" s="44" t="s">
        <v>31</v>
      </c>
      <c r="H746" s="8"/>
      <c r="I746" s="152" ph="1"/>
      <c r="J746" s="45">
        <v>1</v>
      </c>
      <c r="K746" s="46">
        <v>12</v>
      </c>
      <c r="L746" s="46">
        <f>K746*J746</f>
        <v>12</v>
      </c>
      <c r="M746" s="112"/>
      <c r="N746" s="39">
        <v>44440</v>
      </c>
      <c r="O746" s="38">
        <v>3460</v>
      </c>
      <c r="P746" s="6"/>
      <c r="Q746" s="483">
        <v>12</v>
      </c>
      <c r="S746" s="489">
        <v>1100</v>
      </c>
      <c r="T746" s="113">
        <v>1100</v>
      </c>
      <c r="U746" s="501"/>
      <c r="V746" s="494">
        <v>90</v>
      </c>
    </row>
    <row r="747" spans="1:22" s="314" customFormat="1" ht="15">
      <c r="A747" s="1"/>
      <c r="B747" s="313"/>
      <c r="C747" s="302" t="s">
        <v>1920</v>
      </c>
      <c r="D747" s="303" t="s">
        <v>909</v>
      </c>
      <c r="E747" s="304"/>
      <c r="F747" s="305"/>
      <c r="G747" s="305" t="s">
        <v>1227</v>
      </c>
      <c r="H747" s="307" t="s">
        <v>1228</v>
      </c>
      <c r="I747" s="308"/>
      <c r="J747" s="306"/>
      <c r="K747" s="315">
        <v>0</v>
      </c>
      <c r="L747" s="310"/>
      <c r="M747" s="310"/>
      <c r="N747" s="310">
        <v>44440</v>
      </c>
      <c r="O747" s="309">
        <v>3460</v>
      </c>
      <c r="P747" s="302"/>
      <c r="Q747" s="485">
        <v>0</v>
      </c>
      <c r="S747" s="535">
        <v>0</v>
      </c>
      <c r="T747" s="322">
        <v>0</v>
      </c>
      <c r="U747" s="515"/>
      <c r="V747" s="494">
        <v>90</v>
      </c>
    </row>
    <row r="748" spans="1:22" ht="15">
      <c r="C748" s="6" t="s">
        <v>1926</v>
      </c>
      <c r="D748" s="15" t="s">
        <v>867</v>
      </c>
      <c r="E748" s="20" t="s">
        <v>79</v>
      </c>
      <c r="F748" s="150"/>
      <c r="G748" s="24"/>
      <c r="H748" s="151"/>
      <c r="I748" s="152"/>
      <c r="J748" s="151"/>
      <c r="K748" s="153" t="s">
        <v>10</v>
      </c>
      <c r="L748" s="11"/>
      <c r="M748" s="11"/>
      <c r="N748" s="39">
        <v>44442</v>
      </c>
      <c r="O748" s="38">
        <v>3469</v>
      </c>
      <c r="P748" s="15"/>
      <c r="Q748" s="483"/>
      <c r="S748" s="489"/>
      <c r="V748" s="494">
        <v>90</v>
      </c>
    </row>
    <row r="749" spans="1:22" ht="15">
      <c r="B749" s="28" t="s">
        <v>1858</v>
      </c>
      <c r="C749" s="6" t="s">
        <v>1926</v>
      </c>
      <c r="D749" s="15" t="s">
        <v>867</v>
      </c>
      <c r="E749" s="24" t="s">
        <v>1157</v>
      </c>
      <c r="F749" s="150">
        <v>148</v>
      </c>
      <c r="G749" s="24" t="s">
        <v>629</v>
      </c>
      <c r="H749" s="67">
        <v>54</v>
      </c>
      <c r="I749" s="68">
        <v>1</v>
      </c>
      <c r="J749" s="67">
        <f>H749*I749</f>
        <v>54</v>
      </c>
      <c r="K749" s="46">
        <v>12.92</v>
      </c>
      <c r="L749" s="46">
        <f>K749*J749</f>
        <v>697.68</v>
      </c>
      <c r="M749" s="112"/>
      <c r="N749" s="39">
        <v>44442</v>
      </c>
      <c r="O749" s="38">
        <v>3469</v>
      </c>
      <c r="P749" s="46">
        <f>K749*(VLOOKUP(B749,$C$2:$F$6,3,FALSE))</f>
        <v>12.1448</v>
      </c>
      <c r="Q749" s="483">
        <v>12.14</v>
      </c>
      <c r="S749" s="489">
        <v>700</v>
      </c>
      <c r="T749" s="567">
        <f>S749*J749</f>
        <v>37800</v>
      </c>
      <c r="U749" s="1598" t="s">
        <v>1927</v>
      </c>
      <c r="V749" s="494">
        <v>90</v>
      </c>
    </row>
    <row r="750" spans="1:22" ht="15">
      <c r="C750" s="6" t="s">
        <v>1926</v>
      </c>
      <c r="D750" s="15" t="s">
        <v>867</v>
      </c>
      <c r="E750" s="24"/>
      <c r="F750" s="138"/>
      <c r="G750" s="44" t="s">
        <v>31</v>
      </c>
      <c r="H750" s="8"/>
      <c r="I750" s="41"/>
      <c r="J750" s="45">
        <v>1</v>
      </c>
      <c r="K750" s="46">
        <v>20</v>
      </c>
      <c r="L750" s="46">
        <f>K750*J750</f>
        <v>20</v>
      </c>
      <c r="M750" s="112"/>
      <c r="N750" s="39">
        <v>44442</v>
      </c>
      <c r="O750" s="38">
        <v>3469</v>
      </c>
      <c r="P750" s="179"/>
      <c r="Q750" s="483">
        <v>20</v>
      </c>
      <c r="S750" s="489">
        <v>1800</v>
      </c>
      <c r="T750" s="567">
        <f>S750*J750</f>
        <v>1800</v>
      </c>
      <c r="V750" s="494">
        <v>90</v>
      </c>
    </row>
    <row r="751" spans="1:22" s="314" customFormat="1" ht="15">
      <c r="A751" s="1"/>
      <c r="B751" s="313"/>
      <c r="C751" s="302" t="s">
        <v>1926</v>
      </c>
      <c r="D751" s="303" t="s">
        <v>867</v>
      </c>
      <c r="E751" s="304"/>
      <c r="F751" s="305"/>
      <c r="G751" s="305" t="s">
        <v>1227</v>
      </c>
      <c r="H751" s="307" t="s">
        <v>1243</v>
      </c>
      <c r="I751" s="308"/>
      <c r="J751" s="306"/>
      <c r="K751" s="315">
        <v>191</v>
      </c>
      <c r="L751" s="310"/>
      <c r="M751" s="310"/>
      <c r="N751" s="310">
        <v>44442</v>
      </c>
      <c r="O751" s="309">
        <v>3469</v>
      </c>
      <c r="P751" s="302"/>
      <c r="Q751" s="485">
        <v>191</v>
      </c>
      <c r="S751" s="536">
        <v>17186</v>
      </c>
      <c r="T751" s="322">
        <v>17186</v>
      </c>
      <c r="U751" s="515"/>
      <c r="V751" s="494">
        <v>90</v>
      </c>
    </row>
    <row r="752" spans="1:22" s="7" customFormat="1" ht="15">
      <c r="A752" s="1"/>
      <c r="B752" s="12"/>
      <c r="C752" s="6" t="s">
        <v>1929</v>
      </c>
      <c r="D752" s="15" t="s">
        <v>500</v>
      </c>
      <c r="E752" s="20" t="s">
        <v>503</v>
      </c>
      <c r="F752" s="26"/>
      <c r="G752" s="24"/>
      <c r="H752" s="67"/>
      <c r="I752" s="68"/>
      <c r="J752" s="67"/>
      <c r="K752" s="17" t="s">
        <v>134</v>
      </c>
      <c r="L752" s="39"/>
      <c r="M752" s="39"/>
      <c r="N752" s="39">
        <v>44446</v>
      </c>
      <c r="O752" s="38">
        <v>3468</v>
      </c>
      <c r="P752" s="179" t="s">
        <v>23</v>
      </c>
      <c r="Q752" s="435"/>
      <c r="S752" s="489"/>
      <c r="T752" s="113"/>
      <c r="U752" s="510"/>
      <c r="V752" s="494">
        <v>90</v>
      </c>
    </row>
    <row r="753" spans="1:22" s="7" customFormat="1" ht="18" customHeight="1">
      <c r="A753" s="1"/>
      <c r="B753" s="12" t="s">
        <v>1856</v>
      </c>
      <c r="C753" s="6" t="s">
        <v>1929</v>
      </c>
      <c r="D753" s="15" t="s">
        <v>500</v>
      </c>
      <c r="E753" s="24">
        <v>5356</v>
      </c>
      <c r="F753" s="26">
        <v>3</v>
      </c>
      <c r="G753" s="24" t="s">
        <v>504</v>
      </c>
      <c r="H753" s="67">
        <v>30</v>
      </c>
      <c r="I753" s="68">
        <v>3</v>
      </c>
      <c r="J753" s="67">
        <f>H753*I753</f>
        <v>90</v>
      </c>
      <c r="K753" s="46">
        <v>0.56000000000000005</v>
      </c>
      <c r="L753" s="46">
        <f>K753*J753</f>
        <v>50.400000000000006</v>
      </c>
      <c r="M753" s="112"/>
      <c r="N753" s="39">
        <v>44446</v>
      </c>
      <c r="O753" s="38">
        <v>3468</v>
      </c>
      <c r="P753" s="46">
        <f>K753*(VLOOKUP(B753,$C$2:$F$6,3,FALSE))</f>
        <v>0.49280000000000007</v>
      </c>
      <c r="Q753" s="180">
        <v>0.49</v>
      </c>
      <c r="S753" s="489">
        <v>30</v>
      </c>
      <c r="T753" s="567">
        <f>S753*J753</f>
        <v>2700</v>
      </c>
      <c r="U753" s="511"/>
      <c r="V753" s="494">
        <v>90</v>
      </c>
    </row>
    <row r="754" spans="1:22" s="7" customFormat="1" ht="18" customHeight="1">
      <c r="A754" s="1"/>
      <c r="B754" s="12" t="s">
        <v>1856</v>
      </c>
      <c r="C754" s="6" t="s">
        <v>1929</v>
      </c>
      <c r="D754" s="15" t="s">
        <v>500</v>
      </c>
      <c r="E754" s="24">
        <v>5356</v>
      </c>
      <c r="F754" s="26">
        <v>4</v>
      </c>
      <c r="G754" s="24" t="s">
        <v>504</v>
      </c>
      <c r="H754" s="67">
        <v>30</v>
      </c>
      <c r="I754" s="68">
        <v>2</v>
      </c>
      <c r="J754" s="67">
        <f>H754*I754</f>
        <v>60</v>
      </c>
      <c r="K754" s="46">
        <v>0.94</v>
      </c>
      <c r="L754" s="46">
        <f>K754*J754</f>
        <v>56.4</v>
      </c>
      <c r="M754" s="112"/>
      <c r="N754" s="39">
        <v>44446</v>
      </c>
      <c r="O754" s="38">
        <v>3468</v>
      </c>
      <c r="P754" s="46">
        <f>K754*(VLOOKUP(B754,$C$2:$F$6,3,FALSE))</f>
        <v>0.82719999999999994</v>
      </c>
      <c r="Q754" s="180">
        <v>0.83</v>
      </c>
      <c r="S754" s="489">
        <v>50</v>
      </c>
      <c r="T754" s="567">
        <f>S754*J754</f>
        <v>3000</v>
      </c>
      <c r="U754" s="511"/>
      <c r="V754" s="494">
        <v>90</v>
      </c>
    </row>
    <row r="755" spans="1:22" s="7" customFormat="1" ht="18" customHeight="1">
      <c r="A755" s="1"/>
      <c r="B755" s="12" t="s">
        <v>1856</v>
      </c>
      <c r="C755" s="6" t="s">
        <v>1929</v>
      </c>
      <c r="D755" s="15" t="s">
        <v>500</v>
      </c>
      <c r="E755" s="24">
        <v>5356</v>
      </c>
      <c r="F755" s="26">
        <v>3</v>
      </c>
      <c r="G755" s="24" t="s">
        <v>1935</v>
      </c>
      <c r="H755" s="67">
        <v>30</v>
      </c>
      <c r="I755" s="68">
        <v>6</v>
      </c>
      <c r="J755" s="67">
        <f>H755*I755</f>
        <v>180</v>
      </c>
      <c r="K755" s="46">
        <v>0.56000000000000005</v>
      </c>
      <c r="L755" s="46">
        <f>K755*J755</f>
        <v>100.80000000000001</v>
      </c>
      <c r="M755" s="112"/>
      <c r="N755" s="39">
        <v>44446</v>
      </c>
      <c r="O755" s="38">
        <v>3468</v>
      </c>
      <c r="P755" s="46">
        <f>K755*(VLOOKUP(B755,$C$2:$F$6,3,FALSE))</f>
        <v>0.49280000000000007</v>
      </c>
      <c r="Q755" s="180">
        <v>0.49</v>
      </c>
      <c r="S755" s="489">
        <v>30</v>
      </c>
      <c r="T755" s="567">
        <f>S755*J755</f>
        <v>5400</v>
      </c>
      <c r="U755" s="511"/>
      <c r="V755" s="494">
        <v>90</v>
      </c>
    </row>
    <row r="756" spans="1:22" ht="15.95" customHeight="1">
      <c r="C756" s="6" t="s">
        <v>1929</v>
      </c>
      <c r="D756" s="15" t="s">
        <v>500</v>
      </c>
      <c r="E756" s="24"/>
      <c r="F756" s="138"/>
      <c r="G756" s="24" t="s">
        <v>481</v>
      </c>
      <c r="H756" s="8"/>
      <c r="I756" s="41"/>
      <c r="J756" s="45">
        <v>2</v>
      </c>
      <c r="K756" s="46">
        <v>12</v>
      </c>
      <c r="L756" s="46">
        <f>K756*J756</f>
        <v>24</v>
      </c>
      <c r="M756" s="112"/>
      <c r="N756" s="39">
        <v>44446</v>
      </c>
      <c r="O756" s="38">
        <v>3468</v>
      </c>
      <c r="P756" s="179"/>
      <c r="Q756" s="180">
        <v>12</v>
      </c>
      <c r="S756" s="498">
        <v>900</v>
      </c>
      <c r="T756" s="568">
        <f>S756*J756</f>
        <v>1800</v>
      </c>
      <c r="U756" s="511"/>
      <c r="V756" s="494">
        <v>90</v>
      </c>
    </row>
    <row r="757" spans="1:22" s="314" customFormat="1" ht="15" customHeight="1">
      <c r="A757" s="1"/>
      <c r="B757" s="313"/>
      <c r="C757" s="302" t="s">
        <v>1929</v>
      </c>
      <c r="D757" s="303" t="s">
        <v>500</v>
      </c>
      <c r="E757" s="304"/>
      <c r="F757" s="305"/>
      <c r="G757" s="305" t="s">
        <v>1227</v>
      </c>
      <c r="H757" s="307" t="s">
        <v>1228</v>
      </c>
      <c r="I757" s="308"/>
      <c r="J757" s="306"/>
      <c r="K757" s="315">
        <v>0</v>
      </c>
      <c r="L757" s="310"/>
      <c r="M757" s="310"/>
      <c r="N757" s="310">
        <v>44446</v>
      </c>
      <c r="O757" s="309">
        <v>3468</v>
      </c>
      <c r="P757" s="302"/>
      <c r="Q757" s="485">
        <v>0</v>
      </c>
      <c r="S757" s="536">
        <v>0</v>
      </c>
      <c r="T757" s="322">
        <v>0</v>
      </c>
      <c r="U757" s="515"/>
      <c r="V757" s="494">
        <v>90</v>
      </c>
    </row>
    <row r="758" spans="1:22" ht="15" customHeight="1">
      <c r="C758" s="330" t="s">
        <v>1930</v>
      </c>
      <c r="D758" s="331" t="s">
        <v>1931</v>
      </c>
      <c r="E758" s="334" t="s">
        <v>1934</v>
      </c>
      <c r="F758" s="595"/>
      <c r="G758" s="595" t="s">
        <v>1932</v>
      </c>
      <c r="H758" s="335"/>
      <c r="I758" s="596"/>
      <c r="J758" s="335">
        <v>1</v>
      </c>
      <c r="K758" s="597">
        <v>33</v>
      </c>
      <c r="L758" s="597">
        <f>K758*J758</f>
        <v>33</v>
      </c>
      <c r="M758" s="782"/>
      <c r="N758" s="598">
        <v>44442</v>
      </c>
      <c r="O758" s="339">
        <v>3467</v>
      </c>
      <c r="P758" s="6"/>
      <c r="Q758" s="482">
        <v>33</v>
      </c>
      <c r="S758" s="532">
        <v>2482</v>
      </c>
      <c r="T758" s="562">
        <v>2482</v>
      </c>
      <c r="U758" s="502"/>
      <c r="V758" s="494">
        <v>90</v>
      </c>
    </row>
    <row r="759" spans="1:22" s="7" customFormat="1" ht="15" customHeight="1">
      <c r="A759" s="1"/>
      <c r="B759" s="12"/>
      <c r="C759" s="6" t="s">
        <v>1936</v>
      </c>
      <c r="D759" s="15" t="s">
        <v>11</v>
      </c>
      <c r="E759" s="20" t="s">
        <v>27</v>
      </c>
      <c r="F759" s="150"/>
      <c r="G759" s="24"/>
      <c r="H759" s="151"/>
      <c r="I759" s="152"/>
      <c r="J759" s="151"/>
      <c r="K759" s="34" t="s">
        <v>10</v>
      </c>
      <c r="L759" s="39"/>
      <c r="M759" s="39"/>
      <c r="N759" s="39">
        <v>44453</v>
      </c>
      <c r="O759" s="38">
        <v>3474</v>
      </c>
      <c r="P759" s="15"/>
      <c r="Q759" s="483"/>
      <c r="S759" s="489"/>
      <c r="T759" s="113"/>
      <c r="U759" s="506"/>
      <c r="V759" s="494">
        <v>90</v>
      </c>
    </row>
    <row r="760" spans="1:22" s="7" customFormat="1" ht="15">
      <c r="A760" s="1"/>
      <c r="B760" s="12" t="s">
        <v>1858</v>
      </c>
      <c r="C760" s="6" t="s">
        <v>1936</v>
      </c>
      <c r="D760" s="15" t="s">
        <v>11</v>
      </c>
      <c r="E760" s="24" t="s">
        <v>536</v>
      </c>
      <c r="F760" s="150">
        <v>160</v>
      </c>
      <c r="G760" s="24" t="s">
        <v>862</v>
      </c>
      <c r="H760" s="67">
        <v>50</v>
      </c>
      <c r="I760" s="68">
        <v>4</v>
      </c>
      <c r="J760" s="67">
        <f>H760*I760</f>
        <v>200</v>
      </c>
      <c r="K760" s="25">
        <v>4.45</v>
      </c>
      <c r="L760" s="46">
        <f>K760*J760</f>
        <v>890</v>
      </c>
      <c r="M760" s="112"/>
      <c r="N760" s="39">
        <v>44453</v>
      </c>
      <c r="O760" s="38">
        <v>3474</v>
      </c>
      <c r="P760" s="46">
        <f>K760*(VLOOKUP(B760,$C$2:$F$6,3,FALSE))</f>
        <v>4.1829999999999998</v>
      </c>
      <c r="Q760" s="483">
        <v>4.18</v>
      </c>
      <c r="S760" s="532">
        <v>320</v>
      </c>
      <c r="T760" s="113">
        <f>S760*J760</f>
        <v>64000</v>
      </c>
      <c r="U760" s="501"/>
      <c r="V760" s="494">
        <v>90</v>
      </c>
    </row>
    <row r="761" spans="1:22" s="7" customFormat="1" ht="15">
      <c r="A761" s="1"/>
      <c r="B761" s="12" t="s">
        <v>1858</v>
      </c>
      <c r="C761" s="6" t="s">
        <v>1936</v>
      </c>
      <c r="D761" s="15" t="s">
        <v>11</v>
      </c>
      <c r="E761" s="24" t="s">
        <v>536</v>
      </c>
      <c r="F761" s="150">
        <v>160</v>
      </c>
      <c r="G761" s="24" t="s">
        <v>619</v>
      </c>
      <c r="H761" s="67">
        <v>50</v>
      </c>
      <c r="I761" s="68">
        <v>1</v>
      </c>
      <c r="J761" s="67">
        <f>H761*I761</f>
        <v>50</v>
      </c>
      <c r="K761" s="25">
        <v>4.45</v>
      </c>
      <c r="L761" s="46">
        <f>K761*J761</f>
        <v>222.5</v>
      </c>
      <c r="M761" s="112"/>
      <c r="N761" s="39">
        <v>44453</v>
      </c>
      <c r="O761" s="38">
        <v>3474</v>
      </c>
      <c r="P761" s="46">
        <f>K761*(VLOOKUP(B761,$C$2:$F$6,3,FALSE))</f>
        <v>4.1829999999999998</v>
      </c>
      <c r="Q761" s="483">
        <v>4.18</v>
      </c>
      <c r="S761" s="532">
        <v>320</v>
      </c>
      <c r="T761" s="113">
        <f>S761*J761</f>
        <v>16000</v>
      </c>
      <c r="U761" s="501"/>
      <c r="V761" s="494">
        <v>90</v>
      </c>
    </row>
    <row r="762" spans="1:22" ht="15">
      <c r="C762" s="6" t="s">
        <v>1936</v>
      </c>
      <c r="D762" s="15" t="s">
        <v>11</v>
      </c>
      <c r="E762" s="20" t="s">
        <v>79</v>
      </c>
      <c r="F762" s="150"/>
      <c r="G762" s="24"/>
      <c r="H762" s="151"/>
      <c r="I762" s="152"/>
      <c r="J762" s="151"/>
      <c r="K762" s="153" t="s">
        <v>10</v>
      </c>
      <c r="L762" s="39"/>
      <c r="M762" s="39"/>
      <c r="N762" s="39">
        <v>44453</v>
      </c>
      <c r="O762" s="38">
        <v>3474</v>
      </c>
      <c r="P762" s="15"/>
      <c r="Q762" s="483"/>
      <c r="S762" s="496"/>
      <c r="T762" s="113"/>
      <c r="V762" s="494">
        <v>90</v>
      </c>
    </row>
    <row r="763" spans="1:22" ht="15">
      <c r="B763" s="12" t="s">
        <v>1858</v>
      </c>
      <c r="C763" s="6" t="s">
        <v>1936</v>
      </c>
      <c r="D763" s="15" t="s">
        <v>11</v>
      </c>
      <c r="E763" s="24">
        <v>2440</v>
      </c>
      <c r="F763" s="150">
        <v>140</v>
      </c>
      <c r="G763" s="24" t="s">
        <v>114</v>
      </c>
      <c r="H763" s="67">
        <v>58</v>
      </c>
      <c r="I763" s="68">
        <v>6</v>
      </c>
      <c r="J763" s="67">
        <f>H763*I763</f>
        <v>348</v>
      </c>
      <c r="K763" s="46">
        <v>3.34</v>
      </c>
      <c r="L763" s="46">
        <f>K763*J763</f>
        <v>1162.32</v>
      </c>
      <c r="M763" s="112"/>
      <c r="N763" s="39">
        <v>44453</v>
      </c>
      <c r="O763" s="38">
        <v>3474</v>
      </c>
      <c r="P763" s="46">
        <f>K763*(VLOOKUP(B763,$C$2:$F$6,3,FALSE))</f>
        <v>3.1395999999999997</v>
      </c>
      <c r="Q763" s="483">
        <v>3.14</v>
      </c>
      <c r="S763" s="532">
        <v>240</v>
      </c>
      <c r="T763" s="567">
        <f>S763*J763</f>
        <v>83520</v>
      </c>
      <c r="V763" s="494">
        <v>90</v>
      </c>
    </row>
    <row r="764" spans="1:22" ht="15">
      <c r="B764" s="12" t="s">
        <v>1858</v>
      </c>
      <c r="C764" s="6" t="s">
        <v>1936</v>
      </c>
      <c r="D764" s="15" t="s">
        <v>11</v>
      </c>
      <c r="E764" s="24">
        <v>2440</v>
      </c>
      <c r="F764" s="150">
        <v>140</v>
      </c>
      <c r="G764" s="24" t="s">
        <v>1938</v>
      </c>
      <c r="H764" s="67">
        <v>58</v>
      </c>
      <c r="I764" s="68">
        <v>1</v>
      </c>
      <c r="J764" s="67">
        <f>H764*I764</f>
        <v>58</v>
      </c>
      <c r="K764" s="46">
        <v>3.34</v>
      </c>
      <c r="L764" s="46">
        <f>K764*J764</f>
        <v>193.72</v>
      </c>
      <c r="M764" s="112"/>
      <c r="N764" s="39">
        <v>44453</v>
      </c>
      <c r="O764" s="38">
        <v>3474</v>
      </c>
      <c r="P764" s="46">
        <f>K764*(VLOOKUP(B764,$C$2:$F$6,3,FALSE))</f>
        <v>3.1395999999999997</v>
      </c>
      <c r="Q764" s="483">
        <v>3.14</v>
      </c>
      <c r="S764" s="532">
        <v>240</v>
      </c>
      <c r="T764" s="567">
        <f>S764*J764</f>
        <v>13920</v>
      </c>
      <c r="V764" s="494">
        <v>90</v>
      </c>
    </row>
    <row r="765" spans="1:22" ht="15">
      <c r="C765" s="6" t="s">
        <v>1936</v>
      </c>
      <c r="D765" s="15" t="s">
        <v>11</v>
      </c>
      <c r="E765" s="228"/>
      <c r="F765" s="160"/>
      <c r="G765" s="228" t="s">
        <v>481</v>
      </c>
      <c r="H765" s="214"/>
      <c r="I765" s="215"/>
      <c r="J765" s="43">
        <v>1</v>
      </c>
      <c r="K765" s="229">
        <v>20</v>
      </c>
      <c r="L765" s="417" t="s">
        <v>1676</v>
      </c>
      <c r="M765" s="417"/>
      <c r="N765" s="39">
        <v>44453</v>
      </c>
      <c r="O765" s="38">
        <v>3474</v>
      </c>
      <c r="P765" s="216"/>
      <c r="Q765" s="525">
        <v>0</v>
      </c>
      <c r="S765" s="532">
        <v>1800</v>
      </c>
      <c r="T765" s="567">
        <v>1800</v>
      </c>
      <c r="V765" s="494">
        <v>90</v>
      </c>
    </row>
    <row r="766" spans="1:22" s="314" customFormat="1" ht="15">
      <c r="A766" s="1"/>
      <c r="B766" s="313"/>
      <c r="C766" s="302" t="s">
        <v>1937</v>
      </c>
      <c r="D766" s="303" t="s">
        <v>11</v>
      </c>
      <c r="E766" s="304"/>
      <c r="F766" s="305"/>
      <c r="G766" s="305" t="s">
        <v>1227</v>
      </c>
      <c r="H766" s="307" t="s">
        <v>1228</v>
      </c>
      <c r="I766" s="308"/>
      <c r="J766" s="306"/>
      <c r="K766" s="315">
        <v>0</v>
      </c>
      <c r="L766" s="310"/>
      <c r="M766" s="310"/>
      <c r="N766" s="310">
        <v>44453</v>
      </c>
      <c r="O766" s="309">
        <v>3474</v>
      </c>
      <c r="P766" s="302"/>
      <c r="Q766" s="485">
        <v>0</v>
      </c>
      <c r="S766" s="535">
        <v>0</v>
      </c>
      <c r="T766" s="322">
        <v>0</v>
      </c>
      <c r="U766" s="515"/>
      <c r="V766" s="494">
        <v>90</v>
      </c>
    </row>
    <row r="767" spans="1:22" s="7" customFormat="1" ht="15">
      <c r="A767" s="1"/>
      <c r="B767" s="12"/>
      <c r="C767" s="6" t="s">
        <v>1939</v>
      </c>
      <c r="D767" s="15" t="s">
        <v>500</v>
      </c>
      <c r="E767" s="20" t="s">
        <v>503</v>
      </c>
      <c r="F767" s="26"/>
      <c r="G767" s="24"/>
      <c r="H767" s="67"/>
      <c r="I767" s="68"/>
      <c r="J767" s="67"/>
      <c r="K767" s="17" t="s">
        <v>134</v>
      </c>
      <c r="L767" s="39"/>
      <c r="M767" s="39"/>
      <c r="N767" s="39">
        <v>44468</v>
      </c>
      <c r="O767" s="38">
        <v>3525</v>
      </c>
      <c r="P767" s="179" t="s">
        <v>23</v>
      </c>
      <c r="Q767" s="435"/>
      <c r="S767" s="489"/>
      <c r="T767" s="113"/>
      <c r="U767" s="510"/>
      <c r="V767" s="494">
        <v>90</v>
      </c>
    </row>
    <row r="768" spans="1:22" s="7" customFormat="1" ht="18" customHeight="1">
      <c r="A768" s="1"/>
      <c r="B768" s="12" t="s">
        <v>1856</v>
      </c>
      <c r="C768" s="6" t="s">
        <v>1939</v>
      </c>
      <c r="D768" s="15" t="s">
        <v>500</v>
      </c>
      <c r="E768" s="24">
        <v>5356</v>
      </c>
      <c r="F768" s="26">
        <v>3</v>
      </c>
      <c r="G768" s="24" t="s">
        <v>2006</v>
      </c>
      <c r="H768" s="67">
        <v>30</v>
      </c>
      <c r="I768" s="68">
        <v>4</v>
      </c>
      <c r="J768" s="67">
        <f>H768*I768</f>
        <v>120</v>
      </c>
      <c r="K768" s="46">
        <v>0.56000000000000005</v>
      </c>
      <c r="L768" s="46">
        <f>K768*J768</f>
        <v>67.2</v>
      </c>
      <c r="M768" s="112"/>
      <c r="N768" s="39">
        <v>44468</v>
      </c>
      <c r="O768" s="38">
        <v>3525</v>
      </c>
      <c r="P768" s="46">
        <f>K768*(VLOOKUP(B768,$C$2:$F$6,3,FALSE))</f>
        <v>0.49280000000000007</v>
      </c>
      <c r="Q768" s="180">
        <v>0.49</v>
      </c>
      <c r="S768" s="489">
        <v>30</v>
      </c>
      <c r="T768" s="567">
        <f>S768*J768</f>
        <v>3600</v>
      </c>
      <c r="U768" s="511"/>
      <c r="V768" s="494">
        <v>90</v>
      </c>
    </row>
    <row r="769" spans="1:22" ht="15.95" customHeight="1">
      <c r="C769" s="6" t="s">
        <v>1939</v>
      </c>
      <c r="D769" s="15" t="s">
        <v>500</v>
      </c>
      <c r="E769" s="24"/>
      <c r="F769" s="138"/>
      <c r="G769" s="24" t="s">
        <v>1993</v>
      </c>
      <c r="H769" s="8"/>
      <c r="I769" s="41"/>
      <c r="J769" s="45">
        <v>1</v>
      </c>
      <c r="K769" s="46">
        <v>12</v>
      </c>
      <c r="L769" s="46">
        <f>K769*J769</f>
        <v>12</v>
      </c>
      <c r="M769" s="112"/>
      <c r="N769" s="39">
        <v>44468</v>
      </c>
      <c r="O769" s="38">
        <v>3525</v>
      </c>
      <c r="P769" s="179"/>
      <c r="Q769" s="180">
        <v>12</v>
      </c>
      <c r="S769" s="498">
        <v>900</v>
      </c>
      <c r="T769" s="567">
        <f>S769*J769</f>
        <v>900</v>
      </c>
      <c r="U769" s="511"/>
      <c r="V769" s="494">
        <v>90</v>
      </c>
    </row>
    <row r="770" spans="1:22" s="314" customFormat="1" ht="15" customHeight="1">
      <c r="A770" s="1"/>
      <c r="B770" s="313"/>
      <c r="C770" s="302" t="s">
        <v>1939</v>
      </c>
      <c r="D770" s="303" t="s">
        <v>500</v>
      </c>
      <c r="E770" s="304"/>
      <c r="F770" s="305"/>
      <c r="G770" s="305" t="s">
        <v>1227</v>
      </c>
      <c r="H770" s="307" t="s">
        <v>1228</v>
      </c>
      <c r="I770" s="308"/>
      <c r="J770" s="306"/>
      <c r="K770" s="315">
        <v>0</v>
      </c>
      <c r="L770" s="310"/>
      <c r="M770" s="310"/>
      <c r="N770" s="310">
        <v>44468</v>
      </c>
      <c r="O770" s="309">
        <v>3525</v>
      </c>
      <c r="P770" s="302"/>
      <c r="Q770" s="485">
        <v>0</v>
      </c>
      <c r="S770" s="536">
        <v>0</v>
      </c>
      <c r="T770" s="322">
        <v>0</v>
      </c>
      <c r="U770" s="515"/>
      <c r="V770" s="494">
        <v>90</v>
      </c>
    </row>
    <row r="771" spans="1:22" ht="15">
      <c r="C771" s="6" t="s">
        <v>1940</v>
      </c>
      <c r="D771" s="15" t="s">
        <v>1126</v>
      </c>
      <c r="E771" s="20" t="s">
        <v>1127</v>
      </c>
      <c r="F771" s="26"/>
      <c r="G771" s="24"/>
      <c r="H771" s="67"/>
      <c r="I771" s="68"/>
      <c r="J771" s="67"/>
      <c r="K771" s="17" t="s">
        <v>134</v>
      </c>
      <c r="L771" s="39"/>
      <c r="M771" s="39"/>
      <c r="N771" s="39">
        <v>44461</v>
      </c>
      <c r="O771" s="38">
        <v>3506</v>
      </c>
      <c r="P771" s="6"/>
      <c r="Q771" s="481"/>
      <c r="S771" s="489"/>
      <c r="T771" s="113"/>
      <c r="U771" s="500"/>
      <c r="V771" s="494">
        <v>90</v>
      </c>
    </row>
    <row r="772" spans="1:22" ht="15">
      <c r="B772" s="28" t="s">
        <v>1856</v>
      </c>
      <c r="C772" s="6" t="s">
        <v>1940</v>
      </c>
      <c r="D772" s="15" t="s">
        <v>1126</v>
      </c>
      <c r="E772" s="24" t="s">
        <v>447</v>
      </c>
      <c r="F772" s="26"/>
      <c r="G772" s="24" t="s">
        <v>353</v>
      </c>
      <c r="H772" s="67">
        <v>50</v>
      </c>
      <c r="I772" s="68">
        <v>15</v>
      </c>
      <c r="J772" s="67">
        <f>H772*I772</f>
        <v>750</v>
      </c>
      <c r="K772" s="25">
        <v>0.27</v>
      </c>
      <c r="L772" s="46">
        <f>K772*J772</f>
        <v>202.5</v>
      </c>
      <c r="M772" s="112"/>
      <c r="N772" s="39">
        <v>44461</v>
      </c>
      <c r="O772" s="38">
        <v>3506</v>
      </c>
      <c r="P772" s="46">
        <f>K772*(VLOOKUP(B772,$C$2:$F$6,3,FALSE))</f>
        <v>0.23760000000000001</v>
      </c>
      <c r="Q772" s="483">
        <v>0.24</v>
      </c>
      <c r="S772" s="489">
        <v>14.4</v>
      </c>
      <c r="T772" s="113">
        <f>S772*J772</f>
        <v>10800</v>
      </c>
      <c r="U772" s="500"/>
      <c r="V772" s="494">
        <v>90</v>
      </c>
    </row>
    <row r="773" spans="1:22" s="7" customFormat="1" ht="15" customHeight="1">
      <c r="A773" s="1"/>
      <c r="B773" s="12"/>
      <c r="C773" s="6" t="s">
        <v>1940</v>
      </c>
      <c r="D773" s="15" t="s">
        <v>1126</v>
      </c>
      <c r="E773" s="24"/>
      <c r="F773" s="44"/>
      <c r="G773" s="44" t="s">
        <v>1949</v>
      </c>
      <c r="H773" s="45"/>
      <c r="I773" s="152" ph="1"/>
      <c r="J773" s="45">
        <v>1</v>
      </c>
      <c r="K773" s="46">
        <v>12</v>
      </c>
      <c r="L773" s="46">
        <f>K773*J773</f>
        <v>12</v>
      </c>
      <c r="M773" s="112"/>
      <c r="N773" s="39">
        <v>44461</v>
      </c>
      <c r="O773" s="38">
        <v>3506</v>
      </c>
      <c r="P773" s="6"/>
      <c r="Q773" s="483">
        <v>12</v>
      </c>
      <c r="S773" s="489">
        <v>0</v>
      </c>
      <c r="T773" s="113">
        <f>S773*J773</f>
        <v>0</v>
      </c>
      <c r="U773" s="501"/>
      <c r="V773" s="494">
        <v>90</v>
      </c>
    </row>
    <row r="774" spans="1:22" s="314" customFormat="1" ht="15" customHeight="1">
      <c r="A774" s="1"/>
      <c r="B774" s="313"/>
      <c r="C774" s="302" t="s">
        <v>1940</v>
      </c>
      <c r="D774" s="303" t="s">
        <v>1126</v>
      </c>
      <c r="E774" s="304"/>
      <c r="F774" s="305"/>
      <c r="G774" s="305" t="s">
        <v>1227</v>
      </c>
      <c r="H774" s="307" t="s">
        <v>1228</v>
      </c>
      <c r="I774" s="308"/>
      <c r="J774" s="306"/>
      <c r="K774" s="316">
        <v>0</v>
      </c>
      <c r="L774" s="310"/>
      <c r="M774" s="310"/>
      <c r="N774" s="310">
        <v>44461</v>
      </c>
      <c r="O774" s="309">
        <v>3506</v>
      </c>
      <c r="P774" s="302"/>
      <c r="Q774" s="485">
        <v>0</v>
      </c>
      <c r="S774" s="536">
        <v>0</v>
      </c>
      <c r="T774" s="322">
        <v>0</v>
      </c>
      <c r="U774" s="515"/>
      <c r="V774" s="494">
        <v>90</v>
      </c>
    </row>
    <row r="775" spans="1:22" ht="15">
      <c r="C775" s="6" t="s">
        <v>2002</v>
      </c>
      <c r="D775" s="15" t="s">
        <v>1992</v>
      </c>
      <c r="E775" s="20" t="s">
        <v>1550</v>
      </c>
      <c r="F775" s="26"/>
      <c r="G775" s="24"/>
      <c r="H775" s="67"/>
      <c r="I775" s="68"/>
      <c r="J775" s="67"/>
      <c r="K775" s="17" t="s">
        <v>134</v>
      </c>
      <c r="L775" s="39"/>
      <c r="M775" s="39"/>
      <c r="N775" s="39">
        <v>44467</v>
      </c>
      <c r="O775" s="38">
        <v>3520</v>
      </c>
      <c r="P775" s="6"/>
      <c r="Q775" s="481"/>
      <c r="S775" s="489"/>
      <c r="T775" s="113"/>
      <c r="U775" s="500"/>
      <c r="V775" s="494">
        <v>90</v>
      </c>
    </row>
    <row r="776" spans="1:22" ht="15">
      <c r="B776" s="28" t="s">
        <v>1856</v>
      </c>
      <c r="C776" s="6" t="s">
        <v>2002</v>
      </c>
      <c r="D776" s="15" t="s">
        <v>1992</v>
      </c>
      <c r="E776" s="55" t="s">
        <v>1941</v>
      </c>
      <c r="F776" s="26"/>
      <c r="G776" s="44" t="s">
        <v>129</v>
      </c>
      <c r="H776" s="67"/>
      <c r="I776" s="68"/>
      <c r="J776" s="67">
        <v>60</v>
      </c>
      <c r="K776" s="207">
        <v>1.52</v>
      </c>
      <c r="L776" s="46">
        <f>K776*J776</f>
        <v>91.2</v>
      </c>
      <c r="M776" s="112"/>
      <c r="N776" s="39">
        <v>44467</v>
      </c>
      <c r="O776" s="38">
        <v>3520</v>
      </c>
      <c r="P776" s="46">
        <f>K776*(VLOOKUP(B776,$C$2:$F$6,3,FALSE))</f>
        <v>1.3376000000000001</v>
      </c>
      <c r="Q776" s="483">
        <v>1.34</v>
      </c>
      <c r="S776" s="489">
        <v>73</v>
      </c>
      <c r="T776" s="113">
        <f>S776*J776</f>
        <v>4380</v>
      </c>
      <c r="U776" s="500" t="s">
        <v>1994</v>
      </c>
      <c r="V776" s="494">
        <v>90</v>
      </c>
    </row>
    <row r="777" spans="1:22" ht="15">
      <c r="C777" s="6" t="s">
        <v>2002</v>
      </c>
      <c r="D777" s="15" t="s">
        <v>1992</v>
      </c>
      <c r="E777" s="24"/>
      <c r="F777" s="26"/>
      <c r="G777" s="44" t="s">
        <v>1993</v>
      </c>
      <c r="H777" s="67"/>
      <c r="I777" s="68"/>
      <c r="J777" s="45">
        <v>2</v>
      </c>
      <c r="K777" s="207">
        <v>12</v>
      </c>
      <c r="L777" s="46">
        <f>K777*J777</f>
        <v>24</v>
      </c>
      <c r="M777" s="112"/>
      <c r="N777" s="39">
        <v>44467</v>
      </c>
      <c r="O777" s="38">
        <v>3520</v>
      </c>
      <c r="P777" s="46"/>
      <c r="Q777" s="483">
        <v>12</v>
      </c>
      <c r="S777" s="489">
        <v>900</v>
      </c>
      <c r="T777" s="113">
        <f>S777*J777</f>
        <v>1800</v>
      </c>
      <c r="U777" s="500"/>
      <c r="V777" s="494">
        <v>90</v>
      </c>
    </row>
    <row r="778" spans="1:22" ht="15">
      <c r="B778" s="28" t="s">
        <v>1856</v>
      </c>
      <c r="C778" s="76" t="s">
        <v>2002</v>
      </c>
      <c r="D778" s="77" t="s">
        <v>1992</v>
      </c>
      <c r="E778" s="615" t="s">
        <v>1941</v>
      </c>
      <c r="F778" s="78"/>
      <c r="G778" s="616" t="s">
        <v>1998</v>
      </c>
      <c r="H778" s="247"/>
      <c r="I778" s="248"/>
      <c r="J778" s="247">
        <v>15</v>
      </c>
      <c r="K778" s="617">
        <v>2.82</v>
      </c>
      <c r="L778" s="250">
        <f>K778*J778</f>
        <v>42.3</v>
      </c>
      <c r="M778" s="783"/>
      <c r="N778" s="429" t="s">
        <v>96</v>
      </c>
      <c r="O778" s="429" t="s">
        <v>96</v>
      </c>
      <c r="P778" s="46">
        <f>K778*(VLOOKUP(B778,$C$2:$F$6,3,FALSE))</f>
        <v>2.4815999999999998</v>
      </c>
      <c r="Q778" s="483">
        <v>2.48</v>
      </c>
      <c r="S778" s="489">
        <v>73</v>
      </c>
      <c r="T778" s="113">
        <f>S778*J778</f>
        <v>1095</v>
      </c>
      <c r="U778" s="500"/>
      <c r="V778" s="494">
        <v>90</v>
      </c>
    </row>
    <row r="779" spans="1:22" ht="15">
      <c r="B779" s="28" t="s">
        <v>1862</v>
      </c>
      <c r="C779" s="76" t="s">
        <v>2002</v>
      </c>
      <c r="D779" s="77" t="s">
        <v>1992</v>
      </c>
      <c r="E779" s="618"/>
      <c r="F779" s="78"/>
      <c r="G779" s="616" t="s">
        <v>1948</v>
      </c>
      <c r="H779" s="247"/>
      <c r="I779" s="248"/>
      <c r="J779" s="619">
        <v>1</v>
      </c>
      <c r="K779" s="617">
        <v>100</v>
      </c>
      <c r="L779" s="250">
        <f>K779*J779</f>
        <v>100</v>
      </c>
      <c r="M779" s="783"/>
      <c r="N779" s="429" t="s">
        <v>96</v>
      </c>
      <c r="O779" s="429" t="s">
        <v>96</v>
      </c>
      <c r="P779" s="46">
        <f>K779*(VLOOKUP(B779,$C$2:$F$6,3,FALSE))</f>
        <v>100</v>
      </c>
      <c r="Q779" s="483">
        <v>100</v>
      </c>
      <c r="S779" s="489">
        <v>7000</v>
      </c>
      <c r="T779" s="113">
        <f>S779*J779</f>
        <v>7000</v>
      </c>
      <c r="U779" s="500"/>
      <c r="V779" s="494">
        <v>90</v>
      </c>
    </row>
    <row r="780" spans="1:22" ht="15">
      <c r="C780" s="76" t="s">
        <v>2002</v>
      </c>
      <c r="D780" s="77" t="s">
        <v>1992</v>
      </c>
      <c r="E780" s="79"/>
      <c r="F780" s="78"/>
      <c r="G780" s="616" t="s">
        <v>1993</v>
      </c>
      <c r="H780" s="247"/>
      <c r="I780" s="248"/>
      <c r="J780" s="619">
        <v>1</v>
      </c>
      <c r="K780" s="617">
        <v>12</v>
      </c>
      <c r="L780" s="250">
        <f>K780*J780</f>
        <v>12</v>
      </c>
      <c r="M780" s="783"/>
      <c r="N780" s="429" t="s">
        <v>96</v>
      </c>
      <c r="O780" s="429" t="s">
        <v>96</v>
      </c>
      <c r="P780" s="46"/>
      <c r="Q780" s="483">
        <v>12</v>
      </c>
      <c r="S780" s="490">
        <v>900</v>
      </c>
      <c r="T780" s="113">
        <f>S780*J780</f>
        <v>900</v>
      </c>
      <c r="U780" s="500"/>
      <c r="V780" s="494">
        <v>90</v>
      </c>
    </row>
    <row r="781" spans="1:22" s="314" customFormat="1" ht="15" customHeight="1">
      <c r="A781" s="1"/>
      <c r="B781" s="313"/>
      <c r="C781" s="302" t="s">
        <v>2002</v>
      </c>
      <c r="D781" s="303" t="s">
        <v>1992</v>
      </c>
      <c r="E781" s="304"/>
      <c r="F781" s="305"/>
      <c r="G781" s="305" t="s">
        <v>1227</v>
      </c>
      <c r="H781" s="307" t="s">
        <v>1228</v>
      </c>
      <c r="I781" s="308"/>
      <c r="J781" s="614"/>
      <c r="K781" s="316">
        <v>0</v>
      </c>
      <c r="L781" s="310"/>
      <c r="M781" s="310"/>
      <c r="N781" s="310"/>
      <c r="O781" s="309"/>
      <c r="P781" s="302"/>
      <c r="Q781" s="485">
        <v>0</v>
      </c>
      <c r="S781" s="536">
        <v>0</v>
      </c>
      <c r="T781" s="322">
        <v>0</v>
      </c>
      <c r="U781" s="515"/>
      <c r="V781" s="494">
        <v>90</v>
      </c>
    </row>
    <row r="782" spans="1:22" ht="15">
      <c r="C782" s="6" t="s">
        <v>1996</v>
      </c>
      <c r="D782" s="15" t="s">
        <v>407</v>
      </c>
      <c r="E782" s="20" t="s">
        <v>1995</v>
      </c>
      <c r="F782" s="26"/>
      <c r="G782" s="24"/>
      <c r="H782" s="67"/>
      <c r="I782" s="68"/>
      <c r="J782" s="67"/>
      <c r="K782" s="17" t="s">
        <v>134</v>
      </c>
      <c r="L782" s="39"/>
      <c r="M782" s="39"/>
      <c r="N782" s="39">
        <v>44463</v>
      </c>
      <c r="O782" s="38">
        <v>3517</v>
      </c>
      <c r="P782" s="6"/>
      <c r="Q782" s="481"/>
      <c r="S782" s="489"/>
      <c r="T782" s="113"/>
      <c r="U782" s="500"/>
      <c r="V782" s="494">
        <v>90</v>
      </c>
    </row>
    <row r="783" spans="1:22" ht="15">
      <c r="B783" s="28" t="s">
        <v>1856</v>
      </c>
      <c r="C783" s="6" t="s">
        <v>1996</v>
      </c>
      <c r="D783" s="15" t="s">
        <v>407</v>
      </c>
      <c r="E783" s="24" t="s">
        <v>1735</v>
      </c>
      <c r="F783" s="26"/>
      <c r="G783" s="24" t="s">
        <v>1997</v>
      </c>
      <c r="H783" s="67">
        <v>30</v>
      </c>
      <c r="I783" s="68">
        <v>1</v>
      </c>
      <c r="J783" s="67">
        <f>H783*I783</f>
        <v>30</v>
      </c>
      <c r="K783" s="25">
        <v>0.17</v>
      </c>
      <c r="L783" s="46">
        <f>K783*J783</f>
        <v>5.1000000000000005</v>
      </c>
      <c r="M783" s="112"/>
      <c r="N783" s="39">
        <v>44463</v>
      </c>
      <c r="O783" s="38">
        <v>3517</v>
      </c>
      <c r="P783" s="46">
        <f>K783*(VLOOKUP(B783,$C$2:$F$6,3,FALSE))</f>
        <v>0.14960000000000001</v>
      </c>
      <c r="Q783" s="483">
        <v>0.15</v>
      </c>
      <c r="S783" s="489">
        <v>8.8000000000000007</v>
      </c>
      <c r="T783" s="113">
        <f>S783*J783</f>
        <v>264</v>
      </c>
      <c r="U783" s="500"/>
      <c r="V783" s="494">
        <v>90</v>
      </c>
    </row>
    <row r="784" spans="1:22" s="314" customFormat="1" ht="15" customHeight="1">
      <c r="A784" s="1"/>
      <c r="B784" s="313"/>
      <c r="C784" s="302" t="s">
        <v>1996</v>
      </c>
      <c r="D784" s="303" t="s">
        <v>407</v>
      </c>
      <c r="E784" s="304"/>
      <c r="F784" s="305"/>
      <c r="G784" s="305" t="s">
        <v>1227</v>
      </c>
      <c r="H784" s="307" t="s">
        <v>1243</v>
      </c>
      <c r="I784" s="308"/>
      <c r="J784" s="306"/>
      <c r="K784" s="316">
        <v>24</v>
      </c>
      <c r="L784" s="310"/>
      <c r="M784" s="310"/>
      <c r="N784" s="310">
        <v>44463</v>
      </c>
      <c r="O784" s="309">
        <v>3517</v>
      </c>
      <c r="P784" s="302"/>
      <c r="Q784" s="485">
        <v>24</v>
      </c>
      <c r="S784" s="536">
        <v>2126</v>
      </c>
      <c r="T784" s="322">
        <v>2126</v>
      </c>
      <c r="U784" s="515"/>
      <c r="V784" s="494">
        <v>90</v>
      </c>
    </row>
    <row r="785" spans="1:22" s="7" customFormat="1" ht="15">
      <c r="A785" s="1"/>
      <c r="B785" s="12"/>
      <c r="C785" s="6" t="s">
        <v>2003</v>
      </c>
      <c r="D785" s="15" t="s">
        <v>1632</v>
      </c>
      <c r="E785" s="20" t="s">
        <v>55</v>
      </c>
      <c r="F785" s="26"/>
      <c r="G785" s="24"/>
      <c r="H785" s="67"/>
      <c r="I785" s="68"/>
      <c r="J785" s="67"/>
      <c r="K785" s="17" t="s">
        <v>10</v>
      </c>
      <c r="L785" s="39"/>
      <c r="M785" s="39"/>
      <c r="N785" s="39">
        <v>44526</v>
      </c>
      <c r="O785" s="38">
        <v>3677</v>
      </c>
      <c r="P785" s="6"/>
      <c r="Q785" s="481"/>
      <c r="S785" s="489"/>
      <c r="T785" s="113"/>
      <c r="U785" s="500"/>
      <c r="V785" s="494">
        <v>90</v>
      </c>
    </row>
    <row r="786" spans="1:22" s="7" customFormat="1" ht="15">
      <c r="A786" s="1"/>
      <c r="B786" s="12" t="s">
        <v>1856</v>
      </c>
      <c r="C786" s="6" t="s">
        <v>2003</v>
      </c>
      <c r="D786" s="15" t="s">
        <v>1632</v>
      </c>
      <c r="E786" s="24" t="s">
        <v>242</v>
      </c>
      <c r="F786" s="26"/>
      <c r="G786" s="24" t="s">
        <v>2004</v>
      </c>
      <c r="H786" s="151">
        <v>13.7</v>
      </c>
      <c r="I786" s="41">
        <v>181</v>
      </c>
      <c r="J786" s="199">
        <f>H786*I786</f>
        <v>2479.6999999999998</v>
      </c>
      <c r="K786" s="46">
        <v>2.21</v>
      </c>
      <c r="L786" s="46">
        <f>K786*J786</f>
        <v>5480.1369999999997</v>
      </c>
      <c r="M786" s="112"/>
      <c r="N786" s="39">
        <v>44526</v>
      </c>
      <c r="O786" s="38">
        <v>3677</v>
      </c>
      <c r="P786" s="46">
        <f>K786*(VLOOKUP(B786,$C$2:$F$6,3,FALSE))</f>
        <v>1.9448000000000001</v>
      </c>
      <c r="Q786" s="485">
        <v>1.94</v>
      </c>
      <c r="S786" s="489">
        <f>82+30</f>
        <v>112</v>
      </c>
      <c r="T786" s="567">
        <f>S786*J786</f>
        <v>277726.39999999997</v>
      </c>
      <c r="U786" s="505"/>
      <c r="V786" s="494">
        <v>90</v>
      </c>
    </row>
    <row r="787" spans="1:22" s="7" customFormat="1" ht="15">
      <c r="A787" s="1"/>
      <c r="B787" s="12" t="s">
        <v>1856</v>
      </c>
      <c r="C787" s="6" t="s">
        <v>2003</v>
      </c>
      <c r="D787" s="15" t="s">
        <v>1632</v>
      </c>
      <c r="E787" s="24" t="s">
        <v>242</v>
      </c>
      <c r="F787" s="26"/>
      <c r="G787" s="24" t="s">
        <v>2005</v>
      </c>
      <c r="H787" s="151">
        <v>13.7</v>
      </c>
      <c r="I787" s="41">
        <v>89</v>
      </c>
      <c r="J787" s="199">
        <f>H787*I787</f>
        <v>1219.3</v>
      </c>
      <c r="K787" s="46">
        <v>2.21</v>
      </c>
      <c r="L787" s="46">
        <f>K787*J787</f>
        <v>2694.6529999999998</v>
      </c>
      <c r="M787" s="112"/>
      <c r="N787" s="39">
        <v>44526</v>
      </c>
      <c r="O787" s="38">
        <v>3677</v>
      </c>
      <c r="P787" s="46">
        <f>K787*(VLOOKUP(B787,$C$2:$F$6,3,FALSE))</f>
        <v>1.9448000000000001</v>
      </c>
      <c r="Q787" s="485">
        <v>1.94</v>
      </c>
      <c r="S787" s="489">
        <f>82+30</f>
        <v>112</v>
      </c>
      <c r="T787" s="567">
        <f>S787*J787</f>
        <v>136561.60000000001</v>
      </c>
      <c r="U787" s="505"/>
      <c r="V787" s="494">
        <v>90</v>
      </c>
    </row>
    <row r="788" spans="1:22" s="7" customFormat="1" ht="15">
      <c r="A788" s="1"/>
      <c r="B788" s="12" t="s">
        <v>1856</v>
      </c>
      <c r="C788" s="6" t="s">
        <v>2003</v>
      </c>
      <c r="D788" s="15" t="s">
        <v>1632</v>
      </c>
      <c r="E788" s="24" t="s">
        <v>242</v>
      </c>
      <c r="F788" s="26"/>
      <c r="G788" s="24" t="s">
        <v>129</v>
      </c>
      <c r="H788" s="151">
        <v>13.7</v>
      </c>
      <c r="I788" s="41">
        <v>59</v>
      </c>
      <c r="J788" s="199">
        <f>H788*I788</f>
        <v>808.3</v>
      </c>
      <c r="K788" s="46">
        <v>1.52</v>
      </c>
      <c r="L788" s="46">
        <f>K788*J788</f>
        <v>1228.616</v>
      </c>
      <c r="M788" s="112"/>
      <c r="N788" s="39">
        <v>44526</v>
      </c>
      <c r="O788" s="38">
        <v>3677</v>
      </c>
      <c r="P788" s="46">
        <f>K788*(VLOOKUP(B788,$C$2:$F$6,3,FALSE))</f>
        <v>1.3376000000000001</v>
      </c>
      <c r="Q788" s="485">
        <v>1.34</v>
      </c>
      <c r="S788" s="489">
        <f>82</f>
        <v>82</v>
      </c>
      <c r="T788" s="567">
        <f>S788*J788</f>
        <v>66280.599999999991</v>
      </c>
      <c r="U788" s="505"/>
      <c r="V788" s="494">
        <v>90</v>
      </c>
    </row>
    <row r="789" spans="1:22" s="314" customFormat="1" ht="15" customHeight="1">
      <c r="A789" s="1"/>
      <c r="B789" s="313"/>
      <c r="C789" s="302" t="s">
        <v>2003</v>
      </c>
      <c r="D789" s="303" t="s">
        <v>1632</v>
      </c>
      <c r="E789" s="304"/>
      <c r="F789" s="305"/>
      <c r="G789" s="305" t="s">
        <v>1227</v>
      </c>
      <c r="H789" s="307" t="s">
        <v>1243</v>
      </c>
      <c r="I789" s="308"/>
      <c r="J789" s="306"/>
      <c r="K789" s="315">
        <v>105</v>
      </c>
      <c r="L789" s="310"/>
      <c r="M789" s="310"/>
      <c r="N789" s="310">
        <v>44526</v>
      </c>
      <c r="O789" s="309">
        <v>3677</v>
      </c>
      <c r="P789" s="302"/>
      <c r="Q789" s="485">
        <v>105</v>
      </c>
      <c r="S789" s="661">
        <v>8011</v>
      </c>
      <c r="T789" s="662">
        <v>8011</v>
      </c>
      <c r="U789" s="515"/>
      <c r="V789" s="494">
        <v>90</v>
      </c>
    </row>
    <row r="790" spans="1:22" ht="15">
      <c r="C790" s="6" t="s">
        <v>2007</v>
      </c>
      <c r="D790" s="15" t="s">
        <v>11</v>
      </c>
      <c r="E790" s="20" t="s">
        <v>79</v>
      </c>
      <c r="F790" s="150"/>
      <c r="G790" s="24"/>
      <c r="H790" s="151"/>
      <c r="I790" s="152"/>
      <c r="J790" s="151"/>
      <c r="K790" s="153" t="s">
        <v>10</v>
      </c>
      <c r="L790" s="39"/>
      <c r="M790" s="39"/>
      <c r="N790" s="39">
        <v>44469</v>
      </c>
      <c r="O790" s="38">
        <v>3529</v>
      </c>
      <c r="P790" s="15"/>
      <c r="Q790" s="483"/>
      <c r="S790" s="496"/>
      <c r="T790" s="113"/>
      <c r="V790" s="494">
        <v>90</v>
      </c>
    </row>
    <row r="791" spans="1:22" ht="15">
      <c r="B791" s="12" t="s">
        <v>1858</v>
      </c>
      <c r="C791" s="6" t="s">
        <v>2007</v>
      </c>
      <c r="D791" s="15" t="s">
        <v>11</v>
      </c>
      <c r="E791" s="24">
        <v>2440</v>
      </c>
      <c r="F791" s="150">
        <v>140</v>
      </c>
      <c r="G791" s="24" t="s">
        <v>1922</v>
      </c>
      <c r="H791" s="67">
        <v>58</v>
      </c>
      <c r="I791" s="68">
        <v>1</v>
      </c>
      <c r="J791" s="67">
        <f>H791*I791</f>
        <v>58</v>
      </c>
      <c r="K791" s="46">
        <v>3.34</v>
      </c>
      <c r="L791" s="46">
        <f>K791*J791</f>
        <v>193.72</v>
      </c>
      <c r="M791" s="112"/>
      <c r="N791" s="39">
        <v>44469</v>
      </c>
      <c r="O791" s="38">
        <v>3529</v>
      </c>
      <c r="P791" s="46">
        <f>K791*(VLOOKUP(B791,$C$2:$F$6,3,FALSE))</f>
        <v>3.1395999999999997</v>
      </c>
      <c r="Q791" s="483">
        <v>3.14</v>
      </c>
      <c r="S791" s="532">
        <v>240</v>
      </c>
      <c r="T791" s="567">
        <f>S791*J791</f>
        <v>13920</v>
      </c>
      <c r="V791" s="494">
        <v>90</v>
      </c>
    </row>
    <row r="792" spans="1:22" ht="15">
      <c r="B792" s="12" t="s">
        <v>1858</v>
      </c>
      <c r="C792" s="6" t="s">
        <v>2007</v>
      </c>
      <c r="D792" s="15" t="s">
        <v>11</v>
      </c>
      <c r="E792" s="24">
        <v>2440</v>
      </c>
      <c r="F792" s="150">
        <v>140</v>
      </c>
      <c r="G792" s="24" t="s">
        <v>2008</v>
      </c>
      <c r="H792" s="67">
        <v>58</v>
      </c>
      <c r="I792" s="68">
        <v>1</v>
      </c>
      <c r="J792" s="67">
        <f>H792*I792</f>
        <v>58</v>
      </c>
      <c r="K792" s="46">
        <v>3.34</v>
      </c>
      <c r="L792" s="46">
        <f>K792*J792</f>
        <v>193.72</v>
      </c>
      <c r="M792" s="112"/>
      <c r="N792" s="39">
        <v>44469</v>
      </c>
      <c r="O792" s="38">
        <v>3529</v>
      </c>
      <c r="P792" s="46">
        <f>K792*(VLOOKUP(B792,$C$2:$F$6,3,FALSE))</f>
        <v>3.1395999999999997</v>
      </c>
      <c r="Q792" s="483">
        <v>3.14</v>
      </c>
      <c r="S792" s="532">
        <v>240</v>
      </c>
      <c r="T792" s="567">
        <f>S792*J792</f>
        <v>13920</v>
      </c>
      <c r="V792" s="494">
        <v>90</v>
      </c>
    </row>
    <row r="793" spans="1:22" ht="15">
      <c r="B793" s="12" t="s">
        <v>1858</v>
      </c>
      <c r="C793" s="6" t="s">
        <v>2007</v>
      </c>
      <c r="D793" s="15" t="s">
        <v>11</v>
      </c>
      <c r="E793" s="24">
        <v>2440</v>
      </c>
      <c r="F793" s="150">
        <v>140</v>
      </c>
      <c r="G793" s="24" t="s">
        <v>862</v>
      </c>
      <c r="H793" s="67">
        <v>58</v>
      </c>
      <c r="I793" s="68">
        <v>10</v>
      </c>
      <c r="J793" s="67">
        <f>H793*I793</f>
        <v>580</v>
      </c>
      <c r="K793" s="46">
        <v>3.34</v>
      </c>
      <c r="L793" s="46">
        <f>K793*J793</f>
        <v>1937.1999999999998</v>
      </c>
      <c r="M793" s="112"/>
      <c r="N793" s="39">
        <v>44469</v>
      </c>
      <c r="O793" s="38">
        <v>3529</v>
      </c>
      <c r="P793" s="46">
        <f>K793*(VLOOKUP(B793,$C$2:$F$6,3,FALSE))</f>
        <v>3.1395999999999997</v>
      </c>
      <c r="Q793" s="483">
        <v>3.14</v>
      </c>
      <c r="S793" s="532">
        <v>190</v>
      </c>
      <c r="T793" s="567">
        <f>S793*J793</f>
        <v>110200</v>
      </c>
      <c r="V793" s="494">
        <v>90</v>
      </c>
    </row>
    <row r="794" spans="1:22" ht="15">
      <c r="C794" s="6" t="s">
        <v>2007</v>
      </c>
      <c r="D794" s="15" t="s">
        <v>11</v>
      </c>
      <c r="E794" s="24"/>
      <c r="F794" s="160"/>
      <c r="G794" s="228" t="s">
        <v>481</v>
      </c>
      <c r="H794" s="214"/>
      <c r="I794" s="215"/>
      <c r="J794" s="43">
        <v>1</v>
      </c>
      <c r="K794" s="229">
        <v>20</v>
      </c>
      <c r="L794" s="417" t="s">
        <v>1676</v>
      </c>
      <c r="M794" s="417"/>
      <c r="N794" s="39">
        <v>44469</v>
      </c>
      <c r="O794" s="38">
        <v>3529</v>
      </c>
      <c r="P794" s="216"/>
      <c r="Q794" s="483">
        <v>0</v>
      </c>
      <c r="S794" s="532">
        <v>1800</v>
      </c>
      <c r="T794" s="567">
        <v>1800</v>
      </c>
      <c r="V794" s="494">
        <v>90</v>
      </c>
    </row>
    <row r="795" spans="1:22" s="314" customFormat="1" ht="15">
      <c r="A795" s="1"/>
      <c r="B795" s="313"/>
      <c r="C795" s="302" t="s">
        <v>2007</v>
      </c>
      <c r="D795" s="303" t="s">
        <v>11</v>
      </c>
      <c r="E795" s="304"/>
      <c r="F795" s="305"/>
      <c r="G795" s="305" t="s">
        <v>1227</v>
      </c>
      <c r="H795" s="307" t="s">
        <v>1228</v>
      </c>
      <c r="I795" s="308"/>
      <c r="J795" s="306"/>
      <c r="K795" s="315">
        <v>0</v>
      </c>
      <c r="L795" s="310"/>
      <c r="M795" s="310"/>
      <c r="N795" s="310">
        <v>44469</v>
      </c>
      <c r="O795" s="309">
        <v>3529</v>
      </c>
      <c r="P795" s="302"/>
      <c r="Q795" s="531">
        <v>0</v>
      </c>
      <c r="S795" s="535">
        <v>0</v>
      </c>
      <c r="T795" s="322">
        <v>0</v>
      </c>
      <c r="U795" s="515"/>
      <c r="V795" s="494">
        <v>90</v>
      </c>
    </row>
    <row r="796" spans="1:22" ht="15">
      <c r="C796" s="6" t="s">
        <v>2009</v>
      </c>
      <c r="D796" s="15" t="s">
        <v>11</v>
      </c>
      <c r="E796" s="20" t="s">
        <v>79</v>
      </c>
      <c r="F796" s="150"/>
      <c r="G796" s="24"/>
      <c r="H796" s="151"/>
      <c r="I796" s="152"/>
      <c r="J796" s="151"/>
      <c r="K796" s="153" t="s">
        <v>10</v>
      </c>
      <c r="L796" s="39"/>
      <c r="M796" s="39"/>
      <c r="N796" s="39">
        <v>44498</v>
      </c>
      <c r="O796" s="38">
        <v>3615</v>
      </c>
      <c r="P796" s="15"/>
      <c r="Q796" s="483"/>
      <c r="S796" s="496"/>
      <c r="T796" s="113"/>
      <c r="V796" s="494">
        <v>90</v>
      </c>
    </row>
    <row r="797" spans="1:22" ht="15">
      <c r="B797" s="12" t="s">
        <v>1858</v>
      </c>
      <c r="C797" s="6" t="s">
        <v>2009</v>
      </c>
      <c r="D797" s="15" t="s">
        <v>11</v>
      </c>
      <c r="E797" s="24">
        <v>2440</v>
      </c>
      <c r="F797" s="150">
        <v>140</v>
      </c>
      <c r="G797" s="24" t="s">
        <v>2010</v>
      </c>
      <c r="H797" s="67">
        <v>58</v>
      </c>
      <c r="I797" s="68">
        <v>1</v>
      </c>
      <c r="J797" s="67">
        <v>58</v>
      </c>
      <c r="K797" s="46">
        <v>3.34</v>
      </c>
      <c r="L797" s="46">
        <f>K797*J797</f>
        <v>193.72</v>
      </c>
      <c r="M797" s="112"/>
      <c r="N797" s="39">
        <v>44498</v>
      </c>
      <c r="O797" s="38">
        <v>3615</v>
      </c>
      <c r="P797" s="46">
        <f>K797*(VLOOKUP(B797,$C$2:$F$6,3,FALSE))</f>
        <v>3.1395999999999997</v>
      </c>
      <c r="Q797" s="483">
        <v>3.14</v>
      </c>
      <c r="S797" s="532">
        <v>240</v>
      </c>
      <c r="T797" s="567">
        <f>S797*J797</f>
        <v>13920</v>
      </c>
      <c r="V797" s="494">
        <v>90</v>
      </c>
    </row>
    <row r="798" spans="1:22" ht="15">
      <c r="B798" s="12" t="s">
        <v>1858</v>
      </c>
      <c r="C798" s="6" t="s">
        <v>2009</v>
      </c>
      <c r="D798" s="15" t="s">
        <v>11</v>
      </c>
      <c r="E798" s="24">
        <v>2440</v>
      </c>
      <c r="F798" s="150">
        <v>140</v>
      </c>
      <c r="G798" s="24" t="s">
        <v>862</v>
      </c>
      <c r="H798" s="67">
        <v>58</v>
      </c>
      <c r="I798" s="68">
        <v>10</v>
      </c>
      <c r="J798" s="67">
        <v>580</v>
      </c>
      <c r="K798" s="46">
        <v>3.34</v>
      </c>
      <c r="L798" s="46">
        <f>K798*J798</f>
        <v>1937.1999999999998</v>
      </c>
      <c r="M798" s="112"/>
      <c r="N798" s="39">
        <v>44498</v>
      </c>
      <c r="O798" s="38">
        <v>3615</v>
      </c>
      <c r="P798" s="46">
        <f>K798*(VLOOKUP(B798,$C$2:$F$6,3,FALSE))</f>
        <v>3.1395999999999997</v>
      </c>
      <c r="Q798" s="483">
        <v>3.14</v>
      </c>
      <c r="S798" s="532">
        <v>190</v>
      </c>
      <c r="T798" s="567">
        <f>S798*J798</f>
        <v>110200</v>
      </c>
      <c r="V798" s="494">
        <v>90</v>
      </c>
    </row>
    <row r="799" spans="1:22" ht="15">
      <c r="C799" s="6" t="s">
        <v>2009</v>
      </c>
      <c r="D799" s="15" t="s">
        <v>11</v>
      </c>
      <c r="E799" s="228"/>
      <c r="F799" s="160"/>
      <c r="G799" s="228" t="s">
        <v>481</v>
      </c>
      <c r="H799" s="214"/>
      <c r="I799" s="215"/>
      <c r="J799" s="43">
        <v>1</v>
      </c>
      <c r="K799" s="229">
        <v>20</v>
      </c>
      <c r="L799" s="417" t="s">
        <v>1676</v>
      </c>
      <c r="M799" s="417"/>
      <c r="N799" s="39">
        <v>44498</v>
      </c>
      <c r="O799" s="38">
        <v>3615</v>
      </c>
      <c r="P799" s="216"/>
      <c r="Q799" s="525">
        <v>0</v>
      </c>
      <c r="S799" s="532">
        <v>1800</v>
      </c>
      <c r="T799" s="567">
        <f>S799*J799</f>
        <v>1800</v>
      </c>
      <c r="V799" s="494">
        <v>90</v>
      </c>
    </row>
    <row r="800" spans="1:22" s="314" customFormat="1" ht="15">
      <c r="A800" s="1"/>
      <c r="B800" s="313"/>
      <c r="C800" s="302" t="s">
        <v>2009</v>
      </c>
      <c r="D800" s="303" t="s">
        <v>11</v>
      </c>
      <c r="E800" s="304"/>
      <c r="F800" s="305"/>
      <c r="G800" s="305" t="s">
        <v>1227</v>
      </c>
      <c r="H800" s="307" t="s">
        <v>1228</v>
      </c>
      <c r="I800" s="308"/>
      <c r="J800" s="306"/>
      <c r="K800" s="315">
        <v>0</v>
      </c>
      <c r="L800" s="310"/>
      <c r="M800" s="310"/>
      <c r="N800" s="310">
        <v>44498</v>
      </c>
      <c r="O800" s="309">
        <v>3615</v>
      </c>
      <c r="P800" s="302"/>
      <c r="Q800" s="485">
        <v>0</v>
      </c>
      <c r="S800" s="535">
        <v>0</v>
      </c>
      <c r="T800" s="322">
        <v>0</v>
      </c>
      <c r="U800" s="515"/>
      <c r="V800" s="494">
        <v>90</v>
      </c>
    </row>
    <row r="801" spans="1:22" s="7" customFormat="1" ht="15">
      <c r="A801" s="1"/>
      <c r="B801" s="12"/>
      <c r="C801" s="6" t="s">
        <v>2012</v>
      </c>
      <c r="D801" s="15" t="s">
        <v>909</v>
      </c>
      <c r="E801" s="20" t="s">
        <v>1451</v>
      </c>
      <c r="F801" s="44"/>
      <c r="G801" s="44"/>
      <c r="H801" s="151"/>
      <c r="I801" s="151"/>
      <c r="J801" s="151"/>
      <c r="K801" s="34" t="s">
        <v>1027</v>
      </c>
      <c r="L801" s="39"/>
      <c r="M801" s="39"/>
      <c r="N801" s="39">
        <v>44490</v>
      </c>
      <c r="O801" s="38">
        <v>3585</v>
      </c>
      <c r="P801" s="6"/>
      <c r="Q801" s="524"/>
      <c r="S801" s="489"/>
      <c r="T801" s="113"/>
      <c r="U801" s="501"/>
      <c r="V801" s="494">
        <v>90</v>
      </c>
    </row>
    <row r="802" spans="1:22" s="7" customFormat="1" ht="15" customHeight="1">
      <c r="A802" s="1"/>
      <c r="B802" s="12" t="s">
        <v>1856</v>
      </c>
      <c r="C802" s="6" t="s">
        <v>2012</v>
      </c>
      <c r="D802" s="15" t="s">
        <v>909</v>
      </c>
      <c r="E802" s="24" t="s">
        <v>1452</v>
      </c>
      <c r="F802" s="44" t="s">
        <v>1453</v>
      </c>
      <c r="G802" s="260" t="s">
        <v>2013</v>
      </c>
      <c r="H802" s="261">
        <v>50</v>
      </c>
      <c r="I802" s="261">
        <v>50</v>
      </c>
      <c r="J802" s="261">
        <v>50</v>
      </c>
      <c r="K802" s="46">
        <v>0.28000000000000003</v>
      </c>
      <c r="L802" s="46">
        <f>K802*J802</f>
        <v>14.000000000000002</v>
      </c>
      <c r="M802" s="112"/>
      <c r="N802" s="39">
        <v>44490</v>
      </c>
      <c r="O802" s="38">
        <v>3585</v>
      </c>
      <c r="P802" s="46">
        <f>K802*(VLOOKUP(B802,$C$2:$F$6,3,FALSE))</f>
        <v>0.24640000000000004</v>
      </c>
      <c r="Q802" s="483">
        <v>0.25</v>
      </c>
      <c r="S802" s="489">
        <v>15</v>
      </c>
      <c r="T802" s="567">
        <f>S802*J802</f>
        <v>750</v>
      </c>
      <c r="U802" s="507"/>
      <c r="V802" s="494">
        <v>90</v>
      </c>
    </row>
    <row r="803" spans="1:22" s="7" customFormat="1" ht="15">
      <c r="A803" s="1"/>
      <c r="B803" s="12" t="s">
        <v>1856</v>
      </c>
      <c r="C803" s="6" t="s">
        <v>2012</v>
      </c>
      <c r="D803" s="15" t="s">
        <v>909</v>
      </c>
      <c r="E803" s="24" t="s">
        <v>1452</v>
      </c>
      <c r="F803" s="44" t="s">
        <v>1454</v>
      </c>
      <c r="G803" s="260" t="s">
        <v>2013</v>
      </c>
      <c r="H803" s="261">
        <v>150</v>
      </c>
      <c r="I803" s="261">
        <v>150</v>
      </c>
      <c r="J803" s="261">
        <v>150</v>
      </c>
      <c r="K803" s="46">
        <v>0.28999999999999998</v>
      </c>
      <c r="L803" s="46">
        <f>K803*J803</f>
        <v>43.5</v>
      </c>
      <c r="M803" s="112"/>
      <c r="N803" s="39">
        <v>44490</v>
      </c>
      <c r="O803" s="38">
        <v>3585</v>
      </c>
      <c r="P803" s="46">
        <f>K803*(VLOOKUP(B803,$C$2:$F$6,3,FALSE))</f>
        <v>0.25519999999999998</v>
      </c>
      <c r="Q803" s="483">
        <v>0.26</v>
      </c>
      <c r="S803" s="489">
        <v>15.6</v>
      </c>
      <c r="T803" s="567">
        <f>S803*J803</f>
        <v>2340</v>
      </c>
      <c r="U803" s="507"/>
      <c r="V803" s="494">
        <v>90</v>
      </c>
    </row>
    <row r="804" spans="1:22" s="7" customFormat="1" ht="15" customHeight="1">
      <c r="A804" s="1"/>
      <c r="B804" s="12" t="s">
        <v>1856</v>
      </c>
      <c r="C804" s="6" t="s">
        <v>2012</v>
      </c>
      <c r="D804" s="15" t="s">
        <v>909</v>
      </c>
      <c r="E804" s="24" t="s">
        <v>1452</v>
      </c>
      <c r="F804" s="44" t="s">
        <v>1030</v>
      </c>
      <c r="G804" s="260" t="s">
        <v>2013</v>
      </c>
      <c r="H804" s="261">
        <v>70</v>
      </c>
      <c r="I804" s="261">
        <v>70</v>
      </c>
      <c r="J804" s="261">
        <v>70</v>
      </c>
      <c r="K804" s="46">
        <v>0.3</v>
      </c>
      <c r="L804" s="46">
        <f>K804*J804</f>
        <v>21</v>
      </c>
      <c r="M804" s="112"/>
      <c r="N804" s="39">
        <v>44490</v>
      </c>
      <c r="O804" s="38">
        <v>3585</v>
      </c>
      <c r="P804" s="46">
        <v>0.27</v>
      </c>
      <c r="Q804" s="483">
        <v>0.27</v>
      </c>
      <c r="S804" s="489">
        <v>16.100000000000001</v>
      </c>
      <c r="T804" s="567">
        <f>S804*J804</f>
        <v>1127</v>
      </c>
      <c r="U804" s="507"/>
      <c r="V804" s="494">
        <v>90</v>
      </c>
    </row>
    <row r="805" spans="1:22" s="7" customFormat="1" ht="15" customHeight="1">
      <c r="A805" s="1"/>
      <c r="B805" s="12" t="s">
        <v>1862</v>
      </c>
      <c r="C805" s="6" t="s">
        <v>2012</v>
      </c>
      <c r="D805" s="15" t="s">
        <v>909</v>
      </c>
      <c r="E805" s="24"/>
      <c r="F805" s="138"/>
      <c r="G805" s="44" t="s">
        <v>2014</v>
      </c>
      <c r="H805" s="8"/>
      <c r="I805" s="41"/>
      <c r="J805" s="45">
        <v>2</v>
      </c>
      <c r="K805" s="46">
        <v>7</v>
      </c>
      <c r="L805" s="46">
        <f>K805*J805</f>
        <v>14</v>
      </c>
      <c r="M805" s="112"/>
      <c r="N805" s="39">
        <v>44490</v>
      </c>
      <c r="O805" s="38">
        <v>3585</v>
      </c>
      <c r="P805" s="46">
        <f>K805*(VLOOKUP(B805,$C$2:$F$6,3,FALSE))</f>
        <v>7</v>
      </c>
      <c r="Q805" s="483">
        <v>14</v>
      </c>
      <c r="S805" s="489">
        <v>500</v>
      </c>
      <c r="T805" s="567">
        <f>S805*J805</f>
        <v>1000</v>
      </c>
      <c r="U805" s="501"/>
      <c r="V805" s="494">
        <v>90</v>
      </c>
    </row>
    <row r="806" spans="1:22" s="7" customFormat="1" ht="15" customHeight="1">
      <c r="A806" s="1"/>
      <c r="B806" s="12" t="s">
        <v>1862</v>
      </c>
      <c r="C806" s="6" t="s">
        <v>2012</v>
      </c>
      <c r="D806" s="15" t="s">
        <v>909</v>
      </c>
      <c r="E806" s="24"/>
      <c r="F806" s="138"/>
      <c r="G806" s="44" t="s">
        <v>1993</v>
      </c>
      <c r="H806" s="8"/>
      <c r="I806" s="41"/>
      <c r="J806" s="45">
        <v>1</v>
      </c>
      <c r="K806" s="46">
        <v>12</v>
      </c>
      <c r="L806" s="46">
        <f>K806*J806</f>
        <v>12</v>
      </c>
      <c r="M806" s="112"/>
      <c r="N806" s="39">
        <v>44490</v>
      </c>
      <c r="O806" s="38">
        <v>3585</v>
      </c>
      <c r="P806" s="46">
        <f>K806*(VLOOKUP(B806,$C$2:$F$6,3,FALSE))</f>
        <v>12</v>
      </c>
      <c r="Q806" s="483">
        <v>12</v>
      </c>
      <c r="S806" s="489">
        <v>1100</v>
      </c>
      <c r="T806" s="567">
        <f>S806*J806</f>
        <v>1100</v>
      </c>
      <c r="U806" s="501"/>
      <c r="V806" s="494">
        <v>90</v>
      </c>
    </row>
    <row r="807" spans="1:22" s="314" customFormat="1" ht="15" customHeight="1">
      <c r="A807" s="1"/>
      <c r="B807" s="313"/>
      <c r="C807" s="302" t="s">
        <v>2012</v>
      </c>
      <c r="D807" s="303" t="s">
        <v>909</v>
      </c>
      <c r="E807" s="304"/>
      <c r="F807" s="305"/>
      <c r="G807" s="305" t="s">
        <v>1227</v>
      </c>
      <c r="H807" s="307" t="s">
        <v>1228</v>
      </c>
      <c r="I807" s="308"/>
      <c r="J807" s="306"/>
      <c r="K807" s="315">
        <v>0</v>
      </c>
      <c r="L807" s="310"/>
      <c r="M807" s="310"/>
      <c r="N807" s="310">
        <v>44490</v>
      </c>
      <c r="O807" s="309">
        <v>3585</v>
      </c>
      <c r="P807" s="302"/>
      <c r="Q807" s="485">
        <v>0</v>
      </c>
      <c r="S807" s="535">
        <v>0</v>
      </c>
      <c r="T807" s="322">
        <v>0</v>
      </c>
      <c r="U807" s="515"/>
      <c r="V807" s="494">
        <v>90</v>
      </c>
    </row>
    <row r="808" spans="1:22" ht="15">
      <c r="C808" s="6" t="s">
        <v>2015</v>
      </c>
      <c r="D808" s="15" t="s">
        <v>2016</v>
      </c>
      <c r="E808" s="20" t="s">
        <v>2017</v>
      </c>
      <c r="F808" s="26"/>
      <c r="G808" s="24"/>
      <c r="H808" s="67"/>
      <c r="I808" s="68"/>
      <c r="J808" s="67"/>
      <c r="K808" s="17" t="s">
        <v>134</v>
      </c>
      <c r="L808" s="46"/>
      <c r="M808" s="112"/>
      <c r="N808" s="39">
        <v>44484</v>
      </c>
      <c r="O808" s="38">
        <v>3567</v>
      </c>
      <c r="P808" s="6"/>
      <c r="Q808" s="481"/>
      <c r="S808" s="489"/>
      <c r="T808" s="113"/>
      <c r="U808" s="500"/>
      <c r="V808" s="494">
        <v>90</v>
      </c>
    </row>
    <row r="809" spans="1:22" ht="15">
      <c r="B809" s="28" t="s">
        <v>1856</v>
      </c>
      <c r="C809" s="6" t="s">
        <v>2015</v>
      </c>
      <c r="D809" s="15" t="s">
        <v>2016</v>
      </c>
      <c r="E809" s="24">
        <v>5638</v>
      </c>
      <c r="F809" s="26" t="s">
        <v>1915</v>
      </c>
      <c r="G809" s="24" t="s">
        <v>2018</v>
      </c>
      <c r="H809" s="67">
        <v>50</v>
      </c>
      <c r="I809" s="68">
        <v>1</v>
      </c>
      <c r="J809" s="67">
        <f>H809*I809</f>
        <v>50</v>
      </c>
      <c r="K809" s="25">
        <v>0.6</v>
      </c>
      <c r="L809" s="46">
        <f>K809*J809</f>
        <v>30</v>
      </c>
      <c r="M809" s="112"/>
      <c r="N809" s="39">
        <v>44484</v>
      </c>
      <c r="O809" s="38">
        <v>3567</v>
      </c>
      <c r="P809" s="46">
        <f>K809*(VLOOKUP(B809,$C$2:$F$6,3,FALSE))</f>
        <v>0.52800000000000002</v>
      </c>
      <c r="Q809" s="483">
        <v>0.53</v>
      </c>
      <c r="S809" s="489">
        <v>32</v>
      </c>
      <c r="T809" s="113">
        <f>S809*J809</f>
        <v>1600</v>
      </c>
      <c r="U809" s="500"/>
      <c r="V809" s="494">
        <v>90</v>
      </c>
    </row>
    <row r="810" spans="1:22" s="7" customFormat="1" ht="15" customHeight="1">
      <c r="A810" s="1"/>
      <c r="B810" s="12" t="s">
        <v>1862</v>
      </c>
      <c r="C810" s="6" t="s">
        <v>2015</v>
      </c>
      <c r="D810" s="15" t="s">
        <v>2016</v>
      </c>
      <c r="E810" s="24"/>
      <c r="F810" s="44"/>
      <c r="G810" s="44" t="s">
        <v>1949</v>
      </c>
      <c r="H810" s="45"/>
      <c r="I810" s="152" ph="1"/>
      <c r="J810" s="45">
        <v>1</v>
      </c>
      <c r="K810" s="46">
        <v>12</v>
      </c>
      <c r="L810" s="46">
        <f>K810*J810</f>
        <v>12</v>
      </c>
      <c r="M810" s="112"/>
      <c r="N810" s="39">
        <v>44484</v>
      </c>
      <c r="O810" s="38">
        <v>3567</v>
      </c>
      <c r="P810" s="46">
        <f>K810*(VLOOKUP(B810,$C$2:$F$6,3,FALSE))</f>
        <v>12</v>
      </c>
      <c r="Q810" s="483">
        <v>12</v>
      </c>
      <c r="S810" s="489">
        <v>1100</v>
      </c>
      <c r="T810" s="113">
        <f>S810*J810</f>
        <v>1100</v>
      </c>
      <c r="U810" s="501"/>
      <c r="V810" s="494">
        <v>90</v>
      </c>
    </row>
    <row r="811" spans="1:22" s="314" customFormat="1" ht="15" customHeight="1">
      <c r="A811" s="1"/>
      <c r="B811" s="313"/>
      <c r="C811" s="302" t="s">
        <v>2015</v>
      </c>
      <c r="D811" s="303" t="s">
        <v>2016</v>
      </c>
      <c r="E811" s="304"/>
      <c r="F811" s="305"/>
      <c r="G811" s="305" t="s">
        <v>1227</v>
      </c>
      <c r="H811" s="307" t="s">
        <v>1228</v>
      </c>
      <c r="I811" s="308"/>
      <c r="J811" s="306"/>
      <c r="K811" s="316">
        <v>0</v>
      </c>
      <c r="L811" s="310"/>
      <c r="M811" s="310"/>
      <c r="N811" s="310">
        <v>44484</v>
      </c>
      <c r="O811" s="309">
        <v>3567</v>
      </c>
      <c r="P811" s="302"/>
      <c r="Q811" s="485">
        <v>0</v>
      </c>
      <c r="S811" s="536">
        <v>0</v>
      </c>
      <c r="T811" s="322">
        <v>0</v>
      </c>
      <c r="U811" s="515"/>
      <c r="V811" s="494">
        <v>90</v>
      </c>
    </row>
    <row r="812" spans="1:22" s="7" customFormat="1" ht="15">
      <c r="A812" s="1"/>
      <c r="B812" s="12"/>
      <c r="C812" s="6" t="s">
        <v>2019</v>
      </c>
      <c r="D812" s="15" t="s">
        <v>617</v>
      </c>
      <c r="E812" s="20" t="s">
        <v>177</v>
      </c>
      <c r="F812" s="26"/>
      <c r="G812" s="24"/>
      <c r="H812" s="67"/>
      <c r="I812" s="68"/>
      <c r="J812" s="67"/>
      <c r="K812" s="10" t="s">
        <v>10</v>
      </c>
      <c r="L812" s="39"/>
      <c r="M812" s="39"/>
      <c r="N812" s="39">
        <v>44489</v>
      </c>
      <c r="O812" s="38">
        <v>3579</v>
      </c>
      <c r="P812" s="6" t="s">
        <v>3</v>
      </c>
      <c r="Q812" s="481"/>
      <c r="S812" s="489"/>
      <c r="T812" s="113"/>
      <c r="U812" s="500"/>
      <c r="V812" s="494">
        <v>90</v>
      </c>
    </row>
    <row r="813" spans="1:22" s="7" customFormat="1" ht="15" customHeight="1">
      <c r="A813" s="1"/>
      <c r="B813" s="12" t="s">
        <v>1856</v>
      </c>
      <c r="C813" s="6" t="s">
        <v>2019</v>
      </c>
      <c r="D813" s="15" t="s">
        <v>617</v>
      </c>
      <c r="E813" s="24">
        <v>12701</v>
      </c>
      <c r="F813" s="26">
        <v>50</v>
      </c>
      <c r="G813" s="24" t="s">
        <v>868</v>
      </c>
      <c r="H813" s="67">
        <v>10</v>
      </c>
      <c r="I813" s="68">
        <v>5</v>
      </c>
      <c r="J813" s="8">
        <f>H813*I813</f>
        <v>50</v>
      </c>
      <c r="K813" s="25">
        <v>3.16</v>
      </c>
      <c r="L813" s="46">
        <f t="shared" ref="L813:L818" si="21">K813*J813</f>
        <v>158</v>
      </c>
      <c r="M813" s="112"/>
      <c r="N813" s="39">
        <v>44489</v>
      </c>
      <c r="O813" s="38">
        <v>3579</v>
      </c>
      <c r="P813" s="46">
        <f t="shared" ref="P813:P818" si="22">K813*(VLOOKUP(B813,$C$2:$F$6,3,FALSE))</f>
        <v>2.7808000000000002</v>
      </c>
      <c r="Q813" s="482">
        <v>2.78</v>
      </c>
      <c r="S813" s="489">
        <v>153</v>
      </c>
      <c r="T813" s="113">
        <f t="shared" ref="T813:T818" si="23">S813*J813</f>
        <v>7650</v>
      </c>
      <c r="U813" s="1597" t="s">
        <v>2022</v>
      </c>
      <c r="V813" s="494">
        <v>90</v>
      </c>
    </row>
    <row r="814" spans="1:22" s="7" customFormat="1" ht="15" customHeight="1">
      <c r="A814" s="1"/>
      <c r="B814" s="12" t="s">
        <v>1856</v>
      </c>
      <c r="C814" s="6" t="s">
        <v>2019</v>
      </c>
      <c r="D814" s="15" t="s">
        <v>617</v>
      </c>
      <c r="E814" s="24">
        <v>12701</v>
      </c>
      <c r="F814" s="26">
        <v>24</v>
      </c>
      <c r="G814" s="24" t="s">
        <v>869</v>
      </c>
      <c r="H814" s="67">
        <v>10</v>
      </c>
      <c r="I814" s="68">
        <v>5</v>
      </c>
      <c r="J814" s="8">
        <f>H814*I814</f>
        <v>50</v>
      </c>
      <c r="K814" s="25">
        <v>1.4</v>
      </c>
      <c r="L814" s="46">
        <f t="shared" si="21"/>
        <v>70</v>
      </c>
      <c r="M814" s="112"/>
      <c r="N814" s="39">
        <v>44489</v>
      </c>
      <c r="O814" s="38">
        <v>3579</v>
      </c>
      <c r="P814" s="46">
        <f t="shared" si="22"/>
        <v>1.232</v>
      </c>
      <c r="Q814" s="482">
        <v>1.23</v>
      </c>
      <c r="S814" s="489">
        <v>67.400000000000006</v>
      </c>
      <c r="T814" s="113">
        <f t="shared" si="23"/>
        <v>3370.0000000000005</v>
      </c>
      <c r="U814" s="1597" t="s">
        <v>2028</v>
      </c>
      <c r="V814" s="494">
        <v>90</v>
      </c>
    </row>
    <row r="815" spans="1:22" s="7" customFormat="1" ht="15" customHeight="1">
      <c r="A815" s="1"/>
      <c r="B815" s="12" t="s">
        <v>1856</v>
      </c>
      <c r="C815" s="6" t="s">
        <v>2019</v>
      </c>
      <c r="D815" s="15" t="s">
        <v>617</v>
      </c>
      <c r="E815" s="24">
        <v>12701</v>
      </c>
      <c r="F815" s="26">
        <v>4</v>
      </c>
      <c r="G815" s="24" t="s">
        <v>868</v>
      </c>
      <c r="H815" s="67">
        <v>40</v>
      </c>
      <c r="I815" s="68">
        <v>5</v>
      </c>
      <c r="J815" s="8">
        <f>H815*I815</f>
        <v>200</v>
      </c>
      <c r="K815" s="25">
        <v>0.68</v>
      </c>
      <c r="L815" s="46">
        <f t="shared" si="21"/>
        <v>136</v>
      </c>
      <c r="M815" s="112"/>
      <c r="N815" s="39">
        <v>44489</v>
      </c>
      <c r="O815" s="38">
        <v>3579</v>
      </c>
      <c r="P815" s="46">
        <f t="shared" si="22"/>
        <v>0.59840000000000004</v>
      </c>
      <c r="Q815" s="482">
        <v>0.6</v>
      </c>
      <c r="S815" s="489">
        <v>32.700000000000003</v>
      </c>
      <c r="T815" s="113">
        <f t="shared" si="23"/>
        <v>6540.0000000000009</v>
      </c>
      <c r="U815" s="1597" t="s">
        <v>2023</v>
      </c>
      <c r="V815" s="494">
        <v>90</v>
      </c>
    </row>
    <row r="816" spans="1:22" s="7" customFormat="1" ht="15" customHeight="1">
      <c r="A816" s="1"/>
      <c r="B816" s="12" t="s">
        <v>1856</v>
      </c>
      <c r="C816" s="6" t="s">
        <v>2019</v>
      </c>
      <c r="D816" s="15" t="s">
        <v>617</v>
      </c>
      <c r="E816" s="24">
        <v>12701</v>
      </c>
      <c r="F816" s="26">
        <v>4</v>
      </c>
      <c r="G816" s="24" t="s">
        <v>869</v>
      </c>
      <c r="H816" s="67">
        <v>40</v>
      </c>
      <c r="I816" s="68">
        <v>5</v>
      </c>
      <c r="J816" s="8">
        <f>H816*I816</f>
        <v>200</v>
      </c>
      <c r="K816" s="25">
        <v>0.68</v>
      </c>
      <c r="L816" s="46">
        <f t="shared" si="21"/>
        <v>136</v>
      </c>
      <c r="M816" s="112"/>
      <c r="N816" s="39">
        <v>44489</v>
      </c>
      <c r="O816" s="38">
        <v>3579</v>
      </c>
      <c r="P816" s="46">
        <f t="shared" si="22"/>
        <v>0.59840000000000004</v>
      </c>
      <c r="Q816" s="482">
        <v>0.6</v>
      </c>
      <c r="S816" s="489">
        <v>32.700000000000003</v>
      </c>
      <c r="T816" s="113">
        <f t="shared" si="23"/>
        <v>6540.0000000000009</v>
      </c>
      <c r="U816" s="1597" t="s">
        <v>2023</v>
      </c>
      <c r="V816" s="494">
        <v>90</v>
      </c>
    </row>
    <row r="817" spans="1:22" s="7" customFormat="1" ht="15" customHeight="1">
      <c r="A817" s="1"/>
      <c r="B817" s="12" t="s">
        <v>1856</v>
      </c>
      <c r="C817" s="6" t="s">
        <v>2019</v>
      </c>
      <c r="D817" s="15" t="s">
        <v>617</v>
      </c>
      <c r="E817" s="24">
        <v>12701</v>
      </c>
      <c r="F817" s="26">
        <v>6</v>
      </c>
      <c r="G817" s="24" t="s">
        <v>868</v>
      </c>
      <c r="H817" s="67">
        <v>10</v>
      </c>
      <c r="I817" s="68">
        <v>5</v>
      </c>
      <c r="J817" s="8">
        <f>H817*I817</f>
        <v>50</v>
      </c>
      <c r="K817" s="25">
        <v>0.7</v>
      </c>
      <c r="L817" s="46">
        <f t="shared" si="21"/>
        <v>35</v>
      </c>
      <c r="M817" s="112"/>
      <c r="N817" s="39">
        <v>44489</v>
      </c>
      <c r="O817" s="38">
        <v>3579</v>
      </c>
      <c r="P817" s="46">
        <f t="shared" si="22"/>
        <v>0.61599999999999999</v>
      </c>
      <c r="Q817" s="482">
        <v>0.62</v>
      </c>
      <c r="S817" s="489">
        <v>33.700000000000003</v>
      </c>
      <c r="T817" s="113">
        <f t="shared" si="23"/>
        <v>1685.0000000000002</v>
      </c>
      <c r="U817" s="1597" t="s">
        <v>2024</v>
      </c>
      <c r="V817" s="494">
        <v>90</v>
      </c>
    </row>
    <row r="818" spans="1:22" s="7" customFormat="1" ht="15" customHeight="1">
      <c r="A818" s="1"/>
      <c r="B818" s="12" t="s">
        <v>1862</v>
      </c>
      <c r="C818" s="6" t="s">
        <v>2019</v>
      </c>
      <c r="D818" s="15" t="s">
        <v>617</v>
      </c>
      <c r="E818" s="24"/>
      <c r="F818" s="44"/>
      <c r="G818" s="44" t="s">
        <v>1949</v>
      </c>
      <c r="H818" s="45"/>
      <c r="I818" s="152" ph="1"/>
      <c r="J818" s="45">
        <v>1</v>
      </c>
      <c r="K818" s="46">
        <v>12</v>
      </c>
      <c r="L818" s="46">
        <f t="shared" si="21"/>
        <v>12</v>
      </c>
      <c r="M818" s="112"/>
      <c r="N818" s="39">
        <v>44489</v>
      </c>
      <c r="O818" s="38">
        <v>3579</v>
      </c>
      <c r="P818" s="46">
        <f t="shared" si="22"/>
        <v>12</v>
      </c>
      <c r="Q818" s="483">
        <v>12</v>
      </c>
      <c r="S818" s="489">
        <v>0</v>
      </c>
      <c r="T818" s="113">
        <f t="shared" si="23"/>
        <v>0</v>
      </c>
      <c r="U818" s="501"/>
      <c r="V818" s="494">
        <v>90</v>
      </c>
    </row>
    <row r="819" spans="1:22" s="314" customFormat="1" ht="15.6" customHeight="1">
      <c r="A819" s="1"/>
      <c r="B819" s="313"/>
      <c r="C819" s="302" t="s">
        <v>2019</v>
      </c>
      <c r="D819" s="303" t="s">
        <v>617</v>
      </c>
      <c r="E819" s="304"/>
      <c r="F819" s="305"/>
      <c r="G819" s="305" t="s">
        <v>1227</v>
      </c>
      <c r="H819" s="307" t="s">
        <v>1243</v>
      </c>
      <c r="I819" s="308"/>
      <c r="J819" s="306"/>
      <c r="K819" s="329">
        <v>68</v>
      </c>
      <c r="L819" s="310"/>
      <c r="M819" s="310"/>
      <c r="N819" s="310">
        <v>44489</v>
      </c>
      <c r="O819" s="309">
        <v>3579</v>
      </c>
      <c r="P819" s="302"/>
      <c r="Q819" s="527">
        <v>68</v>
      </c>
      <c r="S819" s="532">
        <v>6086</v>
      </c>
      <c r="T819" s="113">
        <v>6086</v>
      </c>
      <c r="U819" s="515"/>
      <c r="V819" s="494">
        <v>90</v>
      </c>
    </row>
    <row r="820" spans="1:22" s="7" customFormat="1" ht="15" customHeight="1">
      <c r="A820" s="1"/>
      <c r="B820" s="12" t="s">
        <v>1856</v>
      </c>
      <c r="C820" s="6" t="s">
        <v>2019</v>
      </c>
      <c r="D820" s="15" t="s">
        <v>617</v>
      </c>
      <c r="E820" s="24">
        <v>12701</v>
      </c>
      <c r="F820" s="26">
        <v>6</v>
      </c>
      <c r="G820" s="24" t="s">
        <v>869</v>
      </c>
      <c r="H820" s="67">
        <v>10</v>
      </c>
      <c r="I820" s="68">
        <v>5</v>
      </c>
      <c r="J820" s="8">
        <f>H820*I820</f>
        <v>50</v>
      </c>
      <c r="K820" s="25">
        <v>0.7</v>
      </c>
      <c r="L820" s="46">
        <f>K820*J820</f>
        <v>35</v>
      </c>
      <c r="M820" s="112"/>
      <c r="N820" s="39">
        <v>44495</v>
      </c>
      <c r="O820" s="38">
        <v>3594</v>
      </c>
      <c r="P820" s="46">
        <f>K820*(VLOOKUP(B820,$C$2:$F$6,3,FALSE))</f>
        <v>0.61599999999999999</v>
      </c>
      <c r="Q820" s="482">
        <v>0.62</v>
      </c>
      <c r="S820" s="489">
        <v>33.700000000000003</v>
      </c>
      <c r="T820" s="113">
        <f>S820*J820</f>
        <v>1685.0000000000002</v>
      </c>
      <c r="U820" s="1597" t="s">
        <v>2024</v>
      </c>
      <c r="V820" s="494">
        <v>90</v>
      </c>
    </row>
    <row r="821" spans="1:22" s="314" customFormat="1" ht="15.6" customHeight="1">
      <c r="A821" s="1"/>
      <c r="B821" s="313"/>
      <c r="C821" s="302" t="s">
        <v>2019</v>
      </c>
      <c r="D821" s="303" t="s">
        <v>617</v>
      </c>
      <c r="E821" s="304"/>
      <c r="F821" s="305"/>
      <c r="G821" s="305" t="s">
        <v>1227</v>
      </c>
      <c r="H821" s="307" t="s">
        <v>1243</v>
      </c>
      <c r="I821" s="308"/>
      <c r="J821" s="306"/>
      <c r="K821" s="329">
        <v>25</v>
      </c>
      <c r="L821" s="310"/>
      <c r="M821" s="310"/>
      <c r="N821" s="310">
        <v>44495</v>
      </c>
      <c r="O821" s="309">
        <v>3594</v>
      </c>
      <c r="P821" s="302"/>
      <c r="Q821" s="527">
        <v>25</v>
      </c>
      <c r="S821" s="532">
        <v>2240</v>
      </c>
      <c r="T821" s="113">
        <v>2240</v>
      </c>
      <c r="U821" s="515"/>
      <c r="V821" s="494">
        <v>90</v>
      </c>
    </row>
    <row r="822" spans="1:22" ht="15">
      <c r="C822" s="6" t="s">
        <v>2041</v>
      </c>
      <c r="D822" s="61" t="s">
        <v>1917</v>
      </c>
      <c r="E822" s="20" t="s">
        <v>1018</v>
      </c>
      <c r="F822" s="26"/>
      <c r="G822" s="24"/>
      <c r="H822" s="67"/>
      <c r="I822" s="68"/>
      <c r="J822" s="67"/>
      <c r="K822" s="17" t="s">
        <v>10</v>
      </c>
      <c r="L822" s="46"/>
      <c r="M822" s="112"/>
      <c r="N822" s="39">
        <v>44490</v>
      </c>
      <c r="O822" s="38">
        <v>3581</v>
      </c>
      <c r="P822" s="175"/>
      <c r="Q822" s="485">
        <v>0</v>
      </c>
      <c r="S822" s="536">
        <v>0</v>
      </c>
      <c r="T822" s="7"/>
      <c r="V822" s="494">
        <v>90</v>
      </c>
    </row>
    <row r="823" spans="1:22" ht="15">
      <c r="B823" s="28" t="s">
        <v>1856</v>
      </c>
      <c r="C823" s="6" t="s">
        <v>2041</v>
      </c>
      <c r="D823" s="61" t="s">
        <v>1917</v>
      </c>
      <c r="E823" s="24">
        <v>1962</v>
      </c>
      <c r="F823" s="26" t="s">
        <v>1915</v>
      </c>
      <c r="G823" s="24" t="s">
        <v>1918</v>
      </c>
      <c r="H823" s="67">
        <v>30</v>
      </c>
      <c r="I823" s="68">
        <v>14</v>
      </c>
      <c r="J823" s="8">
        <f>H823*I823</f>
        <v>420</v>
      </c>
      <c r="K823" s="46">
        <v>0.89</v>
      </c>
      <c r="L823" s="46">
        <f>K823*J823</f>
        <v>373.8</v>
      </c>
      <c r="M823" s="112"/>
      <c r="N823" s="39">
        <v>44490</v>
      </c>
      <c r="O823" s="38">
        <v>3581</v>
      </c>
      <c r="P823" s="46">
        <f>K823*(VLOOKUP(B823,$C$2:$F$6,3,FALSE))</f>
        <v>0.78320000000000001</v>
      </c>
      <c r="Q823" s="593">
        <v>0.78</v>
      </c>
      <c r="S823" s="113">
        <v>48</v>
      </c>
      <c r="T823" s="113">
        <f>S823*J823</f>
        <v>20160</v>
      </c>
      <c r="V823" s="494">
        <v>90</v>
      </c>
    </row>
    <row r="824" spans="1:22" ht="15.95" customHeight="1">
      <c r="C824" s="6" t="s">
        <v>2041</v>
      </c>
      <c r="D824" s="61" t="s">
        <v>1917</v>
      </c>
      <c r="E824" s="56"/>
      <c r="F824" s="138"/>
      <c r="G824" s="44" t="s">
        <v>1993</v>
      </c>
      <c r="H824" s="8"/>
      <c r="I824" s="41"/>
      <c r="J824" s="45">
        <v>1</v>
      </c>
      <c r="K824" s="46">
        <v>12</v>
      </c>
      <c r="L824" s="46">
        <f>K824*J824</f>
        <v>12</v>
      </c>
      <c r="M824" s="112"/>
      <c r="N824" s="39">
        <v>44490</v>
      </c>
      <c r="O824" s="38">
        <v>3581</v>
      </c>
      <c r="P824" s="179"/>
      <c r="Q824" s="180">
        <v>12</v>
      </c>
      <c r="S824" s="498">
        <v>0</v>
      </c>
      <c r="T824" s="568">
        <f>S824*J824</f>
        <v>0</v>
      </c>
      <c r="U824" s="511"/>
      <c r="V824" s="494">
        <v>90</v>
      </c>
    </row>
    <row r="825" spans="1:22" ht="15">
      <c r="B825" s="28" t="s">
        <v>1856</v>
      </c>
      <c r="C825" s="6" t="s">
        <v>2041</v>
      </c>
      <c r="D825" s="61" t="s">
        <v>1917</v>
      </c>
      <c r="E825" s="24">
        <v>1962</v>
      </c>
      <c r="F825" s="26" t="s">
        <v>1915</v>
      </c>
      <c r="G825" s="24" t="s">
        <v>1918</v>
      </c>
      <c r="H825" s="67">
        <v>30</v>
      </c>
      <c r="I825" s="68">
        <v>35</v>
      </c>
      <c r="J825" s="8">
        <f>H825*I825</f>
        <v>1050</v>
      </c>
      <c r="K825" s="46">
        <v>0.89</v>
      </c>
      <c r="L825" s="46">
        <f>K825*J825</f>
        <v>934.5</v>
      </c>
      <c r="M825" s="112"/>
      <c r="N825" s="39">
        <v>44498</v>
      </c>
      <c r="O825" s="38">
        <v>3617</v>
      </c>
      <c r="P825" s="46">
        <f>K825*(VLOOKUP(B825,$C$2:$F$6,3,FALSE))</f>
        <v>0.78320000000000001</v>
      </c>
      <c r="Q825" s="593">
        <v>0.78</v>
      </c>
      <c r="S825" s="113">
        <v>48</v>
      </c>
      <c r="T825" s="113">
        <f>S825*J825</f>
        <v>50400</v>
      </c>
      <c r="V825" s="494">
        <v>90</v>
      </c>
    </row>
    <row r="826" spans="1:22" s="314" customFormat="1" ht="15" customHeight="1">
      <c r="A826" s="1"/>
      <c r="B826" s="313"/>
      <c r="C826" s="302"/>
      <c r="D826" s="592" t="s">
        <v>1917</v>
      </c>
      <c r="E826" s="304"/>
      <c r="F826" s="305"/>
      <c r="G826" s="305" t="s">
        <v>1227</v>
      </c>
      <c r="H826" s="307" t="s">
        <v>1228</v>
      </c>
      <c r="I826" s="308"/>
      <c r="J826" s="306"/>
      <c r="K826" s="315">
        <v>0</v>
      </c>
      <c r="L826" s="310"/>
      <c r="M826" s="310"/>
      <c r="N826" s="310">
        <v>44498</v>
      </c>
      <c r="O826" s="309">
        <v>3617</v>
      </c>
      <c r="P826" s="302"/>
      <c r="Q826" s="485">
        <v>0</v>
      </c>
      <c r="S826" s="536">
        <v>0</v>
      </c>
      <c r="T826" s="322">
        <v>0</v>
      </c>
      <c r="U826" s="515"/>
      <c r="V826" s="494">
        <v>90</v>
      </c>
    </row>
    <row r="827" spans="1:22" s="7" customFormat="1" ht="15" customHeight="1">
      <c r="A827" s="1"/>
      <c r="B827" s="12"/>
      <c r="C827" s="6" t="s">
        <v>2029</v>
      </c>
      <c r="D827" s="15" t="s">
        <v>169</v>
      </c>
      <c r="E827" s="20" t="s">
        <v>27</v>
      </c>
      <c r="F827" s="150"/>
      <c r="G827" s="24"/>
      <c r="H827" s="151"/>
      <c r="I827" s="152"/>
      <c r="J827" s="151"/>
      <c r="K827" s="34" t="s">
        <v>10</v>
      </c>
      <c r="L827" s="39"/>
      <c r="M827" s="39"/>
      <c r="N827" s="39">
        <v>44496</v>
      </c>
      <c r="O827" s="38">
        <v>3577</v>
      </c>
      <c r="P827" s="15"/>
      <c r="Q827" s="483"/>
      <c r="S827" s="489"/>
      <c r="T827" s="113"/>
      <c r="U827" s="506"/>
      <c r="V827" s="494">
        <v>90</v>
      </c>
    </row>
    <row r="828" spans="1:22" s="7" customFormat="1" ht="15">
      <c r="A828" s="1"/>
      <c r="B828" s="12" t="s">
        <v>1858</v>
      </c>
      <c r="C828" s="6" t="s">
        <v>2029</v>
      </c>
      <c r="D828" s="15" t="s">
        <v>169</v>
      </c>
      <c r="E828" s="24" t="s">
        <v>536</v>
      </c>
      <c r="F828" s="150">
        <v>160</v>
      </c>
      <c r="G828" s="24" t="s">
        <v>114</v>
      </c>
      <c r="H828" s="67">
        <v>50</v>
      </c>
      <c r="I828" s="68">
        <v>2</v>
      </c>
      <c r="J828" s="8">
        <f>H828*I828</f>
        <v>100</v>
      </c>
      <c r="K828" s="25">
        <v>4.45</v>
      </c>
      <c r="L828" s="46">
        <f>K828*J828</f>
        <v>445</v>
      </c>
      <c r="M828" s="112"/>
      <c r="N828" s="39">
        <v>44496</v>
      </c>
      <c r="O828" s="38">
        <v>3577</v>
      </c>
      <c r="P828" s="46">
        <f>K828*(VLOOKUP(B828,$C$2:$F$6,3,FALSE))</f>
        <v>4.1829999999999998</v>
      </c>
      <c r="Q828" s="483">
        <v>4.18</v>
      </c>
      <c r="S828" s="532">
        <v>320</v>
      </c>
      <c r="T828" s="113">
        <f>S828*J828</f>
        <v>32000</v>
      </c>
      <c r="U828" s="501"/>
      <c r="V828" s="494">
        <v>90</v>
      </c>
    </row>
    <row r="829" spans="1:22" s="7" customFormat="1" ht="15">
      <c r="A829" s="1"/>
      <c r="B829" s="12" t="s">
        <v>1858</v>
      </c>
      <c r="C829" s="6" t="s">
        <v>2029</v>
      </c>
      <c r="D829" s="15" t="s">
        <v>169</v>
      </c>
      <c r="E829" s="24" t="s">
        <v>536</v>
      </c>
      <c r="F829" s="150">
        <v>160</v>
      </c>
      <c r="G829" s="24" t="s">
        <v>2030</v>
      </c>
      <c r="H829" s="67">
        <v>10</v>
      </c>
      <c r="I829" s="68">
        <v>1</v>
      </c>
      <c r="J829" s="8">
        <f>H829*I829</f>
        <v>10</v>
      </c>
      <c r="K829" s="25">
        <v>4.45</v>
      </c>
      <c r="L829" s="46">
        <f>K829*J829</f>
        <v>44.5</v>
      </c>
      <c r="M829" s="112"/>
      <c r="N829" s="39">
        <v>44496</v>
      </c>
      <c r="O829" s="38">
        <v>3577</v>
      </c>
      <c r="P829" s="46">
        <f>K829*(VLOOKUP(B829,$C$2:$F$6,3,FALSE))</f>
        <v>4.1829999999999998</v>
      </c>
      <c r="Q829" s="483">
        <v>4.18</v>
      </c>
      <c r="S829" s="532">
        <v>320</v>
      </c>
      <c r="T829" s="113">
        <f>S829*J829</f>
        <v>3200</v>
      </c>
      <c r="U829" s="501"/>
      <c r="V829" s="494">
        <v>90</v>
      </c>
    </row>
    <row r="830" spans="1:22" ht="15.95" customHeight="1">
      <c r="B830" s="28" t="s">
        <v>1862</v>
      </c>
      <c r="C830" s="6" t="s">
        <v>2029</v>
      </c>
      <c r="D830" s="15" t="s">
        <v>169</v>
      </c>
      <c r="E830" s="24"/>
      <c r="F830" s="138"/>
      <c r="G830" s="44" t="s">
        <v>75</v>
      </c>
      <c r="H830" s="8"/>
      <c r="I830" s="41"/>
      <c r="J830" s="45">
        <v>1</v>
      </c>
      <c r="K830" s="46">
        <v>12</v>
      </c>
      <c r="L830" s="46">
        <f>K830*J830</f>
        <v>12</v>
      </c>
      <c r="M830" s="112"/>
      <c r="N830" s="39">
        <v>44496</v>
      </c>
      <c r="O830" s="38">
        <v>3577</v>
      </c>
      <c r="P830" s="46">
        <f>K830*(VLOOKUP(B830,$C$2:$F$6,3,FALSE))</f>
        <v>12</v>
      </c>
      <c r="Q830" s="180">
        <v>12</v>
      </c>
      <c r="S830" s="498">
        <v>1000</v>
      </c>
      <c r="T830" s="568">
        <f>S830*J830</f>
        <v>1000</v>
      </c>
      <c r="U830" s="511"/>
      <c r="V830" s="494">
        <v>90</v>
      </c>
    </row>
    <row r="831" spans="1:22" s="7" customFormat="1" ht="15">
      <c r="A831" s="1"/>
      <c r="B831" s="12" t="s">
        <v>1858</v>
      </c>
      <c r="C831" s="6" t="s">
        <v>2046</v>
      </c>
      <c r="D831" s="15" t="s">
        <v>169</v>
      </c>
      <c r="E831" s="24" t="s">
        <v>536</v>
      </c>
      <c r="F831" s="150">
        <v>160</v>
      </c>
      <c r="G831" s="24" t="s">
        <v>2045</v>
      </c>
      <c r="H831" s="67">
        <v>50</v>
      </c>
      <c r="I831" s="68">
        <v>2</v>
      </c>
      <c r="J831" s="8">
        <f>H831*I831</f>
        <v>100</v>
      </c>
      <c r="K831" s="25">
        <v>4.45</v>
      </c>
      <c r="L831" s="46">
        <f>K831*J831</f>
        <v>445</v>
      </c>
      <c r="M831" s="112"/>
      <c r="N831" s="39">
        <v>44496</v>
      </c>
      <c r="O831" s="38">
        <v>3577</v>
      </c>
      <c r="P831" s="46">
        <f>K831*(VLOOKUP(B831,$C$2:$F$6,3,FALSE))</f>
        <v>4.1829999999999998</v>
      </c>
      <c r="Q831" s="483">
        <v>4.18</v>
      </c>
      <c r="S831" s="532">
        <v>320</v>
      </c>
      <c r="T831" s="113">
        <f>S831*J831</f>
        <v>32000</v>
      </c>
      <c r="U831" s="501"/>
      <c r="V831" s="494">
        <v>90</v>
      </c>
    </row>
    <row r="832" spans="1:22" ht="15.95" customHeight="1">
      <c r="B832" s="28" t="s">
        <v>1862</v>
      </c>
      <c r="C832" s="6" t="s">
        <v>2047</v>
      </c>
      <c r="D832" s="15" t="s">
        <v>169</v>
      </c>
      <c r="E832" s="24"/>
      <c r="F832" s="138"/>
      <c r="G832" s="44" t="s">
        <v>1993</v>
      </c>
      <c r="H832" s="8"/>
      <c r="I832" s="41"/>
      <c r="J832" s="45"/>
      <c r="K832" s="46">
        <v>20</v>
      </c>
      <c r="L832" s="46">
        <v>60</v>
      </c>
      <c r="M832" s="112"/>
      <c r="N832" s="39">
        <v>44496</v>
      </c>
      <c r="O832" s="38">
        <v>3577</v>
      </c>
      <c r="P832" s="46">
        <f>K832*(VLOOKUP(B832,$C$2:$F$6,3,FALSE))</f>
        <v>20</v>
      </c>
      <c r="Q832" s="180">
        <v>60</v>
      </c>
      <c r="S832" s="498">
        <v>1800</v>
      </c>
      <c r="T832" s="568">
        <v>5400</v>
      </c>
      <c r="U832" s="511"/>
      <c r="V832" s="494">
        <v>90</v>
      </c>
    </row>
    <row r="833" spans="1:22" s="314" customFormat="1" ht="15">
      <c r="A833" s="1"/>
      <c r="B833" s="313"/>
      <c r="C833" s="302" t="s">
        <v>2029</v>
      </c>
      <c r="D833" s="303" t="s">
        <v>169</v>
      </c>
      <c r="E833" s="304"/>
      <c r="F833" s="305"/>
      <c r="G833" s="305" t="s">
        <v>1227</v>
      </c>
      <c r="H833" s="307" t="s">
        <v>1228</v>
      </c>
      <c r="I833" s="308"/>
      <c r="J833" s="306"/>
      <c r="K833" s="315">
        <v>0</v>
      </c>
      <c r="L833" s="310"/>
      <c r="M833" s="310"/>
      <c r="N833" s="310">
        <v>44496</v>
      </c>
      <c r="O833" s="309">
        <v>3577</v>
      </c>
      <c r="P833" s="302"/>
      <c r="Q833" s="485">
        <v>0</v>
      </c>
      <c r="S833" s="535">
        <v>0</v>
      </c>
      <c r="T833" s="322">
        <v>0</v>
      </c>
      <c r="U833" s="515"/>
      <c r="V833" s="494">
        <v>90</v>
      </c>
    </row>
    <row r="834" spans="1:22" s="7" customFormat="1" ht="15" customHeight="1">
      <c r="A834" s="1"/>
      <c r="B834" s="12"/>
      <c r="C834" s="6" t="s">
        <v>2032</v>
      </c>
      <c r="D834" s="15" t="s">
        <v>958</v>
      </c>
      <c r="E834" s="20" t="s">
        <v>628</v>
      </c>
      <c r="F834" s="26"/>
      <c r="G834" s="24"/>
      <c r="H834" s="67"/>
      <c r="I834" s="68"/>
      <c r="J834" s="67"/>
      <c r="K834" s="17" t="s">
        <v>134</v>
      </c>
      <c r="L834" s="39"/>
      <c r="M834" s="39"/>
      <c r="N834" s="39">
        <v>44501</v>
      </c>
      <c r="O834" s="38">
        <v>3574</v>
      </c>
      <c r="P834" s="179" t="s">
        <v>23</v>
      </c>
      <c r="Q834" s="438" t="s">
        <v>959</v>
      </c>
      <c r="S834" s="489"/>
      <c r="T834" s="113"/>
      <c r="U834" s="510"/>
      <c r="V834" s="494">
        <v>90</v>
      </c>
    </row>
    <row r="835" spans="1:22" s="7" customFormat="1" ht="18" customHeight="1">
      <c r="A835" s="1"/>
      <c r="B835" s="12" t="s">
        <v>1856</v>
      </c>
      <c r="C835" s="6" t="s">
        <v>2032</v>
      </c>
      <c r="D835" s="15" t="s">
        <v>958</v>
      </c>
      <c r="E835" s="24">
        <v>5291</v>
      </c>
      <c r="F835" s="26">
        <v>8</v>
      </c>
      <c r="G835" s="24" t="s">
        <v>29</v>
      </c>
      <c r="H835" s="67">
        <v>50</v>
      </c>
      <c r="I835" s="68">
        <v>9</v>
      </c>
      <c r="J835" s="67">
        <f>H835*I835</f>
        <v>450</v>
      </c>
      <c r="K835" s="46">
        <v>0.63</v>
      </c>
      <c r="L835" s="46">
        <f>K835*J835</f>
        <v>283.5</v>
      </c>
      <c r="M835" s="112"/>
      <c r="N835" s="39">
        <v>44501</v>
      </c>
      <c r="O835" s="38">
        <v>3574</v>
      </c>
      <c r="P835" s="180">
        <v>0.4</v>
      </c>
      <c r="Q835" s="180">
        <v>0.4</v>
      </c>
      <c r="S835" s="489">
        <v>24</v>
      </c>
      <c r="T835" s="113">
        <f>S835*J835</f>
        <v>10800</v>
      </c>
      <c r="U835" s="511"/>
      <c r="V835" s="494">
        <v>90</v>
      </c>
    </row>
    <row r="836" spans="1:22" s="7" customFormat="1" ht="18" customHeight="1">
      <c r="A836" s="1"/>
      <c r="B836" s="12" t="s">
        <v>1856</v>
      </c>
      <c r="C836" s="6" t="s">
        <v>2033</v>
      </c>
      <c r="D836" s="15" t="s">
        <v>958</v>
      </c>
      <c r="E836" s="24">
        <v>5291</v>
      </c>
      <c r="F836" s="26">
        <v>8</v>
      </c>
      <c r="G836" s="24" t="s">
        <v>29</v>
      </c>
      <c r="H836" s="67">
        <v>50</v>
      </c>
      <c r="I836" s="68">
        <v>12</v>
      </c>
      <c r="J836" s="67">
        <f>H836*I836</f>
        <v>600</v>
      </c>
      <c r="K836" s="46">
        <v>0.63</v>
      </c>
      <c r="L836" s="46">
        <f>K836*J836</f>
        <v>378</v>
      </c>
      <c r="M836" s="112"/>
      <c r="N836" s="39">
        <v>44501</v>
      </c>
      <c r="O836" s="38">
        <v>3574</v>
      </c>
      <c r="P836" s="180">
        <v>0.4</v>
      </c>
      <c r="Q836" s="180">
        <v>0.4</v>
      </c>
      <c r="S836" s="489">
        <v>24</v>
      </c>
      <c r="T836" s="113">
        <f>S836*J836</f>
        <v>14400</v>
      </c>
      <c r="U836" s="511"/>
      <c r="V836" s="494">
        <v>90</v>
      </c>
    </row>
    <row r="837" spans="1:22" s="7" customFormat="1" ht="18" customHeight="1">
      <c r="A837" s="1"/>
      <c r="B837" s="12" t="s">
        <v>1856</v>
      </c>
      <c r="C837" s="6" t="s">
        <v>2034</v>
      </c>
      <c r="D837" s="15" t="s">
        <v>958</v>
      </c>
      <c r="E837" s="24">
        <v>5291</v>
      </c>
      <c r="F837" s="26">
        <v>8</v>
      </c>
      <c r="G837" s="24" t="s">
        <v>29</v>
      </c>
      <c r="H837" s="67">
        <v>50</v>
      </c>
      <c r="I837" s="68">
        <v>9</v>
      </c>
      <c r="J837" s="67">
        <f>H837*I837</f>
        <v>450</v>
      </c>
      <c r="K837" s="46">
        <v>0.63</v>
      </c>
      <c r="L837" s="46">
        <f>K837*J837</f>
        <v>283.5</v>
      </c>
      <c r="M837" s="112"/>
      <c r="N837" s="39">
        <v>44501</v>
      </c>
      <c r="O837" s="38">
        <v>3574</v>
      </c>
      <c r="P837" s="180">
        <v>0.4</v>
      </c>
      <c r="Q837" s="180">
        <v>0.4</v>
      </c>
      <c r="S837" s="489">
        <v>24</v>
      </c>
      <c r="T837" s="113">
        <f>S837*J837</f>
        <v>10800</v>
      </c>
      <c r="U837" s="511"/>
      <c r="V837" s="494">
        <v>90</v>
      </c>
    </row>
    <row r="838" spans="1:22" ht="15.95" customHeight="1">
      <c r="C838" s="6" t="s">
        <v>2034</v>
      </c>
      <c r="D838" s="15" t="s">
        <v>958</v>
      </c>
      <c r="E838" s="24"/>
      <c r="F838" s="138"/>
      <c r="G838" s="44" t="s">
        <v>1993</v>
      </c>
      <c r="H838" s="8"/>
      <c r="I838" s="41"/>
      <c r="J838" s="45">
        <v>1</v>
      </c>
      <c r="K838" s="46">
        <v>0</v>
      </c>
      <c r="L838" s="46">
        <f>K838*J838</f>
        <v>0</v>
      </c>
      <c r="M838" s="112"/>
      <c r="N838" s="39">
        <v>44501</v>
      </c>
      <c r="O838" s="38">
        <v>3574</v>
      </c>
      <c r="P838" s="179"/>
      <c r="Q838" s="180">
        <v>0</v>
      </c>
      <c r="S838" s="498">
        <v>0</v>
      </c>
      <c r="T838" s="568">
        <f>S838*J838</f>
        <v>0</v>
      </c>
      <c r="U838" s="511"/>
      <c r="V838" s="494">
        <v>90</v>
      </c>
    </row>
    <row r="839" spans="1:22" s="314" customFormat="1" ht="15" customHeight="1">
      <c r="A839" s="1"/>
      <c r="B839" s="313"/>
      <c r="C839" s="302" t="s">
        <v>2034</v>
      </c>
      <c r="D839" s="303" t="s">
        <v>958</v>
      </c>
      <c r="E839" s="304"/>
      <c r="F839" s="305"/>
      <c r="G839" s="305" t="s">
        <v>1227</v>
      </c>
      <c r="H839" s="410"/>
      <c r="I839" s="308"/>
      <c r="J839" s="410">
        <v>1500</v>
      </c>
      <c r="K839" s="315">
        <v>0.18</v>
      </c>
      <c r="L839" s="315">
        <f>K839*J839</f>
        <v>270</v>
      </c>
      <c r="M839" s="784"/>
      <c r="N839" s="310">
        <v>44501</v>
      </c>
      <c r="O839" s="309">
        <v>3574</v>
      </c>
      <c r="P839" s="302"/>
      <c r="Q839" s="485">
        <v>270</v>
      </c>
      <c r="S839" s="537">
        <v>18452</v>
      </c>
      <c r="T839" s="348">
        <v>18452</v>
      </c>
      <c r="U839" s="515"/>
      <c r="V839" s="494">
        <v>90</v>
      </c>
    </row>
    <row r="840" spans="1:22" ht="15">
      <c r="C840" s="6" t="s">
        <v>2035</v>
      </c>
      <c r="D840" s="15" t="s">
        <v>2036</v>
      </c>
      <c r="E840" s="20" t="s">
        <v>325</v>
      </c>
      <c r="F840" s="26"/>
      <c r="G840" s="24"/>
      <c r="H840" s="16"/>
      <c r="I840" s="68"/>
      <c r="J840" s="67"/>
      <c r="K840" s="17" t="s">
        <v>134</v>
      </c>
      <c r="L840" s="39"/>
      <c r="M840" s="39"/>
      <c r="N840" s="39">
        <v>44491</v>
      </c>
      <c r="O840" s="38">
        <v>3586</v>
      </c>
      <c r="P840" s="6" t="s">
        <v>23</v>
      </c>
      <c r="Q840" s="481"/>
      <c r="S840" s="489"/>
      <c r="T840" s="113"/>
      <c r="U840" s="500"/>
      <c r="V840" s="494">
        <v>90</v>
      </c>
    </row>
    <row r="841" spans="1:22" ht="15">
      <c r="B841" s="28" t="s">
        <v>1856</v>
      </c>
      <c r="C841" s="6" t="s">
        <v>2035</v>
      </c>
      <c r="D841" s="15" t="s">
        <v>2036</v>
      </c>
      <c r="E841" s="24">
        <v>4141</v>
      </c>
      <c r="F841" s="26">
        <v>9</v>
      </c>
      <c r="G841" s="24" t="s">
        <v>2037</v>
      </c>
      <c r="H841" s="67">
        <v>20</v>
      </c>
      <c r="I841" s="68">
        <v>1</v>
      </c>
      <c r="J841" s="67">
        <f>H841*I841</f>
        <v>20</v>
      </c>
      <c r="K841" s="25">
        <v>1.42</v>
      </c>
      <c r="L841" s="46">
        <f>K841*J841</f>
        <v>28.4</v>
      </c>
      <c r="M841" s="112"/>
      <c r="N841" s="39">
        <v>44491</v>
      </c>
      <c r="O841" s="38">
        <v>3586</v>
      </c>
      <c r="P841" s="46">
        <f>K841*(VLOOKUP(B841,$C$2:$F$6,3,FALSE))</f>
        <v>1.2496</v>
      </c>
      <c r="Q841" s="482">
        <v>1.25</v>
      </c>
      <c r="S841" s="489">
        <v>76</v>
      </c>
      <c r="T841" s="567">
        <f>S841*J841</f>
        <v>1520</v>
      </c>
      <c r="U841" s="503" t="s">
        <v>2039</v>
      </c>
      <c r="V841" s="494">
        <v>90</v>
      </c>
    </row>
    <row r="842" spans="1:22" s="7" customFormat="1" ht="15">
      <c r="A842" s="1"/>
      <c r="B842" s="12" t="s">
        <v>1856</v>
      </c>
      <c r="C842" s="6" t="s">
        <v>2035</v>
      </c>
      <c r="D842" s="15" t="s">
        <v>2036</v>
      </c>
      <c r="E842" s="24">
        <v>4141</v>
      </c>
      <c r="F842" s="26">
        <v>9</v>
      </c>
      <c r="G842" s="24" t="s">
        <v>2038</v>
      </c>
      <c r="H842" s="67">
        <v>20</v>
      </c>
      <c r="I842" s="68">
        <v>1</v>
      </c>
      <c r="J842" s="67">
        <f>H842*I842</f>
        <v>20</v>
      </c>
      <c r="K842" s="25">
        <v>1.42</v>
      </c>
      <c r="L842" s="46">
        <f>K842*J842</f>
        <v>28.4</v>
      </c>
      <c r="M842" s="112"/>
      <c r="N842" s="39">
        <v>44491</v>
      </c>
      <c r="O842" s="38">
        <v>3586</v>
      </c>
      <c r="P842" s="46">
        <f>K842*(VLOOKUP(B842,$C$2:$F$6,3,FALSE))</f>
        <v>1.2496</v>
      </c>
      <c r="Q842" s="482">
        <v>1.25</v>
      </c>
      <c r="S842" s="489">
        <v>76</v>
      </c>
      <c r="T842" s="567">
        <f>S842*J842</f>
        <v>1520</v>
      </c>
      <c r="U842" s="503" t="s">
        <v>2039</v>
      </c>
      <c r="V842" s="494">
        <v>90</v>
      </c>
    </row>
    <row r="843" spans="1:22" s="218" customFormat="1" ht="15">
      <c r="A843" s="1"/>
      <c r="B843" s="541"/>
      <c r="C843" s="6" t="s">
        <v>2035</v>
      </c>
      <c r="D843" s="15" t="s">
        <v>2036</v>
      </c>
      <c r="E843" s="24"/>
      <c r="F843" s="26"/>
      <c r="G843" s="44" t="s">
        <v>1993</v>
      </c>
      <c r="H843" s="36"/>
      <c r="I843" s="41"/>
      <c r="J843" s="45">
        <v>1</v>
      </c>
      <c r="K843" s="46">
        <v>12</v>
      </c>
      <c r="L843" s="46">
        <f>K843*J843</f>
        <v>12</v>
      </c>
      <c r="M843" s="112"/>
      <c r="N843" s="39">
        <v>44491</v>
      </c>
      <c r="O843" s="38">
        <v>3586</v>
      </c>
      <c r="P843" s="216"/>
      <c r="Q843" s="483">
        <v>12</v>
      </c>
      <c r="S843" s="489">
        <v>0</v>
      </c>
      <c r="T843" s="567">
        <f>S843*J843</f>
        <v>0</v>
      </c>
      <c r="U843" s="504"/>
      <c r="V843" s="494">
        <v>90</v>
      </c>
    </row>
    <row r="844" spans="1:22" s="314" customFormat="1" ht="15">
      <c r="A844" s="1"/>
      <c r="B844" s="313"/>
      <c r="C844" s="302" t="s">
        <v>2035</v>
      </c>
      <c r="D844" s="303" t="s">
        <v>2036</v>
      </c>
      <c r="E844" s="304"/>
      <c r="F844" s="305"/>
      <c r="G844" s="305" t="s">
        <v>1227</v>
      </c>
      <c r="H844" s="307" t="s">
        <v>1228</v>
      </c>
      <c r="I844" s="308"/>
      <c r="J844" s="306"/>
      <c r="K844" s="315">
        <v>0</v>
      </c>
      <c r="L844" s="310"/>
      <c r="M844" s="310"/>
      <c r="N844" s="310">
        <v>44491</v>
      </c>
      <c r="O844" s="309">
        <v>3586</v>
      </c>
      <c r="P844" s="302"/>
      <c r="Q844" s="485">
        <v>0</v>
      </c>
      <c r="S844" s="536">
        <v>0</v>
      </c>
      <c r="T844" s="322">
        <v>0</v>
      </c>
      <c r="U844" s="515"/>
      <c r="V844" s="494">
        <v>90</v>
      </c>
    </row>
    <row r="845" spans="1:22" s="7" customFormat="1" ht="18" customHeight="1">
      <c r="A845" s="1"/>
      <c r="B845" s="12"/>
      <c r="C845" s="6" t="s">
        <v>2048</v>
      </c>
      <c r="D845" s="15" t="s">
        <v>722</v>
      </c>
      <c r="E845" s="20" t="s">
        <v>1647</v>
      </c>
      <c r="F845" s="150"/>
      <c r="G845" s="24"/>
      <c r="H845" s="151"/>
      <c r="I845" s="152"/>
      <c r="J845" s="151"/>
      <c r="K845" s="34" t="s">
        <v>10</v>
      </c>
      <c r="L845" s="39"/>
      <c r="M845" s="39"/>
      <c r="N845" s="39">
        <v>44501</v>
      </c>
      <c r="O845" s="38">
        <v>3616</v>
      </c>
      <c r="P845" s="15"/>
      <c r="Q845" s="483"/>
      <c r="S845" s="489"/>
      <c r="T845" s="113"/>
      <c r="U845" s="506"/>
      <c r="V845" s="494">
        <v>90</v>
      </c>
    </row>
    <row r="846" spans="1:22" s="7" customFormat="1" ht="15" customHeight="1">
      <c r="A846" s="1"/>
      <c r="B846" s="12" t="s">
        <v>1858</v>
      </c>
      <c r="C846" s="6" t="s">
        <v>2048</v>
      </c>
      <c r="D846" s="15" t="s">
        <v>722</v>
      </c>
      <c r="E846" s="24" t="s">
        <v>2049</v>
      </c>
      <c r="F846" s="150">
        <v>152</v>
      </c>
      <c r="G846" s="24" t="s">
        <v>1079</v>
      </c>
      <c r="H846" s="67">
        <v>52</v>
      </c>
      <c r="I846" s="68">
        <v>1</v>
      </c>
      <c r="J846" s="67">
        <f>H846*I846</f>
        <v>52</v>
      </c>
      <c r="K846" s="25">
        <v>5.57</v>
      </c>
      <c r="L846" s="46">
        <f t="shared" ref="L846:L851" si="24">K846*J846</f>
        <v>289.64</v>
      </c>
      <c r="M846" s="112"/>
      <c r="N846" s="39">
        <v>44501</v>
      </c>
      <c r="O846" s="38">
        <v>3616</v>
      </c>
      <c r="P846" s="46">
        <v>4.45</v>
      </c>
      <c r="Q846" s="483">
        <v>4.45</v>
      </c>
      <c r="S846" s="489">
        <v>320</v>
      </c>
      <c r="T846" s="567">
        <f>S846*J846</f>
        <v>16640</v>
      </c>
      <c r="U846" s="521" t="s">
        <v>1441</v>
      </c>
      <c r="V846" s="494">
        <v>90</v>
      </c>
    </row>
    <row r="847" spans="1:22" s="7" customFormat="1" ht="15" customHeight="1">
      <c r="A847" s="1"/>
      <c r="B847" s="12" t="s">
        <v>1858</v>
      </c>
      <c r="C847" s="6" t="s">
        <v>2048</v>
      </c>
      <c r="D847" s="15" t="s">
        <v>722</v>
      </c>
      <c r="E847" s="24" t="s">
        <v>2049</v>
      </c>
      <c r="F847" s="150">
        <v>152</v>
      </c>
      <c r="G847" s="24" t="s">
        <v>1079</v>
      </c>
      <c r="H847" s="67">
        <v>54</v>
      </c>
      <c r="I847" s="68">
        <v>2</v>
      </c>
      <c r="J847" s="67">
        <f>H847*I847</f>
        <v>108</v>
      </c>
      <c r="K847" s="25">
        <v>5.57</v>
      </c>
      <c r="L847" s="46">
        <f t="shared" si="24"/>
        <v>601.56000000000006</v>
      </c>
      <c r="M847" s="112"/>
      <c r="N847" s="39">
        <v>44501</v>
      </c>
      <c r="O847" s="38">
        <v>3616</v>
      </c>
      <c r="P847" s="46">
        <v>4.45</v>
      </c>
      <c r="Q847" s="483">
        <v>4.45</v>
      </c>
      <c r="S847" s="489">
        <v>320</v>
      </c>
      <c r="T847" s="567">
        <f>S847*J847</f>
        <v>34560</v>
      </c>
      <c r="U847" s="521" t="s">
        <v>1441</v>
      </c>
      <c r="V847" s="494">
        <v>90</v>
      </c>
    </row>
    <row r="848" spans="1:22" s="7" customFormat="1" ht="15" customHeight="1">
      <c r="A848" s="1"/>
      <c r="B848" s="12" t="s">
        <v>1858</v>
      </c>
      <c r="C848" s="6" t="s">
        <v>2048</v>
      </c>
      <c r="D848" s="15" t="s">
        <v>722</v>
      </c>
      <c r="E848" s="24" t="s">
        <v>2049</v>
      </c>
      <c r="F848" s="150">
        <v>152</v>
      </c>
      <c r="G848" s="24" t="s">
        <v>1079</v>
      </c>
      <c r="H848" s="67">
        <v>58</v>
      </c>
      <c r="I848" s="68">
        <v>4</v>
      </c>
      <c r="J848" s="67">
        <f>H848*I848</f>
        <v>232</v>
      </c>
      <c r="K848" s="25">
        <v>5.57</v>
      </c>
      <c r="L848" s="46">
        <f t="shared" si="24"/>
        <v>1292.24</v>
      </c>
      <c r="M848" s="112"/>
      <c r="N848" s="39">
        <v>44501</v>
      </c>
      <c r="O848" s="38">
        <v>3616</v>
      </c>
      <c r="P848" s="46">
        <v>4.45</v>
      </c>
      <c r="Q848" s="483">
        <v>4.45</v>
      </c>
      <c r="S848" s="489">
        <v>320</v>
      </c>
      <c r="T848" s="567">
        <f>S848*J848</f>
        <v>74240</v>
      </c>
      <c r="U848" s="521" t="s">
        <v>1441</v>
      </c>
      <c r="V848" s="494">
        <v>90</v>
      </c>
    </row>
    <row r="849" spans="1:22" s="7" customFormat="1" ht="15" customHeight="1">
      <c r="A849" s="1"/>
      <c r="B849" s="12" t="s">
        <v>1858</v>
      </c>
      <c r="C849" s="6" t="s">
        <v>2048</v>
      </c>
      <c r="D849" s="15" t="s">
        <v>722</v>
      </c>
      <c r="E849" s="24" t="s">
        <v>2049</v>
      </c>
      <c r="F849" s="150">
        <v>152</v>
      </c>
      <c r="G849" s="24" t="s">
        <v>1078</v>
      </c>
      <c r="H849" s="8">
        <v>58</v>
      </c>
      <c r="I849" s="41">
        <v>4</v>
      </c>
      <c r="J849" s="8">
        <f>H849*I849</f>
        <v>232</v>
      </c>
      <c r="K849" s="25">
        <v>5.57</v>
      </c>
      <c r="L849" s="46">
        <f t="shared" si="24"/>
        <v>1292.24</v>
      </c>
      <c r="M849" s="112"/>
      <c r="N849" s="39">
        <v>44501</v>
      </c>
      <c r="O849" s="38">
        <v>3616</v>
      </c>
      <c r="P849" s="46">
        <v>4.45</v>
      </c>
      <c r="Q849" s="483">
        <v>4.45</v>
      </c>
      <c r="S849" s="489">
        <v>320</v>
      </c>
      <c r="T849" s="567">
        <f>S849*J849</f>
        <v>74240</v>
      </c>
      <c r="U849" s="521" t="s">
        <v>1441</v>
      </c>
      <c r="V849" s="494">
        <v>90</v>
      </c>
    </row>
    <row r="850" spans="1:22" s="7" customFormat="1" ht="15" customHeight="1">
      <c r="A850" s="1"/>
      <c r="B850" s="12" t="s">
        <v>1862</v>
      </c>
      <c r="C850" s="6" t="s">
        <v>2048</v>
      </c>
      <c r="D850" s="15" t="s">
        <v>722</v>
      </c>
      <c r="E850" s="56"/>
      <c r="F850" s="138"/>
      <c r="G850" s="24" t="s">
        <v>31</v>
      </c>
      <c r="H850" s="45"/>
      <c r="I850" s="41"/>
      <c r="J850" s="45">
        <v>1</v>
      </c>
      <c r="K850" s="46">
        <v>20</v>
      </c>
      <c r="L850" s="46">
        <f t="shared" si="24"/>
        <v>20</v>
      </c>
      <c r="M850" s="112"/>
      <c r="N850" s="39">
        <v>44501</v>
      </c>
      <c r="O850" s="38">
        <v>3616</v>
      </c>
      <c r="P850" s="46">
        <f>K850*(VLOOKUP(B850,$C$2:$F$6,3,FALSE))</f>
        <v>20</v>
      </c>
      <c r="Q850" s="483">
        <v>20</v>
      </c>
      <c r="S850" s="489">
        <v>1800</v>
      </c>
      <c r="T850" s="567">
        <f>S850*J850</f>
        <v>1800</v>
      </c>
      <c r="U850" s="501"/>
      <c r="V850" s="494">
        <v>90</v>
      </c>
    </row>
    <row r="851" spans="1:22" s="7" customFormat="1" ht="18" customHeight="1">
      <c r="A851" s="1"/>
      <c r="B851" s="12" t="s">
        <v>1862</v>
      </c>
      <c r="C851" s="6" t="s">
        <v>2048</v>
      </c>
      <c r="D851" s="15" t="s">
        <v>722</v>
      </c>
      <c r="E851" s="377"/>
      <c r="F851" s="44"/>
      <c r="G851" s="44" t="s">
        <v>195</v>
      </c>
      <c r="H851" s="8"/>
      <c r="I851" s="8"/>
      <c r="J851" s="67">
        <v>624</v>
      </c>
      <c r="K851" s="46">
        <v>0.06</v>
      </c>
      <c r="L851" s="46">
        <f t="shared" si="24"/>
        <v>37.44</v>
      </c>
      <c r="M851" s="112"/>
      <c r="N851" s="39">
        <v>44501</v>
      </c>
      <c r="O851" s="38">
        <v>3616</v>
      </c>
      <c r="P851" s="46">
        <f>K851*(VLOOKUP(B851,$C$2:$F$6,3,FALSE))</f>
        <v>0.06</v>
      </c>
      <c r="Q851" s="483">
        <f>P851*J851</f>
        <v>37.44</v>
      </c>
      <c r="S851" s="536">
        <v>3000</v>
      </c>
      <c r="T851" s="567">
        <v>3000</v>
      </c>
      <c r="U851" s="507"/>
      <c r="V851" s="494">
        <v>90</v>
      </c>
    </row>
    <row r="852" spans="1:22" s="378" customFormat="1" ht="15" customHeight="1">
      <c r="A852" s="1"/>
      <c r="B852" s="312"/>
      <c r="C852" s="302" t="s">
        <v>2048</v>
      </c>
      <c r="D852" s="303" t="s">
        <v>722</v>
      </c>
      <c r="E852" s="304"/>
      <c r="F852" s="305"/>
      <c r="G852" s="305" t="s">
        <v>1227</v>
      </c>
      <c r="H852" s="307" t="s">
        <v>1442</v>
      </c>
      <c r="I852" s="308"/>
      <c r="J852" s="306">
        <v>624</v>
      </c>
      <c r="K852" s="329">
        <v>466.72</v>
      </c>
      <c r="L852" s="310"/>
      <c r="M852" s="310"/>
      <c r="N852" s="310">
        <v>44501</v>
      </c>
      <c r="O852" s="309">
        <v>3616</v>
      </c>
      <c r="P852" s="302"/>
      <c r="Q852" s="527">
        <v>466.72</v>
      </c>
      <c r="S852" s="537">
        <v>18771</v>
      </c>
      <c r="T852" s="348">
        <v>18771</v>
      </c>
      <c r="U852" s="515"/>
      <c r="V852" s="494">
        <v>90</v>
      </c>
    </row>
    <row r="853" spans="1:22" s="7" customFormat="1" ht="15" customHeight="1">
      <c r="A853" s="1"/>
      <c r="B853" s="12" t="s">
        <v>1858</v>
      </c>
      <c r="C853" s="6" t="s">
        <v>2048</v>
      </c>
      <c r="D853" s="15" t="s">
        <v>722</v>
      </c>
      <c r="E853" s="24" t="s">
        <v>2049</v>
      </c>
      <c r="F853" s="150">
        <v>152</v>
      </c>
      <c r="G853" s="24" t="s">
        <v>1078</v>
      </c>
      <c r="H853" s="67">
        <v>58</v>
      </c>
      <c r="I853" s="68">
        <v>2</v>
      </c>
      <c r="J853" s="67">
        <f t="shared" ref="J853:J859" si="25">H853*I853</f>
        <v>116</v>
      </c>
      <c r="K853" s="25">
        <v>5.57</v>
      </c>
      <c r="L853" s="46">
        <f t="shared" ref="L853:L861" si="26">K853*J853</f>
        <v>646.12</v>
      </c>
      <c r="M853" s="112"/>
      <c r="N853" s="39">
        <v>44531</v>
      </c>
      <c r="O853" s="38">
        <v>3712</v>
      </c>
      <c r="P853" s="46">
        <v>4.45</v>
      </c>
      <c r="Q853" s="483">
        <v>4.45</v>
      </c>
      <c r="S853" s="489">
        <v>320</v>
      </c>
      <c r="T853" s="567">
        <f t="shared" ref="T853:T859" si="27">S853*J853</f>
        <v>37120</v>
      </c>
      <c r="U853" s="521" t="s">
        <v>1441</v>
      </c>
      <c r="V853" s="494">
        <v>90</v>
      </c>
    </row>
    <row r="854" spans="1:22" s="7" customFormat="1" ht="15" customHeight="1">
      <c r="A854" s="1"/>
      <c r="B854" s="12" t="s">
        <v>1858</v>
      </c>
      <c r="C854" s="6" t="s">
        <v>2048</v>
      </c>
      <c r="D854" s="15" t="s">
        <v>722</v>
      </c>
      <c r="E854" s="24" t="s">
        <v>2049</v>
      </c>
      <c r="F854" s="150">
        <v>152</v>
      </c>
      <c r="G854" s="47" t="s">
        <v>2050</v>
      </c>
      <c r="H854" s="67">
        <v>48</v>
      </c>
      <c r="I854" s="68">
        <v>1</v>
      </c>
      <c r="J854" s="67">
        <f t="shared" si="25"/>
        <v>48</v>
      </c>
      <c r="K854" s="25">
        <v>5.57</v>
      </c>
      <c r="L854" s="46">
        <f t="shared" si="26"/>
        <v>267.36</v>
      </c>
      <c r="M854" s="112"/>
      <c r="N854" s="39">
        <v>44531</v>
      </c>
      <c r="O854" s="38">
        <v>3712</v>
      </c>
      <c r="P854" s="46">
        <v>4.45</v>
      </c>
      <c r="Q854" s="483">
        <v>4.45</v>
      </c>
      <c r="S854" s="489">
        <v>270</v>
      </c>
      <c r="T854" s="567">
        <f t="shared" si="27"/>
        <v>12960</v>
      </c>
      <c r="U854" s="521" t="s">
        <v>1441</v>
      </c>
      <c r="V854" s="494">
        <v>90</v>
      </c>
    </row>
    <row r="855" spans="1:22" s="7" customFormat="1" ht="15" customHeight="1">
      <c r="A855" s="1"/>
      <c r="B855" s="12" t="s">
        <v>1858</v>
      </c>
      <c r="C855" s="6" t="s">
        <v>2048</v>
      </c>
      <c r="D855" s="15" t="s">
        <v>722</v>
      </c>
      <c r="E855" s="24" t="s">
        <v>2049</v>
      </c>
      <c r="F855" s="150">
        <v>152</v>
      </c>
      <c r="G855" s="47" t="s">
        <v>2050</v>
      </c>
      <c r="H855" s="67">
        <v>51</v>
      </c>
      <c r="I855" s="68">
        <v>1</v>
      </c>
      <c r="J855" s="67">
        <f t="shared" si="25"/>
        <v>51</v>
      </c>
      <c r="K855" s="25">
        <v>5.57</v>
      </c>
      <c r="L855" s="46">
        <f t="shared" si="26"/>
        <v>284.07</v>
      </c>
      <c r="M855" s="112"/>
      <c r="N855" s="39">
        <v>44531</v>
      </c>
      <c r="O855" s="38">
        <v>3712</v>
      </c>
      <c r="P855" s="46">
        <v>4.45</v>
      </c>
      <c r="Q855" s="483">
        <v>4.45</v>
      </c>
      <c r="S855" s="489">
        <v>270</v>
      </c>
      <c r="T855" s="567">
        <f t="shared" si="27"/>
        <v>13770</v>
      </c>
      <c r="U855" s="521" t="s">
        <v>1441</v>
      </c>
      <c r="V855" s="494">
        <v>90</v>
      </c>
    </row>
    <row r="856" spans="1:22" s="7" customFormat="1" ht="15" customHeight="1">
      <c r="A856" s="1"/>
      <c r="B856" s="12" t="s">
        <v>1858</v>
      </c>
      <c r="C856" s="6" t="s">
        <v>2048</v>
      </c>
      <c r="D856" s="15" t="s">
        <v>722</v>
      </c>
      <c r="E856" s="24" t="s">
        <v>2049</v>
      </c>
      <c r="F856" s="150">
        <v>152</v>
      </c>
      <c r="G856" s="47" t="s">
        <v>2050</v>
      </c>
      <c r="H856" s="67">
        <v>55</v>
      </c>
      <c r="I856" s="68">
        <v>1</v>
      </c>
      <c r="J856" s="67">
        <f t="shared" si="25"/>
        <v>55</v>
      </c>
      <c r="K856" s="25">
        <v>5.57</v>
      </c>
      <c r="L856" s="46">
        <f t="shared" si="26"/>
        <v>306.35000000000002</v>
      </c>
      <c r="M856" s="112"/>
      <c r="N856" s="39">
        <v>44531</v>
      </c>
      <c r="O856" s="38">
        <v>3712</v>
      </c>
      <c r="P856" s="46">
        <v>4.45</v>
      </c>
      <c r="Q856" s="483">
        <v>4.45</v>
      </c>
      <c r="S856" s="489">
        <v>270</v>
      </c>
      <c r="T856" s="567">
        <f t="shared" si="27"/>
        <v>14850</v>
      </c>
      <c r="U856" s="521" t="s">
        <v>1441</v>
      </c>
      <c r="V856" s="494">
        <v>90</v>
      </c>
    </row>
    <row r="857" spans="1:22" s="7" customFormat="1" ht="15" customHeight="1">
      <c r="A857" s="1"/>
      <c r="B857" s="12" t="s">
        <v>1858</v>
      </c>
      <c r="C857" s="6" t="s">
        <v>2048</v>
      </c>
      <c r="D857" s="15" t="s">
        <v>722</v>
      </c>
      <c r="E857" s="24" t="s">
        <v>2049</v>
      </c>
      <c r="F857" s="150">
        <v>152</v>
      </c>
      <c r="G857" s="47" t="s">
        <v>2050</v>
      </c>
      <c r="H857" s="67">
        <v>56</v>
      </c>
      <c r="I857" s="68">
        <v>1</v>
      </c>
      <c r="J857" s="67">
        <f t="shared" si="25"/>
        <v>56</v>
      </c>
      <c r="K857" s="25">
        <v>5.57</v>
      </c>
      <c r="L857" s="46">
        <f t="shared" si="26"/>
        <v>311.92</v>
      </c>
      <c r="M857" s="112"/>
      <c r="N857" s="39">
        <v>44531</v>
      </c>
      <c r="O857" s="38">
        <v>3712</v>
      </c>
      <c r="P857" s="46">
        <v>4.45</v>
      </c>
      <c r="Q857" s="483">
        <v>4.45</v>
      </c>
      <c r="S857" s="489">
        <v>270</v>
      </c>
      <c r="T857" s="567">
        <f t="shared" si="27"/>
        <v>15120</v>
      </c>
      <c r="U857" s="521" t="s">
        <v>1441</v>
      </c>
      <c r="V857" s="494">
        <v>90</v>
      </c>
    </row>
    <row r="858" spans="1:22" s="7" customFormat="1" ht="15" customHeight="1">
      <c r="A858" s="1"/>
      <c r="B858" s="12" t="s">
        <v>1858</v>
      </c>
      <c r="C858" s="6" t="s">
        <v>2048</v>
      </c>
      <c r="D858" s="15" t="s">
        <v>722</v>
      </c>
      <c r="E858" s="24" t="s">
        <v>2049</v>
      </c>
      <c r="F858" s="150">
        <v>152</v>
      </c>
      <c r="G858" s="47" t="s">
        <v>2050</v>
      </c>
      <c r="H858" s="67">
        <v>58</v>
      </c>
      <c r="I858" s="68">
        <v>5</v>
      </c>
      <c r="J858" s="67">
        <f t="shared" si="25"/>
        <v>290</v>
      </c>
      <c r="K858" s="25">
        <v>5.57</v>
      </c>
      <c r="L858" s="46">
        <f t="shared" si="26"/>
        <v>1615.3000000000002</v>
      </c>
      <c r="M858" s="112"/>
      <c r="N858" s="39">
        <v>44531</v>
      </c>
      <c r="O858" s="38">
        <v>3712</v>
      </c>
      <c r="P858" s="46">
        <v>4.45</v>
      </c>
      <c r="Q858" s="483">
        <v>4.45</v>
      </c>
      <c r="S858" s="489">
        <v>270</v>
      </c>
      <c r="T858" s="567">
        <f t="shared" si="27"/>
        <v>78300</v>
      </c>
      <c r="U858" s="521" t="s">
        <v>1441</v>
      </c>
      <c r="V858" s="494">
        <v>90</v>
      </c>
    </row>
    <row r="859" spans="1:22" s="7" customFormat="1" ht="15" customHeight="1">
      <c r="A859" s="1"/>
      <c r="B859" s="12" t="s">
        <v>1858</v>
      </c>
      <c r="C859" s="6" t="s">
        <v>2048</v>
      </c>
      <c r="D859" s="15" t="s">
        <v>722</v>
      </c>
      <c r="E859" s="24" t="s">
        <v>2049</v>
      </c>
      <c r="F859" s="150">
        <v>152</v>
      </c>
      <c r="G859" s="47" t="s">
        <v>2050</v>
      </c>
      <c r="H859" s="67">
        <v>59</v>
      </c>
      <c r="I859" s="68">
        <v>1</v>
      </c>
      <c r="J859" s="67">
        <f t="shared" si="25"/>
        <v>59</v>
      </c>
      <c r="K859" s="25">
        <v>5.57</v>
      </c>
      <c r="L859" s="46">
        <f t="shared" si="26"/>
        <v>328.63</v>
      </c>
      <c r="M859" s="112"/>
      <c r="N859" s="39">
        <v>44531</v>
      </c>
      <c r="O859" s="38">
        <v>3712</v>
      </c>
      <c r="P859" s="46">
        <v>4.45</v>
      </c>
      <c r="Q859" s="483">
        <v>4.45</v>
      </c>
      <c r="S859" s="489">
        <v>270</v>
      </c>
      <c r="T859" s="567">
        <f t="shared" si="27"/>
        <v>15930</v>
      </c>
      <c r="U859" s="521" t="s">
        <v>1441</v>
      </c>
      <c r="V859" s="494">
        <v>90</v>
      </c>
    </row>
    <row r="860" spans="1:22" s="7" customFormat="1" ht="15" customHeight="1">
      <c r="A860" s="1"/>
      <c r="B860" s="12" t="s">
        <v>1862</v>
      </c>
      <c r="C860" s="6" t="s">
        <v>2048</v>
      </c>
      <c r="D860" s="15" t="s">
        <v>722</v>
      </c>
      <c r="E860" s="56"/>
      <c r="F860" s="138"/>
      <c r="G860" s="24" t="s">
        <v>31</v>
      </c>
      <c r="H860" s="45"/>
      <c r="I860" s="41"/>
      <c r="J860" s="45">
        <v>1</v>
      </c>
      <c r="K860" s="46">
        <v>20</v>
      </c>
      <c r="L860" s="46">
        <f t="shared" si="26"/>
        <v>20</v>
      </c>
      <c r="M860" s="112"/>
      <c r="N860" s="39">
        <v>44531</v>
      </c>
      <c r="O860" s="38">
        <v>3712</v>
      </c>
      <c r="P860" s="46">
        <f>K860*(VLOOKUP(B860,$C$2:$F$6,3,FALSE))</f>
        <v>20</v>
      </c>
      <c r="Q860" s="483">
        <v>20</v>
      </c>
      <c r="S860" s="489">
        <v>1800</v>
      </c>
      <c r="T860" s="113">
        <v>1800</v>
      </c>
      <c r="U860" s="501"/>
      <c r="V860" s="494">
        <v>90</v>
      </c>
    </row>
    <row r="861" spans="1:22" s="7" customFormat="1" ht="18" customHeight="1">
      <c r="A861" s="1"/>
      <c r="B861" s="12" t="s">
        <v>1862</v>
      </c>
      <c r="C861" s="6" t="s">
        <v>2048</v>
      </c>
      <c r="D861" s="15" t="s">
        <v>722</v>
      </c>
      <c r="E861" s="377"/>
      <c r="F861" s="44"/>
      <c r="G861" s="44" t="s">
        <v>195</v>
      </c>
      <c r="H861" s="8"/>
      <c r="I861" s="8"/>
      <c r="J861" s="67">
        <v>675</v>
      </c>
      <c r="K861" s="46">
        <v>0.05</v>
      </c>
      <c r="L861" s="46">
        <f t="shared" si="26"/>
        <v>33.75</v>
      </c>
      <c r="M861" s="112"/>
      <c r="N861" s="39">
        <v>44531</v>
      </c>
      <c r="O861" s="38">
        <v>3712</v>
      </c>
      <c r="P861" s="46">
        <f>K861*(VLOOKUP(B861,$C$2:$F$6,3,FALSE))</f>
        <v>0.05</v>
      </c>
      <c r="Q861" s="483">
        <v>33.75</v>
      </c>
      <c r="S861" s="536">
        <v>3000</v>
      </c>
      <c r="T861" s="321">
        <v>3000</v>
      </c>
      <c r="U861" s="507"/>
      <c r="V861" s="494">
        <v>90</v>
      </c>
    </row>
    <row r="862" spans="1:22" s="378" customFormat="1" ht="15" customHeight="1">
      <c r="A862" s="1"/>
      <c r="B862" s="312"/>
      <c r="C862" s="302" t="s">
        <v>2048</v>
      </c>
      <c r="D862" s="303" t="s">
        <v>722</v>
      </c>
      <c r="E862" s="304"/>
      <c r="F862" s="305"/>
      <c r="G862" s="305" t="s">
        <v>1227</v>
      </c>
      <c r="H862" s="307" t="s">
        <v>1442</v>
      </c>
      <c r="I862" s="308"/>
      <c r="J862" s="306"/>
      <c r="K862" s="329">
        <v>513.25</v>
      </c>
      <c r="L862" s="310"/>
      <c r="M862" s="310"/>
      <c r="N862" s="310">
        <v>44531</v>
      </c>
      <c r="O862" s="309">
        <v>3712</v>
      </c>
      <c r="P862" s="302"/>
      <c r="Q862" s="527">
        <v>513.25</v>
      </c>
      <c r="S862" s="537">
        <v>19286</v>
      </c>
      <c r="T862" s="348">
        <v>19286</v>
      </c>
      <c r="U862" s="515"/>
      <c r="V862" s="494">
        <v>90</v>
      </c>
    </row>
    <row r="863" spans="1:22" s="7" customFormat="1" ht="18" customHeight="1">
      <c r="A863" s="1"/>
      <c r="B863" s="12"/>
      <c r="C863" s="6" t="s">
        <v>2065</v>
      </c>
      <c r="D863" s="15" t="s">
        <v>1214</v>
      </c>
      <c r="E863" s="20" t="s">
        <v>1003</v>
      </c>
      <c r="F863" s="24"/>
      <c r="G863" s="44"/>
      <c r="H863" s="151"/>
      <c r="I863" s="151"/>
      <c r="J863" s="151"/>
      <c r="K863" s="153" t="s">
        <v>10</v>
      </c>
      <c r="L863" s="39"/>
      <c r="M863" s="39"/>
      <c r="N863" s="39">
        <v>44497</v>
      </c>
      <c r="O863" s="38">
        <v>3606</v>
      </c>
      <c r="P863" s="6"/>
      <c r="Q863" s="411"/>
      <c r="S863" s="489"/>
      <c r="T863" s="113"/>
      <c r="U863" s="501"/>
      <c r="V863" s="494">
        <v>90</v>
      </c>
    </row>
    <row r="864" spans="1:22" s="7" customFormat="1" ht="15.95" customHeight="1">
      <c r="A864" s="1"/>
      <c r="B864" s="12" t="s">
        <v>1856</v>
      </c>
      <c r="C864" s="6" t="s">
        <v>2065</v>
      </c>
      <c r="D864" s="15" t="s">
        <v>1214</v>
      </c>
      <c r="E864" s="24" t="s">
        <v>1426</v>
      </c>
      <c r="F864" s="44"/>
      <c r="G864" s="44" t="s">
        <v>78</v>
      </c>
      <c r="H864" s="8">
        <v>14</v>
      </c>
      <c r="I864" s="41">
        <v>99</v>
      </c>
      <c r="J864" s="67">
        <f>I864*H864</f>
        <v>1386</v>
      </c>
      <c r="K864" s="46">
        <v>1.54</v>
      </c>
      <c r="L864" s="46">
        <f>K864*J864</f>
        <v>2134.44</v>
      </c>
      <c r="M864" s="112"/>
      <c r="N864" s="39">
        <v>44497</v>
      </c>
      <c r="O864" s="38">
        <v>3606</v>
      </c>
      <c r="P864" s="46">
        <f>K864*(VLOOKUP(B864,$C$2:$F$6,3,FALSE))</f>
        <v>1.3552</v>
      </c>
      <c r="Q864" s="483">
        <v>1.36</v>
      </c>
      <c r="S864" s="489">
        <v>55</v>
      </c>
      <c r="T864" s="567">
        <f>S864*J864</f>
        <v>76230</v>
      </c>
      <c r="U864" s="517" t="s">
        <v>1432</v>
      </c>
      <c r="V864" s="494">
        <v>90</v>
      </c>
    </row>
    <row r="865" spans="1:22" s="314" customFormat="1" ht="15">
      <c r="A865" s="1"/>
      <c r="B865" s="313"/>
      <c r="C865" s="302" t="s">
        <v>2065</v>
      </c>
      <c r="D865" s="303" t="s">
        <v>1214</v>
      </c>
      <c r="E865" s="304"/>
      <c r="F865" s="305"/>
      <c r="G865" s="305" t="s">
        <v>1227</v>
      </c>
      <c r="H865" s="307" t="s">
        <v>1228</v>
      </c>
      <c r="I865" s="308"/>
      <c r="J865" s="306"/>
      <c r="K865" s="315">
        <v>0</v>
      </c>
      <c r="L865" s="310"/>
      <c r="M865" s="310"/>
      <c r="N865" s="310">
        <v>44497</v>
      </c>
      <c r="O865" s="309">
        <v>3606</v>
      </c>
      <c r="P865" s="302"/>
      <c r="Q865" s="485">
        <v>0</v>
      </c>
      <c r="S865" s="536">
        <v>0</v>
      </c>
      <c r="T865" s="567">
        <f>S865*J865</f>
        <v>0</v>
      </c>
      <c r="U865" s="515"/>
      <c r="V865" s="494">
        <v>90</v>
      </c>
    </row>
    <row r="866" spans="1:22" s="7" customFormat="1" ht="15" customHeight="1">
      <c r="A866" s="1"/>
      <c r="B866" s="12"/>
      <c r="C866" s="6" t="s">
        <v>2086</v>
      </c>
      <c r="D866" s="15" t="s">
        <v>909</v>
      </c>
      <c r="E866" s="20" t="s">
        <v>337</v>
      </c>
      <c r="F866" s="26"/>
      <c r="G866" s="24"/>
      <c r="H866" s="45"/>
      <c r="I866" s="68"/>
      <c r="J866" s="67"/>
      <c r="K866" s="17" t="s">
        <v>10</v>
      </c>
      <c r="L866" s="39"/>
      <c r="M866" s="39"/>
      <c r="N866" s="39">
        <v>44497</v>
      </c>
      <c r="O866" s="38">
        <v>3607</v>
      </c>
      <c r="P866" s="6"/>
      <c r="Q866" s="482"/>
      <c r="S866" s="489"/>
      <c r="T866" s="113"/>
      <c r="U866" s="500"/>
      <c r="V866" s="494">
        <v>90</v>
      </c>
    </row>
    <row r="867" spans="1:22" s="7" customFormat="1" ht="15">
      <c r="A867" s="1"/>
      <c r="B867" s="12" t="s">
        <v>1856</v>
      </c>
      <c r="C867" s="6" t="s">
        <v>2086</v>
      </c>
      <c r="D867" s="15" t="s">
        <v>909</v>
      </c>
      <c r="E867" s="24">
        <v>3705</v>
      </c>
      <c r="F867" s="26">
        <v>6</v>
      </c>
      <c r="G867" s="24" t="s">
        <v>2066</v>
      </c>
      <c r="H867" s="151">
        <v>30</v>
      </c>
      <c r="I867" s="152">
        <v>2</v>
      </c>
      <c r="J867" s="67">
        <f>H867*I867</f>
        <v>60</v>
      </c>
      <c r="K867" s="46">
        <v>0.28999999999999998</v>
      </c>
      <c r="L867" s="46">
        <f>K867*J867</f>
        <v>17.399999999999999</v>
      </c>
      <c r="M867" s="112"/>
      <c r="N867" s="39">
        <v>44497</v>
      </c>
      <c r="O867" s="38">
        <v>3607</v>
      </c>
      <c r="P867" s="46">
        <f>K867*(VLOOKUP(B867,$C$2:$F$6,3,FALSE))</f>
        <v>0.25519999999999998</v>
      </c>
      <c r="Q867" s="483">
        <v>0.26</v>
      </c>
      <c r="S867" s="489">
        <v>13</v>
      </c>
      <c r="T867" s="567">
        <f>S867*J867</f>
        <v>780</v>
      </c>
      <c r="U867" s="1862" t="s">
        <v>2067</v>
      </c>
      <c r="V867" s="494">
        <v>90</v>
      </c>
    </row>
    <row r="868" spans="1:22" s="7" customFormat="1" ht="15">
      <c r="A868" s="1"/>
      <c r="B868" s="12"/>
      <c r="C868" s="6" t="s">
        <v>2086</v>
      </c>
      <c r="D868" s="15" t="s">
        <v>909</v>
      </c>
      <c r="E868" s="20" t="s">
        <v>1139</v>
      </c>
      <c r="F868" s="26"/>
      <c r="G868" s="24"/>
      <c r="H868" s="45"/>
      <c r="I868" s="68"/>
      <c r="J868" s="67"/>
      <c r="K868" s="17" t="s">
        <v>10</v>
      </c>
      <c r="L868" s="39"/>
      <c r="M868" s="39"/>
      <c r="N868" s="39">
        <v>44497</v>
      </c>
      <c r="O868" s="38">
        <v>3607</v>
      </c>
      <c r="P868" s="6"/>
      <c r="Q868" s="482"/>
      <c r="S868" s="489"/>
      <c r="T868" s="113"/>
      <c r="U868" s="500"/>
      <c r="V868" s="494">
        <v>90</v>
      </c>
    </row>
    <row r="869" spans="1:22" s="7" customFormat="1" ht="15" customHeight="1">
      <c r="A869" s="1"/>
      <c r="B869" s="12" t="s">
        <v>1856</v>
      </c>
      <c r="C869" s="6" t="s">
        <v>2086</v>
      </c>
      <c r="D869" s="15" t="s">
        <v>909</v>
      </c>
      <c r="E869" s="24">
        <v>3717</v>
      </c>
      <c r="F869" s="26">
        <v>6</v>
      </c>
      <c r="G869" s="24" t="s">
        <v>1830</v>
      </c>
      <c r="H869" s="151">
        <v>30</v>
      </c>
      <c r="I869" s="152">
        <v>2</v>
      </c>
      <c r="J869" s="67">
        <f>H869*I869</f>
        <v>60</v>
      </c>
      <c r="K869" s="46">
        <v>0.22</v>
      </c>
      <c r="L869" s="46">
        <f>K869*J869</f>
        <v>13.2</v>
      </c>
      <c r="M869" s="112"/>
      <c r="N869" s="39">
        <v>44497</v>
      </c>
      <c r="O869" s="38">
        <v>3607</v>
      </c>
      <c r="P869" s="46">
        <f>K869*(VLOOKUP(B869,$C$2:$F$6,3,FALSE))</f>
        <v>0.19359999999999999</v>
      </c>
      <c r="Q869" s="483">
        <v>0.19</v>
      </c>
      <c r="S869" s="489">
        <v>11.33</v>
      </c>
      <c r="T869" s="567">
        <f>S869*J869</f>
        <v>679.8</v>
      </c>
      <c r="U869" s="1862"/>
      <c r="V869" s="494">
        <v>90</v>
      </c>
    </row>
    <row r="870" spans="1:22" ht="15.95" customHeight="1">
      <c r="C870" s="6" t="s">
        <v>2086</v>
      </c>
      <c r="D870" s="15" t="s">
        <v>909</v>
      </c>
      <c r="E870" s="24"/>
      <c r="F870" s="138"/>
      <c r="G870" s="44" t="s">
        <v>1993</v>
      </c>
      <c r="H870" s="8"/>
      <c r="I870" s="41"/>
      <c r="J870" s="45">
        <v>1</v>
      </c>
      <c r="K870" s="46">
        <v>12</v>
      </c>
      <c r="L870" s="46">
        <f>K870*J870</f>
        <v>12</v>
      </c>
      <c r="M870" s="112"/>
      <c r="N870" s="39">
        <v>44497</v>
      </c>
      <c r="O870" s="38">
        <v>3607</v>
      </c>
      <c r="P870" s="179"/>
      <c r="Q870" s="483">
        <v>12</v>
      </c>
      <c r="S870" s="489">
        <v>0</v>
      </c>
      <c r="T870" s="567">
        <f>S870*J870</f>
        <v>0</v>
      </c>
      <c r="U870" s="511"/>
      <c r="V870" s="494">
        <v>90</v>
      </c>
    </row>
    <row r="871" spans="1:22" s="314" customFormat="1" ht="15">
      <c r="A871" s="1"/>
      <c r="B871" s="313"/>
      <c r="C871" s="302" t="s">
        <v>2086</v>
      </c>
      <c r="D871" s="303" t="s">
        <v>909</v>
      </c>
      <c r="E871" s="304"/>
      <c r="F871" s="305"/>
      <c r="G871" s="305" t="s">
        <v>1227</v>
      </c>
      <c r="H871" s="307" t="s">
        <v>1228</v>
      </c>
      <c r="I871" s="308"/>
      <c r="J871" s="306"/>
      <c r="K871" s="315">
        <v>0</v>
      </c>
      <c r="L871" s="310"/>
      <c r="M871" s="310"/>
      <c r="N871" s="310">
        <v>44497</v>
      </c>
      <c r="O871" s="309">
        <v>3607</v>
      </c>
      <c r="P871" s="302"/>
      <c r="Q871" s="485">
        <v>0</v>
      </c>
      <c r="S871" s="535">
        <v>0</v>
      </c>
      <c r="T871" s="322">
        <v>0</v>
      </c>
      <c r="U871" s="515"/>
      <c r="V871" s="494">
        <v>90</v>
      </c>
    </row>
    <row r="872" spans="1:22" s="7" customFormat="1" ht="15">
      <c r="A872" s="1"/>
      <c r="B872" s="12"/>
      <c r="C872" s="6" t="s">
        <v>2081</v>
      </c>
      <c r="D872" s="15" t="s">
        <v>909</v>
      </c>
      <c r="E872" s="20" t="s">
        <v>2070</v>
      </c>
      <c r="F872" s="44"/>
      <c r="G872" s="44"/>
      <c r="H872" s="151"/>
      <c r="I872" s="151"/>
      <c r="J872" s="151"/>
      <c r="K872" s="34" t="s">
        <v>1027</v>
      </c>
      <c r="L872" s="39"/>
      <c r="M872" s="39"/>
      <c r="N872" s="39">
        <v>44509</v>
      </c>
      <c r="O872" s="38">
        <v>3626</v>
      </c>
      <c r="P872" s="6"/>
      <c r="Q872" s="524"/>
      <c r="S872" s="489"/>
      <c r="T872" s="113"/>
      <c r="U872" s="501"/>
      <c r="V872" s="494">
        <v>90</v>
      </c>
    </row>
    <row r="873" spans="1:22" s="7" customFormat="1" ht="15">
      <c r="A873" s="1"/>
      <c r="B873" s="12" t="s">
        <v>1856</v>
      </c>
      <c r="C873" s="6" t="s">
        <v>2081</v>
      </c>
      <c r="D873" s="15" t="s">
        <v>909</v>
      </c>
      <c r="E873" s="47" t="s">
        <v>2068</v>
      </c>
      <c r="F873" s="44" t="s">
        <v>1033</v>
      </c>
      <c r="G873" s="267" t="s">
        <v>2069</v>
      </c>
      <c r="H873" s="261">
        <v>6</v>
      </c>
      <c r="I873" s="261">
        <v>6</v>
      </c>
      <c r="J873" s="261">
        <v>6</v>
      </c>
      <c r="K873" s="46">
        <v>2.11</v>
      </c>
      <c r="L873" s="46">
        <f>K873*J873</f>
        <v>12.66</v>
      </c>
      <c r="M873" s="112"/>
      <c r="N873" s="39">
        <v>44509</v>
      </c>
      <c r="O873" s="38">
        <v>3626</v>
      </c>
      <c r="P873" s="46">
        <f>K873*(VLOOKUP(B873,$C$2:$F$6,3,FALSE))</f>
        <v>1.8568</v>
      </c>
      <c r="Q873" s="483">
        <v>1.86</v>
      </c>
      <c r="S873" s="489">
        <v>113.5</v>
      </c>
      <c r="T873" s="567">
        <f>S873*J873</f>
        <v>681</v>
      </c>
      <c r="U873" s="507"/>
      <c r="V873" s="494">
        <v>90</v>
      </c>
    </row>
    <row r="874" spans="1:22" s="7" customFormat="1" ht="15">
      <c r="A874" s="1"/>
      <c r="B874" s="12"/>
      <c r="C874" s="6" t="s">
        <v>2081</v>
      </c>
      <c r="D874" s="15" t="s">
        <v>909</v>
      </c>
      <c r="E874" s="20" t="s">
        <v>1381</v>
      </c>
      <c r="F874" s="44"/>
      <c r="G874" s="44"/>
      <c r="H874" s="151"/>
      <c r="I874" s="151"/>
      <c r="J874" s="151"/>
      <c r="K874" s="34" t="s">
        <v>1027</v>
      </c>
      <c r="L874" s="39"/>
      <c r="M874" s="39"/>
      <c r="N874" s="39">
        <v>44509</v>
      </c>
      <c r="O874" s="38">
        <v>3626</v>
      </c>
      <c r="P874" s="6"/>
      <c r="Q874" s="524"/>
      <c r="S874" s="489"/>
      <c r="T874" s="113"/>
      <c r="U874" s="501"/>
      <c r="V874" s="494">
        <v>90</v>
      </c>
    </row>
    <row r="875" spans="1:22" s="7" customFormat="1" ht="15">
      <c r="A875" s="1"/>
      <c r="B875" s="12" t="s">
        <v>1856</v>
      </c>
      <c r="C875" s="6" t="s">
        <v>2081</v>
      </c>
      <c r="D875" s="15" t="s">
        <v>909</v>
      </c>
      <c r="E875" s="24" t="s">
        <v>2071</v>
      </c>
      <c r="F875" s="44" t="s">
        <v>1455</v>
      </c>
      <c r="G875" s="260" t="s">
        <v>2072</v>
      </c>
      <c r="H875" s="261">
        <v>4</v>
      </c>
      <c r="I875" s="261">
        <v>4</v>
      </c>
      <c r="J875" s="261">
        <v>4</v>
      </c>
      <c r="K875" s="46">
        <v>0.27</v>
      </c>
      <c r="L875" s="46">
        <f>K875*J875</f>
        <v>1.08</v>
      </c>
      <c r="M875" s="112"/>
      <c r="N875" s="39">
        <v>44509</v>
      </c>
      <c r="O875" s="38">
        <v>3626</v>
      </c>
      <c r="P875" s="46">
        <f>K875*(VLOOKUP(B875,$C$2:$F$6,3,FALSE))</f>
        <v>0.23760000000000001</v>
      </c>
      <c r="Q875" s="483">
        <v>0.24</v>
      </c>
      <c r="S875" s="489">
        <v>14.3</v>
      </c>
      <c r="T875" s="567">
        <f>S875*J875</f>
        <v>57.2</v>
      </c>
      <c r="U875" s="507"/>
      <c r="V875" s="494">
        <v>90</v>
      </c>
    </row>
    <row r="876" spans="1:22" s="7" customFormat="1" ht="15.75">
      <c r="A876" s="1"/>
      <c r="B876" s="12" t="s">
        <v>1856</v>
      </c>
      <c r="C876" s="6" t="s">
        <v>2081</v>
      </c>
      <c r="D876" s="15" t="s">
        <v>909</v>
      </c>
      <c r="E876" s="24" t="s">
        <v>2087</v>
      </c>
      <c r="F876" s="44" t="s">
        <v>1033</v>
      </c>
      <c r="G876" s="260" t="s">
        <v>2072</v>
      </c>
      <c r="H876" s="261">
        <v>4</v>
      </c>
      <c r="I876" s="261">
        <v>4</v>
      </c>
      <c r="J876" s="261">
        <v>4</v>
      </c>
      <c r="K876" s="46">
        <v>0.36</v>
      </c>
      <c r="L876" s="46">
        <f>K876*J876</f>
        <v>1.44</v>
      </c>
      <c r="M876" s="112"/>
      <c r="N876" s="39">
        <v>44509</v>
      </c>
      <c r="O876" s="38">
        <v>3626</v>
      </c>
      <c r="P876" s="46">
        <f>K876*(VLOOKUP(B876,$C$2:$F$6,3,FALSE))</f>
        <v>0.31679999999999997</v>
      </c>
      <c r="Q876" s="483">
        <v>0.32</v>
      </c>
      <c r="S876" s="642">
        <v>19</v>
      </c>
      <c r="T876" s="567">
        <f>S876*J876</f>
        <v>76</v>
      </c>
      <c r="U876" s="507"/>
      <c r="V876" s="494">
        <v>90</v>
      </c>
    </row>
    <row r="877" spans="1:22" s="7" customFormat="1" ht="15" customHeight="1">
      <c r="A877" s="1"/>
      <c r="B877" s="12" t="s">
        <v>1862</v>
      </c>
      <c r="C877" s="6" t="s">
        <v>2081</v>
      </c>
      <c r="D877" s="15" t="s">
        <v>909</v>
      </c>
      <c r="E877" s="24"/>
      <c r="F877" s="138"/>
      <c r="G877" s="44" t="s">
        <v>2014</v>
      </c>
      <c r="H877" s="8"/>
      <c r="I877" s="41"/>
      <c r="J877" s="45">
        <v>3</v>
      </c>
      <c r="K877" s="46">
        <v>7</v>
      </c>
      <c r="L877" s="46">
        <f>K877*J877</f>
        <v>21</v>
      </c>
      <c r="M877" s="112"/>
      <c r="N877" s="39">
        <v>44509</v>
      </c>
      <c r="O877" s="38">
        <v>3626</v>
      </c>
      <c r="P877" s="46">
        <f>K877*(VLOOKUP(B877,$C$2:$F$6,3,FALSE))</f>
        <v>7</v>
      </c>
      <c r="Q877" s="483">
        <f>P877*J877</f>
        <v>21</v>
      </c>
      <c r="S877" s="489">
        <v>500</v>
      </c>
      <c r="T877" s="567">
        <f>S877*J877</f>
        <v>1500</v>
      </c>
      <c r="U877" s="501"/>
      <c r="V877" s="494">
        <v>90</v>
      </c>
    </row>
    <row r="878" spans="1:22" ht="15.95" customHeight="1">
      <c r="B878" s="28" t="s">
        <v>1862</v>
      </c>
      <c r="C878" s="6" t="s">
        <v>2081</v>
      </c>
      <c r="D878" s="15" t="s">
        <v>909</v>
      </c>
      <c r="E878" s="24"/>
      <c r="F878" s="138"/>
      <c r="G878" s="44" t="s">
        <v>1993</v>
      </c>
      <c r="H878" s="8"/>
      <c r="I878" s="41"/>
      <c r="J878" s="45">
        <v>1</v>
      </c>
      <c r="K878" s="46">
        <v>12</v>
      </c>
      <c r="L878" s="46">
        <f>K878*J878</f>
        <v>12</v>
      </c>
      <c r="M878" s="112"/>
      <c r="N878" s="39">
        <v>44509</v>
      </c>
      <c r="O878" s="38">
        <v>3626</v>
      </c>
      <c r="P878" s="46">
        <f>K878*(VLOOKUP(B878,$C$2:$F$6,3,FALSE))</f>
        <v>12</v>
      </c>
      <c r="Q878" s="483">
        <v>12</v>
      </c>
      <c r="S878" s="489">
        <v>1100</v>
      </c>
      <c r="T878" s="567">
        <f>S878*J878</f>
        <v>1100</v>
      </c>
      <c r="U878" s="511"/>
      <c r="V878" s="494">
        <v>90</v>
      </c>
    </row>
    <row r="879" spans="1:22" s="314" customFormat="1" ht="15">
      <c r="A879" s="1"/>
      <c r="B879" s="313"/>
      <c r="C879" s="302" t="s">
        <v>2081</v>
      </c>
      <c r="D879" s="303" t="s">
        <v>909</v>
      </c>
      <c r="E879" s="304"/>
      <c r="F879" s="305"/>
      <c r="G879" s="305" t="s">
        <v>1227</v>
      </c>
      <c r="H879" s="307" t="s">
        <v>1228</v>
      </c>
      <c r="I879" s="308"/>
      <c r="J879" s="306"/>
      <c r="K879" s="315">
        <v>0</v>
      </c>
      <c r="L879" s="310"/>
      <c r="M879" s="310"/>
      <c r="N879" s="310">
        <v>44509</v>
      </c>
      <c r="O879" s="309">
        <v>3626</v>
      </c>
      <c r="P879" s="302"/>
      <c r="Q879" s="485">
        <v>0</v>
      </c>
      <c r="S879" s="535">
        <v>0</v>
      </c>
      <c r="T879" s="322">
        <v>0</v>
      </c>
      <c r="U879" s="515"/>
      <c r="V879" s="494">
        <v>90</v>
      </c>
    </row>
    <row r="880" spans="1:22" s="7" customFormat="1" ht="18" customHeight="1">
      <c r="A880" s="1"/>
      <c r="B880" s="12"/>
      <c r="C880" s="6" t="s">
        <v>2123</v>
      </c>
      <c r="D880" s="15" t="s">
        <v>586</v>
      </c>
      <c r="E880" s="20" t="s">
        <v>1003</v>
      </c>
      <c r="F880" s="24"/>
      <c r="G880" s="44"/>
      <c r="H880" s="151"/>
      <c r="I880" s="151"/>
      <c r="J880" s="151"/>
      <c r="K880" s="153" t="s">
        <v>10</v>
      </c>
      <c r="L880" s="39"/>
      <c r="M880" s="39"/>
      <c r="N880" s="39">
        <v>44522</v>
      </c>
      <c r="O880" s="38">
        <v>3689</v>
      </c>
      <c r="P880" s="6"/>
      <c r="Q880" s="411"/>
      <c r="S880" s="489"/>
      <c r="T880" s="113"/>
      <c r="U880" s="501"/>
      <c r="V880" s="494">
        <v>90</v>
      </c>
    </row>
    <row r="881" spans="1:22" s="7" customFormat="1" ht="15.95" customHeight="1">
      <c r="A881" s="1"/>
      <c r="B881" s="12" t="s">
        <v>1856</v>
      </c>
      <c r="C881" s="6" t="s">
        <v>2123</v>
      </c>
      <c r="D881" s="15" t="s">
        <v>586</v>
      </c>
      <c r="E881" s="24" t="s">
        <v>1801</v>
      </c>
      <c r="F881" s="44"/>
      <c r="G881" s="44" t="s">
        <v>78</v>
      </c>
      <c r="H881" s="8">
        <v>14</v>
      </c>
      <c r="I881" s="41">
        <v>58</v>
      </c>
      <c r="J881" s="67">
        <f>H881*I881</f>
        <v>812</v>
      </c>
      <c r="K881" s="46">
        <v>1.6</v>
      </c>
      <c r="L881" s="46">
        <f>K881*J881</f>
        <v>1299.2</v>
      </c>
      <c r="M881" s="112"/>
      <c r="N881" s="39">
        <v>44522</v>
      </c>
      <c r="O881" s="38">
        <v>3689</v>
      </c>
      <c r="P881" s="180">
        <f>K881*(VLOOKUP(B881,$C$2:$F$6,3,FALSE))</f>
        <v>1.4080000000000001</v>
      </c>
      <c r="Q881" s="483">
        <v>1.41</v>
      </c>
      <c r="S881" s="489">
        <v>86</v>
      </c>
      <c r="T881" s="113">
        <f>S881*J881</f>
        <v>69832</v>
      </c>
      <c r="U881" s="517"/>
      <c r="V881" s="494">
        <v>90</v>
      </c>
    </row>
    <row r="882" spans="1:22" s="7" customFormat="1" ht="15.95" customHeight="1">
      <c r="A882" s="1"/>
      <c r="B882" s="12" t="s">
        <v>1856</v>
      </c>
      <c r="C882" s="6" t="s">
        <v>2123</v>
      </c>
      <c r="D882" s="15" t="s">
        <v>586</v>
      </c>
      <c r="E882" s="24" t="s">
        <v>2122</v>
      </c>
      <c r="F882" s="44"/>
      <c r="G882" s="44" t="s">
        <v>639</v>
      </c>
      <c r="H882" s="8">
        <v>14</v>
      </c>
      <c r="I882" s="41">
        <v>9</v>
      </c>
      <c r="J882" s="67">
        <f>H882*I882</f>
        <v>126</v>
      </c>
      <c r="K882" s="46">
        <v>1.6</v>
      </c>
      <c r="L882" s="46">
        <f>K882*J882</f>
        <v>201.60000000000002</v>
      </c>
      <c r="M882" s="112"/>
      <c r="N882" s="39">
        <v>44522</v>
      </c>
      <c r="O882" s="38">
        <v>3689</v>
      </c>
      <c r="P882" s="180">
        <f>K882*(VLOOKUP(B882,$C$2:$F$6,3,FALSE))</f>
        <v>1.4080000000000001</v>
      </c>
      <c r="Q882" s="483">
        <v>1.41</v>
      </c>
      <c r="S882" s="489">
        <v>86</v>
      </c>
      <c r="T882" s="113">
        <f>S882*J882</f>
        <v>10836</v>
      </c>
      <c r="U882" s="517"/>
      <c r="V882" s="494">
        <v>90</v>
      </c>
    </row>
    <row r="883" spans="1:22" s="7" customFormat="1" ht="15">
      <c r="A883" s="1"/>
      <c r="B883" s="12" t="s">
        <v>1862</v>
      </c>
      <c r="C883" s="6" t="s">
        <v>2123</v>
      </c>
      <c r="D883" s="15" t="s">
        <v>586</v>
      </c>
      <c r="E883" s="24"/>
      <c r="F883" s="138"/>
      <c r="G883" s="44" t="s">
        <v>2124</v>
      </c>
      <c r="H883" s="8"/>
      <c r="I883" s="41"/>
      <c r="J883" s="45">
        <v>1</v>
      </c>
      <c r="K883" s="46">
        <v>125</v>
      </c>
      <c r="L883" s="46">
        <f>K883*J883</f>
        <v>125</v>
      </c>
      <c r="M883" s="112"/>
      <c r="N883" s="39">
        <v>44522</v>
      </c>
      <c r="O883" s="38">
        <v>3689</v>
      </c>
      <c r="P883" s="180">
        <f>K883*(VLOOKUP(B883,$C$2:$F$6,3,FALSE))</f>
        <v>125</v>
      </c>
      <c r="Q883" s="483">
        <v>125</v>
      </c>
      <c r="S883" s="489">
        <v>9000</v>
      </c>
      <c r="T883" s="113">
        <f>S883*J883</f>
        <v>9000</v>
      </c>
      <c r="U883" s="501"/>
      <c r="V883" s="494">
        <v>90</v>
      </c>
    </row>
    <row r="884" spans="1:22" s="218" customFormat="1" ht="15">
      <c r="A884" s="1"/>
      <c r="B884" s="541" t="s">
        <v>1862</v>
      </c>
      <c r="C884" s="216" t="s">
        <v>2123</v>
      </c>
      <c r="D884" s="109" t="s">
        <v>586</v>
      </c>
      <c r="E884" s="228"/>
      <c r="F884" s="160"/>
      <c r="G884" s="42" t="s">
        <v>1993</v>
      </c>
      <c r="H884" s="214"/>
      <c r="I884" s="215"/>
      <c r="J884" s="43">
        <v>1</v>
      </c>
      <c r="K884" s="229">
        <v>12</v>
      </c>
      <c r="L884" s="229">
        <f>K884*J884</f>
        <v>12</v>
      </c>
      <c r="M884" s="112"/>
      <c r="N884" s="39">
        <v>44522</v>
      </c>
      <c r="O884" s="38">
        <v>3689</v>
      </c>
      <c r="P884" s="216"/>
      <c r="Q884" s="525">
        <v>0</v>
      </c>
      <c r="S884" s="492">
        <v>900</v>
      </c>
      <c r="T884" s="564">
        <f>S884*J884</f>
        <v>900</v>
      </c>
      <c r="U884" s="504"/>
      <c r="V884" s="547">
        <v>90</v>
      </c>
    </row>
    <row r="885" spans="1:22" s="7" customFormat="1" ht="15.95" customHeight="1">
      <c r="A885" s="1"/>
      <c r="B885" s="12" t="s">
        <v>1856</v>
      </c>
      <c r="C885" s="6" t="s">
        <v>2123</v>
      </c>
      <c r="D885" s="15" t="s">
        <v>586</v>
      </c>
      <c r="E885" s="24" t="s">
        <v>1801</v>
      </c>
      <c r="F885" s="44"/>
      <c r="G885" s="44" t="s">
        <v>78</v>
      </c>
      <c r="H885" s="8">
        <v>14</v>
      </c>
      <c r="I885" s="41">
        <v>80</v>
      </c>
      <c r="J885" s="67">
        <f>H885*I885</f>
        <v>1120</v>
      </c>
      <c r="K885" s="46">
        <v>1.6</v>
      </c>
      <c r="L885" s="46">
        <f>K885*J885</f>
        <v>1792</v>
      </c>
      <c r="M885" s="112"/>
      <c r="N885" s="39">
        <v>44539</v>
      </c>
      <c r="O885" s="38">
        <v>3735</v>
      </c>
      <c r="P885" s="180">
        <f>K885*(VLOOKUP(B885,$C$2:$F$6,3,FALSE))</f>
        <v>1.4080000000000001</v>
      </c>
      <c r="Q885" s="483">
        <v>1.41</v>
      </c>
      <c r="S885" s="489">
        <v>86</v>
      </c>
      <c r="T885" s="113">
        <f>S885*J885</f>
        <v>96320</v>
      </c>
      <c r="U885" s="517"/>
      <c r="V885" s="494">
        <v>90</v>
      </c>
    </row>
    <row r="886" spans="1:22" s="314" customFormat="1" ht="15">
      <c r="A886" s="1"/>
      <c r="B886" s="313"/>
      <c r="C886" s="302" t="s">
        <v>2123</v>
      </c>
      <c r="D886" s="303" t="s">
        <v>586</v>
      </c>
      <c r="E886" s="304"/>
      <c r="F886" s="305"/>
      <c r="G886" s="305" t="s">
        <v>1227</v>
      </c>
      <c r="H886" s="307" t="s">
        <v>1228</v>
      </c>
      <c r="I886" s="308"/>
      <c r="J886" s="306"/>
      <c r="K886" s="315">
        <v>0</v>
      </c>
      <c r="L886" s="310"/>
      <c r="M886" s="310"/>
      <c r="N886" s="310">
        <v>44539</v>
      </c>
      <c r="O886" s="309">
        <v>3735</v>
      </c>
      <c r="P886" s="302"/>
      <c r="Q886" s="485">
        <v>0</v>
      </c>
      <c r="S886" s="536">
        <v>0</v>
      </c>
      <c r="T886" s="322">
        <v>0</v>
      </c>
      <c r="U886" s="515"/>
      <c r="V886" s="494">
        <v>90</v>
      </c>
    </row>
    <row r="887" spans="1:22" s="7" customFormat="1" ht="15" customHeight="1">
      <c r="A887" s="1"/>
      <c r="B887" s="12"/>
      <c r="C887" s="6" t="s">
        <v>2084</v>
      </c>
      <c r="D887" s="15" t="s">
        <v>2085</v>
      </c>
      <c r="E887" s="20" t="s">
        <v>628</v>
      </c>
      <c r="F887" s="26"/>
      <c r="G887" s="24"/>
      <c r="H887" s="67"/>
      <c r="I887" s="68"/>
      <c r="J887" s="67"/>
      <c r="K887" s="17" t="s">
        <v>134</v>
      </c>
      <c r="L887" s="39"/>
      <c r="M887" s="39"/>
      <c r="N887" s="39">
        <v>44501</v>
      </c>
      <c r="O887" s="38">
        <v>3620</v>
      </c>
      <c r="P887" s="179" t="s">
        <v>23</v>
      </c>
      <c r="Q887" s="438" t="s">
        <v>959</v>
      </c>
      <c r="S887" s="489"/>
      <c r="T887" s="113"/>
      <c r="U887" s="510"/>
      <c r="V887" s="494">
        <v>90</v>
      </c>
    </row>
    <row r="888" spans="1:22" s="7" customFormat="1" ht="18" customHeight="1">
      <c r="A888" s="1"/>
      <c r="B888" s="12" t="s">
        <v>1856</v>
      </c>
      <c r="C888" s="6" t="s">
        <v>2084</v>
      </c>
      <c r="D888" s="15" t="s">
        <v>2085</v>
      </c>
      <c r="E888" s="24">
        <v>5291</v>
      </c>
      <c r="F888" s="26">
        <v>8</v>
      </c>
      <c r="G888" s="24" t="s">
        <v>29</v>
      </c>
      <c r="H888" s="67">
        <v>50</v>
      </c>
      <c r="I888" s="68">
        <v>1</v>
      </c>
      <c r="J888" s="67">
        <f>H888*I888</f>
        <v>50</v>
      </c>
      <c r="K888" s="46">
        <v>0.45</v>
      </c>
      <c r="L888" s="46">
        <f>K888*J888</f>
        <v>22.5</v>
      </c>
      <c r="M888" s="112"/>
      <c r="N888" s="39">
        <v>44501</v>
      </c>
      <c r="O888" s="38">
        <v>3620</v>
      </c>
      <c r="P888" s="46">
        <f>K888*(VLOOKUP(B888,$C$2:$F$6,3,FALSE))</f>
        <v>0.39600000000000002</v>
      </c>
      <c r="Q888" s="180">
        <v>0.4</v>
      </c>
      <c r="S888" s="489">
        <v>24</v>
      </c>
      <c r="T888" s="113">
        <f>S888*J888</f>
        <v>1200</v>
      </c>
      <c r="U888" s="511"/>
      <c r="V888" s="494">
        <v>90</v>
      </c>
    </row>
    <row r="889" spans="1:22" ht="15.95" customHeight="1">
      <c r="C889" s="6" t="s">
        <v>2084</v>
      </c>
      <c r="D889" s="15" t="s">
        <v>2085</v>
      </c>
      <c r="E889" s="24"/>
      <c r="F889" s="138"/>
      <c r="G889" s="44" t="s">
        <v>1993</v>
      </c>
      <c r="H889" s="8"/>
      <c r="I889" s="41"/>
      <c r="J889" s="45">
        <v>1</v>
      </c>
      <c r="K889" s="46">
        <v>12</v>
      </c>
      <c r="L889" s="46">
        <f>K889*J889</f>
        <v>12</v>
      </c>
      <c r="M889" s="112"/>
      <c r="N889" s="39">
        <v>44501</v>
      </c>
      <c r="O889" s="38">
        <v>3620</v>
      </c>
      <c r="P889" s="179"/>
      <c r="Q889" s="180">
        <v>12</v>
      </c>
      <c r="S889" s="498">
        <v>850</v>
      </c>
      <c r="T889" s="568">
        <f>S889*J889</f>
        <v>850</v>
      </c>
      <c r="U889" s="511"/>
      <c r="V889" s="494">
        <v>90</v>
      </c>
    </row>
    <row r="890" spans="1:22" s="314" customFormat="1" ht="15" customHeight="1">
      <c r="A890" s="1"/>
      <c r="B890" s="313"/>
      <c r="C890" s="302" t="s">
        <v>2084</v>
      </c>
      <c r="D890" s="303" t="s">
        <v>2085</v>
      </c>
      <c r="E890" s="304"/>
      <c r="F890" s="305"/>
      <c r="G890" s="305" t="s">
        <v>1227</v>
      </c>
      <c r="H890" s="307" t="s">
        <v>1228</v>
      </c>
      <c r="I890" s="308"/>
      <c r="J890" s="306"/>
      <c r="K890" s="315">
        <v>0</v>
      </c>
      <c r="L890" s="310"/>
      <c r="M890" s="310"/>
      <c r="N890" s="310">
        <v>44501</v>
      </c>
      <c r="O890" s="309">
        <v>3620</v>
      </c>
      <c r="P890" s="302"/>
      <c r="Q890" s="485">
        <v>0</v>
      </c>
      <c r="S890" s="536">
        <v>0</v>
      </c>
      <c r="T890" s="322">
        <v>0</v>
      </c>
      <c r="U890" s="515"/>
      <c r="V890" s="494">
        <v>90</v>
      </c>
    </row>
    <row r="891" spans="1:22" s="7" customFormat="1" ht="15">
      <c r="A891" s="1"/>
      <c r="B891" s="12"/>
      <c r="C891" s="6" t="s">
        <v>2090</v>
      </c>
      <c r="D891" s="15" t="s">
        <v>500</v>
      </c>
      <c r="E891" s="20" t="s">
        <v>503</v>
      </c>
      <c r="F891" s="26"/>
      <c r="G891" s="24"/>
      <c r="H891" s="67"/>
      <c r="I891" s="68"/>
      <c r="J891" s="67"/>
      <c r="K891" s="17" t="s">
        <v>134</v>
      </c>
      <c r="L891" s="39"/>
      <c r="M891" s="39"/>
      <c r="N891" s="39">
        <v>44515</v>
      </c>
      <c r="O891" s="38">
        <v>3628</v>
      </c>
      <c r="P891" s="179" t="s">
        <v>23</v>
      </c>
      <c r="Q891" s="435"/>
      <c r="S891" s="489"/>
      <c r="T891" s="113"/>
      <c r="U891" s="510"/>
      <c r="V891" s="494">
        <v>90</v>
      </c>
    </row>
    <row r="892" spans="1:22" s="7" customFormat="1" ht="18" customHeight="1">
      <c r="A892" s="1"/>
      <c r="B892" s="12" t="s">
        <v>1856</v>
      </c>
      <c r="C892" s="6" t="s">
        <v>2090</v>
      </c>
      <c r="D892" s="15" t="s">
        <v>500</v>
      </c>
      <c r="E892" s="24">
        <v>5356</v>
      </c>
      <c r="F892" s="26">
        <v>4</v>
      </c>
      <c r="G892" s="24" t="s">
        <v>2006</v>
      </c>
      <c r="H892" s="67">
        <v>30</v>
      </c>
      <c r="I892" s="68">
        <v>2</v>
      </c>
      <c r="J892" s="67">
        <v>60</v>
      </c>
      <c r="K892" s="46">
        <v>0.94</v>
      </c>
      <c r="L892" s="46">
        <f>K892*J892</f>
        <v>56.4</v>
      </c>
      <c r="M892" s="112"/>
      <c r="N892" s="39">
        <v>44515</v>
      </c>
      <c r="O892" s="38">
        <v>3628</v>
      </c>
      <c r="P892" s="46">
        <f>K892*(VLOOKUP(B892,$C$2:$F$6,3,FALSE))</f>
        <v>0.82719999999999994</v>
      </c>
      <c r="Q892" s="180">
        <v>0.83</v>
      </c>
      <c r="S892" s="489">
        <v>53</v>
      </c>
      <c r="T892" s="113">
        <f>S892*J892</f>
        <v>3180</v>
      </c>
      <c r="U892" s="511"/>
      <c r="V892" s="494">
        <v>90</v>
      </c>
    </row>
    <row r="893" spans="1:22" ht="15.95" customHeight="1">
      <c r="C893" s="6" t="s">
        <v>2090</v>
      </c>
      <c r="D893" s="15" t="s">
        <v>500</v>
      </c>
      <c r="E893" s="24"/>
      <c r="F893" s="138"/>
      <c r="G893" s="44" t="s">
        <v>1993</v>
      </c>
      <c r="H893" s="8"/>
      <c r="I893" s="41"/>
      <c r="J893" s="45">
        <v>1</v>
      </c>
      <c r="K893" s="46">
        <v>12</v>
      </c>
      <c r="L893" s="46">
        <f>K893*J893</f>
        <v>12</v>
      </c>
      <c r="M893" s="112"/>
      <c r="N893" s="39">
        <v>44515</v>
      </c>
      <c r="O893" s="38">
        <v>3628</v>
      </c>
      <c r="P893" s="179"/>
      <c r="Q893" s="180">
        <v>12</v>
      </c>
      <c r="S893" s="498">
        <v>900</v>
      </c>
      <c r="T893" s="113">
        <f>S893*J893</f>
        <v>900</v>
      </c>
      <c r="U893" s="511"/>
      <c r="V893" s="494">
        <v>90</v>
      </c>
    </row>
    <row r="894" spans="1:22" s="314" customFormat="1" ht="15" customHeight="1">
      <c r="A894" s="1"/>
      <c r="B894" s="313"/>
      <c r="C894" s="302" t="s">
        <v>2090</v>
      </c>
      <c r="D894" s="303" t="s">
        <v>500</v>
      </c>
      <c r="E894" s="304"/>
      <c r="F894" s="305"/>
      <c r="G894" s="305" t="s">
        <v>1227</v>
      </c>
      <c r="H894" s="307" t="s">
        <v>1228</v>
      </c>
      <c r="I894" s="308"/>
      <c r="J894" s="306"/>
      <c r="K894" s="315">
        <v>0</v>
      </c>
      <c r="L894" s="310"/>
      <c r="M894" s="310"/>
      <c r="N894" s="310">
        <v>44515</v>
      </c>
      <c r="O894" s="309">
        <v>3628</v>
      </c>
      <c r="P894" s="302"/>
      <c r="Q894" s="485">
        <v>0</v>
      </c>
      <c r="S894" s="536">
        <v>0</v>
      </c>
      <c r="T894" s="322">
        <v>0</v>
      </c>
      <c r="U894" s="515"/>
      <c r="V894" s="494">
        <v>90</v>
      </c>
    </row>
    <row r="895" spans="1:22" ht="15">
      <c r="C895" s="6" t="s">
        <v>2147</v>
      </c>
      <c r="D895" s="15" t="s">
        <v>11</v>
      </c>
      <c r="E895" s="20" t="s">
        <v>79</v>
      </c>
      <c r="F895" s="150"/>
      <c r="G895" s="24"/>
      <c r="H895" s="151"/>
      <c r="I895" s="152"/>
      <c r="J895" s="151"/>
      <c r="K895" s="153" t="s">
        <v>10</v>
      </c>
      <c r="L895" s="39"/>
      <c r="M895" s="39"/>
      <c r="N895" s="39">
        <v>44519</v>
      </c>
      <c r="O895" s="38">
        <v>3683</v>
      </c>
      <c r="P895" s="15"/>
      <c r="Q895" s="483"/>
      <c r="S895" s="496"/>
      <c r="T895" s="113"/>
      <c r="V895" s="494">
        <v>90</v>
      </c>
    </row>
    <row r="896" spans="1:22" ht="15">
      <c r="B896" s="12" t="s">
        <v>1858</v>
      </c>
      <c r="C896" s="6" t="s">
        <v>2091</v>
      </c>
      <c r="D896" s="15" t="s">
        <v>11</v>
      </c>
      <c r="E896" s="24">
        <v>2440</v>
      </c>
      <c r="F896" s="150">
        <v>140</v>
      </c>
      <c r="G896" s="24" t="s">
        <v>114</v>
      </c>
      <c r="H896" s="67">
        <v>58</v>
      </c>
      <c r="I896" s="68">
        <v>2</v>
      </c>
      <c r="J896" s="67">
        <f>I896*H896</f>
        <v>116</v>
      </c>
      <c r="K896" s="46">
        <v>3.34</v>
      </c>
      <c r="L896" s="46">
        <f>K896*J896</f>
        <v>387.44</v>
      </c>
      <c r="M896" s="112"/>
      <c r="N896" s="39">
        <v>44519</v>
      </c>
      <c r="O896" s="38">
        <v>3683</v>
      </c>
      <c r="P896" s="46">
        <f>K896*(VLOOKUP(B896,$C$2:$F$6,3,FALSE))</f>
        <v>3.1395999999999997</v>
      </c>
      <c r="Q896" s="483">
        <v>3.14</v>
      </c>
      <c r="S896" s="532">
        <v>240</v>
      </c>
      <c r="T896" s="567">
        <f>S896*J896</f>
        <v>27840</v>
      </c>
      <c r="V896" s="494">
        <v>90</v>
      </c>
    </row>
    <row r="897" spans="1:22" ht="15">
      <c r="B897" s="12" t="s">
        <v>1858</v>
      </c>
      <c r="C897" s="6" t="s">
        <v>2091</v>
      </c>
      <c r="D897" s="15" t="s">
        <v>11</v>
      </c>
      <c r="E897" s="24">
        <v>2440</v>
      </c>
      <c r="F897" s="150">
        <v>140</v>
      </c>
      <c r="G897" s="24" t="s">
        <v>862</v>
      </c>
      <c r="H897" s="67">
        <v>58</v>
      </c>
      <c r="I897" s="68">
        <v>20</v>
      </c>
      <c r="J897" s="67">
        <f>I897*H897</f>
        <v>1160</v>
      </c>
      <c r="K897" s="46">
        <v>3.34</v>
      </c>
      <c r="L897" s="46">
        <f>K897*J897</f>
        <v>3874.3999999999996</v>
      </c>
      <c r="M897" s="112"/>
      <c r="N897" s="39">
        <v>44519</v>
      </c>
      <c r="O897" s="38">
        <v>3683</v>
      </c>
      <c r="P897" s="46">
        <f>K897*(VLOOKUP(B897,$C$2:$F$6,3,FALSE))</f>
        <v>3.1395999999999997</v>
      </c>
      <c r="Q897" s="483">
        <v>3.14</v>
      </c>
      <c r="S897" s="532">
        <v>240</v>
      </c>
      <c r="T897" s="567">
        <f>S897*J897</f>
        <v>278400</v>
      </c>
      <c r="V897" s="494">
        <v>90</v>
      </c>
    </row>
    <row r="898" spans="1:22" ht="15">
      <c r="C898" s="6" t="s">
        <v>2091</v>
      </c>
      <c r="D898" s="15" t="s">
        <v>11</v>
      </c>
      <c r="E898" s="228"/>
      <c r="F898" s="160"/>
      <c r="G898" s="228" t="s">
        <v>481</v>
      </c>
      <c r="H898" s="214"/>
      <c r="I898" s="215"/>
      <c r="J898" s="43">
        <v>1</v>
      </c>
      <c r="K898" s="229">
        <v>20</v>
      </c>
      <c r="L898" s="417" t="s">
        <v>1676</v>
      </c>
      <c r="M898" s="417"/>
      <c r="N898" s="39">
        <v>44519</v>
      </c>
      <c r="O898" s="38">
        <v>3683</v>
      </c>
      <c r="P898" s="216"/>
      <c r="Q898" s="525">
        <v>0</v>
      </c>
      <c r="S898" s="532">
        <v>1800</v>
      </c>
      <c r="T898" s="567">
        <f>S898*J898</f>
        <v>1800</v>
      </c>
      <c r="V898" s="494">
        <v>90</v>
      </c>
    </row>
    <row r="899" spans="1:22" s="314" customFormat="1" ht="15">
      <c r="A899" s="1"/>
      <c r="B899" s="313"/>
      <c r="C899" s="302" t="s">
        <v>2091</v>
      </c>
      <c r="D899" s="303" t="s">
        <v>11</v>
      </c>
      <c r="E899" s="304"/>
      <c r="F899" s="305"/>
      <c r="G899" s="305" t="s">
        <v>1227</v>
      </c>
      <c r="H899" s="307" t="s">
        <v>1228</v>
      </c>
      <c r="I899" s="308"/>
      <c r="J899" s="306"/>
      <c r="K899" s="315">
        <v>0</v>
      </c>
      <c r="L899" s="310"/>
      <c r="M899" s="310"/>
      <c r="N899" s="310">
        <v>44519</v>
      </c>
      <c r="O899" s="309">
        <v>3683</v>
      </c>
      <c r="P899" s="302"/>
      <c r="Q899" s="485">
        <v>0</v>
      </c>
      <c r="S899" s="535">
        <v>0</v>
      </c>
      <c r="T899" s="322">
        <v>0</v>
      </c>
      <c r="U899" s="515"/>
      <c r="V899" s="494">
        <v>90</v>
      </c>
    </row>
    <row r="900" spans="1:22" s="7" customFormat="1" ht="15" customHeight="1">
      <c r="A900" s="1"/>
      <c r="B900" s="12"/>
      <c r="C900" s="6" t="s">
        <v>2092</v>
      </c>
      <c r="D900" s="15" t="s">
        <v>8</v>
      </c>
      <c r="E900" s="20" t="s">
        <v>337</v>
      </c>
      <c r="F900" s="26"/>
      <c r="G900" s="24"/>
      <c r="H900" s="45"/>
      <c r="I900" s="68"/>
      <c r="J900" s="67"/>
      <c r="K900" s="17" t="s">
        <v>10</v>
      </c>
      <c r="L900" s="39"/>
      <c r="M900" s="39"/>
      <c r="N900" s="39">
        <v>44511</v>
      </c>
      <c r="O900" s="38">
        <v>3654</v>
      </c>
      <c r="P900" s="6"/>
      <c r="Q900" s="482"/>
      <c r="S900" s="489"/>
      <c r="T900" s="113"/>
      <c r="U900" s="500"/>
      <c r="V900" s="494">
        <v>90</v>
      </c>
    </row>
    <row r="901" spans="1:22" s="7" customFormat="1" ht="15" customHeight="1">
      <c r="A901" s="1"/>
      <c r="B901" s="12" t="s">
        <v>1856</v>
      </c>
      <c r="C901" s="6" t="s">
        <v>2092</v>
      </c>
      <c r="D901" s="15" t="s">
        <v>8</v>
      </c>
      <c r="E901" s="24">
        <v>3705</v>
      </c>
      <c r="F901" s="26">
        <v>25</v>
      </c>
      <c r="G901" s="24" t="s">
        <v>1888</v>
      </c>
      <c r="H901" s="151">
        <v>30</v>
      </c>
      <c r="I901" s="152">
        <v>2</v>
      </c>
      <c r="J901" s="67">
        <f>H901*I901</f>
        <v>60</v>
      </c>
      <c r="K901" s="46">
        <v>0.6</v>
      </c>
      <c r="L901" s="46">
        <f>K901*J901</f>
        <v>36</v>
      </c>
      <c r="M901" s="112"/>
      <c r="N901" s="39">
        <v>44511</v>
      </c>
      <c r="O901" s="38">
        <v>3654</v>
      </c>
      <c r="P901" s="46">
        <f>K901*(VLOOKUP(B901,$C$2:$F$6,3,FALSE))</f>
        <v>0.52800000000000002</v>
      </c>
      <c r="Q901" s="482">
        <v>0.53</v>
      </c>
      <c r="S901" s="489">
        <v>27.3</v>
      </c>
      <c r="T901" s="567">
        <f>S901*J901</f>
        <v>1638</v>
      </c>
      <c r="U901" s="1862" t="s">
        <v>1889</v>
      </c>
      <c r="V901" s="494">
        <v>90</v>
      </c>
    </row>
    <row r="902" spans="1:22" ht="15.95" customHeight="1">
      <c r="C902" s="6" t="s">
        <v>2092</v>
      </c>
      <c r="D902" s="15" t="s">
        <v>8</v>
      </c>
      <c r="E902" s="24"/>
      <c r="F902" s="138"/>
      <c r="G902" s="44" t="s">
        <v>1993</v>
      </c>
      <c r="H902" s="8"/>
      <c r="I902" s="41"/>
      <c r="J902" s="45">
        <v>1</v>
      </c>
      <c r="K902" s="46">
        <v>12</v>
      </c>
      <c r="L902" s="46">
        <f>K902*J902</f>
        <v>12</v>
      </c>
      <c r="M902" s="112"/>
      <c r="N902" s="39">
        <v>44511</v>
      </c>
      <c r="O902" s="38">
        <v>3654</v>
      </c>
      <c r="P902" s="179"/>
      <c r="Q902" s="483">
        <v>12</v>
      </c>
      <c r="S902" s="489">
        <v>0</v>
      </c>
      <c r="T902" s="567">
        <f>S902*J902</f>
        <v>0</v>
      </c>
      <c r="U902" s="511"/>
      <c r="V902" s="494">
        <v>90</v>
      </c>
    </row>
    <row r="903" spans="1:22" s="314" customFormat="1" ht="15">
      <c r="A903" s="1"/>
      <c r="B903" s="313"/>
      <c r="C903" s="302" t="s">
        <v>2092</v>
      </c>
      <c r="D903" s="303" t="s">
        <v>8</v>
      </c>
      <c r="E903" s="304"/>
      <c r="F903" s="305"/>
      <c r="G903" s="305" t="s">
        <v>1227</v>
      </c>
      <c r="H903" s="307" t="s">
        <v>1228</v>
      </c>
      <c r="I903" s="308"/>
      <c r="J903" s="306"/>
      <c r="K903" s="315">
        <v>0</v>
      </c>
      <c r="L903" s="310"/>
      <c r="M903" s="310"/>
      <c r="N903" s="310">
        <v>44511</v>
      </c>
      <c r="O903" s="309">
        <v>3654</v>
      </c>
      <c r="P903" s="302"/>
      <c r="Q903" s="485">
        <v>0</v>
      </c>
      <c r="S903" s="535">
        <v>0</v>
      </c>
      <c r="T903" s="322">
        <v>0</v>
      </c>
      <c r="U903" s="515"/>
      <c r="V903" s="494">
        <v>90</v>
      </c>
    </row>
    <row r="904" spans="1:22" ht="15">
      <c r="C904" s="6" t="s">
        <v>2126</v>
      </c>
      <c r="D904" s="15" t="s">
        <v>722</v>
      </c>
      <c r="E904" s="20" t="s">
        <v>79</v>
      </c>
      <c r="F904" s="150"/>
      <c r="G904" s="24"/>
      <c r="H904" s="151"/>
      <c r="I904" s="152"/>
      <c r="J904" s="151"/>
      <c r="K904" s="153" t="s">
        <v>10</v>
      </c>
      <c r="L904" s="39"/>
      <c r="M904" s="39"/>
      <c r="N904" s="39">
        <v>44516</v>
      </c>
      <c r="O904" s="38">
        <v>3666</v>
      </c>
      <c r="P904" s="15"/>
      <c r="Q904" s="483"/>
      <c r="S904" s="496"/>
      <c r="T904" s="113"/>
      <c r="V904" s="494">
        <v>90</v>
      </c>
    </row>
    <row r="905" spans="1:22" s="7" customFormat="1" ht="15" customHeight="1">
      <c r="A905" s="1"/>
      <c r="B905" s="12" t="s">
        <v>1858</v>
      </c>
      <c r="C905" s="6" t="s">
        <v>2126</v>
      </c>
      <c r="D905" s="15" t="s">
        <v>722</v>
      </c>
      <c r="E905" s="24">
        <v>2440</v>
      </c>
      <c r="F905" s="150">
        <v>140</v>
      </c>
      <c r="G905" s="24" t="s">
        <v>2127</v>
      </c>
      <c r="H905" s="67">
        <v>58</v>
      </c>
      <c r="I905" s="68">
        <v>2</v>
      </c>
      <c r="J905" s="67">
        <f>I905*H905</f>
        <v>116</v>
      </c>
      <c r="K905" s="25">
        <v>4.46</v>
      </c>
      <c r="L905" s="46">
        <f>K905*J905</f>
        <v>517.36</v>
      </c>
      <c r="M905" s="112"/>
      <c r="N905" s="39">
        <v>44516</v>
      </c>
      <c r="O905" s="38">
        <v>3666</v>
      </c>
      <c r="P905" s="46">
        <v>3.14</v>
      </c>
      <c r="Q905" s="483">
        <v>3.14</v>
      </c>
      <c r="S905" s="489">
        <v>240</v>
      </c>
      <c r="T905" s="567">
        <f>S905*J905</f>
        <v>27840</v>
      </c>
      <c r="U905" s="521"/>
      <c r="V905" s="494">
        <v>90</v>
      </c>
    </row>
    <row r="906" spans="1:22" s="7" customFormat="1" ht="15" customHeight="1">
      <c r="A906" s="1"/>
      <c r="B906" s="12" t="s">
        <v>1858</v>
      </c>
      <c r="C906" s="6" t="s">
        <v>2126</v>
      </c>
      <c r="D906" s="15" t="s">
        <v>722</v>
      </c>
      <c r="E906" s="24">
        <v>2440</v>
      </c>
      <c r="F906" s="150">
        <v>140</v>
      </c>
      <c r="G906" s="24" t="s">
        <v>2127</v>
      </c>
      <c r="H906" s="67">
        <v>9</v>
      </c>
      <c r="I906" s="68">
        <v>1</v>
      </c>
      <c r="J906" s="67">
        <f>I906*H906</f>
        <v>9</v>
      </c>
      <c r="K906" s="25">
        <v>4.46</v>
      </c>
      <c r="L906" s="46">
        <f>K906*J906</f>
        <v>40.14</v>
      </c>
      <c r="M906" s="112"/>
      <c r="N906" s="39">
        <v>44516</v>
      </c>
      <c r="O906" s="38">
        <v>3666</v>
      </c>
      <c r="P906" s="46">
        <v>3.14</v>
      </c>
      <c r="Q906" s="483">
        <v>3.14</v>
      </c>
      <c r="S906" s="489">
        <v>240</v>
      </c>
      <c r="T906" s="567">
        <f>S906*J906</f>
        <v>2160</v>
      </c>
      <c r="U906" s="521"/>
      <c r="V906" s="494">
        <v>90</v>
      </c>
    </row>
    <row r="907" spans="1:22" s="7" customFormat="1" ht="15" customHeight="1">
      <c r="A907" s="1"/>
      <c r="B907" s="12" t="s">
        <v>1862</v>
      </c>
      <c r="C907" s="6" t="s">
        <v>2126</v>
      </c>
      <c r="D907" s="15" t="s">
        <v>722</v>
      </c>
      <c r="E907" s="24"/>
      <c r="F907" s="138"/>
      <c r="G907" s="24" t="s">
        <v>75</v>
      </c>
      <c r="H907" s="45"/>
      <c r="I907" s="41"/>
      <c r="J907" s="45">
        <v>1</v>
      </c>
      <c r="K907" s="46">
        <v>12</v>
      </c>
      <c r="L907" s="46">
        <f>K907*J907</f>
        <v>12</v>
      </c>
      <c r="M907" s="112"/>
      <c r="N907" s="39">
        <v>44516</v>
      </c>
      <c r="O907" s="38">
        <v>3666</v>
      </c>
      <c r="P907" s="46">
        <v>12</v>
      </c>
      <c r="Q907" s="483">
        <v>12</v>
      </c>
      <c r="S907" s="489">
        <v>1000</v>
      </c>
      <c r="T907" s="567">
        <f>S907*J907</f>
        <v>1000</v>
      </c>
      <c r="U907" s="501"/>
      <c r="V907" s="494">
        <v>90</v>
      </c>
    </row>
    <row r="908" spans="1:22" s="7" customFormat="1" ht="15" customHeight="1">
      <c r="A908" s="1"/>
      <c r="B908" s="12" t="s">
        <v>1862</v>
      </c>
      <c r="C908" s="6" t="s">
        <v>2126</v>
      </c>
      <c r="D908" s="15" t="s">
        <v>722</v>
      </c>
      <c r="E908" s="56"/>
      <c r="F908" s="138"/>
      <c r="G908" s="44" t="s">
        <v>1993</v>
      </c>
      <c r="H908" s="45"/>
      <c r="I908" s="41"/>
      <c r="J908" s="45">
        <v>1</v>
      </c>
      <c r="K908" s="46">
        <v>20</v>
      </c>
      <c r="L908" s="46">
        <f>K908*J908</f>
        <v>20</v>
      </c>
      <c r="M908" s="112"/>
      <c r="N908" s="39">
        <v>44516</v>
      </c>
      <c r="O908" s="38">
        <v>3666</v>
      </c>
      <c r="P908" s="46">
        <v>20</v>
      </c>
      <c r="Q908" s="483">
        <v>20</v>
      </c>
      <c r="S908" s="489">
        <v>1800</v>
      </c>
      <c r="T908" s="113">
        <v>1800</v>
      </c>
      <c r="U908" s="501"/>
      <c r="V908" s="494">
        <v>90</v>
      </c>
    </row>
    <row r="909" spans="1:22" s="378" customFormat="1" ht="15" customHeight="1">
      <c r="A909" s="1"/>
      <c r="B909" s="312"/>
      <c r="C909" s="302" t="s">
        <v>2126</v>
      </c>
      <c r="D909" s="303" t="s">
        <v>722</v>
      </c>
      <c r="E909" s="304"/>
      <c r="F909" s="305"/>
      <c r="G909" s="305" t="s">
        <v>1227</v>
      </c>
      <c r="H909" s="307" t="s">
        <v>1442</v>
      </c>
      <c r="I909" s="308"/>
      <c r="J909" s="306"/>
      <c r="K909" s="329">
        <v>108</v>
      </c>
      <c r="L909" s="310"/>
      <c r="M909" s="310"/>
      <c r="N909" s="310">
        <v>44516</v>
      </c>
      <c r="O909" s="309">
        <v>3666</v>
      </c>
      <c r="P909" s="302"/>
      <c r="Q909" s="527">
        <v>108</v>
      </c>
      <c r="S909" s="536">
        <v>5695</v>
      </c>
      <c r="T909" s="321">
        <v>5695</v>
      </c>
      <c r="U909" s="515"/>
      <c r="V909" s="494">
        <v>90</v>
      </c>
    </row>
    <row r="910" spans="1:22" s="7" customFormat="1" ht="15" customHeight="1">
      <c r="A910" s="1"/>
      <c r="B910" s="12"/>
      <c r="C910" s="6" t="s">
        <v>2128</v>
      </c>
      <c r="D910" s="15" t="s">
        <v>2129</v>
      </c>
      <c r="E910" s="20" t="s">
        <v>2130</v>
      </c>
      <c r="F910" s="26"/>
      <c r="G910" s="24"/>
      <c r="H910" s="45"/>
      <c r="I910" s="68"/>
      <c r="J910" s="67"/>
      <c r="K910" s="17" t="s">
        <v>10</v>
      </c>
      <c r="L910" s="39"/>
      <c r="M910" s="39"/>
      <c r="N910" s="39">
        <v>44518</v>
      </c>
      <c r="O910" s="38">
        <v>3679</v>
      </c>
      <c r="P910" s="6"/>
      <c r="Q910" s="482"/>
      <c r="S910" s="489"/>
      <c r="T910" s="113"/>
      <c r="U910" s="500"/>
      <c r="V910" s="494">
        <v>90</v>
      </c>
    </row>
    <row r="911" spans="1:22" s="7" customFormat="1" ht="15" customHeight="1">
      <c r="A911" s="1"/>
      <c r="B911" s="12" t="s">
        <v>1856</v>
      </c>
      <c r="C911" s="6" t="s">
        <v>2128</v>
      </c>
      <c r="D911" s="15" t="s">
        <v>2129</v>
      </c>
      <c r="E911" s="24">
        <v>5287</v>
      </c>
      <c r="F911" s="26" t="s">
        <v>502</v>
      </c>
      <c r="G911" s="24" t="s">
        <v>2131</v>
      </c>
      <c r="H911" s="151">
        <v>50</v>
      </c>
      <c r="I911" s="152">
        <v>2</v>
      </c>
      <c r="J911" s="67">
        <f>H911*I911</f>
        <v>100</v>
      </c>
      <c r="K911" s="46">
        <v>0.32</v>
      </c>
      <c r="L911" s="46">
        <f>K911*J911</f>
        <v>32</v>
      </c>
      <c r="M911" s="112"/>
      <c r="N911" s="39">
        <v>44518</v>
      </c>
      <c r="O911" s="38">
        <v>3679</v>
      </c>
      <c r="P911" s="46">
        <f>K911*(VLOOKUP(B911,$C$2:$F$6,3,FALSE))</f>
        <v>0.28160000000000002</v>
      </c>
      <c r="Q911" s="482">
        <v>0.28000000000000003</v>
      </c>
      <c r="S911" s="489">
        <v>17</v>
      </c>
      <c r="T911" s="567">
        <f>S911*J911</f>
        <v>1700</v>
      </c>
      <c r="U911" s="1862"/>
      <c r="V911" s="494">
        <v>90</v>
      </c>
    </row>
    <row r="912" spans="1:22" s="7" customFormat="1" ht="15" customHeight="1">
      <c r="A912" s="1"/>
      <c r="B912" s="12" t="s">
        <v>1856</v>
      </c>
      <c r="C912" s="6" t="s">
        <v>2128</v>
      </c>
      <c r="D912" s="15" t="s">
        <v>2129</v>
      </c>
      <c r="E912" s="24">
        <v>5287</v>
      </c>
      <c r="F912" s="26" t="s">
        <v>502</v>
      </c>
      <c r="G912" s="24" t="s">
        <v>363</v>
      </c>
      <c r="H912" s="151">
        <v>50</v>
      </c>
      <c r="I912" s="152">
        <v>2</v>
      </c>
      <c r="J912" s="67">
        <f>H912*I912</f>
        <v>100</v>
      </c>
      <c r="K912" s="46">
        <v>0.32</v>
      </c>
      <c r="L912" s="46">
        <f>K912*J912</f>
        <v>32</v>
      </c>
      <c r="M912" s="112"/>
      <c r="N912" s="39">
        <v>44518</v>
      </c>
      <c r="O912" s="38">
        <v>3679</v>
      </c>
      <c r="P912" s="46">
        <f>K912*(VLOOKUP(B912,$C$2:$F$6,3,FALSE))</f>
        <v>0.28160000000000002</v>
      </c>
      <c r="Q912" s="482">
        <v>0.28000000000000003</v>
      </c>
      <c r="S912" s="489">
        <v>17</v>
      </c>
      <c r="T912" s="567">
        <f>S912*J912</f>
        <v>1700</v>
      </c>
      <c r="U912" s="1862"/>
      <c r="V912" s="494">
        <v>90</v>
      </c>
    </row>
    <row r="913" spans="1:22" s="7" customFormat="1" ht="15" customHeight="1">
      <c r="A913" s="1"/>
      <c r="B913" s="12" t="s">
        <v>1856</v>
      </c>
      <c r="C913" s="6" t="s">
        <v>2128</v>
      </c>
      <c r="D913" s="15" t="s">
        <v>2129</v>
      </c>
      <c r="E913" s="24">
        <v>5287</v>
      </c>
      <c r="F913" s="26" t="s">
        <v>502</v>
      </c>
      <c r="G913" s="24" t="s">
        <v>46</v>
      </c>
      <c r="H913" s="151">
        <v>50</v>
      </c>
      <c r="I913" s="152">
        <v>2</v>
      </c>
      <c r="J913" s="67">
        <f>H913*I913</f>
        <v>100</v>
      </c>
      <c r="K913" s="46">
        <v>0.32</v>
      </c>
      <c r="L913" s="46">
        <f>K913*J913</f>
        <v>32</v>
      </c>
      <c r="M913" s="112"/>
      <c r="N913" s="39">
        <v>44518</v>
      </c>
      <c r="O913" s="38">
        <v>3679</v>
      </c>
      <c r="P913" s="46">
        <f>K913*(VLOOKUP(B913,$C$2:$F$6,3,FALSE))</f>
        <v>0.28160000000000002</v>
      </c>
      <c r="Q913" s="482">
        <v>0.28000000000000003</v>
      </c>
      <c r="S913" s="489">
        <v>17</v>
      </c>
      <c r="T913" s="567">
        <f>S913*J913</f>
        <v>1700</v>
      </c>
      <c r="U913" s="1862"/>
      <c r="V913" s="494">
        <v>90</v>
      </c>
    </row>
    <row r="914" spans="1:22" ht="15.95" customHeight="1">
      <c r="C914" s="6" t="s">
        <v>2128</v>
      </c>
      <c r="D914" s="15" t="s">
        <v>2129</v>
      </c>
      <c r="E914" s="24"/>
      <c r="F914" s="138"/>
      <c r="G914" s="44" t="s">
        <v>1993</v>
      </c>
      <c r="H914" s="8"/>
      <c r="I914" s="41"/>
      <c r="J914" s="45">
        <v>1</v>
      </c>
      <c r="K914" s="46">
        <v>12</v>
      </c>
      <c r="L914" s="46">
        <f>K914*J914</f>
        <v>12</v>
      </c>
      <c r="M914" s="112"/>
      <c r="N914" s="39">
        <v>44518</v>
      </c>
      <c r="O914" s="38">
        <v>3679</v>
      </c>
      <c r="P914" s="179"/>
      <c r="Q914" s="483">
        <v>12</v>
      </c>
      <c r="S914" s="489">
        <v>1000</v>
      </c>
      <c r="T914" s="567">
        <f>S914*J914</f>
        <v>1000</v>
      </c>
      <c r="U914" s="511"/>
      <c r="V914" s="494">
        <v>90</v>
      </c>
    </row>
    <row r="915" spans="1:22" s="314" customFormat="1" ht="15">
      <c r="A915" s="1"/>
      <c r="B915" s="313"/>
      <c r="C915" s="302" t="s">
        <v>2128</v>
      </c>
      <c r="D915" s="303" t="s">
        <v>2129</v>
      </c>
      <c r="E915" s="304"/>
      <c r="F915" s="305"/>
      <c r="G915" s="305" t="s">
        <v>1227</v>
      </c>
      <c r="H915" s="307" t="s">
        <v>2135</v>
      </c>
      <c r="I915" s="308"/>
      <c r="J915" s="306"/>
      <c r="K915" s="315">
        <v>0</v>
      </c>
      <c r="L915" s="310"/>
      <c r="M915" s="310"/>
      <c r="N915" s="310">
        <v>44518</v>
      </c>
      <c r="O915" s="309">
        <v>3679</v>
      </c>
      <c r="P915" s="302"/>
      <c r="Q915" s="485">
        <v>0</v>
      </c>
      <c r="S915" s="535">
        <v>0</v>
      </c>
      <c r="T915" s="322">
        <v>0</v>
      </c>
      <c r="U915" s="515"/>
      <c r="V915" s="494">
        <v>90</v>
      </c>
    </row>
    <row r="916" spans="1:22" s="7" customFormat="1" ht="15" customHeight="1">
      <c r="A916" s="1"/>
      <c r="B916" s="12"/>
      <c r="C916" s="6" t="s">
        <v>2136</v>
      </c>
      <c r="D916" s="15" t="s">
        <v>8</v>
      </c>
      <c r="E916" s="20" t="s">
        <v>628</v>
      </c>
      <c r="F916" s="26"/>
      <c r="G916" s="24"/>
      <c r="H916" s="67"/>
      <c r="I916" s="68"/>
      <c r="J916" s="67"/>
      <c r="K916" s="17" t="s">
        <v>134</v>
      </c>
      <c r="L916" s="39"/>
      <c r="M916" s="39"/>
      <c r="N916" s="39">
        <v>44518</v>
      </c>
      <c r="O916" s="38">
        <v>3680</v>
      </c>
      <c r="P916" s="179" t="s">
        <v>23</v>
      </c>
      <c r="Q916" s="438" t="s">
        <v>959</v>
      </c>
      <c r="S916" s="489"/>
      <c r="T916" s="113"/>
      <c r="U916" s="510"/>
      <c r="V916" s="494">
        <v>90</v>
      </c>
    </row>
    <row r="917" spans="1:22" s="7" customFormat="1" ht="18" customHeight="1">
      <c r="A917" s="1"/>
      <c r="B917" s="12" t="s">
        <v>1856</v>
      </c>
      <c r="C917" s="6" t="s">
        <v>2136</v>
      </c>
      <c r="D917" s="15" t="s">
        <v>8</v>
      </c>
      <c r="E917" s="24">
        <v>5291</v>
      </c>
      <c r="F917" s="26">
        <v>4</v>
      </c>
      <c r="G917" s="24" t="s">
        <v>1751</v>
      </c>
      <c r="H917" s="67">
        <v>50</v>
      </c>
      <c r="I917" s="68">
        <v>4</v>
      </c>
      <c r="J917" s="67">
        <f>H917*I917</f>
        <v>200</v>
      </c>
      <c r="K917" s="46">
        <v>0.13</v>
      </c>
      <c r="L917" s="46">
        <f>K917*J917</f>
        <v>26</v>
      </c>
      <c r="M917" s="112"/>
      <c r="N917" s="39">
        <v>44518</v>
      </c>
      <c r="O917" s="38">
        <v>3680</v>
      </c>
      <c r="P917" s="46">
        <f>K917*(VLOOKUP(B917,$C$2:$F$6,3,FALSE))</f>
        <v>0.1144</v>
      </c>
      <c r="Q917" s="180">
        <v>0.11</v>
      </c>
      <c r="S917" s="489">
        <v>6.4</v>
      </c>
      <c r="T917" s="113">
        <f>S917*J917</f>
        <v>1280</v>
      </c>
      <c r="U917" s="511"/>
      <c r="V917" s="494">
        <v>90</v>
      </c>
    </row>
    <row r="918" spans="1:22" s="7" customFormat="1" ht="15" customHeight="1">
      <c r="A918" s="1"/>
      <c r="B918" s="12"/>
      <c r="C918" s="6" t="s">
        <v>2136</v>
      </c>
      <c r="D918" s="15" t="s">
        <v>8</v>
      </c>
      <c r="E918" s="20" t="s">
        <v>337</v>
      </c>
      <c r="F918" s="26"/>
      <c r="G918" s="24"/>
      <c r="H918" s="45"/>
      <c r="I918" s="68"/>
      <c r="J918" s="67"/>
      <c r="K918" s="17" t="s">
        <v>10</v>
      </c>
      <c r="L918" s="39"/>
      <c r="M918" s="39"/>
      <c r="N918" s="39">
        <v>44518</v>
      </c>
      <c r="O918" s="38">
        <v>3680</v>
      </c>
      <c r="P918" s="6"/>
      <c r="Q918" s="482"/>
      <c r="S918" s="489"/>
      <c r="T918" s="113"/>
      <c r="U918" s="500"/>
      <c r="V918" s="494">
        <v>90</v>
      </c>
    </row>
    <row r="919" spans="1:22" s="7" customFormat="1" ht="15">
      <c r="A919" s="1"/>
      <c r="B919" s="12" t="s">
        <v>1856</v>
      </c>
      <c r="C919" s="6" t="s">
        <v>2136</v>
      </c>
      <c r="D919" s="15" t="s">
        <v>8</v>
      </c>
      <c r="E919" s="24">
        <v>3705</v>
      </c>
      <c r="F919" s="26">
        <v>6</v>
      </c>
      <c r="G919" s="24" t="s">
        <v>2137</v>
      </c>
      <c r="H919" s="151">
        <v>30</v>
      </c>
      <c r="I919" s="152">
        <v>1</v>
      </c>
      <c r="J919" s="67">
        <f>H919*I919</f>
        <v>30</v>
      </c>
      <c r="K919" s="46">
        <v>0.28999999999999998</v>
      </c>
      <c r="L919" s="46">
        <f>K919*J919</f>
        <v>8.6999999999999993</v>
      </c>
      <c r="M919" s="112"/>
      <c r="N919" s="39">
        <v>44518</v>
      </c>
      <c r="O919" s="38">
        <v>3680</v>
      </c>
      <c r="P919" s="46">
        <f>K919*(VLOOKUP(B919,$C$2:$F$6,3,FALSE))</f>
        <v>0.25519999999999998</v>
      </c>
      <c r="Q919" s="483">
        <v>0.26</v>
      </c>
      <c r="S919" s="489">
        <v>13</v>
      </c>
      <c r="T919" s="567">
        <f>S919*J919</f>
        <v>390</v>
      </c>
      <c r="U919" s="1862" t="s">
        <v>2067</v>
      </c>
      <c r="V919" s="494">
        <v>90</v>
      </c>
    </row>
    <row r="920" spans="1:22" ht="15.95" customHeight="1">
      <c r="C920" s="6" t="s">
        <v>2136</v>
      </c>
      <c r="D920" s="15" t="s">
        <v>8</v>
      </c>
      <c r="E920" s="24"/>
      <c r="F920" s="138"/>
      <c r="G920" s="44" t="s">
        <v>1993</v>
      </c>
      <c r="H920" s="8"/>
      <c r="I920" s="41"/>
      <c r="J920" s="45">
        <v>2</v>
      </c>
      <c r="K920" s="46">
        <v>12</v>
      </c>
      <c r="L920" s="46">
        <f>K920*J920</f>
        <v>24</v>
      </c>
      <c r="M920" s="112"/>
      <c r="N920" s="39">
        <v>44518</v>
      </c>
      <c r="O920" s="38">
        <v>3680</v>
      </c>
      <c r="P920" s="179"/>
      <c r="Q920" s="180">
        <v>24</v>
      </c>
      <c r="S920" s="498">
        <v>850</v>
      </c>
      <c r="T920" s="356">
        <v>850</v>
      </c>
      <c r="U920" s="511"/>
      <c r="V920" s="494">
        <v>90</v>
      </c>
    </row>
    <row r="921" spans="1:22" s="314" customFormat="1" ht="15" customHeight="1">
      <c r="A921" s="1"/>
      <c r="B921" s="313"/>
      <c r="C921" s="302" t="s">
        <v>2136</v>
      </c>
      <c r="D921" s="303" t="s">
        <v>8</v>
      </c>
      <c r="E921" s="304"/>
      <c r="F921" s="305"/>
      <c r="G921" s="305" t="s">
        <v>1227</v>
      </c>
      <c r="H921" s="307" t="s">
        <v>1228</v>
      </c>
      <c r="I921" s="308"/>
      <c r="J921" s="306"/>
      <c r="K921" s="315">
        <v>0</v>
      </c>
      <c r="L921" s="310"/>
      <c r="M921" s="310"/>
      <c r="N921" s="310">
        <v>44518</v>
      </c>
      <c r="O921" s="309">
        <v>3680</v>
      </c>
      <c r="P921" s="302"/>
      <c r="Q921" s="485">
        <v>0</v>
      </c>
      <c r="S921" s="535">
        <v>0</v>
      </c>
      <c r="T921" s="322">
        <v>0</v>
      </c>
      <c r="U921" s="515"/>
      <c r="V921" s="494">
        <v>90</v>
      </c>
    </row>
    <row r="922" spans="1:22" ht="18" customHeight="1">
      <c r="C922" s="6" t="s">
        <v>2138</v>
      </c>
      <c r="D922" s="15" t="s">
        <v>892</v>
      </c>
      <c r="E922" s="20" t="s">
        <v>1468</v>
      </c>
      <c r="F922" s="44"/>
      <c r="G922" s="44"/>
      <c r="H922" s="151"/>
      <c r="I922" s="151"/>
      <c r="J922" s="151"/>
      <c r="K922" s="34" t="s">
        <v>134</v>
      </c>
      <c r="L922" s="39"/>
      <c r="M922" s="39"/>
      <c r="N922" s="39">
        <v>44522</v>
      </c>
      <c r="O922" s="38">
        <v>3681</v>
      </c>
      <c r="P922" s="6"/>
      <c r="Q922" s="524"/>
      <c r="S922" s="489"/>
      <c r="T922" s="113"/>
      <c r="U922" s="501"/>
      <c r="V922" s="494">
        <v>90</v>
      </c>
    </row>
    <row r="923" spans="1:22" ht="18" customHeight="1">
      <c r="B923" s="28" t="s">
        <v>1856</v>
      </c>
      <c r="C923" s="6" t="s">
        <v>2142</v>
      </c>
      <c r="D923" s="15" t="s">
        <v>892</v>
      </c>
      <c r="E923" s="20" t="s">
        <v>1460</v>
      </c>
      <c r="F923" s="44">
        <v>5</v>
      </c>
      <c r="G923" s="24" t="s">
        <v>2139</v>
      </c>
      <c r="H923" s="151">
        <v>25</v>
      </c>
      <c r="I923" s="152">
        <v>6</v>
      </c>
      <c r="J923" s="67">
        <f>H923*I923</f>
        <v>150</v>
      </c>
      <c r="K923" s="46">
        <v>2.4500000000000002</v>
      </c>
      <c r="L923" s="46">
        <f>K923*J923</f>
        <v>367.5</v>
      </c>
      <c r="M923" s="112"/>
      <c r="N923" s="39">
        <v>44522</v>
      </c>
      <c r="O923" s="38">
        <v>3681</v>
      </c>
      <c r="P923" s="46">
        <f>K923*(VLOOKUP(B923,$C$2:$F$6,3,FALSE))</f>
        <v>2.1560000000000001</v>
      </c>
      <c r="Q923" s="482">
        <v>2.16</v>
      </c>
      <c r="S923" s="489">
        <v>132</v>
      </c>
      <c r="T923" s="567">
        <f>S923*J923</f>
        <v>19800</v>
      </c>
      <c r="U923" s="507"/>
      <c r="V923" s="494">
        <v>90</v>
      </c>
    </row>
    <row r="924" spans="1:22" s="7" customFormat="1" ht="15.95" customHeight="1">
      <c r="A924" s="1"/>
      <c r="B924" s="12"/>
      <c r="C924" s="6" t="s">
        <v>2142</v>
      </c>
      <c r="D924" s="15" t="s">
        <v>892</v>
      </c>
      <c r="E924" s="24"/>
      <c r="F924" s="138"/>
      <c r="G924" s="44" t="s">
        <v>1993</v>
      </c>
      <c r="H924" s="8"/>
      <c r="I924" s="41"/>
      <c r="J924" s="45">
        <v>1</v>
      </c>
      <c r="K924" s="46">
        <v>12</v>
      </c>
      <c r="L924" s="46">
        <f>K924*J924</f>
        <v>12</v>
      </c>
      <c r="M924" s="112"/>
      <c r="N924" s="39">
        <v>44522</v>
      </c>
      <c r="O924" s="38">
        <v>3681</v>
      </c>
      <c r="P924" s="6"/>
      <c r="Q924" s="483">
        <v>12</v>
      </c>
      <c r="S924" s="489">
        <v>0</v>
      </c>
      <c r="T924" s="567">
        <f>S924*J924</f>
        <v>0</v>
      </c>
      <c r="U924" s="501"/>
      <c r="V924" s="494">
        <v>90</v>
      </c>
    </row>
    <row r="925" spans="1:22" ht="18" customHeight="1">
      <c r="B925" s="28" t="s">
        <v>1856</v>
      </c>
      <c r="C925" s="6" t="s">
        <v>2143</v>
      </c>
      <c r="D925" s="15" t="s">
        <v>892</v>
      </c>
      <c r="E925" s="20" t="s">
        <v>1461</v>
      </c>
      <c r="F925" s="44">
        <v>7</v>
      </c>
      <c r="G925" s="24" t="s">
        <v>2140</v>
      </c>
      <c r="H925" s="151">
        <v>25</v>
      </c>
      <c r="I925" s="152">
        <v>2</v>
      </c>
      <c r="J925" s="67">
        <f>H925*I925</f>
        <v>50</v>
      </c>
      <c r="K925" s="46">
        <v>3.08</v>
      </c>
      <c r="L925" s="46">
        <f>K925*J925</f>
        <v>154</v>
      </c>
      <c r="M925" s="112"/>
      <c r="N925" s="39">
        <v>44522</v>
      </c>
      <c r="O925" s="38">
        <v>3682</v>
      </c>
      <c r="P925" s="46">
        <f>K925*(VLOOKUP(B925,$C$2:$F$6,3,FALSE))</f>
        <v>2.7103999999999999</v>
      </c>
      <c r="Q925" s="482">
        <v>2.71</v>
      </c>
      <c r="S925" s="489">
        <v>166</v>
      </c>
      <c r="T925" s="567">
        <f>S925*J925</f>
        <v>8300</v>
      </c>
      <c r="U925" s="507"/>
      <c r="V925" s="494">
        <v>90</v>
      </c>
    </row>
    <row r="926" spans="1:22" ht="18" customHeight="1">
      <c r="B926" s="28" t="s">
        <v>1856</v>
      </c>
      <c r="C926" s="6" t="s">
        <v>2143</v>
      </c>
      <c r="D926" s="15" t="s">
        <v>892</v>
      </c>
      <c r="E926" s="20" t="s">
        <v>1461</v>
      </c>
      <c r="F926" s="44">
        <v>7</v>
      </c>
      <c r="G926" s="24" t="s">
        <v>2141</v>
      </c>
      <c r="H926" s="151">
        <v>25</v>
      </c>
      <c r="I926" s="152">
        <v>1</v>
      </c>
      <c r="J926" s="67">
        <f>H926*I926</f>
        <v>25</v>
      </c>
      <c r="K926" s="46">
        <v>3.08</v>
      </c>
      <c r="L926" s="46">
        <f>K926*J926</f>
        <v>77</v>
      </c>
      <c r="M926" s="112"/>
      <c r="N926" s="39">
        <v>44522</v>
      </c>
      <c r="O926" s="38">
        <v>3682</v>
      </c>
      <c r="P926" s="46">
        <f>K926*(VLOOKUP(B926,$C$2:$F$6,3,FALSE))</f>
        <v>2.7103999999999999</v>
      </c>
      <c r="Q926" s="482">
        <v>2.71</v>
      </c>
      <c r="S926" s="489">
        <v>166</v>
      </c>
      <c r="T926" s="567">
        <f>S926*J926</f>
        <v>4150</v>
      </c>
      <c r="U926" s="507"/>
      <c r="V926" s="494">
        <v>90</v>
      </c>
    </row>
    <row r="927" spans="1:22" s="314" customFormat="1" ht="15" customHeight="1">
      <c r="A927" s="1"/>
      <c r="B927" s="313"/>
      <c r="C927" s="302" t="s">
        <v>2138</v>
      </c>
      <c r="D927" s="303" t="s">
        <v>892</v>
      </c>
      <c r="E927" s="304"/>
      <c r="F927" s="305"/>
      <c r="G927" s="305" t="s">
        <v>1227</v>
      </c>
      <c r="H927" s="307" t="s">
        <v>1228</v>
      </c>
      <c r="I927" s="308"/>
      <c r="J927" s="306"/>
      <c r="K927" s="315">
        <v>0</v>
      </c>
      <c r="L927" s="310"/>
      <c r="M927" s="310"/>
      <c r="N927" s="310">
        <v>44522</v>
      </c>
      <c r="O927" s="309">
        <v>3682</v>
      </c>
      <c r="P927" s="302"/>
      <c r="Q927" s="485">
        <v>0</v>
      </c>
      <c r="S927" s="536">
        <v>0</v>
      </c>
      <c r="T927" s="322">
        <v>0</v>
      </c>
      <c r="U927" s="515"/>
      <c r="V927" s="494">
        <v>90</v>
      </c>
    </row>
    <row r="928" spans="1:22" s="7" customFormat="1" ht="15">
      <c r="A928" s="1"/>
      <c r="B928" s="12"/>
      <c r="C928" s="6"/>
      <c r="D928" s="15" t="s">
        <v>1056</v>
      </c>
      <c r="E928" s="20" t="s">
        <v>2148</v>
      </c>
      <c r="F928" s="44"/>
      <c r="G928" s="44"/>
      <c r="H928" s="151"/>
      <c r="I928" s="151"/>
      <c r="J928" s="151"/>
      <c r="K928" s="34" t="s">
        <v>1027</v>
      </c>
      <c r="L928" s="39"/>
      <c r="M928" s="39"/>
      <c r="N928" s="213"/>
      <c r="O928" s="38"/>
      <c r="P928" s="6"/>
      <c r="Q928" s="524"/>
      <c r="S928" s="489"/>
      <c r="T928" s="113"/>
      <c r="U928" s="501"/>
      <c r="V928" s="494">
        <v>90</v>
      </c>
    </row>
    <row r="929" spans="1:22" s="7" customFormat="1" ht="15" customHeight="1">
      <c r="A929" s="1"/>
      <c r="B929" s="12" t="s">
        <v>1856</v>
      </c>
      <c r="C929" s="6"/>
      <c r="D929" s="15" t="s">
        <v>1056</v>
      </c>
      <c r="E929" s="95" t="s">
        <v>2149</v>
      </c>
      <c r="F929" s="44" t="s">
        <v>2150</v>
      </c>
      <c r="G929" s="267" t="s">
        <v>2151</v>
      </c>
      <c r="H929" s="261"/>
      <c r="I929" s="261"/>
      <c r="J929" s="261">
        <v>300</v>
      </c>
      <c r="K929" s="46">
        <v>0.45</v>
      </c>
      <c r="L929" s="46">
        <f>K929*J929</f>
        <v>135</v>
      </c>
      <c r="M929" s="112"/>
      <c r="N929" s="213"/>
      <c r="O929" s="38"/>
      <c r="P929" s="46">
        <f>K929*(VLOOKUP(B929,$C$2:$F$6,3,FALSE))</f>
        <v>0.39600000000000002</v>
      </c>
      <c r="Q929" s="483">
        <v>0.38</v>
      </c>
      <c r="S929" s="489">
        <v>24.1</v>
      </c>
      <c r="T929" s="567">
        <f>S929*J929</f>
        <v>7230</v>
      </c>
      <c r="U929" s="507"/>
      <c r="V929" s="494">
        <v>90</v>
      </c>
    </row>
    <row r="930" spans="1:22" s="7" customFormat="1" ht="15" customHeight="1">
      <c r="A930" s="1"/>
      <c r="B930" s="12" t="s">
        <v>1856</v>
      </c>
      <c r="C930" s="6"/>
      <c r="D930" s="15" t="s">
        <v>1056</v>
      </c>
      <c r="E930" s="95" t="s">
        <v>2152</v>
      </c>
      <c r="F930" s="44" t="s">
        <v>2150</v>
      </c>
      <c r="G930" s="267" t="s">
        <v>2153</v>
      </c>
      <c r="H930" s="261"/>
      <c r="I930" s="261"/>
      <c r="J930" s="261">
        <v>300</v>
      </c>
      <c r="K930" s="46">
        <v>0.6</v>
      </c>
      <c r="L930" s="46">
        <f>K930*J930</f>
        <v>180</v>
      </c>
      <c r="M930" s="112"/>
      <c r="N930" s="213"/>
      <c r="O930" s="38"/>
      <c r="P930" s="46">
        <f>K930*(VLOOKUP(B930,$C$2:$F$6,3,FALSE))</f>
        <v>0.52800000000000002</v>
      </c>
      <c r="Q930" s="483">
        <v>0.53</v>
      </c>
      <c r="S930" s="489">
        <v>32</v>
      </c>
      <c r="T930" s="567">
        <f>S930*J930</f>
        <v>9600</v>
      </c>
      <c r="U930" s="507"/>
      <c r="V930" s="494">
        <v>90</v>
      </c>
    </row>
    <row r="931" spans="1:22" s="7" customFormat="1" ht="15" customHeight="1">
      <c r="A931" s="1"/>
      <c r="B931" s="12"/>
      <c r="C931" s="6"/>
      <c r="D931" s="15" t="s">
        <v>1056</v>
      </c>
      <c r="E931" s="24"/>
      <c r="F931" s="138"/>
      <c r="G931" s="44" t="s">
        <v>1993</v>
      </c>
      <c r="H931" s="8"/>
      <c r="I931" s="41"/>
      <c r="J931" s="45">
        <v>1</v>
      </c>
      <c r="K931" s="46">
        <v>12</v>
      </c>
      <c r="L931" s="39"/>
      <c r="M931" s="39"/>
      <c r="N931" s="213"/>
      <c r="O931" s="38"/>
      <c r="P931" s="6"/>
      <c r="Q931" s="483">
        <v>12</v>
      </c>
      <c r="S931" s="489">
        <v>1100</v>
      </c>
      <c r="T931" s="567">
        <f>S931*J931</f>
        <v>1100</v>
      </c>
      <c r="U931" s="501"/>
      <c r="V931" s="494">
        <v>90</v>
      </c>
    </row>
    <row r="932" spans="1:22" s="314" customFormat="1" ht="15" customHeight="1">
      <c r="A932" s="1"/>
      <c r="B932" s="313"/>
      <c r="C932" s="302"/>
      <c r="D932" s="303" t="s">
        <v>1056</v>
      </c>
      <c r="E932" s="304"/>
      <c r="F932" s="305"/>
      <c r="G932" s="305" t="s">
        <v>1227</v>
      </c>
      <c r="H932" s="307" t="s">
        <v>1228</v>
      </c>
      <c r="I932" s="308"/>
      <c r="J932" s="306"/>
      <c r="K932" s="315">
        <v>0</v>
      </c>
      <c r="L932" s="310"/>
      <c r="M932" s="310"/>
      <c r="N932" s="311"/>
      <c r="O932" s="309"/>
      <c r="P932" s="302"/>
      <c r="Q932" s="485">
        <v>0</v>
      </c>
      <c r="S932" s="535">
        <v>0</v>
      </c>
      <c r="T932" s="322">
        <v>0</v>
      </c>
      <c r="U932" s="515"/>
      <c r="V932" s="494">
        <v>90</v>
      </c>
    </row>
    <row r="933" spans="1:22" s="7" customFormat="1" ht="15" customHeight="1">
      <c r="A933" s="1"/>
      <c r="B933" s="12"/>
      <c r="C933" s="6" t="s">
        <v>2164</v>
      </c>
      <c r="D933" s="15" t="s">
        <v>169</v>
      </c>
      <c r="E933" s="20" t="s">
        <v>27</v>
      </c>
      <c r="F933" s="150"/>
      <c r="G933" s="24"/>
      <c r="H933" s="151"/>
      <c r="I933" s="152"/>
      <c r="J933" s="151"/>
      <c r="K933" s="34" t="s">
        <v>10</v>
      </c>
      <c r="L933" s="39"/>
      <c r="M933" s="39"/>
      <c r="N933" s="39">
        <v>44526</v>
      </c>
      <c r="O933" s="38">
        <v>3696</v>
      </c>
      <c r="P933" s="15"/>
      <c r="Q933" s="483"/>
      <c r="S933" s="489"/>
      <c r="T933" s="113"/>
      <c r="U933" s="506"/>
      <c r="V933" s="494">
        <v>90</v>
      </c>
    </row>
    <row r="934" spans="1:22" s="7" customFormat="1" ht="15">
      <c r="A934" s="1"/>
      <c r="B934" s="12" t="s">
        <v>1858</v>
      </c>
      <c r="C934" s="6" t="s">
        <v>2164</v>
      </c>
      <c r="D934" s="15" t="s">
        <v>169</v>
      </c>
      <c r="E934" s="24" t="s">
        <v>536</v>
      </c>
      <c r="F934" s="150">
        <v>160</v>
      </c>
      <c r="G934" s="24" t="s">
        <v>2030</v>
      </c>
      <c r="H934" s="67">
        <v>12</v>
      </c>
      <c r="I934" s="68">
        <v>1</v>
      </c>
      <c r="J934" s="67">
        <f>H934*I934</f>
        <v>12</v>
      </c>
      <c r="K934" s="25">
        <v>4.45</v>
      </c>
      <c r="L934" s="46">
        <f>K934*J934</f>
        <v>53.400000000000006</v>
      </c>
      <c r="M934" s="112"/>
      <c r="N934" s="39">
        <v>44526</v>
      </c>
      <c r="O934" s="38">
        <v>3696</v>
      </c>
      <c r="P934" s="46">
        <f>K934*(VLOOKUP(B934,$C$2:$F$6,3,FALSE))</f>
        <v>4.1829999999999998</v>
      </c>
      <c r="Q934" s="483">
        <v>4.18</v>
      </c>
      <c r="S934" s="532">
        <v>320</v>
      </c>
      <c r="T934" s="567">
        <f>S934*J934</f>
        <v>3840</v>
      </c>
      <c r="U934" s="501"/>
      <c r="V934" s="494">
        <v>90</v>
      </c>
    </row>
    <row r="935" spans="1:22" ht="15.95" customHeight="1">
      <c r="B935" s="28" t="s">
        <v>1862</v>
      </c>
      <c r="C935" s="6" t="s">
        <v>2164</v>
      </c>
      <c r="D935" s="15" t="s">
        <v>169</v>
      </c>
      <c r="E935" s="24"/>
      <c r="F935" s="138"/>
      <c r="G935" s="44" t="s">
        <v>1993</v>
      </c>
      <c r="H935" s="8"/>
      <c r="I935" s="41"/>
      <c r="J935" s="45">
        <v>1</v>
      </c>
      <c r="K935" s="46">
        <v>20</v>
      </c>
      <c r="L935" s="46">
        <f>K935*J935</f>
        <v>20</v>
      </c>
      <c r="M935" s="112"/>
      <c r="N935" s="39">
        <v>44526</v>
      </c>
      <c r="O935" s="38">
        <v>3696</v>
      </c>
      <c r="P935" s="46">
        <v>20</v>
      </c>
      <c r="Q935" s="180">
        <v>20</v>
      </c>
      <c r="S935" s="498">
        <f>1000+1000</f>
        <v>2000</v>
      </c>
      <c r="T935" s="567">
        <f>S935*J935</f>
        <v>2000</v>
      </c>
      <c r="U935" s="511"/>
      <c r="V935" s="494">
        <v>90</v>
      </c>
    </row>
    <row r="936" spans="1:22" s="314" customFormat="1" ht="15">
      <c r="A936" s="1"/>
      <c r="B936" s="313"/>
      <c r="C936" s="302" t="s">
        <v>2164</v>
      </c>
      <c r="D936" s="303" t="s">
        <v>169</v>
      </c>
      <c r="E936" s="304"/>
      <c r="F936" s="305"/>
      <c r="G936" s="305" t="s">
        <v>1227</v>
      </c>
      <c r="H936" s="307" t="s">
        <v>1228</v>
      </c>
      <c r="I936" s="308"/>
      <c r="J936" s="306"/>
      <c r="K936" s="315">
        <v>0</v>
      </c>
      <c r="L936" s="310"/>
      <c r="M936" s="310"/>
      <c r="N936" s="310">
        <v>44526</v>
      </c>
      <c r="O936" s="309">
        <v>3696</v>
      </c>
      <c r="P936" s="302"/>
      <c r="Q936" s="485">
        <v>0</v>
      </c>
      <c r="S936" s="535">
        <v>0</v>
      </c>
      <c r="T936" s="322">
        <v>0</v>
      </c>
      <c r="U936" s="515"/>
      <c r="V936" s="494">
        <v>90</v>
      </c>
    </row>
    <row r="937" spans="1:22" ht="15">
      <c r="C937" s="6" t="s">
        <v>2165</v>
      </c>
      <c r="D937" s="15" t="s">
        <v>1992</v>
      </c>
      <c r="E937" s="20" t="s">
        <v>1550</v>
      </c>
      <c r="F937" s="26"/>
      <c r="G937" s="24"/>
      <c r="H937" s="67"/>
      <c r="I937" s="68"/>
      <c r="J937" s="67"/>
      <c r="K937" s="17" t="s">
        <v>134</v>
      </c>
      <c r="L937" s="39"/>
      <c r="M937" s="39"/>
      <c r="N937" s="39">
        <v>44529</v>
      </c>
      <c r="O937" s="38">
        <v>3705</v>
      </c>
      <c r="P937" s="6"/>
      <c r="Q937" s="481"/>
      <c r="S937" s="489"/>
      <c r="T937" s="113"/>
      <c r="U937" s="500"/>
      <c r="V937" s="494">
        <v>90</v>
      </c>
    </row>
    <row r="938" spans="1:22" ht="15">
      <c r="B938" s="28" t="s">
        <v>1856</v>
      </c>
      <c r="C938" s="6" t="s">
        <v>2165</v>
      </c>
      <c r="D938" s="15" t="s">
        <v>1992</v>
      </c>
      <c r="E938" s="24" t="s">
        <v>1941</v>
      </c>
      <c r="F938" s="26"/>
      <c r="G938" s="44" t="s">
        <v>129</v>
      </c>
      <c r="H938" s="67"/>
      <c r="I938" s="68"/>
      <c r="J938" s="67">
        <v>270</v>
      </c>
      <c r="K938" s="207">
        <v>1.52</v>
      </c>
      <c r="L938" s="46">
        <f>K938*J938</f>
        <v>410.4</v>
      </c>
      <c r="M938" s="112"/>
      <c r="N938" s="39">
        <v>44529</v>
      </c>
      <c r="O938" s="38">
        <v>3705</v>
      </c>
      <c r="P938" s="46">
        <f>K938*(VLOOKUP(B938,$C$2:$F$6,3,FALSE))</f>
        <v>1.3376000000000001</v>
      </c>
      <c r="Q938" s="483">
        <v>1.34</v>
      </c>
      <c r="S938" s="489">
        <v>82</v>
      </c>
      <c r="T938" s="567">
        <f>S938*J938</f>
        <v>22140</v>
      </c>
      <c r="U938" s="500"/>
      <c r="V938" s="494">
        <v>90</v>
      </c>
    </row>
    <row r="939" spans="1:22" ht="15">
      <c r="C939" s="6" t="s">
        <v>2165</v>
      </c>
      <c r="D939" s="15" t="s">
        <v>1992</v>
      </c>
      <c r="E939" s="24"/>
      <c r="F939" s="26"/>
      <c r="G939" s="44" t="s">
        <v>1993</v>
      </c>
      <c r="H939" s="67"/>
      <c r="I939" s="68"/>
      <c r="J939" s="45">
        <v>1</v>
      </c>
      <c r="K939" s="207">
        <v>12</v>
      </c>
      <c r="L939" s="46">
        <v>12</v>
      </c>
      <c r="M939" s="112"/>
      <c r="N939" s="39">
        <v>44529</v>
      </c>
      <c r="O939" s="38">
        <v>3705</v>
      </c>
      <c r="P939" s="46"/>
      <c r="Q939" s="483">
        <v>12</v>
      </c>
      <c r="S939" s="489">
        <v>0</v>
      </c>
      <c r="T939" s="567">
        <f>S939*J939</f>
        <v>0</v>
      </c>
      <c r="U939" s="500"/>
      <c r="V939" s="494">
        <v>90</v>
      </c>
    </row>
    <row r="940" spans="1:22" s="314" customFormat="1" ht="15" customHeight="1">
      <c r="A940" s="1"/>
      <c r="B940" s="313"/>
      <c r="C940" s="302" t="s">
        <v>2165</v>
      </c>
      <c r="D940" s="303" t="s">
        <v>1992</v>
      </c>
      <c r="E940" s="304"/>
      <c r="F940" s="305"/>
      <c r="G940" s="305" t="s">
        <v>1227</v>
      </c>
      <c r="H940" s="307" t="s">
        <v>1228</v>
      </c>
      <c r="I940" s="308"/>
      <c r="J940" s="614"/>
      <c r="K940" s="316">
        <v>0</v>
      </c>
      <c r="L940" s="310"/>
      <c r="M940" s="310"/>
      <c r="N940" s="310">
        <v>44529</v>
      </c>
      <c r="O940" s="309">
        <v>3705</v>
      </c>
      <c r="P940" s="302"/>
      <c r="Q940" s="485">
        <v>0</v>
      </c>
      <c r="S940" s="536">
        <v>0</v>
      </c>
      <c r="T940" s="322">
        <v>0</v>
      </c>
      <c r="U940" s="515"/>
      <c r="V940" s="494">
        <v>90</v>
      </c>
    </row>
    <row r="941" spans="1:22" ht="18" customHeight="1">
      <c r="C941" s="6" t="s">
        <v>2167</v>
      </c>
      <c r="D941" s="15" t="s">
        <v>892</v>
      </c>
      <c r="E941" s="20" t="s">
        <v>1468</v>
      </c>
      <c r="F941" s="44"/>
      <c r="G941" s="44"/>
      <c r="H941" s="151"/>
      <c r="I941" s="151"/>
      <c r="J941" s="151"/>
      <c r="K941" s="34" t="s">
        <v>134</v>
      </c>
      <c r="L941" s="39"/>
      <c r="M941" s="39"/>
      <c r="N941" s="39">
        <v>44537</v>
      </c>
      <c r="O941" s="38">
        <v>3730</v>
      </c>
      <c r="P941" s="6"/>
      <c r="Q941" s="524"/>
      <c r="S941" s="489"/>
      <c r="T941" s="113"/>
      <c r="U941" s="501"/>
      <c r="V941" s="494">
        <v>90</v>
      </c>
    </row>
    <row r="942" spans="1:22" ht="18" customHeight="1">
      <c r="B942" s="28" t="s">
        <v>1856</v>
      </c>
      <c r="C942" s="6" t="s">
        <v>2167</v>
      </c>
      <c r="D942" s="15" t="s">
        <v>892</v>
      </c>
      <c r="E942" s="20" t="s">
        <v>1461</v>
      </c>
      <c r="F942" s="44">
        <v>7</v>
      </c>
      <c r="G942" s="24" t="s">
        <v>1473</v>
      </c>
      <c r="H942" s="151">
        <v>25</v>
      </c>
      <c r="I942" s="152">
        <v>1</v>
      </c>
      <c r="J942" s="67">
        <f>H942*I942</f>
        <v>25</v>
      </c>
      <c r="K942" s="46">
        <v>3.08</v>
      </c>
      <c r="L942" s="46">
        <f>K942*J942</f>
        <v>77</v>
      </c>
      <c r="M942" s="112"/>
      <c r="N942" s="39">
        <v>44537</v>
      </c>
      <c r="O942" s="38">
        <v>3730</v>
      </c>
      <c r="P942" s="46">
        <f>K942*(VLOOKUP(B942,$C$2:$F$6,3,FALSE))</f>
        <v>2.7103999999999999</v>
      </c>
      <c r="Q942" s="482">
        <v>2.71</v>
      </c>
      <c r="S942" s="489">
        <v>166</v>
      </c>
      <c r="T942" s="567">
        <f>S942*J942</f>
        <v>4150</v>
      </c>
      <c r="U942" s="507"/>
      <c r="V942" s="494">
        <v>90</v>
      </c>
    </row>
    <row r="943" spans="1:22" ht="18" customHeight="1">
      <c r="B943" s="28" t="s">
        <v>1856</v>
      </c>
      <c r="C943" s="6" t="s">
        <v>2167</v>
      </c>
      <c r="D943" s="15" t="s">
        <v>892</v>
      </c>
      <c r="E943" s="20" t="s">
        <v>1461</v>
      </c>
      <c r="F943" s="44">
        <v>7</v>
      </c>
      <c r="G943" s="24" t="s">
        <v>2168</v>
      </c>
      <c r="H943" s="151">
        <v>25</v>
      </c>
      <c r="I943" s="152">
        <v>1</v>
      </c>
      <c r="J943" s="67">
        <f>H943*I943</f>
        <v>25</v>
      </c>
      <c r="K943" s="46">
        <v>3.08</v>
      </c>
      <c r="L943" s="46">
        <f>K943*J943</f>
        <v>77</v>
      </c>
      <c r="M943" s="112"/>
      <c r="N943" s="39">
        <v>44537</v>
      </c>
      <c r="O943" s="38">
        <v>3730</v>
      </c>
      <c r="P943" s="46">
        <f>K943*(VLOOKUP(B943,$C$2:$F$6,3,FALSE))</f>
        <v>2.7103999999999999</v>
      </c>
      <c r="Q943" s="482">
        <v>2.71</v>
      </c>
      <c r="S943" s="489">
        <v>166</v>
      </c>
      <c r="T943" s="567">
        <f>S943*J943</f>
        <v>4150</v>
      </c>
      <c r="U943" s="507"/>
      <c r="V943" s="494">
        <v>90</v>
      </c>
    </row>
    <row r="944" spans="1:22" ht="18" customHeight="1">
      <c r="B944" s="28" t="s">
        <v>1856</v>
      </c>
      <c r="C944" s="6" t="s">
        <v>2167</v>
      </c>
      <c r="D944" s="15" t="s">
        <v>892</v>
      </c>
      <c r="E944" s="20" t="s">
        <v>1461</v>
      </c>
      <c r="F944" s="44">
        <v>7</v>
      </c>
      <c r="G944" s="24" t="s">
        <v>2169</v>
      </c>
      <c r="H944" s="151">
        <v>25</v>
      </c>
      <c r="I944" s="152">
        <v>1</v>
      </c>
      <c r="J944" s="67">
        <f>H944*I944</f>
        <v>25</v>
      </c>
      <c r="K944" s="46">
        <v>3.08</v>
      </c>
      <c r="L944" s="46">
        <f>K944*J944</f>
        <v>77</v>
      </c>
      <c r="M944" s="112"/>
      <c r="N944" s="39">
        <v>44537</v>
      </c>
      <c r="O944" s="38">
        <v>3730</v>
      </c>
      <c r="P944" s="46">
        <f>K944*(VLOOKUP(B944,$C$2:$F$6,3,FALSE))</f>
        <v>2.7103999999999999</v>
      </c>
      <c r="Q944" s="482">
        <v>2.71</v>
      </c>
      <c r="S944" s="489">
        <v>166</v>
      </c>
      <c r="T944" s="567">
        <f>S944*J944</f>
        <v>4150</v>
      </c>
      <c r="U944" s="507"/>
      <c r="V944" s="494">
        <v>90</v>
      </c>
    </row>
    <row r="945" spans="1:22" ht="18" customHeight="1">
      <c r="B945" s="28" t="s">
        <v>1856</v>
      </c>
      <c r="C945" s="6" t="s">
        <v>2167</v>
      </c>
      <c r="D945" s="15" t="s">
        <v>892</v>
      </c>
      <c r="E945" s="20" t="s">
        <v>1461</v>
      </c>
      <c r="F945" s="44">
        <v>7</v>
      </c>
      <c r="G945" s="24" t="s">
        <v>2170</v>
      </c>
      <c r="H945" s="151">
        <v>25</v>
      </c>
      <c r="I945" s="152">
        <v>1</v>
      </c>
      <c r="J945" s="67">
        <f>H945*I945</f>
        <v>25</v>
      </c>
      <c r="K945" s="46">
        <v>3.08</v>
      </c>
      <c r="L945" s="46">
        <f>K945*J945</f>
        <v>77</v>
      </c>
      <c r="M945" s="112"/>
      <c r="N945" s="39">
        <v>44537</v>
      </c>
      <c r="O945" s="38">
        <v>3730</v>
      </c>
      <c r="P945" s="46">
        <f>K945*(VLOOKUP(B945,$C$2:$F$6,3,FALSE))</f>
        <v>2.7103999999999999</v>
      </c>
      <c r="Q945" s="482">
        <v>2.71</v>
      </c>
      <c r="S945" s="489">
        <v>166</v>
      </c>
      <c r="T945" s="567">
        <f>S945*J945</f>
        <v>4150</v>
      </c>
      <c r="U945" s="507"/>
      <c r="V945" s="494">
        <v>90</v>
      </c>
    </row>
    <row r="946" spans="1:22" s="7" customFormat="1" ht="15.95" customHeight="1">
      <c r="A946" s="1"/>
      <c r="B946" s="12"/>
      <c r="C946" s="6" t="s">
        <v>2167</v>
      </c>
      <c r="D946" s="15" t="s">
        <v>892</v>
      </c>
      <c r="E946" s="24"/>
      <c r="F946" s="138"/>
      <c r="G946" s="44" t="s">
        <v>1993</v>
      </c>
      <c r="H946" s="8"/>
      <c r="I946" s="41"/>
      <c r="J946" s="45">
        <v>1</v>
      </c>
      <c r="K946" s="46">
        <v>12</v>
      </c>
      <c r="L946" s="46">
        <v>12</v>
      </c>
      <c r="M946" s="39"/>
      <c r="N946" s="39">
        <v>44537</v>
      </c>
      <c r="O946" s="38">
        <v>3730</v>
      </c>
      <c r="P946" s="6"/>
      <c r="Q946" s="483">
        <v>12</v>
      </c>
      <c r="S946" s="489">
        <v>550</v>
      </c>
      <c r="T946" s="567">
        <f>S946*J946</f>
        <v>550</v>
      </c>
      <c r="U946" s="501"/>
      <c r="V946" s="494">
        <v>90</v>
      </c>
    </row>
    <row r="947" spans="1:22" s="314" customFormat="1" ht="15" customHeight="1">
      <c r="A947" s="1"/>
      <c r="B947" s="313"/>
      <c r="C947" s="302" t="s">
        <v>2167</v>
      </c>
      <c r="D947" s="303" t="s">
        <v>892</v>
      </c>
      <c r="E947" s="304"/>
      <c r="F947" s="305"/>
      <c r="G947" s="305" t="s">
        <v>1227</v>
      </c>
      <c r="H947" s="307" t="s">
        <v>1228</v>
      </c>
      <c r="I947" s="308"/>
      <c r="J947" s="306"/>
      <c r="K947" s="315">
        <v>0</v>
      </c>
      <c r="L947" s="310"/>
      <c r="M947" s="310"/>
      <c r="N947" s="310">
        <v>44537</v>
      </c>
      <c r="O947" s="309">
        <v>3730</v>
      </c>
      <c r="P947" s="302"/>
      <c r="Q947" s="485">
        <v>0</v>
      </c>
      <c r="S947" s="536">
        <v>0</v>
      </c>
      <c r="T947" s="322">
        <v>0</v>
      </c>
      <c r="U947" s="515"/>
      <c r="V947" s="494">
        <v>90</v>
      </c>
    </row>
    <row r="948" spans="1:22" s="7" customFormat="1" ht="15">
      <c r="A948" s="1"/>
      <c r="B948" s="12"/>
      <c r="C948" s="6" t="s">
        <v>2171</v>
      </c>
      <c r="D948" s="15" t="s">
        <v>909</v>
      </c>
      <c r="E948" s="20" t="s">
        <v>2070</v>
      </c>
      <c r="F948" s="44"/>
      <c r="G948" s="44"/>
      <c r="H948" s="151"/>
      <c r="I948" s="151"/>
      <c r="J948" s="151"/>
      <c r="K948" s="34" t="s">
        <v>1027</v>
      </c>
      <c r="L948" s="39"/>
      <c r="M948" s="39"/>
      <c r="N948" s="39">
        <v>44557</v>
      </c>
      <c r="O948" s="38">
        <v>3785</v>
      </c>
      <c r="P948" s="6"/>
      <c r="Q948" s="524"/>
      <c r="S948" s="489"/>
      <c r="T948" s="113"/>
      <c r="U948" s="501"/>
      <c r="V948" s="494">
        <v>90</v>
      </c>
    </row>
    <row r="949" spans="1:22" s="7" customFormat="1" ht="15.75">
      <c r="A949" s="1"/>
      <c r="B949" s="12" t="s">
        <v>1856</v>
      </c>
      <c r="C949" s="6" t="s">
        <v>2171</v>
      </c>
      <c r="D949" s="15" t="s">
        <v>909</v>
      </c>
      <c r="E949" s="47" t="s">
        <v>2068</v>
      </c>
      <c r="F949" s="44" t="s">
        <v>1030</v>
      </c>
      <c r="G949" s="267" t="s">
        <v>2069</v>
      </c>
      <c r="H949" s="261"/>
      <c r="I949" s="261"/>
      <c r="J949" s="664">
        <v>120</v>
      </c>
      <c r="K949" s="46">
        <v>2.29</v>
      </c>
      <c r="L949" s="46">
        <f>K949*J949</f>
        <v>274.8</v>
      </c>
      <c r="M949" s="162" t="s">
        <v>2219</v>
      </c>
      <c r="N949" s="39">
        <v>44557</v>
      </c>
      <c r="O949" s="38">
        <v>3785</v>
      </c>
      <c r="P949" s="46">
        <f>K949*(VLOOKUP(B949,$C$2:$F$6,3,FALSE))</f>
        <v>2.0152000000000001</v>
      </c>
      <c r="Q949" s="483">
        <v>2.02</v>
      </c>
      <c r="S949" s="489">
        <v>123.6</v>
      </c>
      <c r="T949" s="567">
        <f>S949*J949</f>
        <v>14832</v>
      </c>
      <c r="U949" s="507"/>
      <c r="V949" s="494">
        <v>90</v>
      </c>
    </row>
    <row r="950" spans="1:22" s="7" customFormat="1" ht="15.75">
      <c r="A950" s="1"/>
      <c r="B950" s="12" t="s">
        <v>1856</v>
      </c>
      <c r="C950" s="6" t="s">
        <v>2171</v>
      </c>
      <c r="D950" s="15" t="s">
        <v>909</v>
      </c>
      <c r="E950" s="47" t="s">
        <v>2068</v>
      </c>
      <c r="F950" s="44" t="s">
        <v>1032</v>
      </c>
      <c r="G950" s="267" t="s">
        <v>2069</v>
      </c>
      <c r="H950" s="261"/>
      <c r="I950" s="261"/>
      <c r="J950" s="664">
        <v>120</v>
      </c>
      <c r="K950" s="46">
        <v>2.31</v>
      </c>
      <c r="L950" s="46">
        <f>K950*J950</f>
        <v>277.2</v>
      </c>
      <c r="M950" s="162" t="s">
        <v>2219</v>
      </c>
      <c r="N950" s="39">
        <v>44557</v>
      </c>
      <c r="O950" s="38">
        <v>3785</v>
      </c>
      <c r="P950" s="46">
        <f>K950*(VLOOKUP(B950,$C$2:$F$6,3,FALSE))</f>
        <v>2.0327999999999999</v>
      </c>
      <c r="Q950" s="483">
        <v>2.0299999999999998</v>
      </c>
      <c r="S950" s="489">
        <v>124.7</v>
      </c>
      <c r="T950" s="567">
        <f>S950*J950</f>
        <v>14964</v>
      </c>
      <c r="U950" s="507"/>
      <c r="V950" s="494">
        <v>90</v>
      </c>
    </row>
    <row r="951" spans="1:22" s="7" customFormat="1" ht="15.75">
      <c r="A951" s="1"/>
      <c r="B951" s="12" t="s">
        <v>1856</v>
      </c>
      <c r="C951" s="6" t="s">
        <v>2171</v>
      </c>
      <c r="D951" s="15" t="s">
        <v>909</v>
      </c>
      <c r="E951" s="47" t="s">
        <v>2068</v>
      </c>
      <c r="F951" s="44" t="s">
        <v>1033</v>
      </c>
      <c r="G951" s="267" t="s">
        <v>2069</v>
      </c>
      <c r="H951" s="261"/>
      <c r="I951" s="261"/>
      <c r="J951" s="664">
        <v>245</v>
      </c>
      <c r="K951" s="46">
        <v>2.33</v>
      </c>
      <c r="L951" s="46">
        <f>K951*J951</f>
        <v>570.85</v>
      </c>
      <c r="M951" s="162" t="s">
        <v>2219</v>
      </c>
      <c r="N951" s="39">
        <v>44557</v>
      </c>
      <c r="O951" s="38">
        <v>3785</v>
      </c>
      <c r="P951" s="46">
        <f>K951*(VLOOKUP(B951,$C$2:$F$6,3,FALSE))</f>
        <v>2.0504000000000002</v>
      </c>
      <c r="Q951" s="483">
        <v>2.0499999999999998</v>
      </c>
      <c r="S951" s="489">
        <v>125.5</v>
      </c>
      <c r="T951" s="567">
        <f>S951*J951</f>
        <v>30747.5</v>
      </c>
      <c r="U951" s="507"/>
      <c r="V951" s="494">
        <v>90</v>
      </c>
    </row>
    <row r="952" spans="1:22" s="7" customFormat="1" ht="15.75">
      <c r="A952" s="1"/>
      <c r="B952" s="12" t="s">
        <v>1856</v>
      </c>
      <c r="C952" s="6" t="s">
        <v>2171</v>
      </c>
      <c r="D952" s="15" t="s">
        <v>909</v>
      </c>
      <c r="E952" s="47" t="s">
        <v>2068</v>
      </c>
      <c r="F952" s="44" t="s">
        <v>1034</v>
      </c>
      <c r="G952" s="267" t="s">
        <v>2069</v>
      </c>
      <c r="H952" s="261"/>
      <c r="I952" s="261"/>
      <c r="J952" s="664">
        <v>200</v>
      </c>
      <c r="K952" s="46">
        <v>2.34</v>
      </c>
      <c r="L952" s="46">
        <f>K952*J952</f>
        <v>468</v>
      </c>
      <c r="M952" s="162" t="s">
        <v>2219</v>
      </c>
      <c r="N952" s="39">
        <v>44557</v>
      </c>
      <c r="O952" s="38">
        <v>3785</v>
      </c>
      <c r="P952" s="46">
        <f>K952*(VLOOKUP(B952,$C$2:$F$6,3,FALSE))</f>
        <v>2.0591999999999997</v>
      </c>
      <c r="Q952" s="483">
        <v>2.06</v>
      </c>
      <c r="S952" s="489">
        <v>126.3</v>
      </c>
      <c r="T952" s="567">
        <f>S952*J952</f>
        <v>25260</v>
      </c>
      <c r="U952" s="507"/>
      <c r="V952" s="494">
        <v>90</v>
      </c>
    </row>
    <row r="953" spans="1:22" s="7" customFormat="1" ht="15">
      <c r="A953" s="1"/>
      <c r="B953" s="12"/>
      <c r="C953" s="6" t="s">
        <v>2171</v>
      </c>
      <c r="D953" s="15" t="s">
        <v>909</v>
      </c>
      <c r="E953" s="20" t="s">
        <v>1381</v>
      </c>
      <c r="F953" s="44"/>
      <c r="G953" s="44"/>
      <c r="H953" s="151"/>
      <c r="I953" s="151"/>
      <c r="J953" s="151"/>
      <c r="K953" s="34" t="s">
        <v>1027</v>
      </c>
      <c r="L953" s="39"/>
      <c r="M953" s="39"/>
      <c r="N953" s="39">
        <v>44557</v>
      </c>
      <c r="O953" s="38">
        <v>3785</v>
      </c>
      <c r="P953" s="6"/>
      <c r="Q953" s="524"/>
      <c r="S953" s="489"/>
      <c r="T953" s="113"/>
      <c r="U953" s="501"/>
      <c r="V953" s="494">
        <v>90</v>
      </c>
    </row>
    <row r="954" spans="1:22" s="7" customFormat="1" ht="15.75">
      <c r="A954" s="1"/>
      <c r="B954" s="12" t="s">
        <v>1856</v>
      </c>
      <c r="C954" s="6" t="s">
        <v>2171</v>
      </c>
      <c r="D954" s="15" t="s">
        <v>909</v>
      </c>
      <c r="E954" s="24" t="s">
        <v>2071</v>
      </c>
      <c r="F954" s="44" t="s">
        <v>1453</v>
      </c>
      <c r="G954" s="260" t="s">
        <v>2072</v>
      </c>
      <c r="H954" s="261"/>
      <c r="I954" s="261"/>
      <c r="J954" s="664">
        <v>45</v>
      </c>
      <c r="K954" s="46">
        <v>0.24</v>
      </c>
      <c r="L954" s="46">
        <f t="shared" ref="L954:L965" si="28">K954*J954</f>
        <v>10.799999999999999</v>
      </c>
      <c r="M954" s="162" t="s">
        <v>2219</v>
      </c>
      <c r="N954" s="39">
        <v>44557</v>
      </c>
      <c r="O954" s="38">
        <v>3785</v>
      </c>
      <c r="P954" s="46">
        <f t="shared" ref="P954:P965" si="29">K954*(VLOOKUP(B954,$C$2:$F$6,3,FALSE))</f>
        <v>0.2112</v>
      </c>
      <c r="Q954" s="483">
        <v>0.21</v>
      </c>
      <c r="S954" s="489">
        <v>12.9</v>
      </c>
      <c r="T954" s="567">
        <f t="shared" ref="T954:T965" si="30">S954*J954</f>
        <v>580.5</v>
      </c>
      <c r="U954" s="507"/>
      <c r="V954" s="494">
        <v>90</v>
      </c>
    </row>
    <row r="955" spans="1:22" s="7" customFormat="1" ht="15.75">
      <c r="A955" s="1"/>
      <c r="B955" s="12" t="s">
        <v>1856</v>
      </c>
      <c r="C955" s="6" t="s">
        <v>2171</v>
      </c>
      <c r="D955" s="15" t="s">
        <v>909</v>
      </c>
      <c r="E955" s="24" t="s">
        <v>2071</v>
      </c>
      <c r="F955" s="44" t="s">
        <v>1454</v>
      </c>
      <c r="G955" s="260" t="s">
        <v>2072</v>
      </c>
      <c r="H955" s="261"/>
      <c r="I955" s="261"/>
      <c r="J955" s="664">
        <v>70</v>
      </c>
      <c r="K955" s="46">
        <v>0.25</v>
      </c>
      <c r="L955" s="46">
        <f t="shared" si="28"/>
        <v>17.5</v>
      </c>
      <c r="M955" s="162" t="s">
        <v>2219</v>
      </c>
      <c r="N955" s="39">
        <v>44557</v>
      </c>
      <c r="O955" s="38">
        <v>3785</v>
      </c>
      <c r="P955" s="46">
        <f t="shared" si="29"/>
        <v>0.22</v>
      </c>
      <c r="Q955" s="483">
        <v>0.22</v>
      </c>
      <c r="S955" s="489">
        <v>13.4</v>
      </c>
      <c r="T955" s="567">
        <f t="shared" si="30"/>
        <v>938</v>
      </c>
      <c r="U955" s="507"/>
      <c r="V955" s="494">
        <v>90</v>
      </c>
    </row>
    <row r="956" spans="1:22" s="7" customFormat="1" ht="15.75">
      <c r="A956" s="1"/>
      <c r="B956" s="12" t="s">
        <v>1856</v>
      </c>
      <c r="C956" s="6" t="s">
        <v>2171</v>
      </c>
      <c r="D956" s="15" t="s">
        <v>909</v>
      </c>
      <c r="E956" s="24" t="s">
        <v>2071</v>
      </c>
      <c r="F956" s="44" t="s">
        <v>1030</v>
      </c>
      <c r="G956" s="260" t="s">
        <v>2072</v>
      </c>
      <c r="H956" s="261"/>
      <c r="I956" s="261"/>
      <c r="J956" s="664">
        <v>60</v>
      </c>
      <c r="K956" s="46">
        <v>0.26</v>
      </c>
      <c r="L956" s="46">
        <f t="shared" si="28"/>
        <v>15.600000000000001</v>
      </c>
      <c r="M956" s="162" t="s">
        <v>2219</v>
      </c>
      <c r="N956" s="39">
        <v>44557</v>
      </c>
      <c r="O956" s="38">
        <v>3785</v>
      </c>
      <c r="P956" s="46">
        <f t="shared" si="29"/>
        <v>0.2288</v>
      </c>
      <c r="Q956" s="483">
        <v>0.23</v>
      </c>
      <c r="S956" s="489">
        <v>13.8</v>
      </c>
      <c r="T956" s="567">
        <f t="shared" si="30"/>
        <v>828</v>
      </c>
      <c r="U956" s="507"/>
      <c r="V956" s="494">
        <v>90</v>
      </c>
    </row>
    <row r="957" spans="1:22" s="7" customFormat="1" ht="15.75">
      <c r="A957" s="1"/>
      <c r="B957" s="12" t="s">
        <v>1856</v>
      </c>
      <c r="C957" s="6" t="s">
        <v>2171</v>
      </c>
      <c r="D957" s="15" t="s">
        <v>909</v>
      </c>
      <c r="E957" s="24" t="s">
        <v>2071</v>
      </c>
      <c r="F957" s="44" t="s">
        <v>1455</v>
      </c>
      <c r="G957" s="260" t="s">
        <v>2072</v>
      </c>
      <c r="H957" s="261"/>
      <c r="I957" s="261"/>
      <c r="J957" s="664">
        <v>35</v>
      </c>
      <c r="K957" s="46">
        <v>0.27</v>
      </c>
      <c r="L957" s="46">
        <f t="shared" si="28"/>
        <v>9.4500000000000011</v>
      </c>
      <c r="M957" s="162" t="s">
        <v>2219</v>
      </c>
      <c r="N957" s="39">
        <v>44557</v>
      </c>
      <c r="O957" s="38">
        <v>3785</v>
      </c>
      <c r="P957" s="46">
        <f t="shared" si="29"/>
        <v>0.23760000000000001</v>
      </c>
      <c r="Q957" s="483">
        <v>0.24</v>
      </c>
      <c r="S957" s="489">
        <v>14.3</v>
      </c>
      <c r="T957" s="567">
        <f t="shared" si="30"/>
        <v>500.5</v>
      </c>
      <c r="U957" s="507"/>
      <c r="V957" s="494">
        <v>90</v>
      </c>
    </row>
    <row r="958" spans="1:22" s="7" customFormat="1" ht="15" customHeight="1">
      <c r="A958" s="1"/>
      <c r="B958" s="12" t="s">
        <v>1862</v>
      </c>
      <c r="C958" s="6" t="s">
        <v>2171</v>
      </c>
      <c r="D958" s="15" t="s">
        <v>909</v>
      </c>
      <c r="E958" s="24"/>
      <c r="F958" s="138"/>
      <c r="G958" s="44" t="s">
        <v>2014</v>
      </c>
      <c r="H958" s="8"/>
      <c r="I958" s="41"/>
      <c r="J958" s="45">
        <v>4</v>
      </c>
      <c r="K958" s="46">
        <v>7</v>
      </c>
      <c r="L958" s="46">
        <f t="shared" si="28"/>
        <v>28</v>
      </c>
      <c r="M958" s="162" t="s">
        <v>2219</v>
      </c>
      <c r="N958" s="39">
        <v>44557</v>
      </c>
      <c r="O958" s="38">
        <v>3785</v>
      </c>
      <c r="P958" s="46">
        <f t="shared" si="29"/>
        <v>7</v>
      </c>
      <c r="Q958" s="483">
        <f>P958*J958</f>
        <v>28</v>
      </c>
      <c r="S958" s="489">
        <v>500</v>
      </c>
      <c r="T958" s="567">
        <f t="shared" si="30"/>
        <v>2000</v>
      </c>
      <c r="U958" s="501"/>
      <c r="V958" s="494">
        <v>90</v>
      </c>
    </row>
    <row r="959" spans="1:22" s="7" customFormat="1" ht="15.75">
      <c r="A959" s="1"/>
      <c r="B959" s="12" t="s">
        <v>1856</v>
      </c>
      <c r="C959" s="6" t="s">
        <v>2171</v>
      </c>
      <c r="D959" s="15" t="s">
        <v>909</v>
      </c>
      <c r="E959" s="24" t="s">
        <v>2087</v>
      </c>
      <c r="F959" s="44" t="s">
        <v>2176</v>
      </c>
      <c r="G959" s="260" t="s">
        <v>2072</v>
      </c>
      <c r="H959" s="261"/>
      <c r="I959" s="261"/>
      <c r="J959" s="668">
        <v>75</v>
      </c>
      <c r="K959" s="46">
        <v>0.32</v>
      </c>
      <c r="L959" s="46">
        <f t="shared" si="28"/>
        <v>24</v>
      </c>
      <c r="M959" s="162" t="s">
        <v>2219</v>
      </c>
      <c r="N959" s="39">
        <v>44557</v>
      </c>
      <c r="O959" s="38">
        <v>3785</v>
      </c>
      <c r="P959" s="46">
        <f t="shared" si="29"/>
        <v>0.28160000000000002</v>
      </c>
      <c r="Q959" s="483">
        <v>0.28000000000000003</v>
      </c>
      <c r="S959" s="489">
        <v>17</v>
      </c>
      <c r="T959" s="567">
        <f t="shared" si="30"/>
        <v>1275</v>
      </c>
      <c r="U959" s="507"/>
      <c r="V959" s="494">
        <v>90</v>
      </c>
    </row>
    <row r="960" spans="1:22" s="7" customFormat="1" ht="15.75">
      <c r="A960" s="1"/>
      <c r="B960" s="12" t="s">
        <v>1856</v>
      </c>
      <c r="C960" s="6" t="s">
        <v>2171</v>
      </c>
      <c r="D960" s="15" t="s">
        <v>909</v>
      </c>
      <c r="E960" s="24" t="s">
        <v>2087</v>
      </c>
      <c r="F960" s="44" t="s">
        <v>1455</v>
      </c>
      <c r="G960" s="260" t="s">
        <v>2072</v>
      </c>
      <c r="H960" s="261"/>
      <c r="I960" s="261"/>
      <c r="J960" s="668">
        <v>145</v>
      </c>
      <c r="K960" s="46">
        <v>0.33</v>
      </c>
      <c r="L960" s="46">
        <f t="shared" si="28"/>
        <v>47.85</v>
      </c>
      <c r="M960" s="162" t="s">
        <v>2219</v>
      </c>
      <c r="N960" s="39">
        <v>44557</v>
      </c>
      <c r="O960" s="38">
        <v>3785</v>
      </c>
      <c r="P960" s="46">
        <f t="shared" si="29"/>
        <v>0.29039999999999999</v>
      </c>
      <c r="Q960" s="483">
        <v>0.28999999999999998</v>
      </c>
      <c r="S960" s="489">
        <v>17.8</v>
      </c>
      <c r="T960" s="567">
        <f t="shared" si="30"/>
        <v>2581</v>
      </c>
      <c r="U960" s="507"/>
      <c r="V960" s="494">
        <v>90</v>
      </c>
    </row>
    <row r="961" spans="1:22" s="7" customFormat="1" ht="15.75">
      <c r="A961" s="1"/>
      <c r="B961" s="12" t="s">
        <v>1856</v>
      </c>
      <c r="C961" s="6" t="s">
        <v>2171</v>
      </c>
      <c r="D961" s="15" t="s">
        <v>909</v>
      </c>
      <c r="E961" s="24" t="s">
        <v>2087</v>
      </c>
      <c r="F961" s="44" t="s">
        <v>1032</v>
      </c>
      <c r="G961" s="260" t="s">
        <v>2072</v>
      </c>
      <c r="H961" s="261"/>
      <c r="I961" s="261"/>
      <c r="J961" s="668">
        <v>160</v>
      </c>
      <c r="K961" s="46">
        <v>0.34</v>
      </c>
      <c r="L961" s="46">
        <f t="shared" si="28"/>
        <v>54.400000000000006</v>
      </c>
      <c r="M961" s="162" t="s">
        <v>2219</v>
      </c>
      <c r="N961" s="39">
        <v>44557</v>
      </c>
      <c r="O961" s="38">
        <v>3785</v>
      </c>
      <c r="P961" s="46">
        <f t="shared" si="29"/>
        <v>0.29920000000000002</v>
      </c>
      <c r="Q961" s="483">
        <v>0.3</v>
      </c>
      <c r="S961" s="489">
        <v>18.2</v>
      </c>
      <c r="T961" s="567">
        <f t="shared" si="30"/>
        <v>2912</v>
      </c>
      <c r="U961" s="507"/>
      <c r="V961" s="494">
        <v>90</v>
      </c>
    </row>
    <row r="962" spans="1:22" s="7" customFormat="1" ht="15.75">
      <c r="A962" s="1"/>
      <c r="B962" s="12" t="s">
        <v>1856</v>
      </c>
      <c r="C962" s="6" t="s">
        <v>2171</v>
      </c>
      <c r="D962" s="15" t="s">
        <v>909</v>
      </c>
      <c r="E962" s="24" t="s">
        <v>2087</v>
      </c>
      <c r="F962" s="44" t="s">
        <v>2177</v>
      </c>
      <c r="G962" s="260" t="s">
        <v>2072</v>
      </c>
      <c r="H962" s="261"/>
      <c r="I962" s="261"/>
      <c r="J962" s="668">
        <v>160</v>
      </c>
      <c r="K962" s="46">
        <v>0.35</v>
      </c>
      <c r="L962" s="46">
        <f t="shared" si="28"/>
        <v>56</v>
      </c>
      <c r="M962" s="162" t="s">
        <v>2219</v>
      </c>
      <c r="N962" s="39">
        <v>44557</v>
      </c>
      <c r="O962" s="38">
        <v>3785</v>
      </c>
      <c r="P962" s="46">
        <f t="shared" si="29"/>
        <v>0.308</v>
      </c>
      <c r="Q962" s="483">
        <v>0.31</v>
      </c>
      <c r="S962" s="489">
        <v>18.600000000000001</v>
      </c>
      <c r="T962" s="567">
        <f t="shared" si="30"/>
        <v>2976</v>
      </c>
      <c r="U962" s="507"/>
      <c r="V962" s="494">
        <v>90</v>
      </c>
    </row>
    <row r="963" spans="1:22" s="7" customFormat="1" ht="15.75">
      <c r="A963" s="1"/>
      <c r="B963" s="12" t="s">
        <v>1856</v>
      </c>
      <c r="C963" s="6" t="s">
        <v>2171</v>
      </c>
      <c r="D963" s="15" t="s">
        <v>909</v>
      </c>
      <c r="E963" s="24" t="s">
        <v>2087</v>
      </c>
      <c r="F963" s="44" t="s">
        <v>1033</v>
      </c>
      <c r="G963" s="260" t="s">
        <v>2072</v>
      </c>
      <c r="H963" s="261"/>
      <c r="I963" s="261"/>
      <c r="J963" s="668">
        <v>75</v>
      </c>
      <c r="K963" s="46">
        <v>0.36</v>
      </c>
      <c r="L963" s="46">
        <f t="shared" si="28"/>
        <v>27</v>
      </c>
      <c r="M963" s="162" t="s">
        <v>2219</v>
      </c>
      <c r="N963" s="39">
        <v>44557</v>
      </c>
      <c r="O963" s="38">
        <v>3785</v>
      </c>
      <c r="P963" s="46">
        <f t="shared" si="29"/>
        <v>0.31679999999999997</v>
      </c>
      <c r="Q963" s="483">
        <v>0.32</v>
      </c>
      <c r="S963" s="489">
        <v>19</v>
      </c>
      <c r="T963" s="567">
        <f t="shared" si="30"/>
        <v>1425</v>
      </c>
      <c r="U963" s="507"/>
      <c r="V963" s="494">
        <v>90</v>
      </c>
    </row>
    <row r="964" spans="1:22" s="7" customFormat="1" ht="15" customHeight="1">
      <c r="A964" s="1"/>
      <c r="B964" s="12" t="s">
        <v>1862</v>
      </c>
      <c r="C964" s="6" t="s">
        <v>2171</v>
      </c>
      <c r="D964" s="15" t="s">
        <v>909</v>
      </c>
      <c r="E964" s="56"/>
      <c r="F964" s="138"/>
      <c r="G964" s="44" t="s">
        <v>2014</v>
      </c>
      <c r="H964" s="8"/>
      <c r="I964" s="41"/>
      <c r="J964" s="45">
        <v>2</v>
      </c>
      <c r="K964" s="46">
        <v>7</v>
      </c>
      <c r="L964" s="46">
        <f t="shared" si="28"/>
        <v>14</v>
      </c>
      <c r="M964" s="162" t="s">
        <v>2219</v>
      </c>
      <c r="N964" s="39">
        <v>44557</v>
      </c>
      <c r="O964" s="38">
        <v>3785</v>
      </c>
      <c r="P964" s="46">
        <f t="shared" si="29"/>
        <v>7</v>
      </c>
      <c r="Q964" s="483">
        <f>P964*J964</f>
        <v>14</v>
      </c>
      <c r="S964" s="489">
        <v>500</v>
      </c>
      <c r="T964" s="567">
        <f t="shared" si="30"/>
        <v>1000</v>
      </c>
      <c r="U964" s="501"/>
      <c r="V964" s="494">
        <v>90</v>
      </c>
    </row>
    <row r="965" spans="1:22" s="217" customFormat="1" ht="15.95" customHeight="1">
      <c r="A965" s="1"/>
      <c r="B965" s="539" t="s">
        <v>1862</v>
      </c>
      <c r="C965" s="216" t="s">
        <v>2171</v>
      </c>
      <c r="D965" s="109" t="s">
        <v>909</v>
      </c>
      <c r="E965" s="228"/>
      <c r="F965" s="160"/>
      <c r="G965" s="42" t="s">
        <v>1993</v>
      </c>
      <c r="H965" s="214"/>
      <c r="I965" s="215"/>
      <c r="J965" s="43">
        <v>1</v>
      </c>
      <c r="K965" s="229">
        <v>12</v>
      </c>
      <c r="L965" s="229">
        <f t="shared" si="28"/>
        <v>12</v>
      </c>
      <c r="M965" s="162"/>
      <c r="N965" s="39">
        <v>44557</v>
      </c>
      <c r="O965" s="38">
        <v>3785</v>
      </c>
      <c r="P965" s="229">
        <f t="shared" si="29"/>
        <v>12</v>
      </c>
      <c r="Q965" s="229">
        <v>12</v>
      </c>
      <c r="S965" s="492">
        <v>1100</v>
      </c>
      <c r="T965" s="666">
        <f t="shared" si="30"/>
        <v>1100</v>
      </c>
      <c r="U965" s="667"/>
      <c r="V965" s="547">
        <v>90</v>
      </c>
    </row>
    <row r="966" spans="1:22" s="7" customFormat="1" ht="15">
      <c r="A966" s="1"/>
      <c r="B966" s="12"/>
      <c r="C966" s="6" t="s">
        <v>2171</v>
      </c>
      <c r="D966" s="15" t="s">
        <v>909</v>
      </c>
      <c r="E966" s="20" t="s">
        <v>2070</v>
      </c>
      <c r="F966" s="44"/>
      <c r="G966" s="44"/>
      <c r="H966" s="151"/>
      <c r="I966" s="151"/>
      <c r="J966" s="151"/>
      <c r="K966" s="34" t="s">
        <v>1027</v>
      </c>
      <c r="L966" s="39"/>
      <c r="M966" s="39"/>
      <c r="N966" s="39"/>
      <c r="O966" s="38"/>
      <c r="P966" s="6"/>
      <c r="Q966" s="524"/>
      <c r="S966" s="489"/>
      <c r="T966" s="113"/>
      <c r="U966" s="501"/>
      <c r="V966" s="494">
        <v>90</v>
      </c>
    </row>
    <row r="967" spans="1:22" s="7" customFormat="1" ht="15.75">
      <c r="A967" s="1"/>
      <c r="B967" s="12" t="s">
        <v>1856</v>
      </c>
      <c r="C967" s="6" t="s">
        <v>2171</v>
      </c>
      <c r="D967" s="15" t="s">
        <v>909</v>
      </c>
      <c r="E967" s="47" t="s">
        <v>2068</v>
      </c>
      <c r="F967" s="44" t="s">
        <v>1030</v>
      </c>
      <c r="G967" s="267" t="s">
        <v>2069</v>
      </c>
      <c r="H967" s="261"/>
      <c r="I967" s="261"/>
      <c r="J967" s="664">
        <v>255</v>
      </c>
      <c r="K967" s="46">
        <v>2.29</v>
      </c>
      <c r="L967" s="46">
        <f>K967*J967</f>
        <v>583.95000000000005</v>
      </c>
      <c r="M967" s="162" t="s">
        <v>2219</v>
      </c>
      <c r="N967" s="39">
        <v>44574</v>
      </c>
      <c r="O967" s="38">
        <v>3807</v>
      </c>
      <c r="P967" s="46">
        <f>K967*(VLOOKUP(B967,$C$2:$F$6,3,FALSE))</f>
        <v>2.0152000000000001</v>
      </c>
      <c r="Q967" s="483">
        <v>2.02</v>
      </c>
      <c r="S967" s="489">
        <v>123.6</v>
      </c>
      <c r="T967" s="567">
        <f>S967*J967</f>
        <v>31518</v>
      </c>
      <c r="U967" s="507"/>
      <c r="V967" s="494">
        <v>90</v>
      </c>
    </row>
    <row r="968" spans="1:22" s="7" customFormat="1" ht="15.75">
      <c r="A968" s="1"/>
      <c r="B968" s="12" t="s">
        <v>1856</v>
      </c>
      <c r="C968" s="6" t="s">
        <v>2171</v>
      </c>
      <c r="D968" s="15" t="s">
        <v>909</v>
      </c>
      <c r="E968" s="47" t="s">
        <v>2068</v>
      </c>
      <c r="F968" s="44" t="s">
        <v>1032</v>
      </c>
      <c r="G968" s="267" t="s">
        <v>2069</v>
      </c>
      <c r="H968" s="261"/>
      <c r="I968" s="261"/>
      <c r="J968" s="664">
        <v>790</v>
      </c>
      <c r="K968" s="46">
        <v>2.31</v>
      </c>
      <c r="L968" s="46">
        <f>K968*J968</f>
        <v>1824.9</v>
      </c>
      <c r="M968" s="162" t="s">
        <v>2219</v>
      </c>
      <c r="N968" s="39">
        <v>44574</v>
      </c>
      <c r="O968" s="38">
        <v>3807</v>
      </c>
      <c r="P968" s="46">
        <f>K968*(VLOOKUP(B968,$C$2:$F$6,3,FALSE))</f>
        <v>2.0327999999999999</v>
      </c>
      <c r="Q968" s="483">
        <v>2.0299999999999998</v>
      </c>
      <c r="S968" s="489">
        <v>124.7</v>
      </c>
      <c r="T968" s="567">
        <f>S968*J968</f>
        <v>98513</v>
      </c>
      <c r="U968" s="507"/>
      <c r="V968" s="494">
        <v>90</v>
      </c>
    </row>
    <row r="969" spans="1:22" s="217" customFormat="1" ht="15.95" customHeight="1">
      <c r="A969" s="1"/>
      <c r="B969" s="539" t="s">
        <v>1862</v>
      </c>
      <c r="C969" s="216" t="s">
        <v>2171</v>
      </c>
      <c r="D969" s="109" t="s">
        <v>909</v>
      </c>
      <c r="E969" s="228"/>
      <c r="F969" s="160"/>
      <c r="G969" s="42" t="s">
        <v>1993</v>
      </c>
      <c r="H969" s="214"/>
      <c r="I969" s="215"/>
      <c r="J969" s="43">
        <v>1</v>
      </c>
      <c r="K969" s="229">
        <v>12</v>
      </c>
      <c r="L969" s="229">
        <f>K969*J969</f>
        <v>12</v>
      </c>
      <c r="M969" s="112"/>
      <c r="N969" s="39">
        <v>44574</v>
      </c>
      <c r="O969" s="38">
        <v>3807</v>
      </c>
      <c r="P969" s="229">
        <f>K969*(VLOOKUP(B969,$C$2:$F$6,3,FALSE))</f>
        <v>12</v>
      </c>
      <c r="Q969" s="229">
        <v>12</v>
      </c>
      <c r="S969" s="492">
        <v>1100</v>
      </c>
      <c r="T969" s="666">
        <f>S969*J969</f>
        <v>1100</v>
      </c>
      <c r="U969" s="667"/>
      <c r="V969" s="547">
        <v>90</v>
      </c>
    </row>
    <row r="970" spans="1:22" s="314" customFormat="1" ht="15">
      <c r="A970" s="1"/>
      <c r="B970" s="313"/>
      <c r="C970" s="302" t="s">
        <v>2171</v>
      </c>
      <c r="D970" s="303" t="s">
        <v>909</v>
      </c>
      <c r="E970" s="304"/>
      <c r="F970" s="305"/>
      <c r="G970" s="305" t="s">
        <v>1227</v>
      </c>
      <c r="H970" s="307" t="s">
        <v>1228</v>
      </c>
      <c r="I970" s="308"/>
      <c r="J970" s="306"/>
      <c r="K970" s="315">
        <v>0</v>
      </c>
      <c r="L970" s="310"/>
      <c r="M970" s="310"/>
      <c r="N970" s="310">
        <v>44574</v>
      </c>
      <c r="O970" s="309">
        <v>3807</v>
      </c>
      <c r="P970" s="302"/>
      <c r="Q970" s="485">
        <v>0</v>
      </c>
      <c r="S970" s="535">
        <v>0</v>
      </c>
      <c r="T970" s="322">
        <v>0</v>
      </c>
      <c r="U970" s="515"/>
      <c r="V970" s="494">
        <v>90</v>
      </c>
    </row>
    <row r="971" spans="1:22" ht="15">
      <c r="C971" s="6" t="s">
        <v>2181</v>
      </c>
      <c r="D971" s="15" t="s">
        <v>2036</v>
      </c>
      <c r="E971" s="20" t="s">
        <v>325</v>
      </c>
      <c r="F971" s="26"/>
      <c r="G971" s="24"/>
      <c r="H971" s="16"/>
      <c r="I971" s="68"/>
      <c r="J971" s="67"/>
      <c r="K971" s="17" t="s">
        <v>134</v>
      </c>
      <c r="L971" s="39"/>
      <c r="M971" s="39"/>
      <c r="N971" s="39">
        <v>44566</v>
      </c>
      <c r="O971" s="38">
        <v>3751</v>
      </c>
      <c r="P971" s="6" t="s">
        <v>23</v>
      </c>
      <c r="Q971" s="481"/>
      <c r="S971" s="489"/>
      <c r="T971" s="113"/>
      <c r="U971" s="500"/>
      <c r="V971" s="494">
        <v>90</v>
      </c>
    </row>
    <row r="972" spans="1:22" ht="15.75">
      <c r="B972" s="28" t="s">
        <v>1856</v>
      </c>
      <c r="C972" s="6" t="s">
        <v>2181</v>
      </c>
      <c r="D972" s="15" t="s">
        <v>2036</v>
      </c>
      <c r="E972" s="24">
        <v>4141</v>
      </c>
      <c r="F972" s="26">
        <v>6</v>
      </c>
      <c r="G972" s="24" t="s">
        <v>2182</v>
      </c>
      <c r="H972" s="67">
        <v>20</v>
      </c>
      <c r="I972" s="68">
        <v>20</v>
      </c>
      <c r="J972" s="67">
        <f t="shared" ref="J972:J979" si="31">H972*I972</f>
        <v>400</v>
      </c>
      <c r="K972" s="25">
        <v>1.47</v>
      </c>
      <c r="L972" s="46">
        <f t="shared" ref="L972:L979" si="32">K972*J972</f>
        <v>588</v>
      </c>
      <c r="M972" s="162" t="s">
        <v>2219</v>
      </c>
      <c r="N972" s="39">
        <v>44566</v>
      </c>
      <c r="O972" s="38">
        <v>3751</v>
      </c>
      <c r="P972" s="46">
        <f t="shared" ref="P972:P979" si="33">K972*(VLOOKUP(B972,$C$2:$F$6,3,FALSE))</f>
        <v>1.2936000000000001</v>
      </c>
      <c r="Q972" s="482">
        <v>1.29</v>
      </c>
      <c r="S972" s="489">
        <v>79</v>
      </c>
      <c r="T972" s="567">
        <f t="shared" ref="T972:T979" si="34">S972*J972</f>
        <v>31600</v>
      </c>
      <c r="U972" s="503"/>
      <c r="V972" s="494">
        <v>90</v>
      </c>
    </row>
    <row r="973" spans="1:22" s="7" customFormat="1" ht="15.75">
      <c r="A973" s="1"/>
      <c r="B973" s="12" t="s">
        <v>1856</v>
      </c>
      <c r="C973" s="6" t="s">
        <v>2181</v>
      </c>
      <c r="D973" s="15" t="s">
        <v>2036</v>
      </c>
      <c r="E973" s="24">
        <v>4141</v>
      </c>
      <c r="F973" s="26">
        <v>6</v>
      </c>
      <c r="G973" s="24" t="s">
        <v>2183</v>
      </c>
      <c r="H973" s="67">
        <v>20</v>
      </c>
      <c r="I973" s="68">
        <v>5</v>
      </c>
      <c r="J973" s="67">
        <f t="shared" si="31"/>
        <v>100</v>
      </c>
      <c r="K973" s="25">
        <v>1.47</v>
      </c>
      <c r="L973" s="46">
        <f t="shared" si="32"/>
        <v>147</v>
      </c>
      <c r="M973" s="162" t="s">
        <v>2219</v>
      </c>
      <c r="N973" s="39">
        <v>44566</v>
      </c>
      <c r="O973" s="38">
        <v>3751</v>
      </c>
      <c r="P973" s="46">
        <f t="shared" si="33"/>
        <v>1.2936000000000001</v>
      </c>
      <c r="Q973" s="482">
        <v>1.29</v>
      </c>
      <c r="S973" s="489">
        <v>79</v>
      </c>
      <c r="T973" s="567">
        <f t="shared" si="34"/>
        <v>7900</v>
      </c>
      <c r="U973" s="503"/>
      <c r="V973" s="494">
        <v>90</v>
      </c>
    </row>
    <row r="974" spans="1:22" s="7" customFormat="1" ht="15.75">
      <c r="A974" s="1"/>
      <c r="B974" s="12" t="s">
        <v>1856</v>
      </c>
      <c r="C974" s="6" t="s">
        <v>2181</v>
      </c>
      <c r="D974" s="15" t="s">
        <v>2036</v>
      </c>
      <c r="E974" s="24">
        <v>4141</v>
      </c>
      <c r="F974" s="26">
        <v>6</v>
      </c>
      <c r="G974" s="24" t="s">
        <v>48</v>
      </c>
      <c r="H974" s="67">
        <v>20</v>
      </c>
      <c r="I974" s="68">
        <v>15</v>
      </c>
      <c r="J974" s="67">
        <f t="shared" si="31"/>
        <v>300</v>
      </c>
      <c r="K974" s="25">
        <v>1.47</v>
      </c>
      <c r="L974" s="46">
        <f t="shared" si="32"/>
        <v>441</v>
      </c>
      <c r="M974" s="162" t="s">
        <v>2219</v>
      </c>
      <c r="N974" s="39">
        <v>44566</v>
      </c>
      <c r="O974" s="38">
        <v>3751</v>
      </c>
      <c r="P974" s="46">
        <f t="shared" si="33"/>
        <v>1.2936000000000001</v>
      </c>
      <c r="Q974" s="482">
        <v>1.29</v>
      </c>
      <c r="S974" s="489">
        <v>79</v>
      </c>
      <c r="T974" s="567">
        <f t="shared" si="34"/>
        <v>23700</v>
      </c>
      <c r="U974" s="503"/>
      <c r="V974" s="494">
        <v>90</v>
      </c>
    </row>
    <row r="975" spans="1:22" s="7" customFormat="1" ht="15.75">
      <c r="A975" s="1"/>
      <c r="B975" s="12" t="s">
        <v>1856</v>
      </c>
      <c r="C975" s="6" t="s">
        <v>2181</v>
      </c>
      <c r="D975" s="15" t="s">
        <v>2036</v>
      </c>
      <c r="E975" s="24">
        <v>4141</v>
      </c>
      <c r="F975" s="26">
        <v>6</v>
      </c>
      <c r="G975" s="24" t="s">
        <v>2184</v>
      </c>
      <c r="H975" s="67">
        <v>20</v>
      </c>
      <c r="I975" s="68">
        <v>4</v>
      </c>
      <c r="J975" s="67">
        <f t="shared" si="31"/>
        <v>80</v>
      </c>
      <c r="K975" s="25">
        <v>1.47</v>
      </c>
      <c r="L975" s="46">
        <f t="shared" si="32"/>
        <v>117.6</v>
      </c>
      <c r="M975" s="162" t="s">
        <v>2219</v>
      </c>
      <c r="N975" s="39">
        <v>44566</v>
      </c>
      <c r="O975" s="38">
        <v>3751</v>
      </c>
      <c r="P975" s="46">
        <f t="shared" si="33"/>
        <v>1.2936000000000001</v>
      </c>
      <c r="Q975" s="482">
        <v>1.29</v>
      </c>
      <c r="S975" s="489">
        <v>79</v>
      </c>
      <c r="T975" s="567">
        <f t="shared" si="34"/>
        <v>6320</v>
      </c>
      <c r="U975" s="503"/>
      <c r="V975" s="494">
        <v>90</v>
      </c>
    </row>
    <row r="976" spans="1:22" s="7" customFormat="1" ht="15.75">
      <c r="A976" s="1"/>
      <c r="B976" s="12" t="s">
        <v>1856</v>
      </c>
      <c r="C976" s="6" t="s">
        <v>2181</v>
      </c>
      <c r="D976" s="15" t="s">
        <v>2036</v>
      </c>
      <c r="E976" s="24">
        <v>4141</v>
      </c>
      <c r="F976" s="26">
        <v>6</v>
      </c>
      <c r="G976" s="24" t="s">
        <v>2185</v>
      </c>
      <c r="H976" s="67">
        <v>20</v>
      </c>
      <c r="I976" s="68">
        <v>10</v>
      </c>
      <c r="J976" s="67">
        <f t="shared" si="31"/>
        <v>200</v>
      </c>
      <c r="K976" s="25">
        <v>1.47</v>
      </c>
      <c r="L976" s="46">
        <f t="shared" si="32"/>
        <v>294</v>
      </c>
      <c r="M976" s="162" t="s">
        <v>2219</v>
      </c>
      <c r="N976" s="39">
        <v>44566</v>
      </c>
      <c r="O976" s="38">
        <v>3751</v>
      </c>
      <c r="P976" s="46">
        <f t="shared" si="33"/>
        <v>1.2936000000000001</v>
      </c>
      <c r="Q976" s="482">
        <v>1.29</v>
      </c>
      <c r="S976" s="489">
        <v>79</v>
      </c>
      <c r="T976" s="567">
        <f t="shared" si="34"/>
        <v>15800</v>
      </c>
      <c r="U976" s="503"/>
      <c r="V976" s="494">
        <v>90</v>
      </c>
    </row>
    <row r="977" spans="1:22" s="7" customFormat="1" ht="15.75">
      <c r="A977" s="1"/>
      <c r="B977" s="12" t="s">
        <v>1856</v>
      </c>
      <c r="C977" s="6" t="s">
        <v>2181</v>
      </c>
      <c r="D977" s="15" t="s">
        <v>2036</v>
      </c>
      <c r="E977" s="24">
        <v>4141</v>
      </c>
      <c r="F977" s="26">
        <v>6</v>
      </c>
      <c r="G977" s="24" t="s">
        <v>2183</v>
      </c>
      <c r="H977" s="67">
        <v>20</v>
      </c>
      <c r="I977" s="68">
        <v>15</v>
      </c>
      <c r="J977" s="67">
        <f t="shared" si="31"/>
        <v>300</v>
      </c>
      <c r="K977" s="25">
        <v>1.47</v>
      </c>
      <c r="L977" s="46">
        <f t="shared" si="32"/>
        <v>441</v>
      </c>
      <c r="M977" s="162" t="s">
        <v>2219</v>
      </c>
      <c r="N977" s="39">
        <v>44586</v>
      </c>
      <c r="O977" s="38">
        <v>3763</v>
      </c>
      <c r="P977" s="46">
        <f t="shared" si="33"/>
        <v>1.2936000000000001</v>
      </c>
      <c r="Q977" s="482">
        <v>1.29</v>
      </c>
      <c r="S977" s="489">
        <v>79</v>
      </c>
      <c r="T977" s="567">
        <f t="shared" si="34"/>
        <v>23700</v>
      </c>
      <c r="U977" s="503"/>
      <c r="V977" s="494">
        <v>90</v>
      </c>
    </row>
    <row r="978" spans="1:22" s="7" customFormat="1" ht="15.75">
      <c r="A978" s="1"/>
      <c r="B978" s="12" t="s">
        <v>1856</v>
      </c>
      <c r="C978" s="6" t="s">
        <v>2181</v>
      </c>
      <c r="D978" s="15" t="s">
        <v>2036</v>
      </c>
      <c r="E978" s="24">
        <v>4141</v>
      </c>
      <c r="F978" s="26">
        <v>6</v>
      </c>
      <c r="G978" s="24" t="s">
        <v>2184</v>
      </c>
      <c r="H978" s="67">
        <v>20</v>
      </c>
      <c r="I978" s="68">
        <v>11</v>
      </c>
      <c r="J978" s="67">
        <f t="shared" si="31"/>
        <v>220</v>
      </c>
      <c r="K978" s="25">
        <v>1.47</v>
      </c>
      <c r="L978" s="46">
        <f t="shared" si="32"/>
        <v>323.39999999999998</v>
      </c>
      <c r="M978" s="162" t="s">
        <v>2219</v>
      </c>
      <c r="N978" s="39">
        <v>44586</v>
      </c>
      <c r="O978" s="38">
        <v>3763</v>
      </c>
      <c r="P978" s="46">
        <f t="shared" si="33"/>
        <v>1.2936000000000001</v>
      </c>
      <c r="Q978" s="482">
        <v>1.29</v>
      </c>
      <c r="S978" s="489">
        <v>79</v>
      </c>
      <c r="T978" s="567">
        <f t="shared" si="34"/>
        <v>17380</v>
      </c>
      <c r="U978" s="503"/>
      <c r="V978" s="494">
        <v>90</v>
      </c>
    </row>
    <row r="979" spans="1:22" s="7" customFormat="1" ht="15.75">
      <c r="A979" s="1"/>
      <c r="B979" s="12" t="s">
        <v>1856</v>
      </c>
      <c r="C979" s="6" t="s">
        <v>2181</v>
      </c>
      <c r="D979" s="15" t="s">
        <v>2036</v>
      </c>
      <c r="E979" s="24">
        <v>4141</v>
      </c>
      <c r="F979" s="26">
        <v>6</v>
      </c>
      <c r="G979" s="24" t="s">
        <v>2185</v>
      </c>
      <c r="H979" s="67">
        <v>20</v>
      </c>
      <c r="I979" s="68">
        <v>5</v>
      </c>
      <c r="J979" s="67">
        <f t="shared" si="31"/>
        <v>100</v>
      </c>
      <c r="K979" s="25">
        <v>1.47</v>
      </c>
      <c r="L979" s="46">
        <f t="shared" si="32"/>
        <v>147</v>
      </c>
      <c r="M979" s="162" t="s">
        <v>2219</v>
      </c>
      <c r="N979" s="39">
        <v>44586</v>
      </c>
      <c r="O979" s="38">
        <v>3763</v>
      </c>
      <c r="P979" s="46">
        <f t="shared" si="33"/>
        <v>1.2936000000000001</v>
      </c>
      <c r="Q979" s="482">
        <v>1.29</v>
      </c>
      <c r="S979" s="489">
        <v>79</v>
      </c>
      <c r="T979" s="567">
        <f t="shared" si="34"/>
        <v>7900</v>
      </c>
      <c r="U979" s="503"/>
      <c r="V979" s="494">
        <v>90</v>
      </c>
    </row>
    <row r="980" spans="1:22" s="314" customFormat="1" ht="15">
      <c r="A980" s="1"/>
      <c r="B980" s="313"/>
      <c r="C980" s="302" t="s">
        <v>2181</v>
      </c>
      <c r="D980" s="303" t="s">
        <v>2036</v>
      </c>
      <c r="E980" s="304"/>
      <c r="F980" s="305"/>
      <c r="G980" s="305" t="s">
        <v>1227</v>
      </c>
      <c r="H980" s="307" t="s">
        <v>1228</v>
      </c>
      <c r="I980" s="308"/>
      <c r="J980" s="306"/>
      <c r="K980" s="315">
        <v>0</v>
      </c>
      <c r="L980" s="310"/>
      <c r="M980" s="310"/>
      <c r="N980" s="310">
        <v>44586</v>
      </c>
      <c r="O980" s="309">
        <v>3763</v>
      </c>
      <c r="P980" s="302"/>
      <c r="Q980" s="485">
        <v>0</v>
      </c>
      <c r="S980" s="535">
        <v>0</v>
      </c>
      <c r="T980" s="322">
        <v>0</v>
      </c>
      <c r="U980" s="515"/>
      <c r="V980" s="494">
        <v>90</v>
      </c>
    </row>
    <row r="981" spans="1:22" s="7" customFormat="1" ht="15" customHeight="1">
      <c r="A981" s="1"/>
      <c r="B981" s="12"/>
      <c r="C981" s="6" t="s">
        <v>2186</v>
      </c>
      <c r="D981" s="15" t="s">
        <v>11</v>
      </c>
      <c r="E981" s="20" t="s">
        <v>27</v>
      </c>
      <c r="F981" s="150"/>
      <c r="G981" s="24"/>
      <c r="H981" s="151"/>
      <c r="I981" s="152"/>
      <c r="J981" s="151"/>
      <c r="K981" s="34" t="s">
        <v>10</v>
      </c>
      <c r="L981" s="39"/>
      <c r="M981" s="39"/>
      <c r="N981" s="39">
        <v>44547</v>
      </c>
      <c r="O981" s="38">
        <v>3640</v>
      </c>
      <c r="P981" s="15"/>
      <c r="Q981" s="483"/>
      <c r="S981" s="489"/>
      <c r="T981" s="113"/>
      <c r="U981" s="506"/>
      <c r="V981" s="494">
        <v>90</v>
      </c>
    </row>
    <row r="982" spans="1:22" s="7" customFormat="1" ht="15.75">
      <c r="A982" s="1"/>
      <c r="B982" s="12" t="s">
        <v>1858</v>
      </c>
      <c r="C982" s="6" t="s">
        <v>2186</v>
      </c>
      <c r="D982" s="15" t="s">
        <v>11</v>
      </c>
      <c r="E982" s="24" t="s">
        <v>536</v>
      </c>
      <c r="F982" s="150">
        <v>160</v>
      </c>
      <c r="G982" s="24" t="s">
        <v>735</v>
      </c>
      <c r="H982" s="67">
        <v>50</v>
      </c>
      <c r="I982" s="68">
        <v>2</v>
      </c>
      <c r="J982" s="67">
        <f>H982*I982</f>
        <v>100</v>
      </c>
      <c r="K982" s="25">
        <v>4.45</v>
      </c>
      <c r="L982" s="46">
        <f>K982*J982</f>
        <v>445</v>
      </c>
      <c r="M982" s="162" t="s">
        <v>2218</v>
      </c>
      <c r="N982" s="39">
        <v>44547</v>
      </c>
      <c r="O982" s="38">
        <v>3640</v>
      </c>
      <c r="P982" s="46">
        <f>K982*(VLOOKUP(B982,$C$2:$F$6,3,FALSE))</f>
        <v>4.1829999999999998</v>
      </c>
      <c r="Q982" s="483">
        <v>4.18</v>
      </c>
      <c r="S982" s="532">
        <v>320</v>
      </c>
      <c r="T982" s="113">
        <f>S982*J982</f>
        <v>32000</v>
      </c>
      <c r="U982" s="501"/>
      <c r="V982" s="494">
        <v>90</v>
      </c>
    </row>
    <row r="983" spans="1:22" s="7" customFormat="1" ht="15.75">
      <c r="A983" s="1"/>
      <c r="B983" s="12" t="s">
        <v>1858</v>
      </c>
      <c r="C983" s="6" t="s">
        <v>2186</v>
      </c>
      <c r="D983" s="15" t="s">
        <v>11</v>
      </c>
      <c r="E983" s="24" t="s">
        <v>536</v>
      </c>
      <c r="F983" s="150">
        <v>160</v>
      </c>
      <c r="G983" s="24" t="s">
        <v>862</v>
      </c>
      <c r="H983" s="67">
        <v>50</v>
      </c>
      <c r="I983" s="68">
        <v>2</v>
      </c>
      <c r="J983" s="67">
        <f>H983*I983</f>
        <v>100</v>
      </c>
      <c r="K983" s="25">
        <v>4.45</v>
      </c>
      <c r="L983" s="46">
        <f>K983*J983</f>
        <v>445</v>
      </c>
      <c r="M983" s="162" t="s">
        <v>2218</v>
      </c>
      <c r="N983" s="39">
        <v>44547</v>
      </c>
      <c r="O983" s="38">
        <v>3640</v>
      </c>
      <c r="P983" s="46">
        <f>K983*(VLOOKUP(B983,$C$2:$F$6,3,FALSE))</f>
        <v>4.1829999999999998</v>
      </c>
      <c r="Q983" s="483">
        <v>4.18</v>
      </c>
      <c r="S983" s="532">
        <v>320</v>
      </c>
      <c r="T983" s="113">
        <f>S983*J983</f>
        <v>32000</v>
      </c>
      <c r="U983" s="501"/>
      <c r="V983" s="494">
        <v>90</v>
      </c>
    </row>
    <row r="984" spans="1:22" ht="15">
      <c r="C984" s="6" t="s">
        <v>2186</v>
      </c>
      <c r="D984" s="15" t="s">
        <v>11</v>
      </c>
      <c r="E984" s="20" t="s">
        <v>79</v>
      </c>
      <c r="F984" s="150"/>
      <c r="G984" s="24"/>
      <c r="H984" s="151"/>
      <c r="I984" s="152"/>
      <c r="J984" s="151"/>
      <c r="K984" s="153" t="s">
        <v>10</v>
      </c>
      <c r="L984" s="39"/>
      <c r="M984" s="39"/>
      <c r="N984" s="39">
        <v>44547</v>
      </c>
      <c r="O984" s="38">
        <v>3640</v>
      </c>
      <c r="P984" s="15"/>
      <c r="Q984" s="483"/>
      <c r="S984" s="496"/>
      <c r="T984" s="113"/>
      <c r="V984" s="494">
        <v>90</v>
      </c>
    </row>
    <row r="985" spans="1:22" ht="15.75">
      <c r="B985" s="12" t="s">
        <v>1858</v>
      </c>
      <c r="C985" s="6" t="s">
        <v>2186</v>
      </c>
      <c r="D985" s="15" t="s">
        <v>11</v>
      </c>
      <c r="E985" s="24">
        <v>2440</v>
      </c>
      <c r="F985" s="150">
        <v>140</v>
      </c>
      <c r="G985" s="24" t="s">
        <v>733</v>
      </c>
      <c r="H985" s="67">
        <v>58</v>
      </c>
      <c r="I985" s="68">
        <v>3</v>
      </c>
      <c r="J985" s="67">
        <f>H985*I985</f>
        <v>174</v>
      </c>
      <c r="K985" s="46">
        <v>3.34</v>
      </c>
      <c r="L985" s="46">
        <f>K985*J985</f>
        <v>581.16</v>
      </c>
      <c r="M985" s="162" t="s">
        <v>2219</v>
      </c>
      <c r="N985" s="39">
        <v>44547</v>
      </c>
      <c r="O985" s="38">
        <v>3640</v>
      </c>
      <c r="P985" s="46">
        <f>K985*(VLOOKUP(B985,$C$2:$F$6,3,FALSE))</f>
        <v>3.1395999999999997</v>
      </c>
      <c r="Q985" s="483">
        <v>3.14</v>
      </c>
      <c r="S985" s="532">
        <v>240</v>
      </c>
      <c r="T985" s="567">
        <f>S985*J985</f>
        <v>41760</v>
      </c>
      <c r="V985" s="494">
        <v>90</v>
      </c>
    </row>
    <row r="986" spans="1:22" ht="15.75">
      <c r="B986" s="12" t="s">
        <v>1858</v>
      </c>
      <c r="C986" s="6" t="s">
        <v>2186</v>
      </c>
      <c r="D986" s="15" t="s">
        <v>11</v>
      </c>
      <c r="E986" s="24">
        <v>2440</v>
      </c>
      <c r="F986" s="150">
        <v>140</v>
      </c>
      <c r="G986" s="24" t="s">
        <v>862</v>
      </c>
      <c r="H986" s="67">
        <v>68</v>
      </c>
      <c r="I986" s="68">
        <v>3</v>
      </c>
      <c r="J986" s="67">
        <f>H986*I986</f>
        <v>204</v>
      </c>
      <c r="K986" s="46">
        <v>3.34</v>
      </c>
      <c r="L986" s="46">
        <f>K986*J986</f>
        <v>681.36</v>
      </c>
      <c r="M986" s="162" t="s">
        <v>2219</v>
      </c>
      <c r="N986" s="39">
        <v>44547</v>
      </c>
      <c r="O986" s="38">
        <v>3640</v>
      </c>
      <c r="P986" s="46">
        <f>K986*(VLOOKUP(B986,$C$2:$F$6,3,FALSE))</f>
        <v>3.1395999999999997</v>
      </c>
      <c r="Q986" s="483">
        <v>3.14</v>
      </c>
      <c r="S986" s="532">
        <v>240</v>
      </c>
      <c r="T986" s="567">
        <f>S986*J986</f>
        <v>48960</v>
      </c>
      <c r="V986" s="494">
        <v>90</v>
      </c>
    </row>
    <row r="987" spans="1:22" ht="15">
      <c r="C987" s="6" t="s">
        <v>2186</v>
      </c>
      <c r="D987" s="15" t="s">
        <v>11</v>
      </c>
      <c r="E987" s="228"/>
      <c r="F987" s="160"/>
      <c r="G987" s="228" t="s">
        <v>481</v>
      </c>
      <c r="H987" s="214"/>
      <c r="I987" s="215"/>
      <c r="J987" s="43">
        <v>1</v>
      </c>
      <c r="K987" s="229">
        <v>20</v>
      </c>
      <c r="L987" s="417" t="s">
        <v>1676</v>
      </c>
      <c r="M987" s="417"/>
      <c r="N987" s="39">
        <v>44547</v>
      </c>
      <c r="O987" s="38">
        <v>3640</v>
      </c>
      <c r="P987" s="216"/>
      <c r="Q987" s="525">
        <v>0</v>
      </c>
      <c r="S987" s="532">
        <v>0</v>
      </c>
      <c r="T987" s="567">
        <f>S987*J987</f>
        <v>0</v>
      </c>
      <c r="V987" s="494">
        <v>90</v>
      </c>
    </row>
    <row r="988" spans="1:22" ht="15">
      <c r="C988" s="6" t="s">
        <v>2186</v>
      </c>
      <c r="D988" s="15" t="s">
        <v>11</v>
      </c>
      <c r="E988" s="20" t="s">
        <v>79</v>
      </c>
      <c r="F988" s="150"/>
      <c r="G988" s="24"/>
      <c r="H988" s="151"/>
      <c r="I988" s="152"/>
      <c r="J988" s="151"/>
      <c r="K988" s="153" t="s">
        <v>10</v>
      </c>
      <c r="L988" s="39"/>
      <c r="M988" s="39"/>
      <c r="N988" s="39">
        <v>44609</v>
      </c>
      <c r="O988" s="38">
        <v>3913</v>
      </c>
      <c r="P988" s="15"/>
      <c r="Q988" s="483"/>
      <c r="S988" s="496"/>
      <c r="T988" s="113"/>
      <c r="V988" s="494">
        <v>90</v>
      </c>
    </row>
    <row r="989" spans="1:22" s="7" customFormat="1" ht="15.75">
      <c r="A989" s="1"/>
      <c r="B989" s="12" t="s">
        <v>1858</v>
      </c>
      <c r="C989" s="6" t="s">
        <v>2186</v>
      </c>
      <c r="D989" s="15" t="s">
        <v>11</v>
      </c>
      <c r="E989" s="24" t="s">
        <v>731</v>
      </c>
      <c r="F989" s="150">
        <v>140</v>
      </c>
      <c r="G989" s="24" t="s">
        <v>734</v>
      </c>
      <c r="H989" s="67">
        <v>56</v>
      </c>
      <c r="I989" s="68">
        <v>1</v>
      </c>
      <c r="J989" s="67">
        <f>H989*I989</f>
        <v>56</v>
      </c>
      <c r="K989" s="46">
        <v>9.31</v>
      </c>
      <c r="L989" s="46">
        <f>K989*J989</f>
        <v>521.36</v>
      </c>
      <c r="M989" s="162" t="s">
        <v>2219</v>
      </c>
      <c r="N989" s="39">
        <v>44609</v>
      </c>
      <c r="O989" s="38">
        <v>3913</v>
      </c>
      <c r="P989" s="46">
        <f>K989*(VLOOKUP(B989,$C$2:$F$6,3,FALSE))</f>
        <v>8.7514000000000003</v>
      </c>
      <c r="Q989" s="483">
        <v>8.75</v>
      </c>
      <c r="R989" s="704">
        <f>Q989*J989</f>
        <v>490</v>
      </c>
      <c r="S989" s="532">
        <v>670</v>
      </c>
      <c r="T989" s="113">
        <f>S989*J989</f>
        <v>37520</v>
      </c>
      <c r="U989" s="501"/>
      <c r="V989" s="494">
        <v>90</v>
      </c>
    </row>
    <row r="990" spans="1:22" s="7" customFormat="1" ht="15.75">
      <c r="A990" s="1"/>
      <c r="B990" s="12" t="s">
        <v>1858</v>
      </c>
      <c r="C990" s="6" t="s">
        <v>2186</v>
      </c>
      <c r="D990" s="15" t="s">
        <v>11</v>
      </c>
      <c r="E990" s="24" t="s">
        <v>731</v>
      </c>
      <c r="F990" s="150">
        <v>140</v>
      </c>
      <c r="G990" s="24" t="s">
        <v>734</v>
      </c>
      <c r="H990" s="67">
        <v>58</v>
      </c>
      <c r="I990" s="68">
        <v>1</v>
      </c>
      <c r="J990" s="67">
        <f>H990*I990</f>
        <v>58</v>
      </c>
      <c r="K990" s="46">
        <v>9.31</v>
      </c>
      <c r="L990" s="46">
        <f>K990*J990</f>
        <v>539.98</v>
      </c>
      <c r="M990" s="162" t="s">
        <v>2219</v>
      </c>
      <c r="N990" s="39">
        <v>44609</v>
      </c>
      <c r="O990" s="38">
        <v>3913</v>
      </c>
      <c r="P990" s="46">
        <f>K990*(VLOOKUP(B990,$C$2:$F$6,3,FALSE))</f>
        <v>8.7514000000000003</v>
      </c>
      <c r="Q990" s="483">
        <v>8.75</v>
      </c>
      <c r="R990" s="704">
        <f>Q990*J990</f>
        <v>507.5</v>
      </c>
      <c r="S990" s="532">
        <v>670</v>
      </c>
      <c r="T990" s="113">
        <f>S990*J990</f>
        <v>38860</v>
      </c>
      <c r="U990" s="501"/>
      <c r="V990" s="494">
        <v>90</v>
      </c>
    </row>
    <row r="991" spans="1:22" s="7" customFormat="1" ht="15.75">
      <c r="A991" s="1"/>
      <c r="B991" s="12" t="s">
        <v>1858</v>
      </c>
      <c r="C991" s="6" t="s">
        <v>2186</v>
      </c>
      <c r="D991" s="15" t="s">
        <v>11</v>
      </c>
      <c r="E991" s="24" t="s">
        <v>731</v>
      </c>
      <c r="F991" s="150">
        <v>140</v>
      </c>
      <c r="G991" s="24" t="s">
        <v>734</v>
      </c>
      <c r="H991" s="67">
        <v>65</v>
      </c>
      <c r="I991" s="68">
        <v>1</v>
      </c>
      <c r="J991" s="67">
        <f>H991*I991</f>
        <v>65</v>
      </c>
      <c r="K991" s="46">
        <v>9.31</v>
      </c>
      <c r="L991" s="46">
        <f>K991*J991</f>
        <v>605.15</v>
      </c>
      <c r="M991" s="162" t="s">
        <v>2219</v>
      </c>
      <c r="N991" s="39">
        <v>44609</v>
      </c>
      <c r="O991" s="38">
        <v>3913</v>
      </c>
      <c r="P991" s="46">
        <f>K991*(VLOOKUP(B991,$C$2:$F$6,3,FALSE))</f>
        <v>8.7514000000000003</v>
      </c>
      <c r="Q991" s="483">
        <v>8.75</v>
      </c>
      <c r="R991" s="704">
        <f>Q991*J991</f>
        <v>568.75</v>
      </c>
      <c r="S991" s="532">
        <v>670</v>
      </c>
      <c r="T991" s="113">
        <f>S991*J991</f>
        <v>43550</v>
      </c>
      <c r="U991" s="501"/>
      <c r="V991" s="494">
        <v>90</v>
      </c>
    </row>
    <row r="992" spans="1:22" s="7" customFormat="1" ht="15.75">
      <c r="A992" s="1"/>
      <c r="B992" s="12" t="s">
        <v>1858</v>
      </c>
      <c r="C992" s="6" t="s">
        <v>2186</v>
      </c>
      <c r="D992" s="15" t="s">
        <v>11</v>
      </c>
      <c r="E992" s="24" t="s">
        <v>731</v>
      </c>
      <c r="F992" s="150">
        <v>140</v>
      </c>
      <c r="G992" s="24" t="s">
        <v>874</v>
      </c>
      <c r="H992" s="67">
        <v>58</v>
      </c>
      <c r="I992" s="68">
        <v>3</v>
      </c>
      <c r="J992" s="67">
        <f>H992*I992</f>
        <v>174</v>
      </c>
      <c r="K992" s="46">
        <v>9.31</v>
      </c>
      <c r="L992" s="46">
        <f>K992*J992</f>
        <v>1619.94</v>
      </c>
      <c r="M992" s="162" t="s">
        <v>2219</v>
      </c>
      <c r="N992" s="39">
        <v>44609</v>
      </c>
      <c r="O992" s="38">
        <v>3913</v>
      </c>
      <c r="P992" s="46">
        <f>K992*(VLOOKUP(B992,$C$2:$F$6,3,FALSE))</f>
        <v>8.7514000000000003</v>
      </c>
      <c r="Q992" s="483">
        <v>8.75</v>
      </c>
      <c r="R992" s="704">
        <f>Q992*J992</f>
        <v>1522.5</v>
      </c>
      <c r="S992" s="532">
        <v>670</v>
      </c>
      <c r="T992" s="113">
        <f>S992*J992</f>
        <v>116580</v>
      </c>
      <c r="U992" s="501"/>
      <c r="V992" s="494">
        <v>90</v>
      </c>
    </row>
    <row r="993" spans="1:22" ht="15">
      <c r="C993" s="6" t="s">
        <v>2186</v>
      </c>
      <c r="D993" s="15" t="s">
        <v>11</v>
      </c>
      <c r="E993" s="24"/>
      <c r="F993" s="160"/>
      <c r="G993" s="228" t="s">
        <v>481</v>
      </c>
      <c r="H993" s="214"/>
      <c r="I993" s="215"/>
      <c r="J993" s="43">
        <v>1</v>
      </c>
      <c r="K993" s="229">
        <v>20</v>
      </c>
      <c r="L993" s="417" t="s">
        <v>1676</v>
      </c>
      <c r="M993" s="417"/>
      <c r="N993" s="39">
        <v>44609</v>
      </c>
      <c r="O993" s="38">
        <v>3913</v>
      </c>
      <c r="P993" s="216"/>
      <c r="Q993" s="525">
        <v>0</v>
      </c>
      <c r="S993" s="532">
        <v>1800</v>
      </c>
      <c r="T993" s="567">
        <v>1800</v>
      </c>
      <c r="V993" s="494">
        <v>90</v>
      </c>
    </row>
    <row r="994" spans="1:22" s="314" customFormat="1" ht="15">
      <c r="A994" s="1"/>
      <c r="B994" s="313"/>
      <c r="C994" s="302" t="s">
        <v>2186</v>
      </c>
      <c r="D994" s="303" t="s">
        <v>11</v>
      </c>
      <c r="E994" s="371"/>
      <c r="F994" s="305"/>
      <c r="G994" s="305" t="s">
        <v>1227</v>
      </c>
      <c r="H994" s="307" t="s">
        <v>1228</v>
      </c>
      <c r="I994" s="308"/>
      <c r="J994" s="306"/>
      <c r="K994" s="315">
        <v>0</v>
      </c>
      <c r="L994" s="310"/>
      <c r="M994" s="310"/>
      <c r="N994" s="310">
        <v>44609</v>
      </c>
      <c r="O994" s="309">
        <v>3913</v>
      </c>
      <c r="P994" s="302"/>
      <c r="Q994" s="485">
        <v>0</v>
      </c>
      <c r="S994" s="535">
        <v>0</v>
      </c>
      <c r="T994" s="322">
        <v>0</v>
      </c>
      <c r="U994" s="515"/>
      <c r="V994" s="494">
        <v>90</v>
      </c>
    </row>
    <row r="995" spans="1:22" ht="15">
      <c r="C995" s="6" t="s">
        <v>2220</v>
      </c>
      <c r="D995" s="15" t="s">
        <v>11</v>
      </c>
      <c r="E995" s="20" t="s">
        <v>79</v>
      </c>
      <c r="F995" s="150"/>
      <c r="G995" s="24"/>
      <c r="H995" s="151"/>
      <c r="I995" s="152"/>
      <c r="J995" s="151"/>
      <c r="K995" s="153" t="s">
        <v>10</v>
      </c>
      <c r="L995" s="39"/>
      <c r="M995" s="39"/>
      <c r="N995" s="39">
        <v>44607</v>
      </c>
      <c r="O995" s="38">
        <v>3912</v>
      </c>
      <c r="P995" s="15"/>
      <c r="Q995" s="483"/>
      <c r="S995" s="496"/>
      <c r="T995" s="113"/>
      <c r="V995" s="494">
        <v>90</v>
      </c>
    </row>
    <row r="996" spans="1:22" s="7" customFormat="1" ht="15.75">
      <c r="A996" s="1"/>
      <c r="B996" s="12" t="s">
        <v>1858</v>
      </c>
      <c r="C996" s="6" t="s">
        <v>2220</v>
      </c>
      <c r="D996" s="15" t="s">
        <v>11</v>
      </c>
      <c r="E996" s="24" t="s">
        <v>731</v>
      </c>
      <c r="F996" s="150">
        <v>140</v>
      </c>
      <c r="G996" s="24" t="s">
        <v>734</v>
      </c>
      <c r="H996" s="67">
        <v>58</v>
      </c>
      <c r="I996" s="68">
        <v>3</v>
      </c>
      <c r="J996" s="67">
        <f>H996*I996</f>
        <v>174</v>
      </c>
      <c r="K996" s="46">
        <v>9.31</v>
      </c>
      <c r="L996" s="46">
        <f>K996*J996</f>
        <v>1619.94</v>
      </c>
      <c r="M996" s="162" t="s">
        <v>2219</v>
      </c>
      <c r="N996" s="39">
        <v>44607</v>
      </c>
      <c r="O996" s="38">
        <v>3912</v>
      </c>
      <c r="P996" s="46">
        <f>K996*(VLOOKUP(B996,$C$2:$F$6,3,FALSE))</f>
        <v>8.7514000000000003</v>
      </c>
      <c r="Q996" s="483">
        <v>8.75</v>
      </c>
      <c r="R996" s="704">
        <f>Q996*J996</f>
        <v>1522.5</v>
      </c>
      <c r="S996" s="532">
        <v>670</v>
      </c>
      <c r="T996" s="113">
        <f>S996*J996</f>
        <v>116580</v>
      </c>
      <c r="U996" s="501"/>
      <c r="V996" s="494">
        <v>90</v>
      </c>
    </row>
    <row r="997" spans="1:22" s="7" customFormat="1" ht="15.75">
      <c r="A997" s="1"/>
      <c r="B997" s="12" t="s">
        <v>1858</v>
      </c>
      <c r="C997" s="6" t="s">
        <v>2220</v>
      </c>
      <c r="D997" s="15" t="s">
        <v>11</v>
      </c>
      <c r="E997" s="24" t="s">
        <v>731</v>
      </c>
      <c r="F997" s="150">
        <v>140</v>
      </c>
      <c r="G997" s="24" t="s">
        <v>874</v>
      </c>
      <c r="H997" s="67">
        <v>58</v>
      </c>
      <c r="I997" s="68">
        <v>3</v>
      </c>
      <c r="J997" s="67">
        <f>H997*I997</f>
        <v>174</v>
      </c>
      <c r="K997" s="46">
        <v>9.31</v>
      </c>
      <c r="L997" s="46">
        <f>K997*J997</f>
        <v>1619.94</v>
      </c>
      <c r="M997" s="162" t="s">
        <v>2219</v>
      </c>
      <c r="N997" s="39">
        <v>44607</v>
      </c>
      <c r="O997" s="38">
        <v>3912</v>
      </c>
      <c r="P997" s="46">
        <f>K997*(VLOOKUP(B997,$C$2:$F$6,3,FALSE))</f>
        <v>8.7514000000000003</v>
      </c>
      <c r="Q997" s="483">
        <v>8.75</v>
      </c>
      <c r="R997" s="704">
        <f>Q997*J997</f>
        <v>1522.5</v>
      </c>
      <c r="S997" s="532">
        <v>670</v>
      </c>
      <c r="T997" s="113">
        <f>S997*J997</f>
        <v>116580</v>
      </c>
      <c r="U997" s="501"/>
      <c r="V997" s="494">
        <v>90</v>
      </c>
    </row>
    <row r="998" spans="1:22" ht="15">
      <c r="C998" s="6" t="s">
        <v>2220</v>
      </c>
      <c r="D998" s="15" t="s">
        <v>11</v>
      </c>
      <c r="E998" s="228"/>
      <c r="F998" s="160"/>
      <c r="G998" s="228" t="s">
        <v>481</v>
      </c>
      <c r="H998" s="214"/>
      <c r="I998" s="215"/>
      <c r="J998" s="43">
        <v>1</v>
      </c>
      <c r="K998" s="229">
        <v>20</v>
      </c>
      <c r="L998" s="417" t="s">
        <v>1676</v>
      </c>
      <c r="M998" s="417"/>
      <c r="N998" s="39">
        <v>44607</v>
      </c>
      <c r="O998" s="38">
        <v>3912</v>
      </c>
      <c r="P998" s="216"/>
      <c r="Q998" s="525">
        <v>0</v>
      </c>
      <c r="R998" s="704"/>
      <c r="S998" s="532">
        <v>1800</v>
      </c>
      <c r="T998" s="567">
        <v>1800</v>
      </c>
      <c r="V998" s="494">
        <v>90</v>
      </c>
    </row>
    <row r="999" spans="1:22" s="314" customFormat="1" ht="15">
      <c r="A999" s="1"/>
      <c r="B999" s="313"/>
      <c r="C999" s="302" t="s">
        <v>2220</v>
      </c>
      <c r="D999" s="303" t="s">
        <v>11</v>
      </c>
      <c r="E999" s="304"/>
      <c r="F999" s="305"/>
      <c r="G999" s="305" t="s">
        <v>1227</v>
      </c>
      <c r="H999" s="307" t="s">
        <v>1228</v>
      </c>
      <c r="I999" s="308"/>
      <c r="J999" s="306"/>
      <c r="K999" s="315">
        <v>0</v>
      </c>
      <c r="L999" s="310"/>
      <c r="M999" s="310"/>
      <c r="N999" s="310">
        <v>44607</v>
      </c>
      <c r="O999" s="309">
        <v>3912</v>
      </c>
      <c r="P999" s="302"/>
      <c r="Q999" s="485">
        <v>0</v>
      </c>
      <c r="S999" s="535">
        <v>0</v>
      </c>
      <c r="T999" s="322">
        <v>0</v>
      </c>
      <c r="U999" s="515"/>
      <c r="V999" s="494">
        <v>90</v>
      </c>
    </row>
    <row r="1000" spans="1:22" s="7" customFormat="1" ht="15">
      <c r="A1000" s="1"/>
      <c r="B1000" s="12"/>
      <c r="C1000" s="6" t="s">
        <v>2211</v>
      </c>
      <c r="D1000" s="15" t="s">
        <v>983</v>
      </c>
      <c r="E1000" s="20" t="s">
        <v>344</v>
      </c>
      <c r="F1000" s="26"/>
      <c r="G1000" s="24"/>
      <c r="H1000" s="67"/>
      <c r="I1000" s="68"/>
      <c r="J1000" s="67"/>
      <c r="K1000" s="17" t="s">
        <v>134</v>
      </c>
      <c r="L1000" s="39"/>
      <c r="M1000" s="39"/>
      <c r="N1000" s="39">
        <v>44547</v>
      </c>
      <c r="O1000" s="38">
        <v>3754</v>
      </c>
      <c r="P1000" s="6" t="s">
        <v>23</v>
      </c>
      <c r="Q1000" s="481"/>
      <c r="S1000" s="489"/>
      <c r="T1000" s="113"/>
      <c r="U1000" s="500"/>
      <c r="V1000" s="494">
        <v>90</v>
      </c>
    </row>
    <row r="1001" spans="1:22" s="7" customFormat="1" ht="15">
      <c r="A1001" s="1"/>
      <c r="B1001" s="12" t="s">
        <v>1856</v>
      </c>
      <c r="C1001" s="6" t="s">
        <v>2211</v>
      </c>
      <c r="D1001" s="15" t="s">
        <v>983</v>
      </c>
      <c r="E1001" s="24">
        <v>14552</v>
      </c>
      <c r="F1001" s="26">
        <v>10</v>
      </c>
      <c r="G1001" s="24" t="s">
        <v>2212</v>
      </c>
      <c r="H1001" s="151">
        <v>30</v>
      </c>
      <c r="I1001" s="152">
        <v>24</v>
      </c>
      <c r="J1001" s="67">
        <f>H1001*I1001</f>
        <v>720</v>
      </c>
      <c r="K1001" s="25">
        <v>0.69</v>
      </c>
      <c r="L1001" s="46">
        <f>K1001*J1001</f>
        <v>496.79999999999995</v>
      </c>
      <c r="M1001" s="112"/>
      <c r="N1001" s="39">
        <v>44547</v>
      </c>
      <c r="O1001" s="38">
        <v>3754</v>
      </c>
      <c r="P1001" s="46">
        <f>K1001*(VLOOKUP(B1001,$C$2:$F$6,3,FALSE))</f>
        <v>0.60719999999999996</v>
      </c>
      <c r="Q1001" s="482">
        <v>0.61</v>
      </c>
      <c r="S1001" s="489">
        <v>37</v>
      </c>
      <c r="T1001" s="567">
        <f>S1001*J1001</f>
        <v>26640</v>
      </c>
      <c r="U1001" s="500"/>
      <c r="V1001" s="494">
        <v>90</v>
      </c>
    </row>
    <row r="1002" spans="1:22" s="7" customFormat="1" ht="15">
      <c r="A1002" s="1"/>
      <c r="B1002" s="12" t="s">
        <v>1856</v>
      </c>
      <c r="C1002" s="6" t="s">
        <v>2211</v>
      </c>
      <c r="D1002" s="15" t="s">
        <v>983</v>
      </c>
      <c r="E1002" s="24">
        <v>14552</v>
      </c>
      <c r="F1002" s="26">
        <v>10</v>
      </c>
      <c r="G1002" s="24" t="s">
        <v>1740</v>
      </c>
      <c r="H1002" s="151">
        <v>30</v>
      </c>
      <c r="I1002" s="152">
        <v>34</v>
      </c>
      <c r="J1002" s="67">
        <f>H1002*I1002</f>
        <v>1020</v>
      </c>
      <c r="K1002" s="25">
        <v>0.69</v>
      </c>
      <c r="L1002" s="46">
        <f>K1002*J1002</f>
        <v>703.8</v>
      </c>
      <c r="M1002" s="112"/>
      <c r="N1002" s="39">
        <v>44547</v>
      </c>
      <c r="O1002" s="38">
        <v>3754</v>
      </c>
      <c r="P1002" s="46">
        <f>K1002*(VLOOKUP(B1002,$C$2:$F$6,3,FALSE))</f>
        <v>0.60719999999999996</v>
      </c>
      <c r="Q1002" s="482">
        <v>0.61</v>
      </c>
      <c r="S1002" s="489">
        <v>37</v>
      </c>
      <c r="T1002" s="567">
        <f>S1002*J1002</f>
        <v>37740</v>
      </c>
      <c r="U1002" s="500"/>
      <c r="V1002" s="494">
        <v>90</v>
      </c>
    </row>
    <row r="1003" spans="1:22" s="7" customFormat="1" ht="15">
      <c r="A1003" s="1"/>
      <c r="B1003" s="12"/>
      <c r="C1003" s="6" t="s">
        <v>2211</v>
      </c>
      <c r="D1003" s="15" t="s">
        <v>983</v>
      </c>
      <c r="E1003" s="95"/>
      <c r="F1003" s="138"/>
      <c r="G1003" s="24" t="s">
        <v>481</v>
      </c>
      <c r="H1003" s="8"/>
      <c r="I1003" s="41"/>
      <c r="J1003" s="45">
        <v>1</v>
      </c>
      <c r="K1003" s="46">
        <v>12</v>
      </c>
      <c r="L1003" s="46">
        <v>12</v>
      </c>
      <c r="M1003" s="112"/>
      <c r="N1003" s="39">
        <v>44547</v>
      </c>
      <c r="O1003" s="38">
        <v>3754</v>
      </c>
      <c r="P1003" s="6"/>
      <c r="Q1003" s="483">
        <v>12</v>
      </c>
      <c r="S1003" s="489">
        <v>0</v>
      </c>
      <c r="T1003" s="567">
        <f>S1003*J1003</f>
        <v>0</v>
      </c>
      <c r="U1003" s="501"/>
      <c r="V1003" s="494">
        <v>90</v>
      </c>
    </row>
    <row r="1004" spans="1:22" s="314" customFormat="1" ht="15">
      <c r="A1004" s="1"/>
      <c r="B1004" s="313"/>
      <c r="C1004" s="302" t="s">
        <v>2211</v>
      </c>
      <c r="D1004" s="303" t="s">
        <v>983</v>
      </c>
      <c r="E1004" s="304"/>
      <c r="F1004" s="305"/>
      <c r="G1004" s="305" t="s">
        <v>1227</v>
      </c>
      <c r="H1004" s="307" t="s">
        <v>1243</v>
      </c>
      <c r="I1004" s="308"/>
      <c r="J1004" s="306"/>
      <c r="K1004" s="329">
        <v>76</v>
      </c>
      <c r="L1004" s="310"/>
      <c r="M1004" s="310"/>
      <c r="N1004" s="310">
        <v>44547</v>
      </c>
      <c r="O1004" s="309">
        <v>3754</v>
      </c>
      <c r="P1004" s="302"/>
      <c r="Q1004" s="578">
        <v>76</v>
      </c>
      <c r="S1004" s="532">
        <v>6763</v>
      </c>
      <c r="T1004" s="532">
        <v>6763</v>
      </c>
      <c r="U1004" s="515"/>
      <c r="V1004" s="494">
        <v>90</v>
      </c>
    </row>
    <row r="1005" spans="1:22" ht="15">
      <c r="C1005" s="6" t="s">
        <v>2214</v>
      </c>
      <c r="D1005" s="15" t="s">
        <v>1126</v>
      </c>
      <c r="E1005" s="20" t="s">
        <v>1127</v>
      </c>
      <c r="F1005" s="26"/>
      <c r="G1005" s="24"/>
      <c r="H1005" s="67"/>
      <c r="I1005" s="68"/>
      <c r="J1005" s="67"/>
      <c r="K1005" s="17" t="s">
        <v>134</v>
      </c>
      <c r="L1005" s="39"/>
      <c r="M1005" s="39"/>
      <c r="N1005" s="39">
        <v>44547</v>
      </c>
      <c r="O1005" s="38">
        <v>3755</v>
      </c>
      <c r="P1005" s="6"/>
      <c r="Q1005" s="481"/>
      <c r="S1005" s="489"/>
      <c r="T1005" s="113"/>
      <c r="U1005" s="500"/>
      <c r="V1005" s="494">
        <v>90</v>
      </c>
    </row>
    <row r="1006" spans="1:22" ht="15">
      <c r="B1006" s="28" t="s">
        <v>1856</v>
      </c>
      <c r="C1006" s="6" t="s">
        <v>2214</v>
      </c>
      <c r="D1006" s="15" t="s">
        <v>1126</v>
      </c>
      <c r="E1006" s="24" t="s">
        <v>447</v>
      </c>
      <c r="F1006" s="26"/>
      <c r="G1006" s="24" t="s">
        <v>353</v>
      </c>
      <c r="H1006" s="67">
        <v>50</v>
      </c>
      <c r="I1006" s="68">
        <v>15</v>
      </c>
      <c r="J1006" s="67">
        <f>H1006*I1006</f>
        <v>750</v>
      </c>
      <c r="K1006" s="25">
        <v>0.27</v>
      </c>
      <c r="L1006" s="46">
        <f>K1006*J1006</f>
        <v>202.5</v>
      </c>
      <c r="M1006" s="112"/>
      <c r="N1006" s="39">
        <v>44547</v>
      </c>
      <c r="O1006" s="38">
        <v>3755</v>
      </c>
      <c r="P1006" s="46">
        <f>K1006*(VLOOKUP(B1006,$C$2:$F$6,3,FALSE))</f>
        <v>0.23760000000000001</v>
      </c>
      <c r="Q1006" s="483">
        <v>0.24</v>
      </c>
      <c r="S1006" s="489">
        <v>14.4</v>
      </c>
      <c r="T1006" s="113">
        <f>S1006*J1006</f>
        <v>10800</v>
      </c>
      <c r="U1006" s="503" t="s">
        <v>2215</v>
      </c>
      <c r="V1006" s="494">
        <v>90</v>
      </c>
    </row>
    <row r="1007" spans="1:22" s="7" customFormat="1" ht="15" customHeight="1">
      <c r="A1007" s="1"/>
      <c r="B1007" s="12"/>
      <c r="C1007" s="6" t="s">
        <v>2214</v>
      </c>
      <c r="D1007" s="15" t="s">
        <v>1126</v>
      </c>
      <c r="E1007" s="24"/>
      <c r="F1007" s="44"/>
      <c r="G1007" s="44" t="s">
        <v>1949</v>
      </c>
      <c r="H1007" s="45"/>
      <c r="I1007" s="152" ph="1"/>
      <c r="J1007" s="45">
        <v>1</v>
      </c>
      <c r="K1007" s="46">
        <v>12</v>
      </c>
      <c r="L1007" s="46">
        <f>K1007*J1007</f>
        <v>12</v>
      </c>
      <c r="M1007" s="112"/>
      <c r="N1007" s="39">
        <v>44547</v>
      </c>
      <c r="O1007" s="38">
        <v>3755</v>
      </c>
      <c r="P1007" s="6"/>
      <c r="Q1007" s="483">
        <v>12</v>
      </c>
      <c r="S1007" s="489">
        <v>1100</v>
      </c>
      <c r="T1007" s="113">
        <f>S1007*J1007</f>
        <v>1100</v>
      </c>
      <c r="U1007" s="501"/>
      <c r="V1007" s="494">
        <v>90</v>
      </c>
    </row>
    <row r="1008" spans="1:22" s="314" customFormat="1" ht="15" customHeight="1">
      <c r="A1008" s="1"/>
      <c r="B1008" s="313"/>
      <c r="C1008" s="302" t="s">
        <v>2214</v>
      </c>
      <c r="D1008" s="303" t="s">
        <v>1126</v>
      </c>
      <c r="E1008" s="304"/>
      <c r="F1008" s="305"/>
      <c r="G1008" s="305" t="s">
        <v>1227</v>
      </c>
      <c r="H1008" s="307" t="s">
        <v>1228</v>
      </c>
      <c r="I1008" s="308"/>
      <c r="J1008" s="306"/>
      <c r="K1008" s="316">
        <v>0</v>
      </c>
      <c r="L1008" s="310"/>
      <c r="M1008" s="310"/>
      <c r="N1008" s="310">
        <v>44547</v>
      </c>
      <c r="O1008" s="309">
        <v>3755</v>
      </c>
      <c r="P1008" s="302"/>
      <c r="Q1008" s="485">
        <v>0</v>
      </c>
      <c r="S1008" s="536">
        <v>0</v>
      </c>
      <c r="T1008" s="322">
        <v>0</v>
      </c>
      <c r="U1008" s="515"/>
      <c r="V1008" s="494">
        <v>90</v>
      </c>
    </row>
    <row r="1009" spans="1:22" ht="18" customHeight="1">
      <c r="C1009" s="6" t="s">
        <v>2217</v>
      </c>
      <c r="D1009" s="15" t="s">
        <v>892</v>
      </c>
      <c r="E1009" s="20" t="s">
        <v>1468</v>
      </c>
      <c r="F1009" s="44"/>
      <c r="G1009" s="44"/>
      <c r="H1009" s="151"/>
      <c r="I1009" s="151"/>
      <c r="J1009" s="151"/>
      <c r="K1009" s="34" t="s">
        <v>134</v>
      </c>
      <c r="L1009" s="39"/>
      <c r="M1009" s="39"/>
      <c r="N1009" s="39">
        <v>44550</v>
      </c>
      <c r="O1009" s="38">
        <v>3758</v>
      </c>
      <c r="P1009" s="6"/>
      <c r="Q1009" s="524"/>
      <c r="S1009" s="489"/>
      <c r="T1009" s="113"/>
      <c r="U1009" s="501"/>
      <c r="V1009" s="494">
        <v>90</v>
      </c>
    </row>
    <row r="1010" spans="1:22" ht="18" customHeight="1">
      <c r="B1010" s="28" t="s">
        <v>1856</v>
      </c>
      <c r="C1010" s="6" t="s">
        <v>2217</v>
      </c>
      <c r="D1010" s="15" t="s">
        <v>892</v>
      </c>
      <c r="E1010" s="20" t="s">
        <v>1461</v>
      </c>
      <c r="F1010" s="44">
        <v>7</v>
      </c>
      <c r="G1010" s="24" t="s">
        <v>2216</v>
      </c>
      <c r="H1010" s="151">
        <v>25</v>
      </c>
      <c r="I1010" s="152">
        <v>1</v>
      </c>
      <c r="J1010" s="67">
        <v>25</v>
      </c>
      <c r="K1010" s="46">
        <v>3.08</v>
      </c>
      <c r="L1010" s="46">
        <v>77</v>
      </c>
      <c r="M1010" s="112"/>
      <c r="N1010" s="39">
        <v>44550</v>
      </c>
      <c r="O1010" s="38">
        <v>3758</v>
      </c>
      <c r="P1010" s="46">
        <f>K1010*(VLOOKUP(B1010,$C$2:$F$6,3,FALSE))</f>
        <v>2.7103999999999999</v>
      </c>
      <c r="Q1010" s="482">
        <v>2.71</v>
      </c>
      <c r="S1010" s="489">
        <v>166</v>
      </c>
      <c r="T1010" s="113">
        <f>S1010*J1010</f>
        <v>4150</v>
      </c>
      <c r="U1010" s="507"/>
      <c r="V1010" s="494">
        <v>90</v>
      </c>
    </row>
    <row r="1011" spans="1:22" s="7" customFormat="1" ht="15.95" customHeight="1">
      <c r="A1011" s="1"/>
      <c r="B1011" s="12"/>
      <c r="C1011" s="6" t="s">
        <v>2217</v>
      </c>
      <c r="D1011" s="15" t="s">
        <v>892</v>
      </c>
      <c r="E1011" s="24"/>
      <c r="F1011" s="138"/>
      <c r="G1011" s="44" t="s">
        <v>1993</v>
      </c>
      <c r="H1011" s="8"/>
      <c r="I1011" s="41"/>
      <c r="J1011" s="45">
        <v>1</v>
      </c>
      <c r="K1011" s="46">
        <v>12</v>
      </c>
      <c r="L1011" s="46">
        <v>12</v>
      </c>
      <c r="M1011" s="39"/>
      <c r="N1011" s="39">
        <v>44550</v>
      </c>
      <c r="O1011" s="38">
        <v>3758</v>
      </c>
      <c r="P1011" s="6"/>
      <c r="Q1011" s="483">
        <v>12</v>
      </c>
      <c r="S1011" s="489">
        <v>550</v>
      </c>
      <c r="T1011" s="113">
        <f>S1011*J1011</f>
        <v>550</v>
      </c>
      <c r="U1011" s="501"/>
      <c r="V1011" s="494">
        <v>90</v>
      </c>
    </row>
    <row r="1012" spans="1:22" s="314" customFormat="1" ht="15" customHeight="1">
      <c r="A1012" s="1"/>
      <c r="B1012" s="313"/>
      <c r="C1012" s="302" t="s">
        <v>2217</v>
      </c>
      <c r="D1012" s="303" t="s">
        <v>892</v>
      </c>
      <c r="E1012" s="304"/>
      <c r="F1012" s="305"/>
      <c r="G1012" s="305" t="s">
        <v>1227</v>
      </c>
      <c r="H1012" s="307" t="s">
        <v>1228</v>
      </c>
      <c r="I1012" s="308"/>
      <c r="J1012" s="306"/>
      <c r="K1012" s="315">
        <v>0</v>
      </c>
      <c r="L1012" s="310"/>
      <c r="M1012" s="310"/>
      <c r="N1012" s="310">
        <v>44550</v>
      </c>
      <c r="O1012" s="309">
        <v>3758</v>
      </c>
      <c r="P1012" s="302"/>
      <c r="Q1012" s="485">
        <v>0</v>
      </c>
      <c r="S1012" s="536">
        <v>0</v>
      </c>
      <c r="T1012" s="322">
        <v>0</v>
      </c>
      <c r="U1012" s="515"/>
      <c r="V1012" s="494">
        <v>90</v>
      </c>
    </row>
    <row r="1013" spans="1:22" ht="15">
      <c r="C1013" s="6" t="s">
        <v>2223</v>
      </c>
      <c r="D1013" s="15" t="s">
        <v>11</v>
      </c>
      <c r="E1013" s="20" t="s">
        <v>79</v>
      </c>
      <c r="F1013" s="150"/>
      <c r="G1013" s="24"/>
      <c r="H1013" s="151"/>
      <c r="I1013" s="152"/>
      <c r="J1013" s="151"/>
      <c r="K1013" s="153" t="s">
        <v>10</v>
      </c>
      <c r="L1013" s="39"/>
      <c r="M1013" s="39"/>
      <c r="N1013" s="39">
        <v>44552</v>
      </c>
      <c r="O1013" s="38">
        <v>3769</v>
      </c>
      <c r="P1013" s="15"/>
      <c r="Q1013" s="483"/>
      <c r="S1013" s="496"/>
      <c r="T1013" s="113"/>
      <c r="V1013" s="494">
        <v>90</v>
      </c>
    </row>
    <row r="1014" spans="1:22" s="7" customFormat="1" ht="15.75">
      <c r="A1014" s="1"/>
      <c r="B1014" s="12" t="s">
        <v>1858</v>
      </c>
      <c r="C1014" s="6" t="s">
        <v>2223</v>
      </c>
      <c r="D1014" s="15" t="s">
        <v>11</v>
      </c>
      <c r="E1014" s="20" t="s">
        <v>2224</v>
      </c>
      <c r="F1014" s="150">
        <v>140</v>
      </c>
      <c r="G1014" s="24" t="s">
        <v>874</v>
      </c>
      <c r="H1014" s="67">
        <v>55</v>
      </c>
      <c r="I1014" s="68">
        <v>1</v>
      </c>
      <c r="J1014" s="67">
        <f>H1014*I1014</f>
        <v>55</v>
      </c>
      <c r="K1014" s="46">
        <v>13.62</v>
      </c>
      <c r="L1014" s="46">
        <f>K1014*J1014</f>
        <v>749.09999999999991</v>
      </c>
      <c r="M1014" s="162" t="s">
        <v>2219</v>
      </c>
      <c r="N1014" s="39">
        <v>44917</v>
      </c>
      <c r="O1014" s="38">
        <v>3769</v>
      </c>
      <c r="P1014" s="46">
        <f>K1014*(VLOOKUP(B1014,$C$2:$F$6,3,FALSE))</f>
        <v>12.802799999999998</v>
      </c>
      <c r="Q1014" s="483">
        <v>12.8</v>
      </c>
      <c r="S1014" s="532">
        <v>880</v>
      </c>
      <c r="T1014" s="113">
        <f>S1014*J1014</f>
        <v>48400</v>
      </c>
      <c r="U1014" s="501"/>
      <c r="V1014" s="494">
        <v>90</v>
      </c>
    </row>
    <row r="1015" spans="1:22" ht="15">
      <c r="C1015" s="6" t="s">
        <v>2223</v>
      </c>
      <c r="D1015" s="15" t="s">
        <v>11</v>
      </c>
      <c r="E1015" s="228"/>
      <c r="F1015" s="160"/>
      <c r="G1015" s="228" t="s">
        <v>481</v>
      </c>
      <c r="H1015" s="214"/>
      <c r="I1015" s="215"/>
      <c r="J1015" s="43">
        <v>1</v>
      </c>
      <c r="K1015" s="229">
        <v>20</v>
      </c>
      <c r="L1015" s="417" t="s">
        <v>1676</v>
      </c>
      <c r="M1015" s="417"/>
      <c r="N1015" s="39">
        <v>44552</v>
      </c>
      <c r="O1015" s="38">
        <v>3769</v>
      </c>
      <c r="P1015" s="216"/>
      <c r="Q1015" s="525">
        <v>0</v>
      </c>
      <c r="S1015" s="532">
        <v>1800</v>
      </c>
      <c r="T1015" s="567">
        <v>1800</v>
      </c>
      <c r="V1015" s="494">
        <v>90</v>
      </c>
    </row>
    <row r="1016" spans="1:22" s="314" customFormat="1" ht="15">
      <c r="A1016" s="1"/>
      <c r="B1016" s="313"/>
      <c r="C1016" s="302" t="s">
        <v>2223</v>
      </c>
      <c r="D1016" s="303" t="s">
        <v>11</v>
      </c>
      <c r="E1016" s="304"/>
      <c r="F1016" s="305"/>
      <c r="G1016" s="305" t="s">
        <v>1227</v>
      </c>
      <c r="H1016" s="307" t="s">
        <v>1228</v>
      </c>
      <c r="I1016" s="308"/>
      <c r="J1016" s="306"/>
      <c r="K1016" s="315">
        <v>0</v>
      </c>
      <c r="L1016" s="310"/>
      <c r="M1016" s="310"/>
      <c r="N1016" s="310">
        <v>44552</v>
      </c>
      <c r="O1016" s="309">
        <v>3769</v>
      </c>
      <c r="P1016" s="302"/>
      <c r="Q1016" s="485">
        <v>0</v>
      </c>
      <c r="S1016" s="535">
        <v>0</v>
      </c>
      <c r="T1016" s="322">
        <v>0</v>
      </c>
      <c r="U1016" s="515"/>
      <c r="V1016" s="494">
        <v>90</v>
      </c>
    </row>
    <row r="1017" spans="1:22" s="7" customFormat="1" ht="15" customHeight="1">
      <c r="A1017" s="1"/>
      <c r="B1017" s="12"/>
      <c r="C1017" s="6" t="s">
        <v>2225</v>
      </c>
      <c r="D1017" s="15" t="s">
        <v>169</v>
      </c>
      <c r="E1017" s="20" t="s">
        <v>27</v>
      </c>
      <c r="F1017" s="150"/>
      <c r="G1017" s="24"/>
      <c r="H1017" s="151"/>
      <c r="I1017" s="152"/>
      <c r="J1017" s="151"/>
      <c r="K1017" s="34" t="s">
        <v>10</v>
      </c>
      <c r="L1017" s="39"/>
      <c r="M1017" s="39"/>
      <c r="N1017" s="39">
        <v>44557</v>
      </c>
      <c r="O1017" s="38">
        <v>3767</v>
      </c>
      <c r="P1017" s="15"/>
      <c r="Q1017" s="483"/>
      <c r="S1017" s="489"/>
      <c r="T1017" s="113"/>
      <c r="U1017" s="506"/>
      <c r="V1017" s="494">
        <v>90</v>
      </c>
    </row>
    <row r="1018" spans="1:22" s="7" customFormat="1" ht="15.75">
      <c r="A1018" s="1"/>
      <c r="B1018" s="12" t="s">
        <v>1858</v>
      </c>
      <c r="C1018" s="6" t="s">
        <v>2225</v>
      </c>
      <c r="D1018" s="15" t="s">
        <v>169</v>
      </c>
      <c r="E1018" s="24" t="s">
        <v>536</v>
      </c>
      <c r="F1018" s="150">
        <v>160</v>
      </c>
      <c r="G1018" s="24" t="s">
        <v>2226</v>
      </c>
      <c r="H1018" s="67">
        <v>50</v>
      </c>
      <c r="I1018" s="68">
        <v>1</v>
      </c>
      <c r="J1018" s="67">
        <f t="shared" ref="J1018:J1032" si="35">H1018*I1018</f>
        <v>50</v>
      </c>
      <c r="K1018" s="25">
        <v>4.45</v>
      </c>
      <c r="L1018" s="46">
        <f t="shared" ref="L1018:L1032" si="36">K1018*J1018</f>
        <v>222.5</v>
      </c>
      <c r="M1018" s="162" t="s">
        <v>2218</v>
      </c>
      <c r="N1018" s="39">
        <v>44557</v>
      </c>
      <c r="O1018" s="38">
        <v>3767</v>
      </c>
      <c r="P1018" s="46">
        <f t="shared" ref="P1018:P1032" si="37">K1018*(VLOOKUP(B1018,$C$2:$F$6,3,FALSE))</f>
        <v>4.1829999999999998</v>
      </c>
      <c r="Q1018" s="483">
        <v>4.18</v>
      </c>
      <c r="S1018" s="532">
        <v>320</v>
      </c>
      <c r="T1018" s="567">
        <f t="shared" ref="T1018:T1032" si="38">S1018*J1018</f>
        <v>16000</v>
      </c>
      <c r="U1018" s="501"/>
      <c r="V1018" s="494">
        <v>90</v>
      </c>
    </row>
    <row r="1019" spans="1:22" s="7" customFormat="1" ht="15.75">
      <c r="A1019" s="1"/>
      <c r="B1019" s="12" t="s">
        <v>1858</v>
      </c>
      <c r="C1019" s="6" t="s">
        <v>2225</v>
      </c>
      <c r="D1019" s="15" t="s">
        <v>169</v>
      </c>
      <c r="E1019" s="24" t="s">
        <v>536</v>
      </c>
      <c r="F1019" s="150">
        <v>160</v>
      </c>
      <c r="G1019" s="24" t="s">
        <v>2227</v>
      </c>
      <c r="H1019" s="67">
        <v>50</v>
      </c>
      <c r="I1019" s="68">
        <v>1</v>
      </c>
      <c r="J1019" s="67">
        <f t="shared" si="35"/>
        <v>50</v>
      </c>
      <c r="K1019" s="25">
        <v>4.45</v>
      </c>
      <c r="L1019" s="46">
        <f t="shared" si="36"/>
        <v>222.5</v>
      </c>
      <c r="M1019" s="162" t="s">
        <v>2218</v>
      </c>
      <c r="N1019" s="39">
        <v>44557</v>
      </c>
      <c r="O1019" s="38">
        <v>3767</v>
      </c>
      <c r="P1019" s="46">
        <f t="shared" si="37"/>
        <v>4.1829999999999998</v>
      </c>
      <c r="Q1019" s="483">
        <v>4.18</v>
      </c>
      <c r="S1019" s="532">
        <v>320</v>
      </c>
      <c r="T1019" s="567">
        <f t="shared" si="38"/>
        <v>16000</v>
      </c>
      <c r="U1019" s="501"/>
      <c r="V1019" s="494">
        <v>90</v>
      </c>
    </row>
    <row r="1020" spans="1:22" s="7" customFormat="1" ht="15.75">
      <c r="A1020" s="1"/>
      <c r="B1020" s="12" t="s">
        <v>1858</v>
      </c>
      <c r="C1020" s="6" t="s">
        <v>2225</v>
      </c>
      <c r="D1020" s="15" t="s">
        <v>169</v>
      </c>
      <c r="E1020" s="24" t="s">
        <v>536</v>
      </c>
      <c r="F1020" s="150">
        <v>160</v>
      </c>
      <c r="G1020" s="24" t="s">
        <v>114</v>
      </c>
      <c r="H1020" s="67">
        <v>50</v>
      </c>
      <c r="I1020" s="68">
        <v>1</v>
      </c>
      <c r="J1020" s="67">
        <f t="shared" si="35"/>
        <v>50</v>
      </c>
      <c r="K1020" s="25">
        <v>4.45</v>
      </c>
      <c r="L1020" s="46">
        <f t="shared" si="36"/>
        <v>222.5</v>
      </c>
      <c r="M1020" s="162" t="s">
        <v>2218</v>
      </c>
      <c r="N1020" s="39">
        <v>44557</v>
      </c>
      <c r="O1020" s="38">
        <v>3767</v>
      </c>
      <c r="P1020" s="46">
        <f t="shared" si="37"/>
        <v>4.1829999999999998</v>
      </c>
      <c r="Q1020" s="483">
        <v>4.18</v>
      </c>
      <c r="S1020" s="532">
        <v>320</v>
      </c>
      <c r="T1020" s="567">
        <f t="shared" si="38"/>
        <v>16000</v>
      </c>
      <c r="U1020" s="501"/>
      <c r="V1020" s="494">
        <v>90</v>
      </c>
    </row>
    <row r="1021" spans="1:22" s="7" customFormat="1" ht="15.75">
      <c r="A1021" s="1"/>
      <c r="B1021" s="12" t="s">
        <v>1858</v>
      </c>
      <c r="C1021" s="6" t="s">
        <v>2225</v>
      </c>
      <c r="D1021" s="15" t="s">
        <v>169</v>
      </c>
      <c r="E1021" s="24" t="s">
        <v>536</v>
      </c>
      <c r="F1021" s="150">
        <v>160</v>
      </c>
      <c r="G1021" s="24" t="s">
        <v>2228</v>
      </c>
      <c r="H1021" s="67">
        <v>50</v>
      </c>
      <c r="I1021" s="68">
        <v>1</v>
      </c>
      <c r="J1021" s="67">
        <f t="shared" si="35"/>
        <v>50</v>
      </c>
      <c r="K1021" s="25">
        <v>4.45</v>
      </c>
      <c r="L1021" s="46">
        <f t="shared" si="36"/>
        <v>222.5</v>
      </c>
      <c r="M1021" s="162" t="s">
        <v>2218</v>
      </c>
      <c r="N1021" s="39">
        <v>44557</v>
      </c>
      <c r="O1021" s="38">
        <v>3767</v>
      </c>
      <c r="P1021" s="46">
        <f t="shared" si="37"/>
        <v>4.1829999999999998</v>
      </c>
      <c r="Q1021" s="483">
        <v>4.18</v>
      </c>
      <c r="S1021" s="532">
        <v>320</v>
      </c>
      <c r="T1021" s="567">
        <f t="shared" si="38"/>
        <v>16000</v>
      </c>
      <c r="U1021" s="501"/>
      <c r="V1021" s="494">
        <v>90</v>
      </c>
    </row>
    <row r="1022" spans="1:22" s="7" customFormat="1" ht="15.75">
      <c r="A1022" s="1"/>
      <c r="B1022" s="12" t="s">
        <v>1858</v>
      </c>
      <c r="C1022" s="6" t="s">
        <v>2225</v>
      </c>
      <c r="D1022" s="15" t="s">
        <v>169</v>
      </c>
      <c r="E1022" s="24" t="s">
        <v>536</v>
      </c>
      <c r="F1022" s="150">
        <v>160</v>
      </c>
      <c r="G1022" s="24" t="s">
        <v>2229</v>
      </c>
      <c r="H1022" s="67">
        <v>50</v>
      </c>
      <c r="I1022" s="68">
        <v>1</v>
      </c>
      <c r="J1022" s="67">
        <f t="shared" si="35"/>
        <v>50</v>
      </c>
      <c r="K1022" s="25">
        <v>4.45</v>
      </c>
      <c r="L1022" s="46">
        <f t="shared" si="36"/>
        <v>222.5</v>
      </c>
      <c r="M1022" s="162" t="s">
        <v>2218</v>
      </c>
      <c r="N1022" s="39">
        <v>44557</v>
      </c>
      <c r="O1022" s="38">
        <v>3767</v>
      </c>
      <c r="P1022" s="46">
        <f t="shared" si="37"/>
        <v>4.1829999999999998</v>
      </c>
      <c r="Q1022" s="483">
        <v>4.18</v>
      </c>
      <c r="S1022" s="532">
        <v>320</v>
      </c>
      <c r="T1022" s="567">
        <f t="shared" si="38"/>
        <v>16000</v>
      </c>
      <c r="U1022" s="501"/>
      <c r="V1022" s="494">
        <v>90</v>
      </c>
    </row>
    <row r="1023" spans="1:22" s="7" customFormat="1" ht="15.75">
      <c r="A1023" s="1"/>
      <c r="B1023" s="12" t="s">
        <v>1858</v>
      </c>
      <c r="C1023" s="6" t="s">
        <v>2225</v>
      </c>
      <c r="D1023" s="15" t="s">
        <v>169</v>
      </c>
      <c r="E1023" s="24" t="s">
        <v>536</v>
      </c>
      <c r="F1023" s="150">
        <v>160</v>
      </c>
      <c r="G1023" s="24" t="s">
        <v>2230</v>
      </c>
      <c r="H1023" s="67">
        <v>50</v>
      </c>
      <c r="I1023" s="68">
        <v>1</v>
      </c>
      <c r="J1023" s="67">
        <f t="shared" si="35"/>
        <v>50</v>
      </c>
      <c r="K1023" s="25">
        <v>4.45</v>
      </c>
      <c r="L1023" s="46">
        <f t="shared" si="36"/>
        <v>222.5</v>
      </c>
      <c r="M1023" s="162" t="s">
        <v>2218</v>
      </c>
      <c r="N1023" s="39">
        <v>44557</v>
      </c>
      <c r="O1023" s="38">
        <v>3767</v>
      </c>
      <c r="P1023" s="46">
        <f t="shared" si="37"/>
        <v>4.1829999999999998</v>
      </c>
      <c r="Q1023" s="483">
        <v>4.18</v>
      </c>
      <c r="S1023" s="532">
        <v>320</v>
      </c>
      <c r="T1023" s="567">
        <f t="shared" si="38"/>
        <v>16000</v>
      </c>
      <c r="U1023" s="501"/>
      <c r="V1023" s="494">
        <v>90</v>
      </c>
    </row>
    <row r="1024" spans="1:22" s="7" customFormat="1" ht="15.75">
      <c r="A1024" s="1"/>
      <c r="B1024" s="12" t="s">
        <v>1858</v>
      </c>
      <c r="C1024" s="6" t="s">
        <v>2225</v>
      </c>
      <c r="D1024" s="15" t="s">
        <v>169</v>
      </c>
      <c r="E1024" s="24" t="s">
        <v>536</v>
      </c>
      <c r="F1024" s="150">
        <v>160</v>
      </c>
      <c r="G1024" s="24" t="s">
        <v>2231</v>
      </c>
      <c r="H1024" s="67">
        <v>50</v>
      </c>
      <c r="I1024" s="68">
        <v>1</v>
      </c>
      <c r="J1024" s="67">
        <f t="shared" si="35"/>
        <v>50</v>
      </c>
      <c r="K1024" s="25">
        <v>4.45</v>
      </c>
      <c r="L1024" s="46">
        <f t="shared" si="36"/>
        <v>222.5</v>
      </c>
      <c r="M1024" s="162" t="s">
        <v>2218</v>
      </c>
      <c r="N1024" s="39">
        <v>44557</v>
      </c>
      <c r="O1024" s="38">
        <v>3767</v>
      </c>
      <c r="P1024" s="46">
        <f t="shared" si="37"/>
        <v>4.1829999999999998</v>
      </c>
      <c r="Q1024" s="483">
        <v>4.18</v>
      </c>
      <c r="S1024" s="532">
        <v>320</v>
      </c>
      <c r="T1024" s="567">
        <f t="shared" si="38"/>
        <v>16000</v>
      </c>
      <c r="U1024" s="501"/>
      <c r="V1024" s="494">
        <v>90</v>
      </c>
    </row>
    <row r="1025" spans="1:22" s="7" customFormat="1" ht="15.75">
      <c r="A1025" s="1"/>
      <c r="B1025" s="12" t="s">
        <v>1858</v>
      </c>
      <c r="C1025" s="6" t="s">
        <v>2225</v>
      </c>
      <c r="D1025" s="15" t="s">
        <v>169</v>
      </c>
      <c r="E1025" s="24" t="s">
        <v>536</v>
      </c>
      <c r="F1025" s="150">
        <v>160</v>
      </c>
      <c r="G1025" s="24" t="s">
        <v>2232</v>
      </c>
      <c r="H1025" s="67">
        <v>50</v>
      </c>
      <c r="I1025" s="68">
        <v>1</v>
      </c>
      <c r="J1025" s="67">
        <f t="shared" si="35"/>
        <v>50</v>
      </c>
      <c r="K1025" s="25">
        <v>4.45</v>
      </c>
      <c r="L1025" s="46">
        <f t="shared" si="36"/>
        <v>222.5</v>
      </c>
      <c r="M1025" s="162" t="s">
        <v>2218</v>
      </c>
      <c r="N1025" s="39">
        <v>44557</v>
      </c>
      <c r="O1025" s="38">
        <v>3767</v>
      </c>
      <c r="P1025" s="46">
        <f t="shared" si="37"/>
        <v>4.1829999999999998</v>
      </c>
      <c r="Q1025" s="483">
        <v>4.18</v>
      </c>
      <c r="S1025" s="532">
        <v>320</v>
      </c>
      <c r="T1025" s="567">
        <f t="shared" si="38"/>
        <v>16000</v>
      </c>
      <c r="U1025" s="501"/>
      <c r="V1025" s="494">
        <v>90</v>
      </c>
    </row>
    <row r="1026" spans="1:22" s="7" customFormat="1" ht="15.75">
      <c r="A1026" s="1"/>
      <c r="B1026" s="12" t="s">
        <v>1858</v>
      </c>
      <c r="C1026" s="6" t="s">
        <v>2225</v>
      </c>
      <c r="D1026" s="15" t="s">
        <v>169</v>
      </c>
      <c r="E1026" s="24" t="s">
        <v>536</v>
      </c>
      <c r="F1026" s="150">
        <v>160</v>
      </c>
      <c r="G1026" s="24" t="s">
        <v>2233</v>
      </c>
      <c r="H1026" s="67">
        <v>50</v>
      </c>
      <c r="I1026" s="68">
        <v>1</v>
      </c>
      <c r="J1026" s="67">
        <f t="shared" si="35"/>
        <v>50</v>
      </c>
      <c r="K1026" s="25">
        <v>4.45</v>
      </c>
      <c r="L1026" s="46">
        <f t="shared" si="36"/>
        <v>222.5</v>
      </c>
      <c r="M1026" s="162" t="s">
        <v>2218</v>
      </c>
      <c r="N1026" s="39">
        <v>44557</v>
      </c>
      <c r="O1026" s="38">
        <v>3767</v>
      </c>
      <c r="P1026" s="46">
        <f t="shared" si="37"/>
        <v>4.1829999999999998</v>
      </c>
      <c r="Q1026" s="483">
        <v>4.18</v>
      </c>
      <c r="S1026" s="532">
        <v>320</v>
      </c>
      <c r="T1026" s="567">
        <f t="shared" si="38"/>
        <v>16000</v>
      </c>
      <c r="U1026" s="501"/>
      <c r="V1026" s="494">
        <v>90</v>
      </c>
    </row>
    <row r="1027" spans="1:22" s="7" customFormat="1" ht="15.75">
      <c r="A1027" s="1"/>
      <c r="B1027" s="12" t="s">
        <v>1858</v>
      </c>
      <c r="C1027" s="6" t="s">
        <v>2225</v>
      </c>
      <c r="D1027" s="15" t="s">
        <v>169</v>
      </c>
      <c r="E1027" s="24" t="s">
        <v>536</v>
      </c>
      <c r="F1027" s="150">
        <v>160</v>
      </c>
      <c r="G1027" s="24" t="s">
        <v>94</v>
      </c>
      <c r="H1027" s="67">
        <v>50</v>
      </c>
      <c r="I1027" s="68">
        <v>1</v>
      </c>
      <c r="J1027" s="67">
        <f t="shared" si="35"/>
        <v>50</v>
      </c>
      <c r="K1027" s="25">
        <v>4.45</v>
      </c>
      <c r="L1027" s="46">
        <f t="shared" si="36"/>
        <v>222.5</v>
      </c>
      <c r="M1027" s="162" t="s">
        <v>2218</v>
      </c>
      <c r="N1027" s="39">
        <v>44557</v>
      </c>
      <c r="O1027" s="38">
        <v>3767</v>
      </c>
      <c r="P1027" s="46">
        <f t="shared" si="37"/>
        <v>4.1829999999999998</v>
      </c>
      <c r="Q1027" s="483">
        <v>4.18</v>
      </c>
      <c r="S1027" s="532">
        <v>320</v>
      </c>
      <c r="T1027" s="567">
        <f t="shared" si="38"/>
        <v>16000</v>
      </c>
      <c r="U1027" s="501"/>
      <c r="V1027" s="494">
        <v>90</v>
      </c>
    </row>
    <row r="1028" spans="1:22" s="7" customFormat="1" ht="15.75">
      <c r="A1028" s="1"/>
      <c r="B1028" s="12" t="s">
        <v>1858</v>
      </c>
      <c r="C1028" s="6" t="s">
        <v>2225</v>
      </c>
      <c r="D1028" s="15" t="s">
        <v>169</v>
      </c>
      <c r="E1028" s="24" t="s">
        <v>536</v>
      </c>
      <c r="F1028" s="150">
        <v>160</v>
      </c>
      <c r="G1028" s="24" t="s">
        <v>2234</v>
      </c>
      <c r="H1028" s="67">
        <v>50</v>
      </c>
      <c r="I1028" s="68">
        <v>1</v>
      </c>
      <c r="J1028" s="67">
        <f t="shared" si="35"/>
        <v>50</v>
      </c>
      <c r="K1028" s="25">
        <v>4.45</v>
      </c>
      <c r="L1028" s="46">
        <f t="shared" si="36"/>
        <v>222.5</v>
      </c>
      <c r="M1028" s="162" t="s">
        <v>2218</v>
      </c>
      <c r="N1028" s="39">
        <v>44557</v>
      </c>
      <c r="O1028" s="38">
        <v>3767</v>
      </c>
      <c r="P1028" s="46">
        <f t="shared" si="37"/>
        <v>4.1829999999999998</v>
      </c>
      <c r="Q1028" s="483">
        <v>4.18</v>
      </c>
      <c r="S1028" s="532">
        <v>320</v>
      </c>
      <c r="T1028" s="567">
        <f t="shared" si="38"/>
        <v>16000</v>
      </c>
      <c r="U1028" s="501"/>
      <c r="V1028" s="494">
        <v>90</v>
      </c>
    </row>
    <row r="1029" spans="1:22" s="7" customFormat="1" ht="15.75">
      <c r="A1029" s="1"/>
      <c r="B1029" s="12" t="s">
        <v>1858</v>
      </c>
      <c r="C1029" s="6" t="s">
        <v>2225</v>
      </c>
      <c r="D1029" s="15" t="s">
        <v>169</v>
      </c>
      <c r="E1029" s="24" t="s">
        <v>536</v>
      </c>
      <c r="F1029" s="150">
        <v>160</v>
      </c>
      <c r="G1029" s="24" t="s">
        <v>2235</v>
      </c>
      <c r="H1029" s="67">
        <v>50</v>
      </c>
      <c r="I1029" s="68">
        <v>1</v>
      </c>
      <c r="J1029" s="67">
        <f t="shared" si="35"/>
        <v>50</v>
      </c>
      <c r="K1029" s="25">
        <v>4.45</v>
      </c>
      <c r="L1029" s="46">
        <f t="shared" si="36"/>
        <v>222.5</v>
      </c>
      <c r="M1029" s="162" t="s">
        <v>2218</v>
      </c>
      <c r="N1029" s="39">
        <v>44557</v>
      </c>
      <c r="O1029" s="38">
        <v>3767</v>
      </c>
      <c r="P1029" s="46">
        <f t="shared" si="37"/>
        <v>4.1829999999999998</v>
      </c>
      <c r="Q1029" s="483">
        <v>4.18</v>
      </c>
      <c r="S1029" s="532">
        <v>320</v>
      </c>
      <c r="T1029" s="567">
        <f t="shared" si="38"/>
        <v>16000</v>
      </c>
      <c r="U1029" s="501"/>
      <c r="V1029" s="494">
        <v>90</v>
      </c>
    </row>
    <row r="1030" spans="1:22" s="7" customFormat="1" ht="15.75">
      <c r="A1030" s="1"/>
      <c r="B1030" s="12" t="s">
        <v>1858</v>
      </c>
      <c r="C1030" s="6" t="s">
        <v>2225</v>
      </c>
      <c r="D1030" s="15" t="s">
        <v>169</v>
      </c>
      <c r="E1030" s="24" t="s">
        <v>536</v>
      </c>
      <c r="F1030" s="150">
        <v>160</v>
      </c>
      <c r="G1030" s="24" t="s">
        <v>82</v>
      </c>
      <c r="H1030" s="67">
        <v>50</v>
      </c>
      <c r="I1030" s="68">
        <v>1</v>
      </c>
      <c r="J1030" s="67">
        <f t="shared" si="35"/>
        <v>50</v>
      </c>
      <c r="K1030" s="25">
        <v>4.45</v>
      </c>
      <c r="L1030" s="46">
        <f t="shared" si="36"/>
        <v>222.5</v>
      </c>
      <c r="M1030" s="162" t="s">
        <v>2218</v>
      </c>
      <c r="N1030" s="39">
        <v>44557</v>
      </c>
      <c r="O1030" s="38">
        <v>3767</v>
      </c>
      <c r="P1030" s="46">
        <f t="shared" si="37"/>
        <v>4.1829999999999998</v>
      </c>
      <c r="Q1030" s="483">
        <v>4.18</v>
      </c>
      <c r="S1030" s="532">
        <v>320</v>
      </c>
      <c r="T1030" s="567">
        <f t="shared" si="38"/>
        <v>16000</v>
      </c>
      <c r="U1030" s="501"/>
      <c r="V1030" s="494">
        <v>90</v>
      </c>
    </row>
    <row r="1031" spans="1:22" s="7" customFormat="1" ht="15.75">
      <c r="A1031" s="1"/>
      <c r="B1031" s="12" t="s">
        <v>1858</v>
      </c>
      <c r="C1031" s="6" t="s">
        <v>2225</v>
      </c>
      <c r="D1031" s="15" t="s">
        <v>169</v>
      </c>
      <c r="E1031" s="24" t="s">
        <v>536</v>
      </c>
      <c r="F1031" s="150">
        <v>160</v>
      </c>
      <c r="G1031" s="24" t="s">
        <v>2030</v>
      </c>
      <c r="H1031" s="67">
        <v>50</v>
      </c>
      <c r="I1031" s="68">
        <v>1</v>
      </c>
      <c r="J1031" s="67">
        <f t="shared" si="35"/>
        <v>50</v>
      </c>
      <c r="K1031" s="25">
        <v>4.45</v>
      </c>
      <c r="L1031" s="46">
        <f t="shared" si="36"/>
        <v>222.5</v>
      </c>
      <c r="M1031" s="162" t="s">
        <v>2219</v>
      </c>
      <c r="N1031" s="39">
        <v>44557</v>
      </c>
      <c r="O1031" s="38">
        <v>3767</v>
      </c>
      <c r="P1031" s="46">
        <f t="shared" si="37"/>
        <v>4.1829999999999998</v>
      </c>
      <c r="Q1031" s="483">
        <v>4.18</v>
      </c>
      <c r="S1031" s="532">
        <v>320</v>
      </c>
      <c r="T1031" s="567">
        <f t="shared" si="38"/>
        <v>16000</v>
      </c>
      <c r="U1031" s="501"/>
      <c r="V1031" s="494">
        <v>90</v>
      </c>
    </row>
    <row r="1032" spans="1:22" s="7" customFormat="1" ht="15.75">
      <c r="A1032" s="1"/>
      <c r="B1032" s="12" t="s">
        <v>1858</v>
      </c>
      <c r="C1032" s="6" t="s">
        <v>2225</v>
      </c>
      <c r="D1032" s="15" t="s">
        <v>169</v>
      </c>
      <c r="E1032" s="24" t="s">
        <v>536</v>
      </c>
      <c r="F1032" s="150">
        <v>160</v>
      </c>
      <c r="G1032" s="24" t="s">
        <v>2236</v>
      </c>
      <c r="H1032" s="67">
        <v>48</v>
      </c>
      <c r="I1032" s="68">
        <v>1</v>
      </c>
      <c r="J1032" s="67">
        <f t="shared" si="35"/>
        <v>48</v>
      </c>
      <c r="K1032" s="25">
        <v>4.45</v>
      </c>
      <c r="L1032" s="46">
        <f t="shared" si="36"/>
        <v>213.60000000000002</v>
      </c>
      <c r="M1032" s="162" t="s">
        <v>2219</v>
      </c>
      <c r="N1032" s="39">
        <v>44557</v>
      </c>
      <c r="O1032" s="38">
        <v>3767</v>
      </c>
      <c r="P1032" s="46">
        <f t="shared" si="37"/>
        <v>4.1829999999999998</v>
      </c>
      <c r="Q1032" s="483">
        <v>4.18</v>
      </c>
      <c r="S1032" s="532">
        <v>320</v>
      </c>
      <c r="T1032" s="567">
        <f t="shared" si="38"/>
        <v>15360</v>
      </c>
      <c r="U1032" s="501"/>
      <c r="V1032" s="494">
        <v>90</v>
      </c>
    </row>
    <row r="1033" spans="1:22" ht="15">
      <c r="C1033" s="6" t="s">
        <v>2225</v>
      </c>
      <c r="D1033" s="15" t="s">
        <v>169</v>
      </c>
      <c r="E1033" s="24"/>
      <c r="F1033" s="160"/>
      <c r="G1033" s="228" t="s">
        <v>481</v>
      </c>
      <c r="H1033" s="214"/>
      <c r="I1033" s="215"/>
      <c r="J1033" s="43">
        <v>1</v>
      </c>
      <c r="K1033" s="229">
        <v>20</v>
      </c>
      <c r="L1033" s="417" t="s">
        <v>1676</v>
      </c>
      <c r="M1033" s="417"/>
      <c r="N1033" s="39">
        <v>44557</v>
      </c>
      <c r="O1033" s="38">
        <v>3767</v>
      </c>
      <c r="P1033" s="216"/>
      <c r="Q1033" s="525">
        <v>0</v>
      </c>
      <c r="S1033" s="532">
        <v>1800</v>
      </c>
      <c r="T1033" s="567">
        <v>1800</v>
      </c>
      <c r="V1033" s="494">
        <v>90</v>
      </c>
    </row>
    <row r="1034" spans="1:22" s="314" customFormat="1" ht="15">
      <c r="A1034" s="1"/>
      <c r="B1034" s="313"/>
      <c r="C1034" s="302" t="s">
        <v>2225</v>
      </c>
      <c r="D1034" s="303" t="s">
        <v>169</v>
      </c>
      <c r="E1034" s="304"/>
      <c r="F1034" s="305"/>
      <c r="G1034" s="305" t="s">
        <v>1227</v>
      </c>
      <c r="H1034" s="307" t="s">
        <v>1228</v>
      </c>
      <c r="I1034" s="308"/>
      <c r="J1034" s="306"/>
      <c r="K1034" s="315">
        <v>0</v>
      </c>
      <c r="L1034" s="310"/>
      <c r="M1034" s="310"/>
      <c r="N1034" s="310">
        <v>44557</v>
      </c>
      <c r="O1034" s="309">
        <v>3767</v>
      </c>
      <c r="P1034" s="302"/>
      <c r="Q1034" s="485">
        <v>0</v>
      </c>
      <c r="S1034" s="535">
        <v>0</v>
      </c>
      <c r="T1034" s="322">
        <v>0</v>
      </c>
      <c r="U1034" s="515"/>
      <c r="V1034" s="494">
        <v>90</v>
      </c>
    </row>
    <row r="1035" spans="1:22" s="7" customFormat="1" ht="15">
      <c r="A1035" s="1"/>
      <c r="B1035" s="12"/>
      <c r="C1035" s="6" t="s">
        <v>2237</v>
      </c>
      <c r="D1035" s="15" t="s">
        <v>983</v>
      </c>
      <c r="E1035" s="20" t="s">
        <v>344</v>
      </c>
      <c r="F1035" s="26"/>
      <c r="G1035" s="24"/>
      <c r="H1035" s="67"/>
      <c r="I1035" s="68"/>
      <c r="J1035" s="67"/>
      <c r="K1035" s="17" t="s">
        <v>134</v>
      </c>
      <c r="L1035" s="39"/>
      <c r="M1035" s="39"/>
      <c r="N1035" s="39">
        <v>44568</v>
      </c>
      <c r="O1035" s="38">
        <v>3790</v>
      </c>
      <c r="P1035" s="6" t="s">
        <v>23</v>
      </c>
      <c r="Q1035" s="481"/>
      <c r="S1035" s="489"/>
      <c r="T1035" s="113"/>
      <c r="U1035" s="500"/>
      <c r="V1035" s="494">
        <v>90</v>
      </c>
    </row>
    <row r="1036" spans="1:22" s="7" customFormat="1" ht="15.75">
      <c r="A1036" s="1"/>
      <c r="B1036" s="12" t="s">
        <v>1856</v>
      </c>
      <c r="C1036" s="6" t="s">
        <v>2237</v>
      </c>
      <c r="D1036" s="15" t="s">
        <v>983</v>
      </c>
      <c r="E1036" s="24">
        <v>14552</v>
      </c>
      <c r="F1036" s="26">
        <v>10</v>
      </c>
      <c r="G1036" s="24" t="s">
        <v>2212</v>
      </c>
      <c r="H1036" s="151">
        <v>30</v>
      </c>
      <c r="I1036" s="152">
        <v>24</v>
      </c>
      <c r="J1036" s="67">
        <f>H1036*I1036</f>
        <v>720</v>
      </c>
      <c r="K1036" s="25">
        <v>0.69</v>
      </c>
      <c r="L1036" s="46">
        <f>K1036*J1036</f>
        <v>496.79999999999995</v>
      </c>
      <c r="M1036" s="162" t="s">
        <v>2219</v>
      </c>
      <c r="N1036" s="39">
        <v>44568</v>
      </c>
      <c r="O1036" s="38">
        <v>3790</v>
      </c>
      <c r="P1036" s="46">
        <f>K1036*(VLOOKUP(B1036,$C$2:$F$6,3,FALSE))</f>
        <v>0.60719999999999996</v>
      </c>
      <c r="Q1036" s="482">
        <v>0.61</v>
      </c>
      <c r="S1036" s="489">
        <v>37</v>
      </c>
      <c r="T1036" s="567">
        <f>S1036*J1036</f>
        <v>26640</v>
      </c>
      <c r="U1036" s="500"/>
      <c r="V1036" s="494">
        <v>90</v>
      </c>
    </row>
    <row r="1037" spans="1:22" s="7" customFormat="1" ht="15.75">
      <c r="A1037" s="1"/>
      <c r="B1037" s="12" t="s">
        <v>1856</v>
      </c>
      <c r="C1037" s="6" t="s">
        <v>2237</v>
      </c>
      <c r="D1037" s="15" t="s">
        <v>983</v>
      </c>
      <c r="E1037" s="24">
        <v>14552</v>
      </c>
      <c r="F1037" s="26">
        <v>10</v>
      </c>
      <c r="G1037" s="24" t="s">
        <v>1740</v>
      </c>
      <c r="H1037" s="151">
        <v>30</v>
      </c>
      <c r="I1037" s="152">
        <v>34</v>
      </c>
      <c r="J1037" s="67">
        <f>H1037*I1037</f>
        <v>1020</v>
      </c>
      <c r="K1037" s="25">
        <v>0.69</v>
      </c>
      <c r="L1037" s="46">
        <f>K1037*J1037</f>
        <v>703.8</v>
      </c>
      <c r="M1037" s="162" t="s">
        <v>2219</v>
      </c>
      <c r="N1037" s="39">
        <v>44568</v>
      </c>
      <c r="O1037" s="38">
        <v>3790</v>
      </c>
      <c r="P1037" s="46">
        <f>K1037*(VLOOKUP(B1037,$C$2:$F$6,3,FALSE))</f>
        <v>0.60719999999999996</v>
      </c>
      <c r="Q1037" s="482">
        <v>0.61</v>
      </c>
      <c r="S1037" s="489">
        <v>37</v>
      </c>
      <c r="T1037" s="567">
        <f>S1037*J1037</f>
        <v>37740</v>
      </c>
      <c r="U1037" s="500"/>
      <c r="V1037" s="494">
        <v>90</v>
      </c>
    </row>
    <row r="1038" spans="1:22" s="7" customFormat="1" ht="15">
      <c r="A1038" s="1"/>
      <c r="B1038" s="12"/>
      <c r="C1038" s="6" t="s">
        <v>2237</v>
      </c>
      <c r="D1038" s="15" t="s">
        <v>983</v>
      </c>
      <c r="E1038" s="95"/>
      <c r="F1038" s="138"/>
      <c r="G1038" s="24" t="s">
        <v>481</v>
      </c>
      <c r="H1038" s="8"/>
      <c r="I1038" s="41"/>
      <c r="J1038" s="45">
        <v>1</v>
      </c>
      <c r="K1038" s="46">
        <v>12</v>
      </c>
      <c r="L1038" s="46">
        <v>12</v>
      </c>
      <c r="M1038" s="112"/>
      <c r="N1038" s="39">
        <v>44568</v>
      </c>
      <c r="O1038" s="38">
        <v>3790</v>
      </c>
      <c r="P1038" s="6"/>
      <c r="Q1038" s="483">
        <v>12</v>
      </c>
      <c r="S1038" s="489">
        <v>0</v>
      </c>
      <c r="T1038" s="567">
        <f>S1038*J1038</f>
        <v>0</v>
      </c>
      <c r="U1038" s="501"/>
      <c r="V1038" s="494">
        <v>90</v>
      </c>
    </row>
    <row r="1039" spans="1:22" s="314" customFormat="1" ht="15.75">
      <c r="A1039" s="1"/>
      <c r="B1039" s="313"/>
      <c r="C1039" s="302" t="s">
        <v>2237</v>
      </c>
      <c r="D1039" s="303" t="s">
        <v>983</v>
      </c>
      <c r="E1039" s="304"/>
      <c r="F1039" s="305"/>
      <c r="G1039" s="682" t="s">
        <v>2238</v>
      </c>
      <c r="H1039" s="307" t="s">
        <v>1243</v>
      </c>
      <c r="I1039" s="308"/>
      <c r="J1039" s="306"/>
      <c r="K1039" s="329">
        <v>78</v>
      </c>
      <c r="L1039" s="310"/>
      <c r="M1039" s="310"/>
      <c r="N1039" s="310">
        <v>44568</v>
      </c>
      <c r="O1039" s="309">
        <v>3790</v>
      </c>
      <c r="P1039" s="302"/>
      <c r="Q1039" s="578">
        <v>78</v>
      </c>
      <c r="S1039" s="532">
        <v>6980</v>
      </c>
      <c r="T1039" s="113">
        <v>6980</v>
      </c>
      <c r="U1039" s="515"/>
      <c r="V1039" s="494">
        <v>90</v>
      </c>
    </row>
    <row r="1040" spans="1:22" s="683" customFormat="1" ht="15.75">
      <c r="A1040" s="1"/>
      <c r="B1040" s="684"/>
      <c r="C1040" s="302" t="s">
        <v>2237</v>
      </c>
      <c r="D1040" s="303" t="s">
        <v>983</v>
      </c>
      <c r="E1040" s="304"/>
      <c r="F1040" s="305"/>
      <c r="G1040" s="682" t="s">
        <v>2239</v>
      </c>
      <c r="H1040" s="307" t="s">
        <v>1243</v>
      </c>
      <c r="I1040" s="308"/>
      <c r="J1040" s="306"/>
      <c r="K1040" s="329">
        <v>18</v>
      </c>
      <c r="L1040" s="310"/>
      <c r="M1040" s="310"/>
      <c r="N1040" s="310">
        <v>44568</v>
      </c>
      <c r="O1040" s="309">
        <v>3790</v>
      </c>
      <c r="P1040" s="685"/>
      <c r="Q1040" s="686">
        <v>18</v>
      </c>
      <c r="S1040" s="687">
        <v>1560</v>
      </c>
      <c r="T1040" s="690">
        <v>1560</v>
      </c>
      <c r="U1040" s="688"/>
      <c r="V1040" s="689">
        <v>90</v>
      </c>
    </row>
    <row r="1041" spans="1:22" s="7" customFormat="1" ht="15" customHeight="1">
      <c r="A1041" s="1"/>
      <c r="B1041" s="12"/>
      <c r="C1041" s="6" t="s">
        <v>2246</v>
      </c>
      <c r="D1041" s="15" t="s">
        <v>958</v>
      </c>
      <c r="E1041" s="20" t="s">
        <v>628</v>
      </c>
      <c r="F1041" s="26"/>
      <c r="G1041" s="24"/>
      <c r="H1041" s="67"/>
      <c r="I1041" s="68"/>
      <c r="J1041" s="67"/>
      <c r="K1041" s="17" t="s">
        <v>134</v>
      </c>
      <c r="L1041" s="39"/>
      <c r="M1041" s="39"/>
      <c r="N1041" s="39">
        <v>44614</v>
      </c>
      <c r="O1041" s="38">
        <v>3829</v>
      </c>
      <c r="P1041" s="179" t="s">
        <v>23</v>
      </c>
      <c r="Q1041" s="438" t="s">
        <v>959</v>
      </c>
      <c r="R1041" s="704"/>
      <c r="S1041" s="489"/>
      <c r="T1041" s="113"/>
      <c r="U1041" s="510"/>
      <c r="V1041" s="494">
        <v>90</v>
      </c>
    </row>
    <row r="1042" spans="1:22" s="7" customFormat="1" ht="18" customHeight="1">
      <c r="A1042" s="1"/>
      <c r="B1042" s="12" t="s">
        <v>1856</v>
      </c>
      <c r="C1042" s="6" t="s">
        <v>2246</v>
      </c>
      <c r="D1042" s="15" t="s">
        <v>958</v>
      </c>
      <c r="E1042" s="24">
        <v>5291</v>
      </c>
      <c r="F1042" s="26">
        <v>8</v>
      </c>
      <c r="G1042" s="24" t="s">
        <v>499</v>
      </c>
      <c r="H1042" s="67">
        <v>50</v>
      </c>
      <c r="I1042" s="68">
        <v>4</v>
      </c>
      <c r="J1042" s="67">
        <f>H1042*I1042</f>
        <v>200</v>
      </c>
      <c r="K1042" s="46">
        <v>0.74</v>
      </c>
      <c r="L1042" s="46">
        <f>K1042*J1042</f>
        <v>148</v>
      </c>
      <c r="M1042" s="162" t="s">
        <v>2219</v>
      </c>
      <c r="N1042" s="39">
        <v>44614</v>
      </c>
      <c r="O1042" s="38">
        <v>3829</v>
      </c>
      <c r="P1042" s="180">
        <v>0.4</v>
      </c>
      <c r="Q1042" s="180">
        <v>0.4</v>
      </c>
      <c r="R1042" s="704">
        <f>Q1042*J1042</f>
        <v>80</v>
      </c>
      <c r="S1042" s="489">
        <v>24</v>
      </c>
      <c r="T1042" s="113">
        <f>S1042*J1042</f>
        <v>4800</v>
      </c>
      <c r="U1042" s="511"/>
      <c r="V1042" s="494">
        <v>90</v>
      </c>
    </row>
    <row r="1043" spans="1:22" ht="15.95" customHeight="1">
      <c r="C1043" s="6" t="s">
        <v>2246</v>
      </c>
      <c r="D1043" s="15" t="s">
        <v>958</v>
      </c>
      <c r="E1043" s="24"/>
      <c r="F1043" s="138"/>
      <c r="G1043" s="44" t="s">
        <v>1993</v>
      </c>
      <c r="H1043" s="8"/>
      <c r="I1043" s="41"/>
      <c r="J1043" s="45">
        <v>1</v>
      </c>
      <c r="K1043" s="46">
        <v>0</v>
      </c>
      <c r="L1043" s="46">
        <f>K1043*J1043</f>
        <v>0</v>
      </c>
      <c r="M1043" s="112"/>
      <c r="N1043" s="39">
        <v>44614</v>
      </c>
      <c r="O1043" s="38">
        <v>3829</v>
      </c>
      <c r="P1043" s="179"/>
      <c r="Q1043" s="180">
        <v>12</v>
      </c>
      <c r="R1043" s="704">
        <f>Q1043*J1043</f>
        <v>12</v>
      </c>
      <c r="S1043" s="498">
        <v>850</v>
      </c>
      <c r="T1043" s="568">
        <f>S1043*J1043</f>
        <v>850</v>
      </c>
      <c r="U1043" s="511"/>
      <c r="V1043" s="494">
        <v>90</v>
      </c>
    </row>
    <row r="1044" spans="1:22" s="314" customFormat="1" ht="15" customHeight="1">
      <c r="A1044" s="1"/>
      <c r="B1044" s="313"/>
      <c r="C1044" s="302" t="s">
        <v>2246</v>
      </c>
      <c r="D1044" s="303" t="s">
        <v>958</v>
      </c>
      <c r="E1044" s="304"/>
      <c r="F1044" s="305"/>
      <c r="G1044" s="305" t="s">
        <v>1227</v>
      </c>
      <c r="H1044" s="410"/>
      <c r="I1044" s="308"/>
      <c r="J1044" s="410">
        <v>200</v>
      </c>
      <c r="K1044" s="315">
        <v>0.28999999999999998</v>
      </c>
      <c r="L1044" s="315"/>
      <c r="M1044" s="784"/>
      <c r="N1044" s="310">
        <v>44614</v>
      </c>
      <c r="O1044" s="309">
        <v>3829</v>
      </c>
      <c r="P1044" s="302"/>
      <c r="Q1044" s="485">
        <v>46</v>
      </c>
      <c r="R1044" s="704">
        <v>46</v>
      </c>
      <c r="S1044" s="537">
        <v>4916</v>
      </c>
      <c r="T1044" s="348">
        <v>4916</v>
      </c>
      <c r="U1044" s="515"/>
      <c r="V1044" s="494">
        <v>90</v>
      </c>
    </row>
    <row r="1045" spans="1:22" s="7" customFormat="1" ht="15" customHeight="1">
      <c r="A1045" s="1"/>
      <c r="B1045" s="12"/>
      <c r="C1045" s="6" t="s">
        <v>2247</v>
      </c>
      <c r="D1045" s="15" t="s">
        <v>169</v>
      </c>
      <c r="E1045" s="20" t="s">
        <v>27</v>
      </c>
      <c r="F1045" s="150"/>
      <c r="G1045" s="24"/>
      <c r="H1045" s="151"/>
      <c r="I1045" s="152"/>
      <c r="J1045" s="151"/>
      <c r="K1045" s="34" t="s">
        <v>10</v>
      </c>
      <c r="L1045" s="39"/>
      <c r="M1045" s="39"/>
      <c r="N1045" s="39">
        <v>44606</v>
      </c>
      <c r="O1045" s="38">
        <v>3909</v>
      </c>
      <c r="P1045" s="15"/>
      <c r="Q1045" s="483"/>
      <c r="S1045" s="489"/>
      <c r="T1045" s="113"/>
      <c r="U1045" s="506"/>
      <c r="V1045" s="494">
        <v>90</v>
      </c>
    </row>
    <row r="1046" spans="1:22" s="7" customFormat="1" ht="15.75">
      <c r="A1046" s="1"/>
      <c r="B1046" s="12" t="s">
        <v>1858</v>
      </c>
      <c r="C1046" s="6" t="s">
        <v>2247</v>
      </c>
      <c r="D1046" s="15" t="s">
        <v>169</v>
      </c>
      <c r="E1046" s="24" t="s">
        <v>536</v>
      </c>
      <c r="F1046" s="150">
        <v>160</v>
      </c>
      <c r="G1046" s="24" t="s">
        <v>2248</v>
      </c>
      <c r="H1046" s="67">
        <v>52</v>
      </c>
      <c r="I1046" s="68">
        <v>1</v>
      </c>
      <c r="J1046" s="67">
        <f t="shared" ref="J1046:J1051" si="39">H1046*I1046</f>
        <v>52</v>
      </c>
      <c r="K1046" s="25">
        <v>4.45</v>
      </c>
      <c r="L1046" s="46">
        <f t="shared" ref="L1046:L1051" si="40">K1046*J1046</f>
        <v>231.4</v>
      </c>
      <c r="M1046" s="162" t="s">
        <v>2219</v>
      </c>
      <c r="N1046" s="39">
        <v>44606</v>
      </c>
      <c r="O1046" s="38">
        <v>3909</v>
      </c>
      <c r="P1046" s="46">
        <f t="shared" ref="P1046:P1051" si="41">K1046*(VLOOKUP(B1046,$C$2:$F$6,3,FALSE))</f>
        <v>4.1829999999999998</v>
      </c>
      <c r="Q1046" s="483">
        <v>4.18</v>
      </c>
      <c r="R1046" s="704">
        <f t="shared" ref="R1046:R1052" si="42">Q1046*J1046</f>
        <v>217.35999999999999</v>
      </c>
      <c r="S1046" s="532">
        <v>320</v>
      </c>
      <c r="T1046" s="567">
        <f t="shared" ref="T1046:T1051" si="43">S1046*J1046</f>
        <v>16640</v>
      </c>
      <c r="U1046" s="501"/>
      <c r="V1046" s="494">
        <v>90</v>
      </c>
    </row>
    <row r="1047" spans="1:22" s="7" customFormat="1" ht="15.75">
      <c r="A1047" s="1"/>
      <c r="B1047" s="12" t="s">
        <v>1858</v>
      </c>
      <c r="C1047" s="6" t="s">
        <v>2247</v>
      </c>
      <c r="D1047" s="15" t="s">
        <v>169</v>
      </c>
      <c r="E1047" s="24" t="s">
        <v>536</v>
      </c>
      <c r="F1047" s="150">
        <v>160</v>
      </c>
      <c r="G1047" s="24" t="s">
        <v>2248</v>
      </c>
      <c r="H1047" s="67">
        <v>50</v>
      </c>
      <c r="I1047" s="68">
        <v>3</v>
      </c>
      <c r="J1047" s="67">
        <f t="shared" si="39"/>
        <v>150</v>
      </c>
      <c r="K1047" s="25">
        <v>4.45</v>
      </c>
      <c r="L1047" s="46">
        <f t="shared" si="40"/>
        <v>667.5</v>
      </c>
      <c r="M1047" s="162" t="s">
        <v>2219</v>
      </c>
      <c r="N1047" s="39">
        <v>44606</v>
      </c>
      <c r="O1047" s="38">
        <v>3909</v>
      </c>
      <c r="P1047" s="46">
        <f t="shared" si="41"/>
        <v>4.1829999999999998</v>
      </c>
      <c r="Q1047" s="483">
        <v>4.18</v>
      </c>
      <c r="R1047" s="704">
        <f t="shared" si="42"/>
        <v>627</v>
      </c>
      <c r="S1047" s="532">
        <v>320</v>
      </c>
      <c r="T1047" s="567">
        <f t="shared" si="43"/>
        <v>48000</v>
      </c>
      <c r="U1047" s="501"/>
      <c r="V1047" s="494">
        <v>90</v>
      </c>
    </row>
    <row r="1048" spans="1:22" s="7" customFormat="1" ht="15.75">
      <c r="A1048" s="1"/>
      <c r="B1048" s="12" t="s">
        <v>1858</v>
      </c>
      <c r="C1048" s="6" t="s">
        <v>2247</v>
      </c>
      <c r="D1048" s="15" t="s">
        <v>169</v>
      </c>
      <c r="E1048" s="24" t="s">
        <v>536</v>
      </c>
      <c r="F1048" s="150">
        <v>160</v>
      </c>
      <c r="G1048" s="24" t="s">
        <v>2248</v>
      </c>
      <c r="H1048" s="67">
        <v>27</v>
      </c>
      <c r="I1048" s="68">
        <v>1</v>
      </c>
      <c r="J1048" s="67">
        <f t="shared" si="39"/>
        <v>27</v>
      </c>
      <c r="K1048" s="25">
        <v>4.45</v>
      </c>
      <c r="L1048" s="46">
        <f t="shared" si="40"/>
        <v>120.15</v>
      </c>
      <c r="M1048" s="162" t="s">
        <v>2219</v>
      </c>
      <c r="N1048" s="39">
        <v>44606</v>
      </c>
      <c r="O1048" s="38">
        <v>3909</v>
      </c>
      <c r="P1048" s="46">
        <f t="shared" si="41"/>
        <v>4.1829999999999998</v>
      </c>
      <c r="Q1048" s="483">
        <v>4.18</v>
      </c>
      <c r="R1048" s="704">
        <f t="shared" si="42"/>
        <v>112.85999999999999</v>
      </c>
      <c r="S1048" s="532">
        <v>320</v>
      </c>
      <c r="T1048" s="567">
        <f t="shared" si="43"/>
        <v>8640</v>
      </c>
      <c r="U1048" s="501"/>
      <c r="V1048" s="494">
        <v>90</v>
      </c>
    </row>
    <row r="1049" spans="1:22" s="7" customFormat="1" ht="15.75">
      <c r="A1049" s="1"/>
      <c r="B1049" s="12" t="s">
        <v>1858</v>
      </c>
      <c r="C1049" s="6" t="s">
        <v>2247</v>
      </c>
      <c r="D1049" s="15" t="s">
        <v>169</v>
      </c>
      <c r="E1049" s="24" t="s">
        <v>536</v>
      </c>
      <c r="F1049" s="150">
        <v>160</v>
      </c>
      <c r="G1049" s="24" t="s">
        <v>2030</v>
      </c>
      <c r="H1049" s="67">
        <v>63</v>
      </c>
      <c r="I1049" s="68">
        <v>1</v>
      </c>
      <c r="J1049" s="67">
        <f t="shared" si="39"/>
        <v>63</v>
      </c>
      <c r="K1049" s="25">
        <v>4.45</v>
      </c>
      <c r="L1049" s="46">
        <f t="shared" si="40"/>
        <v>280.35000000000002</v>
      </c>
      <c r="M1049" s="162" t="s">
        <v>2219</v>
      </c>
      <c r="N1049" s="39">
        <v>44606</v>
      </c>
      <c r="O1049" s="38">
        <v>3909</v>
      </c>
      <c r="P1049" s="46">
        <f t="shared" si="41"/>
        <v>4.1829999999999998</v>
      </c>
      <c r="Q1049" s="483">
        <v>4.18</v>
      </c>
      <c r="R1049" s="704">
        <f t="shared" si="42"/>
        <v>263.33999999999997</v>
      </c>
      <c r="S1049" s="532">
        <v>320</v>
      </c>
      <c r="T1049" s="567">
        <f t="shared" si="43"/>
        <v>20160</v>
      </c>
      <c r="U1049" s="501"/>
      <c r="V1049" s="494">
        <v>90</v>
      </c>
    </row>
    <row r="1050" spans="1:22" s="7" customFormat="1" ht="15.75">
      <c r="A1050" s="1"/>
      <c r="B1050" s="12" t="s">
        <v>1858</v>
      </c>
      <c r="C1050" s="6" t="s">
        <v>2247</v>
      </c>
      <c r="D1050" s="15" t="s">
        <v>169</v>
      </c>
      <c r="E1050" s="24" t="s">
        <v>536</v>
      </c>
      <c r="F1050" s="150">
        <v>160</v>
      </c>
      <c r="G1050" s="24" t="s">
        <v>2030</v>
      </c>
      <c r="H1050" s="67">
        <v>64</v>
      </c>
      <c r="I1050" s="68">
        <v>1</v>
      </c>
      <c r="J1050" s="67">
        <f t="shared" si="39"/>
        <v>64</v>
      </c>
      <c r="K1050" s="25">
        <v>4.45</v>
      </c>
      <c r="L1050" s="46">
        <f t="shared" si="40"/>
        <v>284.8</v>
      </c>
      <c r="M1050" s="162" t="s">
        <v>2219</v>
      </c>
      <c r="N1050" s="39">
        <v>44606</v>
      </c>
      <c r="O1050" s="38">
        <v>3909</v>
      </c>
      <c r="P1050" s="46">
        <f t="shared" si="41"/>
        <v>4.1829999999999998</v>
      </c>
      <c r="Q1050" s="483">
        <v>4.18</v>
      </c>
      <c r="R1050" s="704">
        <f t="shared" si="42"/>
        <v>267.52</v>
      </c>
      <c r="S1050" s="532">
        <v>320</v>
      </c>
      <c r="T1050" s="567">
        <f t="shared" si="43"/>
        <v>20480</v>
      </c>
      <c r="U1050" s="501"/>
      <c r="V1050" s="494">
        <v>90</v>
      </c>
    </row>
    <row r="1051" spans="1:22" s="7" customFormat="1" ht="15.75">
      <c r="A1051" s="1"/>
      <c r="B1051" s="12" t="s">
        <v>1858</v>
      </c>
      <c r="C1051" s="6" t="s">
        <v>2247</v>
      </c>
      <c r="D1051" s="15" t="s">
        <v>169</v>
      </c>
      <c r="E1051" s="24" t="s">
        <v>536</v>
      </c>
      <c r="F1051" s="150">
        <v>160</v>
      </c>
      <c r="G1051" s="24" t="s">
        <v>2030</v>
      </c>
      <c r="H1051" s="67">
        <v>24</v>
      </c>
      <c r="I1051" s="68">
        <v>1</v>
      </c>
      <c r="J1051" s="67">
        <f t="shared" si="39"/>
        <v>24</v>
      </c>
      <c r="K1051" s="25">
        <v>4.45</v>
      </c>
      <c r="L1051" s="46">
        <f t="shared" si="40"/>
        <v>106.80000000000001</v>
      </c>
      <c r="M1051" s="162" t="s">
        <v>2219</v>
      </c>
      <c r="N1051" s="39">
        <v>44606</v>
      </c>
      <c r="O1051" s="38">
        <v>3909</v>
      </c>
      <c r="P1051" s="46">
        <f t="shared" si="41"/>
        <v>4.1829999999999998</v>
      </c>
      <c r="Q1051" s="483">
        <v>4.18</v>
      </c>
      <c r="R1051" s="704">
        <f t="shared" si="42"/>
        <v>100.32</v>
      </c>
      <c r="S1051" s="532">
        <v>320</v>
      </c>
      <c r="T1051" s="567">
        <f t="shared" si="43"/>
        <v>7680</v>
      </c>
      <c r="U1051" s="501"/>
      <c r="V1051" s="494">
        <v>90</v>
      </c>
    </row>
    <row r="1052" spans="1:22" ht="15">
      <c r="C1052" s="6" t="s">
        <v>2247</v>
      </c>
      <c r="D1052" s="15" t="s">
        <v>169</v>
      </c>
      <c r="E1052" s="24"/>
      <c r="F1052" s="138"/>
      <c r="G1052" s="44" t="s">
        <v>1993</v>
      </c>
      <c r="H1052" s="8"/>
      <c r="I1052" s="41"/>
      <c r="J1052" s="45">
        <v>1</v>
      </c>
      <c r="K1052" s="46">
        <v>20</v>
      </c>
      <c r="L1052" s="46">
        <v>20</v>
      </c>
      <c r="M1052" s="417"/>
      <c r="N1052" s="39">
        <v>44606</v>
      </c>
      <c r="O1052" s="38">
        <v>3909</v>
      </c>
      <c r="P1052" s="6"/>
      <c r="Q1052" s="483">
        <v>20</v>
      </c>
      <c r="R1052" s="704">
        <f t="shared" si="42"/>
        <v>20</v>
      </c>
      <c r="S1052" s="532">
        <v>1800</v>
      </c>
      <c r="T1052" s="567">
        <v>1800</v>
      </c>
      <c r="V1052" s="494">
        <v>90</v>
      </c>
    </row>
    <row r="1053" spans="1:22" s="314" customFormat="1" ht="15">
      <c r="A1053" s="1"/>
      <c r="B1053" s="313"/>
      <c r="C1053" s="302" t="s">
        <v>2247</v>
      </c>
      <c r="D1053" s="303" t="s">
        <v>169</v>
      </c>
      <c r="E1053" s="304"/>
      <c r="F1053" s="305"/>
      <c r="G1053" s="305" t="s">
        <v>1227</v>
      </c>
      <c r="H1053" s="307" t="s">
        <v>1228</v>
      </c>
      <c r="I1053" s="308"/>
      <c r="J1053" s="306"/>
      <c r="K1053" s="315">
        <v>0</v>
      </c>
      <c r="L1053" s="310"/>
      <c r="M1053" s="310"/>
      <c r="N1053" s="310">
        <v>44606</v>
      </c>
      <c r="O1053" s="309">
        <v>3909</v>
      </c>
      <c r="P1053" s="302"/>
      <c r="Q1053" s="485">
        <v>0</v>
      </c>
      <c r="S1053" s="535">
        <v>0</v>
      </c>
      <c r="T1053" s="322">
        <v>0</v>
      </c>
      <c r="U1053" s="515"/>
      <c r="V1053" s="494">
        <v>90</v>
      </c>
    </row>
    <row r="1054" spans="1:22" s="7" customFormat="1" ht="15" customHeight="1">
      <c r="A1054" s="1"/>
      <c r="B1054" s="12"/>
      <c r="C1054" s="6" t="s">
        <v>2256</v>
      </c>
      <c r="D1054" s="15" t="s">
        <v>2251</v>
      </c>
      <c r="E1054" s="20" t="s">
        <v>337</v>
      </c>
      <c r="F1054" s="26"/>
      <c r="G1054" s="24"/>
      <c r="H1054" s="45"/>
      <c r="I1054" s="68"/>
      <c r="J1054" s="67"/>
      <c r="K1054" s="17" t="s">
        <v>10</v>
      </c>
      <c r="L1054" s="39"/>
      <c r="M1054" s="39"/>
      <c r="N1054" s="39">
        <v>44582</v>
      </c>
      <c r="O1054" s="38">
        <v>3843</v>
      </c>
      <c r="P1054" s="6"/>
      <c r="Q1054" s="482"/>
      <c r="S1054" s="489"/>
      <c r="T1054" s="113"/>
      <c r="U1054" s="500"/>
      <c r="V1054" s="494">
        <v>90</v>
      </c>
    </row>
    <row r="1055" spans="1:22" s="7" customFormat="1" ht="15.75">
      <c r="A1055" s="1"/>
      <c r="B1055" s="12" t="s">
        <v>1856</v>
      </c>
      <c r="C1055" s="6" t="s">
        <v>2256</v>
      </c>
      <c r="D1055" s="15" t="s">
        <v>2251</v>
      </c>
      <c r="E1055" s="24">
        <v>3705</v>
      </c>
      <c r="F1055" s="26">
        <v>6</v>
      </c>
      <c r="G1055" s="24" t="s">
        <v>414</v>
      </c>
      <c r="H1055" s="151">
        <v>30</v>
      </c>
      <c r="I1055" s="152">
        <v>4</v>
      </c>
      <c r="J1055" s="67">
        <f t="shared" ref="J1055:J1063" si="44">H1055*I1055</f>
        <v>120</v>
      </c>
      <c r="K1055" s="46">
        <v>0.28999999999999998</v>
      </c>
      <c r="L1055" s="46">
        <f t="shared" ref="L1055:L1064" si="45">K1055*J1055</f>
        <v>34.799999999999997</v>
      </c>
      <c r="M1055" s="162" t="s">
        <v>2218</v>
      </c>
      <c r="N1055" s="39">
        <v>44582</v>
      </c>
      <c r="O1055" s="38">
        <v>3843</v>
      </c>
      <c r="P1055" s="46">
        <f t="shared" ref="P1055:P1063" si="46">K1055*(VLOOKUP(B1055,$C$2:$F$6,3,FALSE))</f>
        <v>0.25519999999999998</v>
      </c>
      <c r="Q1055" s="482">
        <v>0.26</v>
      </c>
      <c r="R1055" s="704">
        <f t="shared" ref="R1055:R1064" si="47">Q1055*J1055</f>
        <v>31.200000000000003</v>
      </c>
      <c r="S1055" s="489">
        <v>13</v>
      </c>
      <c r="T1055" s="567">
        <f t="shared" ref="T1055:T1064" si="48">S1055*J1055</f>
        <v>1560</v>
      </c>
      <c r="U1055" s="1862" t="s">
        <v>2067</v>
      </c>
      <c r="V1055" s="494">
        <v>90</v>
      </c>
    </row>
    <row r="1056" spans="1:22" s="7" customFormat="1" ht="15.75">
      <c r="A1056" s="1"/>
      <c r="B1056" s="12" t="s">
        <v>1856</v>
      </c>
      <c r="C1056" s="6" t="s">
        <v>2256</v>
      </c>
      <c r="D1056" s="15" t="s">
        <v>2249</v>
      </c>
      <c r="E1056" s="24">
        <v>3705</v>
      </c>
      <c r="F1056" s="26">
        <v>12</v>
      </c>
      <c r="G1056" s="24" t="s">
        <v>414</v>
      </c>
      <c r="H1056" s="151">
        <v>30</v>
      </c>
      <c r="I1056" s="152">
        <v>6</v>
      </c>
      <c r="J1056" s="67">
        <f t="shared" si="44"/>
        <v>180</v>
      </c>
      <c r="K1056" s="46">
        <v>0.35</v>
      </c>
      <c r="L1056" s="46">
        <f t="shared" si="45"/>
        <v>62.999999999999993</v>
      </c>
      <c r="M1056" s="162" t="s">
        <v>2218</v>
      </c>
      <c r="N1056" s="39">
        <v>44582</v>
      </c>
      <c r="O1056" s="38">
        <v>3843</v>
      </c>
      <c r="P1056" s="46">
        <f t="shared" si="46"/>
        <v>0.308</v>
      </c>
      <c r="Q1056" s="482">
        <v>0.31</v>
      </c>
      <c r="R1056" s="704">
        <f t="shared" si="47"/>
        <v>55.8</v>
      </c>
      <c r="S1056" s="489">
        <v>15.6</v>
      </c>
      <c r="T1056" s="567">
        <f t="shared" si="48"/>
        <v>2808</v>
      </c>
      <c r="U1056" s="1862" t="s">
        <v>2250</v>
      </c>
      <c r="V1056" s="494">
        <v>90</v>
      </c>
    </row>
    <row r="1057" spans="1:22" s="7" customFormat="1" ht="15.75">
      <c r="A1057" s="1"/>
      <c r="B1057" s="12" t="s">
        <v>1856</v>
      </c>
      <c r="C1057" s="6" t="s">
        <v>2256</v>
      </c>
      <c r="D1057" s="15" t="s">
        <v>2251</v>
      </c>
      <c r="E1057" s="24">
        <v>3705</v>
      </c>
      <c r="F1057" s="26">
        <v>25</v>
      </c>
      <c r="G1057" s="24" t="s">
        <v>414</v>
      </c>
      <c r="H1057" s="151">
        <v>30</v>
      </c>
      <c r="I1057" s="152">
        <v>4</v>
      </c>
      <c r="J1057" s="67">
        <f t="shared" si="44"/>
        <v>120</v>
      </c>
      <c r="K1057" s="46">
        <v>0.6</v>
      </c>
      <c r="L1057" s="46">
        <f t="shared" si="45"/>
        <v>72</v>
      </c>
      <c r="M1057" s="162" t="s">
        <v>2218</v>
      </c>
      <c r="N1057" s="39">
        <v>44582</v>
      </c>
      <c r="O1057" s="38">
        <v>3843</v>
      </c>
      <c r="P1057" s="46">
        <f t="shared" si="46"/>
        <v>0.52800000000000002</v>
      </c>
      <c r="Q1057" s="482">
        <v>0.53</v>
      </c>
      <c r="R1057" s="704">
        <f t="shared" si="47"/>
        <v>63.6</v>
      </c>
      <c r="S1057" s="489">
        <v>27.3</v>
      </c>
      <c r="T1057" s="567">
        <f t="shared" si="48"/>
        <v>3276</v>
      </c>
      <c r="U1057" s="1862" t="s">
        <v>1889</v>
      </c>
      <c r="V1057" s="494">
        <v>90</v>
      </c>
    </row>
    <row r="1058" spans="1:22" s="7" customFormat="1" ht="15.75">
      <c r="A1058" s="1"/>
      <c r="B1058" s="12" t="s">
        <v>1856</v>
      </c>
      <c r="C1058" s="6" t="s">
        <v>2256</v>
      </c>
      <c r="D1058" s="15" t="s">
        <v>2249</v>
      </c>
      <c r="E1058" s="24">
        <v>3705</v>
      </c>
      <c r="F1058" s="26">
        <v>6</v>
      </c>
      <c r="G1058" s="24" t="s">
        <v>498</v>
      </c>
      <c r="H1058" s="151">
        <v>30</v>
      </c>
      <c r="I1058" s="152">
        <v>4</v>
      </c>
      <c r="J1058" s="67">
        <f t="shared" si="44"/>
        <v>120</v>
      </c>
      <c r="K1058" s="46">
        <v>0.28999999999999998</v>
      </c>
      <c r="L1058" s="46">
        <f t="shared" si="45"/>
        <v>34.799999999999997</v>
      </c>
      <c r="M1058" s="162" t="s">
        <v>2218</v>
      </c>
      <c r="N1058" s="39">
        <v>44582</v>
      </c>
      <c r="O1058" s="38">
        <v>3843</v>
      </c>
      <c r="P1058" s="46">
        <f t="shared" si="46"/>
        <v>0.25519999999999998</v>
      </c>
      <c r="Q1058" s="482">
        <v>0.26</v>
      </c>
      <c r="R1058" s="704">
        <f t="shared" si="47"/>
        <v>31.200000000000003</v>
      </c>
      <c r="S1058" s="489">
        <v>13</v>
      </c>
      <c r="T1058" s="567">
        <f t="shared" si="48"/>
        <v>1560</v>
      </c>
      <c r="U1058" s="1862" t="s">
        <v>2067</v>
      </c>
      <c r="V1058" s="494">
        <v>90</v>
      </c>
    </row>
    <row r="1059" spans="1:22" s="7" customFormat="1" ht="15.75">
      <c r="A1059" s="1"/>
      <c r="B1059" s="12" t="s">
        <v>1856</v>
      </c>
      <c r="C1059" s="6" t="s">
        <v>2256</v>
      </c>
      <c r="D1059" s="15" t="s">
        <v>2249</v>
      </c>
      <c r="E1059" s="24">
        <v>3705</v>
      </c>
      <c r="F1059" s="26">
        <v>12</v>
      </c>
      <c r="G1059" s="24" t="s">
        <v>498</v>
      </c>
      <c r="H1059" s="151">
        <v>30</v>
      </c>
      <c r="I1059" s="152">
        <v>6</v>
      </c>
      <c r="J1059" s="67">
        <f t="shared" si="44"/>
        <v>180</v>
      </c>
      <c r="K1059" s="46">
        <v>0.35</v>
      </c>
      <c r="L1059" s="46">
        <f t="shared" si="45"/>
        <v>62.999999999999993</v>
      </c>
      <c r="M1059" s="162" t="s">
        <v>2219</v>
      </c>
      <c r="N1059" s="39">
        <v>44582</v>
      </c>
      <c r="O1059" s="38">
        <v>3843</v>
      </c>
      <c r="P1059" s="46">
        <f t="shared" si="46"/>
        <v>0.308</v>
      </c>
      <c r="Q1059" s="482">
        <v>0.31</v>
      </c>
      <c r="R1059" s="704">
        <f t="shared" si="47"/>
        <v>55.8</v>
      </c>
      <c r="S1059" s="489">
        <v>15.6</v>
      </c>
      <c r="T1059" s="567">
        <f t="shared" si="48"/>
        <v>2808</v>
      </c>
      <c r="U1059" s="1862" t="s">
        <v>2250</v>
      </c>
      <c r="V1059" s="494">
        <v>90</v>
      </c>
    </row>
    <row r="1060" spans="1:22" s="7" customFormat="1" ht="15.75">
      <c r="A1060" s="1"/>
      <c r="B1060" s="12" t="s">
        <v>1856</v>
      </c>
      <c r="C1060" s="6" t="s">
        <v>2256</v>
      </c>
      <c r="D1060" s="15" t="s">
        <v>2251</v>
      </c>
      <c r="E1060" s="24">
        <v>3705</v>
      </c>
      <c r="F1060" s="26">
        <v>25</v>
      </c>
      <c r="G1060" s="24" t="s">
        <v>498</v>
      </c>
      <c r="H1060" s="151">
        <v>30</v>
      </c>
      <c r="I1060" s="152">
        <v>4</v>
      </c>
      <c r="J1060" s="67">
        <f t="shared" si="44"/>
        <v>120</v>
      </c>
      <c r="K1060" s="46">
        <v>0.6</v>
      </c>
      <c r="L1060" s="46">
        <f t="shared" si="45"/>
        <v>72</v>
      </c>
      <c r="M1060" s="162" t="s">
        <v>2219</v>
      </c>
      <c r="N1060" s="39">
        <v>44582</v>
      </c>
      <c r="O1060" s="38">
        <v>3843</v>
      </c>
      <c r="P1060" s="46">
        <f t="shared" si="46"/>
        <v>0.52800000000000002</v>
      </c>
      <c r="Q1060" s="482">
        <v>0.53</v>
      </c>
      <c r="R1060" s="704">
        <f t="shared" si="47"/>
        <v>63.6</v>
      </c>
      <c r="S1060" s="489">
        <v>27.3</v>
      </c>
      <c r="T1060" s="567">
        <f t="shared" si="48"/>
        <v>3276</v>
      </c>
      <c r="U1060" s="1862" t="s">
        <v>1889</v>
      </c>
      <c r="V1060" s="494">
        <v>90</v>
      </c>
    </row>
    <row r="1061" spans="1:22" s="7" customFormat="1" ht="15.75">
      <c r="A1061" s="1"/>
      <c r="B1061" s="12" t="s">
        <v>1856</v>
      </c>
      <c r="C1061" s="6" t="s">
        <v>2256</v>
      </c>
      <c r="D1061" s="15" t="s">
        <v>2249</v>
      </c>
      <c r="E1061" s="24">
        <v>3705</v>
      </c>
      <c r="F1061" s="26">
        <v>6</v>
      </c>
      <c r="G1061" s="24" t="s">
        <v>2252</v>
      </c>
      <c r="H1061" s="151">
        <v>30</v>
      </c>
      <c r="I1061" s="152">
        <v>2</v>
      </c>
      <c r="J1061" s="67">
        <f t="shared" si="44"/>
        <v>60</v>
      </c>
      <c r="K1061" s="46">
        <v>0.28999999999999998</v>
      </c>
      <c r="L1061" s="46">
        <f t="shared" si="45"/>
        <v>17.399999999999999</v>
      </c>
      <c r="M1061" s="162" t="s">
        <v>2218</v>
      </c>
      <c r="N1061" s="39">
        <v>44582</v>
      </c>
      <c r="O1061" s="38">
        <v>3843</v>
      </c>
      <c r="P1061" s="46">
        <f t="shared" si="46"/>
        <v>0.25519999999999998</v>
      </c>
      <c r="Q1061" s="482">
        <v>0.26</v>
      </c>
      <c r="R1061" s="704">
        <f t="shared" si="47"/>
        <v>15.600000000000001</v>
      </c>
      <c r="S1061" s="489">
        <v>13</v>
      </c>
      <c r="T1061" s="567">
        <f t="shared" si="48"/>
        <v>780</v>
      </c>
      <c r="U1061" s="1862" t="s">
        <v>2067</v>
      </c>
      <c r="V1061" s="494">
        <v>90</v>
      </c>
    </row>
    <row r="1062" spans="1:22" s="7" customFormat="1" ht="15.75">
      <c r="A1062" s="1"/>
      <c r="B1062" s="12" t="s">
        <v>1856</v>
      </c>
      <c r="C1062" s="6" t="s">
        <v>2256</v>
      </c>
      <c r="D1062" s="15" t="s">
        <v>2249</v>
      </c>
      <c r="E1062" s="24">
        <v>3705</v>
      </c>
      <c r="F1062" s="26">
        <v>12</v>
      </c>
      <c r="G1062" s="24" t="s">
        <v>2252</v>
      </c>
      <c r="H1062" s="151">
        <v>30</v>
      </c>
      <c r="I1062" s="152">
        <v>6</v>
      </c>
      <c r="J1062" s="67">
        <f t="shared" si="44"/>
        <v>180</v>
      </c>
      <c r="K1062" s="46">
        <v>0.35</v>
      </c>
      <c r="L1062" s="46">
        <f t="shared" si="45"/>
        <v>62.999999999999993</v>
      </c>
      <c r="M1062" s="162" t="s">
        <v>2218</v>
      </c>
      <c r="N1062" s="39">
        <v>44582</v>
      </c>
      <c r="O1062" s="38">
        <v>3843</v>
      </c>
      <c r="P1062" s="46">
        <f t="shared" si="46"/>
        <v>0.308</v>
      </c>
      <c r="Q1062" s="482">
        <v>0.31</v>
      </c>
      <c r="R1062" s="704">
        <f t="shared" si="47"/>
        <v>55.8</v>
      </c>
      <c r="S1062" s="489">
        <v>15.6</v>
      </c>
      <c r="T1062" s="567">
        <f t="shared" si="48"/>
        <v>2808</v>
      </c>
      <c r="U1062" s="1862" t="s">
        <v>2250</v>
      </c>
      <c r="V1062" s="494">
        <v>90</v>
      </c>
    </row>
    <row r="1063" spans="1:22" s="7" customFormat="1" ht="15.75">
      <c r="A1063" s="1"/>
      <c r="B1063" s="12" t="s">
        <v>1856</v>
      </c>
      <c r="C1063" s="6" t="s">
        <v>2256</v>
      </c>
      <c r="D1063" s="15" t="s">
        <v>2251</v>
      </c>
      <c r="E1063" s="24">
        <v>3705</v>
      </c>
      <c r="F1063" s="26">
        <v>25</v>
      </c>
      <c r="G1063" s="24" t="s">
        <v>2252</v>
      </c>
      <c r="H1063" s="151">
        <v>30</v>
      </c>
      <c r="I1063" s="152">
        <v>4</v>
      </c>
      <c r="J1063" s="67">
        <f t="shared" si="44"/>
        <v>120</v>
      </c>
      <c r="K1063" s="46">
        <v>0.6</v>
      </c>
      <c r="L1063" s="46">
        <f t="shared" si="45"/>
        <v>72</v>
      </c>
      <c r="M1063" s="162" t="s">
        <v>2218</v>
      </c>
      <c r="N1063" s="39">
        <v>44582</v>
      </c>
      <c r="O1063" s="38">
        <v>3843</v>
      </c>
      <c r="P1063" s="46">
        <f t="shared" si="46"/>
        <v>0.52800000000000002</v>
      </c>
      <c r="Q1063" s="482">
        <v>0.53</v>
      </c>
      <c r="R1063" s="704">
        <f t="shared" si="47"/>
        <v>63.6</v>
      </c>
      <c r="S1063" s="489">
        <v>27.3</v>
      </c>
      <c r="T1063" s="567">
        <f t="shared" si="48"/>
        <v>3276</v>
      </c>
      <c r="U1063" s="1862" t="s">
        <v>1889</v>
      </c>
      <c r="V1063" s="494">
        <v>90</v>
      </c>
    </row>
    <row r="1064" spans="1:22" ht="15.95" customHeight="1">
      <c r="C1064" s="6" t="s">
        <v>2256</v>
      </c>
      <c r="D1064" s="15" t="s">
        <v>2249</v>
      </c>
      <c r="E1064" s="24"/>
      <c r="F1064" s="138"/>
      <c r="G1064" s="44" t="s">
        <v>1993</v>
      </c>
      <c r="H1064" s="8"/>
      <c r="I1064" s="41"/>
      <c r="J1064" s="45">
        <v>1</v>
      </c>
      <c r="K1064" s="46">
        <v>12</v>
      </c>
      <c r="L1064" s="46">
        <f t="shared" si="45"/>
        <v>12</v>
      </c>
      <c r="M1064" s="112"/>
      <c r="N1064" s="39">
        <v>44582</v>
      </c>
      <c r="O1064" s="38">
        <v>3843</v>
      </c>
      <c r="P1064" s="179"/>
      <c r="Q1064" s="483">
        <v>12</v>
      </c>
      <c r="R1064" s="704">
        <f t="shared" si="47"/>
        <v>12</v>
      </c>
      <c r="S1064" s="489">
        <v>0</v>
      </c>
      <c r="T1064" s="567">
        <f t="shared" si="48"/>
        <v>0</v>
      </c>
      <c r="U1064" s="511"/>
      <c r="V1064" s="494">
        <v>90</v>
      </c>
    </row>
    <row r="1065" spans="1:22" s="314" customFormat="1" ht="15">
      <c r="A1065" s="1"/>
      <c r="B1065" s="313"/>
      <c r="C1065" s="302" t="s">
        <v>2256</v>
      </c>
      <c r="D1065" s="303" t="s">
        <v>2249</v>
      </c>
      <c r="E1065" s="304"/>
      <c r="F1065" s="305"/>
      <c r="G1065" s="305" t="s">
        <v>1227</v>
      </c>
      <c r="H1065" s="307" t="s">
        <v>1243</v>
      </c>
      <c r="I1065" s="308"/>
      <c r="J1065" s="306"/>
      <c r="K1065" s="315">
        <v>83</v>
      </c>
      <c r="L1065" s="310"/>
      <c r="M1065" s="310"/>
      <c r="N1065" s="310">
        <v>44582</v>
      </c>
      <c r="O1065" s="309">
        <v>3843</v>
      </c>
      <c r="P1065" s="302"/>
      <c r="Q1065" s="485">
        <v>83</v>
      </c>
      <c r="S1065" s="536">
        <v>7401</v>
      </c>
      <c r="T1065" s="322">
        <v>7401</v>
      </c>
      <c r="U1065" s="515"/>
      <c r="V1065" s="494">
        <v>90</v>
      </c>
    </row>
    <row r="1066" spans="1:22" s="7" customFormat="1" ht="15" customHeight="1">
      <c r="A1066" s="1"/>
      <c r="B1066" s="12"/>
      <c r="C1066" s="6" t="s">
        <v>2257</v>
      </c>
      <c r="D1066" s="15" t="s">
        <v>617</v>
      </c>
      <c r="E1066" s="20" t="s">
        <v>337</v>
      </c>
      <c r="F1066" s="26"/>
      <c r="G1066" s="24"/>
      <c r="H1066" s="45"/>
      <c r="I1066" s="68"/>
      <c r="J1066" s="67"/>
      <c r="K1066" s="17" t="s">
        <v>10</v>
      </c>
      <c r="L1066" s="39"/>
      <c r="M1066" s="39"/>
      <c r="N1066" s="39">
        <v>44585</v>
      </c>
      <c r="O1066" s="38">
        <v>3849</v>
      </c>
      <c r="P1066" s="6"/>
      <c r="Q1066" s="482"/>
      <c r="S1066" s="489"/>
      <c r="T1066" s="113"/>
      <c r="U1066" s="500"/>
      <c r="V1066" s="494">
        <v>90</v>
      </c>
    </row>
    <row r="1067" spans="1:22" s="7" customFormat="1" ht="15.75">
      <c r="A1067" s="1"/>
      <c r="B1067" s="12" t="s">
        <v>1856</v>
      </c>
      <c r="C1067" s="6" t="s">
        <v>2257</v>
      </c>
      <c r="D1067" s="15" t="s">
        <v>617</v>
      </c>
      <c r="E1067" s="24">
        <v>3705</v>
      </c>
      <c r="F1067" s="26">
        <v>50</v>
      </c>
      <c r="G1067" s="24" t="s">
        <v>414</v>
      </c>
      <c r="H1067" s="151">
        <v>30</v>
      </c>
      <c r="I1067" s="152">
        <v>20</v>
      </c>
      <c r="J1067" s="67">
        <f>H1067*I1067</f>
        <v>600</v>
      </c>
      <c r="K1067" s="46">
        <v>1.66</v>
      </c>
      <c r="L1067" s="46">
        <f>K1067*J1067</f>
        <v>996</v>
      </c>
      <c r="M1067" s="162" t="s">
        <v>2219</v>
      </c>
      <c r="N1067" s="39">
        <v>44585</v>
      </c>
      <c r="O1067" s="38">
        <v>3849</v>
      </c>
      <c r="P1067" s="46">
        <f>K1067*(VLOOKUP(B1067,$C$2:$F$6,3,FALSE))</f>
        <v>1.4607999999999999</v>
      </c>
      <c r="Q1067" s="482">
        <v>1.46</v>
      </c>
      <c r="S1067" s="489">
        <v>76.239999999999995</v>
      </c>
      <c r="T1067" s="567">
        <f>S1067*J1067</f>
        <v>45744</v>
      </c>
      <c r="U1067" s="1862" t="s">
        <v>2259</v>
      </c>
      <c r="V1067" s="494">
        <v>90</v>
      </c>
    </row>
    <row r="1068" spans="1:22" s="7" customFormat="1" ht="15.75">
      <c r="A1068" s="1"/>
      <c r="B1068" s="12" t="s">
        <v>1856</v>
      </c>
      <c r="C1068" s="6" t="s">
        <v>2257</v>
      </c>
      <c r="D1068" s="15" t="s">
        <v>617</v>
      </c>
      <c r="E1068" s="24">
        <v>3705</v>
      </c>
      <c r="F1068" s="26">
        <v>38</v>
      </c>
      <c r="G1068" s="24" t="s">
        <v>414</v>
      </c>
      <c r="H1068" s="151">
        <v>30</v>
      </c>
      <c r="I1068" s="152">
        <v>20</v>
      </c>
      <c r="J1068" s="67">
        <f>H1068*I1068</f>
        <v>600</v>
      </c>
      <c r="K1068" s="46">
        <v>0.89</v>
      </c>
      <c r="L1068" s="46">
        <f>K1068*J1068</f>
        <v>534</v>
      </c>
      <c r="M1068" s="162" t="s">
        <v>2218</v>
      </c>
      <c r="N1068" s="39">
        <v>44585</v>
      </c>
      <c r="O1068" s="38">
        <v>3849</v>
      </c>
      <c r="P1068" s="46">
        <f>K1068*(VLOOKUP(B1068,$C$2:$F$6,3,FALSE))</f>
        <v>0.78320000000000001</v>
      </c>
      <c r="Q1068" s="482">
        <v>0.78</v>
      </c>
      <c r="S1068" s="489">
        <v>40.94</v>
      </c>
      <c r="T1068" s="567">
        <f>S1068*J1068</f>
        <v>24564</v>
      </c>
      <c r="U1068" s="1862" t="s">
        <v>2258</v>
      </c>
      <c r="V1068" s="494">
        <v>90</v>
      </c>
    </row>
    <row r="1069" spans="1:22" s="7" customFormat="1" ht="15.75">
      <c r="A1069" s="1"/>
      <c r="B1069" s="12" t="s">
        <v>1856</v>
      </c>
      <c r="C1069" s="6" t="s">
        <v>2257</v>
      </c>
      <c r="D1069" s="15" t="s">
        <v>617</v>
      </c>
      <c r="E1069" s="24">
        <v>3705</v>
      </c>
      <c r="F1069" s="26">
        <v>25</v>
      </c>
      <c r="G1069" s="24" t="s">
        <v>414</v>
      </c>
      <c r="H1069" s="151">
        <v>30</v>
      </c>
      <c r="I1069" s="152">
        <v>20</v>
      </c>
      <c r="J1069" s="67">
        <f>H1069*I1069</f>
        <v>600</v>
      </c>
      <c r="K1069" s="46">
        <v>0.6</v>
      </c>
      <c r="L1069" s="46">
        <f>K1069*J1069</f>
        <v>360</v>
      </c>
      <c r="M1069" s="162" t="s">
        <v>2218</v>
      </c>
      <c r="N1069" s="39">
        <v>44585</v>
      </c>
      <c r="O1069" s="38">
        <v>3849</v>
      </c>
      <c r="P1069" s="46">
        <f>K1069*(VLOOKUP(B1069,$C$2:$F$6,3,FALSE))</f>
        <v>0.52800000000000002</v>
      </c>
      <c r="Q1069" s="482">
        <v>0.53</v>
      </c>
      <c r="S1069" s="489">
        <v>27.3</v>
      </c>
      <c r="T1069" s="567">
        <f>S1069*J1069</f>
        <v>16380</v>
      </c>
      <c r="U1069" s="1862" t="s">
        <v>1889</v>
      </c>
      <c r="V1069" s="494">
        <v>90</v>
      </c>
    </row>
    <row r="1070" spans="1:22" s="7" customFormat="1" ht="15.75">
      <c r="A1070" s="1"/>
      <c r="B1070" s="12" t="s">
        <v>1856</v>
      </c>
      <c r="C1070" s="6" t="s">
        <v>2257</v>
      </c>
      <c r="D1070" s="15" t="s">
        <v>617</v>
      </c>
      <c r="E1070" s="24">
        <v>3705</v>
      </c>
      <c r="F1070" s="26">
        <v>12</v>
      </c>
      <c r="G1070" s="24" t="s">
        <v>414</v>
      </c>
      <c r="H1070" s="151">
        <v>30</v>
      </c>
      <c r="I1070" s="152">
        <v>20</v>
      </c>
      <c r="J1070" s="67">
        <f>H1070*I1070</f>
        <v>600</v>
      </c>
      <c r="K1070" s="46">
        <v>0.35</v>
      </c>
      <c r="L1070" s="46">
        <f>K1070*J1070</f>
        <v>210</v>
      </c>
      <c r="M1070" s="162" t="s">
        <v>2218</v>
      </c>
      <c r="N1070" s="39">
        <v>44585</v>
      </c>
      <c r="O1070" s="38">
        <v>3849</v>
      </c>
      <c r="P1070" s="46">
        <f>K1070*(VLOOKUP(B1070,$C$2:$F$6,3,FALSE))</f>
        <v>0.308</v>
      </c>
      <c r="Q1070" s="482">
        <v>0.31</v>
      </c>
      <c r="S1070" s="489">
        <v>15.6</v>
      </c>
      <c r="T1070" s="567">
        <f>S1070*J1070</f>
        <v>9360</v>
      </c>
      <c r="U1070" s="1862" t="s">
        <v>2250</v>
      </c>
      <c r="V1070" s="494">
        <v>90</v>
      </c>
    </row>
    <row r="1071" spans="1:22" s="217" customFormat="1" ht="15.95" customHeight="1">
      <c r="A1071" s="1"/>
      <c r="B1071" s="539"/>
      <c r="C1071" s="216" t="s">
        <v>2257</v>
      </c>
      <c r="D1071" s="109" t="s">
        <v>617</v>
      </c>
      <c r="E1071" s="24"/>
      <c r="F1071" s="160"/>
      <c r="G1071" s="42" t="s">
        <v>1993</v>
      </c>
      <c r="H1071" s="214"/>
      <c r="I1071" s="215"/>
      <c r="J1071" s="43">
        <v>1</v>
      </c>
      <c r="K1071" s="229">
        <v>0</v>
      </c>
      <c r="L1071" s="229">
        <f>K1071*J1071</f>
        <v>0</v>
      </c>
      <c r="M1071" s="112"/>
      <c r="N1071" s="39">
        <v>44585</v>
      </c>
      <c r="O1071" s="38">
        <v>3849</v>
      </c>
      <c r="P1071" s="692"/>
      <c r="Q1071" s="525">
        <v>0</v>
      </c>
      <c r="S1071" s="492">
        <v>0</v>
      </c>
      <c r="T1071" s="666">
        <f>S1071*J1071</f>
        <v>0</v>
      </c>
      <c r="U1071" s="667"/>
      <c r="V1071" s="547">
        <v>90</v>
      </c>
    </row>
    <row r="1072" spans="1:22" s="683" customFormat="1" ht="15.75">
      <c r="A1072" s="1"/>
      <c r="B1072" s="684"/>
      <c r="C1072" s="302" t="s">
        <v>2257</v>
      </c>
      <c r="D1072" s="303" t="s">
        <v>617</v>
      </c>
      <c r="E1072" s="304"/>
      <c r="F1072" s="305"/>
      <c r="G1072" s="682" t="s">
        <v>2239</v>
      </c>
      <c r="H1072" s="307" t="s">
        <v>1243</v>
      </c>
      <c r="I1072" s="308"/>
      <c r="J1072" s="306"/>
      <c r="K1072" s="329">
        <v>31</v>
      </c>
      <c r="L1072" s="310"/>
      <c r="M1072" s="310"/>
      <c r="N1072" s="310">
        <v>44585</v>
      </c>
      <c r="O1072" s="309">
        <v>3849</v>
      </c>
      <c r="P1072" s="685"/>
      <c r="Q1072" s="686">
        <v>31</v>
      </c>
      <c r="S1072" s="687">
        <v>2730</v>
      </c>
      <c r="T1072" s="690">
        <v>2730</v>
      </c>
      <c r="U1072" s="688"/>
      <c r="V1072" s="689">
        <v>90</v>
      </c>
    </row>
    <row r="1073" spans="1:23" s="314" customFormat="1" ht="15">
      <c r="A1073" s="1"/>
      <c r="B1073" s="313"/>
      <c r="C1073" s="302" t="s">
        <v>2257</v>
      </c>
      <c r="D1073" s="303" t="s">
        <v>617</v>
      </c>
      <c r="E1073" s="304"/>
      <c r="F1073" s="305"/>
      <c r="G1073" s="305" t="s">
        <v>1227</v>
      </c>
      <c r="H1073" s="307" t="s">
        <v>1243</v>
      </c>
      <c r="I1073" s="308"/>
      <c r="J1073" s="306"/>
      <c r="K1073" s="329">
        <v>308</v>
      </c>
      <c r="L1073" s="310"/>
      <c r="M1073" s="310"/>
      <c r="N1073" s="310">
        <v>44585</v>
      </c>
      <c r="O1073" s="309">
        <v>3849</v>
      </c>
      <c r="P1073" s="685"/>
      <c r="Q1073" s="686">
        <v>308</v>
      </c>
      <c r="R1073" s="683"/>
      <c r="S1073" s="687">
        <v>27691</v>
      </c>
      <c r="T1073" s="690">
        <v>27691</v>
      </c>
      <c r="U1073" s="688"/>
      <c r="V1073" s="689">
        <v>90</v>
      </c>
      <c r="W1073" s="683"/>
    </row>
    <row r="1074" spans="1:23" s="7" customFormat="1" ht="18" customHeight="1">
      <c r="A1074" s="1"/>
      <c r="B1074" s="12"/>
      <c r="C1074" s="6" t="s">
        <v>2262</v>
      </c>
      <c r="D1074" s="15" t="s">
        <v>1214</v>
      </c>
      <c r="E1074" s="20" t="s">
        <v>1003</v>
      </c>
      <c r="F1074" s="24"/>
      <c r="G1074" s="44"/>
      <c r="H1074" s="151"/>
      <c r="I1074" s="151"/>
      <c r="J1074" s="151"/>
      <c r="K1074" s="153" t="s">
        <v>10</v>
      </c>
      <c r="L1074" s="39"/>
      <c r="M1074" s="39"/>
      <c r="N1074" s="39">
        <v>44585</v>
      </c>
      <c r="O1074" s="38">
        <v>3848</v>
      </c>
      <c r="P1074" s="6"/>
      <c r="Q1074" s="411"/>
      <c r="S1074" s="489"/>
      <c r="T1074" s="113"/>
      <c r="U1074" s="501"/>
      <c r="V1074" s="494">
        <v>90</v>
      </c>
    </row>
    <row r="1075" spans="1:23" s="7" customFormat="1" ht="15.95" customHeight="1">
      <c r="A1075" s="1"/>
      <c r="B1075" s="12" t="s">
        <v>1856</v>
      </c>
      <c r="C1075" s="6" t="s">
        <v>2262</v>
      </c>
      <c r="D1075" s="15" t="s">
        <v>1214</v>
      </c>
      <c r="E1075" s="24" t="s">
        <v>1426</v>
      </c>
      <c r="F1075" s="44"/>
      <c r="G1075" s="44" t="s">
        <v>78</v>
      </c>
      <c r="H1075" s="8">
        <v>14</v>
      </c>
      <c r="I1075" s="41">
        <v>69</v>
      </c>
      <c r="J1075" s="67">
        <f>I1075*H1075</f>
        <v>966</v>
      </c>
      <c r="K1075" s="46">
        <v>1.54</v>
      </c>
      <c r="L1075" s="46">
        <f>K1075*J1075</f>
        <v>1487.64</v>
      </c>
      <c r="M1075" s="162" t="s">
        <v>2219</v>
      </c>
      <c r="N1075" s="39">
        <v>44585</v>
      </c>
      <c r="O1075" s="38">
        <v>3848</v>
      </c>
      <c r="P1075" s="46">
        <f>K1075*(VLOOKUP(B1075,$C$2:$F$6,3,FALSE))</f>
        <v>1.3552</v>
      </c>
      <c r="Q1075" s="483">
        <v>1.36</v>
      </c>
      <c r="S1075" s="489">
        <v>55</v>
      </c>
      <c r="T1075" s="567">
        <f>S1075*J1075</f>
        <v>53130</v>
      </c>
      <c r="U1075" s="517" t="s">
        <v>1432</v>
      </c>
      <c r="V1075" s="494">
        <v>90</v>
      </c>
    </row>
    <row r="1076" spans="1:23" ht="15.95" customHeight="1">
      <c r="C1076" s="6" t="s">
        <v>2262</v>
      </c>
      <c r="D1076" s="15" t="s">
        <v>1214</v>
      </c>
      <c r="E1076" s="24"/>
      <c r="F1076" s="138"/>
      <c r="G1076" s="44" t="s">
        <v>1993</v>
      </c>
      <c r="H1076" s="8"/>
      <c r="I1076" s="41"/>
      <c r="J1076" s="45">
        <v>1</v>
      </c>
      <c r="K1076" s="46">
        <v>12</v>
      </c>
      <c r="L1076" s="46">
        <f>K1076*J1076</f>
        <v>12</v>
      </c>
      <c r="M1076" s="112"/>
      <c r="N1076" s="39">
        <v>44585</v>
      </c>
      <c r="O1076" s="38">
        <v>3848</v>
      </c>
      <c r="P1076" s="179"/>
      <c r="Q1076" s="483">
        <v>12</v>
      </c>
      <c r="S1076" s="489">
        <v>0</v>
      </c>
      <c r="T1076" s="567">
        <f>S1076*J1076</f>
        <v>0</v>
      </c>
      <c r="U1076" s="511"/>
      <c r="V1076" s="494">
        <v>90</v>
      </c>
    </row>
    <row r="1077" spans="1:23" s="314" customFormat="1" ht="15">
      <c r="A1077" s="1"/>
      <c r="B1077" s="313"/>
      <c r="C1077" s="302" t="s">
        <v>2262</v>
      </c>
      <c r="D1077" s="303" t="s">
        <v>1214</v>
      </c>
      <c r="E1077" s="304"/>
      <c r="F1077" s="305"/>
      <c r="G1077" s="305" t="s">
        <v>1227</v>
      </c>
      <c r="H1077" s="307" t="s">
        <v>1228</v>
      </c>
      <c r="I1077" s="308"/>
      <c r="J1077" s="306"/>
      <c r="K1077" s="315">
        <v>0</v>
      </c>
      <c r="L1077" s="310"/>
      <c r="M1077" s="310"/>
      <c r="N1077" s="310">
        <v>44585</v>
      </c>
      <c r="O1077" s="309">
        <v>3848</v>
      </c>
      <c r="P1077" s="302"/>
      <c r="Q1077" s="485">
        <v>0</v>
      </c>
      <c r="S1077" s="536">
        <v>0</v>
      </c>
      <c r="T1077" s="567">
        <f>S1077*J1077</f>
        <v>0</v>
      </c>
      <c r="U1077" s="515"/>
      <c r="V1077" s="494">
        <v>90</v>
      </c>
    </row>
    <row r="1078" spans="1:23" s="7" customFormat="1" ht="15" customHeight="1">
      <c r="A1078" s="1"/>
      <c r="B1078" s="12"/>
      <c r="C1078" s="6" t="s">
        <v>2263</v>
      </c>
      <c r="D1078" s="15" t="s">
        <v>2292</v>
      </c>
      <c r="E1078" s="20" t="s">
        <v>27</v>
      </c>
      <c r="F1078" s="150"/>
      <c r="G1078" s="24"/>
      <c r="H1078" s="151"/>
      <c r="I1078" s="152"/>
      <c r="J1078" s="151"/>
      <c r="K1078" s="34" t="s">
        <v>10</v>
      </c>
      <c r="L1078" s="39"/>
      <c r="M1078" s="39"/>
      <c r="N1078" s="39">
        <v>44586</v>
      </c>
      <c r="O1078" s="38">
        <v>3852</v>
      </c>
      <c r="P1078" s="15"/>
      <c r="Q1078" s="483"/>
      <c r="S1078" s="489"/>
      <c r="T1078" s="113"/>
      <c r="U1078" s="506"/>
      <c r="V1078" s="494">
        <v>90</v>
      </c>
    </row>
    <row r="1079" spans="1:23" s="7" customFormat="1" ht="15.75">
      <c r="A1079" s="1"/>
      <c r="B1079" s="12" t="s">
        <v>1858</v>
      </c>
      <c r="C1079" s="6" t="s">
        <v>2263</v>
      </c>
      <c r="D1079" s="15" t="s">
        <v>2292</v>
      </c>
      <c r="E1079" s="24" t="s">
        <v>536</v>
      </c>
      <c r="F1079" s="150">
        <v>160</v>
      </c>
      <c r="G1079" s="24" t="s">
        <v>114</v>
      </c>
      <c r="H1079" s="67">
        <v>50</v>
      </c>
      <c r="I1079" s="68">
        <v>1</v>
      </c>
      <c r="J1079" s="67">
        <f>H1079*I1079</f>
        <v>50</v>
      </c>
      <c r="K1079" s="25">
        <v>4.45</v>
      </c>
      <c r="L1079" s="46">
        <f>K1079*J1079</f>
        <v>222.5</v>
      </c>
      <c r="M1079" s="162" t="s">
        <v>2218</v>
      </c>
      <c r="N1079" s="39">
        <v>44586</v>
      </c>
      <c r="O1079" s="38">
        <v>3852</v>
      </c>
      <c r="P1079" s="46">
        <f>K1079*(VLOOKUP(B1079,$C$2:$F$6,3,FALSE))</f>
        <v>4.1829999999999998</v>
      </c>
      <c r="Q1079" s="483">
        <v>4.18</v>
      </c>
      <c r="S1079" s="532">
        <v>320</v>
      </c>
      <c r="T1079" s="567">
        <f>S1079*J1079</f>
        <v>16000</v>
      </c>
      <c r="U1079" s="501"/>
      <c r="V1079" s="494">
        <v>90</v>
      </c>
    </row>
    <row r="1080" spans="1:23" ht="15.95" customHeight="1">
      <c r="C1080" s="6" t="s">
        <v>2263</v>
      </c>
      <c r="D1080" s="15" t="s">
        <v>2292</v>
      </c>
      <c r="E1080" s="24"/>
      <c r="F1080" s="138"/>
      <c r="G1080" s="44" t="s">
        <v>1993</v>
      </c>
      <c r="H1080" s="8"/>
      <c r="I1080" s="41"/>
      <c r="J1080" s="45">
        <v>1</v>
      </c>
      <c r="K1080" s="46">
        <v>20</v>
      </c>
      <c r="L1080" s="46">
        <f>K1080*J1080</f>
        <v>20</v>
      </c>
      <c r="M1080" s="112"/>
      <c r="N1080" s="39">
        <v>44586</v>
      </c>
      <c r="O1080" s="38">
        <v>3852</v>
      </c>
      <c r="P1080" s="179"/>
      <c r="Q1080" s="483">
        <v>20</v>
      </c>
      <c r="S1080" s="489">
        <v>1800</v>
      </c>
      <c r="T1080" s="567">
        <f>S1080*J1080</f>
        <v>1800</v>
      </c>
      <c r="U1080" s="511"/>
      <c r="V1080" s="494">
        <v>90</v>
      </c>
    </row>
    <row r="1081" spans="1:23" s="314" customFormat="1" ht="15">
      <c r="A1081" s="1"/>
      <c r="B1081" s="313"/>
      <c r="C1081" s="302" t="s">
        <v>2263</v>
      </c>
      <c r="D1081" s="303" t="s">
        <v>2292</v>
      </c>
      <c r="E1081" s="304"/>
      <c r="F1081" s="305"/>
      <c r="G1081" s="305" t="s">
        <v>1227</v>
      </c>
      <c r="H1081" s="307" t="s">
        <v>1243</v>
      </c>
      <c r="I1081" s="308"/>
      <c r="J1081" s="306"/>
      <c r="K1081" s="329">
        <v>72</v>
      </c>
      <c r="L1081" s="310"/>
      <c r="M1081" s="310"/>
      <c r="N1081" s="310">
        <v>44586</v>
      </c>
      <c r="O1081" s="309">
        <v>3852</v>
      </c>
      <c r="P1081" s="685"/>
      <c r="Q1081" s="686">
        <v>72</v>
      </c>
      <c r="R1081" s="683"/>
      <c r="S1081" s="705">
        <v>6425</v>
      </c>
      <c r="T1081" s="690">
        <v>6425</v>
      </c>
      <c r="U1081" s="688"/>
      <c r="V1081" s="689">
        <v>90</v>
      </c>
    </row>
    <row r="1082" spans="1:23" ht="18" customHeight="1">
      <c r="C1082" s="6" t="s">
        <v>2277</v>
      </c>
      <c r="D1082" s="15" t="s">
        <v>2242</v>
      </c>
      <c r="E1082" s="20" t="s">
        <v>2243</v>
      </c>
      <c r="F1082" s="44"/>
      <c r="G1082" s="44"/>
      <c r="H1082" s="151"/>
      <c r="I1082" s="151"/>
      <c r="J1082" s="151"/>
      <c r="K1082" s="34" t="s">
        <v>134</v>
      </c>
      <c r="L1082" s="39"/>
      <c r="M1082" s="39"/>
      <c r="N1082" s="39">
        <v>44595</v>
      </c>
      <c r="O1082" s="38">
        <v>3820</v>
      </c>
      <c r="P1082" s="6"/>
      <c r="Q1082" s="524"/>
      <c r="S1082" s="489"/>
      <c r="T1082" s="113"/>
      <c r="U1082" s="501"/>
      <c r="V1082" s="494">
        <v>90</v>
      </c>
    </row>
    <row r="1083" spans="1:23" ht="18" customHeight="1">
      <c r="B1083" s="28" t="s">
        <v>1856</v>
      </c>
      <c r="C1083" s="6" t="s">
        <v>2277</v>
      </c>
      <c r="D1083" s="15" t="s">
        <v>2242</v>
      </c>
      <c r="E1083" s="24">
        <v>3806</v>
      </c>
      <c r="F1083" s="44">
        <v>38</v>
      </c>
      <c r="G1083" s="24" t="s">
        <v>338</v>
      </c>
      <c r="H1083" s="151">
        <v>30</v>
      </c>
      <c r="I1083" s="152">
        <v>1</v>
      </c>
      <c r="J1083" s="67">
        <f>H1083*I1083</f>
        <v>30</v>
      </c>
      <c r="K1083" s="46">
        <v>0.73</v>
      </c>
      <c r="L1083" s="46">
        <f>K1083*J1083</f>
        <v>21.9</v>
      </c>
      <c r="M1083" s="162" t="s">
        <v>2219</v>
      </c>
      <c r="N1083" s="39">
        <v>44595</v>
      </c>
      <c r="O1083" s="38">
        <v>3820</v>
      </c>
      <c r="P1083" s="46">
        <f>K1083*(VLOOKUP(B1083,$C$2:$F$6,3,FALSE))</f>
        <v>0.64239999999999997</v>
      </c>
      <c r="Q1083" s="482">
        <v>0.64</v>
      </c>
      <c r="R1083" s="704">
        <f>Q1083*J1083</f>
        <v>19.2</v>
      </c>
      <c r="S1083" s="489">
        <v>36.6</v>
      </c>
      <c r="T1083" s="113">
        <f>S1083*J1083</f>
        <v>1098</v>
      </c>
      <c r="U1083" s="532" t="s">
        <v>2295</v>
      </c>
      <c r="V1083" s="494">
        <v>90</v>
      </c>
    </row>
    <row r="1084" spans="1:23" ht="18" customHeight="1">
      <c r="B1084" s="28" t="s">
        <v>1856</v>
      </c>
      <c r="C1084" s="6" t="s">
        <v>2277</v>
      </c>
      <c r="D1084" s="15" t="s">
        <v>2242</v>
      </c>
      <c r="E1084" s="24">
        <v>3806</v>
      </c>
      <c r="F1084" s="44">
        <v>38</v>
      </c>
      <c r="G1084" s="24" t="s">
        <v>338</v>
      </c>
      <c r="H1084" s="151">
        <v>30</v>
      </c>
      <c r="I1084" s="152">
        <v>5</v>
      </c>
      <c r="J1084" s="67">
        <f>H1084*I1084</f>
        <v>150</v>
      </c>
      <c r="K1084" s="46">
        <v>0.73</v>
      </c>
      <c r="L1084" s="46">
        <f>K1084*J1084</f>
        <v>109.5</v>
      </c>
      <c r="M1084" s="162" t="s">
        <v>2219</v>
      </c>
      <c r="N1084" s="39">
        <v>44595</v>
      </c>
      <c r="O1084" s="38">
        <v>3820</v>
      </c>
      <c r="P1084" s="46">
        <f>K1084*(VLOOKUP(B1084,$C$2:$F$6,3,FALSE))</f>
        <v>0.64239999999999997</v>
      </c>
      <c r="Q1084" s="482">
        <v>0.64</v>
      </c>
      <c r="R1084" s="704">
        <f>Q1084*J1084</f>
        <v>96</v>
      </c>
      <c r="S1084" s="489">
        <v>36.6</v>
      </c>
      <c r="T1084" s="113">
        <f>S1084*J1084</f>
        <v>5490</v>
      </c>
      <c r="U1084" s="507"/>
      <c r="V1084" s="494">
        <v>90</v>
      </c>
    </row>
    <row r="1085" spans="1:23" s="7" customFormat="1" ht="15.95" customHeight="1">
      <c r="A1085" s="1"/>
      <c r="B1085" s="12"/>
      <c r="C1085" s="6" t="s">
        <v>2277</v>
      </c>
      <c r="D1085" s="15" t="s">
        <v>2242</v>
      </c>
      <c r="E1085" s="24"/>
      <c r="F1085" s="138"/>
      <c r="G1085" s="44" t="s">
        <v>1993</v>
      </c>
      <c r="H1085" s="8"/>
      <c r="I1085" s="41"/>
      <c r="J1085" s="45">
        <v>1</v>
      </c>
      <c r="K1085" s="46">
        <v>12</v>
      </c>
      <c r="L1085" s="46">
        <f>K1085*J1085</f>
        <v>12</v>
      </c>
      <c r="M1085" s="39"/>
      <c r="N1085" s="39">
        <v>44595</v>
      </c>
      <c r="O1085" s="38">
        <v>3820</v>
      </c>
      <c r="P1085" s="6"/>
      <c r="Q1085" s="483">
        <v>12</v>
      </c>
      <c r="R1085" s="704">
        <f>Q1085*J1085</f>
        <v>12</v>
      </c>
      <c r="S1085" s="489">
        <v>0</v>
      </c>
      <c r="T1085" s="113">
        <f>S1085*J1085</f>
        <v>0</v>
      </c>
      <c r="U1085" s="501"/>
      <c r="V1085" s="494">
        <v>90</v>
      </c>
    </row>
    <row r="1086" spans="1:23" s="314" customFormat="1" ht="15" customHeight="1">
      <c r="A1086" s="1"/>
      <c r="B1086" s="313"/>
      <c r="C1086" s="302" t="s">
        <v>2277</v>
      </c>
      <c r="D1086" s="303" t="s">
        <v>2242</v>
      </c>
      <c r="E1086" s="304"/>
      <c r="F1086" s="305"/>
      <c r="G1086" s="691" t="s">
        <v>2244</v>
      </c>
      <c r="H1086" s="307" t="s">
        <v>1228</v>
      </c>
      <c r="I1086" s="308"/>
      <c r="J1086" s="306"/>
      <c r="K1086" s="315">
        <v>0</v>
      </c>
      <c r="L1086" s="310"/>
      <c r="M1086" s="310"/>
      <c r="N1086" s="310">
        <v>44595</v>
      </c>
      <c r="O1086" s="309">
        <v>3820</v>
      </c>
      <c r="P1086" s="302"/>
      <c r="Q1086" s="485">
        <v>0</v>
      </c>
      <c r="R1086" s="704">
        <f>Q1086*J1086</f>
        <v>0</v>
      </c>
      <c r="S1086" s="536">
        <v>0</v>
      </c>
      <c r="T1086" s="322">
        <v>0</v>
      </c>
      <c r="U1086" s="515"/>
      <c r="V1086" s="494">
        <v>90</v>
      </c>
    </row>
    <row r="1087" spans="1:23" ht="18" customHeight="1">
      <c r="C1087" s="6" t="s">
        <v>2269</v>
      </c>
      <c r="D1087" s="15" t="s">
        <v>1931</v>
      </c>
      <c r="E1087" s="20" t="s">
        <v>260</v>
      </c>
      <c r="F1087" s="44"/>
      <c r="G1087" s="44"/>
      <c r="H1087" s="151"/>
      <c r="I1087" s="151"/>
      <c r="J1087" s="151"/>
      <c r="K1087" s="34" t="s">
        <v>134</v>
      </c>
      <c r="L1087" s="39"/>
      <c r="M1087" s="39"/>
      <c r="N1087" s="39">
        <v>44589</v>
      </c>
      <c r="O1087" s="38">
        <v>3854</v>
      </c>
      <c r="P1087" s="6"/>
      <c r="Q1087" s="524"/>
      <c r="S1087" s="489"/>
      <c r="T1087" s="113"/>
      <c r="U1087" s="501"/>
      <c r="V1087" s="494">
        <v>90</v>
      </c>
    </row>
    <row r="1088" spans="1:23" ht="18" customHeight="1">
      <c r="B1088" s="28" t="s">
        <v>1856</v>
      </c>
      <c r="C1088" s="6" t="s">
        <v>2269</v>
      </c>
      <c r="D1088" s="15" t="s">
        <v>1931</v>
      </c>
      <c r="E1088" s="24">
        <v>4141</v>
      </c>
      <c r="F1088" s="44">
        <v>6</v>
      </c>
      <c r="G1088" s="24" t="s">
        <v>2270</v>
      </c>
      <c r="H1088" s="151"/>
      <c r="I1088" s="152"/>
      <c r="J1088" s="67">
        <v>5</v>
      </c>
      <c r="K1088" s="46">
        <v>2.94</v>
      </c>
      <c r="L1088" s="46">
        <f>K1088*J1088</f>
        <v>14.7</v>
      </c>
      <c r="M1088" s="162" t="s">
        <v>2219</v>
      </c>
      <c r="N1088" s="39">
        <v>44589</v>
      </c>
      <c r="O1088" s="38">
        <v>3854</v>
      </c>
      <c r="P1088" s="46">
        <f>K1088*(VLOOKUP(B1088,$C$2:$F$6,3,FALSE))</f>
        <v>2.5872000000000002</v>
      </c>
      <c r="Q1088" s="482">
        <v>2.59</v>
      </c>
      <c r="R1088" s="704">
        <f>Q1088*J1088</f>
        <v>12.95</v>
      </c>
      <c r="S1088" s="489">
        <v>119</v>
      </c>
      <c r="T1088" s="113">
        <f>S1088*J1088</f>
        <v>595</v>
      </c>
      <c r="U1088" s="1599" t="s">
        <v>2272</v>
      </c>
      <c r="V1088" s="494">
        <v>90</v>
      </c>
    </row>
    <row r="1089" spans="1:22" ht="18" customHeight="1">
      <c r="B1089" s="28" t="s">
        <v>1856</v>
      </c>
      <c r="C1089" s="6" t="s">
        <v>2269</v>
      </c>
      <c r="D1089" s="15" t="s">
        <v>1931</v>
      </c>
      <c r="E1089" s="24">
        <v>4141</v>
      </c>
      <c r="F1089" s="698">
        <v>7</v>
      </c>
      <c r="G1089" s="24" t="s">
        <v>2270</v>
      </c>
      <c r="H1089" s="151"/>
      <c r="I1089" s="152"/>
      <c r="J1089" s="67">
        <v>5</v>
      </c>
      <c r="K1089" s="46">
        <v>3.78</v>
      </c>
      <c r="L1089" s="46">
        <f>K1089*J1089</f>
        <v>18.899999999999999</v>
      </c>
      <c r="M1089" s="162" t="s">
        <v>2219</v>
      </c>
      <c r="N1089" s="39">
        <v>44589</v>
      </c>
      <c r="O1089" s="38">
        <v>3854</v>
      </c>
      <c r="P1089" s="46">
        <f>K1089*(VLOOKUP(B1089,$C$2:$F$6,3,FALSE))</f>
        <v>3.3264</v>
      </c>
      <c r="Q1089" s="482">
        <v>3.33</v>
      </c>
      <c r="R1089" s="704">
        <f>Q1089*J1089</f>
        <v>16.649999999999999</v>
      </c>
      <c r="S1089" s="489">
        <v>153</v>
      </c>
      <c r="T1089" s="113">
        <f>S1089*J1089</f>
        <v>765</v>
      </c>
      <c r="U1089" s="699" t="s">
        <v>2273</v>
      </c>
      <c r="V1089" s="494">
        <v>90</v>
      </c>
    </row>
    <row r="1090" spans="1:22" ht="18" customHeight="1">
      <c r="C1090" s="6" t="s">
        <v>2269</v>
      </c>
      <c r="D1090" s="15" t="s">
        <v>1931</v>
      </c>
      <c r="E1090" s="20" t="s">
        <v>2271</v>
      </c>
      <c r="F1090" s="44"/>
      <c r="G1090" s="44"/>
      <c r="H1090" s="151"/>
      <c r="I1090" s="151"/>
      <c r="J1090" s="151"/>
      <c r="K1090" s="34" t="s">
        <v>134</v>
      </c>
      <c r="L1090" s="39"/>
      <c r="M1090" s="39"/>
      <c r="N1090" s="39">
        <v>44589</v>
      </c>
      <c r="O1090" s="38">
        <v>3854</v>
      </c>
      <c r="P1090" s="6"/>
      <c r="Q1090" s="524"/>
      <c r="R1090" s="704"/>
      <c r="S1090" s="489"/>
      <c r="T1090" s="113"/>
      <c r="U1090" s="501"/>
      <c r="V1090" s="494">
        <v>90</v>
      </c>
    </row>
    <row r="1091" spans="1:22" ht="18" customHeight="1">
      <c r="B1091" s="28" t="s">
        <v>1856</v>
      </c>
      <c r="C1091" s="6" t="s">
        <v>2269</v>
      </c>
      <c r="D1091" s="15" t="s">
        <v>1931</v>
      </c>
      <c r="E1091" s="24">
        <v>4142</v>
      </c>
      <c r="F1091" s="44">
        <v>9</v>
      </c>
      <c r="G1091" s="24" t="s">
        <v>2270</v>
      </c>
      <c r="H1091" s="151"/>
      <c r="I1091" s="152"/>
      <c r="J1091" s="67">
        <v>5</v>
      </c>
      <c r="K1091" s="46">
        <v>3.56</v>
      </c>
      <c r="L1091" s="46">
        <f>K1091*J1091</f>
        <v>17.8</v>
      </c>
      <c r="M1091" s="162" t="s">
        <v>2219</v>
      </c>
      <c r="N1091" s="39">
        <v>44589</v>
      </c>
      <c r="O1091" s="38">
        <v>3854</v>
      </c>
      <c r="P1091" s="46">
        <f>K1091*(VLOOKUP(B1091,$C$2:$F$6,3,FALSE))</f>
        <v>3.1328</v>
      </c>
      <c r="Q1091" s="482">
        <v>3.13</v>
      </c>
      <c r="R1091" s="704">
        <f>Q1091*J1091</f>
        <v>15.649999999999999</v>
      </c>
      <c r="S1091" s="489">
        <v>144</v>
      </c>
      <c r="T1091" s="113">
        <f>S1091*J1091</f>
        <v>720</v>
      </c>
      <c r="U1091" s="699" t="s">
        <v>2274</v>
      </c>
      <c r="V1091" s="494">
        <v>90</v>
      </c>
    </row>
    <row r="1092" spans="1:22" ht="18" customHeight="1">
      <c r="B1092" s="28" t="s">
        <v>1856</v>
      </c>
      <c r="C1092" s="6" t="s">
        <v>2269</v>
      </c>
      <c r="D1092" s="15" t="s">
        <v>1931</v>
      </c>
      <c r="E1092" s="24">
        <v>4142</v>
      </c>
      <c r="F1092" s="698">
        <v>9</v>
      </c>
      <c r="G1092" s="24" t="s">
        <v>2270</v>
      </c>
      <c r="H1092" s="151"/>
      <c r="I1092" s="152"/>
      <c r="J1092" s="67">
        <v>5</v>
      </c>
      <c r="K1092" s="46">
        <v>4.82</v>
      </c>
      <c r="L1092" s="46">
        <f>K1092*J1092</f>
        <v>24.1</v>
      </c>
      <c r="M1092" s="162" t="s">
        <v>2219</v>
      </c>
      <c r="N1092" s="39">
        <v>44589</v>
      </c>
      <c r="O1092" s="38">
        <v>3854</v>
      </c>
      <c r="P1092" s="46">
        <f>K1092*(VLOOKUP(B1092,$C$2:$F$6,3,FALSE))</f>
        <v>4.2416</v>
      </c>
      <c r="Q1092" s="482">
        <v>4.24</v>
      </c>
      <c r="R1092" s="704">
        <f>Q1092*J1092</f>
        <v>21.200000000000003</v>
      </c>
      <c r="S1092" s="489">
        <v>195</v>
      </c>
      <c r="T1092" s="113">
        <f>S1092*J1092</f>
        <v>975</v>
      </c>
      <c r="U1092" s="699" t="s">
        <v>2275</v>
      </c>
      <c r="V1092" s="494">
        <v>90</v>
      </c>
    </row>
    <row r="1093" spans="1:22" s="7" customFormat="1" ht="15.95" customHeight="1">
      <c r="A1093" s="1"/>
      <c r="B1093" s="12"/>
      <c r="C1093" s="6" t="s">
        <v>2269</v>
      </c>
      <c r="D1093" s="15" t="s">
        <v>1931</v>
      </c>
      <c r="E1093" s="24"/>
      <c r="F1093" s="138"/>
      <c r="G1093" s="44" t="s">
        <v>1993</v>
      </c>
      <c r="H1093" s="8"/>
      <c r="I1093" s="41"/>
      <c r="J1093" s="45">
        <v>1</v>
      </c>
      <c r="K1093" s="46">
        <v>12</v>
      </c>
      <c r="L1093" s="46">
        <f>K1093*J1093</f>
        <v>12</v>
      </c>
      <c r="M1093" s="39"/>
      <c r="N1093" s="39">
        <v>44589</v>
      </c>
      <c r="O1093" s="38">
        <v>3854</v>
      </c>
      <c r="P1093" s="6"/>
      <c r="Q1093" s="483">
        <v>12</v>
      </c>
      <c r="R1093" s="704">
        <f>Q1093*J1093</f>
        <v>12</v>
      </c>
      <c r="S1093" s="489">
        <v>1000</v>
      </c>
      <c r="T1093" s="113">
        <f>S1093*J1093</f>
        <v>1000</v>
      </c>
      <c r="U1093" s="501"/>
      <c r="V1093" s="494">
        <v>90</v>
      </c>
    </row>
    <row r="1094" spans="1:22" s="314" customFormat="1" ht="15" customHeight="1">
      <c r="A1094" s="1"/>
      <c r="B1094" s="313"/>
      <c r="C1094" s="302" t="s">
        <v>2269</v>
      </c>
      <c r="D1094" s="303" t="s">
        <v>1931</v>
      </c>
      <c r="E1094" s="304"/>
      <c r="F1094" s="305"/>
      <c r="G1094" s="691" t="s">
        <v>2244</v>
      </c>
      <c r="H1094" s="307" t="s">
        <v>1228</v>
      </c>
      <c r="I1094" s="308"/>
      <c r="J1094" s="306"/>
      <c r="K1094" s="315">
        <v>0</v>
      </c>
      <c r="L1094" s="310"/>
      <c r="M1094" s="310"/>
      <c r="N1094" s="310">
        <v>44589</v>
      </c>
      <c r="O1094" s="309">
        <v>3854</v>
      </c>
      <c r="P1094" s="302"/>
      <c r="Q1094" s="485">
        <v>0</v>
      </c>
      <c r="R1094" s="704"/>
      <c r="S1094" s="536">
        <v>0</v>
      </c>
      <c r="T1094" s="322">
        <v>0</v>
      </c>
      <c r="U1094" s="515"/>
      <c r="V1094" s="494">
        <v>90</v>
      </c>
    </row>
    <row r="1095" spans="1:22" ht="15">
      <c r="C1095" s="6" t="s">
        <v>2278</v>
      </c>
      <c r="D1095" s="15" t="s">
        <v>11</v>
      </c>
      <c r="E1095" s="20" t="s">
        <v>79</v>
      </c>
      <c r="F1095" s="150"/>
      <c r="G1095" s="24"/>
      <c r="H1095" s="151"/>
      <c r="I1095" s="152"/>
      <c r="J1095" s="151"/>
      <c r="K1095" s="153" t="s">
        <v>10</v>
      </c>
      <c r="L1095" s="39"/>
      <c r="M1095" s="39"/>
      <c r="N1095" s="39">
        <v>44589</v>
      </c>
      <c r="O1095" s="38">
        <v>3871</v>
      </c>
      <c r="P1095" s="15"/>
      <c r="Q1095" s="483"/>
      <c r="S1095" s="496"/>
      <c r="T1095" s="113"/>
      <c r="V1095" s="494">
        <v>90</v>
      </c>
    </row>
    <row r="1096" spans="1:22" ht="15.75">
      <c r="B1096" s="12" t="s">
        <v>1858</v>
      </c>
      <c r="C1096" s="6" t="s">
        <v>2278</v>
      </c>
      <c r="D1096" s="15" t="s">
        <v>11</v>
      </c>
      <c r="E1096" s="24">
        <v>2440</v>
      </c>
      <c r="F1096" s="150">
        <v>140</v>
      </c>
      <c r="G1096" s="24" t="s">
        <v>862</v>
      </c>
      <c r="H1096" s="67">
        <v>58</v>
      </c>
      <c r="I1096" s="68">
        <v>11</v>
      </c>
      <c r="J1096" s="67">
        <f>H1096*I1096</f>
        <v>638</v>
      </c>
      <c r="K1096" s="46">
        <v>3.34</v>
      </c>
      <c r="L1096" s="46">
        <f>K1096*J1096</f>
        <v>2130.92</v>
      </c>
      <c r="M1096" s="162" t="s">
        <v>2219</v>
      </c>
      <c r="N1096" s="39">
        <v>44589</v>
      </c>
      <c r="O1096" s="38">
        <v>3871</v>
      </c>
      <c r="P1096" s="46">
        <f>K1096*(VLOOKUP(B1096,$C$2:$F$6,3,FALSE))</f>
        <v>3.1395999999999997</v>
      </c>
      <c r="Q1096" s="483">
        <v>3.14</v>
      </c>
      <c r="S1096" s="532">
        <v>240</v>
      </c>
      <c r="T1096" s="567">
        <f>S1096*J1096</f>
        <v>153120</v>
      </c>
      <c r="V1096" s="494">
        <v>90</v>
      </c>
    </row>
    <row r="1097" spans="1:22" ht="15.75">
      <c r="B1097" s="12" t="s">
        <v>1858</v>
      </c>
      <c r="C1097" s="6" t="s">
        <v>2278</v>
      </c>
      <c r="D1097" s="15" t="s">
        <v>11</v>
      </c>
      <c r="E1097" s="24">
        <v>2440</v>
      </c>
      <c r="F1097" s="150">
        <v>140</v>
      </c>
      <c r="G1097" s="24" t="s">
        <v>2279</v>
      </c>
      <c r="H1097" s="67">
        <v>58</v>
      </c>
      <c r="I1097" s="68">
        <v>1</v>
      </c>
      <c r="J1097" s="67">
        <f>H1097*I1097</f>
        <v>58</v>
      </c>
      <c r="K1097" s="46">
        <v>3.34</v>
      </c>
      <c r="L1097" s="46">
        <f>K1097*J1097</f>
        <v>193.72</v>
      </c>
      <c r="M1097" s="162" t="s">
        <v>2219</v>
      </c>
      <c r="N1097" s="39">
        <v>44589</v>
      </c>
      <c r="O1097" s="38">
        <v>3871</v>
      </c>
      <c r="P1097" s="46">
        <f>K1097*(VLOOKUP(B1097,$C$2:$F$6,3,FALSE))</f>
        <v>3.1395999999999997</v>
      </c>
      <c r="Q1097" s="483">
        <v>3.14</v>
      </c>
      <c r="S1097" s="532">
        <v>240</v>
      </c>
      <c r="T1097" s="567">
        <f>S1097*J1097</f>
        <v>13920</v>
      </c>
      <c r="V1097" s="494">
        <v>90</v>
      </c>
    </row>
    <row r="1098" spans="1:22" ht="15">
      <c r="C1098" s="6" t="s">
        <v>2278</v>
      </c>
      <c r="D1098" s="15" t="s">
        <v>11</v>
      </c>
      <c r="E1098" s="228"/>
      <c r="F1098" s="160"/>
      <c r="G1098" s="228" t="s">
        <v>481</v>
      </c>
      <c r="H1098" s="214"/>
      <c r="I1098" s="215"/>
      <c r="J1098" s="43">
        <v>1</v>
      </c>
      <c r="K1098" s="229">
        <v>20</v>
      </c>
      <c r="L1098" s="417" t="s">
        <v>1676</v>
      </c>
      <c r="M1098" s="417"/>
      <c r="N1098" s="39">
        <v>44589</v>
      </c>
      <c r="O1098" s="38">
        <v>3871</v>
      </c>
      <c r="P1098" s="216"/>
      <c r="Q1098" s="525">
        <v>0</v>
      </c>
      <c r="S1098" s="532">
        <v>1800</v>
      </c>
      <c r="T1098" s="567">
        <f>S1098*J1098</f>
        <v>1800</v>
      </c>
      <c r="V1098" s="494">
        <v>90</v>
      </c>
    </row>
    <row r="1099" spans="1:22" s="314" customFormat="1" ht="15">
      <c r="A1099" s="1"/>
      <c r="B1099" s="313"/>
      <c r="C1099" s="302" t="s">
        <v>2278</v>
      </c>
      <c r="D1099" s="303" t="s">
        <v>11</v>
      </c>
      <c r="E1099" s="304"/>
      <c r="F1099" s="305"/>
      <c r="G1099" s="305" t="s">
        <v>1227</v>
      </c>
      <c r="H1099" s="307" t="s">
        <v>1228</v>
      </c>
      <c r="I1099" s="308"/>
      <c r="J1099" s="306"/>
      <c r="K1099" s="315">
        <v>0</v>
      </c>
      <c r="L1099" s="310"/>
      <c r="M1099" s="310"/>
      <c r="N1099" s="310">
        <v>44589</v>
      </c>
      <c r="O1099" s="309">
        <v>3871</v>
      </c>
      <c r="P1099" s="302"/>
      <c r="Q1099" s="485">
        <v>0</v>
      </c>
      <c r="S1099" s="535">
        <v>0</v>
      </c>
      <c r="T1099" s="322">
        <v>0</v>
      </c>
      <c r="U1099" s="515"/>
      <c r="V1099" s="494">
        <v>90</v>
      </c>
    </row>
    <row r="1100" spans="1:22" ht="18" customHeight="1">
      <c r="C1100" s="6" t="s">
        <v>2280</v>
      </c>
      <c r="D1100" s="15" t="s">
        <v>892</v>
      </c>
      <c r="E1100" s="20" t="s">
        <v>2243</v>
      </c>
      <c r="F1100" s="44"/>
      <c r="G1100" s="44"/>
      <c r="H1100" s="151"/>
      <c r="I1100" s="151"/>
      <c r="J1100" s="151"/>
      <c r="K1100" s="34" t="s">
        <v>134</v>
      </c>
      <c r="L1100" s="39"/>
      <c r="M1100" s="39"/>
      <c r="N1100" s="39">
        <v>44589</v>
      </c>
      <c r="O1100" s="38">
        <v>3873</v>
      </c>
      <c r="P1100" s="6"/>
      <c r="Q1100" s="524"/>
      <c r="S1100" s="707" t="s">
        <v>2297</v>
      </c>
      <c r="T1100" s="113"/>
      <c r="U1100" s="706"/>
      <c r="V1100" s="494">
        <v>90</v>
      </c>
    </row>
    <row r="1101" spans="1:22" ht="18" customHeight="1">
      <c r="B1101" s="28" t="s">
        <v>1856</v>
      </c>
      <c r="C1101" s="6" t="s">
        <v>2280</v>
      </c>
      <c r="D1101" s="15" t="s">
        <v>892</v>
      </c>
      <c r="E1101" s="24">
        <v>3806</v>
      </c>
      <c r="F1101" s="44">
        <v>19</v>
      </c>
      <c r="G1101" s="24" t="s">
        <v>336</v>
      </c>
      <c r="H1101" s="151">
        <v>30</v>
      </c>
      <c r="I1101" s="152">
        <v>1</v>
      </c>
      <c r="J1101" s="67">
        <f t="shared" ref="J1101:J1108" si="49">H1101*I1101</f>
        <v>30</v>
      </c>
      <c r="K1101" s="46">
        <v>0.36</v>
      </c>
      <c r="L1101" s="46">
        <f t="shared" ref="L1101:L1109" si="50">K1101*J1101</f>
        <v>10.799999999999999</v>
      </c>
      <c r="M1101" s="162" t="s">
        <v>2218</v>
      </c>
      <c r="N1101" s="39">
        <v>44589</v>
      </c>
      <c r="O1101" s="38">
        <v>3873</v>
      </c>
      <c r="P1101" s="46">
        <f t="shared" ref="P1101:P1108" si="51">K1101*(VLOOKUP(B1101,$C$2:$F$6,3,FALSE))</f>
        <v>0.31679999999999997</v>
      </c>
      <c r="Q1101" s="482">
        <v>0.32</v>
      </c>
      <c r="R1101" s="704">
        <f t="shared" ref="R1101:R1109" si="52">Q1101*J1101</f>
        <v>9.6</v>
      </c>
      <c r="S1101" s="489">
        <v>18.03</v>
      </c>
      <c r="T1101" s="113">
        <f t="shared" ref="T1101:T1109" si="53">S1101*J1101</f>
        <v>540.90000000000009</v>
      </c>
      <c r="U1101" s="532" t="s">
        <v>2293</v>
      </c>
      <c r="V1101" s="494">
        <v>90</v>
      </c>
    </row>
    <row r="1102" spans="1:22" ht="18" customHeight="1">
      <c r="B1102" s="28" t="s">
        <v>1856</v>
      </c>
      <c r="C1102" s="6" t="s">
        <v>2280</v>
      </c>
      <c r="D1102" s="15" t="s">
        <v>892</v>
      </c>
      <c r="E1102" s="24">
        <v>3806</v>
      </c>
      <c r="F1102" s="44">
        <v>25</v>
      </c>
      <c r="G1102" s="24" t="s">
        <v>336</v>
      </c>
      <c r="H1102" s="151">
        <v>30</v>
      </c>
      <c r="I1102" s="152">
        <v>1</v>
      </c>
      <c r="J1102" s="67">
        <f t="shared" si="49"/>
        <v>30</v>
      </c>
      <c r="K1102" s="46">
        <v>0.44</v>
      </c>
      <c r="L1102" s="46">
        <f t="shared" si="50"/>
        <v>13.2</v>
      </c>
      <c r="M1102" s="162" t="s">
        <v>2219</v>
      </c>
      <c r="N1102" s="39">
        <v>44589</v>
      </c>
      <c r="O1102" s="38">
        <v>3873</v>
      </c>
      <c r="P1102" s="46">
        <f t="shared" si="51"/>
        <v>0.38719999999999999</v>
      </c>
      <c r="Q1102" s="482">
        <v>0.39</v>
      </c>
      <c r="R1102" s="704">
        <f t="shared" si="52"/>
        <v>11.700000000000001</v>
      </c>
      <c r="S1102" s="489">
        <v>21.87</v>
      </c>
      <c r="T1102" s="113">
        <f t="shared" si="53"/>
        <v>656.1</v>
      </c>
      <c r="U1102" s="532" t="s">
        <v>2294</v>
      </c>
      <c r="V1102" s="494">
        <v>90</v>
      </c>
    </row>
    <row r="1103" spans="1:22" ht="18" customHeight="1">
      <c r="B1103" s="28" t="s">
        <v>1856</v>
      </c>
      <c r="C1103" s="6" t="s">
        <v>2280</v>
      </c>
      <c r="D1103" s="15" t="s">
        <v>892</v>
      </c>
      <c r="E1103" s="24">
        <v>3806</v>
      </c>
      <c r="F1103" s="44">
        <v>38</v>
      </c>
      <c r="G1103" s="24" t="s">
        <v>336</v>
      </c>
      <c r="H1103" s="151">
        <v>30</v>
      </c>
      <c r="I1103" s="152">
        <v>1</v>
      </c>
      <c r="J1103" s="67">
        <f t="shared" si="49"/>
        <v>30</v>
      </c>
      <c r="K1103" s="46">
        <v>0.73</v>
      </c>
      <c r="L1103" s="46">
        <f t="shared" si="50"/>
        <v>21.9</v>
      </c>
      <c r="M1103" s="162" t="s">
        <v>2218</v>
      </c>
      <c r="N1103" s="39">
        <v>44589</v>
      </c>
      <c r="O1103" s="38">
        <v>3873</v>
      </c>
      <c r="P1103" s="46">
        <f t="shared" si="51"/>
        <v>0.64239999999999997</v>
      </c>
      <c r="Q1103" s="482">
        <v>0.64</v>
      </c>
      <c r="R1103" s="704">
        <f t="shared" si="52"/>
        <v>19.2</v>
      </c>
      <c r="S1103" s="489">
        <v>36.6</v>
      </c>
      <c r="T1103" s="113">
        <f t="shared" si="53"/>
        <v>1098</v>
      </c>
      <c r="U1103" s="532" t="s">
        <v>2295</v>
      </c>
      <c r="V1103" s="494">
        <v>90</v>
      </c>
    </row>
    <row r="1104" spans="1:22" ht="18" customHeight="1">
      <c r="B1104" s="28" t="s">
        <v>1856</v>
      </c>
      <c r="C1104" s="6" t="s">
        <v>2280</v>
      </c>
      <c r="D1104" s="15" t="s">
        <v>892</v>
      </c>
      <c r="E1104" s="24">
        <v>3806</v>
      </c>
      <c r="F1104" s="44">
        <v>19</v>
      </c>
      <c r="G1104" s="24" t="s">
        <v>338</v>
      </c>
      <c r="H1104" s="151">
        <v>30</v>
      </c>
      <c r="I1104" s="152">
        <v>1</v>
      </c>
      <c r="J1104" s="67">
        <f t="shared" si="49"/>
        <v>30</v>
      </c>
      <c r="K1104" s="46">
        <v>0.36</v>
      </c>
      <c r="L1104" s="46">
        <f t="shared" si="50"/>
        <v>10.799999999999999</v>
      </c>
      <c r="M1104" s="162" t="s">
        <v>2219</v>
      </c>
      <c r="N1104" s="39">
        <v>44589</v>
      </c>
      <c r="O1104" s="38">
        <v>3873</v>
      </c>
      <c r="P1104" s="46">
        <f t="shared" si="51"/>
        <v>0.31679999999999997</v>
      </c>
      <c r="Q1104" s="482">
        <v>0.32</v>
      </c>
      <c r="R1104" s="704">
        <f t="shared" si="52"/>
        <v>9.6</v>
      </c>
      <c r="S1104" s="489">
        <v>18.03</v>
      </c>
      <c r="T1104" s="113">
        <f t="shared" si="53"/>
        <v>540.90000000000009</v>
      </c>
      <c r="U1104" s="532" t="s">
        <v>2293</v>
      </c>
      <c r="V1104" s="494">
        <v>90</v>
      </c>
    </row>
    <row r="1105" spans="1:22" ht="18" customHeight="1">
      <c r="B1105" s="28" t="s">
        <v>1856</v>
      </c>
      <c r="C1105" s="6" t="s">
        <v>2280</v>
      </c>
      <c r="D1105" s="15" t="s">
        <v>892</v>
      </c>
      <c r="E1105" s="24">
        <v>3806</v>
      </c>
      <c r="F1105" s="44">
        <v>25</v>
      </c>
      <c r="G1105" s="24" t="s">
        <v>338</v>
      </c>
      <c r="H1105" s="151">
        <v>30</v>
      </c>
      <c r="I1105" s="152">
        <v>1</v>
      </c>
      <c r="J1105" s="67">
        <f t="shared" si="49"/>
        <v>30</v>
      </c>
      <c r="K1105" s="46">
        <v>0.44</v>
      </c>
      <c r="L1105" s="46">
        <f t="shared" si="50"/>
        <v>13.2</v>
      </c>
      <c r="M1105" s="162" t="s">
        <v>2219</v>
      </c>
      <c r="N1105" s="39">
        <v>44589</v>
      </c>
      <c r="O1105" s="38">
        <v>3873</v>
      </c>
      <c r="P1105" s="46">
        <f t="shared" si="51"/>
        <v>0.38719999999999999</v>
      </c>
      <c r="Q1105" s="482">
        <v>0.39</v>
      </c>
      <c r="R1105" s="704">
        <f t="shared" si="52"/>
        <v>11.700000000000001</v>
      </c>
      <c r="S1105" s="489">
        <v>21.87</v>
      </c>
      <c r="T1105" s="113">
        <f t="shared" si="53"/>
        <v>656.1</v>
      </c>
      <c r="U1105" s="532" t="s">
        <v>2296</v>
      </c>
      <c r="V1105" s="494">
        <v>90</v>
      </c>
    </row>
    <row r="1106" spans="1:22" ht="18" customHeight="1">
      <c r="B1106" s="28" t="s">
        <v>1856</v>
      </c>
      <c r="C1106" s="6" t="s">
        <v>2280</v>
      </c>
      <c r="D1106" s="15" t="s">
        <v>892</v>
      </c>
      <c r="E1106" s="24">
        <v>3806</v>
      </c>
      <c r="F1106" s="44">
        <v>19</v>
      </c>
      <c r="G1106" s="24" t="s">
        <v>1766</v>
      </c>
      <c r="H1106" s="151">
        <v>30</v>
      </c>
      <c r="I1106" s="152">
        <v>1</v>
      </c>
      <c r="J1106" s="67">
        <f t="shared" si="49"/>
        <v>30</v>
      </c>
      <c r="K1106" s="46">
        <v>0.36</v>
      </c>
      <c r="L1106" s="46">
        <f t="shared" si="50"/>
        <v>10.799999999999999</v>
      </c>
      <c r="M1106" s="162" t="s">
        <v>2218</v>
      </c>
      <c r="N1106" s="39">
        <v>44589</v>
      </c>
      <c r="O1106" s="38">
        <v>3873</v>
      </c>
      <c r="P1106" s="46">
        <f t="shared" si="51"/>
        <v>0.31679999999999997</v>
      </c>
      <c r="Q1106" s="482">
        <v>0.32</v>
      </c>
      <c r="R1106" s="704">
        <f t="shared" si="52"/>
        <v>9.6</v>
      </c>
      <c r="S1106" s="489">
        <v>18.03</v>
      </c>
      <c r="T1106" s="113">
        <f t="shared" si="53"/>
        <v>540.90000000000009</v>
      </c>
      <c r="U1106" s="532" t="s">
        <v>2293</v>
      </c>
      <c r="V1106" s="494">
        <v>90</v>
      </c>
    </row>
    <row r="1107" spans="1:22" ht="18" customHeight="1">
      <c r="B1107" s="28" t="s">
        <v>1856</v>
      </c>
      <c r="C1107" s="6" t="s">
        <v>2280</v>
      </c>
      <c r="D1107" s="15" t="s">
        <v>892</v>
      </c>
      <c r="E1107" s="24">
        <v>3806</v>
      </c>
      <c r="F1107" s="44">
        <v>25</v>
      </c>
      <c r="G1107" s="24" t="s">
        <v>1766</v>
      </c>
      <c r="H1107" s="151">
        <v>30</v>
      </c>
      <c r="I1107" s="152">
        <v>1</v>
      </c>
      <c r="J1107" s="67">
        <f t="shared" si="49"/>
        <v>30</v>
      </c>
      <c r="K1107" s="46">
        <v>0.44</v>
      </c>
      <c r="L1107" s="46">
        <f t="shared" si="50"/>
        <v>13.2</v>
      </c>
      <c r="M1107" s="162" t="s">
        <v>2219</v>
      </c>
      <c r="N1107" s="39">
        <v>44589</v>
      </c>
      <c r="O1107" s="38">
        <v>3873</v>
      </c>
      <c r="P1107" s="46">
        <f t="shared" si="51"/>
        <v>0.38719999999999999</v>
      </c>
      <c r="Q1107" s="482">
        <v>0.39</v>
      </c>
      <c r="R1107" s="704">
        <f t="shared" si="52"/>
        <v>11.700000000000001</v>
      </c>
      <c r="S1107" s="489">
        <v>21.87</v>
      </c>
      <c r="T1107" s="113">
        <f t="shared" si="53"/>
        <v>656.1</v>
      </c>
      <c r="U1107" s="532" t="s">
        <v>2296</v>
      </c>
      <c r="V1107" s="494">
        <v>90</v>
      </c>
    </row>
    <row r="1108" spans="1:22" ht="18" customHeight="1">
      <c r="B1108" s="28" t="s">
        <v>1856</v>
      </c>
      <c r="C1108" s="6" t="s">
        <v>2280</v>
      </c>
      <c r="D1108" s="15" t="s">
        <v>892</v>
      </c>
      <c r="E1108" s="24">
        <v>3806</v>
      </c>
      <c r="F1108" s="44">
        <v>38</v>
      </c>
      <c r="G1108" s="24" t="s">
        <v>1766</v>
      </c>
      <c r="H1108" s="151">
        <v>30</v>
      </c>
      <c r="I1108" s="152">
        <v>1</v>
      </c>
      <c r="J1108" s="67">
        <f t="shared" si="49"/>
        <v>30</v>
      </c>
      <c r="K1108" s="46">
        <v>0.73</v>
      </c>
      <c r="L1108" s="46">
        <f t="shared" si="50"/>
        <v>21.9</v>
      </c>
      <c r="M1108" s="162" t="s">
        <v>2219</v>
      </c>
      <c r="N1108" s="39">
        <v>44589</v>
      </c>
      <c r="O1108" s="38">
        <v>3873</v>
      </c>
      <c r="P1108" s="46">
        <f t="shared" si="51"/>
        <v>0.64239999999999997</v>
      </c>
      <c r="Q1108" s="482">
        <v>0.64</v>
      </c>
      <c r="R1108" s="704">
        <f t="shared" si="52"/>
        <v>19.2</v>
      </c>
      <c r="S1108" s="489">
        <v>36.6</v>
      </c>
      <c r="T1108" s="113">
        <f t="shared" si="53"/>
        <v>1098</v>
      </c>
      <c r="U1108" s="532" t="s">
        <v>2295</v>
      </c>
      <c r="V1108" s="494">
        <v>90</v>
      </c>
    </row>
    <row r="1109" spans="1:22" s="7" customFormat="1" ht="15.95" customHeight="1">
      <c r="A1109" s="1"/>
      <c r="B1109" s="12"/>
      <c r="C1109" s="6" t="s">
        <v>2280</v>
      </c>
      <c r="D1109" s="15" t="s">
        <v>892</v>
      </c>
      <c r="E1109" s="24"/>
      <c r="F1109" s="138"/>
      <c r="G1109" s="44" t="s">
        <v>1993</v>
      </c>
      <c r="H1109" s="8"/>
      <c r="I1109" s="41"/>
      <c r="J1109" s="45">
        <v>1</v>
      </c>
      <c r="K1109" s="46">
        <v>12</v>
      </c>
      <c r="L1109" s="46">
        <f t="shared" si="50"/>
        <v>12</v>
      </c>
      <c r="M1109" s="39"/>
      <c r="N1109" s="39">
        <v>44589</v>
      </c>
      <c r="O1109" s="38">
        <v>3873</v>
      </c>
      <c r="P1109" s="6"/>
      <c r="Q1109" s="483">
        <v>12</v>
      </c>
      <c r="R1109" s="704">
        <f t="shared" si="52"/>
        <v>12</v>
      </c>
      <c r="S1109" s="489">
        <v>0</v>
      </c>
      <c r="T1109" s="113">
        <f t="shared" si="53"/>
        <v>0</v>
      </c>
      <c r="U1109" s="501"/>
      <c r="V1109" s="494">
        <v>90</v>
      </c>
    </row>
    <row r="1110" spans="1:22" s="314" customFormat="1" ht="15" customHeight="1">
      <c r="A1110" s="1"/>
      <c r="B1110" s="313"/>
      <c r="C1110" s="302" t="s">
        <v>2280</v>
      </c>
      <c r="D1110" s="303" t="s">
        <v>892</v>
      </c>
      <c r="E1110" s="304"/>
      <c r="F1110" s="305"/>
      <c r="G1110" s="691" t="s">
        <v>1227</v>
      </c>
      <c r="H1110" s="307" t="s">
        <v>1228</v>
      </c>
      <c r="I1110" s="308"/>
      <c r="J1110" s="306"/>
      <c r="K1110" s="315">
        <v>0</v>
      </c>
      <c r="L1110" s="310"/>
      <c r="M1110" s="310"/>
      <c r="N1110" s="310">
        <v>44589</v>
      </c>
      <c r="O1110" s="309">
        <v>3873</v>
      </c>
      <c r="P1110" s="302"/>
      <c r="Q1110" s="485">
        <v>0</v>
      </c>
      <c r="S1110" s="536">
        <v>0</v>
      </c>
      <c r="T1110" s="322">
        <v>0</v>
      </c>
      <c r="U1110" s="515"/>
      <c r="V1110" s="494">
        <v>90</v>
      </c>
    </row>
    <row r="1111" spans="1:22" s="7" customFormat="1" ht="18" customHeight="1">
      <c r="A1111" s="1"/>
      <c r="B1111" s="12"/>
      <c r="C1111" s="6" t="s">
        <v>2284</v>
      </c>
      <c r="D1111" s="15" t="s">
        <v>2285</v>
      </c>
      <c r="E1111" s="18" t="s">
        <v>2283</v>
      </c>
      <c r="F1111" s="700"/>
      <c r="G1111" s="640"/>
      <c r="H1111" s="641"/>
      <c r="I1111" s="701"/>
      <c r="J1111" s="702"/>
      <c r="K1111" s="153" t="s">
        <v>10</v>
      </c>
      <c r="L1111" s="219"/>
      <c r="M1111" s="11"/>
      <c r="N1111" s="39">
        <v>44594</v>
      </c>
      <c r="O1111" s="38">
        <v>3878</v>
      </c>
      <c r="P1111" s="6"/>
      <c r="Q1111" s="703"/>
      <c r="U1111" s="46"/>
      <c r="V1111" s="494">
        <v>90</v>
      </c>
    </row>
    <row r="1112" spans="1:22" ht="18" customHeight="1">
      <c r="B1112" s="28" t="s">
        <v>1856</v>
      </c>
      <c r="C1112" s="6" t="s">
        <v>2284</v>
      </c>
      <c r="D1112" s="15" t="s">
        <v>2285</v>
      </c>
      <c r="E1112" s="24" t="s">
        <v>2286</v>
      </c>
      <c r="F1112" s="44">
        <v>9</v>
      </c>
      <c r="G1112" s="24" t="s">
        <v>2302</v>
      </c>
      <c r="H1112" s="151">
        <v>10</v>
      </c>
      <c r="I1112" s="152">
        <v>2</v>
      </c>
      <c r="J1112" s="67">
        <f>H1112*I1112</f>
        <v>20</v>
      </c>
      <c r="K1112" s="46">
        <v>2.64</v>
      </c>
      <c r="L1112" s="46">
        <f>K1112*J1112</f>
        <v>52.800000000000004</v>
      </c>
      <c r="M1112" s="162" t="s">
        <v>2219</v>
      </c>
      <c r="N1112" s="39">
        <v>44594</v>
      </c>
      <c r="O1112" s="38">
        <v>3878</v>
      </c>
      <c r="P1112" s="46">
        <f>K1112*(VLOOKUP(B1112,$C$2:$F$6,3,FALSE))</f>
        <v>2.3231999999999999</v>
      </c>
      <c r="Q1112" s="482">
        <v>2.3199999999999998</v>
      </c>
      <c r="R1112" s="704">
        <f>Q1112*J1112</f>
        <v>46.4</v>
      </c>
      <c r="S1112" s="489">
        <v>142.5</v>
      </c>
      <c r="T1112" s="113">
        <f>S1112*J1112</f>
        <v>2850</v>
      </c>
      <c r="U1112" s="507"/>
      <c r="V1112" s="494">
        <v>90</v>
      </c>
    </row>
    <row r="1113" spans="1:22" s="7" customFormat="1" ht="15.95" customHeight="1">
      <c r="A1113" s="1"/>
      <c r="B1113" s="12"/>
      <c r="C1113" s="6" t="s">
        <v>2284</v>
      </c>
      <c r="D1113" s="15" t="s">
        <v>2285</v>
      </c>
      <c r="E1113" s="24"/>
      <c r="F1113" s="138"/>
      <c r="G1113" s="44" t="s">
        <v>1993</v>
      </c>
      <c r="H1113" s="8"/>
      <c r="I1113" s="41"/>
      <c r="J1113" s="45">
        <v>1</v>
      </c>
      <c r="K1113" s="46">
        <v>12</v>
      </c>
      <c r="L1113" s="46">
        <f>K1113*J1113</f>
        <v>12</v>
      </c>
      <c r="M1113" s="39"/>
      <c r="N1113" s="39">
        <v>44594</v>
      </c>
      <c r="O1113" s="38">
        <v>3878</v>
      </c>
      <c r="P1113" s="6"/>
      <c r="Q1113" s="483">
        <v>12</v>
      </c>
      <c r="R1113" s="704">
        <f>Q1113*J1113</f>
        <v>12</v>
      </c>
      <c r="S1113" s="489">
        <v>1000</v>
      </c>
      <c r="T1113" s="113">
        <f>S1113*J1113</f>
        <v>1000</v>
      </c>
      <c r="U1113" s="501"/>
      <c r="V1113" s="494">
        <v>90</v>
      </c>
    </row>
    <row r="1114" spans="1:22" s="314" customFormat="1" ht="15">
      <c r="A1114" s="1"/>
      <c r="B1114" s="313"/>
      <c r="C1114" s="302" t="s">
        <v>2284</v>
      </c>
      <c r="D1114" s="303" t="s">
        <v>2285</v>
      </c>
      <c r="E1114" s="304"/>
      <c r="F1114" s="305"/>
      <c r="G1114" s="305" t="s">
        <v>1227</v>
      </c>
      <c r="H1114" s="307" t="s">
        <v>1228</v>
      </c>
      <c r="I1114" s="308"/>
      <c r="J1114" s="306"/>
      <c r="K1114" s="315">
        <v>0</v>
      </c>
      <c r="L1114" s="310"/>
      <c r="M1114" s="310"/>
      <c r="N1114" s="310">
        <v>44594</v>
      </c>
      <c r="O1114" s="309">
        <v>3878</v>
      </c>
      <c r="P1114" s="302"/>
      <c r="Q1114" s="485">
        <v>0</v>
      </c>
      <c r="S1114" s="536">
        <v>0</v>
      </c>
      <c r="T1114" s="322">
        <v>0</v>
      </c>
      <c r="U1114" s="515"/>
      <c r="V1114" s="494">
        <v>90</v>
      </c>
    </row>
    <row r="1115" spans="1:22" s="7" customFormat="1" ht="18" customHeight="1">
      <c r="A1115" s="1"/>
      <c r="B1115" s="12"/>
      <c r="C1115" s="6" t="s">
        <v>2305</v>
      </c>
      <c r="D1115" s="15" t="s">
        <v>892</v>
      </c>
      <c r="E1115" s="7" t="s">
        <v>2306</v>
      </c>
      <c r="F1115" s="700"/>
      <c r="G1115" s="640"/>
      <c r="H1115" s="641"/>
      <c r="I1115" s="701"/>
      <c r="J1115" s="702"/>
      <c r="K1115" s="153" t="s">
        <v>10</v>
      </c>
      <c r="L1115" s="219"/>
      <c r="M1115" s="11"/>
      <c r="N1115" s="39">
        <v>44600</v>
      </c>
      <c r="O1115" s="38">
        <v>3890</v>
      </c>
      <c r="P1115" s="6"/>
      <c r="Q1115" s="703"/>
      <c r="U1115" s="46"/>
      <c r="V1115" s="494">
        <v>90</v>
      </c>
    </row>
    <row r="1116" spans="1:22" ht="18" customHeight="1">
      <c r="B1116" s="28" t="s">
        <v>1856</v>
      </c>
      <c r="C1116" s="6" t="s">
        <v>2305</v>
      </c>
      <c r="D1116" s="15" t="s">
        <v>892</v>
      </c>
      <c r="E1116" s="24" t="s">
        <v>18</v>
      </c>
      <c r="F1116" s="44">
        <v>30</v>
      </c>
      <c r="G1116" s="24" t="s">
        <v>137</v>
      </c>
      <c r="H1116" s="151">
        <v>30</v>
      </c>
      <c r="I1116" s="152">
        <v>1</v>
      </c>
      <c r="J1116" s="67">
        <f>H1116*I1116</f>
        <v>30</v>
      </c>
      <c r="K1116" s="46">
        <v>4.26</v>
      </c>
      <c r="L1116" s="46">
        <f>K1116*J1116</f>
        <v>127.8</v>
      </c>
      <c r="M1116" s="162" t="s">
        <v>2219</v>
      </c>
      <c r="N1116" s="39">
        <v>44600</v>
      </c>
      <c r="O1116" s="38">
        <v>3890</v>
      </c>
      <c r="P1116" s="46">
        <f>K1116*(VLOOKUP(B1116,$C$2:$F$6,3,FALSE))</f>
        <v>3.7487999999999997</v>
      </c>
      <c r="Q1116" s="482">
        <v>3.75</v>
      </c>
      <c r="R1116" s="704">
        <f>Q1116*J1116</f>
        <v>112.5</v>
      </c>
      <c r="S1116" s="489">
        <v>230</v>
      </c>
      <c r="T1116" s="113">
        <f>S1116*J1116</f>
        <v>6900</v>
      </c>
      <c r="U1116" s="507"/>
      <c r="V1116" s="494">
        <v>90</v>
      </c>
    </row>
    <row r="1117" spans="1:22" s="7" customFormat="1" ht="15.95" customHeight="1">
      <c r="A1117" s="1"/>
      <c r="B1117" s="12"/>
      <c r="C1117" s="6" t="s">
        <v>2305</v>
      </c>
      <c r="D1117" s="15" t="s">
        <v>892</v>
      </c>
      <c r="E1117" s="24"/>
      <c r="F1117" s="138"/>
      <c r="G1117" s="44" t="s">
        <v>1993</v>
      </c>
      <c r="H1117" s="8"/>
      <c r="I1117" s="41"/>
      <c r="J1117" s="45">
        <v>1</v>
      </c>
      <c r="K1117" s="46">
        <v>12</v>
      </c>
      <c r="L1117" s="46">
        <f>K1117*J1117</f>
        <v>12</v>
      </c>
      <c r="M1117" s="39"/>
      <c r="N1117" s="39">
        <v>44600</v>
      </c>
      <c r="O1117" s="38">
        <v>3890</v>
      </c>
      <c r="P1117" s="6"/>
      <c r="Q1117" s="483">
        <v>12</v>
      </c>
      <c r="R1117" s="704">
        <f>Q1117*J1117</f>
        <v>12</v>
      </c>
      <c r="S1117" s="489">
        <v>1000</v>
      </c>
      <c r="T1117" s="113">
        <f>S1117*J1117</f>
        <v>1000</v>
      </c>
      <c r="U1117" s="501"/>
      <c r="V1117" s="494">
        <v>90</v>
      </c>
    </row>
    <row r="1118" spans="1:22" s="314" customFormat="1" ht="15">
      <c r="A1118" s="1"/>
      <c r="B1118" s="313"/>
      <c r="C1118" s="302" t="s">
        <v>2305</v>
      </c>
      <c r="D1118" s="303" t="s">
        <v>892</v>
      </c>
      <c r="E1118" s="304"/>
      <c r="F1118" s="305"/>
      <c r="G1118" s="305" t="s">
        <v>1227</v>
      </c>
      <c r="H1118" s="307" t="s">
        <v>1228</v>
      </c>
      <c r="I1118" s="308"/>
      <c r="J1118" s="306"/>
      <c r="K1118" s="315">
        <v>0</v>
      </c>
      <c r="L1118" s="310"/>
      <c r="M1118" s="310"/>
      <c r="N1118" s="310">
        <v>44600</v>
      </c>
      <c r="O1118" s="309">
        <v>3890</v>
      </c>
      <c r="P1118" s="302"/>
      <c r="Q1118" s="485">
        <v>0</v>
      </c>
      <c r="S1118" s="536">
        <v>0</v>
      </c>
      <c r="T1118" s="322">
        <v>0</v>
      </c>
      <c r="U1118" s="515"/>
      <c r="V1118" s="494">
        <v>90</v>
      </c>
    </row>
    <row r="1119" spans="1:22" ht="18" customHeight="1">
      <c r="C1119" s="4" t="s">
        <v>2307</v>
      </c>
      <c r="D1119" s="15" t="s">
        <v>892</v>
      </c>
      <c r="E1119" s="20" t="s">
        <v>1468</v>
      </c>
      <c r="F1119" s="44"/>
      <c r="G1119" s="44"/>
      <c r="H1119" s="151"/>
      <c r="I1119" s="151"/>
      <c r="J1119" s="151"/>
      <c r="K1119" s="34" t="s">
        <v>134</v>
      </c>
      <c r="L1119" s="39"/>
      <c r="M1119" s="39"/>
      <c r="N1119" s="39">
        <v>44617</v>
      </c>
      <c r="O1119" s="38">
        <v>3933</v>
      </c>
      <c r="P1119" s="6"/>
      <c r="Q1119" s="524"/>
      <c r="S1119" s="489"/>
      <c r="T1119" s="113"/>
      <c r="U1119" s="501"/>
      <c r="V1119" s="494">
        <v>90</v>
      </c>
    </row>
    <row r="1120" spans="1:22" ht="18" customHeight="1">
      <c r="B1120" s="28" t="s">
        <v>1856</v>
      </c>
      <c r="C1120" s="4" t="s">
        <v>2307</v>
      </c>
      <c r="D1120" s="15" t="s">
        <v>892</v>
      </c>
      <c r="E1120" s="20" t="s">
        <v>1461</v>
      </c>
      <c r="F1120" s="44">
        <v>7</v>
      </c>
      <c r="G1120" s="24" t="s">
        <v>2298</v>
      </c>
      <c r="H1120" s="151">
        <v>25</v>
      </c>
      <c r="I1120" s="152">
        <v>12</v>
      </c>
      <c r="J1120" s="67">
        <f>H1120*I1120</f>
        <v>300</v>
      </c>
      <c r="K1120" s="46">
        <v>3.08</v>
      </c>
      <c r="L1120" s="46">
        <f>K1120*J1120</f>
        <v>924</v>
      </c>
      <c r="M1120" s="162" t="s">
        <v>2219</v>
      </c>
      <c r="N1120" s="39">
        <v>44617</v>
      </c>
      <c r="O1120" s="38">
        <v>3933</v>
      </c>
      <c r="P1120" s="46">
        <f>K1120*(VLOOKUP(B1120,$C$2:$F$6,3,FALSE))</f>
        <v>2.7103999999999999</v>
      </c>
      <c r="Q1120" s="482">
        <v>2.71</v>
      </c>
      <c r="R1120" s="704">
        <f>Q1120*J1120</f>
        <v>813</v>
      </c>
      <c r="S1120" s="489">
        <v>166</v>
      </c>
      <c r="T1120" s="113">
        <f>S1120*J1120</f>
        <v>49800</v>
      </c>
      <c r="U1120" s="507"/>
      <c r="V1120" s="494">
        <v>90</v>
      </c>
    </row>
    <row r="1121" spans="1:22" ht="18" customHeight="1">
      <c r="B1121" s="28" t="s">
        <v>1856</v>
      </c>
      <c r="C1121" s="4" t="s">
        <v>2307</v>
      </c>
      <c r="D1121" s="15" t="s">
        <v>892</v>
      </c>
      <c r="E1121" s="20" t="s">
        <v>1461</v>
      </c>
      <c r="F1121" s="44">
        <v>7</v>
      </c>
      <c r="G1121" s="24" t="s">
        <v>2299</v>
      </c>
      <c r="H1121" s="151">
        <v>25</v>
      </c>
      <c r="I1121" s="152">
        <v>12</v>
      </c>
      <c r="J1121" s="67">
        <f>H1121*I1121</f>
        <v>300</v>
      </c>
      <c r="K1121" s="46">
        <v>3.08</v>
      </c>
      <c r="L1121" s="46">
        <f>K1121*J1121</f>
        <v>924</v>
      </c>
      <c r="M1121" s="162" t="s">
        <v>2219</v>
      </c>
      <c r="N1121" s="39">
        <v>44617</v>
      </c>
      <c r="O1121" s="38">
        <v>3933</v>
      </c>
      <c r="P1121" s="46">
        <f>K1121*(VLOOKUP(B1121,$C$2:$F$6,3,FALSE))</f>
        <v>2.7103999999999999</v>
      </c>
      <c r="Q1121" s="482">
        <v>2.71</v>
      </c>
      <c r="R1121" s="704">
        <f>Q1121*J1121</f>
        <v>813</v>
      </c>
      <c r="S1121" s="489">
        <v>166</v>
      </c>
      <c r="T1121" s="113">
        <f>S1121*J1121</f>
        <v>49800</v>
      </c>
      <c r="U1121" s="507"/>
      <c r="V1121" s="494">
        <v>90</v>
      </c>
    </row>
    <row r="1122" spans="1:22" ht="18" customHeight="1">
      <c r="B1122" s="28" t="s">
        <v>1856</v>
      </c>
      <c r="C1122" s="4" t="s">
        <v>2307</v>
      </c>
      <c r="D1122" s="15" t="s">
        <v>892</v>
      </c>
      <c r="E1122" s="20" t="s">
        <v>1461</v>
      </c>
      <c r="F1122" s="44">
        <v>7</v>
      </c>
      <c r="G1122" s="24" t="s">
        <v>2300</v>
      </c>
      <c r="H1122" s="151">
        <v>25</v>
      </c>
      <c r="I1122" s="152">
        <v>23</v>
      </c>
      <c r="J1122" s="67">
        <f>H1122*I1122</f>
        <v>575</v>
      </c>
      <c r="K1122" s="46">
        <v>3.08</v>
      </c>
      <c r="L1122" s="46">
        <f>K1122*J1122</f>
        <v>1771</v>
      </c>
      <c r="M1122" s="162" t="s">
        <v>2219</v>
      </c>
      <c r="N1122" s="39">
        <v>44617</v>
      </c>
      <c r="O1122" s="38">
        <v>3933</v>
      </c>
      <c r="P1122" s="46">
        <f>K1122*(VLOOKUP(B1122,$C$2:$F$6,3,FALSE))</f>
        <v>2.7103999999999999</v>
      </c>
      <c r="Q1122" s="482">
        <v>2.71</v>
      </c>
      <c r="R1122" s="704">
        <f>Q1122*J1122</f>
        <v>1558.25</v>
      </c>
      <c r="S1122" s="489">
        <v>166</v>
      </c>
      <c r="T1122" s="113">
        <f>S1122*J1122</f>
        <v>95450</v>
      </c>
      <c r="U1122" s="507"/>
      <c r="V1122" s="494">
        <v>90</v>
      </c>
    </row>
    <row r="1123" spans="1:22" ht="18" customHeight="1">
      <c r="B1123" s="28" t="s">
        <v>1856</v>
      </c>
      <c r="C1123" s="4" t="s">
        <v>2307</v>
      </c>
      <c r="D1123" s="15" t="s">
        <v>892</v>
      </c>
      <c r="E1123" s="20" t="s">
        <v>1461</v>
      </c>
      <c r="F1123" s="44">
        <v>7</v>
      </c>
      <c r="G1123" s="24" t="s">
        <v>2301</v>
      </c>
      <c r="H1123" s="151">
        <v>25</v>
      </c>
      <c r="I1123" s="152">
        <v>23</v>
      </c>
      <c r="J1123" s="67">
        <f>H1123*I1123</f>
        <v>575</v>
      </c>
      <c r="K1123" s="46">
        <v>3.08</v>
      </c>
      <c r="L1123" s="46">
        <f>K1123*J1123</f>
        <v>1771</v>
      </c>
      <c r="M1123" s="162" t="s">
        <v>2219</v>
      </c>
      <c r="N1123" s="39">
        <v>44617</v>
      </c>
      <c r="O1123" s="38">
        <v>3933</v>
      </c>
      <c r="P1123" s="46">
        <f>K1123*(VLOOKUP(B1123,$C$2:$F$6,3,FALSE))</f>
        <v>2.7103999999999999</v>
      </c>
      <c r="Q1123" s="482">
        <v>2.71</v>
      </c>
      <c r="R1123" s="704">
        <f>Q1123*J1123</f>
        <v>1558.25</v>
      </c>
      <c r="S1123" s="489">
        <v>166</v>
      </c>
      <c r="T1123" s="113">
        <f>S1123*J1123</f>
        <v>95450</v>
      </c>
      <c r="U1123" s="507"/>
      <c r="V1123" s="494">
        <v>90</v>
      </c>
    </row>
    <row r="1124" spans="1:22" s="314" customFormat="1" ht="15" customHeight="1">
      <c r="A1124" s="1"/>
      <c r="B1124" s="313"/>
      <c r="C1124" s="710" t="s">
        <v>2307</v>
      </c>
      <c r="D1124" s="303" t="s">
        <v>892</v>
      </c>
      <c r="E1124" s="304"/>
      <c r="F1124" s="305"/>
      <c r="G1124" s="305" t="s">
        <v>1227</v>
      </c>
      <c r="H1124" s="307" t="s">
        <v>1228</v>
      </c>
      <c r="I1124" s="308"/>
      <c r="J1124" s="306"/>
      <c r="K1124" s="315">
        <v>0</v>
      </c>
      <c r="L1124" s="310"/>
      <c r="M1124" s="310"/>
      <c r="N1124" s="310">
        <v>44617</v>
      </c>
      <c r="O1124" s="309">
        <v>3933</v>
      </c>
      <c r="P1124" s="302"/>
      <c r="Q1124" s="485">
        <v>0</v>
      </c>
      <c r="S1124" s="536">
        <v>0</v>
      </c>
      <c r="T1124" s="322">
        <v>0</v>
      </c>
      <c r="U1124" s="515"/>
      <c r="V1124" s="494">
        <v>90</v>
      </c>
    </row>
    <row r="1125" spans="1:22" ht="15">
      <c r="C1125" s="6" t="s">
        <v>2308</v>
      </c>
      <c r="D1125" s="15" t="s">
        <v>2309</v>
      </c>
      <c r="E1125" s="20" t="s">
        <v>79</v>
      </c>
      <c r="F1125" s="150"/>
      <c r="G1125" s="24"/>
      <c r="H1125" s="151"/>
      <c r="I1125" s="152"/>
      <c r="J1125" s="151"/>
      <c r="K1125" s="153" t="s">
        <v>10</v>
      </c>
      <c r="L1125" s="39"/>
      <c r="M1125" s="39"/>
      <c r="N1125" s="39">
        <v>44606</v>
      </c>
      <c r="O1125" s="38">
        <v>3910</v>
      </c>
      <c r="P1125" s="15"/>
      <c r="Q1125" s="483"/>
      <c r="S1125" s="496"/>
      <c r="T1125" s="113"/>
      <c r="V1125" s="494">
        <v>90</v>
      </c>
    </row>
    <row r="1126" spans="1:22" ht="15.75">
      <c r="B1126" s="12" t="s">
        <v>1858</v>
      </c>
      <c r="C1126" s="6" t="s">
        <v>2308</v>
      </c>
      <c r="D1126" s="15" t="s">
        <v>2309</v>
      </c>
      <c r="E1126" s="24">
        <v>5081</v>
      </c>
      <c r="F1126" s="150">
        <v>140</v>
      </c>
      <c r="G1126" s="24" t="s">
        <v>708</v>
      </c>
      <c r="H1126" s="67">
        <v>10</v>
      </c>
      <c r="I1126" s="68">
        <v>1</v>
      </c>
      <c r="J1126" s="67">
        <f>H1126*I1126</f>
        <v>10</v>
      </c>
      <c r="K1126" s="46">
        <v>10</v>
      </c>
      <c r="L1126" s="46">
        <f>K1126*J1126</f>
        <v>100</v>
      </c>
      <c r="M1126" s="162" t="s">
        <v>2219</v>
      </c>
      <c r="N1126" s="39">
        <v>44606</v>
      </c>
      <c r="O1126" s="38">
        <v>3910</v>
      </c>
      <c r="P1126" s="46">
        <f>K1126*(VLOOKUP(B1126,$C$2:$F$6,3,FALSE))</f>
        <v>9.3999999999999986</v>
      </c>
      <c r="Q1126" s="483">
        <v>9.4</v>
      </c>
      <c r="R1126" s="704">
        <f>Q1126*J1126</f>
        <v>94</v>
      </c>
      <c r="S1126" s="532">
        <v>720</v>
      </c>
      <c r="T1126" s="567">
        <f>S1126*J1126</f>
        <v>7200</v>
      </c>
      <c r="V1126" s="494">
        <v>90</v>
      </c>
    </row>
    <row r="1127" spans="1:22" ht="15.75">
      <c r="B1127" s="12" t="s">
        <v>1858</v>
      </c>
      <c r="C1127" s="6" t="s">
        <v>2308</v>
      </c>
      <c r="D1127" s="15" t="s">
        <v>2309</v>
      </c>
      <c r="E1127" s="24">
        <v>5081</v>
      </c>
      <c r="F1127" s="150">
        <v>140</v>
      </c>
      <c r="G1127" s="24" t="s">
        <v>2310</v>
      </c>
      <c r="H1127" s="67">
        <v>12</v>
      </c>
      <c r="I1127" s="68">
        <v>1</v>
      </c>
      <c r="J1127" s="67">
        <f>H1127*I1127</f>
        <v>12</v>
      </c>
      <c r="K1127" s="46">
        <v>10</v>
      </c>
      <c r="L1127" s="46">
        <f>K1127*J1127</f>
        <v>120</v>
      </c>
      <c r="M1127" s="162" t="s">
        <v>2219</v>
      </c>
      <c r="N1127" s="39">
        <v>44606</v>
      </c>
      <c r="O1127" s="38">
        <v>3910</v>
      </c>
      <c r="P1127" s="46">
        <f>K1127*(VLOOKUP(B1127,$C$2:$F$6,3,FALSE))</f>
        <v>9.3999999999999986</v>
      </c>
      <c r="Q1127" s="483">
        <v>9.4</v>
      </c>
      <c r="R1127" s="704">
        <f>Q1127*J1127</f>
        <v>112.80000000000001</v>
      </c>
      <c r="S1127" s="532">
        <v>720</v>
      </c>
      <c r="T1127" s="567">
        <f>S1127*J1127</f>
        <v>8640</v>
      </c>
      <c r="V1127" s="494">
        <v>90</v>
      </c>
    </row>
    <row r="1128" spans="1:22" s="7" customFormat="1" ht="15.95" customHeight="1">
      <c r="A1128" s="1"/>
      <c r="B1128" s="12"/>
      <c r="C1128" s="6" t="s">
        <v>2308</v>
      </c>
      <c r="D1128" s="15" t="s">
        <v>2309</v>
      </c>
      <c r="E1128" s="24"/>
      <c r="F1128" s="138"/>
      <c r="G1128" s="44" t="s">
        <v>1075</v>
      </c>
      <c r="H1128" s="8"/>
      <c r="I1128" s="41"/>
      <c r="J1128" s="45">
        <v>2</v>
      </c>
      <c r="K1128" s="46">
        <v>15</v>
      </c>
      <c r="L1128" s="46">
        <f>K1128*J1128</f>
        <v>30</v>
      </c>
      <c r="M1128" s="39"/>
      <c r="N1128" s="39">
        <v>44606</v>
      </c>
      <c r="O1128" s="38">
        <v>3910</v>
      </c>
      <c r="P1128" s="6"/>
      <c r="Q1128" s="483">
        <v>12</v>
      </c>
      <c r="R1128" s="704">
        <f>Q1128*J1128</f>
        <v>24</v>
      </c>
      <c r="S1128" s="489">
        <v>1000</v>
      </c>
      <c r="T1128" s="113">
        <f>S1128*J1128</f>
        <v>2000</v>
      </c>
      <c r="U1128" s="501"/>
      <c r="V1128" s="494">
        <v>90</v>
      </c>
    </row>
    <row r="1129" spans="1:22" s="7" customFormat="1" ht="15.95" customHeight="1">
      <c r="A1129" s="1"/>
      <c r="B1129" s="12"/>
      <c r="C1129" s="6" t="s">
        <v>2308</v>
      </c>
      <c r="D1129" s="15" t="s">
        <v>2309</v>
      </c>
      <c r="E1129" s="24"/>
      <c r="F1129" s="138"/>
      <c r="G1129" s="44" t="s">
        <v>1993</v>
      </c>
      <c r="H1129" s="8"/>
      <c r="I1129" s="41"/>
      <c r="J1129" s="45">
        <v>1</v>
      </c>
      <c r="K1129" s="46">
        <v>20</v>
      </c>
      <c r="L1129" s="46">
        <f>K1129*J1129</f>
        <v>20</v>
      </c>
      <c r="M1129" s="39"/>
      <c r="N1129" s="39">
        <v>44606</v>
      </c>
      <c r="O1129" s="38">
        <v>3910</v>
      </c>
      <c r="P1129" s="6"/>
      <c r="Q1129" s="483">
        <v>20</v>
      </c>
      <c r="R1129" s="704">
        <f>Q1129*J1129</f>
        <v>20</v>
      </c>
      <c r="S1129" s="489">
        <v>1000</v>
      </c>
      <c r="T1129" s="113">
        <f>S1129*J1129</f>
        <v>1000</v>
      </c>
      <c r="U1129" s="501"/>
      <c r="V1129" s="494">
        <v>90</v>
      </c>
    </row>
    <row r="1130" spans="1:22" s="314" customFormat="1" ht="15">
      <c r="A1130" s="1"/>
      <c r="B1130" s="313"/>
      <c r="C1130" s="302" t="s">
        <v>2308</v>
      </c>
      <c r="D1130" s="303" t="s">
        <v>2309</v>
      </c>
      <c r="E1130" s="304"/>
      <c r="F1130" s="305"/>
      <c r="G1130" s="305" t="s">
        <v>1227</v>
      </c>
      <c r="H1130" s="307" t="s">
        <v>1243</v>
      </c>
      <c r="I1130" s="308"/>
      <c r="J1130" s="306"/>
      <c r="K1130" s="329">
        <v>99</v>
      </c>
      <c r="L1130" s="310"/>
      <c r="M1130" s="310"/>
      <c r="N1130" s="310">
        <v>44606</v>
      </c>
      <c r="O1130" s="309">
        <v>3910</v>
      </c>
      <c r="P1130" s="685"/>
      <c r="Q1130" s="686">
        <v>99</v>
      </c>
      <c r="R1130" s="704">
        <v>99</v>
      </c>
      <c r="S1130" s="718">
        <v>8909</v>
      </c>
      <c r="T1130" s="719">
        <v>8909</v>
      </c>
      <c r="U1130" s="688"/>
      <c r="V1130" s="689">
        <v>90</v>
      </c>
    </row>
    <row r="1131" spans="1:22" s="7" customFormat="1" ht="15" customHeight="1">
      <c r="A1131" s="1"/>
      <c r="B1131" s="12"/>
      <c r="C1131" s="6" t="s">
        <v>2321</v>
      </c>
      <c r="D1131" s="15" t="s">
        <v>11</v>
      </c>
      <c r="E1131" s="20" t="s">
        <v>27</v>
      </c>
      <c r="F1131" s="150"/>
      <c r="G1131" s="24"/>
      <c r="H1131" s="151"/>
      <c r="I1131" s="152"/>
      <c r="J1131" s="151"/>
      <c r="K1131" s="34" t="s">
        <v>10</v>
      </c>
      <c r="L1131" s="39"/>
      <c r="M1131" s="39"/>
      <c r="N1131" s="39">
        <v>44609</v>
      </c>
      <c r="O1131" s="38">
        <v>3923</v>
      </c>
      <c r="P1131" s="15"/>
      <c r="Q1131" s="483"/>
      <c r="S1131" s="489"/>
      <c r="T1131" s="113"/>
      <c r="U1131" s="506"/>
      <c r="V1131" s="494">
        <v>90</v>
      </c>
    </row>
    <row r="1132" spans="1:22" s="7" customFormat="1" ht="15.75">
      <c r="A1132" s="1"/>
      <c r="B1132" s="12" t="s">
        <v>1858</v>
      </c>
      <c r="C1132" s="6" t="s">
        <v>2321</v>
      </c>
      <c r="D1132" s="15" t="s">
        <v>11</v>
      </c>
      <c r="E1132" s="24" t="s">
        <v>536</v>
      </c>
      <c r="F1132" s="150">
        <v>160</v>
      </c>
      <c r="G1132" s="24" t="s">
        <v>77</v>
      </c>
      <c r="H1132" s="67">
        <v>50</v>
      </c>
      <c r="I1132" s="68">
        <v>1</v>
      </c>
      <c r="J1132" s="67">
        <f>H1132*I1132</f>
        <v>50</v>
      </c>
      <c r="K1132" s="25">
        <v>4.45</v>
      </c>
      <c r="L1132" s="46">
        <f>K1132*J1132</f>
        <v>222.5</v>
      </c>
      <c r="M1132" s="162" t="s">
        <v>2218</v>
      </c>
      <c r="N1132" s="39">
        <v>44609</v>
      </c>
      <c r="O1132" s="38">
        <v>3923</v>
      </c>
      <c r="P1132" s="46">
        <f>K1132*(VLOOKUP(B1132,$C$2:$F$6,3,FALSE))</f>
        <v>4.1829999999999998</v>
      </c>
      <c r="Q1132" s="483">
        <v>4.18</v>
      </c>
      <c r="R1132" s="704">
        <f>Q1132*J1132</f>
        <v>209</v>
      </c>
      <c r="S1132" s="532">
        <v>320</v>
      </c>
      <c r="T1132" s="113">
        <f>S1132*J1132</f>
        <v>16000</v>
      </c>
      <c r="U1132" s="501"/>
      <c r="V1132" s="494">
        <v>90</v>
      </c>
    </row>
    <row r="1133" spans="1:22" ht="15">
      <c r="C1133" s="6" t="s">
        <v>2321</v>
      </c>
      <c r="D1133" s="15" t="s">
        <v>11</v>
      </c>
      <c r="E1133" s="20" t="s">
        <v>79</v>
      </c>
      <c r="F1133" s="150"/>
      <c r="G1133" s="24"/>
      <c r="H1133" s="151"/>
      <c r="I1133" s="152"/>
      <c r="J1133" s="151"/>
      <c r="K1133" s="153" t="s">
        <v>10</v>
      </c>
      <c r="L1133" s="39"/>
      <c r="M1133" s="39"/>
      <c r="N1133" s="39">
        <v>44609</v>
      </c>
      <c r="O1133" s="38">
        <v>3923</v>
      </c>
      <c r="P1133" s="15"/>
      <c r="Q1133" s="483"/>
      <c r="S1133" s="496"/>
      <c r="T1133" s="113"/>
      <c r="V1133" s="494">
        <v>90</v>
      </c>
    </row>
    <row r="1134" spans="1:22" ht="15.75">
      <c r="B1134" s="12" t="s">
        <v>1858</v>
      </c>
      <c r="C1134" s="6" t="s">
        <v>2321</v>
      </c>
      <c r="D1134" s="15" t="s">
        <v>11</v>
      </c>
      <c r="E1134" s="24">
        <v>2440</v>
      </c>
      <c r="F1134" s="150">
        <v>140</v>
      </c>
      <c r="G1134" s="24" t="s">
        <v>1547</v>
      </c>
      <c r="H1134" s="67">
        <v>58</v>
      </c>
      <c r="I1134" s="68">
        <v>5</v>
      </c>
      <c r="J1134" s="67">
        <f>H1134*I1134</f>
        <v>290</v>
      </c>
      <c r="K1134" s="46">
        <v>3.34</v>
      </c>
      <c r="L1134" s="46">
        <f>K1134*J1134</f>
        <v>968.59999999999991</v>
      </c>
      <c r="M1134" s="162" t="s">
        <v>2219</v>
      </c>
      <c r="N1134" s="39">
        <v>44609</v>
      </c>
      <c r="O1134" s="38">
        <v>3923</v>
      </c>
      <c r="P1134" s="46">
        <f>K1134*(VLOOKUP(B1134,$C$2:$F$6,3,FALSE))</f>
        <v>3.1395999999999997</v>
      </c>
      <c r="Q1134" s="483">
        <v>3.14</v>
      </c>
      <c r="R1134" s="704">
        <f>Q1134*J1134</f>
        <v>910.6</v>
      </c>
      <c r="S1134" s="532">
        <v>240</v>
      </c>
      <c r="T1134" s="567">
        <f>S1134*J1134</f>
        <v>69600</v>
      </c>
      <c r="V1134" s="494">
        <v>90</v>
      </c>
    </row>
    <row r="1135" spans="1:22" ht="15.75">
      <c r="B1135" s="12" t="s">
        <v>1858</v>
      </c>
      <c r="C1135" s="6" t="s">
        <v>2321</v>
      </c>
      <c r="D1135" s="15" t="s">
        <v>11</v>
      </c>
      <c r="E1135" s="24">
        <v>2440</v>
      </c>
      <c r="F1135" s="150">
        <v>140</v>
      </c>
      <c r="G1135" s="24" t="s">
        <v>1922</v>
      </c>
      <c r="H1135" s="67">
        <v>58</v>
      </c>
      <c r="I1135" s="68">
        <v>3</v>
      </c>
      <c r="J1135" s="67">
        <f>H1135*I1135</f>
        <v>174</v>
      </c>
      <c r="K1135" s="46">
        <v>3.34</v>
      </c>
      <c r="L1135" s="46">
        <f>K1135*J1135</f>
        <v>581.16</v>
      </c>
      <c r="M1135" s="162" t="s">
        <v>2219</v>
      </c>
      <c r="N1135" s="39">
        <v>44609</v>
      </c>
      <c r="O1135" s="38">
        <v>3923</v>
      </c>
      <c r="P1135" s="46">
        <f>K1135*(VLOOKUP(B1135,$C$2:$F$6,3,FALSE))</f>
        <v>3.1395999999999997</v>
      </c>
      <c r="Q1135" s="483">
        <v>3.14</v>
      </c>
      <c r="R1135" s="704">
        <f>Q1135*J1135</f>
        <v>546.36</v>
      </c>
      <c r="S1135" s="532">
        <v>240</v>
      </c>
      <c r="T1135" s="567">
        <f>S1135*J1135</f>
        <v>41760</v>
      </c>
      <c r="V1135" s="494">
        <v>90</v>
      </c>
    </row>
    <row r="1136" spans="1:22" ht="15">
      <c r="C1136" s="6" t="s">
        <v>2321</v>
      </c>
      <c r="D1136" s="15" t="s">
        <v>11</v>
      </c>
      <c r="E1136" s="228"/>
      <c r="F1136" s="160"/>
      <c r="G1136" s="228" t="s">
        <v>481</v>
      </c>
      <c r="H1136" s="214"/>
      <c r="I1136" s="215"/>
      <c r="J1136" s="43">
        <v>1</v>
      </c>
      <c r="K1136" s="229">
        <v>20</v>
      </c>
      <c r="L1136" s="417" t="s">
        <v>1676</v>
      </c>
      <c r="M1136" s="417"/>
      <c r="N1136" s="39">
        <v>44609</v>
      </c>
      <c r="O1136" s="38">
        <v>3923</v>
      </c>
      <c r="P1136" s="216"/>
      <c r="Q1136" s="525">
        <v>0</v>
      </c>
      <c r="R1136" s="704">
        <f>Q1136*J1136</f>
        <v>0</v>
      </c>
      <c r="S1136" s="532">
        <v>1800</v>
      </c>
      <c r="T1136" s="567">
        <f>S1136*J1136</f>
        <v>1800</v>
      </c>
      <c r="V1136" s="494">
        <v>90</v>
      </c>
    </row>
    <row r="1137" spans="1:22" s="314" customFormat="1" ht="15">
      <c r="A1137" s="1"/>
      <c r="B1137" s="313"/>
      <c r="C1137" s="302" t="s">
        <v>2321</v>
      </c>
      <c r="D1137" s="303" t="s">
        <v>11</v>
      </c>
      <c r="E1137" s="304"/>
      <c r="F1137" s="305"/>
      <c r="G1137" s="305" t="s">
        <v>1227</v>
      </c>
      <c r="H1137" s="307" t="s">
        <v>1228</v>
      </c>
      <c r="I1137" s="308"/>
      <c r="J1137" s="306"/>
      <c r="K1137" s="315">
        <v>0</v>
      </c>
      <c r="L1137" s="310"/>
      <c r="M1137" s="310"/>
      <c r="N1137" s="310">
        <v>44609</v>
      </c>
      <c r="O1137" s="309">
        <v>3923</v>
      </c>
      <c r="P1137" s="302"/>
      <c r="Q1137" s="485">
        <v>0</v>
      </c>
      <c r="S1137" s="535">
        <v>0</v>
      </c>
      <c r="T1137" s="322">
        <v>0</v>
      </c>
      <c r="U1137" s="515"/>
      <c r="V1137" s="494">
        <v>90</v>
      </c>
    </row>
    <row r="1138" spans="1:22" s="7" customFormat="1" ht="15">
      <c r="A1138" s="1"/>
      <c r="B1138" s="12"/>
      <c r="C1138" s="6" t="s">
        <v>2323</v>
      </c>
      <c r="D1138" s="15" t="s">
        <v>1666</v>
      </c>
      <c r="E1138" s="20" t="s">
        <v>2322</v>
      </c>
      <c r="F1138" s="26"/>
      <c r="G1138" s="24"/>
      <c r="H1138" s="67"/>
      <c r="I1138" s="68"/>
      <c r="J1138" s="67"/>
      <c r="K1138" s="17" t="s">
        <v>134</v>
      </c>
      <c r="L1138" s="39"/>
      <c r="M1138" s="39"/>
      <c r="N1138" s="39">
        <v>44609</v>
      </c>
      <c r="O1138" s="38">
        <v>3922</v>
      </c>
      <c r="P1138" s="6" t="s">
        <v>23</v>
      </c>
      <c r="Q1138" s="481"/>
      <c r="S1138" s="489"/>
      <c r="T1138" s="113"/>
      <c r="U1138" s="500"/>
      <c r="V1138" s="494">
        <v>90</v>
      </c>
    </row>
    <row r="1139" spans="1:22" s="7" customFormat="1" ht="15.75">
      <c r="A1139" s="1"/>
      <c r="B1139" s="12" t="s">
        <v>1856</v>
      </c>
      <c r="C1139" s="6" t="s">
        <v>2323</v>
      </c>
      <c r="D1139" s="15" t="s">
        <v>1666</v>
      </c>
      <c r="E1139" s="24" t="s">
        <v>1668</v>
      </c>
      <c r="F1139" s="26">
        <v>35</v>
      </c>
      <c r="G1139" s="24" t="s">
        <v>137</v>
      </c>
      <c r="H1139" s="151">
        <v>30</v>
      </c>
      <c r="I1139" s="152">
        <v>1</v>
      </c>
      <c r="J1139" s="67">
        <f>H1139*I1139</f>
        <v>30</v>
      </c>
      <c r="K1139" s="25">
        <v>4.26</v>
      </c>
      <c r="L1139" s="46">
        <f>K1139*J1139</f>
        <v>127.8</v>
      </c>
      <c r="M1139" s="162" t="s">
        <v>2219</v>
      </c>
      <c r="N1139" s="39">
        <v>44609</v>
      </c>
      <c r="O1139" s="38">
        <v>3922</v>
      </c>
      <c r="P1139" s="46">
        <f>K1139*(VLOOKUP(B1139,$C$2:$F$6,3,FALSE))</f>
        <v>3.7487999999999997</v>
      </c>
      <c r="Q1139" s="482">
        <v>3.75</v>
      </c>
      <c r="R1139" s="704">
        <f>Q1139*J1139</f>
        <v>112.5</v>
      </c>
      <c r="S1139" s="489">
        <v>230</v>
      </c>
      <c r="T1139" s="567">
        <f>S1139*J1139</f>
        <v>6900</v>
      </c>
      <c r="U1139" s="500"/>
      <c r="V1139" s="494">
        <v>90</v>
      </c>
    </row>
    <row r="1140" spans="1:22" s="7" customFormat="1" ht="15" customHeight="1">
      <c r="A1140" s="1"/>
      <c r="B1140" s="12"/>
      <c r="C1140" s="6" t="s">
        <v>2323</v>
      </c>
      <c r="D1140" s="15" t="s">
        <v>1666</v>
      </c>
      <c r="E1140" s="24"/>
      <c r="F1140" s="138"/>
      <c r="G1140" s="44" t="s">
        <v>1993</v>
      </c>
      <c r="H1140" s="8"/>
      <c r="I1140" s="41"/>
      <c r="J1140" s="45">
        <v>1</v>
      </c>
      <c r="K1140" s="46">
        <v>12</v>
      </c>
      <c r="L1140" s="46">
        <f>K1140*J1140</f>
        <v>12</v>
      </c>
      <c r="M1140" s="39"/>
      <c r="N1140" s="39">
        <v>44609</v>
      </c>
      <c r="O1140" s="38">
        <v>3922</v>
      </c>
      <c r="P1140" s="6"/>
      <c r="Q1140" s="483">
        <v>12</v>
      </c>
      <c r="R1140" s="704">
        <f>Q1140*J1140</f>
        <v>12</v>
      </c>
      <c r="S1140" s="489">
        <v>1000</v>
      </c>
      <c r="T1140" s="567">
        <f>S1140*J1140</f>
        <v>1000</v>
      </c>
      <c r="U1140" s="501"/>
      <c r="V1140" s="494">
        <v>90</v>
      </c>
    </row>
    <row r="1141" spans="1:22" s="314" customFormat="1" ht="15" customHeight="1">
      <c r="A1141" s="1"/>
      <c r="B1141" s="313"/>
      <c r="C1141" s="302" t="s">
        <v>2323</v>
      </c>
      <c r="D1141" s="303" t="s">
        <v>1666</v>
      </c>
      <c r="E1141" s="304"/>
      <c r="F1141" s="305"/>
      <c r="G1141" s="305" t="s">
        <v>1227</v>
      </c>
      <c r="H1141" s="307" t="s">
        <v>1228</v>
      </c>
      <c r="I1141" s="308"/>
      <c r="J1141" s="306"/>
      <c r="K1141" s="315">
        <v>0</v>
      </c>
      <c r="L1141" s="310"/>
      <c r="M1141" s="310"/>
      <c r="N1141" s="310">
        <v>44609</v>
      </c>
      <c r="O1141" s="309">
        <v>3922</v>
      </c>
      <c r="P1141" s="302"/>
      <c r="Q1141" s="483">
        <v>0</v>
      </c>
      <c r="S1141" s="538">
        <v>0</v>
      </c>
      <c r="T1141" s="420">
        <v>0</v>
      </c>
      <c r="U1141" s="515"/>
      <c r="V1141" s="494">
        <v>90</v>
      </c>
    </row>
    <row r="1142" spans="1:22" s="7" customFormat="1" ht="18" customHeight="1">
      <c r="A1142" s="1"/>
      <c r="B1142" s="12"/>
      <c r="C1142" s="6" t="s">
        <v>2324</v>
      </c>
      <c r="D1142" s="15" t="s">
        <v>1214</v>
      </c>
      <c r="E1142" s="20" t="s">
        <v>1003</v>
      </c>
      <c r="F1142" s="24"/>
      <c r="G1142" s="44"/>
      <c r="H1142" s="151"/>
      <c r="I1142" s="151"/>
      <c r="J1142" s="151"/>
      <c r="K1142" s="153" t="s">
        <v>10</v>
      </c>
      <c r="L1142" s="39"/>
      <c r="M1142" s="39"/>
      <c r="N1142" s="39">
        <v>44610</v>
      </c>
      <c r="O1142" s="38">
        <v>3930</v>
      </c>
      <c r="P1142" s="6"/>
      <c r="Q1142" s="411"/>
      <c r="S1142" s="489"/>
      <c r="T1142" s="113"/>
      <c r="U1142" s="501"/>
      <c r="V1142" s="494">
        <v>90</v>
      </c>
    </row>
    <row r="1143" spans="1:22" s="7" customFormat="1" ht="15.95" customHeight="1">
      <c r="A1143" s="1"/>
      <c r="B1143" s="12" t="s">
        <v>1856</v>
      </c>
      <c r="C1143" s="6" t="s">
        <v>2324</v>
      </c>
      <c r="D1143" s="15" t="s">
        <v>1214</v>
      </c>
      <c r="E1143" s="24" t="s">
        <v>1426</v>
      </c>
      <c r="F1143" s="44"/>
      <c r="G1143" s="44" t="s">
        <v>78</v>
      </c>
      <c r="H1143" s="8">
        <v>14</v>
      </c>
      <c r="I1143" s="41">
        <v>3</v>
      </c>
      <c r="J1143" s="67">
        <f>I1143*H1143</f>
        <v>42</v>
      </c>
      <c r="K1143" s="46">
        <v>1.54</v>
      </c>
      <c r="L1143" s="46">
        <f>K1143*J1143</f>
        <v>64.680000000000007</v>
      </c>
      <c r="M1143" s="162" t="s">
        <v>2219</v>
      </c>
      <c r="N1143" s="39">
        <v>44610</v>
      </c>
      <c r="O1143" s="38">
        <v>3930</v>
      </c>
      <c r="P1143" s="46">
        <f>K1143*(VLOOKUP(B1143,$C$2:$F$6,3,FALSE))</f>
        <v>1.3552</v>
      </c>
      <c r="Q1143" s="483">
        <v>1.36</v>
      </c>
      <c r="R1143" s="704">
        <f>Q1143*J1143</f>
        <v>57.120000000000005</v>
      </c>
      <c r="S1143" s="489">
        <v>55</v>
      </c>
      <c r="T1143" s="567">
        <f>S1143*J1143</f>
        <v>2310</v>
      </c>
      <c r="U1143" s="517" t="s">
        <v>1432</v>
      </c>
      <c r="V1143" s="494">
        <v>90</v>
      </c>
    </row>
    <row r="1144" spans="1:22" ht="15.95" customHeight="1">
      <c r="C1144" s="6" t="s">
        <v>2324</v>
      </c>
      <c r="D1144" s="15" t="s">
        <v>1214</v>
      </c>
      <c r="E1144" s="24"/>
      <c r="F1144" s="138"/>
      <c r="G1144" s="44" t="s">
        <v>1993</v>
      </c>
      <c r="H1144" s="8"/>
      <c r="I1144" s="41"/>
      <c r="J1144" s="45">
        <v>1</v>
      </c>
      <c r="K1144" s="46">
        <v>12</v>
      </c>
      <c r="L1144" s="46">
        <f>K1144*J1144</f>
        <v>12</v>
      </c>
      <c r="M1144" s="112"/>
      <c r="N1144" s="39">
        <v>44610</v>
      </c>
      <c r="O1144" s="38">
        <v>3930</v>
      </c>
      <c r="P1144" s="179"/>
      <c r="Q1144" s="483">
        <v>12</v>
      </c>
      <c r="R1144" s="704">
        <f>Q1144*J1144</f>
        <v>12</v>
      </c>
      <c r="S1144" s="489">
        <v>900</v>
      </c>
      <c r="T1144" s="567">
        <f>S1144*J1144</f>
        <v>900</v>
      </c>
      <c r="U1144" s="511"/>
      <c r="V1144" s="494">
        <v>90</v>
      </c>
    </row>
    <row r="1145" spans="1:22" s="314" customFormat="1" ht="15">
      <c r="A1145" s="1"/>
      <c r="B1145" s="313"/>
      <c r="C1145" s="302" t="s">
        <v>2324</v>
      </c>
      <c r="D1145" s="303" t="s">
        <v>1214</v>
      </c>
      <c r="E1145" s="304"/>
      <c r="F1145" s="305"/>
      <c r="G1145" s="305" t="s">
        <v>1227</v>
      </c>
      <c r="H1145" s="307" t="s">
        <v>1228</v>
      </c>
      <c r="I1145" s="308"/>
      <c r="J1145" s="306"/>
      <c r="K1145" s="315">
        <v>0</v>
      </c>
      <c r="L1145" s="310"/>
      <c r="M1145" s="310"/>
      <c r="N1145" s="310">
        <v>44610</v>
      </c>
      <c r="O1145" s="309">
        <v>3930</v>
      </c>
      <c r="P1145" s="302"/>
      <c r="Q1145" s="485">
        <v>0</v>
      </c>
      <c r="S1145" s="536">
        <v>0</v>
      </c>
      <c r="T1145" s="567">
        <f>S1145*J1145</f>
        <v>0</v>
      </c>
      <c r="U1145" s="515"/>
      <c r="V1145" s="494">
        <v>90</v>
      </c>
    </row>
    <row r="1146" spans="1:22" s="7" customFormat="1" ht="18" customHeight="1">
      <c r="A1146" s="1"/>
      <c r="B1146" s="12"/>
      <c r="C1146" s="6" t="s">
        <v>2325</v>
      </c>
      <c r="D1146" s="15" t="s">
        <v>1214</v>
      </c>
      <c r="E1146" s="20" t="s">
        <v>1003</v>
      </c>
      <c r="F1146" s="24"/>
      <c r="G1146" s="44"/>
      <c r="H1146" s="151"/>
      <c r="I1146" s="151"/>
      <c r="J1146" s="151"/>
      <c r="K1146" s="153" t="s">
        <v>10</v>
      </c>
      <c r="L1146" s="39"/>
      <c r="M1146" s="39"/>
      <c r="N1146" s="39">
        <v>44614</v>
      </c>
      <c r="O1146" s="38">
        <v>3941</v>
      </c>
      <c r="P1146" s="6"/>
      <c r="Q1146" s="411"/>
      <c r="S1146" s="489"/>
      <c r="T1146" s="113"/>
      <c r="U1146" s="501"/>
      <c r="V1146" s="494">
        <v>90</v>
      </c>
    </row>
    <row r="1147" spans="1:22" s="7" customFormat="1" ht="15.95" customHeight="1">
      <c r="A1147" s="1"/>
      <c r="B1147" s="12" t="s">
        <v>1856</v>
      </c>
      <c r="C1147" s="6" t="s">
        <v>2325</v>
      </c>
      <c r="D1147" s="15" t="s">
        <v>1214</v>
      </c>
      <c r="E1147" s="24" t="s">
        <v>1426</v>
      </c>
      <c r="F1147" s="44"/>
      <c r="G1147" s="44" t="s">
        <v>78</v>
      </c>
      <c r="H1147" s="8">
        <v>14</v>
      </c>
      <c r="I1147" s="41">
        <v>2</v>
      </c>
      <c r="J1147" s="67">
        <f>I1147*H1147</f>
        <v>28</v>
      </c>
      <c r="K1147" s="46">
        <v>1.54</v>
      </c>
      <c r="L1147" s="46">
        <f>K1147*J1147</f>
        <v>43.120000000000005</v>
      </c>
      <c r="M1147" s="162" t="s">
        <v>2219</v>
      </c>
      <c r="N1147" s="39">
        <v>44614</v>
      </c>
      <c r="O1147" s="38">
        <v>3941</v>
      </c>
      <c r="P1147" s="46">
        <f>K1147*(VLOOKUP(B1147,$C$2:$F$6,3,FALSE))</f>
        <v>1.3552</v>
      </c>
      <c r="Q1147" s="483">
        <v>1.36</v>
      </c>
      <c r="R1147" s="704">
        <f>Q1147*J1147</f>
        <v>38.080000000000005</v>
      </c>
      <c r="S1147" s="489">
        <v>55</v>
      </c>
      <c r="T1147" s="567">
        <f>S1147*J1147</f>
        <v>1540</v>
      </c>
      <c r="U1147" s="517" t="s">
        <v>1432</v>
      </c>
      <c r="V1147" s="494">
        <v>90</v>
      </c>
    </row>
    <row r="1148" spans="1:22" ht="15.95" customHeight="1">
      <c r="C1148" s="6" t="s">
        <v>2325</v>
      </c>
      <c r="D1148" s="15" t="s">
        <v>1214</v>
      </c>
      <c r="E1148" s="24"/>
      <c r="F1148" s="138"/>
      <c r="G1148" s="44" t="s">
        <v>1993</v>
      </c>
      <c r="H1148" s="8"/>
      <c r="I1148" s="41"/>
      <c r="J1148" s="45">
        <v>1</v>
      </c>
      <c r="K1148" s="46">
        <v>12</v>
      </c>
      <c r="L1148" s="46">
        <f>K1148*J1148</f>
        <v>12</v>
      </c>
      <c r="M1148" s="112"/>
      <c r="N1148" s="39">
        <v>44614</v>
      </c>
      <c r="O1148" s="38">
        <v>3941</v>
      </c>
      <c r="P1148" s="179"/>
      <c r="Q1148" s="483">
        <v>12</v>
      </c>
      <c r="R1148" s="704">
        <f>Q1148*J1148</f>
        <v>12</v>
      </c>
      <c r="S1148" s="489">
        <v>900</v>
      </c>
      <c r="T1148" s="567">
        <f>S1148*J1148</f>
        <v>900</v>
      </c>
      <c r="U1148" s="511"/>
      <c r="V1148" s="494">
        <v>90</v>
      </c>
    </row>
    <row r="1149" spans="1:22" s="314" customFormat="1" ht="15">
      <c r="A1149" s="1"/>
      <c r="B1149" s="313"/>
      <c r="C1149" s="302" t="s">
        <v>2325</v>
      </c>
      <c r="D1149" s="303" t="s">
        <v>1214</v>
      </c>
      <c r="E1149" s="304"/>
      <c r="F1149" s="305"/>
      <c r="G1149" s="305" t="s">
        <v>1227</v>
      </c>
      <c r="H1149" s="307" t="s">
        <v>1228</v>
      </c>
      <c r="I1149" s="308"/>
      <c r="J1149" s="306"/>
      <c r="K1149" s="315">
        <v>0</v>
      </c>
      <c r="L1149" s="310"/>
      <c r="M1149" s="310"/>
      <c r="N1149" s="310">
        <v>44614</v>
      </c>
      <c r="O1149" s="309">
        <v>3941</v>
      </c>
      <c r="P1149" s="302"/>
      <c r="Q1149" s="485">
        <v>0</v>
      </c>
      <c r="S1149" s="536">
        <v>0</v>
      </c>
      <c r="T1149" s="567">
        <f>S1149*J1149</f>
        <v>0</v>
      </c>
      <c r="U1149" s="515"/>
      <c r="V1149" s="494">
        <v>90</v>
      </c>
    </row>
    <row r="1150" spans="1:22" s="7" customFormat="1" ht="18" customHeight="1">
      <c r="A1150" s="1"/>
      <c r="B1150" s="12"/>
      <c r="C1150" s="6" t="s">
        <v>2337</v>
      </c>
      <c r="D1150" s="15" t="s">
        <v>2285</v>
      </c>
      <c r="E1150" s="18" t="s">
        <v>2283</v>
      </c>
      <c r="F1150" s="700"/>
      <c r="G1150" s="640"/>
      <c r="H1150" s="641"/>
      <c r="I1150" s="701"/>
      <c r="J1150" s="702"/>
      <c r="K1150" s="153" t="s">
        <v>10</v>
      </c>
      <c r="L1150" s="219"/>
      <c r="M1150" s="11"/>
      <c r="N1150" s="39">
        <v>44623</v>
      </c>
      <c r="O1150" s="38">
        <v>3972</v>
      </c>
      <c r="P1150" s="6"/>
      <c r="Q1150" s="703"/>
      <c r="U1150" s="46"/>
      <c r="V1150" s="494">
        <v>90</v>
      </c>
    </row>
    <row r="1151" spans="1:22" ht="18" customHeight="1">
      <c r="B1151" s="28" t="s">
        <v>1856</v>
      </c>
      <c r="C1151" s="6" t="s">
        <v>2337</v>
      </c>
      <c r="D1151" s="15" t="s">
        <v>2285</v>
      </c>
      <c r="E1151" s="24" t="s">
        <v>2286</v>
      </c>
      <c r="F1151" s="44">
        <v>9</v>
      </c>
      <c r="G1151" s="24" t="s">
        <v>2326</v>
      </c>
      <c r="H1151" s="151">
        <v>10</v>
      </c>
      <c r="I1151" s="152">
        <v>2</v>
      </c>
      <c r="J1151" s="67">
        <f>H1151*I1151</f>
        <v>20</v>
      </c>
      <c r="K1151" s="46">
        <v>2.64</v>
      </c>
      <c r="L1151" s="46">
        <f>K1151*J1151</f>
        <v>52.800000000000004</v>
      </c>
      <c r="M1151" s="162" t="s">
        <v>2219</v>
      </c>
      <c r="N1151" s="39">
        <v>44623</v>
      </c>
      <c r="O1151" s="38">
        <v>3972</v>
      </c>
      <c r="P1151" s="46">
        <f>K1151*(VLOOKUP(B1151,$C$2:$F$6,3,FALSE))</f>
        <v>2.3231999999999999</v>
      </c>
      <c r="Q1151" s="482">
        <v>2.3199999999999998</v>
      </c>
      <c r="R1151" s="704">
        <f>Q1151*J1151</f>
        <v>46.4</v>
      </c>
      <c r="S1151" s="489">
        <v>142.5</v>
      </c>
      <c r="T1151" s="113">
        <f>S1151*J1151</f>
        <v>2850</v>
      </c>
      <c r="U1151" s="507"/>
      <c r="V1151" s="494">
        <v>90</v>
      </c>
    </row>
    <row r="1152" spans="1:22" ht="18" customHeight="1">
      <c r="B1152" s="28" t="s">
        <v>1856</v>
      </c>
      <c r="C1152" s="6" t="s">
        <v>2337</v>
      </c>
      <c r="D1152" s="15" t="s">
        <v>2285</v>
      </c>
      <c r="E1152" s="24" t="s">
        <v>2286</v>
      </c>
      <c r="F1152" s="44">
        <v>9</v>
      </c>
      <c r="G1152" s="24" t="s">
        <v>2327</v>
      </c>
      <c r="H1152" s="151">
        <v>10</v>
      </c>
      <c r="I1152" s="152">
        <v>2</v>
      </c>
      <c r="J1152" s="67">
        <f>H1152*I1152</f>
        <v>20</v>
      </c>
      <c r="K1152" s="46">
        <v>2.64</v>
      </c>
      <c r="L1152" s="46">
        <f>K1152*J1152</f>
        <v>52.800000000000004</v>
      </c>
      <c r="M1152" s="162" t="s">
        <v>2219</v>
      </c>
      <c r="N1152" s="39">
        <v>44623</v>
      </c>
      <c r="O1152" s="38">
        <v>3972</v>
      </c>
      <c r="P1152" s="46">
        <f>K1152*(VLOOKUP(B1152,$C$2:$F$6,3,FALSE))</f>
        <v>2.3231999999999999</v>
      </c>
      <c r="Q1152" s="482">
        <v>2.3199999999999998</v>
      </c>
      <c r="R1152" s="704">
        <f>Q1152*J1152</f>
        <v>46.4</v>
      </c>
      <c r="S1152" s="489">
        <v>142.5</v>
      </c>
      <c r="T1152" s="113">
        <f>S1152*J1152</f>
        <v>2850</v>
      </c>
      <c r="U1152" s="507"/>
      <c r="V1152" s="494">
        <v>90</v>
      </c>
    </row>
    <row r="1153" spans="1:22" s="7" customFormat="1" ht="18" customHeight="1">
      <c r="A1153" s="1"/>
      <c r="B1153" s="12"/>
      <c r="C1153" s="6" t="s">
        <v>2337</v>
      </c>
      <c r="D1153" s="15" t="s">
        <v>2285</v>
      </c>
      <c r="E1153" s="18" t="s">
        <v>2339</v>
      </c>
      <c r="F1153" s="700"/>
      <c r="G1153" s="640"/>
      <c r="H1153" s="641"/>
      <c r="I1153" s="701"/>
      <c r="J1153" s="702"/>
      <c r="K1153" s="153" t="s">
        <v>2328</v>
      </c>
      <c r="L1153" s="219"/>
      <c r="M1153" s="11"/>
      <c r="N1153" s="39">
        <v>44623</v>
      </c>
      <c r="O1153" s="38">
        <v>3972</v>
      </c>
      <c r="P1153" s="6"/>
      <c r="Q1153" s="703"/>
      <c r="U1153" s="46"/>
      <c r="V1153" s="494">
        <v>90</v>
      </c>
    </row>
    <row r="1154" spans="1:22" ht="18" customHeight="1">
      <c r="B1154" s="28" t="s">
        <v>1858</v>
      </c>
      <c r="C1154" s="6" t="s">
        <v>2337</v>
      </c>
      <c r="D1154" s="15" t="s">
        <v>2285</v>
      </c>
      <c r="E1154" s="62" t="s">
        <v>2338</v>
      </c>
      <c r="F1154" s="44"/>
      <c r="G1154" s="24" t="s">
        <v>2333</v>
      </c>
      <c r="H1154" s="151"/>
      <c r="I1154" s="152"/>
      <c r="J1154" s="45">
        <v>1</v>
      </c>
      <c r="K1154" s="46">
        <v>140</v>
      </c>
      <c r="L1154" s="46">
        <f>K1154*J1154</f>
        <v>140</v>
      </c>
      <c r="M1154" s="162" t="s">
        <v>2219</v>
      </c>
      <c r="N1154" s="39">
        <v>44623</v>
      </c>
      <c r="O1154" s="38">
        <v>3972</v>
      </c>
      <c r="P1154" s="46">
        <f>K1154*(VLOOKUP(B1154,$C$2:$F$6,3,FALSE))</f>
        <v>131.6</v>
      </c>
      <c r="Q1154" s="482">
        <v>131.6</v>
      </c>
      <c r="R1154" s="704">
        <f>Q1154*J1154</f>
        <v>131.6</v>
      </c>
      <c r="S1154" s="489">
        <v>10000</v>
      </c>
      <c r="T1154" s="113">
        <f>S1154*J1154</f>
        <v>10000</v>
      </c>
      <c r="U1154" s="507"/>
      <c r="V1154" s="494">
        <v>90</v>
      </c>
    </row>
    <row r="1155" spans="1:22" s="7" customFormat="1" ht="18" customHeight="1">
      <c r="A1155" s="1"/>
      <c r="B1155" s="12"/>
      <c r="C1155" s="6" t="s">
        <v>2337</v>
      </c>
      <c r="D1155" s="15" t="s">
        <v>2285</v>
      </c>
      <c r="E1155" s="18" t="s">
        <v>2283</v>
      </c>
      <c r="F1155" s="700"/>
      <c r="G1155" s="640"/>
      <c r="H1155" s="641"/>
      <c r="I1155" s="701"/>
      <c r="J1155" s="702"/>
      <c r="K1155" s="153" t="s">
        <v>2328</v>
      </c>
      <c r="L1155" s="219"/>
      <c r="M1155" s="11"/>
      <c r="N1155" s="39">
        <v>44623</v>
      </c>
      <c r="O1155" s="38">
        <v>3972</v>
      </c>
      <c r="P1155" s="6"/>
      <c r="Q1155" s="703"/>
      <c r="U1155" s="46"/>
      <c r="V1155" s="494">
        <v>90</v>
      </c>
    </row>
    <row r="1156" spans="1:22" ht="18" customHeight="1">
      <c r="C1156" s="6" t="s">
        <v>2337</v>
      </c>
      <c r="D1156" s="15" t="s">
        <v>2285</v>
      </c>
      <c r="E1156" s="55" t="s">
        <v>2329</v>
      </c>
      <c r="F1156" s="44">
        <v>9</v>
      </c>
      <c r="G1156" s="24" t="s">
        <v>2326</v>
      </c>
      <c r="H1156" s="151"/>
      <c r="I1156" s="152"/>
      <c r="J1156" s="261">
        <v>30</v>
      </c>
      <c r="K1156" s="46"/>
      <c r="L1156" s="46">
        <f>K1156*J1156</f>
        <v>0</v>
      </c>
      <c r="M1156" s="162" t="s">
        <v>2219</v>
      </c>
      <c r="N1156" s="39">
        <v>44623</v>
      </c>
      <c r="O1156" s="38">
        <v>3972</v>
      </c>
      <c r="P1156" s="46" t="e">
        <f>K1156*(VLOOKUP(B1156,$C$2:$F$6,3,FALSE))</f>
        <v>#N/A</v>
      </c>
      <c r="Q1156" s="482"/>
      <c r="R1156" s="704"/>
      <c r="S1156" s="489"/>
      <c r="T1156" s="113"/>
      <c r="U1156" s="507"/>
      <c r="V1156" s="494">
        <v>90</v>
      </c>
    </row>
    <row r="1157" spans="1:22" ht="18" customHeight="1">
      <c r="C1157" s="6" t="s">
        <v>2337</v>
      </c>
      <c r="D1157" s="15" t="s">
        <v>2285</v>
      </c>
      <c r="E1157" s="55" t="s">
        <v>2329</v>
      </c>
      <c r="F1157" s="44">
        <v>9</v>
      </c>
      <c r="G1157" s="24" t="s">
        <v>2327</v>
      </c>
      <c r="H1157" s="151"/>
      <c r="I1157" s="152"/>
      <c r="J1157" s="261">
        <v>10</v>
      </c>
      <c r="K1157" s="46"/>
      <c r="L1157" s="46">
        <f>K1157*J1157</f>
        <v>0</v>
      </c>
      <c r="M1157" s="162" t="s">
        <v>2219</v>
      </c>
      <c r="N1157" s="39">
        <v>44623</v>
      </c>
      <c r="O1157" s="38">
        <v>3972</v>
      </c>
      <c r="P1157" s="46" t="e">
        <f>K1157*(VLOOKUP(B1157,$C$2:$F$6,3,FALSE))</f>
        <v>#N/A</v>
      </c>
      <c r="Q1157" s="482"/>
      <c r="R1157" s="704"/>
      <c r="S1157" s="489"/>
      <c r="T1157" s="113"/>
      <c r="U1157" s="507"/>
      <c r="V1157" s="494">
        <v>90</v>
      </c>
    </row>
    <row r="1158" spans="1:22" ht="18" customHeight="1">
      <c r="C1158" s="6" t="s">
        <v>2337</v>
      </c>
      <c r="D1158" s="15" t="s">
        <v>2285</v>
      </c>
      <c r="E1158" s="55" t="s">
        <v>2329</v>
      </c>
      <c r="F1158" s="44">
        <v>9</v>
      </c>
      <c r="G1158" s="24" t="s">
        <v>2330</v>
      </c>
      <c r="H1158" s="151"/>
      <c r="I1158" s="152"/>
      <c r="J1158" s="261">
        <v>10</v>
      </c>
      <c r="K1158" s="46"/>
      <c r="L1158" s="46">
        <f>K1158*J1158</f>
        <v>0</v>
      </c>
      <c r="M1158" s="162" t="s">
        <v>2219</v>
      </c>
      <c r="N1158" s="39">
        <v>44623</v>
      </c>
      <c r="O1158" s="38">
        <v>3972</v>
      </c>
      <c r="P1158" s="46" t="e">
        <f>K1158*(VLOOKUP(B1158,$C$2:$F$6,3,FALSE))</f>
        <v>#N/A</v>
      </c>
      <c r="Q1158" s="482"/>
      <c r="R1158" s="704"/>
      <c r="S1158" s="489"/>
      <c r="T1158" s="113"/>
      <c r="U1158" s="507"/>
      <c r="V1158" s="494">
        <v>90</v>
      </c>
    </row>
    <row r="1159" spans="1:22" s="7" customFormat="1" ht="18" customHeight="1">
      <c r="A1159" s="1"/>
      <c r="B1159" s="12"/>
      <c r="C1159" s="6" t="s">
        <v>2337</v>
      </c>
      <c r="D1159" s="15" t="s">
        <v>2285</v>
      </c>
      <c r="E1159" s="18" t="s">
        <v>2332</v>
      </c>
      <c r="F1159" s="700"/>
      <c r="G1159" s="640"/>
      <c r="H1159" s="641"/>
      <c r="I1159" s="701"/>
      <c r="J1159" s="702"/>
      <c r="K1159" s="153" t="s">
        <v>2328</v>
      </c>
      <c r="L1159" s="219"/>
      <c r="M1159" s="11"/>
      <c r="N1159" s="39">
        <v>44623</v>
      </c>
      <c r="O1159" s="38">
        <v>3972</v>
      </c>
      <c r="P1159" s="6"/>
      <c r="Q1159" s="703"/>
      <c r="U1159" s="46"/>
      <c r="V1159" s="494">
        <v>90</v>
      </c>
    </row>
    <row r="1160" spans="1:22" ht="18" customHeight="1">
      <c r="C1160" s="6" t="s">
        <v>2337</v>
      </c>
      <c r="D1160" s="15" t="s">
        <v>2285</v>
      </c>
      <c r="E1160" s="55" t="s">
        <v>2331</v>
      </c>
      <c r="F1160" s="44">
        <v>6</v>
      </c>
      <c r="G1160" s="24" t="s">
        <v>2327</v>
      </c>
      <c r="H1160" s="151"/>
      <c r="I1160" s="152"/>
      <c r="J1160" s="261">
        <v>10</v>
      </c>
      <c r="K1160" s="46"/>
      <c r="L1160" s="46">
        <f>K1160*J1160</f>
        <v>0</v>
      </c>
      <c r="M1160" s="162" t="s">
        <v>2219</v>
      </c>
      <c r="N1160" s="39">
        <v>44623</v>
      </c>
      <c r="O1160" s="38">
        <v>3972</v>
      </c>
      <c r="P1160" s="46" t="e">
        <f>K1160*(VLOOKUP(B1160,$C$2:$F$6,3,FALSE))</f>
        <v>#N/A</v>
      </c>
      <c r="Q1160" s="482"/>
      <c r="R1160" s="704"/>
      <c r="S1160" s="489"/>
      <c r="T1160" s="113"/>
      <c r="U1160" s="507"/>
      <c r="V1160" s="494">
        <v>90</v>
      </c>
    </row>
    <row r="1161" spans="1:22" ht="18" customHeight="1">
      <c r="C1161" s="6" t="s">
        <v>2337</v>
      </c>
      <c r="D1161" s="15" t="s">
        <v>2285</v>
      </c>
      <c r="E1161" s="55" t="s">
        <v>2331</v>
      </c>
      <c r="F1161" s="44">
        <v>6</v>
      </c>
      <c r="G1161" s="24" t="s">
        <v>2330</v>
      </c>
      <c r="H1161" s="151"/>
      <c r="I1161" s="152"/>
      <c r="J1161" s="261">
        <v>10</v>
      </c>
      <c r="K1161" s="46"/>
      <c r="L1161" s="46">
        <f>K1161*J1161</f>
        <v>0</v>
      </c>
      <c r="M1161" s="162" t="s">
        <v>2219</v>
      </c>
      <c r="N1161" s="39">
        <v>44623</v>
      </c>
      <c r="O1161" s="38">
        <v>3972</v>
      </c>
      <c r="P1161" s="46" t="e">
        <f>K1161*(VLOOKUP(B1161,$C$2:$F$6,3,FALSE))</f>
        <v>#N/A</v>
      </c>
      <c r="Q1161" s="482"/>
      <c r="R1161" s="704"/>
      <c r="S1161" s="489"/>
      <c r="T1161" s="113"/>
      <c r="U1161" s="507"/>
      <c r="V1161" s="494">
        <v>90</v>
      </c>
    </row>
    <row r="1162" spans="1:22" s="7" customFormat="1" ht="15.95" customHeight="1">
      <c r="A1162" s="1"/>
      <c r="B1162" s="12"/>
      <c r="C1162" s="6" t="s">
        <v>2337</v>
      </c>
      <c r="D1162" s="15" t="s">
        <v>2285</v>
      </c>
      <c r="E1162" s="24"/>
      <c r="F1162" s="138"/>
      <c r="G1162" s="44" t="s">
        <v>1993</v>
      </c>
      <c r="H1162" s="8"/>
      <c r="I1162" s="41"/>
      <c r="J1162" s="45">
        <v>1</v>
      </c>
      <c r="K1162" s="46">
        <v>12</v>
      </c>
      <c r="L1162" s="46">
        <f>K1162*J1162</f>
        <v>12</v>
      </c>
      <c r="M1162" s="39"/>
      <c r="N1162" s="39">
        <v>44623</v>
      </c>
      <c r="O1162" s="38">
        <v>3972</v>
      </c>
      <c r="P1162" s="6"/>
      <c r="Q1162" s="483">
        <v>12</v>
      </c>
      <c r="R1162" s="704">
        <f>Q1162*J1162</f>
        <v>12</v>
      </c>
      <c r="S1162" s="489">
        <v>0</v>
      </c>
      <c r="T1162" s="113">
        <f>S1162*J1162</f>
        <v>0</v>
      </c>
      <c r="U1162" s="501"/>
      <c r="V1162" s="494">
        <v>90</v>
      </c>
    </row>
    <row r="1163" spans="1:22" s="314" customFormat="1" ht="15">
      <c r="A1163" s="1"/>
      <c r="B1163" s="313"/>
      <c r="C1163" s="302" t="s">
        <v>2337</v>
      </c>
      <c r="D1163" s="303" t="s">
        <v>2285</v>
      </c>
      <c r="E1163" s="304"/>
      <c r="F1163" s="305"/>
      <c r="G1163" s="305" t="s">
        <v>1227</v>
      </c>
      <c r="H1163" s="307" t="s">
        <v>1228</v>
      </c>
      <c r="I1163" s="308"/>
      <c r="J1163" s="306"/>
      <c r="K1163" s="315">
        <v>0</v>
      </c>
      <c r="L1163" s="310"/>
      <c r="M1163" s="310"/>
      <c r="N1163" s="310">
        <v>44623</v>
      </c>
      <c r="O1163" s="309">
        <v>3972</v>
      </c>
      <c r="P1163" s="302"/>
      <c r="Q1163" s="485">
        <v>0</v>
      </c>
      <c r="S1163" s="536">
        <v>0</v>
      </c>
      <c r="T1163" s="322">
        <v>0</v>
      </c>
      <c r="U1163" s="515"/>
      <c r="V1163" s="494">
        <v>90</v>
      </c>
    </row>
    <row r="1164" spans="1:22" s="7" customFormat="1" ht="15" customHeight="1">
      <c r="A1164" s="1"/>
      <c r="B1164" s="12"/>
      <c r="C1164" s="6" t="s">
        <v>2340</v>
      </c>
      <c r="D1164" s="15" t="s">
        <v>8</v>
      </c>
      <c r="E1164" s="20" t="s">
        <v>337</v>
      </c>
      <c r="F1164" s="26"/>
      <c r="G1164" s="24"/>
      <c r="H1164" s="45"/>
      <c r="I1164" s="68"/>
      <c r="J1164" s="67"/>
      <c r="K1164" s="17" t="s">
        <v>10</v>
      </c>
      <c r="L1164" s="39"/>
      <c r="M1164" s="39"/>
      <c r="N1164" s="39">
        <v>44617</v>
      </c>
      <c r="O1164" s="38">
        <v>3948</v>
      </c>
      <c r="P1164" s="6"/>
      <c r="Q1164" s="482"/>
      <c r="S1164" s="489"/>
      <c r="T1164" s="113"/>
      <c r="U1164" s="500"/>
      <c r="V1164" s="494">
        <v>90</v>
      </c>
    </row>
    <row r="1165" spans="1:22" s="7" customFormat="1" ht="15.75">
      <c r="A1165" s="1"/>
      <c r="B1165" s="12" t="s">
        <v>1856</v>
      </c>
      <c r="C1165" s="6" t="s">
        <v>2340</v>
      </c>
      <c r="D1165" s="15" t="s">
        <v>8</v>
      </c>
      <c r="E1165" s="24">
        <v>3705</v>
      </c>
      <c r="F1165" s="26">
        <v>6</v>
      </c>
      <c r="G1165" s="24" t="s">
        <v>2137</v>
      </c>
      <c r="H1165" s="151">
        <v>30</v>
      </c>
      <c r="I1165" s="152">
        <v>1</v>
      </c>
      <c r="J1165" s="67">
        <f>H1165*I1165</f>
        <v>30</v>
      </c>
      <c r="K1165" s="46">
        <v>0.28999999999999998</v>
      </c>
      <c r="L1165" s="46">
        <f>K1165*J1165</f>
        <v>8.6999999999999993</v>
      </c>
      <c r="M1165" s="162" t="s">
        <v>2218</v>
      </c>
      <c r="N1165" s="39">
        <v>44617</v>
      </c>
      <c r="O1165" s="38">
        <v>3948</v>
      </c>
      <c r="P1165" s="46">
        <f>K1165*(VLOOKUP(B1165,$C$2:$F$6,3,FALSE))</f>
        <v>0.25519999999999998</v>
      </c>
      <c r="Q1165" s="483">
        <v>0.26</v>
      </c>
      <c r="R1165" s="704">
        <f>Q1165*J1165</f>
        <v>7.8000000000000007</v>
      </c>
      <c r="S1165" s="489">
        <v>13</v>
      </c>
      <c r="T1165" s="567">
        <f>S1165*J1165</f>
        <v>390</v>
      </c>
      <c r="U1165" s="1862" t="s">
        <v>2067</v>
      </c>
      <c r="V1165" s="494">
        <v>90</v>
      </c>
    </row>
    <row r="1166" spans="1:22" ht="15.95" customHeight="1">
      <c r="B1166" s="28" t="s">
        <v>1862</v>
      </c>
      <c r="C1166" s="6" t="s">
        <v>2340</v>
      </c>
      <c r="D1166" s="15" t="s">
        <v>8</v>
      </c>
      <c r="E1166" s="24"/>
      <c r="F1166" s="138"/>
      <c r="G1166" s="44" t="s">
        <v>1993</v>
      </c>
      <c r="H1166" s="8"/>
      <c r="I1166" s="41"/>
      <c r="J1166" s="45">
        <v>1</v>
      </c>
      <c r="K1166" s="46">
        <v>12</v>
      </c>
      <c r="L1166" s="46">
        <f>K1166*J1166</f>
        <v>12</v>
      </c>
      <c r="M1166" s="112"/>
      <c r="N1166" s="39">
        <v>44617</v>
      </c>
      <c r="O1166" s="38">
        <v>3948</v>
      </c>
      <c r="P1166" s="46">
        <f>K1166*(VLOOKUP(B1166,$C$2:$F$6,3,FALSE))</f>
        <v>12</v>
      </c>
      <c r="Q1166" s="180">
        <v>12</v>
      </c>
      <c r="R1166" s="704">
        <f>Q1166*J1166</f>
        <v>12</v>
      </c>
      <c r="S1166" s="498">
        <v>0</v>
      </c>
      <c r="T1166" s="567">
        <f>S1166*J1166</f>
        <v>0</v>
      </c>
      <c r="U1166" s="511"/>
      <c r="V1166" s="494">
        <v>90</v>
      </c>
    </row>
    <row r="1167" spans="1:22" s="314" customFormat="1" ht="15" customHeight="1">
      <c r="A1167" s="1"/>
      <c r="B1167" s="313"/>
      <c r="C1167" s="302" t="s">
        <v>2340</v>
      </c>
      <c r="D1167" s="303" t="s">
        <v>8</v>
      </c>
      <c r="E1167" s="304"/>
      <c r="F1167" s="305"/>
      <c r="G1167" s="305" t="s">
        <v>1227</v>
      </c>
      <c r="H1167" s="307" t="s">
        <v>1228</v>
      </c>
      <c r="I1167" s="308"/>
      <c r="J1167" s="306"/>
      <c r="K1167" s="315">
        <v>0</v>
      </c>
      <c r="L1167" s="310"/>
      <c r="M1167" s="310"/>
      <c r="N1167" s="310">
        <v>44617</v>
      </c>
      <c r="O1167" s="309">
        <v>3948</v>
      </c>
      <c r="P1167" s="302"/>
      <c r="Q1167" s="485">
        <v>0</v>
      </c>
      <c r="S1167" s="535">
        <v>0</v>
      </c>
      <c r="T1167" s="322">
        <v>0</v>
      </c>
      <c r="U1167" s="515"/>
      <c r="V1167" s="494">
        <v>90</v>
      </c>
    </row>
    <row r="1168" spans="1:22" s="7" customFormat="1" ht="15">
      <c r="A1168" s="1"/>
      <c r="B1168" s="12"/>
      <c r="C1168" s="6" t="s">
        <v>2366</v>
      </c>
      <c r="D1168" s="61" t="s">
        <v>630</v>
      </c>
      <c r="E1168" s="20" t="s">
        <v>902</v>
      </c>
      <c r="F1168" s="26"/>
      <c r="G1168" s="24"/>
      <c r="H1168" s="36"/>
      <c r="I1168" s="68"/>
      <c r="J1168" s="67"/>
      <c r="K1168" s="17" t="s">
        <v>10</v>
      </c>
      <c r="L1168" s="11"/>
      <c r="M1168" s="11"/>
      <c r="N1168" s="39">
        <v>44620</v>
      </c>
      <c r="O1168" s="38">
        <v>3956</v>
      </c>
      <c r="P1168" s="6"/>
      <c r="Q1168" s="482"/>
      <c r="S1168" s="489"/>
      <c r="T1168" s="113"/>
      <c r="U1168" s="500"/>
      <c r="V1168" s="494">
        <v>90</v>
      </c>
    </row>
    <row r="1169" spans="1:22" s="7" customFormat="1" ht="15.75">
      <c r="A1169" s="1"/>
      <c r="B1169" s="12" t="s">
        <v>1856</v>
      </c>
      <c r="C1169" s="6" t="s">
        <v>2366</v>
      </c>
      <c r="D1169" s="61" t="s">
        <v>630</v>
      </c>
      <c r="E1169" s="24">
        <v>3709</v>
      </c>
      <c r="F1169" s="26">
        <v>25</v>
      </c>
      <c r="G1169" s="24" t="s">
        <v>304</v>
      </c>
      <c r="H1169" s="8">
        <v>30</v>
      </c>
      <c r="I1169" s="41">
        <v>4</v>
      </c>
      <c r="J1169" s="8">
        <f>H1169*I1169</f>
        <v>120</v>
      </c>
      <c r="K1169" s="25">
        <v>0.89</v>
      </c>
      <c r="L1169" s="46">
        <f>K1169*J1169</f>
        <v>106.8</v>
      </c>
      <c r="M1169" s="162" t="s">
        <v>2219</v>
      </c>
      <c r="N1169" s="39">
        <v>44620</v>
      </c>
      <c r="O1169" s="38">
        <v>3956</v>
      </c>
      <c r="P1169" s="46">
        <f>K1169*(VLOOKUP(B1169,$C$2:$F$6,3,FALSE))</f>
        <v>0.78320000000000001</v>
      </c>
      <c r="Q1169" s="482">
        <v>0.78</v>
      </c>
      <c r="R1169" s="704">
        <f>Q1169*J1169</f>
        <v>93.600000000000009</v>
      </c>
      <c r="S1169" s="489">
        <v>47.97</v>
      </c>
      <c r="T1169" s="567">
        <f>S1169*J1169</f>
        <v>5756.4</v>
      </c>
      <c r="U1169" s="500"/>
      <c r="V1169" s="494">
        <v>90</v>
      </c>
    </row>
    <row r="1170" spans="1:22" s="7" customFormat="1" ht="15">
      <c r="A1170" s="1"/>
      <c r="B1170" s="12" t="s">
        <v>1862</v>
      </c>
      <c r="C1170" s="6" t="s">
        <v>2366</v>
      </c>
      <c r="D1170" s="61" t="s">
        <v>630</v>
      </c>
      <c r="E1170" s="24"/>
      <c r="F1170" s="26"/>
      <c r="G1170" s="44" t="s">
        <v>1993</v>
      </c>
      <c r="H1170" s="36"/>
      <c r="I1170" s="68"/>
      <c r="J1170" s="45">
        <v>1</v>
      </c>
      <c r="K1170" s="25">
        <v>12</v>
      </c>
      <c r="L1170" s="46">
        <f>K1170*J1170</f>
        <v>12</v>
      </c>
      <c r="M1170" s="39"/>
      <c r="N1170" s="39">
        <v>44620</v>
      </c>
      <c r="O1170" s="38">
        <v>3956</v>
      </c>
      <c r="P1170" s="46">
        <f>K1170*(VLOOKUP(B1170,$C$2:$F$6,3,FALSE))</f>
        <v>12</v>
      </c>
      <c r="Q1170" s="482">
        <v>12</v>
      </c>
      <c r="R1170" s="704">
        <f>Q1170*J1170</f>
        <v>12</v>
      </c>
      <c r="S1170" s="489">
        <v>800</v>
      </c>
      <c r="T1170" s="567">
        <f>S1170*J1170</f>
        <v>800</v>
      </c>
      <c r="U1170" s="500"/>
      <c r="V1170" s="494">
        <v>90</v>
      </c>
    </row>
    <row r="1171" spans="1:22" s="314" customFormat="1" ht="15" customHeight="1">
      <c r="A1171" s="1"/>
      <c r="B1171" s="313"/>
      <c r="C1171" s="302" t="s">
        <v>2366</v>
      </c>
      <c r="D1171" s="592" t="s">
        <v>630</v>
      </c>
      <c r="E1171" s="304"/>
      <c r="F1171" s="305"/>
      <c r="G1171" s="305" t="s">
        <v>1227</v>
      </c>
      <c r="H1171" s="307" t="s">
        <v>1228</v>
      </c>
      <c r="I1171" s="308"/>
      <c r="J1171" s="306"/>
      <c r="K1171" s="315">
        <v>0</v>
      </c>
      <c r="L1171" s="310"/>
      <c r="M1171" s="310"/>
      <c r="N1171" s="310">
        <v>44620</v>
      </c>
      <c r="O1171" s="309">
        <v>3956</v>
      </c>
      <c r="P1171" s="302"/>
      <c r="Q1171" s="485">
        <v>0</v>
      </c>
      <c r="S1171" s="535">
        <v>0</v>
      </c>
      <c r="T1171" s="322">
        <v>0</v>
      </c>
      <c r="U1171" s="515"/>
      <c r="V1171" s="494">
        <v>90</v>
      </c>
    </row>
    <row r="1172" spans="1:22" s="7" customFormat="1" ht="18" customHeight="1">
      <c r="A1172" s="1"/>
      <c r="B1172" s="12"/>
      <c r="C1172" s="6" t="s">
        <v>2367</v>
      </c>
      <c r="D1172" s="15" t="s">
        <v>990</v>
      </c>
      <c r="E1172" s="20" t="s">
        <v>1003</v>
      </c>
      <c r="F1172" s="24"/>
      <c r="G1172" s="44"/>
      <c r="H1172" s="151"/>
      <c r="I1172" s="151"/>
      <c r="J1172" s="151"/>
      <c r="K1172" s="153" t="s">
        <v>10</v>
      </c>
      <c r="L1172" s="39"/>
      <c r="M1172" s="39"/>
      <c r="N1172" s="39">
        <v>44621</v>
      </c>
      <c r="O1172" s="38">
        <v>3957</v>
      </c>
      <c r="P1172" s="6"/>
      <c r="Q1172" s="411"/>
      <c r="S1172" s="489"/>
      <c r="T1172" s="113"/>
      <c r="U1172" s="501"/>
      <c r="V1172" s="494">
        <v>90</v>
      </c>
    </row>
    <row r="1173" spans="1:22" s="7" customFormat="1" ht="15.95" customHeight="1">
      <c r="A1173" s="1"/>
      <c r="B1173" s="12" t="s">
        <v>1856</v>
      </c>
      <c r="C1173" s="6" t="s">
        <v>2367</v>
      </c>
      <c r="D1173" s="15" t="s">
        <v>990</v>
      </c>
      <c r="E1173" s="24" t="s">
        <v>1802</v>
      </c>
      <c r="F1173" s="44"/>
      <c r="G1173" s="44" t="s">
        <v>78</v>
      </c>
      <c r="H1173" s="8">
        <v>14</v>
      </c>
      <c r="I1173" s="41">
        <v>2</v>
      </c>
      <c r="J1173" s="67">
        <f>I1173*H1173</f>
        <v>28</v>
      </c>
      <c r="K1173" s="46">
        <v>1.62</v>
      </c>
      <c r="L1173" s="46">
        <f>K1173*J1173</f>
        <v>45.36</v>
      </c>
      <c r="M1173" s="162" t="s">
        <v>2219</v>
      </c>
      <c r="N1173" s="39">
        <v>44621</v>
      </c>
      <c r="O1173" s="38">
        <v>3957</v>
      </c>
      <c r="P1173" s="46">
        <f>K1173*(VLOOKUP(B1173,$C$2:$F$6,3,FALSE))</f>
        <v>1.4256000000000002</v>
      </c>
      <c r="Q1173" s="483">
        <v>1.43</v>
      </c>
      <c r="R1173" s="704">
        <f>Q1173*J1173</f>
        <v>40.04</v>
      </c>
      <c r="S1173" s="489">
        <v>87</v>
      </c>
      <c r="T1173" s="567">
        <f t="shared" ref="T1173:T1178" si="54">S1173*J1173</f>
        <v>2436</v>
      </c>
      <c r="U1173" s="517"/>
      <c r="V1173" s="494">
        <v>90</v>
      </c>
    </row>
    <row r="1174" spans="1:22" s="7" customFormat="1" ht="15.95" customHeight="1">
      <c r="A1174" s="1"/>
      <c r="B1174" s="12" t="s">
        <v>1856</v>
      </c>
      <c r="C1174" s="6" t="s">
        <v>2367</v>
      </c>
      <c r="D1174" s="15" t="s">
        <v>990</v>
      </c>
      <c r="E1174" s="24" t="s">
        <v>306</v>
      </c>
      <c r="F1174" s="44"/>
      <c r="G1174" s="44" t="s">
        <v>78</v>
      </c>
      <c r="H1174" s="8">
        <v>14</v>
      </c>
      <c r="I1174" s="41">
        <v>2</v>
      </c>
      <c r="J1174" s="67">
        <f>I1174*H1174</f>
        <v>28</v>
      </c>
      <c r="K1174" s="46">
        <v>2.15</v>
      </c>
      <c r="L1174" s="46">
        <f>K1174*J1174</f>
        <v>60.199999999999996</v>
      </c>
      <c r="M1174" s="162" t="s">
        <v>2219</v>
      </c>
      <c r="N1174" s="39">
        <v>44621</v>
      </c>
      <c r="O1174" s="38">
        <v>3957</v>
      </c>
      <c r="P1174" s="46">
        <f>K1174*(VLOOKUP(B1174,$C$2:$F$6,3,FALSE))</f>
        <v>1.8919999999999999</v>
      </c>
      <c r="Q1174" s="483">
        <v>1.89</v>
      </c>
      <c r="R1174" s="704">
        <f>Q1174*J1174</f>
        <v>52.919999999999995</v>
      </c>
      <c r="S1174" s="489">
        <v>116</v>
      </c>
      <c r="T1174" s="567">
        <f t="shared" si="54"/>
        <v>3248</v>
      </c>
      <c r="U1174" s="517"/>
      <c r="V1174" s="494">
        <v>90</v>
      </c>
    </row>
    <row r="1175" spans="1:22" s="7" customFormat="1" ht="15.95" customHeight="1">
      <c r="A1175" s="1"/>
      <c r="B1175" s="12" t="s">
        <v>1856</v>
      </c>
      <c r="C1175" s="6" t="s">
        <v>2367</v>
      </c>
      <c r="D1175" s="15" t="s">
        <v>990</v>
      </c>
      <c r="E1175" s="24" t="s">
        <v>1006</v>
      </c>
      <c r="F1175" s="44"/>
      <c r="G1175" s="44" t="s">
        <v>78</v>
      </c>
      <c r="H1175" s="8">
        <v>14</v>
      </c>
      <c r="I1175" s="41">
        <v>2</v>
      </c>
      <c r="J1175" s="67">
        <f>I1175*H1175</f>
        <v>28</v>
      </c>
      <c r="K1175" s="46">
        <v>2.89</v>
      </c>
      <c r="L1175" s="46">
        <f>K1175*J1175</f>
        <v>80.92</v>
      </c>
      <c r="M1175" s="162" t="s">
        <v>2219</v>
      </c>
      <c r="N1175" s="39">
        <v>44621</v>
      </c>
      <c r="O1175" s="38">
        <v>3957</v>
      </c>
      <c r="P1175" s="46">
        <f>K1175*(VLOOKUP(B1175,$C$2:$F$6,3,FALSE))</f>
        <v>2.5432000000000001</v>
      </c>
      <c r="Q1175" s="483">
        <v>2.54</v>
      </c>
      <c r="R1175" s="704">
        <f>Q1175*J1175</f>
        <v>71.12</v>
      </c>
      <c r="S1175" s="489">
        <v>156</v>
      </c>
      <c r="T1175" s="567">
        <f t="shared" si="54"/>
        <v>4368</v>
      </c>
      <c r="U1175" s="517"/>
      <c r="V1175" s="494">
        <v>90</v>
      </c>
    </row>
    <row r="1176" spans="1:22" s="7" customFormat="1" ht="15.95" customHeight="1">
      <c r="A1176" s="1"/>
      <c r="B1176" s="12" t="s">
        <v>1856</v>
      </c>
      <c r="C1176" s="6" t="s">
        <v>2367</v>
      </c>
      <c r="D1176" s="15" t="s">
        <v>990</v>
      </c>
      <c r="E1176" s="24" t="s">
        <v>2368</v>
      </c>
      <c r="F1176" s="44"/>
      <c r="G1176" s="44" t="s">
        <v>78</v>
      </c>
      <c r="H1176" s="8">
        <v>14</v>
      </c>
      <c r="I1176" s="41">
        <v>2</v>
      </c>
      <c r="J1176" s="67">
        <f>I1176*H1176</f>
        <v>28</v>
      </c>
      <c r="K1176" s="46">
        <v>1.86</v>
      </c>
      <c r="L1176" s="46">
        <f>K1176*J1176</f>
        <v>52.080000000000005</v>
      </c>
      <c r="M1176" s="162" t="s">
        <v>2219</v>
      </c>
      <c r="N1176" s="39">
        <v>44621</v>
      </c>
      <c r="O1176" s="38">
        <v>3957</v>
      </c>
      <c r="P1176" s="46">
        <f>K1176*(VLOOKUP(B1176,$C$2:$F$6,3,FALSE))</f>
        <v>1.6368</v>
      </c>
      <c r="Q1176" s="483">
        <v>1.64</v>
      </c>
      <c r="R1176" s="704">
        <f>Q1176*J1176</f>
        <v>45.919999999999995</v>
      </c>
      <c r="S1176" s="489">
        <v>100</v>
      </c>
      <c r="T1176" s="567">
        <f t="shared" si="54"/>
        <v>2800</v>
      </c>
      <c r="U1176" s="517"/>
      <c r="V1176" s="494">
        <v>90</v>
      </c>
    </row>
    <row r="1177" spans="1:22" ht="15.95" customHeight="1">
      <c r="B1177" s="12" t="s">
        <v>1862</v>
      </c>
      <c r="C1177" s="6" t="s">
        <v>2367</v>
      </c>
      <c r="D1177" s="15" t="s">
        <v>990</v>
      </c>
      <c r="E1177" s="24"/>
      <c r="F1177" s="138"/>
      <c r="G1177" s="44" t="s">
        <v>1993</v>
      </c>
      <c r="H1177" s="8"/>
      <c r="I1177" s="41"/>
      <c r="J1177" s="45">
        <v>1</v>
      </c>
      <c r="K1177" s="46">
        <v>12</v>
      </c>
      <c r="L1177" s="46">
        <f>K1177*J1177</f>
        <v>12</v>
      </c>
      <c r="M1177" s="112"/>
      <c r="N1177" s="39">
        <v>44621</v>
      </c>
      <c r="O1177" s="38">
        <v>3957</v>
      </c>
      <c r="P1177" s="46">
        <f>K1177*(VLOOKUP(B1177,$C$2:$F$6,3,FALSE))</f>
        <v>12</v>
      </c>
      <c r="Q1177" s="483">
        <v>12</v>
      </c>
      <c r="R1177" s="704">
        <f>Q1177*J1177</f>
        <v>12</v>
      </c>
      <c r="S1177" s="489">
        <v>900</v>
      </c>
      <c r="T1177" s="567">
        <f t="shared" si="54"/>
        <v>900</v>
      </c>
      <c r="U1177" s="511"/>
      <c r="V1177" s="494">
        <v>90</v>
      </c>
    </row>
    <row r="1178" spans="1:22" s="314" customFormat="1" ht="15">
      <c r="A1178" s="1"/>
      <c r="B1178" s="313"/>
      <c r="C1178" s="302" t="s">
        <v>2367</v>
      </c>
      <c r="D1178" s="303" t="s">
        <v>990</v>
      </c>
      <c r="E1178" s="304"/>
      <c r="F1178" s="305"/>
      <c r="G1178" s="305" t="s">
        <v>1227</v>
      </c>
      <c r="H1178" s="307" t="s">
        <v>1228</v>
      </c>
      <c r="I1178" s="308"/>
      <c r="J1178" s="306"/>
      <c r="K1178" s="315">
        <v>0</v>
      </c>
      <c r="L1178" s="310"/>
      <c r="M1178" s="310"/>
      <c r="N1178" s="310">
        <v>44621</v>
      </c>
      <c r="O1178" s="309">
        <v>3957</v>
      </c>
      <c r="P1178" s="302"/>
      <c r="Q1178" s="485">
        <v>0</v>
      </c>
      <c r="S1178" s="536">
        <v>0</v>
      </c>
      <c r="T1178" s="567">
        <f t="shared" si="54"/>
        <v>0</v>
      </c>
      <c r="U1178" s="515"/>
      <c r="V1178" s="494">
        <v>90</v>
      </c>
    </row>
    <row r="1179" spans="1:22" s="7" customFormat="1" ht="15" customHeight="1">
      <c r="A1179" s="1"/>
      <c r="B1179" s="12"/>
      <c r="C1179" s="6" t="s">
        <v>2369</v>
      </c>
      <c r="D1179" s="15" t="s">
        <v>958</v>
      </c>
      <c r="E1179" s="20" t="s">
        <v>628</v>
      </c>
      <c r="F1179" s="26"/>
      <c r="G1179" s="24"/>
      <c r="H1179" s="67"/>
      <c r="I1179" s="68"/>
      <c r="J1179" s="67"/>
      <c r="K1179" s="17" t="s">
        <v>134</v>
      </c>
      <c r="L1179" s="39"/>
      <c r="M1179" s="39"/>
      <c r="N1179" s="39">
        <v>44638</v>
      </c>
      <c r="O1179" s="38">
        <v>3959</v>
      </c>
      <c r="P1179" s="179" t="s">
        <v>23</v>
      </c>
      <c r="Q1179" s="438" t="s">
        <v>959</v>
      </c>
      <c r="S1179" s="489"/>
      <c r="T1179" s="113"/>
      <c r="U1179" s="510"/>
      <c r="V1179" s="494">
        <v>90</v>
      </c>
    </row>
    <row r="1180" spans="1:22" s="7" customFormat="1" ht="18" customHeight="1">
      <c r="A1180" s="1"/>
      <c r="B1180" s="12" t="s">
        <v>1856</v>
      </c>
      <c r="C1180" s="6" t="s">
        <v>2369</v>
      </c>
      <c r="D1180" s="15" t="s">
        <v>958</v>
      </c>
      <c r="E1180" s="24">
        <v>5291</v>
      </c>
      <c r="F1180" s="26">
        <v>8</v>
      </c>
      <c r="G1180" s="24" t="s">
        <v>499</v>
      </c>
      <c r="H1180" s="67">
        <v>50</v>
      </c>
      <c r="I1180" s="68">
        <v>5</v>
      </c>
      <c r="J1180" s="67">
        <f>H1180*I1180</f>
        <v>250</v>
      </c>
      <c r="K1180" s="46">
        <v>0.63</v>
      </c>
      <c r="L1180" s="46">
        <f>K1180*J1180</f>
        <v>157.5</v>
      </c>
      <c r="M1180" s="162" t="s">
        <v>2219</v>
      </c>
      <c r="N1180" s="39">
        <v>44638</v>
      </c>
      <c r="O1180" s="38">
        <v>3959</v>
      </c>
      <c r="P1180" s="180">
        <v>0.4</v>
      </c>
      <c r="Q1180" s="180">
        <v>0.4</v>
      </c>
      <c r="R1180" s="704">
        <f>Q1180*J1180</f>
        <v>100</v>
      </c>
      <c r="S1180" s="489">
        <v>24</v>
      </c>
      <c r="T1180" s="113">
        <f>S1180*J1180</f>
        <v>6000</v>
      </c>
      <c r="U1180" s="511"/>
      <c r="V1180" s="494">
        <v>90</v>
      </c>
    </row>
    <row r="1181" spans="1:22" s="7" customFormat="1" ht="18" customHeight="1">
      <c r="A1181" s="1"/>
      <c r="B1181" s="12" t="s">
        <v>1856</v>
      </c>
      <c r="C1181" s="6" t="s">
        <v>2369</v>
      </c>
      <c r="D1181" s="15" t="s">
        <v>958</v>
      </c>
      <c r="E1181" s="24">
        <v>5291</v>
      </c>
      <c r="F1181" s="26">
        <v>8</v>
      </c>
      <c r="G1181" s="24" t="s">
        <v>498</v>
      </c>
      <c r="H1181" s="67">
        <v>50</v>
      </c>
      <c r="I1181" s="68">
        <v>32</v>
      </c>
      <c r="J1181" s="67">
        <f>H1181*I1181</f>
        <v>1600</v>
      </c>
      <c r="K1181" s="46">
        <v>0.63</v>
      </c>
      <c r="L1181" s="46">
        <f>K1181*J1181</f>
        <v>1008</v>
      </c>
      <c r="M1181" s="162" t="s">
        <v>2219</v>
      </c>
      <c r="N1181" s="39">
        <v>44638</v>
      </c>
      <c r="O1181" s="38">
        <v>3959</v>
      </c>
      <c r="P1181" s="180">
        <v>0.4</v>
      </c>
      <c r="Q1181" s="180">
        <v>0.4</v>
      </c>
      <c r="R1181" s="704">
        <f>Q1181*J1181</f>
        <v>640</v>
      </c>
      <c r="S1181" s="489">
        <v>24</v>
      </c>
      <c r="T1181" s="113">
        <f>S1181*J1181</f>
        <v>38400</v>
      </c>
      <c r="U1181" s="511"/>
      <c r="V1181" s="494">
        <v>90</v>
      </c>
    </row>
    <row r="1182" spans="1:22" ht="15.95" customHeight="1">
      <c r="C1182" s="6" t="s">
        <v>2369</v>
      </c>
      <c r="D1182" s="15" t="s">
        <v>958</v>
      </c>
      <c r="E1182" s="24"/>
      <c r="F1182" s="138"/>
      <c r="G1182" s="44" t="s">
        <v>1993</v>
      </c>
      <c r="H1182" s="8"/>
      <c r="I1182" s="41"/>
      <c r="J1182" s="45">
        <v>1</v>
      </c>
      <c r="K1182" s="46">
        <v>0</v>
      </c>
      <c r="L1182" s="46">
        <f>K1182*J1182</f>
        <v>0</v>
      </c>
      <c r="M1182" s="112"/>
      <c r="N1182" s="39">
        <v>44638</v>
      </c>
      <c r="O1182" s="38">
        <v>3959</v>
      </c>
      <c r="P1182" s="179"/>
      <c r="Q1182" s="830">
        <v>0</v>
      </c>
      <c r="R1182" s="704">
        <v>0</v>
      </c>
      <c r="S1182" s="498">
        <v>0</v>
      </c>
      <c r="T1182" s="568">
        <f>S1182*J1182</f>
        <v>0</v>
      </c>
      <c r="U1182" s="511"/>
      <c r="V1182" s="494">
        <v>90</v>
      </c>
    </row>
    <row r="1183" spans="1:22" s="314" customFormat="1" ht="15" customHeight="1">
      <c r="A1183" s="1"/>
      <c r="B1183" s="313"/>
      <c r="C1183" s="302" t="s">
        <v>2369</v>
      </c>
      <c r="D1183" s="303" t="s">
        <v>958</v>
      </c>
      <c r="E1183" s="304"/>
      <c r="F1183" s="305"/>
      <c r="G1183" s="305" t="s">
        <v>2371</v>
      </c>
      <c r="H1183" s="410"/>
      <c r="I1183" s="308" t="s">
        <v>2370</v>
      </c>
      <c r="J1183" s="410">
        <v>1850</v>
      </c>
      <c r="K1183" s="315">
        <v>0.18</v>
      </c>
      <c r="L1183" s="315"/>
      <c r="M1183" s="784"/>
      <c r="N1183" s="310">
        <v>44638</v>
      </c>
      <c r="O1183" s="309">
        <v>3959</v>
      </c>
      <c r="P1183" s="302"/>
      <c r="Q1183" s="485">
        <v>333</v>
      </c>
      <c r="R1183" s="704">
        <v>333</v>
      </c>
      <c r="S1183" s="537">
        <v>20798</v>
      </c>
      <c r="T1183" s="348">
        <v>20798</v>
      </c>
      <c r="U1183" s="515"/>
      <c r="V1183" s="494">
        <v>90</v>
      </c>
    </row>
    <row r="1184" spans="1:22" ht="15">
      <c r="C1184" s="6" t="s">
        <v>2372</v>
      </c>
      <c r="D1184" s="15" t="s">
        <v>1992</v>
      </c>
      <c r="E1184" s="20" t="s">
        <v>1003</v>
      </c>
      <c r="F1184" s="26"/>
      <c r="G1184" s="24"/>
      <c r="H1184" s="67"/>
      <c r="I1184" s="68"/>
      <c r="J1184" s="67"/>
      <c r="K1184" s="17" t="s">
        <v>134</v>
      </c>
      <c r="L1184" s="39"/>
      <c r="M1184" s="39"/>
      <c r="N1184" s="39">
        <v>44638</v>
      </c>
      <c r="O1184" s="38">
        <v>3985</v>
      </c>
      <c r="P1184" s="6"/>
      <c r="Q1184" s="481"/>
      <c r="S1184" s="489"/>
      <c r="T1184" s="113"/>
      <c r="U1184" s="500"/>
      <c r="V1184" s="494">
        <v>90</v>
      </c>
    </row>
    <row r="1185" spans="1:26" ht="15.75">
      <c r="B1185" s="28" t="s">
        <v>1856</v>
      </c>
      <c r="C1185" s="6" t="s">
        <v>2372</v>
      </c>
      <c r="D1185" s="15" t="s">
        <v>1992</v>
      </c>
      <c r="E1185" s="24" t="s">
        <v>1941</v>
      </c>
      <c r="F1185" s="26"/>
      <c r="G1185" s="44" t="s">
        <v>2373</v>
      </c>
      <c r="H1185" s="67"/>
      <c r="I1185" s="68"/>
      <c r="J1185" s="67">
        <v>1870</v>
      </c>
      <c r="K1185" s="207">
        <v>1.9</v>
      </c>
      <c r="L1185" s="46">
        <f>K1185*J1185</f>
        <v>3553</v>
      </c>
      <c r="M1185" s="162" t="s">
        <v>2219</v>
      </c>
      <c r="N1185" s="39">
        <v>44638</v>
      </c>
      <c r="O1185" s="38">
        <v>3985</v>
      </c>
      <c r="P1185" s="46">
        <f>K1185*(VLOOKUP(B1185,$C$2:$F$6,3,FALSE))</f>
        <v>1.6719999999999999</v>
      </c>
      <c r="Q1185" s="483">
        <v>1.67</v>
      </c>
      <c r="R1185" s="704">
        <f>Q1185*J1185</f>
        <v>3122.9</v>
      </c>
      <c r="S1185" s="489">
        <v>103</v>
      </c>
      <c r="T1185" s="567">
        <f>S1185*J1185</f>
        <v>192610</v>
      </c>
      <c r="U1185" s="500"/>
      <c r="V1185" s="494">
        <v>90</v>
      </c>
      <c r="W1185" s="804"/>
      <c r="X1185" s="805"/>
      <c r="Y1185" s="804"/>
      <c r="Z1185" s="805"/>
    </row>
    <row r="1186" spans="1:26" ht="15.75">
      <c r="B1186" s="28" t="s">
        <v>1856</v>
      </c>
      <c r="C1186" s="6" t="s">
        <v>2372</v>
      </c>
      <c r="D1186" s="15" t="s">
        <v>1992</v>
      </c>
      <c r="E1186" s="24" t="s">
        <v>1941</v>
      </c>
      <c r="F1186" s="26"/>
      <c r="G1186" s="44" t="s">
        <v>129</v>
      </c>
      <c r="H1186" s="67"/>
      <c r="I1186" s="68"/>
      <c r="J1186" s="67">
        <v>3950</v>
      </c>
      <c r="K1186" s="207">
        <v>1.32</v>
      </c>
      <c r="L1186" s="46">
        <f>K1186*J1186</f>
        <v>5214</v>
      </c>
      <c r="M1186" s="162" t="s">
        <v>2219</v>
      </c>
      <c r="N1186" s="39">
        <v>44638</v>
      </c>
      <c r="O1186" s="38">
        <v>3985</v>
      </c>
      <c r="P1186" s="46">
        <f>K1186*(VLOOKUP(B1186,$C$2:$F$6,3,FALSE))</f>
        <v>1.1616</v>
      </c>
      <c r="Q1186" s="483">
        <v>1.1599999999999999</v>
      </c>
      <c r="R1186" s="704">
        <f>Q1186*J1186</f>
        <v>4582</v>
      </c>
      <c r="S1186" s="489">
        <v>78</v>
      </c>
      <c r="T1186" s="567">
        <f>S1186*J1186</f>
        <v>308100</v>
      </c>
      <c r="U1186" s="500"/>
      <c r="V1186" s="494">
        <v>90</v>
      </c>
      <c r="W1186" s="804"/>
      <c r="X1186" s="805"/>
      <c r="Y1186" s="804"/>
      <c r="Z1186" s="805"/>
    </row>
    <row r="1187" spans="1:26" ht="15.75">
      <c r="C1187" s="6" t="s">
        <v>2372</v>
      </c>
      <c r="D1187" s="15" t="s">
        <v>1992</v>
      </c>
      <c r="E1187" s="56"/>
      <c r="F1187" s="26"/>
      <c r="G1187" s="44" t="s">
        <v>2454</v>
      </c>
      <c r="H1187" s="67"/>
      <c r="I1187" s="68"/>
      <c r="J1187" s="161"/>
      <c r="K1187" s="207">
        <v>25</v>
      </c>
      <c r="L1187" s="46">
        <v>25</v>
      </c>
      <c r="M1187" s="162"/>
      <c r="N1187" s="39">
        <v>44638</v>
      </c>
      <c r="O1187" s="38">
        <v>3985</v>
      </c>
      <c r="P1187" s="46"/>
      <c r="Q1187" s="483">
        <v>0</v>
      </c>
      <c r="R1187" s="704"/>
      <c r="S1187" s="489">
        <v>0</v>
      </c>
      <c r="T1187" s="567">
        <v>0</v>
      </c>
      <c r="U1187" s="500"/>
      <c r="V1187" s="494"/>
      <c r="W1187" s="804"/>
      <c r="X1187" s="805"/>
      <c r="Y1187" s="804"/>
      <c r="Z1187" s="805"/>
    </row>
    <row r="1188" spans="1:26" s="314" customFormat="1" ht="15" customHeight="1">
      <c r="A1188" s="1"/>
      <c r="B1188" s="313"/>
      <c r="C1188" s="302" t="s">
        <v>2372</v>
      </c>
      <c r="D1188" s="303" t="s">
        <v>1992</v>
      </c>
      <c r="E1188" s="304"/>
      <c r="F1188" s="305"/>
      <c r="G1188" s="305" t="s">
        <v>1227</v>
      </c>
      <c r="H1188" s="307" t="s">
        <v>1228</v>
      </c>
      <c r="I1188" s="308"/>
      <c r="J1188" s="614"/>
      <c r="K1188" s="316">
        <v>0</v>
      </c>
      <c r="L1188" s="310"/>
      <c r="M1188" s="310"/>
      <c r="N1188" s="310">
        <v>44638</v>
      </c>
      <c r="O1188" s="309">
        <v>3985</v>
      </c>
      <c r="P1188" s="302"/>
      <c r="Q1188" s="485">
        <v>0</v>
      </c>
      <c r="S1188" s="536">
        <v>0</v>
      </c>
      <c r="T1188" s="322">
        <v>0</v>
      </c>
      <c r="U1188" s="515"/>
      <c r="V1188" s="494">
        <v>90</v>
      </c>
    </row>
    <row r="1189" spans="1:26" ht="15.75">
      <c r="B1189" s="28" t="s">
        <v>1856</v>
      </c>
      <c r="C1189" s="6" t="s">
        <v>2445</v>
      </c>
      <c r="D1189" s="15" t="s">
        <v>1992</v>
      </c>
      <c r="E1189" s="24" t="s">
        <v>1941</v>
      </c>
      <c r="F1189" s="26"/>
      <c r="G1189" s="44" t="s">
        <v>2373</v>
      </c>
      <c r="H1189" s="67"/>
      <c r="I1189" s="68"/>
      <c r="J1189" s="8">
        <v>3130</v>
      </c>
      <c r="K1189" s="207">
        <v>1.9</v>
      </c>
      <c r="L1189" s="46">
        <f>K1189*J1189</f>
        <v>5947</v>
      </c>
      <c r="M1189" s="162" t="s">
        <v>2219</v>
      </c>
      <c r="N1189" s="39">
        <v>44652</v>
      </c>
      <c r="O1189" s="38">
        <v>4053</v>
      </c>
      <c r="P1189" s="46">
        <f>K1189*(VLOOKUP(B1189,$C$2:$F$6,3,FALSE))</f>
        <v>1.6719999999999999</v>
      </c>
      <c r="Q1189" s="483">
        <v>1.67</v>
      </c>
      <c r="R1189" s="704">
        <f>Q1189*J1189</f>
        <v>5227.0999999999995</v>
      </c>
      <c r="S1189" s="489">
        <v>103</v>
      </c>
      <c r="T1189" s="567">
        <f>S1189*J1189</f>
        <v>322390</v>
      </c>
      <c r="U1189" s="500"/>
      <c r="V1189" s="494">
        <v>90</v>
      </c>
      <c r="W1189" s="804"/>
      <c r="X1189" s="805"/>
      <c r="Y1189" s="804"/>
      <c r="Z1189" s="805"/>
    </row>
    <row r="1190" spans="1:26" ht="15.75">
      <c r="B1190" s="28" t="s">
        <v>1856</v>
      </c>
      <c r="C1190" s="6" t="s">
        <v>2445</v>
      </c>
      <c r="D1190" s="15" t="s">
        <v>1992</v>
      </c>
      <c r="E1190" s="24" t="s">
        <v>1941</v>
      </c>
      <c r="F1190" s="26"/>
      <c r="G1190" s="44" t="s">
        <v>129</v>
      </c>
      <c r="H1190" s="67"/>
      <c r="I1190" s="68"/>
      <c r="J1190" s="8">
        <v>3050</v>
      </c>
      <c r="K1190" s="207">
        <v>1.32</v>
      </c>
      <c r="L1190" s="46">
        <f>K1190*J1190</f>
        <v>4026</v>
      </c>
      <c r="M1190" s="162" t="s">
        <v>2219</v>
      </c>
      <c r="N1190" s="39">
        <v>44652</v>
      </c>
      <c r="O1190" s="38">
        <v>4053</v>
      </c>
      <c r="P1190" s="46">
        <f>K1190*(VLOOKUP(B1190,$C$2:$F$6,3,FALSE))</f>
        <v>1.1616</v>
      </c>
      <c r="Q1190" s="483">
        <v>1.1599999999999999</v>
      </c>
      <c r="R1190" s="704">
        <f>Q1190*J1190</f>
        <v>3537.9999999999995</v>
      </c>
      <c r="S1190" s="489">
        <v>78</v>
      </c>
      <c r="T1190" s="567">
        <f>S1190*J1190</f>
        <v>237900</v>
      </c>
      <c r="U1190" s="500"/>
      <c r="V1190" s="494">
        <v>90</v>
      </c>
      <c r="W1190" s="804"/>
      <c r="X1190" s="805"/>
      <c r="Y1190" s="804"/>
      <c r="Z1190" s="805"/>
    </row>
    <row r="1191" spans="1:26" s="314" customFormat="1" ht="15" customHeight="1">
      <c r="A1191" s="1"/>
      <c r="B1191" s="313"/>
      <c r="C1191" s="302" t="s">
        <v>2445</v>
      </c>
      <c r="D1191" s="303" t="s">
        <v>1992</v>
      </c>
      <c r="E1191" s="304"/>
      <c r="F1191" s="305"/>
      <c r="G1191" s="305" t="s">
        <v>1227</v>
      </c>
      <c r="H1191" s="307" t="s">
        <v>1228</v>
      </c>
      <c r="I1191" s="308"/>
      <c r="J1191" s="614"/>
      <c r="K1191" s="316">
        <v>0</v>
      </c>
      <c r="L1191" s="868" t="s">
        <v>2617</v>
      </c>
      <c r="M1191" s="310"/>
      <c r="N1191" s="310">
        <v>44652</v>
      </c>
      <c r="O1191" s="309">
        <v>4053</v>
      </c>
      <c r="P1191" s="302"/>
      <c r="Q1191" s="485">
        <v>0</v>
      </c>
      <c r="S1191" s="536">
        <v>0</v>
      </c>
      <c r="T1191" s="322">
        <v>0</v>
      </c>
      <c r="U1191" s="515"/>
      <c r="V1191" s="494">
        <v>90</v>
      </c>
    </row>
    <row r="1192" spans="1:26" s="7" customFormat="1" ht="15" customHeight="1">
      <c r="A1192" s="1"/>
      <c r="B1192" s="12"/>
      <c r="C1192" s="6" t="s">
        <v>2399</v>
      </c>
      <c r="D1192" s="15" t="s">
        <v>2374</v>
      </c>
      <c r="E1192" s="20" t="s">
        <v>27</v>
      </c>
      <c r="F1192" s="150"/>
      <c r="G1192" s="24"/>
      <c r="H1192" s="151"/>
      <c r="I1192" s="152"/>
      <c r="J1192" s="151"/>
      <c r="K1192" s="34" t="s">
        <v>10</v>
      </c>
      <c r="L1192" s="39"/>
      <c r="M1192" s="39"/>
      <c r="N1192" s="39">
        <v>44624</v>
      </c>
      <c r="O1192" s="38">
        <v>3976</v>
      </c>
      <c r="P1192" s="15"/>
      <c r="Q1192" s="483"/>
      <c r="S1192" s="489"/>
      <c r="T1192" s="113"/>
      <c r="U1192" s="506"/>
      <c r="V1192" s="494">
        <v>90</v>
      </c>
    </row>
    <row r="1193" spans="1:26" s="7" customFormat="1" ht="15.75">
      <c r="A1193" s="1"/>
      <c r="B1193" s="12" t="s">
        <v>1858</v>
      </c>
      <c r="C1193" s="6" t="s">
        <v>2399</v>
      </c>
      <c r="D1193" s="15" t="s">
        <v>2374</v>
      </c>
      <c r="E1193" s="24" t="s">
        <v>536</v>
      </c>
      <c r="F1193" s="150">
        <v>160</v>
      </c>
      <c r="G1193" s="24" t="s">
        <v>2408</v>
      </c>
      <c r="H1193" s="67"/>
      <c r="I1193" s="68"/>
      <c r="J1193" s="67">
        <v>5</v>
      </c>
      <c r="K1193" s="25">
        <v>4.45</v>
      </c>
      <c r="L1193" s="46">
        <f>K1193*J1193</f>
        <v>22.25</v>
      </c>
      <c r="M1193" s="162" t="s">
        <v>2218</v>
      </c>
      <c r="N1193" s="39">
        <v>44624</v>
      </c>
      <c r="O1193" s="38">
        <v>3976</v>
      </c>
      <c r="P1193" s="46">
        <f>K1193*(VLOOKUP(B1193,$C$2:$F$6,3,FALSE))</f>
        <v>4.1829999999999998</v>
      </c>
      <c r="Q1193" s="483">
        <v>4.18</v>
      </c>
      <c r="R1193" s="704">
        <f>Q1193*J1193</f>
        <v>20.9</v>
      </c>
      <c r="S1193" s="532">
        <v>320</v>
      </c>
      <c r="T1193" s="567">
        <f>S1193*J1193</f>
        <v>1600</v>
      </c>
      <c r="U1193" s="501"/>
      <c r="V1193" s="494">
        <v>90</v>
      </c>
    </row>
    <row r="1194" spans="1:26" ht="15.95" customHeight="1">
      <c r="C1194" s="6" t="s">
        <v>2399</v>
      </c>
      <c r="D1194" s="15" t="s">
        <v>2374</v>
      </c>
      <c r="E1194" s="24"/>
      <c r="F1194" s="138"/>
      <c r="G1194" s="44" t="s">
        <v>1075</v>
      </c>
      <c r="H1194" s="8"/>
      <c r="I1194" s="41"/>
      <c r="J1194" s="45">
        <v>1</v>
      </c>
      <c r="K1194" s="46">
        <v>12</v>
      </c>
      <c r="L1194" s="46">
        <f>K1194*J1194</f>
        <v>12</v>
      </c>
      <c r="M1194" s="112"/>
      <c r="N1194" s="39">
        <v>44624</v>
      </c>
      <c r="O1194" s="38">
        <v>3976</v>
      </c>
      <c r="P1194" s="179"/>
      <c r="Q1194" s="483">
        <v>12</v>
      </c>
      <c r="R1194" s="704">
        <f>Q1194*J1194</f>
        <v>12</v>
      </c>
      <c r="S1194" s="489">
        <v>1000</v>
      </c>
      <c r="T1194" s="567">
        <f>S1194*J1194</f>
        <v>1000</v>
      </c>
      <c r="U1194" s="511"/>
      <c r="V1194" s="494">
        <v>90</v>
      </c>
    </row>
    <row r="1195" spans="1:26" ht="15.95" customHeight="1">
      <c r="C1195" s="6" t="s">
        <v>2399</v>
      </c>
      <c r="D1195" s="15" t="s">
        <v>2374</v>
      </c>
      <c r="E1195" s="24"/>
      <c r="F1195" s="138"/>
      <c r="G1195" s="44" t="s">
        <v>1993</v>
      </c>
      <c r="H1195" s="8"/>
      <c r="I1195" s="41"/>
      <c r="J1195" s="45">
        <v>1</v>
      </c>
      <c r="K1195" s="46">
        <v>12</v>
      </c>
      <c r="L1195" s="46">
        <f>K1195*J1195</f>
        <v>12</v>
      </c>
      <c r="M1195" s="112"/>
      <c r="N1195" s="39">
        <v>44624</v>
      </c>
      <c r="O1195" s="38">
        <v>3976</v>
      </c>
      <c r="P1195" s="179"/>
      <c r="Q1195" s="483">
        <v>12</v>
      </c>
      <c r="R1195" s="704">
        <f>Q1195*J1195</f>
        <v>12</v>
      </c>
      <c r="S1195" s="489">
        <v>1000</v>
      </c>
      <c r="T1195" s="567">
        <f>S1195*J1195</f>
        <v>1000</v>
      </c>
      <c r="U1195" s="511"/>
      <c r="V1195" s="494">
        <v>90</v>
      </c>
    </row>
    <row r="1196" spans="1:26" s="314" customFormat="1" ht="15">
      <c r="A1196" s="1"/>
      <c r="B1196" s="313"/>
      <c r="C1196" s="302" t="s">
        <v>2399</v>
      </c>
      <c r="D1196" s="303" t="s">
        <v>2374</v>
      </c>
      <c r="E1196" s="304"/>
      <c r="F1196" s="305"/>
      <c r="G1196" s="305" t="s">
        <v>1227</v>
      </c>
      <c r="H1196" s="307" t="s">
        <v>1228</v>
      </c>
      <c r="I1196" s="308"/>
      <c r="J1196" s="614"/>
      <c r="K1196" s="316">
        <v>0</v>
      </c>
      <c r="L1196" s="310"/>
      <c r="M1196" s="310"/>
      <c r="N1196" s="310">
        <v>44624</v>
      </c>
      <c r="O1196" s="309">
        <v>3976</v>
      </c>
      <c r="P1196" s="302"/>
      <c r="Q1196" s="485">
        <v>0</v>
      </c>
      <c r="R1196" s="683"/>
      <c r="S1196" s="536">
        <v>0</v>
      </c>
      <c r="T1196" s="322">
        <v>0</v>
      </c>
      <c r="U1196" s="515"/>
      <c r="V1196" s="494">
        <v>90</v>
      </c>
    </row>
    <row r="1197" spans="1:26" s="7" customFormat="1" ht="18" customHeight="1">
      <c r="A1197" s="1"/>
      <c r="B1197" s="12"/>
      <c r="C1197" s="6" t="s">
        <v>2429</v>
      </c>
      <c r="D1197" s="15" t="s">
        <v>2451</v>
      </c>
      <c r="E1197" s="20" t="s">
        <v>1647</v>
      </c>
      <c r="F1197" s="150"/>
      <c r="G1197" s="24"/>
      <c r="H1197" s="151"/>
      <c r="I1197" s="152"/>
      <c r="J1197" s="151"/>
      <c r="K1197" s="34" t="s">
        <v>10</v>
      </c>
      <c r="L1197" s="39"/>
      <c r="M1197" s="39"/>
      <c r="N1197" s="39">
        <v>44631</v>
      </c>
      <c r="O1197" s="38">
        <v>4001</v>
      </c>
      <c r="P1197" s="15"/>
      <c r="Q1197" s="483"/>
      <c r="S1197" s="489"/>
      <c r="T1197" s="113"/>
      <c r="U1197" s="506"/>
      <c r="V1197" s="494">
        <v>90</v>
      </c>
    </row>
    <row r="1198" spans="1:26" s="7" customFormat="1" ht="15" customHeight="1">
      <c r="A1198" s="1"/>
      <c r="B1198" s="12" t="s">
        <v>1858</v>
      </c>
      <c r="C1198" s="6" t="s">
        <v>2429</v>
      </c>
      <c r="D1198" s="15" t="s">
        <v>2451</v>
      </c>
      <c r="E1198" s="24" t="s">
        <v>2049</v>
      </c>
      <c r="F1198" s="150">
        <v>152</v>
      </c>
      <c r="G1198" s="24" t="s">
        <v>2400</v>
      </c>
      <c r="H1198" s="67">
        <v>30</v>
      </c>
      <c r="I1198" s="68">
        <v>1</v>
      </c>
      <c r="J1198" s="67">
        <f>H1198*I1198</f>
        <v>30</v>
      </c>
      <c r="K1198" s="25">
        <v>4.7300000000000004</v>
      </c>
      <c r="L1198" s="46">
        <f>K1198*J1198</f>
        <v>141.9</v>
      </c>
      <c r="M1198" s="162" t="s">
        <v>2219</v>
      </c>
      <c r="N1198" s="39">
        <v>44631</v>
      </c>
      <c r="O1198" s="38">
        <v>4001</v>
      </c>
      <c r="P1198" s="46">
        <v>4.45</v>
      </c>
      <c r="Q1198" s="483">
        <v>4.45</v>
      </c>
      <c r="R1198" s="704">
        <f>Q1198*J1198</f>
        <v>133.5</v>
      </c>
      <c r="S1198" s="489">
        <v>320</v>
      </c>
      <c r="T1198" s="567">
        <f>S1198*J1198</f>
        <v>9600</v>
      </c>
      <c r="U1198" s="521" t="s">
        <v>1441</v>
      </c>
      <c r="V1198" s="494">
        <v>90</v>
      </c>
    </row>
    <row r="1199" spans="1:26" ht="15.95" customHeight="1">
      <c r="C1199" s="6" t="s">
        <v>2429</v>
      </c>
      <c r="D1199" s="15" t="s">
        <v>2451</v>
      </c>
      <c r="E1199" s="24"/>
      <c r="F1199" s="138"/>
      <c r="G1199" s="44" t="s">
        <v>1075</v>
      </c>
      <c r="H1199" s="8"/>
      <c r="I1199" s="41"/>
      <c r="J1199" s="45">
        <v>1</v>
      </c>
      <c r="K1199" s="46">
        <v>12</v>
      </c>
      <c r="L1199" s="46">
        <f>K1199*J1199</f>
        <v>12</v>
      </c>
      <c r="M1199" s="112"/>
      <c r="N1199" s="39">
        <v>44631</v>
      </c>
      <c r="O1199" s="38">
        <v>4001</v>
      </c>
      <c r="P1199" s="179"/>
      <c r="Q1199" s="483">
        <v>12</v>
      </c>
      <c r="R1199" s="704">
        <f>Q1199*J1199</f>
        <v>12</v>
      </c>
      <c r="S1199" s="489">
        <v>1000</v>
      </c>
      <c r="T1199" s="567">
        <f>S1199*J1199</f>
        <v>1000</v>
      </c>
      <c r="U1199" s="511"/>
      <c r="V1199" s="494">
        <v>90</v>
      </c>
    </row>
    <row r="1200" spans="1:26" s="7" customFormat="1" ht="15" customHeight="1">
      <c r="A1200" s="1"/>
      <c r="B1200" s="12" t="s">
        <v>1862</v>
      </c>
      <c r="C1200" s="6" t="s">
        <v>2429</v>
      </c>
      <c r="D1200" s="15" t="s">
        <v>2451</v>
      </c>
      <c r="E1200" s="56"/>
      <c r="F1200" s="138"/>
      <c r="G1200" s="44" t="s">
        <v>1993</v>
      </c>
      <c r="H1200" s="45"/>
      <c r="I1200" s="41"/>
      <c r="J1200" s="45">
        <v>1</v>
      </c>
      <c r="K1200" s="46">
        <v>20</v>
      </c>
      <c r="L1200" s="46">
        <f>K1200*J1200</f>
        <v>20</v>
      </c>
      <c r="M1200" s="112"/>
      <c r="N1200" s="39">
        <v>44631</v>
      </c>
      <c r="O1200" s="38">
        <v>4001</v>
      </c>
      <c r="P1200" s="46">
        <f>K1200*(VLOOKUP(B1200,$C$2:$F$6,3,FALSE))</f>
        <v>20</v>
      </c>
      <c r="Q1200" s="483">
        <v>20</v>
      </c>
      <c r="R1200" s="704">
        <f>Q1200*J1200</f>
        <v>20</v>
      </c>
      <c r="S1200" s="489">
        <v>1000</v>
      </c>
      <c r="T1200" s="567">
        <f>S1200*J1200</f>
        <v>1000</v>
      </c>
      <c r="U1200" s="501"/>
      <c r="V1200" s="494">
        <v>90</v>
      </c>
    </row>
    <row r="1201" spans="1:22" s="378" customFormat="1" ht="15" customHeight="1">
      <c r="A1201" s="1"/>
      <c r="B1201" s="312"/>
      <c r="C1201" s="302" t="s">
        <v>2429</v>
      </c>
      <c r="D1201" s="303" t="s">
        <v>2451</v>
      </c>
      <c r="E1201" s="304"/>
      <c r="F1201" s="305"/>
      <c r="G1201" s="305" t="s">
        <v>1227</v>
      </c>
      <c r="H1201" s="307" t="s">
        <v>1228</v>
      </c>
      <c r="I1201" s="308"/>
      <c r="J1201" s="614"/>
      <c r="K1201" s="316">
        <v>0</v>
      </c>
      <c r="L1201" s="310"/>
      <c r="M1201" s="310"/>
      <c r="N1201" s="310">
        <v>44631</v>
      </c>
      <c r="O1201" s="309">
        <v>4001</v>
      </c>
      <c r="P1201" s="302"/>
      <c r="Q1201" s="485">
        <v>0</v>
      </c>
      <c r="S1201" s="536">
        <v>0</v>
      </c>
      <c r="T1201" s="322">
        <v>0</v>
      </c>
      <c r="U1201" s="515"/>
      <c r="V1201" s="494">
        <v>90</v>
      </c>
    </row>
    <row r="1202" spans="1:22" s="7" customFormat="1" ht="15" customHeight="1">
      <c r="A1202" s="1"/>
      <c r="B1202" s="12"/>
      <c r="C1202" s="6" t="s">
        <v>2437</v>
      </c>
      <c r="D1202" s="15" t="s">
        <v>2406</v>
      </c>
      <c r="E1202" s="20" t="s">
        <v>628</v>
      </c>
      <c r="F1202" s="26"/>
      <c r="G1202" s="24"/>
      <c r="H1202" s="67"/>
      <c r="I1202" s="68"/>
      <c r="J1202" s="67"/>
      <c r="K1202" s="17" t="s">
        <v>134</v>
      </c>
      <c r="L1202" s="39"/>
      <c r="M1202" s="39"/>
      <c r="N1202" s="39">
        <v>44630</v>
      </c>
      <c r="O1202" s="38">
        <v>3991</v>
      </c>
      <c r="P1202" s="179" t="s">
        <v>23</v>
      </c>
      <c r="Q1202" s="438" t="s">
        <v>959</v>
      </c>
      <c r="S1202" s="489"/>
      <c r="T1202" s="113"/>
      <c r="U1202" s="510"/>
      <c r="V1202" s="494">
        <v>90</v>
      </c>
    </row>
    <row r="1203" spans="1:22" s="7" customFormat="1" ht="18" customHeight="1">
      <c r="A1203" s="1"/>
      <c r="B1203" s="12" t="s">
        <v>1856</v>
      </c>
      <c r="C1203" s="6" t="s">
        <v>2437</v>
      </c>
      <c r="D1203" s="15" t="s">
        <v>2406</v>
      </c>
      <c r="E1203" s="24">
        <v>5291</v>
      </c>
      <c r="F1203" s="26">
        <v>8</v>
      </c>
      <c r="G1203" s="24" t="s">
        <v>498</v>
      </c>
      <c r="H1203" s="67">
        <v>50</v>
      </c>
      <c r="I1203" s="68">
        <v>1</v>
      </c>
      <c r="J1203" s="67">
        <f>H1203*I1203</f>
        <v>50</v>
      </c>
      <c r="K1203" s="46">
        <v>0.45</v>
      </c>
      <c r="L1203" s="46">
        <f>K1203*J1203</f>
        <v>22.5</v>
      </c>
      <c r="M1203" s="162" t="s">
        <v>2219</v>
      </c>
      <c r="N1203" s="39">
        <v>44630</v>
      </c>
      <c r="O1203" s="38">
        <v>3991</v>
      </c>
      <c r="P1203" s="46">
        <f>K1203*(VLOOKUP(B1203,$C$2:$F$6,3,FALSE))</f>
        <v>0.39600000000000002</v>
      </c>
      <c r="Q1203" s="180">
        <v>0.4</v>
      </c>
      <c r="R1203" s="704">
        <f>Q1203*J1203</f>
        <v>20</v>
      </c>
      <c r="S1203" s="489">
        <v>24</v>
      </c>
      <c r="T1203" s="113">
        <f>S1203*J1203</f>
        <v>1200</v>
      </c>
      <c r="U1203" s="511"/>
      <c r="V1203" s="494">
        <v>90</v>
      </c>
    </row>
    <row r="1204" spans="1:22" ht="15.95" customHeight="1">
      <c r="C1204" s="6" t="s">
        <v>2437</v>
      </c>
      <c r="D1204" s="15" t="s">
        <v>2406</v>
      </c>
      <c r="E1204" s="24"/>
      <c r="F1204" s="138"/>
      <c r="G1204" s="44" t="s">
        <v>1993</v>
      </c>
      <c r="H1204" s="8"/>
      <c r="I1204" s="41"/>
      <c r="J1204" s="45">
        <v>1</v>
      </c>
      <c r="K1204" s="46">
        <v>12</v>
      </c>
      <c r="L1204" s="46">
        <f>K1204*J1204</f>
        <v>12</v>
      </c>
      <c r="M1204" s="112"/>
      <c r="N1204" s="39">
        <v>44630</v>
      </c>
      <c r="O1204" s="38">
        <v>3991</v>
      </c>
      <c r="P1204" s="179"/>
      <c r="Q1204" s="483">
        <v>12</v>
      </c>
      <c r="R1204" s="704">
        <f>Q1204*J1204</f>
        <v>12</v>
      </c>
      <c r="S1204" s="489">
        <v>850</v>
      </c>
      <c r="T1204" s="567">
        <f>S1204*J1204</f>
        <v>850</v>
      </c>
      <c r="U1204" s="511"/>
      <c r="V1204" s="494">
        <v>90</v>
      </c>
    </row>
    <row r="1205" spans="1:22" s="314" customFormat="1" ht="15" customHeight="1">
      <c r="A1205" s="1"/>
      <c r="B1205" s="313"/>
      <c r="C1205" s="302" t="s">
        <v>2437</v>
      </c>
      <c r="D1205" s="303" t="s">
        <v>2406</v>
      </c>
      <c r="E1205" s="304"/>
      <c r="F1205" s="305"/>
      <c r="G1205" s="305" t="s">
        <v>1227</v>
      </c>
      <c r="H1205" s="410"/>
      <c r="I1205" s="308"/>
      <c r="J1205" s="410"/>
      <c r="K1205" s="315">
        <v>27</v>
      </c>
      <c r="L1205" s="315"/>
      <c r="M1205" s="784"/>
      <c r="N1205" s="310">
        <v>44630</v>
      </c>
      <c r="O1205" s="309">
        <v>3991</v>
      </c>
      <c r="P1205" s="302"/>
      <c r="Q1205" s="485">
        <v>27</v>
      </c>
      <c r="R1205" s="704">
        <v>27</v>
      </c>
      <c r="S1205" s="537">
        <v>2159</v>
      </c>
      <c r="T1205" s="348">
        <v>2159</v>
      </c>
      <c r="U1205" s="515"/>
      <c r="V1205" s="494">
        <v>90</v>
      </c>
    </row>
    <row r="1206" spans="1:22" s="7" customFormat="1" ht="15" customHeight="1">
      <c r="A1206" s="1"/>
      <c r="B1206" s="12"/>
      <c r="C1206" s="6" t="s">
        <v>2407</v>
      </c>
      <c r="D1206" s="15" t="s">
        <v>8</v>
      </c>
      <c r="E1206" s="20" t="s">
        <v>337</v>
      </c>
      <c r="F1206" s="26"/>
      <c r="G1206" s="24"/>
      <c r="H1206" s="45"/>
      <c r="I1206" s="68"/>
      <c r="J1206" s="67"/>
      <c r="K1206" s="17" t="s">
        <v>10</v>
      </c>
      <c r="L1206" s="39"/>
      <c r="M1206" s="39"/>
      <c r="N1206" s="39">
        <v>44624</v>
      </c>
      <c r="O1206" s="38">
        <v>3973</v>
      </c>
      <c r="P1206" s="6"/>
      <c r="Q1206" s="482"/>
      <c r="S1206" s="489"/>
      <c r="T1206" s="113"/>
      <c r="U1206" s="500"/>
      <c r="V1206" s="494">
        <v>90</v>
      </c>
    </row>
    <row r="1207" spans="1:22" s="7" customFormat="1" ht="15.75">
      <c r="A1207" s="1"/>
      <c r="B1207" s="12" t="s">
        <v>1856</v>
      </c>
      <c r="C1207" s="6" t="s">
        <v>2407</v>
      </c>
      <c r="D1207" s="15" t="s">
        <v>8</v>
      </c>
      <c r="E1207" s="24">
        <v>3705</v>
      </c>
      <c r="F1207" s="26">
        <v>25</v>
      </c>
      <c r="G1207" s="24" t="s">
        <v>537</v>
      </c>
      <c r="H1207" s="151">
        <v>30</v>
      </c>
      <c r="I1207" s="152">
        <v>2</v>
      </c>
      <c r="J1207" s="67">
        <f>H1207*I1207</f>
        <v>60</v>
      </c>
      <c r="K1207" s="46">
        <v>0.6</v>
      </c>
      <c r="L1207" s="46">
        <f>K1207*J1207</f>
        <v>36</v>
      </c>
      <c r="M1207" s="162" t="s">
        <v>2218</v>
      </c>
      <c r="N1207" s="39">
        <v>44624</v>
      </c>
      <c r="O1207" s="38">
        <v>3973</v>
      </c>
      <c r="P1207" s="46">
        <f>K1207*(VLOOKUP(B1207,$C$2:$F$6,3,FALSE))</f>
        <v>0.52800000000000002</v>
      </c>
      <c r="Q1207" s="482">
        <v>0.53</v>
      </c>
      <c r="R1207" s="704">
        <f>Q1207*J1207</f>
        <v>31.8</v>
      </c>
      <c r="S1207" s="489">
        <v>27.3</v>
      </c>
      <c r="T1207" s="567">
        <f>S1207*J1207</f>
        <v>1638</v>
      </c>
      <c r="U1207" s="1862" t="s">
        <v>1889</v>
      </c>
      <c r="V1207" s="494">
        <v>90</v>
      </c>
    </row>
    <row r="1208" spans="1:22" ht="15.95" customHeight="1">
      <c r="B1208" s="28" t="s">
        <v>1862</v>
      </c>
      <c r="C1208" s="6" t="s">
        <v>2407</v>
      </c>
      <c r="D1208" s="15" t="s">
        <v>8</v>
      </c>
      <c r="E1208" s="24"/>
      <c r="F1208" s="138"/>
      <c r="G1208" s="44" t="s">
        <v>1993</v>
      </c>
      <c r="H1208" s="8"/>
      <c r="I1208" s="41"/>
      <c r="J1208" s="45">
        <v>1</v>
      </c>
      <c r="K1208" s="46">
        <v>12</v>
      </c>
      <c r="L1208" s="46">
        <f>K1208*J1208</f>
        <v>12</v>
      </c>
      <c r="M1208" s="112"/>
      <c r="N1208" s="39">
        <v>44624</v>
      </c>
      <c r="O1208" s="38">
        <v>3973</v>
      </c>
      <c r="P1208" s="46">
        <f>K1208*(VLOOKUP(B1208,$C$2:$F$6,3,FALSE))</f>
        <v>12</v>
      </c>
      <c r="Q1208" s="180">
        <v>12</v>
      </c>
      <c r="R1208" s="704">
        <f>Q1208*J1208</f>
        <v>12</v>
      </c>
      <c r="S1208" s="498">
        <v>800</v>
      </c>
      <c r="T1208" s="567">
        <f>S1208*J1208</f>
        <v>800</v>
      </c>
      <c r="U1208" s="511"/>
      <c r="V1208" s="494">
        <v>90</v>
      </c>
    </row>
    <row r="1209" spans="1:22" s="314" customFormat="1" ht="15" customHeight="1">
      <c r="A1209" s="1"/>
      <c r="B1209" s="313"/>
      <c r="C1209" s="302" t="s">
        <v>2407</v>
      </c>
      <c r="D1209" s="303" t="s">
        <v>8</v>
      </c>
      <c r="E1209" s="304"/>
      <c r="F1209" s="305"/>
      <c r="G1209" s="305" t="s">
        <v>1227</v>
      </c>
      <c r="H1209" s="307" t="s">
        <v>1228</v>
      </c>
      <c r="I1209" s="308"/>
      <c r="J1209" s="306"/>
      <c r="K1209" s="315">
        <v>0</v>
      </c>
      <c r="L1209" s="310"/>
      <c r="M1209" s="310"/>
      <c r="N1209" s="310">
        <v>44624</v>
      </c>
      <c r="O1209" s="309">
        <v>3973</v>
      </c>
      <c r="P1209" s="302"/>
      <c r="Q1209" s="485">
        <v>0</v>
      </c>
      <c r="S1209" s="535">
        <v>0</v>
      </c>
      <c r="T1209" s="322">
        <v>0</v>
      </c>
      <c r="U1209" s="515"/>
      <c r="V1209" s="494">
        <v>90</v>
      </c>
    </row>
    <row r="1210" spans="1:22" s="7" customFormat="1" ht="15" customHeight="1">
      <c r="A1210" s="1"/>
      <c r="B1210" s="12"/>
      <c r="C1210" s="6" t="s">
        <v>2425</v>
      </c>
      <c r="D1210" s="15" t="s">
        <v>2426</v>
      </c>
      <c r="E1210" s="20" t="s">
        <v>2427</v>
      </c>
      <c r="F1210" s="26"/>
      <c r="G1210" s="24"/>
      <c r="H1210" s="45"/>
      <c r="I1210" s="68"/>
      <c r="J1210" s="67"/>
      <c r="K1210" s="17" t="s">
        <v>10</v>
      </c>
      <c r="L1210" s="39"/>
      <c r="M1210" s="39"/>
      <c r="N1210" s="39">
        <v>44635</v>
      </c>
      <c r="O1210" s="38">
        <v>3987</v>
      </c>
      <c r="P1210" s="6"/>
      <c r="Q1210" s="482"/>
      <c r="S1210" s="489"/>
      <c r="T1210" s="113"/>
      <c r="U1210" s="500"/>
      <c r="V1210" s="494">
        <v>90</v>
      </c>
    </row>
    <row r="1211" spans="1:22" s="7" customFormat="1" ht="15.75">
      <c r="A1211" s="1"/>
      <c r="B1211" s="12" t="s">
        <v>1856</v>
      </c>
      <c r="C1211" s="6" t="s">
        <v>2425</v>
      </c>
      <c r="D1211" s="15" t="s">
        <v>2426</v>
      </c>
      <c r="E1211" s="24">
        <v>5613</v>
      </c>
      <c r="F1211" s="26"/>
      <c r="G1211" s="24" t="s">
        <v>1761</v>
      </c>
      <c r="H1211" s="151">
        <v>50</v>
      </c>
      <c r="I1211" s="152">
        <v>7</v>
      </c>
      <c r="J1211" s="67">
        <f>H1211*I1211</f>
        <v>350</v>
      </c>
      <c r="K1211" s="46">
        <v>0.56000000000000005</v>
      </c>
      <c r="L1211" s="46">
        <f>K1211*J1211</f>
        <v>196.00000000000003</v>
      </c>
      <c r="M1211" s="162" t="s">
        <v>2219</v>
      </c>
      <c r="N1211" s="39">
        <v>44635</v>
      </c>
      <c r="O1211" s="38">
        <v>3987</v>
      </c>
      <c r="P1211" s="46">
        <f>K1211*(VLOOKUP(B1211,$C$2:$F$6,3,FALSE))</f>
        <v>0.49280000000000007</v>
      </c>
      <c r="Q1211" s="482">
        <v>0.49</v>
      </c>
      <c r="R1211" s="704">
        <f>Q1211*J1211</f>
        <v>171.5</v>
      </c>
      <c r="S1211" s="489">
        <v>29.8</v>
      </c>
      <c r="T1211" s="567">
        <f>S1211*J1211</f>
        <v>10430</v>
      </c>
      <c r="U1211" s="1862"/>
      <c r="V1211" s="494">
        <v>90</v>
      </c>
    </row>
    <row r="1212" spans="1:22" ht="15.95" customHeight="1">
      <c r="B1212" s="28" t="s">
        <v>1862</v>
      </c>
      <c r="C1212" s="6" t="s">
        <v>2425</v>
      </c>
      <c r="D1212" s="15" t="s">
        <v>2426</v>
      </c>
      <c r="E1212" s="24"/>
      <c r="F1212" s="138"/>
      <c r="G1212" s="44" t="s">
        <v>1993</v>
      </c>
      <c r="H1212" s="8"/>
      <c r="I1212" s="41"/>
      <c r="J1212" s="45">
        <v>1</v>
      </c>
      <c r="K1212" s="46">
        <v>12</v>
      </c>
      <c r="L1212" s="46">
        <f>K1212*J1212</f>
        <v>12</v>
      </c>
      <c r="M1212" s="112"/>
      <c r="N1212" s="39">
        <v>44635</v>
      </c>
      <c r="O1212" s="38">
        <v>3987</v>
      </c>
      <c r="P1212" s="46">
        <f>K1212*(VLOOKUP(B1212,$C$2:$F$6,3,FALSE))</f>
        <v>12</v>
      </c>
      <c r="Q1212" s="180">
        <v>12</v>
      </c>
      <c r="R1212" s="704">
        <f>Q1212*J1212</f>
        <v>12</v>
      </c>
      <c r="S1212" s="498">
        <v>1100</v>
      </c>
      <c r="T1212" s="567">
        <f>S1212*J1212</f>
        <v>1100</v>
      </c>
      <c r="U1212" s="511"/>
      <c r="V1212" s="494">
        <v>90</v>
      </c>
    </row>
    <row r="1213" spans="1:22" s="314" customFormat="1" ht="15" customHeight="1">
      <c r="A1213" s="1"/>
      <c r="B1213" s="313"/>
      <c r="C1213" s="302" t="s">
        <v>2425</v>
      </c>
      <c r="D1213" s="303" t="s">
        <v>2426</v>
      </c>
      <c r="E1213" s="304"/>
      <c r="F1213" s="305"/>
      <c r="G1213" s="305" t="s">
        <v>1227</v>
      </c>
      <c r="H1213" s="307" t="s">
        <v>1243</v>
      </c>
      <c r="I1213" s="308"/>
      <c r="J1213" s="306"/>
      <c r="K1213" s="796">
        <v>52</v>
      </c>
      <c r="L1213" s="311"/>
      <c r="M1213" s="310"/>
      <c r="N1213" s="310">
        <v>44635</v>
      </c>
      <c r="O1213" s="309">
        <v>3987</v>
      </c>
      <c r="P1213" s="302"/>
      <c r="Q1213" s="797">
        <v>52</v>
      </c>
      <c r="R1213" s="704">
        <v>52</v>
      </c>
      <c r="S1213" s="321">
        <v>4596</v>
      </c>
      <c r="T1213" s="321">
        <v>4596</v>
      </c>
      <c r="U1213" s="798"/>
      <c r="V1213" s="494">
        <v>90</v>
      </c>
    </row>
    <row r="1214" spans="1:22" s="7" customFormat="1" ht="18" customHeight="1">
      <c r="A1214" s="1"/>
      <c r="B1214" s="12"/>
      <c r="C1214" s="6" t="s">
        <v>2428</v>
      </c>
      <c r="D1214" s="15" t="s">
        <v>990</v>
      </c>
      <c r="E1214" s="20" t="s">
        <v>1003</v>
      </c>
      <c r="F1214" s="24"/>
      <c r="G1214" s="44"/>
      <c r="H1214" s="151"/>
      <c r="I1214" s="151"/>
      <c r="J1214" s="151"/>
      <c r="K1214" s="153" t="s">
        <v>10</v>
      </c>
      <c r="L1214" s="39"/>
      <c r="M1214" s="39"/>
      <c r="N1214" s="39">
        <v>44628</v>
      </c>
      <c r="O1214" s="38">
        <v>3986</v>
      </c>
      <c r="P1214" s="6"/>
      <c r="Q1214" s="411"/>
      <c r="S1214" s="489"/>
      <c r="T1214" s="113"/>
      <c r="U1214" s="501"/>
      <c r="V1214" s="494">
        <v>90</v>
      </c>
    </row>
    <row r="1215" spans="1:22" s="7" customFormat="1" ht="15.95" customHeight="1">
      <c r="A1215" s="1"/>
      <c r="B1215" s="12" t="s">
        <v>1856</v>
      </c>
      <c r="C1215" s="6" t="s">
        <v>2428</v>
      </c>
      <c r="D1215" s="15" t="s">
        <v>990</v>
      </c>
      <c r="E1215" s="24" t="s">
        <v>93</v>
      </c>
      <c r="F1215" s="44"/>
      <c r="G1215" s="44" t="s">
        <v>78</v>
      </c>
      <c r="H1215" s="8">
        <v>14</v>
      </c>
      <c r="I1215" s="41">
        <v>2</v>
      </c>
      <c r="J1215" s="67">
        <f>I1215*H1215</f>
        <v>28</v>
      </c>
      <c r="K1215" s="46">
        <v>1.06</v>
      </c>
      <c r="L1215" s="46">
        <f>K1215*J1215</f>
        <v>29.68</v>
      </c>
      <c r="M1215" s="162" t="s">
        <v>2219</v>
      </c>
      <c r="N1215" s="39">
        <v>44628</v>
      </c>
      <c r="O1215" s="38">
        <v>3986</v>
      </c>
      <c r="P1215" s="46">
        <f>K1215*(VLOOKUP(B1215,$C$2:$F$6,3,FALSE))</f>
        <v>0.93280000000000007</v>
      </c>
      <c r="Q1215" s="483">
        <v>0.93</v>
      </c>
      <c r="R1215" s="704">
        <f>Q1215*J1215</f>
        <v>26.040000000000003</v>
      </c>
      <c r="S1215" s="489">
        <v>57</v>
      </c>
      <c r="T1215" s="567">
        <f>S1215*J1215</f>
        <v>1596</v>
      </c>
      <c r="U1215" s="517"/>
      <c r="V1215" s="494">
        <v>90</v>
      </c>
    </row>
    <row r="1216" spans="1:22" s="7" customFormat="1" ht="15.95" customHeight="1">
      <c r="A1216" s="1"/>
      <c r="B1216" s="12" t="s">
        <v>1856</v>
      </c>
      <c r="C1216" s="6" t="s">
        <v>2428</v>
      </c>
      <c r="D1216" s="15" t="s">
        <v>990</v>
      </c>
      <c r="E1216" s="24" t="s">
        <v>1533</v>
      </c>
      <c r="F1216" s="44"/>
      <c r="G1216" s="44" t="s">
        <v>78</v>
      </c>
      <c r="H1216" s="8">
        <v>14</v>
      </c>
      <c r="I1216" s="41">
        <v>2</v>
      </c>
      <c r="J1216" s="67">
        <f>I1216*H1216</f>
        <v>28</v>
      </c>
      <c r="K1216" s="46">
        <v>3.58</v>
      </c>
      <c r="L1216" s="46">
        <f>K1216*J1216</f>
        <v>100.24000000000001</v>
      </c>
      <c r="M1216" s="162" t="s">
        <v>2219</v>
      </c>
      <c r="N1216" s="39">
        <v>44628</v>
      </c>
      <c r="O1216" s="38">
        <v>3986</v>
      </c>
      <c r="P1216" s="46">
        <f>K1216*(VLOOKUP(B1216,$C$2:$F$6,3,FALSE))</f>
        <v>3.1503999999999999</v>
      </c>
      <c r="Q1216" s="483">
        <v>3.15</v>
      </c>
      <c r="R1216" s="704">
        <f>Q1216*J1216</f>
        <v>88.2</v>
      </c>
      <c r="S1216" s="489">
        <v>193</v>
      </c>
      <c r="T1216" s="567">
        <f>S1216*J1216</f>
        <v>5404</v>
      </c>
      <c r="U1216" s="517"/>
      <c r="V1216" s="494">
        <v>90</v>
      </c>
    </row>
    <row r="1217" spans="1:22" s="7" customFormat="1" ht="15.95" customHeight="1">
      <c r="A1217" s="1"/>
      <c r="B1217" s="12" t="s">
        <v>1856</v>
      </c>
      <c r="C1217" s="6" t="s">
        <v>2428</v>
      </c>
      <c r="D1217" s="15" t="s">
        <v>990</v>
      </c>
      <c r="E1217" s="24" t="s">
        <v>1533</v>
      </c>
      <c r="F1217" s="44"/>
      <c r="G1217" s="44" t="s">
        <v>78</v>
      </c>
      <c r="H1217" s="8">
        <v>8</v>
      </c>
      <c r="I1217" s="41">
        <v>1</v>
      </c>
      <c r="J1217" s="67">
        <f>I1217*H1217</f>
        <v>8</v>
      </c>
      <c r="K1217" s="46">
        <v>3.58</v>
      </c>
      <c r="L1217" s="46">
        <f>K1217*J1217</f>
        <v>28.64</v>
      </c>
      <c r="M1217" s="162" t="s">
        <v>2219</v>
      </c>
      <c r="N1217" s="39">
        <v>44628</v>
      </c>
      <c r="O1217" s="38">
        <v>3986</v>
      </c>
      <c r="P1217" s="46">
        <f>K1217*(VLOOKUP(B1217,$C$2:$F$6,3,FALSE))</f>
        <v>3.1503999999999999</v>
      </c>
      <c r="Q1217" s="483">
        <v>3.15</v>
      </c>
      <c r="R1217" s="704">
        <f>Q1217*J1217</f>
        <v>25.2</v>
      </c>
      <c r="S1217" s="489">
        <v>193</v>
      </c>
      <c r="T1217" s="567">
        <f>S1217*J1217</f>
        <v>1544</v>
      </c>
      <c r="U1217" s="517"/>
      <c r="V1217" s="494">
        <v>90</v>
      </c>
    </row>
    <row r="1218" spans="1:22" ht="15.95" customHeight="1">
      <c r="B1218" s="12" t="s">
        <v>1862</v>
      </c>
      <c r="C1218" s="6" t="s">
        <v>2428</v>
      </c>
      <c r="D1218" s="15" t="s">
        <v>990</v>
      </c>
      <c r="E1218" s="24"/>
      <c r="F1218" s="138"/>
      <c r="G1218" s="44" t="s">
        <v>1993</v>
      </c>
      <c r="H1218" s="8"/>
      <c r="I1218" s="41"/>
      <c r="J1218" s="45">
        <v>2</v>
      </c>
      <c r="K1218" s="46">
        <v>12</v>
      </c>
      <c r="L1218" s="46">
        <f>K1218*J1218</f>
        <v>24</v>
      </c>
      <c r="M1218" s="112"/>
      <c r="N1218" s="39">
        <v>44628</v>
      </c>
      <c r="O1218" s="38">
        <v>3986</v>
      </c>
      <c r="P1218" s="46">
        <f>K1218*(VLOOKUP(B1218,$C$2:$F$6,3,FALSE))</f>
        <v>12</v>
      </c>
      <c r="Q1218" s="483">
        <v>24</v>
      </c>
      <c r="R1218" s="704">
        <v>24</v>
      </c>
      <c r="S1218" s="489">
        <f>900+900</f>
        <v>1800</v>
      </c>
      <c r="T1218" s="489">
        <f>900+900</f>
        <v>1800</v>
      </c>
      <c r="U1218" s="511"/>
      <c r="V1218" s="494">
        <v>90</v>
      </c>
    </row>
    <row r="1219" spans="1:22" s="314" customFormat="1" ht="15">
      <c r="A1219" s="1"/>
      <c r="B1219" s="313"/>
      <c r="C1219" s="302" t="s">
        <v>2428</v>
      </c>
      <c r="D1219" s="303" t="s">
        <v>990</v>
      </c>
      <c r="E1219" s="304"/>
      <c r="F1219" s="305"/>
      <c r="G1219" s="305" t="s">
        <v>1227</v>
      </c>
      <c r="H1219" s="307" t="s">
        <v>1228</v>
      </c>
      <c r="I1219" s="308"/>
      <c r="J1219" s="306"/>
      <c r="K1219" s="315">
        <v>0</v>
      </c>
      <c r="L1219" s="310"/>
      <c r="M1219" s="310"/>
      <c r="N1219" s="310">
        <v>44628</v>
      </c>
      <c r="O1219" s="309">
        <v>3986</v>
      </c>
      <c r="P1219" s="302"/>
      <c r="Q1219" s="485">
        <v>0</v>
      </c>
      <c r="S1219" s="536">
        <v>0</v>
      </c>
      <c r="T1219" s="567">
        <f>S1219*J1219</f>
        <v>0</v>
      </c>
      <c r="U1219" s="515"/>
      <c r="V1219" s="494">
        <v>90</v>
      </c>
    </row>
    <row r="1220" spans="1:22" s="7" customFormat="1" ht="18" customHeight="1">
      <c r="A1220" s="1"/>
      <c r="B1220" s="12"/>
      <c r="C1220" s="6" t="s">
        <v>2430</v>
      </c>
      <c r="D1220" s="15" t="s">
        <v>2434</v>
      </c>
      <c r="E1220" s="18" t="s">
        <v>2431</v>
      </c>
      <c r="F1220" s="700"/>
      <c r="G1220" s="640"/>
      <c r="H1220" s="641"/>
      <c r="I1220" s="701"/>
      <c r="J1220" s="702"/>
      <c r="K1220" s="153" t="s">
        <v>1027</v>
      </c>
      <c r="L1220" s="219"/>
      <c r="M1220" s="11"/>
      <c r="N1220" s="39">
        <v>44659</v>
      </c>
      <c r="O1220" s="38">
        <v>4097</v>
      </c>
      <c r="P1220" s="6"/>
      <c r="Q1220" s="703"/>
      <c r="U1220" s="46"/>
      <c r="V1220" s="494">
        <v>90</v>
      </c>
    </row>
    <row r="1221" spans="1:22" ht="18" customHeight="1">
      <c r="B1221" s="28" t="s">
        <v>1856</v>
      </c>
      <c r="C1221" s="6" t="s">
        <v>2430</v>
      </c>
      <c r="D1221" s="15" t="s">
        <v>2434</v>
      </c>
      <c r="E1221" s="62" t="s">
        <v>2708</v>
      </c>
      <c r="F1221" s="44">
        <v>9</v>
      </c>
      <c r="G1221" s="20" t="s">
        <v>2432</v>
      </c>
      <c r="H1221" s="151"/>
      <c r="I1221" s="152"/>
      <c r="J1221" s="261">
        <v>779</v>
      </c>
      <c r="K1221" s="46">
        <v>1.43</v>
      </c>
      <c r="L1221" s="46">
        <f>K1221*J1221</f>
        <v>1113.97</v>
      </c>
      <c r="M1221" s="162" t="s">
        <v>2446</v>
      </c>
      <c r="N1221" s="39">
        <v>44659</v>
      </c>
      <c r="O1221" s="38">
        <v>4097</v>
      </c>
      <c r="P1221" s="46">
        <f>K1221*(VLOOKUP(B1221,$C$2:$F$6,3,FALSE))</f>
        <v>1.2584</v>
      </c>
      <c r="Q1221" s="482">
        <v>1.26</v>
      </c>
      <c r="R1221" s="704">
        <f>Q1221*J1221</f>
        <v>981.54</v>
      </c>
      <c r="S1221" s="489">
        <v>77</v>
      </c>
      <c r="T1221" s="567">
        <f>S1221*J1221</f>
        <v>59983</v>
      </c>
      <c r="U1221" s="507"/>
      <c r="V1221" s="494">
        <v>90</v>
      </c>
    </row>
    <row r="1222" spans="1:22" ht="18" customHeight="1">
      <c r="B1222" s="28" t="s">
        <v>1856</v>
      </c>
      <c r="C1222" s="6" t="s">
        <v>2430</v>
      </c>
      <c r="D1222" s="15" t="s">
        <v>2434</v>
      </c>
      <c r="E1222" s="62" t="s">
        <v>2708</v>
      </c>
      <c r="F1222" s="44">
        <v>9</v>
      </c>
      <c r="G1222" s="24" t="s">
        <v>2433</v>
      </c>
      <c r="H1222" s="151"/>
      <c r="I1222" s="152"/>
      <c r="J1222" s="261">
        <v>370</v>
      </c>
      <c r="K1222" s="46">
        <v>1.43</v>
      </c>
      <c r="L1222" s="46">
        <f>K1222*J1222</f>
        <v>529.1</v>
      </c>
      <c r="M1222" s="162" t="s">
        <v>2446</v>
      </c>
      <c r="N1222" s="39">
        <v>44659</v>
      </c>
      <c r="O1222" s="38">
        <v>4097</v>
      </c>
      <c r="P1222" s="46">
        <f>K1222*(VLOOKUP(B1222,$C$2:$F$6,3,FALSE))</f>
        <v>1.2584</v>
      </c>
      <c r="Q1222" s="482">
        <v>1.26</v>
      </c>
      <c r="R1222" s="704">
        <f>Q1222*J1222</f>
        <v>466.2</v>
      </c>
      <c r="S1222" s="489">
        <v>77</v>
      </c>
      <c r="T1222" s="567">
        <f>S1222*J1222</f>
        <v>28490</v>
      </c>
      <c r="U1222" s="507"/>
      <c r="V1222" s="494">
        <v>90</v>
      </c>
    </row>
    <row r="1223" spans="1:22" ht="18" customHeight="1">
      <c r="B1223" s="28" t="s">
        <v>1856</v>
      </c>
      <c r="C1223" s="6" t="s">
        <v>2430</v>
      </c>
      <c r="D1223" s="15" t="s">
        <v>2434</v>
      </c>
      <c r="E1223" s="62" t="s">
        <v>2708</v>
      </c>
      <c r="F1223" s="44">
        <v>9</v>
      </c>
      <c r="G1223" s="24" t="s">
        <v>2330</v>
      </c>
      <c r="H1223" s="151"/>
      <c r="I1223" s="152"/>
      <c r="J1223" s="261">
        <v>370</v>
      </c>
      <c r="K1223" s="46">
        <v>1.43</v>
      </c>
      <c r="L1223" s="46">
        <f>K1223*J1223</f>
        <v>529.1</v>
      </c>
      <c r="M1223" s="162" t="s">
        <v>2446</v>
      </c>
      <c r="N1223" s="39">
        <v>44659</v>
      </c>
      <c r="O1223" s="38">
        <v>4097</v>
      </c>
      <c r="P1223" s="46">
        <f>K1223*(VLOOKUP(B1223,$C$2:$F$6,3,FALSE))</f>
        <v>1.2584</v>
      </c>
      <c r="Q1223" s="482">
        <v>1.26</v>
      </c>
      <c r="R1223" s="704">
        <f>Q1223*J1223</f>
        <v>466.2</v>
      </c>
      <c r="S1223" s="489">
        <v>77</v>
      </c>
      <c r="T1223" s="567">
        <f>S1223*J1223</f>
        <v>28490</v>
      </c>
      <c r="U1223" s="507"/>
      <c r="V1223" s="494">
        <v>90</v>
      </c>
    </row>
    <row r="1224" spans="1:22" s="7" customFormat="1" ht="15.95" customHeight="1">
      <c r="A1224" s="1"/>
      <c r="B1224" s="12" t="s">
        <v>1862</v>
      </c>
      <c r="C1224" s="6" t="s">
        <v>2430</v>
      </c>
      <c r="D1224" s="15" t="s">
        <v>2434</v>
      </c>
      <c r="E1224" s="24"/>
      <c r="F1224" s="138"/>
      <c r="G1224" s="44" t="s">
        <v>2014</v>
      </c>
      <c r="H1224" s="8"/>
      <c r="I1224" s="41"/>
      <c r="J1224" s="45">
        <v>3</v>
      </c>
      <c r="K1224" s="46">
        <v>140</v>
      </c>
      <c r="L1224" s="46">
        <f>K1224*J1224</f>
        <v>420</v>
      </c>
      <c r="M1224" s="39"/>
      <c r="N1224" s="39">
        <v>44659</v>
      </c>
      <c r="O1224" s="38">
        <v>4097</v>
      </c>
      <c r="P1224" s="46">
        <f>K1224*(VLOOKUP(B1224,$C$2:$F$6,3,FALSE))</f>
        <v>140</v>
      </c>
      <c r="Q1224" s="483">
        <v>420</v>
      </c>
      <c r="R1224" s="704">
        <v>420</v>
      </c>
      <c r="S1224" s="489">
        <v>10000</v>
      </c>
      <c r="T1224" s="113">
        <f>S1224*J1224</f>
        <v>30000</v>
      </c>
      <c r="U1224" s="501"/>
      <c r="V1224" s="494">
        <v>90</v>
      </c>
    </row>
    <row r="1225" spans="1:22" s="7" customFormat="1" ht="18" customHeight="1">
      <c r="A1225" s="1"/>
      <c r="B1225" s="12"/>
      <c r="C1225" s="6" t="s">
        <v>2430</v>
      </c>
      <c r="D1225" s="15" t="s">
        <v>2434</v>
      </c>
      <c r="E1225" s="18" t="s">
        <v>2431</v>
      </c>
      <c r="F1225" s="700"/>
      <c r="G1225" s="640"/>
      <c r="H1225" s="641"/>
      <c r="I1225" s="701"/>
      <c r="J1225" s="702"/>
      <c r="K1225" s="153" t="s">
        <v>1027</v>
      </c>
      <c r="L1225" s="219"/>
      <c r="M1225" s="11"/>
      <c r="N1225" s="39">
        <v>44673</v>
      </c>
      <c r="O1225" s="38">
        <v>4139</v>
      </c>
      <c r="P1225" s="6"/>
      <c r="Q1225" s="703"/>
      <c r="U1225" s="46"/>
      <c r="V1225" s="494">
        <v>90</v>
      </c>
    </row>
    <row r="1226" spans="1:22" ht="18" customHeight="1">
      <c r="B1226" s="28" t="s">
        <v>1856</v>
      </c>
      <c r="C1226" s="6" t="s">
        <v>2430</v>
      </c>
      <c r="D1226" s="15" t="s">
        <v>2434</v>
      </c>
      <c r="E1226" s="62" t="s">
        <v>2708</v>
      </c>
      <c r="F1226" s="44">
        <v>9</v>
      </c>
      <c r="G1226" s="20" t="s">
        <v>2432</v>
      </c>
      <c r="H1226" s="151"/>
      <c r="I1226" s="152"/>
      <c r="J1226" s="261">
        <v>361</v>
      </c>
      <c r="K1226" s="46">
        <v>1.43</v>
      </c>
      <c r="L1226" s="46">
        <f>K1226*J1226</f>
        <v>516.23</v>
      </c>
      <c r="M1226" s="162" t="s">
        <v>2446</v>
      </c>
      <c r="N1226" s="39">
        <v>44673</v>
      </c>
      <c r="O1226" s="38">
        <v>4139</v>
      </c>
      <c r="P1226" s="46">
        <f>K1226*(VLOOKUP(B1226,$C$2:$F$6,3,FALSE))</f>
        <v>1.2584</v>
      </c>
      <c r="Q1226" s="482">
        <v>1.26</v>
      </c>
      <c r="R1226" s="704">
        <f>Q1226*J1226</f>
        <v>454.86</v>
      </c>
      <c r="S1226" s="489">
        <v>77</v>
      </c>
      <c r="T1226" s="567">
        <f>S1226*J1226</f>
        <v>27797</v>
      </c>
      <c r="U1226" s="507"/>
      <c r="V1226" s="494">
        <v>90</v>
      </c>
    </row>
    <row r="1227" spans="1:22" s="314" customFormat="1" ht="15">
      <c r="A1227" s="1"/>
      <c r="B1227" s="313"/>
      <c r="C1227" s="302" t="s">
        <v>2430</v>
      </c>
      <c r="D1227" s="303" t="s">
        <v>2434</v>
      </c>
      <c r="E1227" s="371"/>
      <c r="F1227" s="305"/>
      <c r="G1227" s="305" t="s">
        <v>1227</v>
      </c>
      <c r="H1227" s="307" t="s">
        <v>1228</v>
      </c>
      <c r="I1227" s="308"/>
      <c r="J1227" s="306"/>
      <c r="K1227" s="315">
        <v>0</v>
      </c>
      <c r="L1227" s="310"/>
      <c r="M1227" s="310"/>
      <c r="N1227" s="310">
        <v>44673</v>
      </c>
      <c r="O1227" s="309">
        <v>4139</v>
      </c>
      <c r="P1227" s="302"/>
      <c r="Q1227" s="485">
        <v>0</v>
      </c>
      <c r="S1227" s="536">
        <v>0</v>
      </c>
      <c r="T1227" s="322">
        <v>0</v>
      </c>
      <c r="U1227" s="515"/>
      <c r="V1227" s="494">
        <v>90</v>
      </c>
    </row>
    <row r="1228" spans="1:22" s="7" customFormat="1" ht="18" customHeight="1">
      <c r="A1228" s="1"/>
      <c r="B1228" s="12"/>
      <c r="C1228" s="6" t="s">
        <v>2450</v>
      </c>
      <c r="D1228" s="15" t="s">
        <v>586</v>
      </c>
      <c r="E1228" s="20" t="s">
        <v>1003</v>
      </c>
      <c r="F1228" s="24"/>
      <c r="G1228" s="44"/>
      <c r="H1228" s="151"/>
      <c r="I1228" s="151"/>
      <c r="J1228" s="151"/>
      <c r="K1228" s="153" t="s">
        <v>10</v>
      </c>
      <c r="L1228" s="39"/>
      <c r="M1228" s="39"/>
      <c r="N1228" s="39">
        <v>44631</v>
      </c>
      <c r="O1228" s="38">
        <v>3998</v>
      </c>
      <c r="P1228" s="6"/>
      <c r="Q1228" s="411"/>
      <c r="S1228" s="489"/>
      <c r="T1228" s="113"/>
      <c r="U1228" s="501"/>
      <c r="V1228" s="494">
        <v>90</v>
      </c>
    </row>
    <row r="1229" spans="1:22" s="7" customFormat="1" ht="15.95" customHeight="1">
      <c r="A1229" s="1"/>
      <c r="B1229" s="12" t="s">
        <v>1856</v>
      </c>
      <c r="C1229" s="6" t="s">
        <v>2450</v>
      </c>
      <c r="D1229" s="15" t="s">
        <v>586</v>
      </c>
      <c r="E1229" s="24" t="s">
        <v>1801</v>
      </c>
      <c r="F1229" s="44"/>
      <c r="G1229" s="44" t="s">
        <v>78</v>
      </c>
      <c r="H1229" s="8">
        <v>14</v>
      </c>
      <c r="I1229" s="41">
        <v>21</v>
      </c>
      <c r="J1229" s="67">
        <f>H1229*I1229</f>
        <v>294</v>
      </c>
      <c r="K1229" s="46">
        <v>1.6</v>
      </c>
      <c r="L1229" s="46">
        <f>K1229*J1229</f>
        <v>470.40000000000003</v>
      </c>
      <c r="M1229" s="162" t="s">
        <v>2219</v>
      </c>
      <c r="N1229" s="39">
        <v>44631</v>
      </c>
      <c r="O1229" s="38">
        <v>3998</v>
      </c>
      <c r="P1229" s="180">
        <f>K1229*(VLOOKUP(B1229,$C$2:$F$6,3,FALSE))</f>
        <v>1.4080000000000001</v>
      </c>
      <c r="Q1229" s="483">
        <v>1.41</v>
      </c>
      <c r="R1229" s="704">
        <f>Q1229*J1229</f>
        <v>414.53999999999996</v>
      </c>
      <c r="S1229" s="489">
        <v>86</v>
      </c>
      <c r="T1229" s="113">
        <f>S1229*J1229</f>
        <v>25284</v>
      </c>
      <c r="U1229" s="517"/>
      <c r="V1229" s="494">
        <v>90</v>
      </c>
    </row>
    <row r="1230" spans="1:22" ht="15.95" customHeight="1">
      <c r="B1230" s="12" t="s">
        <v>1862</v>
      </c>
      <c r="C1230" s="6" t="s">
        <v>2450</v>
      </c>
      <c r="D1230" s="15" t="s">
        <v>586</v>
      </c>
      <c r="E1230" s="24"/>
      <c r="F1230" s="138"/>
      <c r="G1230" s="44" t="s">
        <v>1993</v>
      </c>
      <c r="H1230" s="8"/>
      <c r="I1230" s="41"/>
      <c r="J1230" s="45">
        <v>1</v>
      </c>
      <c r="K1230" s="46">
        <v>12</v>
      </c>
      <c r="L1230" s="46">
        <f>K1230*J1230</f>
        <v>12</v>
      </c>
      <c r="M1230" s="112"/>
      <c r="N1230" s="39">
        <v>44631</v>
      </c>
      <c r="O1230" s="38">
        <v>3998</v>
      </c>
      <c r="P1230" s="46">
        <f>K1230*(VLOOKUP(B1230,$C$2:$F$6,3,FALSE))</f>
        <v>12</v>
      </c>
      <c r="Q1230" s="483">
        <v>12</v>
      </c>
      <c r="R1230" s="704">
        <v>12</v>
      </c>
      <c r="S1230" s="489">
        <v>0</v>
      </c>
      <c r="T1230" s="113">
        <f>S1230*J1230</f>
        <v>0</v>
      </c>
      <c r="U1230" s="511"/>
      <c r="V1230" s="494">
        <v>90</v>
      </c>
    </row>
    <row r="1231" spans="1:22" s="314" customFormat="1" ht="15">
      <c r="A1231" s="1"/>
      <c r="B1231" s="313"/>
      <c r="C1231" s="302" t="s">
        <v>2450</v>
      </c>
      <c r="D1231" s="303" t="s">
        <v>586</v>
      </c>
      <c r="E1231" s="304"/>
      <c r="F1231" s="305"/>
      <c r="G1231" s="305" t="s">
        <v>1227</v>
      </c>
      <c r="H1231" s="307" t="s">
        <v>1228</v>
      </c>
      <c r="I1231" s="308"/>
      <c r="J1231" s="306"/>
      <c r="K1231" s="315">
        <v>0</v>
      </c>
      <c r="L1231" s="310"/>
      <c r="M1231" s="310"/>
      <c r="N1231" s="310">
        <v>44631</v>
      </c>
      <c r="O1231" s="309">
        <v>3998</v>
      </c>
      <c r="P1231" s="302"/>
      <c r="Q1231" s="485">
        <v>0</v>
      </c>
      <c r="S1231" s="536">
        <v>0</v>
      </c>
      <c r="T1231" s="322">
        <v>0</v>
      </c>
      <c r="U1231" s="515"/>
      <c r="V1231" s="494">
        <v>90</v>
      </c>
    </row>
    <row r="1232" spans="1:22" s="7" customFormat="1" ht="18" customHeight="1">
      <c r="A1232" s="1"/>
      <c r="B1232" s="12"/>
      <c r="C1232" s="6" t="s">
        <v>2452</v>
      </c>
      <c r="D1232" s="15" t="s">
        <v>2434</v>
      </c>
      <c r="E1232" s="18" t="s">
        <v>2332</v>
      </c>
      <c r="F1232" s="700"/>
      <c r="G1232" s="640"/>
      <c r="H1232" s="641"/>
      <c r="I1232" s="701"/>
      <c r="J1232" s="702"/>
      <c r="K1232" s="153" t="s">
        <v>10</v>
      </c>
      <c r="L1232" s="219"/>
      <c r="M1232" s="11"/>
      <c r="N1232" s="39">
        <v>44637</v>
      </c>
      <c r="O1232" s="38">
        <v>4011</v>
      </c>
      <c r="P1232" s="6"/>
      <c r="Q1232" s="703"/>
      <c r="U1232" s="46"/>
      <c r="V1232" s="494">
        <v>90</v>
      </c>
    </row>
    <row r="1233" spans="1:22" ht="18" customHeight="1">
      <c r="B1233" s="28" t="s">
        <v>1856</v>
      </c>
      <c r="C1233" s="6" t="s">
        <v>2452</v>
      </c>
      <c r="D1233" s="15" t="s">
        <v>2434</v>
      </c>
      <c r="E1233" s="24" t="s">
        <v>2286</v>
      </c>
      <c r="F1233" s="44">
        <v>6</v>
      </c>
      <c r="G1233" s="24" t="s">
        <v>2326</v>
      </c>
      <c r="H1233" s="151">
        <v>10</v>
      </c>
      <c r="I1233" s="152">
        <v>4</v>
      </c>
      <c r="J1233" s="67">
        <f>H1233*I1233</f>
        <v>40</v>
      </c>
      <c r="K1233" s="46">
        <v>2.1800000000000002</v>
      </c>
      <c r="L1233" s="46">
        <f>K1233*J1233</f>
        <v>87.2</v>
      </c>
      <c r="M1233" s="162" t="s">
        <v>2219</v>
      </c>
      <c r="N1233" s="39">
        <v>44637</v>
      </c>
      <c r="O1233" s="38">
        <v>4011</v>
      </c>
      <c r="P1233" s="46">
        <f>K1233*(VLOOKUP(B1233,$C$2:$F$6,3,FALSE))</f>
        <v>1.9184000000000001</v>
      </c>
      <c r="Q1233" s="482">
        <v>1.92</v>
      </c>
      <c r="R1233" s="704">
        <f>Q1233*J1233</f>
        <v>76.8</v>
      </c>
      <c r="S1233" s="489">
        <v>117.5</v>
      </c>
      <c r="T1233" s="113">
        <f>S1233*J1233</f>
        <v>4700</v>
      </c>
      <c r="U1233" s="507"/>
      <c r="V1233" s="494">
        <v>90</v>
      </c>
    </row>
    <row r="1234" spans="1:22" ht="15.95" customHeight="1">
      <c r="B1234" s="12" t="s">
        <v>1862</v>
      </c>
      <c r="C1234" s="6" t="s">
        <v>2452</v>
      </c>
      <c r="D1234" s="15" t="s">
        <v>2434</v>
      </c>
      <c r="E1234" s="24"/>
      <c r="F1234" s="138"/>
      <c r="G1234" s="44" t="s">
        <v>1993</v>
      </c>
      <c r="H1234" s="8"/>
      <c r="I1234" s="41"/>
      <c r="J1234" s="45">
        <v>1</v>
      </c>
      <c r="K1234" s="46">
        <v>12</v>
      </c>
      <c r="L1234" s="46">
        <f>K1234*J1234</f>
        <v>12</v>
      </c>
      <c r="M1234" s="112"/>
      <c r="N1234" s="39">
        <v>44637</v>
      </c>
      <c r="O1234" s="38">
        <v>4011</v>
      </c>
      <c r="P1234" s="46">
        <f>K1234*(VLOOKUP(B1234,$C$2:$F$6,3,FALSE))</f>
        <v>12</v>
      </c>
      <c r="Q1234" s="483">
        <v>12</v>
      </c>
      <c r="R1234" s="704">
        <v>12</v>
      </c>
      <c r="S1234" s="489">
        <v>1000</v>
      </c>
      <c r="T1234" s="113">
        <f>S1234*J1234</f>
        <v>1000</v>
      </c>
      <c r="U1234" s="511"/>
      <c r="V1234" s="494">
        <v>90</v>
      </c>
    </row>
    <row r="1235" spans="1:22" s="314" customFormat="1" ht="15">
      <c r="A1235" s="1"/>
      <c r="B1235" s="313"/>
      <c r="C1235" s="302" t="s">
        <v>2452</v>
      </c>
      <c r="D1235" s="303" t="s">
        <v>2434</v>
      </c>
      <c r="E1235" s="304"/>
      <c r="F1235" s="305"/>
      <c r="G1235" s="305" t="s">
        <v>1227</v>
      </c>
      <c r="H1235" s="307" t="s">
        <v>1228</v>
      </c>
      <c r="I1235" s="308"/>
      <c r="J1235" s="306"/>
      <c r="K1235" s="315">
        <v>0</v>
      </c>
      <c r="L1235" s="310"/>
      <c r="M1235" s="310"/>
      <c r="N1235" s="310">
        <v>44637</v>
      </c>
      <c r="O1235" s="309">
        <v>4011</v>
      </c>
      <c r="P1235" s="302"/>
      <c r="Q1235" s="485">
        <v>0</v>
      </c>
      <c r="S1235" s="536">
        <v>0</v>
      </c>
      <c r="T1235" s="322">
        <v>0</v>
      </c>
      <c r="U1235" s="515"/>
      <c r="V1235" s="494">
        <v>90</v>
      </c>
    </row>
    <row r="1236" spans="1:22" s="7" customFormat="1" ht="15" customHeight="1">
      <c r="A1236" s="1"/>
      <c r="B1236" s="12"/>
      <c r="C1236" s="6" t="s">
        <v>2453</v>
      </c>
      <c r="D1236" s="15" t="s">
        <v>11</v>
      </c>
      <c r="E1236" s="20" t="s">
        <v>27</v>
      </c>
      <c r="F1236" s="150"/>
      <c r="G1236" s="24"/>
      <c r="H1236" s="151"/>
      <c r="I1236" s="152"/>
      <c r="J1236" s="151"/>
      <c r="K1236" s="34" t="s">
        <v>10</v>
      </c>
      <c r="L1236" s="39"/>
      <c r="M1236" s="39"/>
      <c r="N1236" s="39">
        <v>44637</v>
      </c>
      <c r="O1236" s="38">
        <v>4009</v>
      </c>
      <c r="P1236" s="15"/>
      <c r="Q1236" s="483"/>
      <c r="S1236" s="489"/>
      <c r="T1236" s="113"/>
      <c r="U1236" s="506"/>
      <c r="V1236" s="494">
        <v>90</v>
      </c>
    </row>
    <row r="1237" spans="1:22" s="7" customFormat="1" ht="15.75">
      <c r="A1237" s="1"/>
      <c r="B1237" s="12" t="s">
        <v>1858</v>
      </c>
      <c r="C1237" s="6" t="s">
        <v>2453</v>
      </c>
      <c r="D1237" s="15" t="s">
        <v>11</v>
      </c>
      <c r="E1237" s="24" t="s">
        <v>536</v>
      </c>
      <c r="F1237" s="150">
        <v>160</v>
      </c>
      <c r="G1237" s="24" t="s">
        <v>859</v>
      </c>
      <c r="H1237" s="67">
        <v>50</v>
      </c>
      <c r="I1237" s="68">
        <v>4</v>
      </c>
      <c r="J1237" s="67">
        <f>H1237*I1237</f>
        <v>200</v>
      </c>
      <c r="K1237" s="25">
        <v>4.45</v>
      </c>
      <c r="L1237" s="46">
        <f>K1237*J1237</f>
        <v>890</v>
      </c>
      <c r="M1237" s="162" t="s">
        <v>2218</v>
      </c>
      <c r="N1237" s="39">
        <v>44637</v>
      </c>
      <c r="O1237" s="38">
        <v>4009</v>
      </c>
      <c r="P1237" s="46">
        <f>K1237*(VLOOKUP(B1237,$C$2:$F$6,3,FALSE))</f>
        <v>4.1829999999999998</v>
      </c>
      <c r="Q1237" s="483">
        <v>4.18</v>
      </c>
      <c r="R1237" s="704">
        <f>Q1237*J1237</f>
        <v>836</v>
      </c>
      <c r="S1237" s="532">
        <v>320</v>
      </c>
      <c r="T1237" s="113">
        <f>S1237*J1237</f>
        <v>64000</v>
      </c>
      <c r="U1237" s="501"/>
      <c r="V1237" s="494">
        <v>90</v>
      </c>
    </row>
    <row r="1238" spans="1:22" ht="15">
      <c r="C1238" s="6" t="s">
        <v>2453</v>
      </c>
      <c r="D1238" s="15" t="s">
        <v>11</v>
      </c>
      <c r="E1238" s="20" t="s">
        <v>79</v>
      </c>
      <c r="F1238" s="150"/>
      <c r="G1238" s="24"/>
      <c r="H1238" s="151"/>
      <c r="I1238" s="152"/>
      <c r="J1238" s="151"/>
      <c r="K1238" s="153" t="s">
        <v>10</v>
      </c>
      <c r="L1238" s="39"/>
      <c r="M1238" s="39"/>
      <c r="N1238" s="39">
        <v>44637</v>
      </c>
      <c r="O1238" s="38">
        <v>4009</v>
      </c>
      <c r="P1238" s="15"/>
      <c r="Q1238" s="483"/>
      <c r="S1238" s="496"/>
      <c r="T1238" s="113"/>
      <c r="V1238" s="494">
        <v>90</v>
      </c>
    </row>
    <row r="1239" spans="1:22" ht="15.75">
      <c r="B1239" s="12" t="s">
        <v>1858</v>
      </c>
      <c r="C1239" s="6" t="s">
        <v>2453</v>
      </c>
      <c r="D1239" s="15" t="s">
        <v>11</v>
      </c>
      <c r="E1239" s="24">
        <v>2440</v>
      </c>
      <c r="F1239" s="150">
        <v>140</v>
      </c>
      <c r="G1239" s="24" t="s">
        <v>859</v>
      </c>
      <c r="H1239" s="67">
        <v>58</v>
      </c>
      <c r="I1239" s="68">
        <v>20</v>
      </c>
      <c r="J1239" s="67">
        <f>H1239*I1239</f>
        <v>1160</v>
      </c>
      <c r="K1239" s="46">
        <v>3.34</v>
      </c>
      <c r="L1239" s="46">
        <f>K1239*J1239</f>
        <v>3874.3999999999996</v>
      </c>
      <c r="M1239" s="162" t="s">
        <v>2219</v>
      </c>
      <c r="N1239" s="39">
        <v>44637</v>
      </c>
      <c r="O1239" s="38">
        <v>4009</v>
      </c>
      <c r="P1239" s="46">
        <f>K1239*(VLOOKUP(B1239,$C$2:$F$6,3,FALSE))</f>
        <v>3.1395999999999997</v>
      </c>
      <c r="Q1239" s="483">
        <v>3.14</v>
      </c>
      <c r="R1239" s="704">
        <f>Q1239*J1239</f>
        <v>3642.4</v>
      </c>
      <c r="S1239" s="532">
        <v>240</v>
      </c>
      <c r="T1239" s="567">
        <f>S1239*J1239</f>
        <v>278400</v>
      </c>
      <c r="V1239" s="494">
        <v>90</v>
      </c>
    </row>
    <row r="1240" spans="1:22" ht="15">
      <c r="C1240" s="6" t="s">
        <v>2453</v>
      </c>
      <c r="D1240" s="15" t="s">
        <v>11</v>
      </c>
      <c r="E1240" s="24"/>
      <c r="F1240" s="160"/>
      <c r="G1240" s="228" t="s">
        <v>481</v>
      </c>
      <c r="H1240" s="214"/>
      <c r="I1240" s="215"/>
      <c r="J1240" s="43">
        <v>1</v>
      </c>
      <c r="K1240" s="229">
        <v>20</v>
      </c>
      <c r="L1240" s="417" t="s">
        <v>1676</v>
      </c>
      <c r="M1240" s="417"/>
      <c r="N1240" s="39">
        <v>44637</v>
      </c>
      <c r="O1240" s="38">
        <v>4009</v>
      </c>
      <c r="P1240" s="216"/>
      <c r="Q1240" s="525">
        <v>0</v>
      </c>
      <c r="R1240" s="704">
        <f>Q1240*J1240</f>
        <v>0</v>
      </c>
      <c r="S1240" s="532">
        <v>1800</v>
      </c>
      <c r="T1240" s="567">
        <f>S1240*J1240</f>
        <v>1800</v>
      </c>
      <c r="V1240" s="494">
        <v>90</v>
      </c>
    </row>
    <row r="1241" spans="1:22" s="314" customFormat="1" ht="15">
      <c r="A1241" s="1"/>
      <c r="B1241" s="313"/>
      <c r="C1241" s="302" t="s">
        <v>2453</v>
      </c>
      <c r="D1241" s="303" t="s">
        <v>11</v>
      </c>
      <c r="E1241" s="304"/>
      <c r="F1241" s="305"/>
      <c r="G1241" s="305" t="s">
        <v>1227</v>
      </c>
      <c r="H1241" s="307" t="s">
        <v>1228</v>
      </c>
      <c r="I1241" s="308"/>
      <c r="J1241" s="306"/>
      <c r="K1241" s="315">
        <v>0</v>
      </c>
      <c r="L1241" s="310"/>
      <c r="M1241" s="310"/>
      <c r="N1241" s="310">
        <v>44637</v>
      </c>
      <c r="O1241" s="309">
        <v>4009</v>
      </c>
      <c r="P1241" s="302"/>
      <c r="Q1241" s="485">
        <v>0</v>
      </c>
      <c r="S1241" s="535">
        <v>0</v>
      </c>
      <c r="T1241" s="322">
        <v>0</v>
      </c>
      <c r="U1241" s="515"/>
      <c r="V1241" s="494">
        <v>90</v>
      </c>
    </row>
    <row r="1242" spans="1:22" s="7" customFormat="1" ht="18" customHeight="1">
      <c r="A1242" s="1"/>
      <c r="B1242" s="12"/>
      <c r="C1242" s="6" t="s">
        <v>2455</v>
      </c>
      <c r="D1242" s="15" t="s">
        <v>2434</v>
      </c>
      <c r="E1242" s="18" t="s">
        <v>2332</v>
      </c>
      <c r="F1242" s="700"/>
      <c r="G1242" s="640"/>
      <c r="H1242" s="641"/>
      <c r="I1242" s="701"/>
      <c r="J1242" s="702"/>
      <c r="K1242" s="153" t="s">
        <v>10</v>
      </c>
      <c r="L1242" s="219"/>
      <c r="M1242" s="11"/>
      <c r="N1242" s="39">
        <v>44643</v>
      </c>
      <c r="O1242" s="38">
        <v>4027</v>
      </c>
      <c r="P1242" s="6"/>
      <c r="Q1242" s="703"/>
      <c r="U1242" s="46"/>
      <c r="V1242" s="494">
        <v>90</v>
      </c>
    </row>
    <row r="1243" spans="1:22" ht="18" customHeight="1">
      <c r="B1243" s="28" t="s">
        <v>1856</v>
      </c>
      <c r="C1243" s="6" t="s">
        <v>2455</v>
      </c>
      <c r="D1243" s="15" t="s">
        <v>2434</v>
      </c>
      <c r="E1243" s="24" t="s">
        <v>2286</v>
      </c>
      <c r="F1243" s="44">
        <v>6</v>
      </c>
      <c r="G1243" s="24" t="s">
        <v>2456</v>
      </c>
      <c r="H1243" s="151">
        <v>10</v>
      </c>
      <c r="I1243" s="152">
        <v>15</v>
      </c>
      <c r="J1243" s="67">
        <f>H1243*I1243</f>
        <v>150</v>
      </c>
      <c r="K1243" s="46">
        <v>2.1800000000000002</v>
      </c>
      <c r="L1243" s="46">
        <f>K1243*J1243</f>
        <v>327</v>
      </c>
      <c r="M1243" s="162" t="s">
        <v>2219</v>
      </c>
      <c r="N1243" s="39">
        <v>44643</v>
      </c>
      <c r="O1243" s="38">
        <v>4027</v>
      </c>
      <c r="P1243" s="46">
        <f>K1243*(VLOOKUP(B1243,$C$2:$F$6,3,FALSE))</f>
        <v>1.9184000000000001</v>
      </c>
      <c r="Q1243" s="482">
        <v>1.92</v>
      </c>
      <c r="R1243" s="704">
        <f>Q1243*J1243</f>
        <v>288</v>
      </c>
      <c r="S1243" s="489">
        <v>117.5</v>
      </c>
      <c r="T1243" s="113">
        <f>S1243*J1243</f>
        <v>17625</v>
      </c>
      <c r="U1243" s="507"/>
      <c r="V1243" s="494">
        <v>90</v>
      </c>
    </row>
    <row r="1244" spans="1:22" ht="18" customHeight="1">
      <c r="B1244" s="28" t="s">
        <v>1856</v>
      </c>
      <c r="C1244" s="6" t="s">
        <v>2455</v>
      </c>
      <c r="D1244" s="15" t="s">
        <v>2434</v>
      </c>
      <c r="E1244" s="24" t="s">
        <v>2286</v>
      </c>
      <c r="F1244" s="44">
        <v>6</v>
      </c>
      <c r="G1244" s="24" t="s">
        <v>2457</v>
      </c>
      <c r="H1244" s="151">
        <v>10</v>
      </c>
      <c r="I1244" s="152">
        <v>38</v>
      </c>
      <c r="J1244" s="67">
        <f>H1244*I1244</f>
        <v>380</v>
      </c>
      <c r="K1244" s="46">
        <v>2.1800000000000002</v>
      </c>
      <c r="L1244" s="46">
        <f>K1244*J1244</f>
        <v>828.40000000000009</v>
      </c>
      <c r="M1244" s="162" t="s">
        <v>2219</v>
      </c>
      <c r="N1244" s="39">
        <v>44643</v>
      </c>
      <c r="O1244" s="38">
        <v>4027</v>
      </c>
      <c r="P1244" s="46">
        <f>K1244*(VLOOKUP(B1244,$C$2:$F$6,3,FALSE))</f>
        <v>1.9184000000000001</v>
      </c>
      <c r="Q1244" s="482">
        <v>1.92</v>
      </c>
      <c r="R1244" s="704">
        <f>Q1244*J1244</f>
        <v>729.6</v>
      </c>
      <c r="S1244" s="489">
        <v>117.5</v>
      </c>
      <c r="T1244" s="113">
        <f>S1244*J1244</f>
        <v>44650</v>
      </c>
      <c r="U1244" s="507"/>
      <c r="V1244" s="494">
        <v>90</v>
      </c>
    </row>
    <row r="1245" spans="1:22" ht="18" customHeight="1">
      <c r="B1245" s="28" t="s">
        <v>1856</v>
      </c>
      <c r="C1245" s="6" t="s">
        <v>2455</v>
      </c>
      <c r="D1245" s="15" t="s">
        <v>2434</v>
      </c>
      <c r="E1245" s="24" t="s">
        <v>2286</v>
      </c>
      <c r="F1245" s="44">
        <v>6</v>
      </c>
      <c r="G1245" s="24" t="s">
        <v>2458</v>
      </c>
      <c r="H1245" s="151">
        <v>10</v>
      </c>
      <c r="I1245" s="152">
        <v>16</v>
      </c>
      <c r="J1245" s="67">
        <f>H1245*I1245</f>
        <v>160</v>
      </c>
      <c r="K1245" s="46">
        <v>2.1800000000000002</v>
      </c>
      <c r="L1245" s="46">
        <f>K1245*J1245</f>
        <v>348.8</v>
      </c>
      <c r="M1245" s="162" t="s">
        <v>2219</v>
      </c>
      <c r="N1245" s="39">
        <v>44643</v>
      </c>
      <c r="O1245" s="38">
        <v>4027</v>
      </c>
      <c r="P1245" s="46">
        <f>K1245*(VLOOKUP(B1245,$C$2:$F$6,3,FALSE))</f>
        <v>1.9184000000000001</v>
      </c>
      <c r="Q1245" s="482">
        <v>1.92</v>
      </c>
      <c r="R1245" s="704">
        <f>Q1245*J1245</f>
        <v>307.2</v>
      </c>
      <c r="S1245" s="489">
        <v>117.5</v>
      </c>
      <c r="T1245" s="113">
        <f>S1245*J1245</f>
        <v>18800</v>
      </c>
      <c r="U1245" s="507"/>
      <c r="V1245" s="494">
        <v>90</v>
      </c>
    </row>
    <row r="1246" spans="1:22" ht="15.95" customHeight="1">
      <c r="B1246" s="12" t="s">
        <v>1862</v>
      </c>
      <c r="C1246" s="6" t="s">
        <v>2455</v>
      </c>
      <c r="D1246" s="15" t="s">
        <v>2434</v>
      </c>
      <c r="E1246" s="24"/>
      <c r="F1246" s="138"/>
      <c r="G1246" s="44" t="s">
        <v>1993</v>
      </c>
      <c r="H1246" s="8"/>
      <c r="I1246" s="41"/>
      <c r="J1246" s="45">
        <v>1</v>
      </c>
      <c r="K1246" s="46">
        <v>12</v>
      </c>
      <c r="L1246" s="46">
        <f>K1246*J1246</f>
        <v>12</v>
      </c>
      <c r="M1246" s="112"/>
      <c r="N1246" s="39">
        <v>44643</v>
      </c>
      <c r="O1246" s="38">
        <v>4027</v>
      </c>
      <c r="P1246" s="46">
        <f>K1246*(VLOOKUP(B1246,$C$2:$F$6,3,FALSE))</f>
        <v>12</v>
      </c>
      <c r="Q1246" s="483">
        <v>12</v>
      </c>
      <c r="R1246" s="704">
        <v>12</v>
      </c>
      <c r="S1246" s="489">
        <v>0</v>
      </c>
      <c r="T1246" s="113">
        <f>S1246*J1246</f>
        <v>0</v>
      </c>
      <c r="U1246" s="511"/>
      <c r="V1246" s="494">
        <v>90</v>
      </c>
    </row>
    <row r="1247" spans="1:22" s="314" customFormat="1" ht="15">
      <c r="A1247" s="1"/>
      <c r="B1247" s="313"/>
      <c r="C1247" s="302" t="s">
        <v>2455</v>
      </c>
      <c r="D1247" s="303" t="s">
        <v>2434</v>
      </c>
      <c r="E1247" s="304"/>
      <c r="F1247" s="305"/>
      <c r="G1247" s="305" t="s">
        <v>1227</v>
      </c>
      <c r="H1247" s="307" t="s">
        <v>1228</v>
      </c>
      <c r="I1247" s="308"/>
      <c r="J1247" s="306"/>
      <c r="K1247" s="315">
        <v>0</v>
      </c>
      <c r="L1247" s="310"/>
      <c r="M1247" s="310"/>
      <c r="N1247" s="310">
        <v>44643</v>
      </c>
      <c r="O1247" s="309">
        <v>4027</v>
      </c>
      <c r="P1247" s="302"/>
      <c r="Q1247" s="485">
        <v>0</v>
      </c>
      <c r="S1247" s="535">
        <v>0</v>
      </c>
      <c r="T1247" s="322">
        <v>0</v>
      </c>
      <c r="U1247" s="515"/>
      <c r="V1247" s="494">
        <v>90</v>
      </c>
    </row>
    <row r="1248" spans="1:22" s="7" customFormat="1" ht="15">
      <c r="A1248" s="1"/>
      <c r="B1248" s="12"/>
      <c r="C1248" s="6" t="s">
        <v>2552</v>
      </c>
      <c r="D1248" s="15" t="s">
        <v>983</v>
      </c>
      <c r="E1248" s="20" t="s">
        <v>344</v>
      </c>
      <c r="F1248" s="26"/>
      <c r="G1248" s="24"/>
      <c r="H1248" s="67"/>
      <c r="I1248" s="68"/>
      <c r="J1248" s="67"/>
      <c r="K1248" s="17" t="s">
        <v>134</v>
      </c>
      <c r="L1248" s="39"/>
      <c r="M1248" s="39"/>
      <c r="N1248" s="39">
        <v>44642</v>
      </c>
      <c r="O1248" s="38">
        <v>4021</v>
      </c>
      <c r="P1248" s="6" t="s">
        <v>23</v>
      </c>
      <c r="Q1248" s="481"/>
      <c r="S1248" s="489"/>
      <c r="T1248" s="113"/>
      <c r="U1248" s="500"/>
      <c r="V1248" s="494">
        <v>90</v>
      </c>
    </row>
    <row r="1249" spans="1:22" s="7" customFormat="1" ht="15.75">
      <c r="A1249" s="1"/>
      <c r="B1249" s="12" t="s">
        <v>1856</v>
      </c>
      <c r="C1249" s="6" t="s">
        <v>2552</v>
      </c>
      <c r="D1249" s="15" t="s">
        <v>983</v>
      </c>
      <c r="E1249" s="24">
        <v>14552</v>
      </c>
      <c r="F1249" s="26">
        <v>10</v>
      </c>
      <c r="G1249" s="24" t="s">
        <v>431</v>
      </c>
      <c r="H1249" s="151">
        <v>30</v>
      </c>
      <c r="I1249" s="152">
        <v>17</v>
      </c>
      <c r="J1249" s="67">
        <f>H1249*I1249</f>
        <v>510</v>
      </c>
      <c r="K1249" s="25">
        <v>0.69</v>
      </c>
      <c r="L1249" s="46">
        <f>K1249*J1249</f>
        <v>351.9</v>
      </c>
      <c r="M1249" s="162" t="s">
        <v>2219</v>
      </c>
      <c r="N1249" s="39">
        <v>44642</v>
      </c>
      <c r="O1249" s="38">
        <v>4021</v>
      </c>
      <c r="P1249" s="46">
        <f>K1249*(VLOOKUP(B1249,$C$2:$F$6,3,FALSE))</f>
        <v>0.60719999999999996</v>
      </c>
      <c r="Q1249" s="482">
        <v>0.61</v>
      </c>
      <c r="R1249" s="704">
        <f>Q1249*J1249</f>
        <v>311.09999999999997</v>
      </c>
      <c r="S1249" s="489">
        <v>37</v>
      </c>
      <c r="T1249" s="567">
        <f>S1249*J1249</f>
        <v>18870</v>
      </c>
      <c r="U1249" s="500"/>
      <c r="V1249" s="494">
        <v>90</v>
      </c>
    </row>
    <row r="1250" spans="1:22" s="7" customFormat="1" ht="15">
      <c r="A1250" s="1"/>
      <c r="B1250" s="12"/>
      <c r="C1250" s="6" t="s">
        <v>2552</v>
      </c>
      <c r="D1250" s="15" t="s">
        <v>983</v>
      </c>
      <c r="E1250" s="95"/>
      <c r="F1250" s="138"/>
      <c r="G1250" s="44" t="s">
        <v>1993</v>
      </c>
      <c r="H1250" s="8"/>
      <c r="I1250" s="41"/>
      <c r="J1250" s="45">
        <v>1</v>
      </c>
      <c r="K1250" s="46">
        <v>12</v>
      </c>
      <c r="L1250" s="46">
        <v>12</v>
      </c>
      <c r="M1250" s="112"/>
      <c r="N1250" s="39">
        <v>44642</v>
      </c>
      <c r="O1250" s="38">
        <v>4021</v>
      </c>
      <c r="P1250" s="6"/>
      <c r="Q1250" s="483">
        <v>12</v>
      </c>
      <c r="R1250" s="704">
        <f>Q1250*J1250</f>
        <v>12</v>
      </c>
      <c r="S1250" s="489">
        <v>1000</v>
      </c>
      <c r="T1250" s="567">
        <f>S1250*J1250</f>
        <v>1000</v>
      </c>
      <c r="U1250" s="501"/>
      <c r="V1250" s="494">
        <v>90</v>
      </c>
    </row>
    <row r="1251" spans="1:22" s="314" customFormat="1" ht="15.75">
      <c r="A1251" s="1"/>
      <c r="B1251" s="313"/>
      <c r="C1251" s="302" t="s">
        <v>2552</v>
      </c>
      <c r="D1251" s="303" t="s">
        <v>983</v>
      </c>
      <c r="E1251" s="304"/>
      <c r="F1251" s="305"/>
      <c r="G1251" s="682" t="s">
        <v>2238</v>
      </c>
      <c r="H1251" s="307" t="s">
        <v>1243</v>
      </c>
      <c r="I1251" s="308"/>
      <c r="J1251" s="306"/>
      <c r="K1251" s="329">
        <v>52</v>
      </c>
      <c r="L1251" s="310"/>
      <c r="M1251" s="310"/>
      <c r="N1251" s="310">
        <v>44642</v>
      </c>
      <c r="O1251" s="309">
        <v>4021</v>
      </c>
      <c r="P1251" s="302"/>
      <c r="Q1251" s="578">
        <v>52</v>
      </c>
      <c r="R1251" s="704">
        <v>52</v>
      </c>
      <c r="S1251" s="532">
        <v>4659</v>
      </c>
      <c r="T1251" s="113">
        <v>4659</v>
      </c>
      <c r="U1251" s="515"/>
      <c r="V1251" s="494">
        <v>90</v>
      </c>
    </row>
    <row r="1252" spans="1:22" s="7" customFormat="1" ht="15">
      <c r="A1252" s="1"/>
      <c r="B1252" s="12"/>
      <c r="C1252" s="6" t="s">
        <v>2559</v>
      </c>
      <c r="D1252" s="15" t="s">
        <v>909</v>
      </c>
      <c r="E1252" s="20" t="s">
        <v>1026</v>
      </c>
      <c r="F1252" s="44"/>
      <c r="G1252" s="44"/>
      <c r="H1252" s="151"/>
      <c r="I1252" s="151"/>
      <c r="J1252" s="151"/>
      <c r="K1252" s="34" t="s">
        <v>1027</v>
      </c>
      <c r="L1252" s="39"/>
      <c r="M1252" s="39"/>
      <c r="N1252" s="39">
        <v>44658</v>
      </c>
      <c r="O1252" s="38">
        <v>4094</v>
      </c>
      <c r="P1252" s="6"/>
      <c r="Q1252" s="524"/>
      <c r="S1252" s="489"/>
      <c r="T1252" s="113"/>
      <c r="U1252" s="501"/>
      <c r="V1252" s="494">
        <v>90</v>
      </c>
    </row>
    <row r="1253" spans="1:22" s="7" customFormat="1" ht="15" customHeight="1">
      <c r="A1253" s="1"/>
      <c r="B1253" s="12" t="s">
        <v>1856</v>
      </c>
      <c r="C1253" s="6" t="s">
        <v>2559</v>
      </c>
      <c r="D1253" s="15" t="s">
        <v>909</v>
      </c>
      <c r="E1253" s="24" t="s">
        <v>1346</v>
      </c>
      <c r="F1253" s="44" t="s">
        <v>1030</v>
      </c>
      <c r="G1253" s="267" t="s">
        <v>1445</v>
      </c>
      <c r="H1253" s="261"/>
      <c r="I1253" s="261"/>
      <c r="J1253" s="664">
        <v>100</v>
      </c>
      <c r="K1253" s="46">
        <v>0.49</v>
      </c>
      <c r="L1253" s="46">
        <f t="shared" ref="L1253:L1265" si="55">K1253*J1253</f>
        <v>49</v>
      </c>
      <c r="M1253" s="162" t="s">
        <v>2219</v>
      </c>
      <c r="N1253" s="39">
        <v>44658</v>
      </c>
      <c r="O1253" s="38">
        <v>4094</v>
      </c>
      <c r="P1253" s="46">
        <f t="shared" ref="P1253:P1264" si="56">K1253*(VLOOKUP(B1253,$C$2:$F$6,3,FALSE))</f>
        <v>0.43119999999999997</v>
      </c>
      <c r="Q1253" s="483">
        <v>0.43</v>
      </c>
      <c r="R1253" s="704">
        <f t="shared" ref="R1253:R1264" si="57">Q1253*J1253</f>
        <v>43</v>
      </c>
      <c r="S1253" s="489">
        <v>26.2</v>
      </c>
      <c r="T1253" s="567">
        <f t="shared" ref="T1253:T1265" si="58">S1253*J1253</f>
        <v>2620</v>
      </c>
      <c r="U1253" s="507"/>
      <c r="V1253" s="494">
        <v>90</v>
      </c>
    </row>
    <row r="1254" spans="1:22" s="7" customFormat="1" ht="15" customHeight="1">
      <c r="A1254" s="1"/>
      <c r="B1254" s="12" t="s">
        <v>1856</v>
      </c>
      <c r="C1254" s="6" t="s">
        <v>2559</v>
      </c>
      <c r="D1254" s="15" t="s">
        <v>909</v>
      </c>
      <c r="E1254" s="24" t="s">
        <v>1346</v>
      </c>
      <c r="F1254" s="44" t="s">
        <v>1032</v>
      </c>
      <c r="G1254" s="267" t="s">
        <v>1445</v>
      </c>
      <c r="H1254" s="261"/>
      <c r="I1254" s="261"/>
      <c r="J1254" s="664">
        <v>141</v>
      </c>
      <c r="K1254" s="46">
        <v>0.51</v>
      </c>
      <c r="L1254" s="46">
        <f t="shared" si="55"/>
        <v>71.91</v>
      </c>
      <c r="M1254" s="162" t="s">
        <v>2219</v>
      </c>
      <c r="N1254" s="39">
        <v>44658</v>
      </c>
      <c r="O1254" s="38">
        <v>4094</v>
      </c>
      <c r="P1254" s="46">
        <f t="shared" si="56"/>
        <v>0.44880000000000003</v>
      </c>
      <c r="Q1254" s="483">
        <v>0.45</v>
      </c>
      <c r="R1254" s="704">
        <f t="shared" si="57"/>
        <v>63.45</v>
      </c>
      <c r="S1254" s="489">
        <v>27.3</v>
      </c>
      <c r="T1254" s="567">
        <f t="shared" si="58"/>
        <v>3849.3</v>
      </c>
      <c r="U1254" s="507"/>
      <c r="V1254" s="494">
        <v>90</v>
      </c>
    </row>
    <row r="1255" spans="1:22" s="7" customFormat="1" ht="15.75">
      <c r="A1255" s="1"/>
      <c r="B1255" s="12" t="s">
        <v>1856</v>
      </c>
      <c r="C1255" s="6" t="s">
        <v>2559</v>
      </c>
      <c r="D1255" s="15" t="s">
        <v>909</v>
      </c>
      <c r="E1255" s="24" t="s">
        <v>1346</v>
      </c>
      <c r="F1255" s="44" t="s">
        <v>1033</v>
      </c>
      <c r="G1255" s="267" t="s">
        <v>1445</v>
      </c>
      <c r="H1255" s="261"/>
      <c r="I1255" s="261"/>
      <c r="J1255" s="664">
        <v>100</v>
      </c>
      <c r="K1255" s="46">
        <v>0.53</v>
      </c>
      <c r="L1255" s="46">
        <f t="shared" si="55"/>
        <v>53</v>
      </c>
      <c r="M1255" s="162" t="s">
        <v>2219</v>
      </c>
      <c r="N1255" s="39">
        <v>44658</v>
      </c>
      <c r="O1255" s="38">
        <v>4094</v>
      </c>
      <c r="P1255" s="46">
        <f t="shared" si="56"/>
        <v>0.46640000000000004</v>
      </c>
      <c r="Q1255" s="483">
        <v>0.47</v>
      </c>
      <c r="R1255" s="704">
        <f t="shared" si="57"/>
        <v>47</v>
      </c>
      <c r="S1255" s="489">
        <v>28.2</v>
      </c>
      <c r="T1255" s="567">
        <f t="shared" si="58"/>
        <v>2820</v>
      </c>
      <c r="U1255" s="507"/>
      <c r="V1255" s="494">
        <v>90</v>
      </c>
    </row>
    <row r="1256" spans="1:22" s="7" customFormat="1" ht="15" customHeight="1">
      <c r="A1256" s="1"/>
      <c r="B1256" s="12" t="s">
        <v>1856</v>
      </c>
      <c r="C1256" s="6" t="s">
        <v>2559</v>
      </c>
      <c r="D1256" s="15" t="s">
        <v>909</v>
      </c>
      <c r="E1256" s="24" t="s">
        <v>1346</v>
      </c>
      <c r="F1256" s="44" t="s">
        <v>1034</v>
      </c>
      <c r="G1256" s="267" t="s">
        <v>1445</v>
      </c>
      <c r="H1256" s="261"/>
      <c r="I1256" s="261"/>
      <c r="J1256" s="664">
        <v>100</v>
      </c>
      <c r="K1256" s="46">
        <v>0.54</v>
      </c>
      <c r="L1256" s="46">
        <f t="shared" si="55"/>
        <v>54</v>
      </c>
      <c r="M1256" s="162" t="s">
        <v>2219</v>
      </c>
      <c r="N1256" s="39">
        <v>44658</v>
      </c>
      <c r="O1256" s="38">
        <v>4094</v>
      </c>
      <c r="P1256" s="46">
        <f t="shared" si="56"/>
        <v>0.47520000000000001</v>
      </c>
      <c r="Q1256" s="483">
        <v>0.48</v>
      </c>
      <c r="R1256" s="704">
        <f t="shared" si="57"/>
        <v>48</v>
      </c>
      <c r="S1256" s="489">
        <v>29</v>
      </c>
      <c r="T1256" s="567">
        <f t="shared" si="58"/>
        <v>2900</v>
      </c>
      <c r="U1256" s="507"/>
      <c r="V1256" s="494">
        <v>90</v>
      </c>
    </row>
    <row r="1257" spans="1:22" s="7" customFormat="1" ht="15" customHeight="1">
      <c r="A1257" s="1"/>
      <c r="B1257" s="12" t="s">
        <v>1856</v>
      </c>
      <c r="C1257" s="6" t="s">
        <v>2559</v>
      </c>
      <c r="D1257" s="15" t="s">
        <v>909</v>
      </c>
      <c r="E1257" s="24" t="s">
        <v>1346</v>
      </c>
      <c r="F1257" s="44" t="s">
        <v>1030</v>
      </c>
      <c r="G1257" s="267" t="s">
        <v>1446</v>
      </c>
      <c r="H1257" s="261"/>
      <c r="I1257" s="261"/>
      <c r="J1257" s="664">
        <v>100</v>
      </c>
      <c r="K1257" s="46">
        <v>0.49</v>
      </c>
      <c r="L1257" s="46">
        <f t="shared" si="55"/>
        <v>49</v>
      </c>
      <c r="M1257" s="162" t="s">
        <v>2219</v>
      </c>
      <c r="N1257" s="39">
        <v>44658</v>
      </c>
      <c r="O1257" s="38">
        <v>4094</v>
      </c>
      <c r="P1257" s="46">
        <f t="shared" si="56"/>
        <v>0.43119999999999997</v>
      </c>
      <c r="Q1257" s="483">
        <v>0.43</v>
      </c>
      <c r="R1257" s="704">
        <f t="shared" si="57"/>
        <v>43</v>
      </c>
      <c r="S1257" s="489">
        <v>26.2</v>
      </c>
      <c r="T1257" s="567">
        <f t="shared" si="58"/>
        <v>2620</v>
      </c>
      <c r="U1257" s="507"/>
      <c r="V1257" s="494">
        <v>90</v>
      </c>
    </row>
    <row r="1258" spans="1:22" s="7" customFormat="1" ht="15.75">
      <c r="A1258" s="1"/>
      <c r="B1258" s="12" t="s">
        <v>1856</v>
      </c>
      <c r="C1258" s="6" t="s">
        <v>2559</v>
      </c>
      <c r="D1258" s="15" t="s">
        <v>909</v>
      </c>
      <c r="E1258" s="24" t="s">
        <v>1346</v>
      </c>
      <c r="F1258" s="44" t="s">
        <v>1032</v>
      </c>
      <c r="G1258" s="267" t="s">
        <v>1446</v>
      </c>
      <c r="H1258" s="261"/>
      <c r="I1258" s="261"/>
      <c r="J1258" s="664">
        <v>220</v>
      </c>
      <c r="K1258" s="46">
        <v>0.51</v>
      </c>
      <c r="L1258" s="46">
        <f t="shared" si="55"/>
        <v>112.2</v>
      </c>
      <c r="M1258" s="162" t="s">
        <v>2219</v>
      </c>
      <c r="N1258" s="39">
        <v>44658</v>
      </c>
      <c r="O1258" s="38">
        <v>4094</v>
      </c>
      <c r="P1258" s="46">
        <f t="shared" si="56"/>
        <v>0.44880000000000003</v>
      </c>
      <c r="Q1258" s="483">
        <v>0.45</v>
      </c>
      <c r="R1258" s="704">
        <f t="shared" si="57"/>
        <v>99</v>
      </c>
      <c r="S1258" s="489">
        <v>27.3</v>
      </c>
      <c r="T1258" s="567">
        <f t="shared" si="58"/>
        <v>6006</v>
      </c>
      <c r="U1258" s="507"/>
      <c r="V1258" s="494">
        <v>90</v>
      </c>
    </row>
    <row r="1259" spans="1:22" s="7" customFormat="1" ht="15" customHeight="1">
      <c r="A1259" s="1"/>
      <c r="B1259" s="12" t="s">
        <v>1856</v>
      </c>
      <c r="C1259" s="6" t="s">
        <v>2559</v>
      </c>
      <c r="D1259" s="15" t="s">
        <v>909</v>
      </c>
      <c r="E1259" s="24" t="s">
        <v>1346</v>
      </c>
      <c r="F1259" s="44" t="s">
        <v>1033</v>
      </c>
      <c r="G1259" s="267" t="s">
        <v>1446</v>
      </c>
      <c r="H1259" s="261"/>
      <c r="I1259" s="261"/>
      <c r="J1259" s="664">
        <v>100</v>
      </c>
      <c r="K1259" s="46">
        <v>0.53</v>
      </c>
      <c r="L1259" s="46">
        <f t="shared" si="55"/>
        <v>53</v>
      </c>
      <c r="M1259" s="162" t="s">
        <v>2219</v>
      </c>
      <c r="N1259" s="39">
        <v>44658</v>
      </c>
      <c r="O1259" s="38">
        <v>4094</v>
      </c>
      <c r="P1259" s="46">
        <f t="shared" si="56"/>
        <v>0.46640000000000004</v>
      </c>
      <c r="Q1259" s="483">
        <v>0.47</v>
      </c>
      <c r="R1259" s="704">
        <f t="shared" si="57"/>
        <v>47</v>
      </c>
      <c r="S1259" s="489">
        <v>28.2</v>
      </c>
      <c r="T1259" s="567">
        <f t="shared" si="58"/>
        <v>2820</v>
      </c>
      <c r="U1259" s="507"/>
      <c r="V1259" s="494">
        <v>90</v>
      </c>
    </row>
    <row r="1260" spans="1:22" s="7" customFormat="1" ht="15.75">
      <c r="A1260" s="1"/>
      <c r="B1260" s="12" t="s">
        <v>1856</v>
      </c>
      <c r="C1260" s="6" t="s">
        <v>2559</v>
      </c>
      <c r="D1260" s="15" t="s">
        <v>909</v>
      </c>
      <c r="E1260" s="24" t="s">
        <v>1346</v>
      </c>
      <c r="F1260" s="44" t="s">
        <v>1034</v>
      </c>
      <c r="G1260" s="267" t="s">
        <v>1446</v>
      </c>
      <c r="H1260" s="261"/>
      <c r="I1260" s="261"/>
      <c r="J1260" s="664">
        <v>100</v>
      </c>
      <c r="K1260" s="46">
        <v>0.54</v>
      </c>
      <c r="L1260" s="46">
        <f t="shared" si="55"/>
        <v>54</v>
      </c>
      <c r="M1260" s="162" t="s">
        <v>2219</v>
      </c>
      <c r="N1260" s="39">
        <v>44658</v>
      </c>
      <c r="O1260" s="38">
        <v>4094</v>
      </c>
      <c r="P1260" s="46">
        <f t="shared" si="56"/>
        <v>0.47520000000000001</v>
      </c>
      <c r="Q1260" s="483">
        <v>0.48</v>
      </c>
      <c r="R1260" s="704">
        <f t="shared" si="57"/>
        <v>48</v>
      </c>
      <c r="S1260" s="489">
        <v>29</v>
      </c>
      <c r="T1260" s="567">
        <f t="shared" si="58"/>
        <v>2900</v>
      </c>
      <c r="U1260" s="507"/>
      <c r="V1260" s="494">
        <v>90</v>
      </c>
    </row>
    <row r="1261" spans="1:22" s="7" customFormat="1" ht="15" customHeight="1">
      <c r="A1261" s="1"/>
      <c r="B1261" s="12" t="s">
        <v>1856</v>
      </c>
      <c r="C1261" s="6" t="s">
        <v>2559</v>
      </c>
      <c r="D1261" s="15" t="s">
        <v>909</v>
      </c>
      <c r="E1261" s="24" t="s">
        <v>1346</v>
      </c>
      <c r="F1261" s="44" t="s">
        <v>1030</v>
      </c>
      <c r="G1261" s="267" t="s">
        <v>1347</v>
      </c>
      <c r="H1261" s="261"/>
      <c r="I1261" s="261"/>
      <c r="J1261" s="664">
        <v>330</v>
      </c>
      <c r="K1261" s="46">
        <v>0.49</v>
      </c>
      <c r="L1261" s="46">
        <f t="shared" si="55"/>
        <v>161.69999999999999</v>
      </c>
      <c r="M1261" s="162" t="s">
        <v>2219</v>
      </c>
      <c r="N1261" s="39">
        <v>44658</v>
      </c>
      <c r="O1261" s="38">
        <v>4094</v>
      </c>
      <c r="P1261" s="46">
        <f t="shared" si="56"/>
        <v>0.43119999999999997</v>
      </c>
      <c r="Q1261" s="483">
        <v>0.43</v>
      </c>
      <c r="R1261" s="704">
        <f t="shared" si="57"/>
        <v>141.9</v>
      </c>
      <c r="S1261" s="489">
        <v>26.2</v>
      </c>
      <c r="T1261" s="567">
        <f t="shared" si="58"/>
        <v>8646</v>
      </c>
      <c r="U1261" s="507"/>
      <c r="V1261" s="494">
        <v>90</v>
      </c>
    </row>
    <row r="1262" spans="1:22" s="7" customFormat="1" ht="15.75">
      <c r="A1262" s="1"/>
      <c r="B1262" s="12" t="s">
        <v>1856</v>
      </c>
      <c r="C1262" s="6" t="s">
        <v>2559</v>
      </c>
      <c r="D1262" s="15" t="s">
        <v>909</v>
      </c>
      <c r="E1262" s="24" t="s">
        <v>1346</v>
      </c>
      <c r="F1262" s="44" t="s">
        <v>1032</v>
      </c>
      <c r="G1262" s="267" t="s">
        <v>1347</v>
      </c>
      <c r="H1262" s="261"/>
      <c r="I1262" s="261"/>
      <c r="J1262" s="664">
        <v>520</v>
      </c>
      <c r="K1262" s="46">
        <v>0.51</v>
      </c>
      <c r="L1262" s="46">
        <f t="shared" si="55"/>
        <v>265.2</v>
      </c>
      <c r="M1262" s="162" t="s">
        <v>2219</v>
      </c>
      <c r="N1262" s="39">
        <v>44658</v>
      </c>
      <c r="O1262" s="38">
        <v>4094</v>
      </c>
      <c r="P1262" s="46">
        <f t="shared" si="56"/>
        <v>0.44880000000000003</v>
      </c>
      <c r="Q1262" s="483">
        <v>0.45</v>
      </c>
      <c r="R1262" s="704">
        <f t="shared" si="57"/>
        <v>234</v>
      </c>
      <c r="S1262" s="489">
        <v>27.3</v>
      </c>
      <c r="T1262" s="567">
        <f t="shared" si="58"/>
        <v>14196</v>
      </c>
      <c r="U1262" s="507"/>
      <c r="V1262" s="494">
        <v>90</v>
      </c>
    </row>
    <row r="1263" spans="1:22" s="7" customFormat="1" ht="15" customHeight="1">
      <c r="A1263" s="1"/>
      <c r="B1263" s="12" t="s">
        <v>1856</v>
      </c>
      <c r="C1263" s="6" t="s">
        <v>2559</v>
      </c>
      <c r="D1263" s="15" t="s">
        <v>909</v>
      </c>
      <c r="E1263" s="24" t="s">
        <v>1346</v>
      </c>
      <c r="F1263" s="44" t="s">
        <v>1033</v>
      </c>
      <c r="G1263" s="267" t="s">
        <v>1347</v>
      </c>
      <c r="H1263" s="261"/>
      <c r="I1263" s="261"/>
      <c r="J1263" s="664">
        <v>200</v>
      </c>
      <c r="K1263" s="46">
        <v>0.53</v>
      </c>
      <c r="L1263" s="46">
        <f t="shared" si="55"/>
        <v>106</v>
      </c>
      <c r="M1263" s="162" t="s">
        <v>2219</v>
      </c>
      <c r="N1263" s="39">
        <v>44658</v>
      </c>
      <c r="O1263" s="38">
        <v>4094</v>
      </c>
      <c r="P1263" s="46">
        <f t="shared" si="56"/>
        <v>0.46640000000000004</v>
      </c>
      <c r="Q1263" s="483">
        <v>0.47</v>
      </c>
      <c r="R1263" s="704">
        <f t="shared" si="57"/>
        <v>94</v>
      </c>
      <c r="S1263" s="489">
        <v>28.2</v>
      </c>
      <c r="T1263" s="567">
        <f t="shared" si="58"/>
        <v>5640</v>
      </c>
      <c r="U1263" s="507"/>
      <c r="V1263" s="494">
        <v>90</v>
      </c>
    </row>
    <row r="1264" spans="1:22" s="7" customFormat="1" ht="15" customHeight="1">
      <c r="A1264" s="1"/>
      <c r="B1264" s="12" t="s">
        <v>1856</v>
      </c>
      <c r="C1264" s="6" t="s">
        <v>2559</v>
      </c>
      <c r="D1264" s="15" t="s">
        <v>909</v>
      </c>
      <c r="E1264" s="24" t="s">
        <v>1346</v>
      </c>
      <c r="F1264" s="44" t="s">
        <v>1034</v>
      </c>
      <c r="G1264" s="267" t="s">
        <v>1347</v>
      </c>
      <c r="H1264" s="261"/>
      <c r="I1264" s="261"/>
      <c r="J1264" s="664">
        <v>115</v>
      </c>
      <c r="K1264" s="46">
        <v>0.54</v>
      </c>
      <c r="L1264" s="46">
        <f t="shared" si="55"/>
        <v>62.1</v>
      </c>
      <c r="M1264" s="162" t="s">
        <v>2219</v>
      </c>
      <c r="N1264" s="39">
        <v>44658</v>
      </c>
      <c r="O1264" s="38">
        <v>4094</v>
      </c>
      <c r="P1264" s="46">
        <f t="shared" si="56"/>
        <v>0.47520000000000001</v>
      </c>
      <c r="Q1264" s="483">
        <v>0.48</v>
      </c>
      <c r="R1264" s="704">
        <f t="shared" si="57"/>
        <v>55.199999999999996</v>
      </c>
      <c r="S1264" s="489">
        <v>29</v>
      </c>
      <c r="T1264" s="567">
        <f t="shared" si="58"/>
        <v>3335</v>
      </c>
      <c r="U1264" s="507"/>
      <c r="V1264" s="494">
        <v>90</v>
      </c>
    </row>
    <row r="1265" spans="1:22" s="7" customFormat="1" ht="15" customHeight="1">
      <c r="A1265" s="1"/>
      <c r="B1265" s="12" t="s">
        <v>1856</v>
      </c>
      <c r="C1265" s="6" t="s">
        <v>2559</v>
      </c>
      <c r="D1265" s="15" t="s">
        <v>909</v>
      </c>
      <c r="E1265" s="24"/>
      <c r="F1265" s="138"/>
      <c r="G1265" s="44" t="s">
        <v>1993</v>
      </c>
      <c r="H1265" s="8"/>
      <c r="I1265" s="41"/>
      <c r="J1265" s="45">
        <v>1</v>
      </c>
      <c r="K1265" s="46">
        <v>12</v>
      </c>
      <c r="L1265" s="46">
        <f t="shared" si="55"/>
        <v>12</v>
      </c>
      <c r="M1265" s="39"/>
      <c r="N1265" s="39">
        <v>44658</v>
      </c>
      <c r="O1265" s="38">
        <v>4094</v>
      </c>
      <c r="P1265" s="6"/>
      <c r="Q1265" s="483">
        <v>12</v>
      </c>
      <c r="R1265" s="704">
        <v>12</v>
      </c>
      <c r="S1265" s="489">
        <v>1100</v>
      </c>
      <c r="T1265" s="567">
        <f t="shared" si="58"/>
        <v>1100</v>
      </c>
      <c r="U1265" s="501"/>
      <c r="V1265" s="494">
        <v>90</v>
      </c>
    </row>
    <row r="1266" spans="1:22" s="314" customFormat="1" ht="15">
      <c r="A1266" s="1"/>
      <c r="B1266" s="313"/>
      <c r="C1266" s="302" t="s">
        <v>2559</v>
      </c>
      <c r="D1266" s="303" t="s">
        <v>909</v>
      </c>
      <c r="E1266" s="304"/>
      <c r="F1266" s="305"/>
      <c r="G1266" s="305" t="s">
        <v>1227</v>
      </c>
      <c r="H1266" s="307" t="s">
        <v>1228</v>
      </c>
      <c r="I1266" s="308"/>
      <c r="J1266" s="306"/>
      <c r="K1266" s="315">
        <v>0</v>
      </c>
      <c r="L1266" s="310"/>
      <c r="M1266" s="310"/>
      <c r="N1266" s="310">
        <v>44658</v>
      </c>
      <c r="O1266" s="309">
        <v>4094</v>
      </c>
      <c r="P1266" s="302"/>
      <c r="Q1266" s="485">
        <v>0</v>
      </c>
      <c r="S1266" s="535">
        <v>0</v>
      </c>
      <c r="T1266" s="322">
        <v>0</v>
      </c>
      <c r="U1266" s="515"/>
      <c r="V1266" s="494">
        <v>90</v>
      </c>
    </row>
    <row r="1267" spans="1:22" s="7" customFormat="1" ht="15">
      <c r="A1267" s="1"/>
      <c r="B1267" s="12"/>
      <c r="C1267" s="6" t="s">
        <v>2560</v>
      </c>
      <c r="D1267" s="15" t="s">
        <v>909</v>
      </c>
      <c r="E1267" s="20" t="s">
        <v>2554</v>
      </c>
      <c r="F1267" s="44"/>
      <c r="G1267" s="44"/>
      <c r="H1267" s="151"/>
      <c r="I1267" s="151"/>
      <c r="J1267" s="151"/>
      <c r="K1267" s="17" t="s">
        <v>134</v>
      </c>
      <c r="L1267" s="39"/>
      <c r="M1267" s="39"/>
      <c r="N1267" s="39">
        <v>44645</v>
      </c>
      <c r="O1267" s="38">
        <v>4040</v>
      </c>
      <c r="P1267" s="6"/>
      <c r="Q1267" s="524"/>
      <c r="S1267" s="489"/>
      <c r="T1267" s="113"/>
      <c r="U1267" s="501"/>
      <c r="V1267" s="494">
        <v>90</v>
      </c>
    </row>
    <row r="1268" spans="1:22" s="7" customFormat="1" ht="15" customHeight="1">
      <c r="A1268" s="1"/>
      <c r="B1268" s="12" t="s">
        <v>1856</v>
      </c>
      <c r="C1268" s="6" t="s">
        <v>2560</v>
      </c>
      <c r="D1268" s="15" t="s">
        <v>909</v>
      </c>
      <c r="E1268" s="24">
        <v>5654</v>
      </c>
      <c r="F1268" s="44"/>
      <c r="G1268" s="44" t="s">
        <v>1064</v>
      </c>
      <c r="H1268" s="151">
        <v>50</v>
      </c>
      <c r="I1268" s="152">
        <v>7</v>
      </c>
      <c r="J1268" s="67">
        <f>H1268*I1268</f>
        <v>350</v>
      </c>
      <c r="K1268" s="46">
        <v>0.3</v>
      </c>
      <c r="L1268" s="46">
        <f>K1268*J1268</f>
        <v>105</v>
      </c>
      <c r="M1268" s="162" t="s">
        <v>2219</v>
      </c>
      <c r="N1268" s="39">
        <v>44645</v>
      </c>
      <c r="O1268" s="38">
        <v>4040</v>
      </c>
      <c r="P1268" s="46">
        <f>K1268*(VLOOKUP(B1268,$C$2:$F$6,3,FALSE))</f>
        <v>0.26400000000000001</v>
      </c>
      <c r="Q1268" s="483">
        <v>0.26</v>
      </c>
      <c r="R1268" s="704">
        <f>Q1268*J1268</f>
        <v>91</v>
      </c>
      <c r="S1268" s="489">
        <v>15.8</v>
      </c>
      <c r="T1268" s="567">
        <f>S1268*J1268</f>
        <v>5530</v>
      </c>
      <c r="U1268" s="507"/>
      <c r="V1268" s="494">
        <v>90</v>
      </c>
    </row>
    <row r="1269" spans="1:22" s="7" customFormat="1" ht="15" customHeight="1">
      <c r="A1269" s="1"/>
      <c r="B1269" s="12" t="s">
        <v>1856</v>
      </c>
      <c r="C1269" s="6" t="s">
        <v>2560</v>
      </c>
      <c r="D1269" s="15" t="s">
        <v>909</v>
      </c>
      <c r="E1269" s="24">
        <v>5654</v>
      </c>
      <c r="F1269" s="44"/>
      <c r="G1269" s="44" t="s">
        <v>2013</v>
      </c>
      <c r="H1269" s="151">
        <v>50</v>
      </c>
      <c r="I1269" s="152">
        <v>3</v>
      </c>
      <c r="J1269" s="67">
        <f>H1269*I1269</f>
        <v>150</v>
      </c>
      <c r="K1269" s="46">
        <v>0.3</v>
      </c>
      <c r="L1269" s="46">
        <f>K1269*J1269</f>
        <v>45</v>
      </c>
      <c r="M1269" s="162" t="s">
        <v>2219</v>
      </c>
      <c r="N1269" s="39">
        <v>44645</v>
      </c>
      <c r="O1269" s="38">
        <v>4040</v>
      </c>
      <c r="P1269" s="46">
        <f>K1269*(VLOOKUP(B1269,$C$2:$F$6,3,FALSE))</f>
        <v>0.26400000000000001</v>
      </c>
      <c r="Q1269" s="483">
        <v>0.26</v>
      </c>
      <c r="R1269" s="704">
        <f>Q1269*J1269</f>
        <v>39</v>
      </c>
      <c r="S1269" s="489">
        <v>15.8</v>
      </c>
      <c r="T1269" s="567">
        <f>S1269*J1269</f>
        <v>2370</v>
      </c>
      <c r="U1269" s="507"/>
      <c r="V1269" s="494">
        <v>90</v>
      </c>
    </row>
    <row r="1270" spans="1:22" s="7" customFormat="1" ht="15" customHeight="1">
      <c r="A1270" s="1"/>
      <c r="B1270" s="12" t="s">
        <v>1862</v>
      </c>
      <c r="C1270" s="6" t="s">
        <v>2560</v>
      </c>
      <c r="D1270" s="15" t="s">
        <v>909</v>
      </c>
      <c r="E1270" s="24"/>
      <c r="F1270" s="138"/>
      <c r="G1270" s="44" t="s">
        <v>1993</v>
      </c>
      <c r="H1270" s="8"/>
      <c r="I1270" s="41"/>
      <c r="J1270" s="45">
        <v>1</v>
      </c>
      <c r="K1270" s="46">
        <v>12</v>
      </c>
      <c r="L1270" s="46">
        <f>K1270*J1270</f>
        <v>12</v>
      </c>
      <c r="M1270" s="162" t="s">
        <v>2219</v>
      </c>
      <c r="N1270" s="39">
        <v>44645</v>
      </c>
      <c r="O1270" s="38">
        <v>4040</v>
      </c>
      <c r="P1270" s="46">
        <f>K1270*(VLOOKUP(B1270,$C$2:$F$6,3,FALSE))</f>
        <v>12</v>
      </c>
      <c r="Q1270" s="483">
        <v>12</v>
      </c>
      <c r="R1270" s="704">
        <f>Q1270*J1270</f>
        <v>12</v>
      </c>
      <c r="S1270" s="489">
        <v>1100</v>
      </c>
      <c r="T1270" s="567">
        <f>S1270*J1270</f>
        <v>1100</v>
      </c>
      <c r="U1270" s="501"/>
      <c r="V1270" s="494">
        <v>90</v>
      </c>
    </row>
    <row r="1271" spans="1:22" s="314" customFormat="1" ht="15" customHeight="1">
      <c r="A1271" s="1"/>
      <c r="B1271" s="313"/>
      <c r="C1271" s="302" t="s">
        <v>2560</v>
      </c>
      <c r="D1271" s="303" t="s">
        <v>909</v>
      </c>
      <c r="E1271" s="304"/>
      <c r="F1271" s="305"/>
      <c r="G1271" s="305" t="s">
        <v>1227</v>
      </c>
      <c r="H1271" s="307" t="s">
        <v>1228</v>
      </c>
      <c r="I1271" s="308"/>
      <c r="J1271" s="306"/>
      <c r="K1271" s="315">
        <v>0</v>
      </c>
      <c r="L1271" s="310"/>
      <c r="M1271" s="310"/>
      <c r="N1271" s="310">
        <v>44645</v>
      </c>
      <c r="O1271" s="309">
        <v>4040</v>
      </c>
      <c r="P1271" s="302"/>
      <c r="Q1271" s="485">
        <v>0</v>
      </c>
      <c r="R1271" s="704">
        <f>Q1271*J1271</f>
        <v>0</v>
      </c>
      <c r="S1271" s="535">
        <v>0</v>
      </c>
      <c r="T1271" s="322">
        <v>0</v>
      </c>
      <c r="U1271" s="515"/>
      <c r="V1271" s="494">
        <v>90</v>
      </c>
    </row>
    <row r="1272" spans="1:22" s="7" customFormat="1" ht="15">
      <c r="A1272" s="1"/>
      <c r="B1272" s="12"/>
      <c r="C1272" s="6" t="s">
        <v>2592</v>
      </c>
      <c r="D1272" s="15" t="s">
        <v>1666</v>
      </c>
      <c r="E1272" s="20" t="s">
        <v>2591</v>
      </c>
      <c r="F1272" s="26"/>
      <c r="G1272" s="24"/>
      <c r="H1272" s="67"/>
      <c r="I1272" s="68"/>
      <c r="J1272" s="67"/>
      <c r="K1272" s="17" t="s">
        <v>134</v>
      </c>
      <c r="L1272" s="39"/>
      <c r="M1272" s="39"/>
      <c r="N1272" s="39">
        <v>44651</v>
      </c>
      <c r="O1272" s="38">
        <v>4060</v>
      </c>
      <c r="P1272" s="6" t="s">
        <v>23</v>
      </c>
      <c r="Q1272" s="481"/>
      <c r="S1272" s="489"/>
      <c r="T1272" s="113"/>
      <c r="U1272" s="500"/>
      <c r="V1272" s="494">
        <v>90</v>
      </c>
    </row>
    <row r="1273" spans="1:22" s="7" customFormat="1" ht="15.75">
      <c r="A1273" s="1"/>
      <c r="B1273" s="12" t="s">
        <v>1856</v>
      </c>
      <c r="C1273" s="6" t="s">
        <v>2592</v>
      </c>
      <c r="D1273" s="15" t="s">
        <v>1666</v>
      </c>
      <c r="E1273" s="24" t="s">
        <v>2593</v>
      </c>
      <c r="F1273" s="26">
        <v>30</v>
      </c>
      <c r="G1273" s="24" t="s">
        <v>2594</v>
      </c>
      <c r="H1273" s="151">
        <v>30</v>
      </c>
      <c r="I1273" s="152">
        <v>1</v>
      </c>
      <c r="J1273" s="67">
        <f>H1273*I1273</f>
        <v>30</v>
      </c>
      <c r="K1273" s="25">
        <v>4.26</v>
      </c>
      <c r="L1273" s="46">
        <f>K1273*J1273</f>
        <v>127.8</v>
      </c>
      <c r="M1273" s="162" t="s">
        <v>2219</v>
      </c>
      <c r="N1273" s="39">
        <v>44651</v>
      </c>
      <c r="O1273" s="38">
        <v>4060</v>
      </c>
      <c r="P1273" s="46">
        <f>K1273*(VLOOKUP(B1273,$C$2:$F$6,3,FALSE))</f>
        <v>3.7487999999999997</v>
      </c>
      <c r="Q1273" s="482">
        <v>3.75</v>
      </c>
      <c r="R1273" s="704">
        <f>Q1273*J1273</f>
        <v>112.5</v>
      </c>
      <c r="S1273" s="489">
        <v>230</v>
      </c>
      <c r="T1273" s="567">
        <f>S1273*J1273</f>
        <v>6900</v>
      </c>
      <c r="U1273" s="500"/>
      <c r="V1273" s="494">
        <v>90</v>
      </c>
    </row>
    <row r="1274" spans="1:22" s="7" customFormat="1" ht="15" customHeight="1">
      <c r="A1274" s="1"/>
      <c r="B1274" s="12"/>
      <c r="C1274" s="6" t="s">
        <v>2592</v>
      </c>
      <c r="D1274" s="15" t="s">
        <v>1666</v>
      </c>
      <c r="E1274" s="24"/>
      <c r="F1274" s="138"/>
      <c r="G1274" s="44" t="s">
        <v>1993</v>
      </c>
      <c r="H1274" s="8"/>
      <c r="I1274" s="41"/>
      <c r="J1274" s="45">
        <v>1</v>
      </c>
      <c r="K1274" s="46">
        <v>12</v>
      </c>
      <c r="L1274" s="46">
        <f>K1274*J1274</f>
        <v>12</v>
      </c>
      <c r="M1274" s="39"/>
      <c r="N1274" s="39">
        <v>44651</v>
      </c>
      <c r="O1274" s="38">
        <v>4060</v>
      </c>
      <c r="P1274" s="6"/>
      <c r="Q1274" s="483">
        <v>12</v>
      </c>
      <c r="R1274" s="704">
        <f>Q1274*J1274</f>
        <v>12</v>
      </c>
      <c r="S1274" s="489">
        <v>1000</v>
      </c>
      <c r="T1274" s="567">
        <f>S1274*J1274</f>
        <v>1000</v>
      </c>
      <c r="U1274" s="501"/>
      <c r="V1274" s="494">
        <v>90</v>
      </c>
    </row>
    <row r="1275" spans="1:22" s="314" customFormat="1" ht="15" customHeight="1">
      <c r="A1275" s="1"/>
      <c r="B1275" s="313"/>
      <c r="C1275" s="302" t="s">
        <v>2592</v>
      </c>
      <c r="D1275" s="303" t="s">
        <v>1666</v>
      </c>
      <c r="E1275" s="304"/>
      <c r="F1275" s="305"/>
      <c r="G1275" s="305" t="s">
        <v>1227</v>
      </c>
      <c r="H1275" s="307" t="s">
        <v>1228</v>
      </c>
      <c r="I1275" s="308"/>
      <c r="J1275" s="306"/>
      <c r="K1275" s="315">
        <v>0</v>
      </c>
      <c r="L1275" s="310"/>
      <c r="M1275" s="310"/>
      <c r="N1275" s="310">
        <v>44651</v>
      </c>
      <c r="O1275" s="309">
        <v>4060</v>
      </c>
      <c r="P1275" s="302"/>
      <c r="Q1275" s="483">
        <v>0</v>
      </c>
      <c r="S1275" s="538">
        <v>0</v>
      </c>
      <c r="T1275" s="420">
        <v>0</v>
      </c>
      <c r="U1275" s="515"/>
      <c r="V1275" s="494">
        <v>90</v>
      </c>
    </row>
    <row r="1276" spans="1:22" s="7" customFormat="1" ht="15" customHeight="1">
      <c r="A1276" s="1"/>
      <c r="B1276" s="12"/>
      <c r="C1276" s="6" t="s">
        <v>2599</v>
      </c>
      <c r="D1276" s="15" t="s">
        <v>11</v>
      </c>
      <c r="E1276" s="20" t="s">
        <v>27</v>
      </c>
      <c r="F1276" s="150"/>
      <c r="G1276" s="24"/>
      <c r="H1276" s="151"/>
      <c r="I1276" s="152"/>
      <c r="J1276" s="151"/>
      <c r="K1276" s="34" t="s">
        <v>10</v>
      </c>
      <c r="L1276" s="39"/>
      <c r="M1276" s="39"/>
      <c r="N1276" s="39">
        <v>44655</v>
      </c>
      <c r="O1276" s="38">
        <v>4071</v>
      </c>
      <c r="P1276" s="15"/>
      <c r="Q1276" s="483"/>
      <c r="S1276" s="489"/>
      <c r="T1276" s="113"/>
      <c r="U1276" s="506"/>
      <c r="V1276" s="494">
        <v>90</v>
      </c>
    </row>
    <row r="1277" spans="1:22" s="7" customFormat="1" ht="15.75">
      <c r="A1277" s="1"/>
      <c r="B1277" s="12" t="s">
        <v>1858</v>
      </c>
      <c r="C1277" s="6" t="s">
        <v>2599</v>
      </c>
      <c r="D1277" s="15" t="s">
        <v>11</v>
      </c>
      <c r="E1277" s="24" t="s">
        <v>536</v>
      </c>
      <c r="F1277" s="150">
        <v>160</v>
      </c>
      <c r="G1277" s="24" t="s">
        <v>114</v>
      </c>
      <c r="H1277" s="67">
        <v>50</v>
      </c>
      <c r="I1277" s="68">
        <v>1</v>
      </c>
      <c r="J1277" s="67">
        <f>H1277*I1277</f>
        <v>50</v>
      </c>
      <c r="K1277" s="25">
        <v>4.45</v>
      </c>
      <c r="L1277" s="46">
        <f>K1277*J1277</f>
        <v>222.5</v>
      </c>
      <c r="M1277" s="162" t="s">
        <v>2218</v>
      </c>
      <c r="N1277" s="39">
        <v>44655</v>
      </c>
      <c r="O1277" s="38">
        <v>4071</v>
      </c>
      <c r="P1277" s="46">
        <f>K1277*(VLOOKUP(B1277,$C$2:$F$6,3,FALSE))</f>
        <v>4.1829999999999998</v>
      </c>
      <c r="Q1277" s="483">
        <v>4.18</v>
      </c>
      <c r="R1277" s="704">
        <f>Q1277*J1277</f>
        <v>209</v>
      </c>
      <c r="S1277" s="532">
        <v>320</v>
      </c>
      <c r="T1277" s="113">
        <f>S1277*J1277</f>
        <v>16000</v>
      </c>
      <c r="U1277" s="501"/>
      <c r="V1277" s="494">
        <v>90</v>
      </c>
    </row>
    <row r="1278" spans="1:22" s="7" customFormat="1" ht="15.75">
      <c r="A1278" s="1"/>
      <c r="B1278" s="12" t="s">
        <v>1858</v>
      </c>
      <c r="C1278" s="6" t="s">
        <v>2599</v>
      </c>
      <c r="D1278" s="15" t="s">
        <v>11</v>
      </c>
      <c r="E1278" s="24" t="s">
        <v>536</v>
      </c>
      <c r="F1278" s="150">
        <v>160</v>
      </c>
      <c r="G1278" s="24" t="s">
        <v>2600</v>
      </c>
      <c r="H1278" s="67">
        <v>50</v>
      </c>
      <c r="I1278" s="68">
        <v>10</v>
      </c>
      <c r="J1278" s="67">
        <f>H1278*I1278</f>
        <v>500</v>
      </c>
      <c r="K1278" s="25">
        <v>4.45</v>
      </c>
      <c r="L1278" s="46">
        <f>K1278*J1278</f>
        <v>2225</v>
      </c>
      <c r="M1278" s="162" t="s">
        <v>2218</v>
      </c>
      <c r="N1278" s="39">
        <v>44655</v>
      </c>
      <c r="O1278" s="38">
        <v>4071</v>
      </c>
      <c r="P1278" s="46">
        <f>K1278*(VLOOKUP(B1278,$C$2:$F$6,3,FALSE))</f>
        <v>4.1829999999999998</v>
      </c>
      <c r="Q1278" s="483">
        <v>4.18</v>
      </c>
      <c r="R1278" s="704">
        <f>Q1278*J1278</f>
        <v>2090</v>
      </c>
      <c r="S1278" s="532">
        <v>320</v>
      </c>
      <c r="T1278" s="113">
        <f>S1278*J1278</f>
        <v>160000</v>
      </c>
      <c r="U1278" s="501"/>
      <c r="V1278" s="494">
        <v>90</v>
      </c>
    </row>
    <row r="1279" spans="1:22" s="7" customFormat="1" ht="15.75">
      <c r="A1279" s="1"/>
      <c r="B1279" s="12" t="s">
        <v>1858</v>
      </c>
      <c r="C1279" s="6" t="s">
        <v>2599</v>
      </c>
      <c r="D1279" s="15" t="s">
        <v>11</v>
      </c>
      <c r="E1279" s="24" t="s">
        <v>536</v>
      </c>
      <c r="F1279" s="150">
        <v>160</v>
      </c>
      <c r="G1279" s="24" t="s">
        <v>77</v>
      </c>
      <c r="H1279" s="67">
        <v>50</v>
      </c>
      <c r="I1279" s="68">
        <v>1</v>
      </c>
      <c r="J1279" s="67">
        <f>H1279*I1279</f>
        <v>50</v>
      </c>
      <c r="K1279" s="25">
        <v>4.45</v>
      </c>
      <c r="L1279" s="46">
        <f>K1279*J1279</f>
        <v>222.5</v>
      </c>
      <c r="M1279" s="162" t="s">
        <v>2218</v>
      </c>
      <c r="N1279" s="39">
        <v>44655</v>
      </c>
      <c r="O1279" s="38">
        <v>4071</v>
      </c>
      <c r="P1279" s="46">
        <f>K1279*(VLOOKUP(B1279,$C$2:$F$6,3,FALSE))</f>
        <v>4.1829999999999998</v>
      </c>
      <c r="Q1279" s="483">
        <v>4.18</v>
      </c>
      <c r="R1279" s="704">
        <f>Q1279*J1279</f>
        <v>209</v>
      </c>
      <c r="S1279" s="532">
        <v>320</v>
      </c>
      <c r="T1279" s="113">
        <f>S1279*J1279</f>
        <v>16000</v>
      </c>
      <c r="U1279" s="501"/>
      <c r="V1279" s="494">
        <v>90</v>
      </c>
    </row>
    <row r="1280" spans="1:22" s="7" customFormat="1" ht="15.75">
      <c r="A1280" s="1"/>
      <c r="B1280" s="12" t="s">
        <v>1858</v>
      </c>
      <c r="C1280" s="6" t="s">
        <v>2599</v>
      </c>
      <c r="D1280" s="15" t="s">
        <v>11</v>
      </c>
      <c r="E1280" s="24" t="s">
        <v>536</v>
      </c>
      <c r="F1280" s="150">
        <v>160</v>
      </c>
      <c r="G1280" s="24" t="s">
        <v>2601</v>
      </c>
      <c r="H1280" s="67">
        <v>50</v>
      </c>
      <c r="I1280" s="68">
        <v>1</v>
      </c>
      <c r="J1280" s="67">
        <f>H1280*I1280</f>
        <v>50</v>
      </c>
      <c r="K1280" s="25">
        <v>4.45</v>
      </c>
      <c r="L1280" s="46">
        <f>K1280*J1280</f>
        <v>222.5</v>
      </c>
      <c r="M1280" s="162" t="s">
        <v>2218</v>
      </c>
      <c r="N1280" s="39">
        <v>44655</v>
      </c>
      <c r="O1280" s="38">
        <v>4071</v>
      </c>
      <c r="P1280" s="46">
        <f>K1280*(VLOOKUP(B1280,$C$2:$F$6,3,FALSE))</f>
        <v>4.1829999999999998</v>
      </c>
      <c r="Q1280" s="483">
        <v>4.18</v>
      </c>
      <c r="R1280" s="704">
        <f>Q1280*J1280</f>
        <v>209</v>
      </c>
      <c r="S1280" s="532">
        <v>320</v>
      </c>
      <c r="T1280" s="113">
        <f>S1280*J1280</f>
        <v>16000</v>
      </c>
      <c r="U1280" s="501"/>
      <c r="V1280" s="494">
        <v>90</v>
      </c>
    </row>
    <row r="1281" spans="1:22" ht="15">
      <c r="C1281" s="6" t="s">
        <v>2599</v>
      </c>
      <c r="D1281" s="15" t="s">
        <v>11</v>
      </c>
      <c r="E1281" s="20" t="s">
        <v>79</v>
      </c>
      <c r="F1281" s="150"/>
      <c r="G1281" s="24"/>
      <c r="H1281" s="151"/>
      <c r="I1281" s="152"/>
      <c r="J1281" s="151"/>
      <c r="K1281" s="153" t="s">
        <v>10</v>
      </c>
      <c r="L1281" s="39"/>
      <c r="M1281" s="39"/>
      <c r="N1281" s="39">
        <v>44655</v>
      </c>
      <c r="O1281" s="38">
        <v>4071</v>
      </c>
      <c r="P1281" s="15"/>
      <c r="Q1281" s="483"/>
      <c r="S1281" s="496"/>
      <c r="T1281" s="113"/>
      <c r="V1281" s="494">
        <v>90</v>
      </c>
    </row>
    <row r="1282" spans="1:22" ht="15.75">
      <c r="B1282" s="12" t="s">
        <v>1858</v>
      </c>
      <c r="C1282" s="6" t="s">
        <v>2599</v>
      </c>
      <c r="D1282" s="15" t="s">
        <v>11</v>
      </c>
      <c r="E1282" s="24">
        <v>2440</v>
      </c>
      <c r="F1282" s="150">
        <v>140</v>
      </c>
      <c r="G1282" s="24" t="s">
        <v>114</v>
      </c>
      <c r="H1282" s="67">
        <v>58</v>
      </c>
      <c r="I1282" s="68">
        <v>2</v>
      </c>
      <c r="J1282" s="67">
        <f>H1282*I1282</f>
        <v>116</v>
      </c>
      <c r="K1282" s="46">
        <v>3.34</v>
      </c>
      <c r="L1282" s="46">
        <f>K1282*J1282</f>
        <v>387.44</v>
      </c>
      <c r="M1282" s="162" t="s">
        <v>2219</v>
      </c>
      <c r="N1282" s="39">
        <v>44655</v>
      </c>
      <c r="O1282" s="38">
        <v>4071</v>
      </c>
      <c r="P1282" s="46">
        <f>K1282*(VLOOKUP(B1282,$C$2:$F$6,3,FALSE))</f>
        <v>3.1395999999999997</v>
      </c>
      <c r="Q1282" s="483">
        <v>3.14</v>
      </c>
      <c r="R1282" s="704">
        <f>Q1282*J1282</f>
        <v>364.24</v>
      </c>
      <c r="S1282" s="532">
        <v>240</v>
      </c>
      <c r="T1282" s="567">
        <f>S1282*J1282</f>
        <v>27840</v>
      </c>
      <c r="V1282" s="494">
        <v>90</v>
      </c>
    </row>
    <row r="1283" spans="1:22" ht="15.75">
      <c r="B1283" s="12" t="s">
        <v>1858</v>
      </c>
      <c r="C1283" s="6" t="s">
        <v>2599</v>
      </c>
      <c r="D1283" s="15" t="s">
        <v>11</v>
      </c>
      <c r="E1283" s="24">
        <v>2440</v>
      </c>
      <c r="F1283" s="150">
        <v>140</v>
      </c>
      <c r="G1283" s="24" t="s">
        <v>2008</v>
      </c>
      <c r="H1283" s="67">
        <v>58</v>
      </c>
      <c r="I1283" s="68">
        <v>3</v>
      </c>
      <c r="J1283" s="67">
        <f>H1283*I1283</f>
        <v>174</v>
      </c>
      <c r="K1283" s="46">
        <v>3.34</v>
      </c>
      <c r="L1283" s="46">
        <f>K1283*J1283</f>
        <v>581.16</v>
      </c>
      <c r="M1283" s="162" t="s">
        <v>2219</v>
      </c>
      <c r="N1283" s="39">
        <v>44655</v>
      </c>
      <c r="O1283" s="38">
        <v>4071</v>
      </c>
      <c r="P1283" s="46">
        <f>K1283*(VLOOKUP(B1283,$C$2:$F$6,3,FALSE))</f>
        <v>3.1395999999999997</v>
      </c>
      <c r="Q1283" s="483">
        <v>3.14</v>
      </c>
      <c r="R1283" s="704">
        <f>Q1283*J1283</f>
        <v>546.36</v>
      </c>
      <c r="S1283" s="532">
        <v>240</v>
      </c>
      <c r="T1283" s="567">
        <f>S1283*J1283</f>
        <v>41760</v>
      </c>
      <c r="V1283" s="494">
        <v>90</v>
      </c>
    </row>
    <row r="1284" spans="1:22" ht="15.75">
      <c r="B1284" s="12" t="s">
        <v>1858</v>
      </c>
      <c r="C1284" s="6" t="s">
        <v>2599</v>
      </c>
      <c r="D1284" s="15" t="s">
        <v>11</v>
      </c>
      <c r="E1284" s="24">
        <v>2440</v>
      </c>
      <c r="F1284" s="150">
        <v>140</v>
      </c>
      <c r="G1284" s="24" t="s">
        <v>859</v>
      </c>
      <c r="H1284" s="67">
        <v>58</v>
      </c>
      <c r="I1284" s="68">
        <v>6</v>
      </c>
      <c r="J1284" s="67">
        <f>H1284*I1284</f>
        <v>348</v>
      </c>
      <c r="K1284" s="46">
        <v>3.34</v>
      </c>
      <c r="L1284" s="46">
        <f>K1284*J1284</f>
        <v>1162.32</v>
      </c>
      <c r="M1284" s="162" t="s">
        <v>2219</v>
      </c>
      <c r="N1284" s="39">
        <v>44655</v>
      </c>
      <c r="O1284" s="38">
        <v>4071</v>
      </c>
      <c r="P1284" s="46">
        <f>K1284*(VLOOKUP(B1284,$C$2:$F$6,3,FALSE))</f>
        <v>3.1395999999999997</v>
      </c>
      <c r="Q1284" s="483">
        <v>3.14</v>
      </c>
      <c r="R1284" s="704">
        <f>Q1284*J1284</f>
        <v>1092.72</v>
      </c>
      <c r="S1284" s="532">
        <v>240</v>
      </c>
      <c r="T1284" s="567">
        <f>S1284*J1284</f>
        <v>83520</v>
      </c>
      <c r="V1284" s="494">
        <v>90</v>
      </c>
    </row>
    <row r="1285" spans="1:22" ht="15.75">
      <c r="B1285" s="12" t="s">
        <v>1858</v>
      </c>
      <c r="C1285" s="6" t="s">
        <v>2599</v>
      </c>
      <c r="D1285" s="15" t="s">
        <v>11</v>
      </c>
      <c r="E1285" s="24">
        <v>2440</v>
      </c>
      <c r="F1285" s="150">
        <v>140</v>
      </c>
      <c r="G1285" s="24" t="s">
        <v>2602</v>
      </c>
      <c r="H1285" s="67">
        <v>58</v>
      </c>
      <c r="I1285" s="68">
        <v>2</v>
      </c>
      <c r="J1285" s="67">
        <f>H1285*I1285</f>
        <v>116</v>
      </c>
      <c r="K1285" s="46">
        <v>3.34</v>
      </c>
      <c r="L1285" s="46">
        <f>K1285*J1285</f>
        <v>387.44</v>
      </c>
      <c r="M1285" s="162" t="s">
        <v>2219</v>
      </c>
      <c r="N1285" s="39">
        <v>44655</v>
      </c>
      <c r="O1285" s="38">
        <v>4071</v>
      </c>
      <c r="P1285" s="46">
        <f>K1285*(VLOOKUP(B1285,$C$2:$F$6,3,FALSE))</f>
        <v>3.1395999999999997</v>
      </c>
      <c r="Q1285" s="483">
        <v>3.14</v>
      </c>
      <c r="R1285" s="704">
        <f>Q1285*J1285</f>
        <v>364.24</v>
      </c>
      <c r="S1285" s="532">
        <v>240</v>
      </c>
      <c r="T1285" s="567">
        <f>S1285*J1285</f>
        <v>27840</v>
      </c>
      <c r="V1285" s="494">
        <v>90</v>
      </c>
    </row>
    <row r="1286" spans="1:22" ht="15">
      <c r="C1286" s="6" t="s">
        <v>2599</v>
      </c>
      <c r="D1286" s="15" t="s">
        <v>11</v>
      </c>
      <c r="E1286" s="24"/>
      <c r="F1286" s="160"/>
      <c r="G1286" s="228" t="s">
        <v>481</v>
      </c>
      <c r="H1286" s="214"/>
      <c r="I1286" s="215"/>
      <c r="J1286" s="43">
        <v>1</v>
      </c>
      <c r="K1286" s="229">
        <v>20</v>
      </c>
      <c r="L1286" s="417" t="s">
        <v>1676</v>
      </c>
      <c r="M1286" s="417"/>
      <c r="N1286" s="39">
        <v>44655</v>
      </c>
      <c r="O1286" s="38">
        <v>4071</v>
      </c>
      <c r="P1286" s="216"/>
      <c r="Q1286" s="525">
        <v>0</v>
      </c>
      <c r="R1286" s="704">
        <f>Q1286*J1286</f>
        <v>0</v>
      </c>
      <c r="S1286" s="532">
        <v>1800</v>
      </c>
      <c r="T1286" s="567">
        <f>S1286*J1286</f>
        <v>1800</v>
      </c>
      <c r="V1286" s="494">
        <v>90</v>
      </c>
    </row>
    <row r="1287" spans="1:22" s="314" customFormat="1" ht="15">
      <c r="A1287" s="1"/>
      <c r="B1287" s="313"/>
      <c r="C1287" s="302" t="s">
        <v>2599</v>
      </c>
      <c r="D1287" s="303" t="s">
        <v>11</v>
      </c>
      <c r="E1287" s="304"/>
      <c r="F1287" s="305"/>
      <c r="G1287" s="305" t="s">
        <v>1227</v>
      </c>
      <c r="H1287" s="307" t="s">
        <v>1228</v>
      </c>
      <c r="I1287" s="308"/>
      <c r="J1287" s="306"/>
      <c r="K1287" s="315">
        <v>0</v>
      </c>
      <c r="L1287" s="310"/>
      <c r="M1287" s="310"/>
      <c r="N1287" s="310">
        <v>44655</v>
      </c>
      <c r="O1287" s="309">
        <v>4071</v>
      </c>
      <c r="P1287" s="302"/>
      <c r="Q1287" s="485">
        <v>0</v>
      </c>
      <c r="S1287" s="535">
        <v>0</v>
      </c>
      <c r="T1287" s="322">
        <v>0</v>
      </c>
      <c r="U1287" s="515"/>
      <c r="V1287" s="494">
        <v>90</v>
      </c>
    </row>
    <row r="1288" spans="1:22" ht="15">
      <c r="C1288" s="6" t="s">
        <v>2603</v>
      </c>
      <c r="D1288" s="15" t="s">
        <v>11</v>
      </c>
      <c r="E1288" s="20" t="s">
        <v>79</v>
      </c>
      <c r="F1288" s="150"/>
      <c r="G1288" s="24"/>
      <c r="H1288" s="151"/>
      <c r="I1288" s="152"/>
      <c r="J1288" s="151"/>
      <c r="K1288" s="153" t="s">
        <v>10</v>
      </c>
      <c r="L1288" s="39"/>
      <c r="M1288" s="39"/>
      <c r="N1288" s="39">
        <v>44676</v>
      </c>
      <c r="O1288" s="38">
        <v>4147</v>
      </c>
      <c r="P1288" s="15"/>
      <c r="Q1288" s="483"/>
      <c r="S1288" s="496"/>
      <c r="T1288" s="113"/>
      <c r="V1288" s="494">
        <v>90</v>
      </c>
    </row>
    <row r="1289" spans="1:22" ht="15.75">
      <c r="B1289" s="12" t="s">
        <v>1858</v>
      </c>
      <c r="C1289" s="6" t="s">
        <v>2603</v>
      </c>
      <c r="D1289" s="15" t="s">
        <v>11</v>
      </c>
      <c r="E1289" s="24">
        <v>2440</v>
      </c>
      <c r="F1289" s="150">
        <v>140</v>
      </c>
      <c r="G1289" s="24" t="s">
        <v>859</v>
      </c>
      <c r="H1289" s="67">
        <v>58</v>
      </c>
      <c r="I1289" s="68">
        <v>20</v>
      </c>
      <c r="J1289" s="67">
        <f>H1289*I1289</f>
        <v>1160</v>
      </c>
      <c r="K1289" s="46">
        <v>3.34</v>
      </c>
      <c r="L1289" s="46">
        <f>K1289*J1289</f>
        <v>3874.3999999999996</v>
      </c>
      <c r="M1289" s="162" t="s">
        <v>2219</v>
      </c>
      <c r="N1289" s="39">
        <v>44676</v>
      </c>
      <c r="O1289" s="38">
        <v>4147</v>
      </c>
      <c r="P1289" s="46">
        <f>K1289*(VLOOKUP(B1289,$C$2:$F$6,3,FALSE))</f>
        <v>3.1395999999999997</v>
      </c>
      <c r="Q1289" s="483">
        <v>3.14</v>
      </c>
      <c r="R1289" s="704">
        <f>Q1289*J1289</f>
        <v>3642.4</v>
      </c>
      <c r="S1289" s="532">
        <v>240</v>
      </c>
      <c r="T1289" s="567">
        <f>S1289*J1289</f>
        <v>278400</v>
      </c>
      <c r="V1289" s="494">
        <v>90</v>
      </c>
    </row>
    <row r="1290" spans="1:22" ht="15.75">
      <c r="B1290" s="12" t="s">
        <v>1858</v>
      </c>
      <c r="C1290" s="6" t="s">
        <v>2603</v>
      </c>
      <c r="D1290" s="15" t="s">
        <v>11</v>
      </c>
      <c r="E1290" s="24">
        <v>2440</v>
      </c>
      <c r="F1290" s="150">
        <v>140</v>
      </c>
      <c r="G1290" s="24" t="s">
        <v>1547</v>
      </c>
      <c r="H1290" s="67">
        <v>58</v>
      </c>
      <c r="I1290" s="68">
        <v>2</v>
      </c>
      <c r="J1290" s="67">
        <f>H1290*I1290</f>
        <v>116</v>
      </c>
      <c r="K1290" s="46">
        <v>3.34</v>
      </c>
      <c r="L1290" s="46">
        <f>K1290*J1290</f>
        <v>387.44</v>
      </c>
      <c r="M1290" s="162" t="s">
        <v>2219</v>
      </c>
      <c r="N1290" s="39">
        <v>44676</v>
      </c>
      <c r="O1290" s="38">
        <v>4147</v>
      </c>
      <c r="P1290" s="46">
        <f>K1290*(VLOOKUP(B1290,$C$2:$F$6,3,FALSE))</f>
        <v>3.1395999999999997</v>
      </c>
      <c r="Q1290" s="483">
        <v>3.14</v>
      </c>
      <c r="R1290" s="704">
        <f>Q1290*J1290</f>
        <v>364.24</v>
      </c>
      <c r="S1290" s="532">
        <v>240</v>
      </c>
      <c r="T1290" s="567">
        <f>S1290*J1290</f>
        <v>27840</v>
      </c>
      <c r="V1290" s="494">
        <v>90</v>
      </c>
    </row>
    <row r="1291" spans="1:22" ht="15.75">
      <c r="B1291" s="12" t="s">
        <v>1858</v>
      </c>
      <c r="C1291" s="6" t="s">
        <v>2603</v>
      </c>
      <c r="D1291" s="15" t="s">
        <v>11</v>
      </c>
      <c r="E1291" s="24">
        <v>2440</v>
      </c>
      <c r="F1291" s="150">
        <v>140</v>
      </c>
      <c r="G1291" s="24" t="s">
        <v>1922</v>
      </c>
      <c r="H1291" s="67">
        <v>58</v>
      </c>
      <c r="I1291" s="68">
        <v>2</v>
      </c>
      <c r="J1291" s="67">
        <f>H1291*I1291</f>
        <v>116</v>
      </c>
      <c r="K1291" s="46">
        <v>3.34</v>
      </c>
      <c r="L1291" s="46">
        <f>K1291*J1291</f>
        <v>387.44</v>
      </c>
      <c r="M1291" s="162" t="s">
        <v>2219</v>
      </c>
      <c r="N1291" s="39">
        <v>44676</v>
      </c>
      <c r="O1291" s="38">
        <v>4147</v>
      </c>
      <c r="P1291" s="46">
        <f>K1291*(VLOOKUP(B1291,$C$2:$F$6,3,FALSE))</f>
        <v>3.1395999999999997</v>
      </c>
      <c r="Q1291" s="483">
        <v>3.14</v>
      </c>
      <c r="R1291" s="704">
        <f>Q1291*J1291</f>
        <v>364.24</v>
      </c>
      <c r="S1291" s="532">
        <v>240</v>
      </c>
      <c r="T1291" s="567">
        <f>S1291*J1291</f>
        <v>27840</v>
      </c>
      <c r="V1291" s="494">
        <v>90</v>
      </c>
    </row>
    <row r="1292" spans="1:22" ht="15">
      <c r="C1292" s="6" t="s">
        <v>2603</v>
      </c>
      <c r="D1292" s="15" t="s">
        <v>11</v>
      </c>
      <c r="E1292" s="24"/>
      <c r="F1292" s="160"/>
      <c r="G1292" s="228" t="s">
        <v>481</v>
      </c>
      <c r="H1292" s="214"/>
      <c r="I1292" s="215"/>
      <c r="J1292" s="43">
        <v>1</v>
      </c>
      <c r="K1292" s="229">
        <v>20</v>
      </c>
      <c r="L1292" s="417" t="s">
        <v>1676</v>
      </c>
      <c r="M1292" s="417"/>
      <c r="N1292" s="39">
        <v>44676</v>
      </c>
      <c r="O1292" s="38">
        <v>4147</v>
      </c>
      <c r="P1292" s="216"/>
      <c r="Q1292" s="525">
        <v>0</v>
      </c>
      <c r="R1292" s="704">
        <f>Q1292*J1292</f>
        <v>0</v>
      </c>
      <c r="S1292" s="532">
        <v>1800</v>
      </c>
      <c r="T1292" s="567">
        <f>S1292*J1292</f>
        <v>1800</v>
      </c>
      <c r="V1292" s="494">
        <v>90</v>
      </c>
    </row>
    <row r="1293" spans="1:22" s="314" customFormat="1" ht="15">
      <c r="A1293" s="1"/>
      <c r="B1293" s="313"/>
      <c r="C1293" s="302" t="s">
        <v>2603</v>
      </c>
      <c r="D1293" s="303" t="s">
        <v>11</v>
      </c>
      <c r="E1293" s="304"/>
      <c r="F1293" s="305"/>
      <c r="G1293" s="305" t="s">
        <v>1227</v>
      </c>
      <c r="H1293" s="307" t="s">
        <v>1228</v>
      </c>
      <c r="I1293" s="308"/>
      <c r="J1293" s="306"/>
      <c r="K1293" s="315">
        <v>0</v>
      </c>
      <c r="L1293" s="310"/>
      <c r="M1293" s="310"/>
      <c r="N1293" s="310">
        <v>44676</v>
      </c>
      <c r="O1293" s="309">
        <v>4147</v>
      </c>
      <c r="P1293" s="302"/>
      <c r="Q1293" s="485">
        <v>0</v>
      </c>
      <c r="S1293" s="535">
        <v>0</v>
      </c>
      <c r="T1293" s="322">
        <v>0</v>
      </c>
      <c r="U1293" s="515"/>
      <c r="V1293" s="494">
        <v>90</v>
      </c>
    </row>
    <row r="1294" spans="1:22" ht="15">
      <c r="C1294" s="6" t="s">
        <v>2608</v>
      </c>
      <c r="D1294" s="15" t="s">
        <v>2609</v>
      </c>
      <c r="E1294" s="20" t="s">
        <v>975</v>
      </c>
      <c r="F1294" s="44"/>
      <c r="G1294" s="44"/>
      <c r="H1294" s="151"/>
      <c r="I1294" s="151"/>
      <c r="J1294" s="151"/>
      <c r="K1294" s="34" t="s">
        <v>134</v>
      </c>
      <c r="L1294" s="213"/>
      <c r="M1294" s="39"/>
      <c r="N1294" s="39">
        <v>44652</v>
      </c>
      <c r="O1294" s="38">
        <v>4064</v>
      </c>
      <c r="P1294" s="6"/>
      <c r="Q1294" s="862"/>
      <c r="S1294" s="7"/>
      <c r="T1294" s="7"/>
      <c r="U1294" s="23"/>
      <c r="V1294" s="494">
        <v>90</v>
      </c>
    </row>
    <row r="1295" spans="1:22" ht="15.75">
      <c r="B1295" s="28" t="s">
        <v>1856</v>
      </c>
      <c r="C1295" s="6" t="s">
        <v>2608</v>
      </c>
      <c r="D1295" s="15" t="s">
        <v>2609</v>
      </c>
      <c r="E1295" s="24">
        <v>2250</v>
      </c>
      <c r="F1295" s="44">
        <v>18</v>
      </c>
      <c r="G1295" s="24" t="s">
        <v>2610</v>
      </c>
      <c r="H1295" s="151">
        <v>30</v>
      </c>
      <c r="I1295" s="152">
        <v>1</v>
      </c>
      <c r="J1295" s="8">
        <f>H1295*I1295</f>
        <v>30</v>
      </c>
      <c r="K1295" s="46">
        <v>0.46</v>
      </c>
      <c r="L1295" s="46">
        <f>K1295*J1295</f>
        <v>13.8</v>
      </c>
      <c r="M1295" s="162" t="s">
        <v>2607</v>
      </c>
      <c r="N1295" s="39">
        <v>44652</v>
      </c>
      <c r="O1295" s="38">
        <v>4064</v>
      </c>
      <c r="P1295" s="46">
        <f>K1295*(VLOOKUP(B1295,$C$2:$F$6,3,FALSE))</f>
        <v>0.40479999999999999</v>
      </c>
      <c r="Q1295" s="703">
        <v>0.4</v>
      </c>
      <c r="R1295" s="703">
        <f>Q1295*J1295</f>
        <v>12</v>
      </c>
      <c r="S1295" s="7">
        <v>24.5</v>
      </c>
      <c r="T1295" s="7">
        <f>S1295*J1295</f>
        <v>735</v>
      </c>
      <c r="U1295" s="46"/>
      <c r="V1295" s="494">
        <v>90</v>
      </c>
    </row>
    <row r="1296" spans="1:22" ht="15.75">
      <c r="B1296" s="28" t="s">
        <v>1856</v>
      </c>
      <c r="C1296" s="6" t="s">
        <v>2608</v>
      </c>
      <c r="D1296" s="15" t="s">
        <v>2609</v>
      </c>
      <c r="E1296" s="24">
        <v>2250</v>
      </c>
      <c r="F1296" s="44">
        <v>24</v>
      </c>
      <c r="G1296" s="24" t="s">
        <v>2610</v>
      </c>
      <c r="H1296" s="151">
        <v>30</v>
      </c>
      <c r="I1296" s="152">
        <v>1</v>
      </c>
      <c r="J1296" s="8">
        <f>H1296*I1296</f>
        <v>30</v>
      </c>
      <c r="K1296" s="46">
        <v>0.59</v>
      </c>
      <c r="L1296" s="46">
        <f>K1296*J1296</f>
        <v>17.7</v>
      </c>
      <c r="M1296" s="162" t="s">
        <v>2607</v>
      </c>
      <c r="N1296" s="39">
        <v>44652</v>
      </c>
      <c r="O1296" s="38">
        <v>4064</v>
      </c>
      <c r="P1296" s="46">
        <f>K1296*(VLOOKUP(B1296,$C$2:$F$6,3,FALSE))</f>
        <v>0.51919999999999999</v>
      </c>
      <c r="Q1296" s="703">
        <v>0.52</v>
      </c>
      <c r="R1296" s="703">
        <f>Q1296*J1296</f>
        <v>15.600000000000001</v>
      </c>
      <c r="S1296" s="7">
        <v>31.67</v>
      </c>
      <c r="T1296" s="7">
        <f>S1296*J1296</f>
        <v>950.1</v>
      </c>
      <c r="U1296" s="46"/>
      <c r="V1296" s="494">
        <v>90</v>
      </c>
    </row>
    <row r="1297" spans="1:23" s="7" customFormat="1" ht="15" customHeight="1">
      <c r="A1297" s="1"/>
      <c r="B1297" s="12"/>
      <c r="C1297" s="6" t="s">
        <v>2608</v>
      </c>
      <c r="D1297" s="15" t="s">
        <v>2609</v>
      </c>
      <c r="E1297" s="20" t="s">
        <v>55</v>
      </c>
      <c r="F1297" s="26"/>
      <c r="G1297" s="24"/>
      <c r="H1297" s="67"/>
      <c r="I1297" s="68"/>
      <c r="J1297" s="67"/>
      <c r="K1297" s="17" t="s">
        <v>10</v>
      </c>
      <c r="L1297" s="39"/>
      <c r="M1297" s="39"/>
      <c r="N1297" s="39">
        <v>44652</v>
      </c>
      <c r="O1297" s="38">
        <v>4064</v>
      </c>
      <c r="P1297" s="6" t="s">
        <v>3</v>
      </c>
      <c r="Q1297" s="481"/>
      <c r="S1297" s="489"/>
      <c r="T1297" s="113"/>
      <c r="U1297" s="500"/>
      <c r="V1297" s="494">
        <v>90</v>
      </c>
    </row>
    <row r="1298" spans="1:23" s="7" customFormat="1" ht="15" customHeight="1">
      <c r="A1298" s="1"/>
      <c r="B1298" s="12" t="s">
        <v>1856</v>
      </c>
      <c r="C1298" s="6" t="s">
        <v>2608</v>
      </c>
      <c r="D1298" s="15" t="s">
        <v>2609</v>
      </c>
      <c r="E1298" s="864" t="s">
        <v>2583</v>
      </c>
      <c r="F1298" s="26"/>
      <c r="G1298" s="870" t="s">
        <v>129</v>
      </c>
      <c r="H1298" s="67"/>
      <c r="I1298" s="68"/>
      <c r="J1298" s="67">
        <v>1</v>
      </c>
      <c r="K1298" s="869">
        <v>5</v>
      </c>
      <c r="L1298" s="46">
        <f>K1298*J1298</f>
        <v>5</v>
      </c>
      <c r="M1298" s="162" t="s">
        <v>2607</v>
      </c>
      <c r="N1298" s="39">
        <v>44652</v>
      </c>
      <c r="O1298" s="38">
        <v>4064</v>
      </c>
      <c r="P1298" s="46">
        <f>K1298*(VLOOKUP(B1298,$C$2:$F$6,3,FALSE))</f>
        <v>4.4000000000000004</v>
      </c>
      <c r="Q1298" s="703">
        <v>4.4000000000000004</v>
      </c>
      <c r="R1298" s="703">
        <f>Q1298*J1298</f>
        <v>4.4000000000000004</v>
      </c>
      <c r="S1298" s="7">
        <v>270</v>
      </c>
      <c r="T1298" s="7">
        <f>S1298*J1298</f>
        <v>270</v>
      </c>
      <c r="U1298" s="46"/>
      <c r="V1298" s="494">
        <v>90</v>
      </c>
      <c r="W1298" s="1"/>
    </row>
    <row r="1299" spans="1:23" s="7" customFormat="1" ht="15" customHeight="1">
      <c r="A1299" s="1"/>
      <c r="B1299" s="12" t="s">
        <v>1856</v>
      </c>
      <c r="C1299" s="6" t="s">
        <v>2608</v>
      </c>
      <c r="D1299" s="15" t="s">
        <v>2609</v>
      </c>
      <c r="E1299" s="864" t="s">
        <v>2585</v>
      </c>
      <c r="F1299" s="26"/>
      <c r="G1299" s="870" t="s">
        <v>129</v>
      </c>
      <c r="H1299" s="67"/>
      <c r="I1299" s="68"/>
      <c r="J1299" s="67">
        <v>1</v>
      </c>
      <c r="K1299" s="869">
        <v>5.0599999999999996</v>
      </c>
      <c r="L1299" s="46">
        <f>K1299*J1299</f>
        <v>5.0599999999999996</v>
      </c>
      <c r="M1299" s="162" t="s">
        <v>2607</v>
      </c>
      <c r="N1299" s="39">
        <v>44652</v>
      </c>
      <c r="O1299" s="38">
        <v>4064</v>
      </c>
      <c r="P1299" s="46">
        <f>K1299*(VLOOKUP(B1299,$C$2:$F$6,3,FALSE))</f>
        <v>4.4527999999999999</v>
      </c>
      <c r="Q1299" s="703">
        <v>4.45</v>
      </c>
      <c r="R1299" s="703">
        <f>Q1299*J1299</f>
        <v>4.45</v>
      </c>
      <c r="S1299" s="7">
        <v>273</v>
      </c>
      <c r="T1299" s="7">
        <f>S1299*J1299</f>
        <v>273</v>
      </c>
      <c r="U1299" s="46"/>
      <c r="V1299" s="494">
        <v>90</v>
      </c>
      <c r="W1299" s="1"/>
    </row>
    <row r="1300" spans="1:23" s="7" customFormat="1" ht="15" customHeight="1">
      <c r="A1300" s="1"/>
      <c r="B1300" s="12" t="s">
        <v>1856</v>
      </c>
      <c r="C1300" s="6" t="s">
        <v>2608</v>
      </c>
      <c r="D1300" s="15" t="s">
        <v>2609</v>
      </c>
      <c r="E1300" s="864" t="s">
        <v>2611</v>
      </c>
      <c r="F1300" s="26"/>
      <c r="G1300" s="870" t="s">
        <v>129</v>
      </c>
      <c r="H1300" s="67"/>
      <c r="I1300" s="68"/>
      <c r="J1300" s="67">
        <v>1</v>
      </c>
      <c r="K1300" s="869">
        <v>4.38</v>
      </c>
      <c r="L1300" s="46">
        <f>K1300*J1300</f>
        <v>4.38</v>
      </c>
      <c r="M1300" s="162" t="s">
        <v>2607</v>
      </c>
      <c r="N1300" s="39">
        <v>44652</v>
      </c>
      <c r="O1300" s="38">
        <v>4064</v>
      </c>
      <c r="P1300" s="46">
        <f>K1300*(VLOOKUP(B1300,$C$2:$F$6,3,FALSE))</f>
        <v>3.8544</v>
      </c>
      <c r="Q1300" s="703">
        <v>3.85</v>
      </c>
      <c r="R1300" s="703">
        <f>Q1300*J1300</f>
        <v>3.85</v>
      </c>
      <c r="S1300" s="7">
        <v>236</v>
      </c>
      <c r="T1300" s="7">
        <f>S1300*J1300</f>
        <v>236</v>
      </c>
      <c r="U1300" s="46"/>
      <c r="V1300" s="494">
        <v>90</v>
      </c>
      <c r="W1300" s="1"/>
    </row>
    <row r="1301" spans="1:23" ht="18" customHeight="1">
      <c r="B1301" s="28" t="s">
        <v>1856</v>
      </c>
      <c r="C1301" s="6" t="s">
        <v>2608</v>
      </c>
      <c r="D1301" s="15" t="s">
        <v>2609</v>
      </c>
      <c r="E1301" s="865" t="s">
        <v>2589</v>
      </c>
      <c r="F1301" s="44"/>
      <c r="G1301" s="870" t="s">
        <v>200</v>
      </c>
      <c r="H1301" s="151"/>
      <c r="I1301" s="152"/>
      <c r="J1301" s="8">
        <v>1</v>
      </c>
      <c r="K1301" s="869">
        <v>6.3199999999999994</v>
      </c>
      <c r="L1301" s="46">
        <f>K1301*J1301</f>
        <v>6.3199999999999994</v>
      </c>
      <c r="M1301" s="162" t="s">
        <v>2607</v>
      </c>
      <c r="N1301" s="39">
        <v>44652</v>
      </c>
      <c r="O1301" s="38">
        <v>4064</v>
      </c>
      <c r="P1301" s="46">
        <f>K1301*(VLOOKUP(B1301,$C$2:$F$6,3,FALSE))</f>
        <v>5.5615999999999994</v>
      </c>
      <c r="Q1301" s="703">
        <v>5.56</v>
      </c>
      <c r="R1301" s="703">
        <f>Q1301*J1301</f>
        <v>5.56</v>
      </c>
      <c r="S1301" s="7">
        <v>341</v>
      </c>
      <c r="T1301" s="7">
        <f>S1301*J1301</f>
        <v>341</v>
      </c>
      <c r="U1301" s="46"/>
      <c r="V1301" s="494">
        <v>90</v>
      </c>
    </row>
    <row r="1302" spans="1:23" s="7" customFormat="1" ht="16.899999999999999" customHeight="1">
      <c r="A1302" s="1"/>
      <c r="B1302" s="12"/>
      <c r="C1302" s="6" t="s">
        <v>2608</v>
      </c>
      <c r="D1302" s="15" t="s">
        <v>2609</v>
      </c>
      <c r="E1302" s="24"/>
      <c r="F1302" s="863"/>
      <c r="G1302" s="24" t="s">
        <v>1993</v>
      </c>
      <c r="H1302" s="8"/>
      <c r="I1302" s="152" ph="1"/>
      <c r="J1302" s="45">
        <v>2</v>
      </c>
      <c r="K1302" s="46">
        <v>12</v>
      </c>
      <c r="L1302" s="46">
        <f>K1302*J1302</f>
        <v>24</v>
      </c>
      <c r="M1302" s="112"/>
      <c r="N1302" s="39">
        <v>44652</v>
      </c>
      <c r="O1302" s="38">
        <v>4064</v>
      </c>
      <c r="P1302" s="6"/>
      <c r="Q1302" s="703">
        <v>24</v>
      </c>
      <c r="R1302" s="703">
        <v>24</v>
      </c>
      <c r="S1302" s="7">
        <v>900</v>
      </c>
      <c r="T1302" s="7">
        <v>900</v>
      </c>
      <c r="U1302" s="23"/>
      <c r="V1302" s="494">
        <v>90</v>
      </c>
    </row>
    <row r="1303" spans="1:23" s="314" customFormat="1" ht="15">
      <c r="A1303" s="1"/>
      <c r="B1303" s="313"/>
      <c r="C1303" s="302" t="s">
        <v>2608</v>
      </c>
      <c r="D1303" s="303" t="s">
        <v>2609</v>
      </c>
      <c r="E1303" s="304"/>
      <c r="F1303" s="305"/>
      <c r="G1303" s="305" t="s">
        <v>1227</v>
      </c>
      <c r="H1303" s="307" t="s">
        <v>1228</v>
      </c>
      <c r="I1303" s="308"/>
      <c r="J1303" s="306"/>
      <c r="K1303" s="315">
        <v>0</v>
      </c>
      <c r="L1303" s="310"/>
      <c r="M1303" s="310"/>
      <c r="N1303" s="310">
        <v>44652</v>
      </c>
      <c r="O1303" s="309">
        <v>4064</v>
      </c>
      <c r="P1303" s="302"/>
      <c r="Q1303" s="485">
        <v>0</v>
      </c>
      <c r="S1303" s="535">
        <v>0</v>
      </c>
      <c r="T1303" s="322">
        <v>0</v>
      </c>
      <c r="U1303" s="515"/>
      <c r="V1303" s="494">
        <v>90</v>
      </c>
    </row>
    <row r="1304" spans="1:23" s="7" customFormat="1" ht="15" customHeight="1">
      <c r="A1304" s="1"/>
      <c r="B1304" s="12"/>
      <c r="C1304" s="6" t="s">
        <v>2654</v>
      </c>
      <c r="D1304" s="15" t="s">
        <v>958</v>
      </c>
      <c r="E1304" s="20" t="s">
        <v>628</v>
      </c>
      <c r="F1304" s="26"/>
      <c r="G1304" s="24"/>
      <c r="H1304" s="67"/>
      <c r="I1304" s="68"/>
      <c r="J1304" s="67"/>
      <c r="K1304" s="17" t="s">
        <v>134</v>
      </c>
      <c r="L1304" s="39"/>
      <c r="M1304" s="39"/>
      <c r="N1304" s="39">
        <v>44678</v>
      </c>
      <c r="O1304" s="38">
        <v>4105</v>
      </c>
      <c r="P1304" s="179" t="s">
        <v>23</v>
      </c>
      <c r="Q1304" s="438" t="s">
        <v>959</v>
      </c>
      <c r="S1304" s="489"/>
      <c r="T1304" s="113"/>
      <c r="U1304" s="510"/>
      <c r="V1304" s="494">
        <v>90</v>
      </c>
    </row>
    <row r="1305" spans="1:23" s="7" customFormat="1" ht="18" customHeight="1">
      <c r="A1305" s="1"/>
      <c r="B1305" s="12" t="s">
        <v>1856</v>
      </c>
      <c r="C1305" s="6" t="s">
        <v>2654</v>
      </c>
      <c r="D1305" s="15" t="s">
        <v>958</v>
      </c>
      <c r="E1305" s="24">
        <v>5291</v>
      </c>
      <c r="F1305" s="26">
        <v>8</v>
      </c>
      <c r="G1305" s="24" t="s">
        <v>498</v>
      </c>
      <c r="H1305" s="67">
        <v>50</v>
      </c>
      <c r="I1305" s="68">
        <v>37</v>
      </c>
      <c r="J1305" s="67">
        <f>H1305*I1305</f>
        <v>1850</v>
      </c>
      <c r="K1305" s="46">
        <v>0.63</v>
      </c>
      <c r="L1305" s="46">
        <f>K1305*J1305</f>
        <v>1165.5</v>
      </c>
      <c r="M1305" s="162" t="s">
        <v>2219</v>
      </c>
      <c r="N1305" s="39">
        <v>44678</v>
      </c>
      <c r="O1305" s="38">
        <v>4105</v>
      </c>
      <c r="P1305" s="180">
        <v>0.4</v>
      </c>
      <c r="Q1305" s="180">
        <v>0.4</v>
      </c>
      <c r="R1305" s="704">
        <f>Q1305*J1305</f>
        <v>740</v>
      </c>
      <c r="S1305" s="489">
        <v>24</v>
      </c>
      <c r="T1305" s="113">
        <f>S1305*J1305</f>
        <v>44400</v>
      </c>
      <c r="U1305" s="867" t="s">
        <v>2612</v>
      </c>
      <c r="V1305" s="494">
        <v>90</v>
      </c>
    </row>
    <row r="1306" spans="1:23" s="7" customFormat="1" ht="18" customHeight="1">
      <c r="A1306" s="1"/>
      <c r="B1306" s="12" t="s">
        <v>1856</v>
      </c>
      <c r="C1306" s="6" t="s">
        <v>2654</v>
      </c>
      <c r="D1306" s="15" t="s">
        <v>958</v>
      </c>
      <c r="E1306" s="24">
        <v>5291</v>
      </c>
      <c r="F1306" s="26">
        <v>8</v>
      </c>
      <c r="G1306" s="24" t="s">
        <v>499</v>
      </c>
      <c r="H1306" s="67">
        <v>50</v>
      </c>
      <c r="I1306" s="68">
        <v>18</v>
      </c>
      <c r="J1306" s="67">
        <f>H1306*I1306</f>
        <v>900</v>
      </c>
      <c r="K1306" s="46">
        <v>0.63</v>
      </c>
      <c r="L1306" s="46">
        <f>K1306*J1306</f>
        <v>567</v>
      </c>
      <c r="M1306" s="162" t="s">
        <v>2219</v>
      </c>
      <c r="N1306" s="39">
        <v>44678</v>
      </c>
      <c r="O1306" s="38">
        <v>4105</v>
      </c>
      <c r="P1306" s="180">
        <v>0.4</v>
      </c>
      <c r="Q1306" s="180">
        <v>0.4</v>
      </c>
      <c r="R1306" s="704">
        <f>Q1306*J1306</f>
        <v>360</v>
      </c>
      <c r="S1306" s="489">
        <v>24</v>
      </c>
      <c r="T1306" s="113">
        <f>S1306*J1306</f>
        <v>21600</v>
      </c>
      <c r="U1306" s="867" t="s">
        <v>2612</v>
      </c>
      <c r="V1306" s="494">
        <v>90</v>
      </c>
    </row>
    <row r="1307" spans="1:23" ht="15.95" customHeight="1">
      <c r="C1307" s="6" t="s">
        <v>2654</v>
      </c>
      <c r="D1307" s="15" t="s">
        <v>958</v>
      </c>
      <c r="E1307" s="24"/>
      <c r="F1307" s="138"/>
      <c r="G1307" s="44" t="s">
        <v>1993</v>
      </c>
      <c r="H1307" s="8"/>
      <c r="I1307" s="41"/>
      <c r="J1307" s="45">
        <v>1</v>
      </c>
      <c r="K1307" s="46">
        <v>0</v>
      </c>
      <c r="L1307" s="46">
        <f>K1307*J1307</f>
        <v>0</v>
      </c>
      <c r="M1307" s="112"/>
      <c r="N1307" s="39">
        <v>44678</v>
      </c>
      <c r="O1307" s="38">
        <v>4105</v>
      </c>
      <c r="P1307" s="179"/>
      <c r="Q1307" s="830" t="s">
        <v>855</v>
      </c>
      <c r="R1307" s="704">
        <v>0</v>
      </c>
      <c r="S1307" s="498">
        <v>0</v>
      </c>
      <c r="T1307" s="568">
        <f>S1307*J1307</f>
        <v>0</v>
      </c>
      <c r="U1307" s="511"/>
      <c r="V1307" s="494">
        <v>90</v>
      </c>
    </row>
    <row r="1308" spans="1:23" s="314" customFormat="1" ht="15" customHeight="1">
      <c r="A1308" s="1"/>
      <c r="B1308" s="313"/>
      <c r="C1308" s="302" t="s">
        <v>2654</v>
      </c>
      <c r="D1308" s="303" t="s">
        <v>958</v>
      </c>
      <c r="E1308" s="304"/>
      <c r="F1308" s="305"/>
      <c r="G1308" s="305" t="s">
        <v>2371</v>
      </c>
      <c r="H1308" s="410"/>
      <c r="I1308" s="308" t="s">
        <v>2370</v>
      </c>
      <c r="J1308" s="410">
        <v>2750</v>
      </c>
      <c r="K1308" s="315">
        <v>0.18</v>
      </c>
      <c r="L1308" s="315"/>
      <c r="M1308" s="784"/>
      <c r="N1308" s="310">
        <v>44678</v>
      </c>
      <c r="O1308" s="309">
        <v>4105</v>
      </c>
      <c r="P1308" s="302"/>
      <c r="Q1308" s="485">
        <v>495</v>
      </c>
      <c r="R1308" s="485">
        <v>495</v>
      </c>
      <c r="S1308" s="537">
        <f>38995+3601</f>
        <v>42596</v>
      </c>
      <c r="T1308" s="348">
        <f>38995+3601</f>
        <v>42596</v>
      </c>
      <c r="U1308" s="515"/>
      <c r="V1308" s="494">
        <v>90</v>
      </c>
    </row>
    <row r="1309" spans="1:23" s="7" customFormat="1" ht="18" customHeight="1">
      <c r="A1309" s="1"/>
      <c r="B1309" s="12"/>
      <c r="C1309" s="6" t="s">
        <v>2624</v>
      </c>
      <c r="D1309" s="15" t="s">
        <v>586</v>
      </c>
      <c r="E1309" s="20" t="s">
        <v>1003</v>
      </c>
      <c r="F1309" s="24"/>
      <c r="G1309" s="44"/>
      <c r="H1309" s="151"/>
      <c r="I1309" s="151"/>
      <c r="J1309" s="151"/>
      <c r="K1309" s="153" t="s">
        <v>10</v>
      </c>
      <c r="L1309" s="39"/>
      <c r="M1309" s="39"/>
      <c r="N1309" s="39">
        <v>44659</v>
      </c>
      <c r="O1309" s="38">
        <v>4092</v>
      </c>
      <c r="P1309" s="6"/>
      <c r="Q1309" s="411"/>
      <c r="S1309" s="489"/>
      <c r="T1309" s="113"/>
      <c r="U1309" s="501"/>
      <c r="V1309" s="494">
        <v>90</v>
      </c>
    </row>
    <row r="1310" spans="1:23" s="7" customFormat="1" ht="15.95" customHeight="1">
      <c r="A1310" s="1"/>
      <c r="B1310" s="12" t="s">
        <v>1856</v>
      </c>
      <c r="C1310" s="6" t="s">
        <v>2624</v>
      </c>
      <c r="D1310" s="15" t="s">
        <v>586</v>
      </c>
      <c r="E1310" s="24" t="s">
        <v>1801</v>
      </c>
      <c r="F1310" s="44"/>
      <c r="G1310" s="44" t="s">
        <v>78</v>
      </c>
      <c r="H1310" s="8">
        <v>14</v>
      </c>
      <c r="I1310" s="41">
        <v>7</v>
      </c>
      <c r="J1310" s="67">
        <f>H1310*I1310</f>
        <v>98</v>
      </c>
      <c r="K1310" s="46">
        <v>1.6</v>
      </c>
      <c r="L1310" s="46">
        <f>K1310*J1310</f>
        <v>156.80000000000001</v>
      </c>
      <c r="M1310" s="162" t="s">
        <v>2219</v>
      </c>
      <c r="N1310" s="39">
        <v>44659</v>
      </c>
      <c r="O1310" s="38">
        <v>4092</v>
      </c>
      <c r="P1310" s="180">
        <f>K1310*(VLOOKUP(B1310,$C$2:$F$6,3,FALSE))</f>
        <v>1.4080000000000001</v>
      </c>
      <c r="Q1310" s="483">
        <v>1.41</v>
      </c>
      <c r="R1310" s="704">
        <f>Q1310*J1310</f>
        <v>138.17999999999998</v>
      </c>
      <c r="S1310" s="489">
        <v>86</v>
      </c>
      <c r="T1310" s="113">
        <f>S1310*J1310</f>
        <v>8428</v>
      </c>
      <c r="U1310" s="517"/>
      <c r="V1310" s="494">
        <v>90</v>
      </c>
    </row>
    <row r="1311" spans="1:23" ht="15.95" customHeight="1">
      <c r="B1311" s="12" t="s">
        <v>1862</v>
      </c>
      <c r="C1311" s="6" t="s">
        <v>2624</v>
      </c>
      <c r="D1311" s="15" t="s">
        <v>586</v>
      </c>
      <c r="E1311" s="24"/>
      <c r="F1311" s="138"/>
      <c r="G1311" s="44" t="s">
        <v>1993</v>
      </c>
      <c r="H1311" s="8"/>
      <c r="I1311" s="41"/>
      <c r="J1311" s="45">
        <v>1</v>
      </c>
      <c r="K1311" s="46">
        <v>12</v>
      </c>
      <c r="L1311" s="46">
        <f>K1311*J1311</f>
        <v>12</v>
      </c>
      <c r="M1311" s="112"/>
      <c r="N1311" s="39">
        <v>44659</v>
      </c>
      <c r="O1311" s="38">
        <v>4092</v>
      </c>
      <c r="P1311" s="46">
        <f>K1311*(VLOOKUP(B1311,$C$2:$F$6,3,FALSE))</f>
        <v>12</v>
      </c>
      <c r="Q1311" s="483">
        <v>12</v>
      </c>
      <c r="R1311" s="704">
        <v>12</v>
      </c>
      <c r="S1311" s="489">
        <v>0</v>
      </c>
      <c r="T1311" s="113">
        <f>S1311*J1311</f>
        <v>0</v>
      </c>
      <c r="U1311" s="511"/>
      <c r="V1311" s="494">
        <v>90</v>
      </c>
    </row>
    <row r="1312" spans="1:23" s="314" customFormat="1" ht="15">
      <c r="A1312" s="1"/>
      <c r="B1312" s="313"/>
      <c r="C1312" s="302" t="s">
        <v>2624</v>
      </c>
      <c r="D1312" s="303" t="s">
        <v>586</v>
      </c>
      <c r="E1312" s="304"/>
      <c r="F1312" s="305"/>
      <c r="G1312" s="305" t="s">
        <v>1227</v>
      </c>
      <c r="H1312" s="307" t="s">
        <v>1228</v>
      </c>
      <c r="I1312" s="308"/>
      <c r="J1312" s="306"/>
      <c r="K1312" s="315">
        <v>0</v>
      </c>
      <c r="L1312" s="310"/>
      <c r="M1312" s="310"/>
      <c r="N1312" s="310">
        <v>44659</v>
      </c>
      <c r="O1312" s="309">
        <v>4092</v>
      </c>
      <c r="P1312" s="302"/>
      <c r="Q1312" s="485">
        <v>0</v>
      </c>
      <c r="S1312" s="536">
        <v>0</v>
      </c>
      <c r="T1312" s="322">
        <v>0</v>
      </c>
      <c r="U1312" s="515"/>
      <c r="V1312" s="494">
        <v>90</v>
      </c>
    </row>
    <row r="1313" spans="1:22" s="341" customFormat="1" ht="15.75">
      <c r="A1313" s="1"/>
      <c r="B1313" s="543"/>
      <c r="C1313" s="330" t="s">
        <v>2639</v>
      </c>
      <c r="D1313" s="331" t="s">
        <v>2640</v>
      </c>
      <c r="E1313" s="332" t="s">
        <v>2642</v>
      </c>
      <c r="F1313" s="875"/>
      <c r="G1313" s="334" t="s">
        <v>2641</v>
      </c>
      <c r="H1313" s="876"/>
      <c r="I1313" s="877"/>
      <c r="J1313" s="335">
        <v>1</v>
      </c>
      <c r="K1313" s="597">
        <v>50</v>
      </c>
      <c r="L1313" s="597">
        <f>K1313*J1313</f>
        <v>50</v>
      </c>
      <c r="M1313" s="878"/>
      <c r="N1313" s="598">
        <v>44657</v>
      </c>
      <c r="O1313" s="339">
        <v>4086</v>
      </c>
      <c r="P1313" s="879"/>
      <c r="Q1313" s="880">
        <v>50</v>
      </c>
      <c r="R1313" s="704">
        <v>50</v>
      </c>
      <c r="S1313" s="341">
        <f>2613+1250</f>
        <v>3863</v>
      </c>
      <c r="T1313" s="341">
        <f>S1313*J1313</f>
        <v>3863</v>
      </c>
      <c r="U1313" s="881"/>
      <c r="V1313" s="550">
        <v>90</v>
      </c>
    </row>
    <row r="1314" spans="1:22" s="7" customFormat="1" ht="18" customHeight="1">
      <c r="A1314" s="1"/>
      <c r="B1314" s="12"/>
      <c r="C1314" s="6" t="s">
        <v>2650</v>
      </c>
      <c r="D1314" s="15" t="s">
        <v>2451</v>
      </c>
      <c r="E1314" s="20" t="s">
        <v>1647</v>
      </c>
      <c r="F1314" s="150"/>
      <c r="G1314" s="24"/>
      <c r="H1314" s="151"/>
      <c r="I1314" s="152"/>
      <c r="J1314" s="151"/>
      <c r="K1314" s="34" t="s">
        <v>10</v>
      </c>
      <c r="L1314" s="39"/>
      <c r="M1314" s="39"/>
      <c r="N1314" s="39">
        <v>44712</v>
      </c>
      <c r="O1314" s="38">
        <v>4218</v>
      </c>
      <c r="P1314" s="15"/>
      <c r="Q1314" s="483"/>
      <c r="S1314" s="489"/>
      <c r="T1314" s="113"/>
      <c r="U1314" s="506"/>
      <c r="V1314" s="494">
        <v>90</v>
      </c>
    </row>
    <row r="1315" spans="1:22" s="7" customFormat="1" ht="15" customHeight="1">
      <c r="A1315" s="1"/>
      <c r="B1315" s="12" t="s">
        <v>1858</v>
      </c>
      <c r="C1315" s="6" t="s">
        <v>2650</v>
      </c>
      <c r="D1315" s="15" t="s">
        <v>2451</v>
      </c>
      <c r="E1315" s="24" t="s">
        <v>2049</v>
      </c>
      <c r="F1315" s="150">
        <v>152</v>
      </c>
      <c r="G1315" s="24" t="s">
        <v>114</v>
      </c>
      <c r="H1315" s="8">
        <v>58</v>
      </c>
      <c r="I1315" s="41">
        <v>18</v>
      </c>
      <c r="J1315" s="67">
        <f t="shared" ref="J1315:J1329" si="59">H1315*I1315</f>
        <v>1044</v>
      </c>
      <c r="K1315" s="25">
        <v>5.5</v>
      </c>
      <c r="L1315" s="46">
        <f t="shared" ref="L1315:L1329" si="60">K1315*J1315</f>
        <v>5742</v>
      </c>
      <c r="M1315" s="162" t="s">
        <v>2219</v>
      </c>
      <c r="N1315" s="39">
        <v>44712</v>
      </c>
      <c r="O1315" s="38">
        <v>4218</v>
      </c>
      <c r="P1315" s="46">
        <v>4.7</v>
      </c>
      <c r="Q1315" s="483">
        <v>4.7</v>
      </c>
      <c r="R1315" s="704">
        <f t="shared" ref="R1315:R1330" si="61">Q1315*J1315</f>
        <v>4906.8</v>
      </c>
      <c r="S1315" s="489">
        <v>300</v>
      </c>
      <c r="T1315" s="567">
        <f t="shared" ref="T1315:T1330" si="62">S1315*J1315</f>
        <v>313200</v>
      </c>
      <c r="U1315" s="882" t="s">
        <v>2651</v>
      </c>
      <c r="V1315" s="494">
        <v>90</v>
      </c>
    </row>
    <row r="1316" spans="1:22" s="7" customFormat="1" ht="15" customHeight="1">
      <c r="A1316" s="1"/>
      <c r="B1316" s="12" t="s">
        <v>1858</v>
      </c>
      <c r="C1316" s="6" t="s">
        <v>2650</v>
      </c>
      <c r="D1316" s="15" t="s">
        <v>2451</v>
      </c>
      <c r="E1316" s="24" t="s">
        <v>2049</v>
      </c>
      <c r="F1316" s="150">
        <v>152</v>
      </c>
      <c r="G1316" s="24" t="s">
        <v>114</v>
      </c>
      <c r="H1316" s="8">
        <v>46</v>
      </c>
      <c r="I1316" s="41">
        <v>1</v>
      </c>
      <c r="J1316" s="67">
        <f t="shared" si="59"/>
        <v>46</v>
      </c>
      <c r="K1316" s="25">
        <v>5.5</v>
      </c>
      <c r="L1316" s="46">
        <f t="shared" si="60"/>
        <v>253</v>
      </c>
      <c r="M1316" s="162" t="s">
        <v>2219</v>
      </c>
      <c r="N1316" s="39">
        <v>44712</v>
      </c>
      <c r="O1316" s="38">
        <v>4218</v>
      </c>
      <c r="P1316" s="46">
        <v>4.7</v>
      </c>
      <c r="Q1316" s="483">
        <v>4.7</v>
      </c>
      <c r="R1316" s="704">
        <f t="shared" si="61"/>
        <v>216.20000000000002</v>
      </c>
      <c r="S1316" s="489">
        <v>300</v>
      </c>
      <c r="T1316" s="567">
        <f t="shared" si="62"/>
        <v>13800</v>
      </c>
      <c r="U1316" s="882" t="s">
        <v>2651</v>
      </c>
      <c r="V1316" s="494">
        <v>90</v>
      </c>
    </row>
    <row r="1317" spans="1:22" s="7" customFormat="1" ht="15" customHeight="1">
      <c r="A1317" s="1"/>
      <c r="B1317" s="12" t="s">
        <v>1858</v>
      </c>
      <c r="C1317" s="6" t="s">
        <v>2650</v>
      </c>
      <c r="D1317" s="15" t="s">
        <v>2451</v>
      </c>
      <c r="E1317" s="24" t="s">
        <v>2049</v>
      </c>
      <c r="F1317" s="150">
        <v>152</v>
      </c>
      <c r="G1317" s="24" t="s">
        <v>114</v>
      </c>
      <c r="H1317" s="8">
        <v>51</v>
      </c>
      <c r="I1317" s="41">
        <v>2</v>
      </c>
      <c r="J1317" s="67">
        <f t="shared" si="59"/>
        <v>102</v>
      </c>
      <c r="K1317" s="25">
        <v>5.5</v>
      </c>
      <c r="L1317" s="46">
        <f t="shared" si="60"/>
        <v>561</v>
      </c>
      <c r="M1317" s="162" t="s">
        <v>2219</v>
      </c>
      <c r="N1317" s="39">
        <v>44712</v>
      </c>
      <c r="O1317" s="38">
        <v>4218</v>
      </c>
      <c r="P1317" s="46">
        <v>4.7</v>
      </c>
      <c r="Q1317" s="483">
        <v>4.7</v>
      </c>
      <c r="R1317" s="704">
        <f t="shared" si="61"/>
        <v>479.40000000000003</v>
      </c>
      <c r="S1317" s="489">
        <v>300</v>
      </c>
      <c r="T1317" s="567">
        <f t="shared" si="62"/>
        <v>30600</v>
      </c>
      <c r="U1317" s="882" t="s">
        <v>2651</v>
      </c>
      <c r="V1317" s="494">
        <v>90</v>
      </c>
    </row>
    <row r="1318" spans="1:22" s="7" customFormat="1" ht="15" customHeight="1">
      <c r="A1318" s="1"/>
      <c r="B1318" s="12" t="s">
        <v>1858</v>
      </c>
      <c r="C1318" s="6" t="s">
        <v>2650</v>
      </c>
      <c r="D1318" s="15" t="s">
        <v>2451</v>
      </c>
      <c r="E1318" s="24" t="s">
        <v>2049</v>
      </c>
      <c r="F1318" s="150">
        <v>152</v>
      </c>
      <c r="G1318" s="24" t="s">
        <v>114</v>
      </c>
      <c r="H1318" s="8">
        <v>52</v>
      </c>
      <c r="I1318" s="41">
        <v>2</v>
      </c>
      <c r="J1318" s="67">
        <f t="shared" si="59"/>
        <v>104</v>
      </c>
      <c r="K1318" s="25">
        <v>5.5</v>
      </c>
      <c r="L1318" s="46">
        <f t="shared" si="60"/>
        <v>572</v>
      </c>
      <c r="M1318" s="162" t="s">
        <v>2219</v>
      </c>
      <c r="N1318" s="39">
        <v>44712</v>
      </c>
      <c r="O1318" s="38">
        <v>4218</v>
      </c>
      <c r="P1318" s="46">
        <v>4.7</v>
      </c>
      <c r="Q1318" s="483">
        <v>4.7</v>
      </c>
      <c r="R1318" s="704">
        <f t="shared" si="61"/>
        <v>488.8</v>
      </c>
      <c r="S1318" s="489">
        <v>300</v>
      </c>
      <c r="T1318" s="567">
        <f t="shared" si="62"/>
        <v>31200</v>
      </c>
      <c r="U1318" s="882" t="s">
        <v>2651</v>
      </c>
      <c r="V1318" s="494">
        <v>90</v>
      </c>
    </row>
    <row r="1319" spans="1:22" s="7" customFormat="1" ht="15" customHeight="1">
      <c r="A1319" s="1"/>
      <c r="B1319" s="12" t="s">
        <v>1858</v>
      </c>
      <c r="C1319" s="6" t="s">
        <v>2650</v>
      </c>
      <c r="D1319" s="15" t="s">
        <v>2451</v>
      </c>
      <c r="E1319" s="24" t="s">
        <v>2049</v>
      </c>
      <c r="F1319" s="150">
        <v>152</v>
      </c>
      <c r="G1319" s="24" t="s">
        <v>114</v>
      </c>
      <c r="H1319" s="8">
        <v>55</v>
      </c>
      <c r="I1319" s="41">
        <v>1</v>
      </c>
      <c r="J1319" s="67">
        <f t="shared" si="59"/>
        <v>55</v>
      </c>
      <c r="K1319" s="25">
        <v>5.5</v>
      </c>
      <c r="L1319" s="46">
        <f t="shared" si="60"/>
        <v>302.5</v>
      </c>
      <c r="M1319" s="162" t="s">
        <v>2219</v>
      </c>
      <c r="N1319" s="39">
        <v>44712</v>
      </c>
      <c r="O1319" s="38">
        <v>4218</v>
      </c>
      <c r="P1319" s="46">
        <v>4.7</v>
      </c>
      <c r="Q1319" s="483">
        <v>4.7</v>
      </c>
      <c r="R1319" s="704">
        <f t="shared" si="61"/>
        <v>258.5</v>
      </c>
      <c r="S1319" s="489">
        <v>300</v>
      </c>
      <c r="T1319" s="567">
        <f t="shared" si="62"/>
        <v>16500</v>
      </c>
      <c r="U1319" s="882" t="s">
        <v>2651</v>
      </c>
      <c r="V1319" s="494">
        <v>90</v>
      </c>
    </row>
    <row r="1320" spans="1:22" s="7" customFormat="1" ht="15" customHeight="1">
      <c r="A1320" s="1"/>
      <c r="B1320" s="12" t="s">
        <v>1858</v>
      </c>
      <c r="C1320" s="6" t="s">
        <v>2650</v>
      </c>
      <c r="D1320" s="15" t="s">
        <v>2451</v>
      </c>
      <c r="E1320" s="24" t="s">
        <v>2049</v>
      </c>
      <c r="F1320" s="150">
        <v>152</v>
      </c>
      <c r="G1320" s="24" t="s">
        <v>2652</v>
      </c>
      <c r="H1320" s="8">
        <v>48</v>
      </c>
      <c r="I1320" s="41">
        <v>1</v>
      </c>
      <c r="J1320" s="67">
        <f t="shared" si="59"/>
        <v>48</v>
      </c>
      <c r="K1320" s="25">
        <v>5.5</v>
      </c>
      <c r="L1320" s="46">
        <f t="shared" si="60"/>
        <v>264</v>
      </c>
      <c r="M1320" s="162" t="s">
        <v>2219</v>
      </c>
      <c r="N1320" s="39">
        <v>44712</v>
      </c>
      <c r="O1320" s="38">
        <v>4218</v>
      </c>
      <c r="P1320" s="46">
        <v>4.7</v>
      </c>
      <c r="Q1320" s="483">
        <v>4.7</v>
      </c>
      <c r="R1320" s="704">
        <f t="shared" si="61"/>
        <v>225.60000000000002</v>
      </c>
      <c r="S1320" s="489">
        <v>300</v>
      </c>
      <c r="T1320" s="567">
        <f t="shared" si="62"/>
        <v>14400</v>
      </c>
      <c r="U1320" s="882" t="s">
        <v>2651</v>
      </c>
      <c r="V1320" s="494">
        <v>90</v>
      </c>
    </row>
    <row r="1321" spans="1:22" s="7" customFormat="1" ht="15" customHeight="1">
      <c r="A1321" s="1"/>
      <c r="B1321" s="12" t="s">
        <v>1858</v>
      </c>
      <c r="C1321" s="6" t="s">
        <v>2650</v>
      </c>
      <c r="D1321" s="15" t="s">
        <v>2451</v>
      </c>
      <c r="E1321" s="24" t="s">
        <v>2049</v>
      </c>
      <c r="F1321" s="150">
        <v>152</v>
      </c>
      <c r="G1321" s="24" t="s">
        <v>2652</v>
      </c>
      <c r="H1321" s="8">
        <v>55</v>
      </c>
      <c r="I1321" s="41">
        <v>1</v>
      </c>
      <c r="J1321" s="67">
        <f t="shared" si="59"/>
        <v>55</v>
      </c>
      <c r="K1321" s="25">
        <v>5.5</v>
      </c>
      <c r="L1321" s="46">
        <f t="shared" si="60"/>
        <v>302.5</v>
      </c>
      <c r="M1321" s="162" t="s">
        <v>2219</v>
      </c>
      <c r="N1321" s="39">
        <v>44712</v>
      </c>
      <c r="O1321" s="38">
        <v>4218</v>
      </c>
      <c r="P1321" s="46">
        <v>4.7</v>
      </c>
      <c r="Q1321" s="483">
        <v>4.7</v>
      </c>
      <c r="R1321" s="704">
        <f t="shared" si="61"/>
        <v>258.5</v>
      </c>
      <c r="S1321" s="489">
        <v>300</v>
      </c>
      <c r="T1321" s="567">
        <f t="shared" si="62"/>
        <v>16500</v>
      </c>
      <c r="U1321" s="882" t="s">
        <v>2651</v>
      </c>
      <c r="V1321" s="494">
        <v>90</v>
      </c>
    </row>
    <row r="1322" spans="1:22" s="7" customFormat="1" ht="15" customHeight="1">
      <c r="A1322" s="1"/>
      <c r="B1322" s="12" t="s">
        <v>1858</v>
      </c>
      <c r="C1322" s="6" t="s">
        <v>2650</v>
      </c>
      <c r="D1322" s="15" t="s">
        <v>2451</v>
      </c>
      <c r="E1322" s="24" t="s">
        <v>2049</v>
      </c>
      <c r="F1322" s="150">
        <v>152</v>
      </c>
      <c r="G1322" s="24" t="s">
        <v>2652</v>
      </c>
      <c r="H1322" s="8">
        <v>58</v>
      </c>
      <c r="I1322" s="41">
        <v>6</v>
      </c>
      <c r="J1322" s="67">
        <f t="shared" si="59"/>
        <v>348</v>
      </c>
      <c r="K1322" s="25">
        <v>5.5</v>
      </c>
      <c r="L1322" s="46">
        <f t="shared" si="60"/>
        <v>1914</v>
      </c>
      <c r="M1322" s="162" t="s">
        <v>2219</v>
      </c>
      <c r="N1322" s="39">
        <v>44712</v>
      </c>
      <c r="O1322" s="38">
        <v>4218</v>
      </c>
      <c r="P1322" s="46">
        <v>4.7</v>
      </c>
      <c r="Q1322" s="483">
        <v>4.7</v>
      </c>
      <c r="R1322" s="704">
        <f t="shared" si="61"/>
        <v>1635.6000000000001</v>
      </c>
      <c r="S1322" s="489">
        <v>300</v>
      </c>
      <c r="T1322" s="567">
        <f t="shared" si="62"/>
        <v>104400</v>
      </c>
      <c r="U1322" s="882" t="s">
        <v>2651</v>
      </c>
      <c r="V1322" s="494">
        <v>90</v>
      </c>
    </row>
    <row r="1323" spans="1:22" s="7" customFormat="1" ht="15" customHeight="1">
      <c r="A1323" s="1"/>
      <c r="B1323" s="12" t="s">
        <v>1858</v>
      </c>
      <c r="C1323" s="6" t="s">
        <v>2650</v>
      </c>
      <c r="D1323" s="15" t="s">
        <v>2451</v>
      </c>
      <c r="E1323" s="24" t="s">
        <v>2049</v>
      </c>
      <c r="F1323" s="150">
        <v>152</v>
      </c>
      <c r="G1323" s="24" t="s">
        <v>2653</v>
      </c>
      <c r="H1323" s="8">
        <v>58</v>
      </c>
      <c r="I1323" s="41">
        <v>18</v>
      </c>
      <c r="J1323" s="67">
        <f t="shared" si="59"/>
        <v>1044</v>
      </c>
      <c r="K1323" s="25">
        <v>5.5</v>
      </c>
      <c r="L1323" s="46">
        <f t="shared" si="60"/>
        <v>5742</v>
      </c>
      <c r="M1323" s="162" t="s">
        <v>2219</v>
      </c>
      <c r="N1323" s="39">
        <v>44712</v>
      </c>
      <c r="O1323" s="38">
        <v>4218</v>
      </c>
      <c r="P1323" s="46">
        <v>4.7</v>
      </c>
      <c r="Q1323" s="483">
        <v>4.7</v>
      </c>
      <c r="R1323" s="704">
        <f t="shared" si="61"/>
        <v>4906.8</v>
      </c>
      <c r="S1323" s="489">
        <v>300</v>
      </c>
      <c r="T1323" s="567">
        <f t="shared" si="62"/>
        <v>313200</v>
      </c>
      <c r="U1323" s="882" t="s">
        <v>2651</v>
      </c>
      <c r="V1323" s="494">
        <v>90</v>
      </c>
    </row>
    <row r="1324" spans="1:22" s="7" customFormat="1" ht="15" customHeight="1">
      <c r="A1324" s="1"/>
      <c r="B1324" s="12" t="s">
        <v>1858</v>
      </c>
      <c r="C1324" s="6" t="s">
        <v>2650</v>
      </c>
      <c r="D1324" s="15" t="s">
        <v>2451</v>
      </c>
      <c r="E1324" s="24" t="s">
        <v>2049</v>
      </c>
      <c r="F1324" s="150">
        <v>152</v>
      </c>
      <c r="G1324" s="24" t="s">
        <v>2653</v>
      </c>
      <c r="H1324" s="8">
        <v>48</v>
      </c>
      <c r="I1324" s="41">
        <v>1</v>
      </c>
      <c r="J1324" s="67">
        <f t="shared" si="59"/>
        <v>48</v>
      </c>
      <c r="K1324" s="25">
        <v>5.5</v>
      </c>
      <c r="L1324" s="46">
        <f t="shared" si="60"/>
        <v>264</v>
      </c>
      <c r="M1324" s="162" t="s">
        <v>2219</v>
      </c>
      <c r="N1324" s="39">
        <v>44712</v>
      </c>
      <c r="O1324" s="38">
        <v>4218</v>
      </c>
      <c r="P1324" s="46">
        <v>4.7</v>
      </c>
      <c r="Q1324" s="483">
        <v>4.7</v>
      </c>
      <c r="R1324" s="704">
        <f t="shared" si="61"/>
        <v>225.60000000000002</v>
      </c>
      <c r="S1324" s="489">
        <v>300</v>
      </c>
      <c r="T1324" s="567">
        <f t="shared" si="62"/>
        <v>14400</v>
      </c>
      <c r="U1324" s="882" t="s">
        <v>2651</v>
      </c>
      <c r="V1324" s="494">
        <v>90</v>
      </c>
    </row>
    <row r="1325" spans="1:22" s="7" customFormat="1" ht="15" customHeight="1">
      <c r="A1325" s="1"/>
      <c r="B1325" s="12" t="s">
        <v>1858</v>
      </c>
      <c r="C1325" s="6" t="s">
        <v>2650</v>
      </c>
      <c r="D1325" s="15" t="s">
        <v>2451</v>
      </c>
      <c r="E1325" s="24" t="s">
        <v>2049</v>
      </c>
      <c r="F1325" s="150">
        <v>152</v>
      </c>
      <c r="G1325" s="24" t="s">
        <v>2653</v>
      </c>
      <c r="H1325" s="8">
        <v>51</v>
      </c>
      <c r="I1325" s="41">
        <v>1</v>
      </c>
      <c r="J1325" s="67">
        <f t="shared" si="59"/>
        <v>51</v>
      </c>
      <c r="K1325" s="25">
        <v>5.5</v>
      </c>
      <c r="L1325" s="46">
        <f t="shared" si="60"/>
        <v>280.5</v>
      </c>
      <c r="M1325" s="162" t="s">
        <v>2219</v>
      </c>
      <c r="N1325" s="39">
        <v>44712</v>
      </c>
      <c r="O1325" s="38">
        <v>4218</v>
      </c>
      <c r="P1325" s="46">
        <v>4.7</v>
      </c>
      <c r="Q1325" s="483">
        <v>4.7</v>
      </c>
      <c r="R1325" s="704">
        <f t="shared" si="61"/>
        <v>239.70000000000002</v>
      </c>
      <c r="S1325" s="489">
        <v>300</v>
      </c>
      <c r="T1325" s="567">
        <f t="shared" si="62"/>
        <v>15300</v>
      </c>
      <c r="U1325" s="882" t="s">
        <v>2651</v>
      </c>
      <c r="V1325" s="494">
        <v>90</v>
      </c>
    </row>
    <row r="1326" spans="1:22" s="7" customFormat="1" ht="15" customHeight="1">
      <c r="A1326" s="1"/>
      <c r="B1326" s="12" t="s">
        <v>1858</v>
      </c>
      <c r="C1326" s="6" t="s">
        <v>2650</v>
      </c>
      <c r="D1326" s="15" t="s">
        <v>2451</v>
      </c>
      <c r="E1326" s="24" t="s">
        <v>2049</v>
      </c>
      <c r="F1326" s="150">
        <v>152</v>
      </c>
      <c r="G1326" s="24" t="s">
        <v>2653</v>
      </c>
      <c r="H1326" s="8">
        <v>52</v>
      </c>
      <c r="I1326" s="41">
        <v>1</v>
      </c>
      <c r="J1326" s="67">
        <f t="shared" si="59"/>
        <v>52</v>
      </c>
      <c r="K1326" s="25">
        <v>5.5</v>
      </c>
      <c r="L1326" s="46">
        <f t="shared" si="60"/>
        <v>286</v>
      </c>
      <c r="M1326" s="162" t="s">
        <v>2219</v>
      </c>
      <c r="N1326" s="39">
        <v>44712</v>
      </c>
      <c r="O1326" s="38">
        <v>4218</v>
      </c>
      <c r="P1326" s="46">
        <v>4.7</v>
      </c>
      <c r="Q1326" s="483">
        <v>4.7</v>
      </c>
      <c r="R1326" s="704">
        <f t="shared" si="61"/>
        <v>244.4</v>
      </c>
      <c r="S1326" s="489">
        <v>300</v>
      </c>
      <c r="T1326" s="567">
        <f t="shared" si="62"/>
        <v>15600</v>
      </c>
      <c r="U1326" s="882" t="s">
        <v>2651</v>
      </c>
      <c r="V1326" s="494">
        <v>90</v>
      </c>
    </row>
    <row r="1327" spans="1:22" s="7" customFormat="1" ht="15" customHeight="1">
      <c r="A1327" s="1"/>
      <c r="B1327" s="12" t="s">
        <v>1858</v>
      </c>
      <c r="C1327" s="6" t="s">
        <v>2650</v>
      </c>
      <c r="D1327" s="15" t="s">
        <v>2451</v>
      </c>
      <c r="E1327" s="24" t="s">
        <v>2049</v>
      </c>
      <c r="F1327" s="150">
        <v>152</v>
      </c>
      <c r="G1327" s="24" t="s">
        <v>2653</v>
      </c>
      <c r="H1327" s="8">
        <v>53</v>
      </c>
      <c r="I1327" s="41">
        <v>2</v>
      </c>
      <c r="J1327" s="67">
        <f t="shared" si="59"/>
        <v>106</v>
      </c>
      <c r="K1327" s="25">
        <v>5.5</v>
      </c>
      <c r="L1327" s="46">
        <f t="shared" si="60"/>
        <v>583</v>
      </c>
      <c r="M1327" s="162" t="s">
        <v>2219</v>
      </c>
      <c r="N1327" s="39">
        <v>44712</v>
      </c>
      <c r="O1327" s="38">
        <v>4218</v>
      </c>
      <c r="P1327" s="46">
        <v>4.7</v>
      </c>
      <c r="Q1327" s="483">
        <v>4.7</v>
      </c>
      <c r="R1327" s="704">
        <f t="shared" si="61"/>
        <v>498.20000000000005</v>
      </c>
      <c r="S1327" s="489">
        <v>300</v>
      </c>
      <c r="T1327" s="567">
        <f t="shared" si="62"/>
        <v>31800</v>
      </c>
      <c r="U1327" s="882" t="s">
        <v>2651</v>
      </c>
      <c r="V1327" s="494">
        <v>90</v>
      </c>
    </row>
    <row r="1328" spans="1:22" s="7" customFormat="1" ht="15" customHeight="1">
      <c r="A1328" s="1"/>
      <c r="B1328" s="12" t="s">
        <v>1858</v>
      </c>
      <c r="C1328" s="6" t="s">
        <v>2650</v>
      </c>
      <c r="D1328" s="15" t="s">
        <v>2451</v>
      </c>
      <c r="E1328" s="24" t="s">
        <v>2049</v>
      </c>
      <c r="F1328" s="150">
        <v>152</v>
      </c>
      <c r="G1328" s="24" t="s">
        <v>2653</v>
      </c>
      <c r="H1328" s="8">
        <v>54</v>
      </c>
      <c r="I1328" s="41">
        <v>1</v>
      </c>
      <c r="J1328" s="67">
        <f t="shared" si="59"/>
        <v>54</v>
      </c>
      <c r="K1328" s="25">
        <v>5.5</v>
      </c>
      <c r="L1328" s="46">
        <f t="shared" si="60"/>
        <v>297</v>
      </c>
      <c r="M1328" s="162" t="s">
        <v>2219</v>
      </c>
      <c r="N1328" s="39">
        <v>44712</v>
      </c>
      <c r="O1328" s="38">
        <v>4218</v>
      </c>
      <c r="P1328" s="46">
        <v>4.7</v>
      </c>
      <c r="Q1328" s="483">
        <v>4.7</v>
      </c>
      <c r="R1328" s="704">
        <f t="shared" si="61"/>
        <v>253.8</v>
      </c>
      <c r="S1328" s="489">
        <v>300</v>
      </c>
      <c r="T1328" s="567">
        <f t="shared" si="62"/>
        <v>16200</v>
      </c>
      <c r="U1328" s="882" t="s">
        <v>2651</v>
      </c>
      <c r="V1328" s="494">
        <v>90</v>
      </c>
    </row>
    <row r="1329" spans="1:22" s="7" customFormat="1" ht="15" customHeight="1">
      <c r="A1329" s="1"/>
      <c r="B1329" s="12" t="s">
        <v>1858</v>
      </c>
      <c r="C1329" s="6" t="s">
        <v>2650</v>
      </c>
      <c r="D1329" s="15" t="s">
        <v>2451</v>
      </c>
      <c r="E1329" s="24" t="s">
        <v>2049</v>
      </c>
      <c r="F1329" s="150">
        <v>152</v>
      </c>
      <c r="G1329" s="24" t="s">
        <v>2653</v>
      </c>
      <c r="H1329" s="8">
        <v>55</v>
      </c>
      <c r="I1329" s="41">
        <v>3</v>
      </c>
      <c r="J1329" s="67">
        <f t="shared" si="59"/>
        <v>165</v>
      </c>
      <c r="K1329" s="25">
        <v>5.5</v>
      </c>
      <c r="L1329" s="46">
        <f t="shared" si="60"/>
        <v>907.5</v>
      </c>
      <c r="M1329" s="162" t="s">
        <v>2219</v>
      </c>
      <c r="N1329" s="39">
        <v>44712</v>
      </c>
      <c r="O1329" s="38">
        <v>4218</v>
      </c>
      <c r="P1329" s="46">
        <v>4.7</v>
      </c>
      <c r="Q1329" s="483">
        <v>4.7</v>
      </c>
      <c r="R1329" s="704">
        <f t="shared" si="61"/>
        <v>775.5</v>
      </c>
      <c r="S1329" s="489">
        <v>300</v>
      </c>
      <c r="T1329" s="567">
        <f t="shared" si="62"/>
        <v>49500</v>
      </c>
      <c r="U1329" s="882" t="s">
        <v>2651</v>
      </c>
      <c r="V1329" s="494">
        <v>90</v>
      </c>
    </row>
    <row r="1330" spans="1:22" s="7" customFormat="1" ht="15" customHeight="1">
      <c r="A1330" s="1"/>
      <c r="B1330" s="12" t="s">
        <v>1862</v>
      </c>
      <c r="C1330" s="6" t="s">
        <v>2650</v>
      </c>
      <c r="D1330" s="15" t="s">
        <v>2451</v>
      </c>
      <c r="E1330" s="56"/>
      <c r="F1330" s="138"/>
      <c r="G1330" s="44" t="s">
        <v>1993</v>
      </c>
      <c r="H1330" s="45"/>
      <c r="I1330" s="41"/>
      <c r="J1330" s="45">
        <v>1</v>
      </c>
      <c r="K1330" s="46">
        <v>20</v>
      </c>
      <c r="L1330" s="46">
        <v>0</v>
      </c>
      <c r="M1330" s="112"/>
      <c r="N1330" s="39">
        <v>44712</v>
      </c>
      <c r="O1330" s="38">
        <v>4218</v>
      </c>
      <c r="P1330" s="46">
        <f>K1330*(VLOOKUP(B1330,$C$2:$F$6,3,FALSE))</f>
        <v>20</v>
      </c>
      <c r="Q1330" s="483">
        <v>20</v>
      </c>
      <c r="R1330" s="704">
        <f t="shared" si="61"/>
        <v>20</v>
      </c>
      <c r="S1330" s="489">
        <v>0</v>
      </c>
      <c r="T1330" s="567">
        <f t="shared" si="62"/>
        <v>0</v>
      </c>
      <c r="U1330" s="501"/>
      <c r="V1330" s="494">
        <v>90</v>
      </c>
    </row>
    <row r="1331" spans="1:22" s="314" customFormat="1" ht="15" customHeight="1">
      <c r="A1331" s="1"/>
      <c r="B1331" s="313"/>
      <c r="C1331" s="302" t="s">
        <v>2650</v>
      </c>
      <c r="D1331" s="303" t="s">
        <v>2451</v>
      </c>
      <c r="E1331" s="304"/>
      <c r="F1331" s="305"/>
      <c r="G1331" s="305" t="s">
        <v>2371</v>
      </c>
      <c r="H1331" s="410"/>
      <c r="I1331" s="308" t="s">
        <v>2370</v>
      </c>
      <c r="J1331" s="410">
        <v>3322</v>
      </c>
      <c r="K1331" s="315">
        <v>0.5</v>
      </c>
      <c r="L1331" s="315"/>
      <c r="M1331" s="784"/>
      <c r="N1331" s="310">
        <v>44712</v>
      </c>
      <c r="O1331" s="309">
        <v>4218</v>
      </c>
      <c r="P1331" s="302"/>
      <c r="Q1331" s="485">
        <v>1641</v>
      </c>
      <c r="R1331" s="704">
        <v>1641</v>
      </c>
      <c r="S1331" s="537">
        <f>124340+4117</f>
        <v>128457</v>
      </c>
      <c r="T1331" s="537">
        <f>124340+4117</f>
        <v>128457</v>
      </c>
      <c r="U1331" s="515"/>
      <c r="V1331" s="494">
        <v>90</v>
      </c>
    </row>
    <row r="1332" spans="1:22" s="7" customFormat="1" ht="18" customHeight="1">
      <c r="A1332" s="1"/>
      <c r="B1332" s="12"/>
      <c r="C1332" s="6" t="s">
        <v>2655</v>
      </c>
      <c r="D1332" s="15" t="s">
        <v>2129</v>
      </c>
      <c r="E1332" s="20" t="s">
        <v>2656</v>
      </c>
      <c r="F1332" s="24"/>
      <c r="G1332" s="44"/>
      <c r="H1332" s="151"/>
      <c r="I1332" s="151"/>
      <c r="J1332" s="151"/>
      <c r="K1332" s="153" t="s">
        <v>10</v>
      </c>
      <c r="L1332" s="39"/>
      <c r="M1332" s="39"/>
      <c r="N1332" s="39">
        <v>44664</v>
      </c>
      <c r="O1332" s="38">
        <v>4107</v>
      </c>
      <c r="P1332" s="6"/>
      <c r="Q1332" s="411"/>
      <c r="S1332" s="489"/>
      <c r="T1332" s="113"/>
      <c r="U1332" s="501"/>
      <c r="V1332" s="494">
        <v>90</v>
      </c>
    </row>
    <row r="1333" spans="1:22" s="7" customFormat="1" ht="15.95" customHeight="1">
      <c r="A1333" s="1"/>
      <c r="B1333" s="12" t="s">
        <v>1856</v>
      </c>
      <c r="C1333" s="6" t="s">
        <v>2655</v>
      </c>
      <c r="D1333" s="15" t="s">
        <v>2129</v>
      </c>
      <c r="E1333" s="24">
        <v>11706</v>
      </c>
      <c r="F1333" s="44">
        <v>19</v>
      </c>
      <c r="G1333" s="44" t="s">
        <v>2657</v>
      </c>
      <c r="H1333" s="8">
        <v>10</v>
      </c>
      <c r="I1333" s="41">
        <v>3</v>
      </c>
      <c r="J1333" s="67">
        <f>H1333*I1333</f>
        <v>30</v>
      </c>
      <c r="K1333" s="46">
        <v>2.4</v>
      </c>
      <c r="L1333" s="46">
        <f>K1333*J1333</f>
        <v>72</v>
      </c>
      <c r="M1333" s="162" t="s">
        <v>2219</v>
      </c>
      <c r="N1333" s="39">
        <v>44664</v>
      </c>
      <c r="O1333" s="38">
        <v>4107</v>
      </c>
      <c r="P1333" s="180">
        <f>K1333*(VLOOKUP(B1333,$C$2:$F$6,3,FALSE))</f>
        <v>2.1120000000000001</v>
      </c>
      <c r="Q1333" s="483">
        <v>2.11</v>
      </c>
      <c r="R1333" s="704">
        <f>Q1333*J1333</f>
        <v>63.3</v>
      </c>
      <c r="S1333" s="489">
        <v>129.19999999999999</v>
      </c>
      <c r="T1333" s="113">
        <f>S1333*J1333</f>
        <v>3875.9999999999995</v>
      </c>
      <c r="U1333" s="517"/>
      <c r="V1333" s="494">
        <v>90</v>
      </c>
    </row>
    <row r="1334" spans="1:22" ht="15.95" customHeight="1">
      <c r="B1334" s="12" t="s">
        <v>1862</v>
      </c>
      <c r="C1334" s="6" t="s">
        <v>2655</v>
      </c>
      <c r="D1334" s="15" t="s">
        <v>2129</v>
      </c>
      <c r="E1334" s="24"/>
      <c r="F1334" s="138"/>
      <c r="G1334" s="44" t="s">
        <v>1993</v>
      </c>
      <c r="H1334" s="8"/>
      <c r="I1334" s="41"/>
      <c r="J1334" s="45">
        <v>1</v>
      </c>
      <c r="K1334" s="46">
        <v>12</v>
      </c>
      <c r="L1334" s="46">
        <f>K1334*J1334</f>
        <v>12</v>
      </c>
      <c r="M1334" s="112"/>
      <c r="N1334" s="39">
        <v>44664</v>
      </c>
      <c r="O1334" s="38">
        <v>4107</v>
      </c>
      <c r="P1334" s="46">
        <f>K1334*(VLOOKUP(B1334,$C$2:$F$6,3,FALSE))</f>
        <v>12</v>
      </c>
      <c r="Q1334" s="483">
        <v>12</v>
      </c>
      <c r="R1334" s="704">
        <v>12</v>
      </c>
      <c r="S1334" s="489">
        <v>0</v>
      </c>
      <c r="T1334" s="113">
        <f>S1334*J1334</f>
        <v>0</v>
      </c>
      <c r="U1334" s="511"/>
      <c r="V1334" s="494">
        <v>90</v>
      </c>
    </row>
    <row r="1335" spans="1:22" s="314" customFormat="1" ht="15">
      <c r="A1335" s="1"/>
      <c r="B1335" s="313"/>
      <c r="C1335" s="302" t="s">
        <v>2655</v>
      </c>
      <c r="D1335" s="303" t="s">
        <v>2129</v>
      </c>
      <c r="E1335" s="304"/>
      <c r="F1335" s="305"/>
      <c r="G1335" s="305" t="s">
        <v>1227</v>
      </c>
      <c r="H1335" s="307" t="s">
        <v>1228</v>
      </c>
      <c r="I1335" s="308"/>
      <c r="J1335" s="306"/>
      <c r="K1335" s="315">
        <v>0</v>
      </c>
      <c r="L1335" s="310"/>
      <c r="M1335" s="310"/>
      <c r="N1335" s="310">
        <v>44664</v>
      </c>
      <c r="O1335" s="309">
        <v>4107</v>
      </c>
      <c r="P1335" s="302"/>
      <c r="Q1335" s="485">
        <v>0</v>
      </c>
      <c r="S1335" s="536">
        <v>0</v>
      </c>
      <c r="T1335" s="322">
        <v>0</v>
      </c>
      <c r="U1335" s="515"/>
      <c r="V1335" s="494">
        <v>90</v>
      </c>
    </row>
    <row r="1336" spans="1:22" s="7" customFormat="1" ht="18" customHeight="1">
      <c r="A1336" s="1"/>
      <c r="B1336" s="12"/>
      <c r="C1336" s="6" t="s">
        <v>2661</v>
      </c>
      <c r="D1336" s="15" t="s">
        <v>1666</v>
      </c>
      <c r="E1336" s="20" t="s">
        <v>2663</v>
      </c>
      <c r="F1336" s="24"/>
      <c r="G1336" s="44"/>
      <c r="H1336" s="151"/>
      <c r="I1336" s="151"/>
      <c r="J1336" s="151"/>
      <c r="K1336" s="153" t="s">
        <v>10</v>
      </c>
      <c r="L1336" s="39"/>
      <c r="M1336" s="39"/>
      <c r="N1336" s="39">
        <v>44663</v>
      </c>
      <c r="O1336" s="38">
        <v>4102</v>
      </c>
      <c r="P1336" s="6"/>
      <c r="Q1336" s="411"/>
      <c r="S1336" s="489"/>
      <c r="T1336" s="113"/>
      <c r="U1336" s="501"/>
      <c r="V1336" s="494">
        <v>90</v>
      </c>
    </row>
    <row r="1337" spans="1:22" s="7" customFormat="1" ht="15.95" customHeight="1">
      <c r="A1337" s="1"/>
      <c r="B1337" s="12" t="s">
        <v>1856</v>
      </c>
      <c r="C1337" s="6" t="s">
        <v>2661</v>
      </c>
      <c r="D1337" s="15" t="s">
        <v>1666</v>
      </c>
      <c r="E1337" s="24">
        <v>5659</v>
      </c>
      <c r="F1337" s="44" t="s">
        <v>502</v>
      </c>
      <c r="G1337" s="44" t="s">
        <v>2662</v>
      </c>
      <c r="H1337" s="8">
        <v>50</v>
      </c>
      <c r="I1337" s="41">
        <v>1</v>
      </c>
      <c r="J1337" s="67">
        <f>H1337*I1337</f>
        <v>50</v>
      </c>
      <c r="K1337" s="46">
        <v>0.66</v>
      </c>
      <c r="L1337" s="46">
        <f>K1337*J1337</f>
        <v>33</v>
      </c>
      <c r="M1337" s="162" t="s">
        <v>2219</v>
      </c>
      <c r="N1337" s="39">
        <v>44663</v>
      </c>
      <c r="O1337" s="38">
        <v>4102</v>
      </c>
      <c r="P1337" s="180">
        <f>K1337*(VLOOKUP(B1337,$C$2:$F$6,3,FALSE))</f>
        <v>0.58079999999999998</v>
      </c>
      <c r="Q1337" s="483">
        <v>0.57999999999999996</v>
      </c>
      <c r="R1337" s="704">
        <f>Q1337*J1337</f>
        <v>28.999999999999996</v>
      </c>
      <c r="S1337" s="489">
        <v>35.4</v>
      </c>
      <c r="T1337" s="113">
        <f>S1337*J1337</f>
        <v>1770</v>
      </c>
      <c r="U1337" s="517"/>
      <c r="V1337" s="494">
        <v>90</v>
      </c>
    </row>
    <row r="1338" spans="1:22" s="7" customFormat="1" ht="15.95" customHeight="1">
      <c r="A1338" s="1"/>
      <c r="B1338" s="12" t="s">
        <v>1856</v>
      </c>
      <c r="C1338" s="6" t="s">
        <v>2661</v>
      </c>
      <c r="D1338" s="15" t="s">
        <v>1666</v>
      </c>
      <c r="E1338" s="24">
        <v>5659</v>
      </c>
      <c r="F1338" s="44" t="s">
        <v>2664</v>
      </c>
      <c r="G1338" s="44" t="s">
        <v>2662</v>
      </c>
      <c r="H1338" s="8">
        <v>50</v>
      </c>
      <c r="I1338" s="41">
        <v>1</v>
      </c>
      <c r="J1338" s="67">
        <f>H1338*I1338</f>
        <v>50</v>
      </c>
      <c r="K1338" s="46">
        <v>1.1599999999999999</v>
      </c>
      <c r="L1338" s="46">
        <f>K1338*J1338</f>
        <v>57.999999999999993</v>
      </c>
      <c r="M1338" s="162" t="s">
        <v>2219</v>
      </c>
      <c r="N1338" s="39">
        <v>44663</v>
      </c>
      <c r="O1338" s="38">
        <v>4102</v>
      </c>
      <c r="P1338" s="180">
        <f>K1338*(VLOOKUP(B1338,$C$2:$F$6,3,FALSE))</f>
        <v>1.0207999999999999</v>
      </c>
      <c r="Q1338" s="483">
        <v>1.02</v>
      </c>
      <c r="R1338" s="704">
        <f>Q1338*J1338</f>
        <v>51</v>
      </c>
      <c r="S1338" s="489">
        <v>62.3</v>
      </c>
      <c r="T1338" s="113">
        <f>S1338*J1338</f>
        <v>3115</v>
      </c>
      <c r="U1338" s="517"/>
      <c r="V1338" s="494">
        <v>90</v>
      </c>
    </row>
    <row r="1339" spans="1:22" ht="15.95" customHeight="1">
      <c r="B1339" s="12" t="s">
        <v>1862</v>
      </c>
      <c r="C1339" s="6" t="s">
        <v>2661</v>
      </c>
      <c r="D1339" s="15" t="s">
        <v>1666</v>
      </c>
      <c r="E1339" s="24"/>
      <c r="F1339" s="138"/>
      <c r="G1339" s="44" t="s">
        <v>1993</v>
      </c>
      <c r="H1339" s="8"/>
      <c r="I1339" s="41"/>
      <c r="J1339" s="45">
        <v>1</v>
      </c>
      <c r="K1339" s="46">
        <v>12</v>
      </c>
      <c r="L1339" s="46">
        <f>K1339*J1339</f>
        <v>12</v>
      </c>
      <c r="M1339" s="112"/>
      <c r="N1339" s="39">
        <v>44663</v>
      </c>
      <c r="O1339" s="38">
        <v>4102</v>
      </c>
      <c r="P1339" s="46">
        <f>K1339*(VLOOKUP(B1339,$C$2:$F$6,3,FALSE))</f>
        <v>12</v>
      </c>
      <c r="Q1339" s="483">
        <v>12</v>
      </c>
      <c r="R1339" s="704">
        <v>12</v>
      </c>
      <c r="S1339" s="489">
        <v>0</v>
      </c>
      <c r="T1339" s="113">
        <f>S1339*J1339</f>
        <v>0</v>
      </c>
      <c r="U1339" s="511"/>
      <c r="V1339" s="494">
        <v>90</v>
      </c>
    </row>
    <row r="1340" spans="1:22" s="314" customFormat="1" ht="15">
      <c r="A1340" s="1"/>
      <c r="B1340" s="313"/>
      <c r="C1340" s="302" t="s">
        <v>2661</v>
      </c>
      <c r="D1340" s="303" t="s">
        <v>1666</v>
      </c>
      <c r="E1340" s="304"/>
      <c r="F1340" s="305"/>
      <c r="G1340" s="305" t="s">
        <v>1227</v>
      </c>
      <c r="H1340" s="307" t="s">
        <v>1228</v>
      </c>
      <c r="I1340" s="308"/>
      <c r="J1340" s="306"/>
      <c r="K1340" s="315">
        <v>0</v>
      </c>
      <c r="L1340" s="310"/>
      <c r="M1340" s="310"/>
      <c r="N1340" s="310">
        <v>44663</v>
      </c>
      <c r="O1340" s="309">
        <v>4102</v>
      </c>
      <c r="P1340" s="302"/>
      <c r="Q1340" s="485">
        <v>0</v>
      </c>
      <c r="S1340" s="536">
        <v>0</v>
      </c>
      <c r="T1340" s="322">
        <v>0</v>
      </c>
      <c r="U1340" s="515"/>
      <c r="V1340" s="494">
        <v>90</v>
      </c>
    </row>
    <row r="1341" spans="1:22" s="7" customFormat="1" ht="18" customHeight="1">
      <c r="A1341" s="1"/>
      <c r="B1341" s="12"/>
      <c r="C1341" s="6" t="s">
        <v>2672</v>
      </c>
      <c r="D1341" s="15" t="s">
        <v>2434</v>
      </c>
      <c r="E1341" s="18" t="s">
        <v>2431</v>
      </c>
      <c r="F1341" s="700"/>
      <c r="G1341" s="640"/>
      <c r="H1341" s="641"/>
      <c r="I1341" s="701"/>
      <c r="J1341" s="702"/>
      <c r="K1341" s="153" t="s">
        <v>1027</v>
      </c>
      <c r="L1341" s="219"/>
      <c r="M1341" s="11"/>
      <c r="N1341" s="39">
        <v>44687</v>
      </c>
      <c r="O1341" s="38">
        <v>4161</v>
      </c>
      <c r="P1341" s="6"/>
      <c r="Q1341" s="703"/>
      <c r="U1341" s="46"/>
      <c r="V1341" s="494">
        <v>90</v>
      </c>
    </row>
    <row r="1342" spans="1:22" ht="18" customHeight="1">
      <c r="B1342" s="28" t="s">
        <v>1856</v>
      </c>
      <c r="C1342" s="6" t="s">
        <v>2672</v>
      </c>
      <c r="D1342" s="15" t="s">
        <v>2434</v>
      </c>
      <c r="E1342" s="62" t="s">
        <v>2708</v>
      </c>
      <c r="F1342" s="44">
        <v>9</v>
      </c>
      <c r="G1342" s="20" t="s">
        <v>2432</v>
      </c>
      <c r="H1342" s="151"/>
      <c r="I1342" s="152"/>
      <c r="J1342" s="261">
        <v>400</v>
      </c>
      <c r="K1342" s="46">
        <v>1.43</v>
      </c>
      <c r="L1342" s="46">
        <f>K1342*J1342</f>
        <v>572</v>
      </c>
      <c r="M1342" s="162" t="s">
        <v>2446</v>
      </c>
      <c r="N1342" s="39">
        <v>44687</v>
      </c>
      <c r="O1342" s="38">
        <v>4161</v>
      </c>
      <c r="P1342" s="46">
        <f>K1342*(VLOOKUP(B1342,$C$2:$F$6,3,FALSE))</f>
        <v>1.2584</v>
      </c>
      <c r="Q1342" s="482">
        <v>1.26</v>
      </c>
      <c r="R1342" s="704">
        <f>Q1342*J1342</f>
        <v>504</v>
      </c>
      <c r="S1342" s="489">
        <v>77</v>
      </c>
      <c r="T1342" s="567">
        <f>S1342*J1342</f>
        <v>30800</v>
      </c>
      <c r="U1342" s="507"/>
      <c r="V1342" s="494">
        <v>90</v>
      </c>
    </row>
    <row r="1343" spans="1:22" s="7" customFormat="1" ht="15.95" customHeight="1">
      <c r="A1343" s="1"/>
      <c r="B1343" s="12" t="s">
        <v>1862</v>
      </c>
      <c r="C1343" s="6" t="s">
        <v>2672</v>
      </c>
      <c r="D1343" s="15" t="s">
        <v>2434</v>
      </c>
      <c r="E1343" s="24"/>
      <c r="F1343" s="138"/>
      <c r="G1343" s="44" t="s">
        <v>2014</v>
      </c>
      <c r="H1343" s="8"/>
      <c r="I1343" s="41"/>
      <c r="J1343" s="45">
        <v>1</v>
      </c>
      <c r="K1343" s="46">
        <v>140</v>
      </c>
      <c r="L1343" s="46">
        <f>K1343*J1343</f>
        <v>140</v>
      </c>
      <c r="M1343" s="39"/>
      <c r="N1343" s="39">
        <v>44687</v>
      </c>
      <c r="O1343" s="38">
        <v>4161</v>
      </c>
      <c r="P1343" s="46">
        <f>K1343*(VLOOKUP(B1343,$C$2:$F$6,3,FALSE))</f>
        <v>140</v>
      </c>
      <c r="Q1343" s="483">
        <v>140</v>
      </c>
      <c r="R1343" s="704">
        <v>140</v>
      </c>
      <c r="S1343" s="489">
        <v>10000</v>
      </c>
      <c r="T1343" s="113">
        <f>S1343*J1343</f>
        <v>10000</v>
      </c>
      <c r="U1343" s="501"/>
      <c r="V1343" s="494">
        <v>90</v>
      </c>
    </row>
    <row r="1344" spans="1:22" s="7" customFormat="1" ht="18" customHeight="1">
      <c r="A1344" s="1"/>
      <c r="B1344" s="12"/>
      <c r="C1344" s="6" t="s">
        <v>2672</v>
      </c>
      <c r="D1344" s="15" t="s">
        <v>2434</v>
      </c>
      <c r="E1344" s="18" t="s">
        <v>2332</v>
      </c>
      <c r="F1344" s="700"/>
      <c r="G1344" s="640"/>
      <c r="H1344" s="641"/>
      <c r="I1344" s="701"/>
      <c r="J1344" s="702"/>
      <c r="K1344" s="153" t="s">
        <v>10</v>
      </c>
      <c r="L1344" s="219"/>
      <c r="M1344" s="11"/>
      <c r="N1344" s="39">
        <v>44666</v>
      </c>
      <c r="O1344" s="38">
        <v>4118</v>
      </c>
      <c r="P1344" s="6"/>
      <c r="Q1344" s="703"/>
      <c r="U1344" s="46"/>
      <c r="V1344" s="494">
        <v>90</v>
      </c>
    </row>
    <row r="1345" spans="1:22" ht="18" customHeight="1">
      <c r="B1345" s="28" t="s">
        <v>1856</v>
      </c>
      <c r="C1345" s="6" t="s">
        <v>2672</v>
      </c>
      <c r="D1345" s="15" t="s">
        <v>2434</v>
      </c>
      <c r="E1345" s="24" t="s">
        <v>2286</v>
      </c>
      <c r="F1345" s="44">
        <v>6</v>
      </c>
      <c r="G1345" s="24" t="s">
        <v>2457</v>
      </c>
      <c r="H1345" s="151">
        <v>10</v>
      </c>
      <c r="I1345" s="152">
        <v>12</v>
      </c>
      <c r="J1345" s="67">
        <f>H1345*I1345</f>
        <v>120</v>
      </c>
      <c r="K1345" s="46">
        <v>2.1800000000000002</v>
      </c>
      <c r="L1345" s="46">
        <f>K1345*J1345</f>
        <v>261.60000000000002</v>
      </c>
      <c r="M1345" s="162" t="s">
        <v>2219</v>
      </c>
      <c r="N1345" s="39">
        <v>44666</v>
      </c>
      <c r="O1345" s="38">
        <v>4118</v>
      </c>
      <c r="P1345" s="46">
        <f>K1345*(VLOOKUP(B1345,$C$2:$F$6,3,FALSE))</f>
        <v>1.9184000000000001</v>
      </c>
      <c r="Q1345" s="482">
        <v>1.92</v>
      </c>
      <c r="R1345" s="704">
        <f>Q1345*J1345</f>
        <v>230.39999999999998</v>
      </c>
      <c r="S1345" s="489">
        <v>117.5</v>
      </c>
      <c r="T1345" s="113">
        <f>S1345*J1345</f>
        <v>14100</v>
      </c>
      <c r="U1345" s="507"/>
      <c r="V1345" s="494">
        <v>90</v>
      </c>
    </row>
    <row r="1346" spans="1:22" ht="15.95" customHeight="1">
      <c r="B1346" s="12" t="s">
        <v>1862</v>
      </c>
      <c r="C1346" s="6" t="s">
        <v>2672</v>
      </c>
      <c r="D1346" s="15" t="s">
        <v>2434</v>
      </c>
      <c r="E1346" s="24"/>
      <c r="F1346" s="138"/>
      <c r="G1346" s="44" t="s">
        <v>1993</v>
      </c>
      <c r="H1346" s="8"/>
      <c r="I1346" s="41"/>
      <c r="J1346" s="45">
        <v>1</v>
      </c>
      <c r="K1346" s="46">
        <v>12</v>
      </c>
      <c r="L1346" s="46">
        <f>K1346*J1346</f>
        <v>12</v>
      </c>
      <c r="M1346" s="112"/>
      <c r="N1346" s="39">
        <v>44666</v>
      </c>
      <c r="O1346" s="38">
        <v>4118</v>
      </c>
      <c r="P1346" s="46">
        <f>K1346*(VLOOKUP(B1346,$C$2:$F$6,3,FALSE))</f>
        <v>12</v>
      </c>
      <c r="Q1346" s="483">
        <v>12</v>
      </c>
      <c r="R1346" s="704">
        <v>12</v>
      </c>
      <c r="S1346" s="489">
        <v>1000</v>
      </c>
      <c r="T1346" s="113">
        <f>S1346*J1346</f>
        <v>1000</v>
      </c>
      <c r="U1346" s="511"/>
      <c r="V1346" s="494">
        <v>90</v>
      </c>
    </row>
    <row r="1347" spans="1:22" s="314" customFormat="1" ht="15">
      <c r="A1347" s="1"/>
      <c r="B1347" s="313"/>
      <c r="C1347" s="302" t="s">
        <v>2672</v>
      </c>
      <c r="D1347" s="303" t="s">
        <v>2434</v>
      </c>
      <c r="E1347" s="304"/>
      <c r="F1347" s="305"/>
      <c r="G1347" s="305" t="s">
        <v>1227</v>
      </c>
      <c r="H1347" s="307" t="s">
        <v>1228</v>
      </c>
      <c r="I1347" s="308"/>
      <c r="J1347" s="306"/>
      <c r="K1347" s="315">
        <v>0</v>
      </c>
      <c r="L1347" s="310"/>
      <c r="M1347" s="310"/>
      <c r="N1347" s="310">
        <v>44666</v>
      </c>
      <c r="O1347" s="309">
        <v>4118</v>
      </c>
      <c r="P1347" s="302"/>
      <c r="Q1347" s="485">
        <v>0</v>
      </c>
      <c r="S1347" s="536">
        <v>0</v>
      </c>
      <c r="T1347" s="322">
        <v>0</v>
      </c>
      <c r="U1347" s="515"/>
      <c r="V1347" s="494">
        <v>90</v>
      </c>
    </row>
    <row r="1348" spans="1:22" s="7" customFormat="1" ht="15" customHeight="1">
      <c r="A1348" s="1"/>
      <c r="B1348" s="12"/>
      <c r="C1348" s="6" t="s">
        <v>2673</v>
      </c>
      <c r="D1348" s="15" t="s">
        <v>1765</v>
      </c>
      <c r="E1348" s="20" t="s">
        <v>2674</v>
      </c>
      <c r="F1348" s="150"/>
      <c r="G1348" s="24"/>
      <c r="H1348" s="151"/>
      <c r="I1348" s="152"/>
      <c r="J1348" s="151"/>
      <c r="K1348" s="34" t="s">
        <v>10</v>
      </c>
      <c r="L1348" s="39"/>
      <c r="M1348" s="39"/>
      <c r="N1348" s="39">
        <v>44670</v>
      </c>
      <c r="O1348" s="38">
        <v>4119</v>
      </c>
      <c r="P1348" s="15"/>
      <c r="Q1348" s="483"/>
      <c r="S1348" s="489"/>
      <c r="T1348" s="113"/>
      <c r="U1348" s="506"/>
      <c r="V1348" s="494">
        <v>90</v>
      </c>
    </row>
    <row r="1349" spans="1:22" s="7" customFormat="1" ht="15.75">
      <c r="A1349" s="1"/>
      <c r="B1349" s="12" t="s">
        <v>1858</v>
      </c>
      <c r="C1349" s="6" t="s">
        <v>2673</v>
      </c>
      <c r="D1349" s="15" t="s">
        <v>1765</v>
      </c>
      <c r="E1349" s="24">
        <v>3000</v>
      </c>
      <c r="F1349" s="150">
        <v>107</v>
      </c>
      <c r="G1349" s="873" t="s">
        <v>2675</v>
      </c>
      <c r="H1349" s="872"/>
      <c r="I1349" s="68"/>
      <c r="J1349" s="67">
        <v>5</v>
      </c>
      <c r="K1349" s="25">
        <v>15.28</v>
      </c>
      <c r="L1349" s="46">
        <f>K1349*J1349</f>
        <v>76.399999999999991</v>
      </c>
      <c r="M1349" s="162" t="s">
        <v>2219</v>
      </c>
      <c r="N1349" s="39">
        <v>44670</v>
      </c>
      <c r="O1349" s="38">
        <v>4119</v>
      </c>
      <c r="P1349" s="46">
        <f>K1349*(VLOOKUP(B1349,$C$2:$F$6,3,FALSE))</f>
        <v>14.363199999999999</v>
      </c>
      <c r="Q1349" s="483">
        <v>14.36</v>
      </c>
      <c r="R1349" s="704">
        <f>Q1349*J1349</f>
        <v>71.8</v>
      </c>
      <c r="S1349" s="532">
        <v>1100</v>
      </c>
      <c r="T1349" s="567">
        <f>S1349*J1349</f>
        <v>5500</v>
      </c>
      <c r="U1349" s="501"/>
      <c r="V1349" s="494">
        <v>90</v>
      </c>
    </row>
    <row r="1350" spans="1:22" ht="15.95" customHeight="1">
      <c r="B1350" s="12" t="s">
        <v>1862</v>
      </c>
      <c r="C1350" s="6" t="s">
        <v>2673</v>
      </c>
      <c r="D1350" s="15" t="s">
        <v>1765</v>
      </c>
      <c r="E1350" s="24"/>
      <c r="F1350" s="138"/>
      <c r="G1350" s="44" t="s">
        <v>1075</v>
      </c>
      <c r="H1350" s="8"/>
      <c r="I1350" s="41"/>
      <c r="J1350" s="45">
        <v>1</v>
      </c>
      <c r="K1350" s="46">
        <v>12</v>
      </c>
      <c r="L1350" s="46">
        <f>K1350*J1350</f>
        <v>12</v>
      </c>
      <c r="M1350" s="112"/>
      <c r="N1350" s="39">
        <v>44670</v>
      </c>
      <c r="O1350" s="38">
        <v>4119</v>
      </c>
      <c r="P1350" s="46">
        <f>K1350*(VLOOKUP(B1350,$C$2:$F$6,3,FALSE))</f>
        <v>12</v>
      </c>
      <c r="Q1350" s="483">
        <v>12</v>
      </c>
      <c r="R1350" s="704">
        <v>12</v>
      </c>
      <c r="S1350" s="489">
        <v>1000</v>
      </c>
      <c r="T1350" s="113">
        <f>S1350*J1350</f>
        <v>1000</v>
      </c>
      <c r="U1350" s="511"/>
      <c r="V1350" s="494">
        <v>90</v>
      </c>
    </row>
    <row r="1351" spans="1:22" s="7" customFormat="1" ht="15" customHeight="1">
      <c r="A1351" s="1"/>
      <c r="B1351" s="12"/>
      <c r="C1351" s="6" t="s">
        <v>2673</v>
      </c>
      <c r="D1351" s="15" t="s">
        <v>1765</v>
      </c>
      <c r="E1351" s="20" t="s">
        <v>27</v>
      </c>
      <c r="F1351" s="150"/>
      <c r="G1351" s="24"/>
      <c r="H1351" s="151"/>
      <c r="I1351" s="152"/>
      <c r="J1351" s="151"/>
      <c r="K1351" s="34" t="s">
        <v>10</v>
      </c>
      <c r="L1351" s="39"/>
      <c r="M1351" s="39"/>
      <c r="N1351" s="39">
        <v>44670</v>
      </c>
      <c r="O1351" s="38">
        <v>4119</v>
      </c>
      <c r="P1351" s="15"/>
      <c r="Q1351" s="483"/>
      <c r="S1351" s="489"/>
      <c r="T1351" s="113"/>
      <c r="U1351" s="506"/>
      <c r="V1351" s="494">
        <v>90</v>
      </c>
    </row>
    <row r="1352" spans="1:22" s="7" customFormat="1" ht="15.75">
      <c r="A1352" s="1"/>
      <c r="B1352" s="12" t="s">
        <v>1858</v>
      </c>
      <c r="C1352" s="6" t="s">
        <v>2673</v>
      </c>
      <c r="D1352" s="15" t="s">
        <v>1765</v>
      </c>
      <c r="E1352" s="24" t="s">
        <v>536</v>
      </c>
      <c r="F1352" s="150">
        <v>160</v>
      </c>
      <c r="G1352" s="873" t="s">
        <v>2694</v>
      </c>
      <c r="H1352" s="872"/>
      <c r="I1352" s="68"/>
      <c r="J1352" s="67">
        <v>20</v>
      </c>
      <c r="K1352" s="25">
        <v>5</v>
      </c>
      <c r="L1352" s="46">
        <f>K1352*J1352</f>
        <v>100</v>
      </c>
      <c r="M1352" s="162" t="s">
        <v>2218</v>
      </c>
      <c r="N1352" s="39">
        <v>44670</v>
      </c>
      <c r="O1352" s="38">
        <v>4119</v>
      </c>
      <c r="P1352" s="46">
        <f>K1352*(VLOOKUP(B1352,$C$2:$F$6,3,FALSE))</f>
        <v>4.6999999999999993</v>
      </c>
      <c r="Q1352" s="483">
        <v>4.7</v>
      </c>
      <c r="R1352" s="704">
        <f>Q1352*J1352</f>
        <v>94</v>
      </c>
      <c r="S1352" s="532">
        <v>360</v>
      </c>
      <c r="T1352" s="567">
        <f>S1352*J1352</f>
        <v>7200</v>
      </c>
      <c r="U1352" s="501"/>
      <c r="V1352" s="494">
        <v>90</v>
      </c>
    </row>
    <row r="1353" spans="1:22" ht="15.95" customHeight="1">
      <c r="B1353" s="12" t="s">
        <v>1862</v>
      </c>
      <c r="C1353" s="6" t="s">
        <v>2673</v>
      </c>
      <c r="D1353" s="15" t="s">
        <v>1765</v>
      </c>
      <c r="E1353" s="24"/>
      <c r="F1353" s="138"/>
      <c r="G1353" s="44" t="s">
        <v>1075</v>
      </c>
      <c r="H1353" s="8"/>
      <c r="I1353" s="41"/>
      <c r="J1353" s="45">
        <v>1</v>
      </c>
      <c r="K1353" s="46">
        <v>12</v>
      </c>
      <c r="L1353" s="46">
        <f>K1353*J1353</f>
        <v>12</v>
      </c>
      <c r="M1353" s="112"/>
      <c r="N1353" s="39">
        <v>44670</v>
      </c>
      <c r="O1353" s="38">
        <v>4119</v>
      </c>
      <c r="P1353" s="46">
        <f>K1353*(VLOOKUP(B1353,$C$2:$F$6,3,FALSE))</f>
        <v>12</v>
      </c>
      <c r="Q1353" s="483">
        <v>12</v>
      </c>
      <c r="R1353" s="704">
        <v>12</v>
      </c>
      <c r="S1353" s="489">
        <v>1000</v>
      </c>
      <c r="T1353" s="113">
        <f>S1353*J1353</f>
        <v>1000</v>
      </c>
      <c r="U1353" s="511"/>
      <c r="V1353" s="494">
        <v>90</v>
      </c>
    </row>
    <row r="1354" spans="1:22" ht="15.95" customHeight="1">
      <c r="B1354" s="12" t="s">
        <v>1862</v>
      </c>
      <c r="C1354" s="6" t="s">
        <v>2673</v>
      </c>
      <c r="D1354" s="15" t="s">
        <v>1765</v>
      </c>
      <c r="E1354" s="24"/>
      <c r="F1354" s="138"/>
      <c r="G1354" s="44" t="s">
        <v>1993</v>
      </c>
      <c r="H1354" s="8"/>
      <c r="I1354" s="41"/>
      <c r="J1354" s="45">
        <v>1</v>
      </c>
      <c r="K1354" s="46">
        <v>20</v>
      </c>
      <c r="L1354" s="46">
        <f>K1354*J1354</f>
        <v>20</v>
      </c>
      <c r="M1354" s="112"/>
      <c r="N1354" s="39">
        <v>44670</v>
      </c>
      <c r="O1354" s="38">
        <v>4119</v>
      </c>
      <c r="P1354" s="46">
        <f>K1354*(VLOOKUP(B1354,$C$2:$F$6,3,FALSE))</f>
        <v>20</v>
      </c>
      <c r="Q1354" s="483">
        <v>20</v>
      </c>
      <c r="R1354" s="704">
        <v>20</v>
      </c>
      <c r="S1354" s="489">
        <v>1000</v>
      </c>
      <c r="T1354" s="113">
        <f>S1354*J1354</f>
        <v>1000</v>
      </c>
      <c r="U1354" s="511"/>
      <c r="V1354" s="494">
        <v>90</v>
      </c>
    </row>
    <row r="1355" spans="1:22" s="314" customFormat="1" ht="15">
      <c r="A1355" s="1"/>
      <c r="B1355" s="313"/>
      <c r="C1355" s="302" t="s">
        <v>2673</v>
      </c>
      <c r="D1355" s="303" t="s">
        <v>1765</v>
      </c>
      <c r="E1355" s="304"/>
      <c r="F1355" s="305"/>
      <c r="G1355" s="305" t="s">
        <v>2238</v>
      </c>
      <c r="H1355" s="307" t="s">
        <v>1243</v>
      </c>
      <c r="I1355" s="308"/>
      <c r="J1355" s="306"/>
      <c r="K1355" s="329">
        <v>105</v>
      </c>
      <c r="L1355" s="311"/>
      <c r="M1355" s="310"/>
      <c r="N1355" s="310">
        <v>44670</v>
      </c>
      <c r="O1355" s="309">
        <v>4119</v>
      </c>
      <c r="P1355" s="302"/>
      <c r="Q1355" s="797">
        <v>105</v>
      </c>
      <c r="R1355" s="885">
        <v>105</v>
      </c>
      <c r="S1355" s="321">
        <v>5467</v>
      </c>
      <c r="T1355" s="322">
        <v>5467</v>
      </c>
      <c r="U1355" s="798"/>
      <c r="V1355" s="494">
        <v>90</v>
      </c>
    </row>
    <row r="1356" spans="1:22" s="7" customFormat="1" ht="15" customHeight="1">
      <c r="A1356" s="1"/>
      <c r="B1356" s="12"/>
      <c r="C1356" s="6" t="s">
        <v>2697</v>
      </c>
      <c r="D1356" s="15" t="s">
        <v>2679</v>
      </c>
      <c r="E1356" s="20" t="s">
        <v>2680</v>
      </c>
      <c r="F1356" s="150"/>
      <c r="G1356" s="24"/>
      <c r="H1356" s="151"/>
      <c r="I1356" s="152"/>
      <c r="J1356" s="151"/>
      <c r="K1356" s="34" t="s">
        <v>10</v>
      </c>
      <c r="L1356" s="39"/>
      <c r="M1356" s="39"/>
      <c r="N1356" s="39">
        <v>44697</v>
      </c>
      <c r="O1356" s="38">
        <v>4198</v>
      </c>
      <c r="P1356" s="15"/>
      <c r="Q1356" s="483"/>
      <c r="S1356" s="489"/>
      <c r="T1356" s="113"/>
      <c r="U1356" s="506"/>
      <c r="V1356" s="494">
        <v>90</v>
      </c>
    </row>
    <row r="1357" spans="1:22" s="7" customFormat="1" ht="15.75">
      <c r="A1357" s="1"/>
      <c r="B1357" s="12" t="s">
        <v>1858</v>
      </c>
      <c r="C1357" s="6" t="s">
        <v>2697</v>
      </c>
      <c r="D1357" s="15" t="s">
        <v>2679</v>
      </c>
      <c r="E1357" s="24" t="s">
        <v>962</v>
      </c>
      <c r="F1357" s="150">
        <v>130</v>
      </c>
      <c r="G1357" s="873" t="s">
        <v>2681</v>
      </c>
      <c r="H1357" s="151">
        <v>50</v>
      </c>
      <c r="I1357" s="152">
        <v>2</v>
      </c>
      <c r="J1357" s="67">
        <f>H1357*I1357</f>
        <v>100</v>
      </c>
      <c r="K1357" s="46">
        <v>15.98</v>
      </c>
      <c r="L1357" s="46">
        <f>K1357*J1357</f>
        <v>1598</v>
      </c>
      <c r="M1357" s="162" t="s">
        <v>2219</v>
      </c>
      <c r="N1357" s="39">
        <v>44697</v>
      </c>
      <c r="O1357" s="38">
        <v>4198</v>
      </c>
      <c r="P1357" s="46">
        <f>K1357*(VLOOKUP(B1357,$C$2:$F$6,3,FALSE))</f>
        <v>15.0212</v>
      </c>
      <c r="Q1357" s="483">
        <v>15.02</v>
      </c>
      <c r="R1357" s="704">
        <f>Q1357*J1357</f>
        <v>1502</v>
      </c>
      <c r="S1357" s="532">
        <v>1150</v>
      </c>
      <c r="T1357" s="567">
        <f>S1357*J1357</f>
        <v>115000</v>
      </c>
      <c r="U1357" s="501"/>
      <c r="V1357" s="494">
        <v>90</v>
      </c>
    </row>
    <row r="1358" spans="1:22" ht="15.95" customHeight="1">
      <c r="B1358" s="12" t="s">
        <v>1862</v>
      </c>
      <c r="C1358" s="6" t="s">
        <v>2697</v>
      </c>
      <c r="D1358" s="15" t="s">
        <v>2679</v>
      </c>
      <c r="E1358" s="24"/>
      <c r="F1358" s="138"/>
      <c r="G1358" s="44" t="s">
        <v>1993</v>
      </c>
      <c r="H1358" s="8"/>
      <c r="I1358" s="41"/>
      <c r="J1358" s="45">
        <v>1</v>
      </c>
      <c r="K1358" s="46">
        <v>20</v>
      </c>
      <c r="L1358" s="46">
        <f>K1358*J1358</f>
        <v>20</v>
      </c>
      <c r="M1358" s="112"/>
      <c r="N1358" s="39">
        <v>44697</v>
      </c>
      <c r="O1358" s="38">
        <v>4198</v>
      </c>
      <c r="P1358" s="46">
        <f>K1358*(VLOOKUP(B1358,$C$2:$F$6,3,FALSE))</f>
        <v>20</v>
      </c>
      <c r="Q1358" s="483">
        <v>20</v>
      </c>
      <c r="R1358" s="704">
        <v>20</v>
      </c>
      <c r="S1358" s="489">
        <v>1800</v>
      </c>
      <c r="T1358" s="113">
        <f>S1358*J1358</f>
        <v>1800</v>
      </c>
      <c r="U1358" s="511"/>
      <c r="V1358" s="494">
        <v>90</v>
      </c>
    </row>
    <row r="1359" spans="1:22" s="314" customFormat="1" ht="15">
      <c r="A1359" s="1"/>
      <c r="B1359" s="313"/>
      <c r="C1359" s="302" t="s">
        <v>2697</v>
      </c>
      <c r="D1359" s="303" t="s">
        <v>2679</v>
      </c>
      <c r="E1359" s="304"/>
      <c r="F1359" s="305"/>
      <c r="G1359" s="305" t="s">
        <v>2238</v>
      </c>
      <c r="H1359" s="307" t="s">
        <v>1243</v>
      </c>
      <c r="I1359" s="308"/>
      <c r="J1359" s="306"/>
      <c r="K1359" s="329">
        <v>163</v>
      </c>
      <c r="L1359" s="311"/>
      <c r="M1359" s="310"/>
      <c r="N1359" s="310">
        <v>44697</v>
      </c>
      <c r="O1359" s="309">
        <v>4198</v>
      </c>
      <c r="P1359" s="302"/>
      <c r="Q1359" s="797">
        <v>163</v>
      </c>
      <c r="R1359" s="704">
        <v>163</v>
      </c>
      <c r="S1359" s="321">
        <v>14616</v>
      </c>
      <c r="T1359" s="322">
        <v>14616</v>
      </c>
      <c r="U1359" s="798"/>
      <c r="V1359" s="494">
        <v>90</v>
      </c>
    </row>
    <row r="1360" spans="1:22" s="7" customFormat="1" ht="15" customHeight="1">
      <c r="A1360" s="1"/>
      <c r="B1360" s="12"/>
      <c r="C1360" s="6" t="s">
        <v>2625</v>
      </c>
      <c r="D1360" s="15" t="s">
        <v>169</v>
      </c>
      <c r="E1360" s="20" t="s">
        <v>27</v>
      </c>
      <c r="F1360" s="150"/>
      <c r="G1360" s="24"/>
      <c r="H1360" s="151"/>
      <c r="I1360" s="152"/>
      <c r="J1360" s="151"/>
      <c r="K1360" s="34" t="s">
        <v>10</v>
      </c>
      <c r="L1360" s="39"/>
      <c r="M1360" s="39"/>
      <c r="N1360" s="39">
        <v>44672</v>
      </c>
      <c r="O1360" s="38">
        <v>4140</v>
      </c>
      <c r="P1360" s="15"/>
      <c r="Q1360" s="483"/>
      <c r="S1360" s="489"/>
      <c r="T1360" s="113"/>
      <c r="U1360" s="506"/>
      <c r="V1360" s="494">
        <v>90</v>
      </c>
    </row>
    <row r="1361" spans="1:22" s="7" customFormat="1" ht="15.75">
      <c r="A1361" s="1"/>
      <c r="B1361" s="12" t="s">
        <v>1858</v>
      </c>
      <c r="C1361" s="6" t="s">
        <v>2625</v>
      </c>
      <c r="D1361" s="15" t="s">
        <v>169</v>
      </c>
      <c r="E1361" s="24" t="s">
        <v>536</v>
      </c>
      <c r="F1361" s="150">
        <v>160</v>
      </c>
      <c r="G1361" s="873" t="s">
        <v>2626</v>
      </c>
      <c r="H1361" s="67">
        <v>50</v>
      </c>
      <c r="I1361" s="68">
        <v>2</v>
      </c>
      <c r="J1361" s="8">
        <f t="shared" ref="J1361:J1371" si="63">H1361*I1361</f>
        <v>100</v>
      </c>
      <c r="K1361" s="25">
        <v>5</v>
      </c>
      <c r="L1361" s="46">
        <f t="shared" ref="L1361:L1371" si="64">K1361*J1361</f>
        <v>500</v>
      </c>
      <c r="M1361" s="162" t="s">
        <v>2218</v>
      </c>
      <c r="N1361" s="39">
        <v>44672</v>
      </c>
      <c r="O1361" s="38">
        <v>4140</v>
      </c>
      <c r="P1361" s="46">
        <f t="shared" ref="P1361:P1371" si="65">K1361*(VLOOKUP(B1361,$C$2:$F$6,3,FALSE))</f>
        <v>4.6999999999999993</v>
      </c>
      <c r="Q1361" s="483">
        <v>4.7</v>
      </c>
      <c r="R1361" s="704">
        <f t="shared" ref="R1361:R1379" si="66">Q1361*J1361</f>
        <v>470</v>
      </c>
      <c r="S1361" s="532">
        <v>360</v>
      </c>
      <c r="T1361" s="567">
        <f t="shared" ref="T1361:T1379" si="67">S1361*J1361</f>
        <v>36000</v>
      </c>
      <c r="U1361" s="501"/>
      <c r="V1361" s="494">
        <v>90</v>
      </c>
    </row>
    <row r="1362" spans="1:22" s="7" customFormat="1" ht="15.75">
      <c r="A1362" s="1"/>
      <c r="B1362" s="12" t="s">
        <v>1858</v>
      </c>
      <c r="C1362" s="6" t="s">
        <v>2625</v>
      </c>
      <c r="D1362" s="15" t="s">
        <v>169</v>
      </c>
      <c r="E1362" s="24" t="s">
        <v>536</v>
      </c>
      <c r="F1362" s="150">
        <v>160</v>
      </c>
      <c r="G1362" s="873" t="s">
        <v>2626</v>
      </c>
      <c r="H1362" s="67">
        <v>68</v>
      </c>
      <c r="I1362" s="68">
        <v>1</v>
      </c>
      <c r="J1362" s="8">
        <f t="shared" si="63"/>
        <v>68</v>
      </c>
      <c r="K1362" s="25">
        <v>5</v>
      </c>
      <c r="L1362" s="46">
        <f t="shared" si="64"/>
        <v>340</v>
      </c>
      <c r="M1362" s="162" t="s">
        <v>2218</v>
      </c>
      <c r="N1362" s="39">
        <v>44672</v>
      </c>
      <c r="O1362" s="38">
        <v>4140</v>
      </c>
      <c r="P1362" s="46">
        <f t="shared" si="65"/>
        <v>4.6999999999999993</v>
      </c>
      <c r="Q1362" s="483">
        <v>4.7</v>
      </c>
      <c r="R1362" s="704">
        <f t="shared" si="66"/>
        <v>319.60000000000002</v>
      </c>
      <c r="S1362" s="532">
        <v>360</v>
      </c>
      <c r="T1362" s="567">
        <f t="shared" si="67"/>
        <v>24480</v>
      </c>
      <c r="U1362" s="501"/>
      <c r="V1362" s="494">
        <v>90</v>
      </c>
    </row>
    <row r="1363" spans="1:22" s="7" customFormat="1" ht="15.75">
      <c r="A1363" s="1"/>
      <c r="B1363" s="12" t="s">
        <v>1858</v>
      </c>
      <c r="C1363" s="6" t="s">
        <v>2625</v>
      </c>
      <c r="D1363" s="15" t="s">
        <v>169</v>
      </c>
      <c r="E1363" s="24" t="s">
        <v>536</v>
      </c>
      <c r="F1363" s="150">
        <v>160</v>
      </c>
      <c r="G1363" s="873" t="s">
        <v>2626</v>
      </c>
      <c r="H1363" s="67">
        <v>34</v>
      </c>
      <c r="I1363" s="68">
        <v>1</v>
      </c>
      <c r="J1363" s="8">
        <f t="shared" si="63"/>
        <v>34</v>
      </c>
      <c r="K1363" s="25">
        <v>5</v>
      </c>
      <c r="L1363" s="46">
        <f t="shared" si="64"/>
        <v>170</v>
      </c>
      <c r="M1363" s="162" t="s">
        <v>2218</v>
      </c>
      <c r="N1363" s="39">
        <v>44672</v>
      </c>
      <c r="O1363" s="38">
        <v>4140</v>
      </c>
      <c r="P1363" s="46">
        <f t="shared" si="65"/>
        <v>4.6999999999999993</v>
      </c>
      <c r="Q1363" s="483">
        <v>4.7</v>
      </c>
      <c r="R1363" s="704">
        <f t="shared" si="66"/>
        <v>159.80000000000001</v>
      </c>
      <c r="S1363" s="532">
        <v>360</v>
      </c>
      <c r="T1363" s="567">
        <f t="shared" si="67"/>
        <v>12240</v>
      </c>
      <c r="U1363" s="501"/>
      <c r="V1363" s="494">
        <v>90</v>
      </c>
    </row>
    <row r="1364" spans="1:22" s="7" customFormat="1" ht="15.75">
      <c r="A1364" s="1"/>
      <c r="B1364" s="12" t="s">
        <v>1858</v>
      </c>
      <c r="C1364" s="6" t="s">
        <v>2625</v>
      </c>
      <c r="D1364" s="15" t="s">
        <v>169</v>
      </c>
      <c r="E1364" s="24" t="s">
        <v>536</v>
      </c>
      <c r="F1364" s="150">
        <v>160</v>
      </c>
      <c r="G1364" s="873" t="s">
        <v>2627</v>
      </c>
      <c r="H1364" s="67">
        <v>50</v>
      </c>
      <c r="I1364" s="68">
        <v>3</v>
      </c>
      <c r="J1364" s="8">
        <f t="shared" si="63"/>
        <v>150</v>
      </c>
      <c r="K1364" s="25">
        <v>5</v>
      </c>
      <c r="L1364" s="46">
        <f t="shared" si="64"/>
        <v>750</v>
      </c>
      <c r="M1364" s="162" t="s">
        <v>2218</v>
      </c>
      <c r="N1364" s="39">
        <v>44672</v>
      </c>
      <c r="O1364" s="38">
        <v>4140</v>
      </c>
      <c r="P1364" s="46">
        <f t="shared" si="65"/>
        <v>4.6999999999999993</v>
      </c>
      <c r="Q1364" s="483">
        <v>4.7</v>
      </c>
      <c r="R1364" s="704">
        <f t="shared" si="66"/>
        <v>705</v>
      </c>
      <c r="S1364" s="532">
        <v>360</v>
      </c>
      <c r="T1364" s="567">
        <f t="shared" si="67"/>
        <v>54000</v>
      </c>
      <c r="U1364" s="501"/>
      <c r="V1364" s="494">
        <v>90</v>
      </c>
    </row>
    <row r="1365" spans="1:22" s="7" customFormat="1" ht="15.75">
      <c r="A1365" s="1"/>
      <c r="B1365" s="12" t="s">
        <v>1858</v>
      </c>
      <c r="C1365" s="6" t="s">
        <v>2625</v>
      </c>
      <c r="D1365" s="15" t="s">
        <v>169</v>
      </c>
      <c r="E1365" s="24" t="s">
        <v>536</v>
      </c>
      <c r="F1365" s="150">
        <v>160</v>
      </c>
      <c r="G1365" s="873" t="s">
        <v>2627</v>
      </c>
      <c r="H1365" s="67">
        <v>51</v>
      </c>
      <c r="I1365" s="68">
        <v>1</v>
      </c>
      <c r="J1365" s="8">
        <f t="shared" si="63"/>
        <v>51</v>
      </c>
      <c r="K1365" s="25">
        <v>5</v>
      </c>
      <c r="L1365" s="46">
        <f t="shared" si="64"/>
        <v>255</v>
      </c>
      <c r="M1365" s="162" t="s">
        <v>2218</v>
      </c>
      <c r="N1365" s="39">
        <v>44672</v>
      </c>
      <c r="O1365" s="38">
        <v>4140</v>
      </c>
      <c r="P1365" s="46">
        <f t="shared" si="65"/>
        <v>4.6999999999999993</v>
      </c>
      <c r="Q1365" s="483">
        <v>4.7</v>
      </c>
      <c r="R1365" s="704">
        <f t="shared" si="66"/>
        <v>239.70000000000002</v>
      </c>
      <c r="S1365" s="532">
        <v>360</v>
      </c>
      <c r="T1365" s="567">
        <f t="shared" si="67"/>
        <v>18360</v>
      </c>
      <c r="U1365" s="501"/>
      <c r="V1365" s="494">
        <v>90</v>
      </c>
    </row>
    <row r="1366" spans="1:22" s="7" customFormat="1" ht="15.75">
      <c r="A1366" s="1"/>
      <c r="B1366" s="12" t="s">
        <v>1858</v>
      </c>
      <c r="C1366" s="6" t="s">
        <v>2625</v>
      </c>
      <c r="D1366" s="15" t="s">
        <v>169</v>
      </c>
      <c r="E1366" s="24" t="s">
        <v>536</v>
      </c>
      <c r="F1366" s="150">
        <v>160</v>
      </c>
      <c r="G1366" s="873" t="s">
        <v>2703</v>
      </c>
      <c r="H1366" s="67">
        <v>75</v>
      </c>
      <c r="I1366" s="68">
        <v>1</v>
      </c>
      <c r="J1366" s="8">
        <f t="shared" si="63"/>
        <v>75</v>
      </c>
      <c r="K1366" s="25">
        <v>5</v>
      </c>
      <c r="L1366" s="46">
        <f t="shared" si="64"/>
        <v>375</v>
      </c>
      <c r="M1366" s="162" t="s">
        <v>2218</v>
      </c>
      <c r="N1366" s="39">
        <v>44672</v>
      </c>
      <c r="O1366" s="38">
        <v>4140</v>
      </c>
      <c r="P1366" s="46">
        <f t="shared" si="65"/>
        <v>4.6999999999999993</v>
      </c>
      <c r="Q1366" s="483">
        <v>4.7</v>
      </c>
      <c r="R1366" s="704">
        <f t="shared" si="66"/>
        <v>352.5</v>
      </c>
      <c r="S1366" s="532">
        <v>360</v>
      </c>
      <c r="T1366" s="567">
        <f t="shared" si="67"/>
        <v>27000</v>
      </c>
      <c r="U1366" s="501"/>
      <c r="V1366" s="494">
        <v>90</v>
      </c>
    </row>
    <row r="1367" spans="1:22" s="7" customFormat="1" ht="15.75">
      <c r="A1367" s="1"/>
      <c r="B1367" s="12" t="s">
        <v>1858</v>
      </c>
      <c r="C1367" s="6" t="s">
        <v>2625</v>
      </c>
      <c r="D1367" s="15" t="s">
        <v>169</v>
      </c>
      <c r="E1367" s="24" t="s">
        <v>536</v>
      </c>
      <c r="F1367" s="150">
        <v>160</v>
      </c>
      <c r="G1367" s="873" t="s">
        <v>2628</v>
      </c>
      <c r="H1367" s="67">
        <v>50</v>
      </c>
      <c r="I1367" s="68">
        <v>1</v>
      </c>
      <c r="J1367" s="8">
        <f t="shared" si="63"/>
        <v>50</v>
      </c>
      <c r="K1367" s="25">
        <v>5</v>
      </c>
      <c r="L1367" s="46">
        <f t="shared" si="64"/>
        <v>250</v>
      </c>
      <c r="M1367" s="162" t="s">
        <v>2218</v>
      </c>
      <c r="N1367" s="39">
        <v>44672</v>
      </c>
      <c r="O1367" s="38">
        <v>4140</v>
      </c>
      <c r="P1367" s="46">
        <f t="shared" si="65"/>
        <v>4.6999999999999993</v>
      </c>
      <c r="Q1367" s="483">
        <v>4.7</v>
      </c>
      <c r="R1367" s="704">
        <f t="shared" si="66"/>
        <v>235</v>
      </c>
      <c r="S1367" s="532">
        <v>360</v>
      </c>
      <c r="T1367" s="567">
        <f t="shared" si="67"/>
        <v>18000</v>
      </c>
      <c r="U1367" s="501"/>
      <c r="V1367" s="494">
        <v>90</v>
      </c>
    </row>
    <row r="1368" spans="1:22" s="7" customFormat="1" ht="15.75">
      <c r="A1368" s="1"/>
      <c r="B1368" s="12" t="s">
        <v>1858</v>
      </c>
      <c r="C1368" s="6" t="s">
        <v>2625</v>
      </c>
      <c r="D1368" s="15" t="s">
        <v>169</v>
      </c>
      <c r="E1368" s="24" t="s">
        <v>536</v>
      </c>
      <c r="F1368" s="150">
        <v>160</v>
      </c>
      <c r="G1368" s="873" t="s">
        <v>2628</v>
      </c>
      <c r="H1368" s="67">
        <v>54</v>
      </c>
      <c r="I1368" s="68">
        <v>1</v>
      </c>
      <c r="J1368" s="8">
        <f t="shared" si="63"/>
        <v>54</v>
      </c>
      <c r="K1368" s="25">
        <v>5</v>
      </c>
      <c r="L1368" s="46">
        <f t="shared" si="64"/>
        <v>270</v>
      </c>
      <c r="M1368" s="162" t="s">
        <v>2218</v>
      </c>
      <c r="N1368" s="39">
        <v>44672</v>
      </c>
      <c r="O1368" s="38">
        <v>4140</v>
      </c>
      <c r="P1368" s="46">
        <f t="shared" si="65"/>
        <v>4.6999999999999993</v>
      </c>
      <c r="Q1368" s="483">
        <v>4.7</v>
      </c>
      <c r="R1368" s="704">
        <f t="shared" si="66"/>
        <v>253.8</v>
      </c>
      <c r="S1368" s="532">
        <v>360</v>
      </c>
      <c r="T1368" s="567">
        <f t="shared" si="67"/>
        <v>19440</v>
      </c>
      <c r="U1368" s="501"/>
      <c r="V1368" s="494">
        <v>90</v>
      </c>
    </row>
    <row r="1369" spans="1:22" s="7" customFormat="1" ht="15.75">
      <c r="A1369" s="1"/>
      <c r="B1369" s="12" t="s">
        <v>1858</v>
      </c>
      <c r="C1369" s="6" t="s">
        <v>2625</v>
      </c>
      <c r="D1369" s="15" t="s">
        <v>169</v>
      </c>
      <c r="E1369" s="24" t="s">
        <v>536</v>
      </c>
      <c r="F1369" s="150">
        <v>160</v>
      </c>
      <c r="G1369" s="873" t="s">
        <v>2629</v>
      </c>
      <c r="H1369" s="67">
        <v>52</v>
      </c>
      <c r="I1369" s="68">
        <v>1</v>
      </c>
      <c r="J1369" s="8">
        <f t="shared" si="63"/>
        <v>52</v>
      </c>
      <c r="K1369" s="25">
        <v>5</v>
      </c>
      <c r="L1369" s="46">
        <f t="shared" si="64"/>
        <v>260</v>
      </c>
      <c r="M1369" s="162" t="s">
        <v>2219</v>
      </c>
      <c r="N1369" s="39">
        <v>44672</v>
      </c>
      <c r="O1369" s="38">
        <v>4140</v>
      </c>
      <c r="P1369" s="46">
        <f t="shared" si="65"/>
        <v>4.6999999999999993</v>
      </c>
      <c r="Q1369" s="483">
        <v>4.7</v>
      </c>
      <c r="R1369" s="704">
        <f t="shared" si="66"/>
        <v>244.4</v>
      </c>
      <c r="S1369" s="532">
        <v>360</v>
      </c>
      <c r="T1369" s="567">
        <f t="shared" si="67"/>
        <v>18720</v>
      </c>
      <c r="U1369" s="501"/>
      <c r="V1369" s="494">
        <v>90</v>
      </c>
    </row>
    <row r="1370" spans="1:22" s="7" customFormat="1" ht="15.75">
      <c r="A1370" s="1"/>
      <c r="B1370" s="12" t="s">
        <v>1858</v>
      </c>
      <c r="C1370" s="6" t="s">
        <v>2625</v>
      </c>
      <c r="D1370" s="15" t="s">
        <v>169</v>
      </c>
      <c r="E1370" s="24" t="s">
        <v>536</v>
      </c>
      <c r="F1370" s="150">
        <v>160</v>
      </c>
      <c r="G1370" s="407" t="s">
        <v>2630</v>
      </c>
      <c r="H1370" s="67">
        <v>57</v>
      </c>
      <c r="I1370" s="68">
        <v>1</v>
      </c>
      <c r="J1370" s="8">
        <f t="shared" si="63"/>
        <v>57</v>
      </c>
      <c r="K1370" s="25">
        <v>5</v>
      </c>
      <c r="L1370" s="46">
        <f t="shared" si="64"/>
        <v>285</v>
      </c>
      <c r="M1370" s="162" t="s">
        <v>2218</v>
      </c>
      <c r="N1370" s="39">
        <v>44672</v>
      </c>
      <c r="O1370" s="38">
        <v>4140</v>
      </c>
      <c r="P1370" s="46">
        <f t="shared" si="65"/>
        <v>4.6999999999999993</v>
      </c>
      <c r="Q1370" s="483">
        <v>4.7</v>
      </c>
      <c r="R1370" s="704">
        <f t="shared" si="66"/>
        <v>267.90000000000003</v>
      </c>
      <c r="S1370" s="532">
        <v>360</v>
      </c>
      <c r="T1370" s="567">
        <f t="shared" si="67"/>
        <v>20520</v>
      </c>
      <c r="U1370" s="501"/>
      <c r="V1370" s="494">
        <v>90</v>
      </c>
    </row>
    <row r="1371" spans="1:22" s="7" customFormat="1" ht="15.75">
      <c r="A1371" s="1"/>
      <c r="B1371" s="12" t="s">
        <v>1858</v>
      </c>
      <c r="C1371" s="6" t="s">
        <v>2625</v>
      </c>
      <c r="D1371" s="15" t="s">
        <v>169</v>
      </c>
      <c r="E1371" s="24" t="s">
        <v>536</v>
      </c>
      <c r="F1371" s="150">
        <v>160</v>
      </c>
      <c r="G1371" s="873" t="s">
        <v>2682</v>
      </c>
      <c r="H1371" s="67">
        <v>47</v>
      </c>
      <c r="I1371" s="68">
        <v>1</v>
      </c>
      <c r="J1371" s="8">
        <f t="shared" si="63"/>
        <v>47</v>
      </c>
      <c r="K1371" s="25">
        <v>5</v>
      </c>
      <c r="L1371" s="46">
        <f t="shared" si="64"/>
        <v>235</v>
      </c>
      <c r="M1371" s="162" t="s">
        <v>2219</v>
      </c>
      <c r="N1371" s="39">
        <v>44672</v>
      </c>
      <c r="O1371" s="38">
        <v>4140</v>
      </c>
      <c r="P1371" s="46">
        <f t="shared" si="65"/>
        <v>4.6999999999999993</v>
      </c>
      <c r="Q1371" s="483">
        <v>4.7</v>
      </c>
      <c r="R1371" s="704">
        <f t="shared" si="66"/>
        <v>220.9</v>
      </c>
      <c r="S1371" s="532">
        <v>360</v>
      </c>
      <c r="T1371" s="567">
        <f t="shared" si="67"/>
        <v>16920</v>
      </c>
      <c r="U1371" s="501"/>
      <c r="V1371" s="494">
        <v>90</v>
      </c>
    </row>
    <row r="1372" spans="1:22" ht="15.75">
      <c r="C1372" s="6" t="s">
        <v>2625</v>
      </c>
      <c r="D1372" s="15" t="s">
        <v>169</v>
      </c>
      <c r="E1372" s="24"/>
      <c r="F1372" s="160"/>
      <c r="G1372" s="228" t="s">
        <v>481</v>
      </c>
      <c r="H1372" s="214"/>
      <c r="I1372" s="215"/>
      <c r="J1372" s="43">
        <v>1</v>
      </c>
      <c r="K1372" s="229">
        <v>20</v>
      </c>
      <c r="L1372" s="417" t="s">
        <v>1676</v>
      </c>
      <c r="M1372" s="162" t="s">
        <v>2219</v>
      </c>
      <c r="N1372" s="39">
        <v>44672</v>
      </c>
      <c r="O1372" s="38">
        <v>4140</v>
      </c>
      <c r="P1372" s="216"/>
      <c r="Q1372" s="525">
        <v>0</v>
      </c>
      <c r="R1372" s="704">
        <f t="shared" si="66"/>
        <v>0</v>
      </c>
      <c r="S1372" s="532">
        <v>1800</v>
      </c>
      <c r="T1372" s="567">
        <f t="shared" si="67"/>
        <v>1800</v>
      </c>
      <c r="V1372" s="494">
        <v>90</v>
      </c>
    </row>
    <row r="1373" spans="1:22" s="7" customFormat="1" ht="15.75">
      <c r="A1373" s="1"/>
      <c r="B1373" s="12" t="s">
        <v>1858</v>
      </c>
      <c r="C1373" s="6" t="s">
        <v>2625</v>
      </c>
      <c r="D1373" s="15" t="s">
        <v>169</v>
      </c>
      <c r="E1373" s="24" t="s">
        <v>536</v>
      </c>
      <c r="F1373" s="150">
        <v>160</v>
      </c>
      <c r="G1373" s="873" t="s">
        <v>2629</v>
      </c>
      <c r="H1373" s="67">
        <v>45</v>
      </c>
      <c r="I1373" s="68">
        <v>1</v>
      </c>
      <c r="J1373" s="8">
        <f t="shared" ref="J1373:J1378" si="68">H1373*I1373</f>
        <v>45</v>
      </c>
      <c r="K1373" s="25">
        <v>5</v>
      </c>
      <c r="L1373" s="46">
        <f t="shared" ref="L1373:L1378" si="69">K1373*J1373</f>
        <v>225</v>
      </c>
      <c r="M1373" s="162" t="s">
        <v>2219</v>
      </c>
      <c r="N1373" s="39">
        <v>44715</v>
      </c>
      <c r="O1373" s="38">
        <v>4251</v>
      </c>
      <c r="P1373" s="46">
        <f t="shared" ref="P1373:P1378" si="70">K1373*(VLOOKUP(B1373,$C$2:$F$6,3,FALSE))</f>
        <v>4.6999999999999993</v>
      </c>
      <c r="Q1373" s="483">
        <v>4.7</v>
      </c>
      <c r="R1373" s="704">
        <f t="shared" si="66"/>
        <v>211.5</v>
      </c>
      <c r="S1373" s="532">
        <v>360</v>
      </c>
      <c r="T1373" s="567">
        <f t="shared" si="67"/>
        <v>16200</v>
      </c>
      <c r="U1373" s="501"/>
      <c r="V1373" s="494">
        <v>90</v>
      </c>
    </row>
    <row r="1374" spans="1:22" s="7" customFormat="1" ht="15.75">
      <c r="A1374" s="1"/>
      <c r="B1374" s="12" t="s">
        <v>1858</v>
      </c>
      <c r="C1374" s="6" t="s">
        <v>2625</v>
      </c>
      <c r="D1374" s="15" t="s">
        <v>169</v>
      </c>
      <c r="E1374" s="24" t="s">
        <v>536</v>
      </c>
      <c r="F1374" s="150">
        <v>160</v>
      </c>
      <c r="G1374" s="873" t="s">
        <v>2629</v>
      </c>
      <c r="H1374" s="67">
        <v>47</v>
      </c>
      <c r="I1374" s="68">
        <v>1</v>
      </c>
      <c r="J1374" s="8">
        <f t="shared" si="68"/>
        <v>47</v>
      </c>
      <c r="K1374" s="25">
        <v>5</v>
      </c>
      <c r="L1374" s="46">
        <f t="shared" si="69"/>
        <v>235</v>
      </c>
      <c r="M1374" s="162" t="s">
        <v>2219</v>
      </c>
      <c r="N1374" s="39">
        <v>44715</v>
      </c>
      <c r="O1374" s="38">
        <v>4251</v>
      </c>
      <c r="P1374" s="46">
        <f t="shared" si="70"/>
        <v>4.6999999999999993</v>
      </c>
      <c r="Q1374" s="483">
        <v>4.7</v>
      </c>
      <c r="R1374" s="704">
        <f t="shared" si="66"/>
        <v>220.9</v>
      </c>
      <c r="S1374" s="532">
        <v>360</v>
      </c>
      <c r="T1374" s="567">
        <f t="shared" si="67"/>
        <v>16920</v>
      </c>
      <c r="U1374" s="501"/>
      <c r="V1374" s="494">
        <v>90</v>
      </c>
    </row>
    <row r="1375" spans="1:22" s="7" customFormat="1" ht="15.75">
      <c r="A1375" s="1"/>
      <c r="B1375" s="12" t="s">
        <v>1858</v>
      </c>
      <c r="C1375" s="6" t="s">
        <v>2625</v>
      </c>
      <c r="D1375" s="15" t="s">
        <v>169</v>
      </c>
      <c r="E1375" s="24" t="s">
        <v>536</v>
      </c>
      <c r="F1375" s="150">
        <v>160</v>
      </c>
      <c r="G1375" s="873" t="s">
        <v>2629</v>
      </c>
      <c r="H1375" s="67">
        <v>48</v>
      </c>
      <c r="I1375" s="68">
        <v>3</v>
      </c>
      <c r="J1375" s="8">
        <f t="shared" si="68"/>
        <v>144</v>
      </c>
      <c r="K1375" s="25">
        <v>5</v>
      </c>
      <c r="L1375" s="46">
        <f t="shared" si="69"/>
        <v>720</v>
      </c>
      <c r="M1375" s="162" t="s">
        <v>2219</v>
      </c>
      <c r="N1375" s="39">
        <v>44715</v>
      </c>
      <c r="O1375" s="38">
        <v>4251</v>
      </c>
      <c r="P1375" s="46">
        <f t="shared" si="70"/>
        <v>4.6999999999999993</v>
      </c>
      <c r="Q1375" s="483">
        <v>4.7</v>
      </c>
      <c r="R1375" s="704">
        <f t="shared" si="66"/>
        <v>676.80000000000007</v>
      </c>
      <c r="S1375" s="532">
        <v>360</v>
      </c>
      <c r="T1375" s="567">
        <f t="shared" si="67"/>
        <v>51840</v>
      </c>
      <c r="U1375" s="501"/>
      <c r="V1375" s="494">
        <v>90</v>
      </c>
    </row>
    <row r="1376" spans="1:22" s="7" customFormat="1" ht="15.75">
      <c r="A1376" s="1"/>
      <c r="B1376" s="12" t="s">
        <v>1858</v>
      </c>
      <c r="C1376" s="6" t="s">
        <v>2625</v>
      </c>
      <c r="D1376" s="15" t="s">
        <v>169</v>
      </c>
      <c r="E1376" s="24" t="s">
        <v>536</v>
      </c>
      <c r="F1376" s="150">
        <v>160</v>
      </c>
      <c r="G1376" s="873" t="s">
        <v>2629</v>
      </c>
      <c r="H1376" s="67">
        <v>49</v>
      </c>
      <c r="I1376" s="68">
        <v>5</v>
      </c>
      <c r="J1376" s="8">
        <f t="shared" si="68"/>
        <v>245</v>
      </c>
      <c r="K1376" s="25">
        <v>5</v>
      </c>
      <c r="L1376" s="46">
        <f t="shared" si="69"/>
        <v>1225</v>
      </c>
      <c r="M1376" s="162" t="s">
        <v>2219</v>
      </c>
      <c r="N1376" s="39">
        <v>44715</v>
      </c>
      <c r="O1376" s="38">
        <v>4251</v>
      </c>
      <c r="P1376" s="46">
        <f t="shared" si="70"/>
        <v>4.6999999999999993</v>
      </c>
      <c r="Q1376" s="483">
        <v>4.7</v>
      </c>
      <c r="R1376" s="704">
        <f t="shared" si="66"/>
        <v>1151.5</v>
      </c>
      <c r="S1376" s="532">
        <v>360</v>
      </c>
      <c r="T1376" s="567">
        <f t="shared" si="67"/>
        <v>88200</v>
      </c>
      <c r="U1376" s="501"/>
      <c r="V1376" s="494">
        <v>90</v>
      </c>
    </row>
    <row r="1377" spans="1:22" s="7" customFormat="1" ht="15.75">
      <c r="A1377" s="1"/>
      <c r="B1377" s="12" t="s">
        <v>1858</v>
      </c>
      <c r="C1377" s="6" t="s">
        <v>2625</v>
      </c>
      <c r="D1377" s="15" t="s">
        <v>169</v>
      </c>
      <c r="E1377" s="24" t="s">
        <v>536</v>
      </c>
      <c r="F1377" s="150">
        <v>160</v>
      </c>
      <c r="G1377" s="873" t="s">
        <v>2629</v>
      </c>
      <c r="H1377" s="67">
        <v>50</v>
      </c>
      <c r="I1377" s="68">
        <v>1</v>
      </c>
      <c r="J1377" s="8">
        <f t="shared" si="68"/>
        <v>50</v>
      </c>
      <c r="K1377" s="25">
        <v>5</v>
      </c>
      <c r="L1377" s="46">
        <f t="shared" si="69"/>
        <v>250</v>
      </c>
      <c r="M1377" s="162" t="s">
        <v>2219</v>
      </c>
      <c r="N1377" s="39">
        <v>44715</v>
      </c>
      <c r="O1377" s="38">
        <v>4251</v>
      </c>
      <c r="P1377" s="46">
        <f t="shared" si="70"/>
        <v>4.6999999999999993</v>
      </c>
      <c r="Q1377" s="483">
        <v>4.7</v>
      </c>
      <c r="R1377" s="704">
        <f t="shared" si="66"/>
        <v>235</v>
      </c>
      <c r="S1377" s="532">
        <v>360</v>
      </c>
      <c r="T1377" s="567">
        <f t="shared" si="67"/>
        <v>18000</v>
      </c>
      <c r="U1377" s="501"/>
      <c r="V1377" s="494">
        <v>90</v>
      </c>
    </row>
    <row r="1378" spans="1:22" s="7" customFormat="1" ht="15.75">
      <c r="A1378" s="1"/>
      <c r="B1378" s="12" t="s">
        <v>1858</v>
      </c>
      <c r="C1378" s="6" t="s">
        <v>2625</v>
      </c>
      <c r="D1378" s="15" t="s">
        <v>169</v>
      </c>
      <c r="E1378" s="24" t="s">
        <v>536</v>
      </c>
      <c r="F1378" s="150">
        <v>160</v>
      </c>
      <c r="G1378" s="873" t="s">
        <v>2629</v>
      </c>
      <c r="H1378" s="67">
        <v>48</v>
      </c>
      <c r="I1378" s="68">
        <v>1</v>
      </c>
      <c r="J1378" s="8">
        <f t="shared" si="68"/>
        <v>48</v>
      </c>
      <c r="K1378" s="25">
        <v>5</v>
      </c>
      <c r="L1378" s="46">
        <f t="shared" si="69"/>
        <v>240</v>
      </c>
      <c r="M1378" s="162" t="s">
        <v>2219</v>
      </c>
      <c r="N1378" s="39">
        <v>44715</v>
      </c>
      <c r="O1378" s="38">
        <v>4251</v>
      </c>
      <c r="P1378" s="46">
        <f t="shared" si="70"/>
        <v>4.6999999999999993</v>
      </c>
      <c r="Q1378" s="483">
        <v>4.7</v>
      </c>
      <c r="R1378" s="704">
        <f t="shared" si="66"/>
        <v>225.60000000000002</v>
      </c>
      <c r="S1378" s="532">
        <v>360</v>
      </c>
      <c r="T1378" s="567">
        <f t="shared" si="67"/>
        <v>17280</v>
      </c>
      <c r="U1378" s="501"/>
      <c r="V1378" s="494">
        <v>90</v>
      </c>
    </row>
    <row r="1379" spans="1:22" ht="15">
      <c r="C1379" s="6" t="s">
        <v>2625</v>
      </c>
      <c r="D1379" s="15" t="s">
        <v>169</v>
      </c>
      <c r="E1379" s="24"/>
      <c r="F1379" s="160"/>
      <c r="G1379" s="228" t="s">
        <v>481</v>
      </c>
      <c r="H1379" s="214"/>
      <c r="I1379" s="215"/>
      <c r="J1379" s="43">
        <v>1</v>
      </c>
      <c r="K1379" s="229">
        <v>20</v>
      </c>
      <c r="L1379" s="417" t="s">
        <v>1676</v>
      </c>
      <c r="M1379" s="417"/>
      <c r="N1379" s="39">
        <v>44715</v>
      </c>
      <c r="O1379" s="38">
        <v>4251</v>
      </c>
      <c r="P1379" s="216"/>
      <c r="Q1379" s="525">
        <v>0</v>
      </c>
      <c r="R1379" s="704">
        <f t="shared" si="66"/>
        <v>0</v>
      </c>
      <c r="S1379" s="532">
        <v>0</v>
      </c>
      <c r="T1379" s="567">
        <f t="shared" si="67"/>
        <v>0</v>
      </c>
      <c r="V1379" s="494">
        <v>90</v>
      </c>
    </row>
    <row r="1380" spans="1:22" s="314" customFormat="1" ht="15">
      <c r="A1380" s="1"/>
      <c r="B1380" s="313"/>
      <c r="C1380" s="302" t="s">
        <v>2625</v>
      </c>
      <c r="D1380" s="303" t="s">
        <v>169</v>
      </c>
      <c r="E1380" s="304"/>
      <c r="F1380" s="305"/>
      <c r="G1380" s="305" t="s">
        <v>1227</v>
      </c>
      <c r="H1380" s="307" t="s">
        <v>1228</v>
      </c>
      <c r="I1380" s="308"/>
      <c r="J1380" s="306"/>
      <c r="K1380" s="315">
        <v>0</v>
      </c>
      <c r="L1380" s="310"/>
      <c r="M1380" s="310"/>
      <c r="N1380" s="310">
        <v>44715</v>
      </c>
      <c r="O1380" s="309">
        <v>4251</v>
      </c>
      <c r="P1380" s="302"/>
      <c r="Q1380" s="485">
        <v>0</v>
      </c>
      <c r="S1380" s="535">
        <v>0</v>
      </c>
      <c r="T1380" s="322">
        <v>0</v>
      </c>
      <c r="U1380" s="515"/>
      <c r="V1380" s="494">
        <v>90</v>
      </c>
    </row>
    <row r="1381" spans="1:22" s="7" customFormat="1" ht="15">
      <c r="A1381" s="1"/>
      <c r="B1381" s="12"/>
      <c r="C1381" s="6" t="s">
        <v>2686</v>
      </c>
      <c r="D1381" s="15" t="s">
        <v>1214</v>
      </c>
      <c r="E1381" s="20" t="s">
        <v>177</v>
      </c>
      <c r="F1381" s="26"/>
      <c r="G1381" s="24"/>
      <c r="H1381" s="67"/>
      <c r="I1381" s="68"/>
      <c r="J1381" s="67"/>
      <c r="K1381" s="10" t="s">
        <v>10</v>
      </c>
      <c r="L1381" s="39"/>
      <c r="M1381" s="39"/>
      <c r="N1381" s="39">
        <v>44676</v>
      </c>
      <c r="O1381" s="38">
        <v>4113</v>
      </c>
      <c r="P1381" s="6" t="s">
        <v>3</v>
      </c>
      <c r="Q1381" s="481"/>
      <c r="S1381" s="489"/>
      <c r="T1381" s="113"/>
      <c r="U1381" s="500"/>
      <c r="V1381" s="494">
        <v>90</v>
      </c>
    </row>
    <row r="1382" spans="1:22" s="7" customFormat="1" ht="15" customHeight="1">
      <c r="A1382" s="1"/>
      <c r="B1382" s="12" t="s">
        <v>1856</v>
      </c>
      <c r="C1382" s="6" t="s">
        <v>2686</v>
      </c>
      <c r="D1382" s="15" t="s">
        <v>1214</v>
      </c>
      <c r="E1382" s="24">
        <v>12701</v>
      </c>
      <c r="F1382" s="26">
        <v>9</v>
      </c>
      <c r="G1382" s="24" t="s">
        <v>294</v>
      </c>
      <c r="H1382" s="67">
        <v>10</v>
      </c>
      <c r="I1382" s="68">
        <v>400</v>
      </c>
      <c r="J1382" s="8">
        <f>H1382*I1382</f>
        <v>4000</v>
      </c>
      <c r="K1382" s="25">
        <v>0.79</v>
      </c>
      <c r="L1382" s="46">
        <f>K1382*J1382</f>
        <v>3160</v>
      </c>
      <c r="M1382" s="162" t="s">
        <v>2219</v>
      </c>
      <c r="N1382" s="39">
        <v>44676</v>
      </c>
      <c r="O1382" s="38">
        <v>4113</v>
      </c>
      <c r="P1382" s="46">
        <f>K1382*(VLOOKUP(B1382,$C$2:$F$6,3,FALSE))</f>
        <v>0.69520000000000004</v>
      </c>
      <c r="Q1382" s="482">
        <v>0.7</v>
      </c>
      <c r="R1382" s="704">
        <f>Q1382*J1382</f>
        <v>2800</v>
      </c>
      <c r="S1382" s="489">
        <v>37.799999999999997</v>
      </c>
      <c r="T1382" s="113">
        <f>S1382*J1382</f>
        <v>151200</v>
      </c>
      <c r="U1382" s="1597" t="s">
        <v>2687</v>
      </c>
      <c r="V1382" s="494">
        <v>90</v>
      </c>
    </row>
    <row r="1383" spans="1:22" s="7" customFormat="1" ht="15" customHeight="1">
      <c r="A1383" s="1"/>
      <c r="B1383" s="12" t="s">
        <v>1856</v>
      </c>
      <c r="C1383" s="6" t="s">
        <v>2686</v>
      </c>
      <c r="D1383" s="15" t="s">
        <v>1214</v>
      </c>
      <c r="E1383" s="24">
        <v>12701</v>
      </c>
      <c r="F1383" s="26">
        <v>9</v>
      </c>
      <c r="G1383" s="24" t="s">
        <v>2688</v>
      </c>
      <c r="H1383" s="67">
        <v>10</v>
      </c>
      <c r="I1383" s="68">
        <v>8</v>
      </c>
      <c r="J1383" s="8">
        <f>H1383*I1383</f>
        <v>80</v>
      </c>
      <c r="K1383" s="25">
        <v>0.79</v>
      </c>
      <c r="L1383" s="46">
        <f>K1383*J1383</f>
        <v>63.2</v>
      </c>
      <c r="M1383" s="162" t="s">
        <v>2219</v>
      </c>
      <c r="N1383" s="39">
        <v>44676</v>
      </c>
      <c r="O1383" s="38">
        <v>4113</v>
      </c>
      <c r="P1383" s="46">
        <f>K1383*(VLOOKUP(B1383,$C$2:$F$6,3,FALSE))</f>
        <v>0.69520000000000004</v>
      </c>
      <c r="Q1383" s="482">
        <v>0.7</v>
      </c>
      <c r="R1383" s="704">
        <f>Q1383*J1383</f>
        <v>56</v>
      </c>
      <c r="S1383" s="489">
        <v>37.799999999999997</v>
      </c>
      <c r="T1383" s="113">
        <f>S1383*J1383</f>
        <v>3024</v>
      </c>
      <c r="U1383" s="1597" t="s">
        <v>2687</v>
      </c>
      <c r="V1383" s="494">
        <v>90</v>
      </c>
    </row>
    <row r="1384" spans="1:22" s="7" customFormat="1" ht="15" customHeight="1">
      <c r="A1384" s="1"/>
      <c r="B1384" s="12" t="s">
        <v>1856</v>
      </c>
      <c r="C1384" s="6" t="s">
        <v>2686</v>
      </c>
      <c r="D1384" s="15" t="s">
        <v>1214</v>
      </c>
      <c r="E1384" s="24">
        <v>12701</v>
      </c>
      <c r="F1384" s="26">
        <v>4</v>
      </c>
      <c r="G1384" s="24" t="s">
        <v>294</v>
      </c>
      <c r="H1384" s="67">
        <v>40</v>
      </c>
      <c r="I1384" s="68">
        <v>1</v>
      </c>
      <c r="J1384" s="8">
        <f>H1384*I1384</f>
        <v>40</v>
      </c>
      <c r="K1384" s="25">
        <v>0.68</v>
      </c>
      <c r="L1384" s="46">
        <f>K1384*J1384</f>
        <v>27.200000000000003</v>
      </c>
      <c r="M1384" s="162" t="s">
        <v>2219</v>
      </c>
      <c r="N1384" s="39">
        <v>44676</v>
      </c>
      <c r="O1384" s="38">
        <v>4113</v>
      </c>
      <c r="P1384" s="46">
        <f>K1384*(VLOOKUP(B1384,$C$2:$F$6,3,FALSE))</f>
        <v>0.59840000000000004</v>
      </c>
      <c r="Q1384" s="482">
        <v>0.6</v>
      </c>
      <c r="R1384" s="704">
        <f>Q1384*J1384</f>
        <v>24</v>
      </c>
      <c r="S1384" s="489">
        <v>32.700000000000003</v>
      </c>
      <c r="T1384" s="113">
        <f>S1384*J1384</f>
        <v>1308</v>
      </c>
      <c r="U1384" s="1597" t="s">
        <v>2023</v>
      </c>
      <c r="V1384" s="494">
        <v>90</v>
      </c>
    </row>
    <row r="1385" spans="1:22" s="7" customFormat="1" ht="15" customHeight="1">
      <c r="A1385" s="1"/>
      <c r="B1385" s="12" t="s">
        <v>1856</v>
      </c>
      <c r="C1385" s="6" t="s">
        <v>2686</v>
      </c>
      <c r="D1385" s="15" t="s">
        <v>1214</v>
      </c>
      <c r="E1385" s="24">
        <v>12701</v>
      </c>
      <c r="F1385" s="26">
        <v>6</v>
      </c>
      <c r="G1385" s="24" t="s">
        <v>294</v>
      </c>
      <c r="H1385" s="67">
        <v>10</v>
      </c>
      <c r="I1385" s="68">
        <v>3</v>
      </c>
      <c r="J1385" s="8">
        <f>H1385*I1385</f>
        <v>30</v>
      </c>
      <c r="K1385" s="25">
        <v>0.7</v>
      </c>
      <c r="L1385" s="46">
        <f>K1385*J1385</f>
        <v>21</v>
      </c>
      <c r="M1385" s="162" t="s">
        <v>2219</v>
      </c>
      <c r="N1385" s="39">
        <v>44676</v>
      </c>
      <c r="O1385" s="38">
        <v>4113</v>
      </c>
      <c r="P1385" s="46">
        <f>K1385*(VLOOKUP(B1385,$C$2:$F$6,3,FALSE))</f>
        <v>0.61599999999999999</v>
      </c>
      <c r="Q1385" s="482">
        <v>0.62</v>
      </c>
      <c r="R1385" s="704">
        <f>Q1385*J1385</f>
        <v>18.600000000000001</v>
      </c>
      <c r="S1385" s="489">
        <v>33.700000000000003</v>
      </c>
      <c r="T1385" s="113">
        <f>S1385*J1385</f>
        <v>1011.0000000000001</v>
      </c>
      <c r="U1385" s="1597" t="s">
        <v>2024</v>
      </c>
      <c r="V1385" s="494">
        <v>90</v>
      </c>
    </row>
    <row r="1386" spans="1:22" s="7" customFormat="1" ht="15">
      <c r="A1386" s="1"/>
      <c r="B1386" s="12"/>
      <c r="C1386" s="6" t="s">
        <v>2686</v>
      </c>
      <c r="D1386" s="15" t="s">
        <v>1214</v>
      </c>
      <c r="E1386" s="20" t="s">
        <v>2689</v>
      </c>
      <c r="F1386" s="26"/>
      <c r="G1386" s="24"/>
      <c r="H1386" s="67"/>
      <c r="I1386" s="68"/>
      <c r="J1386" s="67"/>
      <c r="K1386" s="10" t="s">
        <v>10</v>
      </c>
      <c r="L1386" s="39"/>
      <c r="M1386" s="39"/>
      <c r="N1386" s="39">
        <v>44676</v>
      </c>
      <c r="O1386" s="38">
        <v>4113</v>
      </c>
      <c r="P1386" s="6" t="s">
        <v>3</v>
      </c>
      <c r="Q1386" s="481"/>
      <c r="S1386" s="489"/>
      <c r="T1386" s="113"/>
      <c r="U1386" s="500"/>
      <c r="V1386" s="494">
        <v>90</v>
      </c>
    </row>
    <row r="1387" spans="1:22" s="7" customFormat="1" ht="15" customHeight="1">
      <c r="A1387" s="1"/>
      <c r="B1387" s="12" t="s">
        <v>1856</v>
      </c>
      <c r="C1387" s="6" t="s">
        <v>2686</v>
      </c>
      <c r="D1387" s="15" t="s">
        <v>1214</v>
      </c>
      <c r="E1387" s="24">
        <v>11700</v>
      </c>
      <c r="F1387" s="26">
        <v>6</v>
      </c>
      <c r="G1387" s="24" t="s">
        <v>185</v>
      </c>
      <c r="H1387" s="67">
        <v>10</v>
      </c>
      <c r="I1387" s="68">
        <v>30</v>
      </c>
      <c r="J1387" s="8">
        <f>H1387*I1387</f>
        <v>300</v>
      </c>
      <c r="K1387" s="25">
        <v>1.23</v>
      </c>
      <c r="L1387" s="46">
        <f>K1387*J1387</f>
        <v>369</v>
      </c>
      <c r="M1387" s="162" t="s">
        <v>2219</v>
      </c>
      <c r="N1387" s="39">
        <v>44676</v>
      </c>
      <c r="O1387" s="38">
        <v>4113</v>
      </c>
      <c r="P1387" s="46">
        <f>K1387*(VLOOKUP(B1387,$C$2:$F$6,3,FALSE))</f>
        <v>1.0824</v>
      </c>
      <c r="Q1387" s="482">
        <v>1.08</v>
      </c>
      <c r="R1387" s="704">
        <f>Q1387*J1387</f>
        <v>324</v>
      </c>
      <c r="S1387" s="489">
        <v>66</v>
      </c>
      <c r="T1387" s="113">
        <f>S1387*J1387</f>
        <v>19800</v>
      </c>
      <c r="U1387" s="1597"/>
      <c r="V1387" s="494">
        <v>90</v>
      </c>
    </row>
    <row r="1388" spans="1:22" s="7" customFormat="1" ht="18" customHeight="1">
      <c r="A1388" s="1"/>
      <c r="B1388" s="12"/>
      <c r="C1388" s="6" t="s">
        <v>2686</v>
      </c>
      <c r="D1388" s="15" t="s">
        <v>1214</v>
      </c>
      <c r="E1388" s="18" t="s">
        <v>344</v>
      </c>
      <c r="F1388" s="700"/>
      <c r="G1388" s="640"/>
      <c r="H1388" s="641" t="s">
        <v>2690</v>
      </c>
      <c r="I1388" s="701"/>
      <c r="J1388" s="702"/>
      <c r="K1388" s="153" t="s">
        <v>134</v>
      </c>
      <c r="L1388" s="213"/>
      <c r="M1388" s="39"/>
      <c r="N1388" s="39">
        <v>44676</v>
      </c>
      <c r="O1388" s="38">
        <v>4113</v>
      </c>
      <c r="P1388" s="6"/>
      <c r="Q1388" s="703"/>
      <c r="U1388" s="46"/>
      <c r="V1388" s="494">
        <v>90</v>
      </c>
    </row>
    <row r="1389" spans="1:22" s="7" customFormat="1" ht="18" customHeight="1">
      <c r="A1389" s="1"/>
      <c r="B1389" s="12" t="s">
        <v>1856</v>
      </c>
      <c r="C1389" s="6" t="s">
        <v>2686</v>
      </c>
      <c r="D1389" s="15" t="s">
        <v>1214</v>
      </c>
      <c r="E1389" s="24">
        <v>14552</v>
      </c>
      <c r="F1389" s="26">
        <v>38</v>
      </c>
      <c r="G1389" s="24" t="s">
        <v>431</v>
      </c>
      <c r="H1389" s="151">
        <v>30</v>
      </c>
      <c r="I1389" s="152">
        <v>35</v>
      </c>
      <c r="J1389" s="8">
        <f>H1389*I1389</f>
        <v>1050</v>
      </c>
      <c r="K1389" s="46">
        <v>1.78</v>
      </c>
      <c r="L1389" s="46">
        <f>K1389*J1389</f>
        <v>1869</v>
      </c>
      <c r="M1389" s="162" t="s">
        <v>2607</v>
      </c>
      <c r="N1389" s="39">
        <v>44676</v>
      </c>
      <c r="O1389" s="38">
        <v>4113</v>
      </c>
      <c r="P1389" s="46">
        <f>K1389*(VLOOKUP(B1389,$C$2:$F$6,3,FALSE))</f>
        <v>1.5664</v>
      </c>
      <c r="Q1389" s="910">
        <v>1.57</v>
      </c>
      <c r="R1389" s="703">
        <f>Q1389*J1389</f>
        <v>1648.5</v>
      </c>
      <c r="S1389" s="7">
        <v>96</v>
      </c>
      <c r="T1389" s="7">
        <f>S1389*J1389</f>
        <v>100800</v>
      </c>
      <c r="U1389" s="503"/>
      <c r="V1389" s="494">
        <v>90</v>
      </c>
    </row>
    <row r="1390" spans="1:22" s="7" customFormat="1" ht="18" customHeight="1">
      <c r="A1390" s="1"/>
      <c r="B1390" s="12" t="s">
        <v>1856</v>
      </c>
      <c r="C1390" s="6" t="s">
        <v>2686</v>
      </c>
      <c r="D1390" s="15" t="s">
        <v>1214</v>
      </c>
      <c r="E1390" s="24">
        <v>14552</v>
      </c>
      <c r="F1390" s="26">
        <v>25</v>
      </c>
      <c r="G1390" s="24" t="s">
        <v>431</v>
      </c>
      <c r="H1390" s="151">
        <v>30</v>
      </c>
      <c r="I1390" s="152">
        <v>3</v>
      </c>
      <c r="J1390" s="8">
        <f>H1390*I1390</f>
        <v>90</v>
      </c>
      <c r="K1390" s="46">
        <v>1.21</v>
      </c>
      <c r="L1390" s="46">
        <f>K1390*J1390</f>
        <v>108.89999999999999</v>
      </c>
      <c r="M1390" s="162" t="s">
        <v>2607</v>
      </c>
      <c r="N1390" s="39">
        <v>44676</v>
      </c>
      <c r="O1390" s="38">
        <v>4113</v>
      </c>
      <c r="P1390" s="46">
        <f>K1390*(VLOOKUP(B1390,$C$2:$F$6,3,FALSE))</f>
        <v>1.0648</v>
      </c>
      <c r="Q1390" s="910">
        <v>1.06</v>
      </c>
      <c r="R1390" s="703">
        <f>Q1390*J1390</f>
        <v>95.4</v>
      </c>
      <c r="S1390" s="7">
        <v>65</v>
      </c>
      <c r="T1390" s="7">
        <f>S1390*J1390</f>
        <v>5850</v>
      </c>
      <c r="U1390" s="503"/>
      <c r="V1390" s="494">
        <v>90</v>
      </c>
    </row>
    <row r="1391" spans="1:22" s="314" customFormat="1" ht="15.6" customHeight="1">
      <c r="A1391" s="1"/>
      <c r="B1391" s="313"/>
      <c r="C1391" s="302" t="s">
        <v>2686</v>
      </c>
      <c r="D1391" s="303" t="s">
        <v>1214</v>
      </c>
      <c r="E1391" s="304"/>
      <c r="F1391" s="305"/>
      <c r="G1391" s="305" t="s">
        <v>1227</v>
      </c>
      <c r="H1391" s="307" t="s">
        <v>1228</v>
      </c>
      <c r="I1391" s="308"/>
      <c r="J1391" s="306"/>
      <c r="K1391" s="315">
        <v>0</v>
      </c>
      <c r="L1391" s="310"/>
      <c r="M1391" s="310"/>
      <c r="N1391" s="310">
        <v>44676</v>
      </c>
      <c r="O1391" s="309">
        <v>4113</v>
      </c>
      <c r="P1391" s="302"/>
      <c r="Q1391" s="485">
        <v>0</v>
      </c>
      <c r="S1391" s="535">
        <v>0</v>
      </c>
      <c r="T1391" s="322">
        <v>0</v>
      </c>
      <c r="U1391" s="515"/>
      <c r="V1391" s="494">
        <v>90</v>
      </c>
    </row>
    <row r="1392" spans="1:22" s="7" customFormat="1" ht="15">
      <c r="A1392" s="1"/>
      <c r="B1392" s="12"/>
      <c r="C1392" s="6" t="s">
        <v>2691</v>
      </c>
      <c r="D1392" s="15" t="s">
        <v>1214</v>
      </c>
      <c r="E1392" s="20" t="s">
        <v>2689</v>
      </c>
      <c r="F1392" s="26"/>
      <c r="G1392" s="24"/>
      <c r="H1392" s="67"/>
      <c r="I1392" s="68"/>
      <c r="J1392" s="67"/>
      <c r="K1392" s="10" t="s">
        <v>10</v>
      </c>
      <c r="L1392" s="39"/>
      <c r="M1392" s="39"/>
      <c r="N1392" s="39">
        <v>44666</v>
      </c>
      <c r="O1392" s="38">
        <v>4114</v>
      </c>
      <c r="P1392" s="6" t="s">
        <v>3</v>
      </c>
      <c r="Q1392" s="481"/>
      <c r="S1392" s="489"/>
      <c r="T1392" s="113"/>
      <c r="U1392" s="500"/>
      <c r="V1392" s="494">
        <v>90</v>
      </c>
    </row>
    <row r="1393" spans="1:22" s="7" customFormat="1" ht="15" customHeight="1">
      <c r="A1393" s="1"/>
      <c r="B1393" s="12" t="s">
        <v>1856</v>
      </c>
      <c r="C1393" s="6" t="s">
        <v>2691</v>
      </c>
      <c r="D1393" s="15" t="s">
        <v>1214</v>
      </c>
      <c r="E1393" s="24">
        <v>11700</v>
      </c>
      <c r="F1393" s="26">
        <v>6</v>
      </c>
      <c r="G1393" s="24" t="s">
        <v>185</v>
      </c>
      <c r="H1393" s="67">
        <v>10</v>
      </c>
      <c r="I1393" s="68">
        <v>1</v>
      </c>
      <c r="J1393" s="8">
        <f>H1393*I1393</f>
        <v>10</v>
      </c>
      <c r="K1393" s="25">
        <v>1.23</v>
      </c>
      <c r="L1393" s="46">
        <f>K1393*J1393</f>
        <v>12.3</v>
      </c>
      <c r="M1393" s="162" t="s">
        <v>2219</v>
      </c>
      <c r="N1393" s="39">
        <v>44666</v>
      </c>
      <c r="O1393" s="38">
        <v>4114</v>
      </c>
      <c r="P1393" s="46">
        <f>K1393*(VLOOKUP(B1393,$C$2:$F$6,3,FALSE))</f>
        <v>1.0824</v>
      </c>
      <c r="Q1393" s="482">
        <v>1.08</v>
      </c>
      <c r="R1393" s="704">
        <f>Q1393*J1393</f>
        <v>10.8</v>
      </c>
      <c r="S1393" s="489">
        <v>66</v>
      </c>
      <c r="T1393" s="113">
        <f>S1393*J1393</f>
        <v>660</v>
      </c>
      <c r="U1393" s="1597"/>
      <c r="V1393" s="494">
        <v>90</v>
      </c>
    </row>
    <row r="1394" spans="1:22" s="7" customFormat="1" ht="15" customHeight="1">
      <c r="A1394" s="1"/>
      <c r="B1394" s="12" t="s">
        <v>1856</v>
      </c>
      <c r="C1394" s="6" t="s">
        <v>2691</v>
      </c>
      <c r="D1394" s="15" t="s">
        <v>1214</v>
      </c>
      <c r="E1394" s="24">
        <v>11700</v>
      </c>
      <c r="F1394" s="26">
        <v>3</v>
      </c>
      <c r="G1394" s="24" t="s">
        <v>185</v>
      </c>
      <c r="H1394" s="67">
        <v>40</v>
      </c>
      <c r="I1394" s="68">
        <v>1</v>
      </c>
      <c r="J1394" s="8">
        <f>H1394*I1394</f>
        <v>40</v>
      </c>
      <c r="K1394" s="25">
        <v>1.17</v>
      </c>
      <c r="L1394" s="46">
        <f>K1394*J1394</f>
        <v>46.8</v>
      </c>
      <c r="M1394" s="162" t="s">
        <v>2219</v>
      </c>
      <c r="N1394" s="39">
        <v>44666</v>
      </c>
      <c r="O1394" s="38">
        <v>4114</v>
      </c>
      <c r="P1394" s="46">
        <f>K1394*(VLOOKUP(B1394,$C$2:$F$6,3,FALSE))</f>
        <v>1.0295999999999998</v>
      </c>
      <c r="Q1394" s="482">
        <v>1.03</v>
      </c>
      <c r="R1394" s="704">
        <f>Q1394*J1394</f>
        <v>41.2</v>
      </c>
      <c r="S1394" s="489">
        <v>62.95</v>
      </c>
      <c r="T1394" s="113">
        <f>S1394*J1394</f>
        <v>2518</v>
      </c>
      <c r="U1394" s="1597"/>
      <c r="V1394" s="494">
        <v>90</v>
      </c>
    </row>
    <row r="1395" spans="1:22" s="7" customFormat="1" ht="18" customHeight="1">
      <c r="A1395" s="1"/>
      <c r="B1395" s="12"/>
      <c r="C1395" s="6" t="s">
        <v>2691</v>
      </c>
      <c r="D1395" s="15" t="s">
        <v>1214</v>
      </c>
      <c r="E1395" s="18" t="s">
        <v>344</v>
      </c>
      <c r="F1395" s="700"/>
      <c r="G1395" s="640"/>
      <c r="H1395" s="641" t="s">
        <v>2690</v>
      </c>
      <c r="I1395" s="701"/>
      <c r="J1395" s="702"/>
      <c r="K1395" s="153" t="s">
        <v>134</v>
      </c>
      <c r="L1395" s="213"/>
      <c r="M1395" s="39"/>
      <c r="N1395" s="39">
        <v>44666</v>
      </c>
      <c r="O1395" s="38">
        <v>4114</v>
      </c>
      <c r="P1395" s="6"/>
      <c r="Q1395" s="703"/>
      <c r="U1395" s="46"/>
      <c r="V1395" s="494">
        <v>90</v>
      </c>
    </row>
    <row r="1396" spans="1:22" s="7" customFormat="1" ht="18" customHeight="1">
      <c r="A1396" s="1"/>
      <c r="B1396" s="12" t="s">
        <v>1856</v>
      </c>
      <c r="C1396" s="6" t="s">
        <v>2691</v>
      </c>
      <c r="D1396" s="15" t="s">
        <v>1214</v>
      </c>
      <c r="E1396" s="24">
        <v>14552</v>
      </c>
      <c r="F1396" s="26">
        <v>38</v>
      </c>
      <c r="G1396" s="24" t="s">
        <v>431</v>
      </c>
      <c r="H1396" s="151">
        <v>30</v>
      </c>
      <c r="I1396" s="152">
        <v>1</v>
      </c>
      <c r="J1396" s="8">
        <f>H1396*I1396</f>
        <v>30</v>
      </c>
      <c r="K1396" s="46">
        <v>1.78</v>
      </c>
      <c r="L1396" s="46">
        <f>K1396*J1396</f>
        <v>53.4</v>
      </c>
      <c r="M1396" s="162" t="s">
        <v>2607</v>
      </c>
      <c r="N1396" s="39">
        <v>44666</v>
      </c>
      <c r="O1396" s="38">
        <v>4114</v>
      </c>
      <c r="P1396" s="46">
        <f>K1396*(VLOOKUP(B1396,$C$2:$F$6,3,FALSE))</f>
        <v>1.5664</v>
      </c>
      <c r="Q1396" s="910">
        <v>1.57</v>
      </c>
      <c r="R1396" s="703">
        <f>Q1396*J1396</f>
        <v>47.1</v>
      </c>
      <c r="S1396" s="7">
        <v>96</v>
      </c>
      <c r="T1396" s="7">
        <f>S1396*J1396</f>
        <v>2880</v>
      </c>
      <c r="U1396" s="503"/>
      <c r="V1396" s="494">
        <v>90</v>
      </c>
    </row>
    <row r="1397" spans="1:22" ht="15.95" customHeight="1">
      <c r="B1397" s="12" t="s">
        <v>1862</v>
      </c>
      <c r="C1397" s="6" t="s">
        <v>2691</v>
      </c>
      <c r="D1397" s="15" t="s">
        <v>1214</v>
      </c>
      <c r="E1397" s="24"/>
      <c r="F1397" s="138"/>
      <c r="G1397" s="44" t="s">
        <v>1993</v>
      </c>
      <c r="H1397" s="8"/>
      <c r="I1397" s="41"/>
      <c r="J1397" s="45">
        <v>1</v>
      </c>
      <c r="K1397" s="46">
        <v>12</v>
      </c>
      <c r="L1397" s="46">
        <f>K1397*J1397</f>
        <v>12</v>
      </c>
      <c r="M1397" s="112"/>
      <c r="N1397" s="39">
        <v>44666</v>
      </c>
      <c r="O1397" s="38">
        <v>4114</v>
      </c>
      <c r="P1397" s="46">
        <f>K1397*(VLOOKUP(B1397,$C$2:$F$6,3,FALSE))</f>
        <v>12</v>
      </c>
      <c r="Q1397" s="483">
        <v>12</v>
      </c>
      <c r="R1397" s="704">
        <v>12</v>
      </c>
      <c r="S1397" s="489">
        <v>0</v>
      </c>
      <c r="T1397" s="113">
        <f>S1397*J1397</f>
        <v>0</v>
      </c>
      <c r="U1397" s="511"/>
      <c r="V1397" s="494">
        <v>90</v>
      </c>
    </row>
    <row r="1398" spans="1:22" s="314" customFormat="1" ht="15.6" customHeight="1">
      <c r="A1398" s="1"/>
      <c r="B1398" s="313"/>
      <c r="C1398" s="302" t="s">
        <v>2691</v>
      </c>
      <c r="D1398" s="303" t="s">
        <v>1214</v>
      </c>
      <c r="E1398" s="304"/>
      <c r="F1398" s="305"/>
      <c r="G1398" s="305" t="s">
        <v>1227</v>
      </c>
      <c r="H1398" s="307" t="s">
        <v>1228</v>
      </c>
      <c r="I1398" s="308"/>
      <c r="J1398" s="306"/>
      <c r="K1398" s="315">
        <v>0</v>
      </c>
      <c r="L1398" s="310"/>
      <c r="M1398" s="310"/>
      <c r="N1398" s="310">
        <v>44666</v>
      </c>
      <c r="O1398" s="309">
        <v>4114</v>
      </c>
      <c r="P1398" s="302"/>
      <c r="Q1398" s="485">
        <v>0</v>
      </c>
      <c r="S1398" s="535">
        <v>0</v>
      </c>
      <c r="T1398" s="322">
        <v>0</v>
      </c>
      <c r="U1398" s="515"/>
      <c r="V1398" s="494">
        <v>90</v>
      </c>
    </row>
    <row r="1399" spans="1:22" s="222" customFormat="1" ht="18" customHeight="1">
      <c r="A1399" s="1"/>
      <c r="B1399" s="232"/>
      <c r="C1399" s="220" t="s">
        <v>2692</v>
      </c>
      <c r="D1399" s="224" t="s">
        <v>1260</v>
      </c>
      <c r="E1399" s="991" t="s">
        <v>79</v>
      </c>
      <c r="F1399" s="992"/>
      <c r="H1399" s="223"/>
      <c r="I1399" s="231"/>
      <c r="J1399" s="223"/>
      <c r="K1399" s="1022" t="s">
        <v>10</v>
      </c>
      <c r="L1399" s="994"/>
      <c r="M1399" s="994"/>
      <c r="N1399" s="204"/>
      <c r="O1399" s="203"/>
      <c r="P1399" s="224"/>
      <c r="Q1399" s="1023" t="s">
        <v>194</v>
      </c>
      <c r="S1399" s="493"/>
      <c r="T1399" s="566"/>
      <c r="U1399" s="1024"/>
      <c r="V1399" s="495">
        <v>90</v>
      </c>
    </row>
    <row r="1400" spans="1:22" s="222" customFormat="1" ht="18" customHeight="1">
      <c r="A1400" s="1"/>
      <c r="B1400" s="232" t="s">
        <v>1858</v>
      </c>
      <c r="C1400" s="220" t="s">
        <v>2692</v>
      </c>
      <c r="D1400" s="224" t="s">
        <v>1260</v>
      </c>
      <c r="E1400" s="225" t="s">
        <v>743</v>
      </c>
      <c r="F1400" s="992">
        <v>130</v>
      </c>
      <c r="G1400" s="177" t="s">
        <v>755</v>
      </c>
      <c r="H1400" s="223">
        <v>250</v>
      </c>
      <c r="I1400" s="223">
        <v>250</v>
      </c>
      <c r="J1400" s="223">
        <v>250</v>
      </c>
      <c r="K1400" s="201">
        <v>12.64</v>
      </c>
      <c r="L1400" s="201">
        <f>K1400*J1400</f>
        <v>3160</v>
      </c>
      <c r="M1400" s="1000" t="s">
        <v>2607</v>
      </c>
      <c r="N1400" s="1025" t="s">
        <v>96</v>
      </c>
      <c r="O1400" s="203"/>
      <c r="P1400" s="201">
        <f>K1400*(VLOOKUP(B1400,$C$2:$F$6,3,FALSE))</f>
        <v>11.881600000000001</v>
      </c>
      <c r="Q1400" s="201">
        <v>11.88</v>
      </c>
      <c r="R1400" s="1027">
        <f>Q1400*J1400</f>
        <v>2970</v>
      </c>
      <c r="S1400" s="493">
        <v>980</v>
      </c>
      <c r="T1400" s="566">
        <f>S1400*J1400</f>
        <v>245000</v>
      </c>
      <c r="U1400" s="1026" t="s">
        <v>2693</v>
      </c>
      <c r="V1400" s="495">
        <v>90</v>
      </c>
    </row>
    <row r="1401" spans="1:22" s="1041" customFormat="1" ht="17.45" customHeight="1">
      <c r="A1401" s="1"/>
      <c r="B1401" s="1028"/>
      <c r="C1401" s="220" t="s">
        <v>2692</v>
      </c>
      <c r="D1401" s="1029" t="s">
        <v>1260</v>
      </c>
      <c r="E1401" s="1030"/>
      <c r="F1401" s="1031"/>
      <c r="G1401" s="1031" t="s">
        <v>1993</v>
      </c>
      <c r="H1401" s="1032"/>
      <c r="I1401" s="1033" ph="1"/>
      <c r="J1401" s="1034">
        <v>1</v>
      </c>
      <c r="K1401" s="1035">
        <v>20</v>
      </c>
      <c r="L1401" s="994"/>
      <c r="M1401" s="994"/>
      <c r="N1401" s="204"/>
      <c r="O1401" s="203"/>
      <c r="P1401" s="1036"/>
      <c r="Q1401" s="1037">
        <v>0</v>
      </c>
      <c r="R1401" s="1027">
        <f>Q1401*J1401</f>
        <v>0</v>
      </c>
      <c r="S1401" s="1038">
        <v>1800</v>
      </c>
      <c r="T1401" s="1039">
        <f>S1401*J1401</f>
        <v>1800</v>
      </c>
      <c r="U1401" s="1040"/>
      <c r="V1401" s="495">
        <v>90</v>
      </c>
    </row>
    <row r="1402" spans="1:22" s="1048" customFormat="1" ht="15" customHeight="1">
      <c r="A1402" s="1"/>
      <c r="B1402" s="1042"/>
      <c r="C1402" s="220" t="s">
        <v>2692</v>
      </c>
      <c r="D1402" s="224" t="s">
        <v>1260</v>
      </c>
      <c r="E1402" s="225"/>
      <c r="F1402" s="187"/>
      <c r="G1402" s="187" t="s">
        <v>1227</v>
      </c>
      <c r="H1402" s="1043" t="s">
        <v>855</v>
      </c>
      <c r="I1402" s="231"/>
      <c r="J1402" s="223"/>
      <c r="K1402" s="201"/>
      <c r="L1402" s="994"/>
      <c r="M1402" s="994"/>
      <c r="N1402" s="204"/>
      <c r="O1402" s="203"/>
      <c r="P1402" s="220"/>
      <c r="Q1402" s="1044" t="s">
        <v>1262</v>
      </c>
      <c r="S1402" s="1045">
        <v>0</v>
      </c>
      <c r="T1402" s="1046">
        <v>0</v>
      </c>
      <c r="U1402" s="1047"/>
      <c r="V1402" s="495">
        <v>90</v>
      </c>
    </row>
    <row r="1403" spans="1:22" s="7" customFormat="1" ht="15">
      <c r="A1403" s="1"/>
      <c r="B1403" s="12"/>
      <c r="C1403" s="6" t="s">
        <v>2702</v>
      </c>
      <c r="D1403" s="15" t="s">
        <v>1709</v>
      </c>
      <c r="E1403" s="20" t="s">
        <v>1707</v>
      </c>
      <c r="F1403" s="26"/>
      <c r="G1403" s="24"/>
      <c r="H1403" s="67"/>
      <c r="I1403" s="68"/>
      <c r="J1403" s="67"/>
      <c r="K1403" s="10" t="s">
        <v>10</v>
      </c>
      <c r="L1403" s="39"/>
      <c r="M1403" s="39"/>
      <c r="N1403" s="39">
        <v>44671</v>
      </c>
      <c r="O1403" s="38">
        <v>4124</v>
      </c>
      <c r="P1403" s="6" t="s">
        <v>3</v>
      </c>
      <c r="Q1403" s="481"/>
      <c r="S1403" s="489"/>
      <c r="T1403" s="113"/>
      <c r="U1403" s="500"/>
      <c r="V1403" s="494">
        <v>90</v>
      </c>
    </row>
    <row r="1404" spans="1:22" s="7" customFormat="1" ht="15" customHeight="1">
      <c r="A1404" s="1"/>
      <c r="B1404" s="12" t="s">
        <v>1856</v>
      </c>
      <c r="C1404" s="6" t="s">
        <v>2702</v>
      </c>
      <c r="D1404" s="15" t="s">
        <v>1709</v>
      </c>
      <c r="E1404" s="24" t="s">
        <v>2698</v>
      </c>
      <c r="F1404" s="26">
        <v>10</v>
      </c>
      <c r="G1404" s="24" t="s">
        <v>1661</v>
      </c>
      <c r="H1404" s="67">
        <v>100</v>
      </c>
      <c r="I1404" s="68">
        <v>1</v>
      </c>
      <c r="J1404" s="8">
        <f>H1404*I1404</f>
        <v>100</v>
      </c>
      <c r="K1404" s="25">
        <v>0.55000000000000004</v>
      </c>
      <c r="L1404" s="46">
        <f>K1404*J1404</f>
        <v>55.000000000000007</v>
      </c>
      <c r="M1404" s="162" t="s">
        <v>2219</v>
      </c>
      <c r="N1404" s="39">
        <v>44671</v>
      </c>
      <c r="O1404" s="38">
        <v>4124</v>
      </c>
      <c r="P1404" s="46">
        <f>K1404*(VLOOKUP(B1404,$C$2:$F$6,3,FALSE))</f>
        <v>0.48400000000000004</v>
      </c>
      <c r="Q1404" s="482">
        <v>0.48</v>
      </c>
      <c r="R1404" s="704">
        <f>Q1404*J1404</f>
        <v>48</v>
      </c>
      <c r="S1404" s="489">
        <v>29.5</v>
      </c>
      <c r="T1404" s="113">
        <f>S1404*J1404</f>
        <v>2950</v>
      </c>
      <c r="U1404" s="1597"/>
      <c r="V1404" s="494">
        <v>90</v>
      </c>
    </row>
    <row r="1405" spans="1:22" ht="15.95" customHeight="1">
      <c r="B1405" s="12" t="s">
        <v>1862</v>
      </c>
      <c r="C1405" s="6" t="s">
        <v>2702</v>
      </c>
      <c r="D1405" s="15" t="s">
        <v>1709</v>
      </c>
      <c r="E1405" s="24"/>
      <c r="F1405" s="138"/>
      <c r="G1405" s="44" t="s">
        <v>1993</v>
      </c>
      <c r="H1405" s="8"/>
      <c r="I1405" s="41"/>
      <c r="J1405" s="45">
        <v>1</v>
      </c>
      <c r="K1405" s="46">
        <v>12</v>
      </c>
      <c r="L1405" s="46">
        <f>K1405*J1405</f>
        <v>12</v>
      </c>
      <c r="M1405" s="112"/>
      <c r="N1405" s="39">
        <v>44671</v>
      </c>
      <c r="O1405" s="38">
        <v>4124</v>
      </c>
      <c r="P1405" s="46">
        <f>K1405*(VLOOKUP(B1405,$C$2:$F$6,3,FALSE))</f>
        <v>12</v>
      </c>
      <c r="Q1405" s="483">
        <v>12</v>
      </c>
      <c r="R1405" s="704">
        <v>12</v>
      </c>
      <c r="S1405" s="489">
        <v>1000</v>
      </c>
      <c r="T1405" s="113">
        <f>S1405*J1405</f>
        <v>1000</v>
      </c>
      <c r="U1405" s="511"/>
      <c r="V1405" s="494">
        <v>90</v>
      </c>
    </row>
    <row r="1406" spans="1:22" s="314" customFormat="1" ht="15.6" customHeight="1">
      <c r="A1406" s="1"/>
      <c r="B1406" s="313"/>
      <c r="C1406" s="302" t="s">
        <v>2702</v>
      </c>
      <c r="D1406" s="303" t="s">
        <v>1709</v>
      </c>
      <c r="E1406" s="304"/>
      <c r="F1406" s="305"/>
      <c r="G1406" s="305" t="s">
        <v>1227</v>
      </c>
      <c r="H1406" s="307" t="s">
        <v>1228</v>
      </c>
      <c r="I1406" s="308"/>
      <c r="J1406" s="306"/>
      <c r="K1406" s="315">
        <v>0</v>
      </c>
      <c r="L1406" s="310"/>
      <c r="M1406" s="310"/>
      <c r="N1406" s="310">
        <v>44671</v>
      </c>
      <c r="O1406" s="309">
        <v>4124</v>
      </c>
      <c r="P1406" s="302"/>
      <c r="Q1406" s="485">
        <v>0</v>
      </c>
      <c r="S1406" s="535">
        <v>0</v>
      </c>
      <c r="T1406" s="322">
        <v>0</v>
      </c>
      <c r="U1406" s="515"/>
      <c r="V1406" s="494">
        <v>90</v>
      </c>
    </row>
    <row r="1407" spans="1:22" ht="18" customHeight="1">
      <c r="C1407" s="6" t="s">
        <v>2699</v>
      </c>
      <c r="D1407" s="15" t="s">
        <v>2129</v>
      </c>
      <c r="E1407" s="20" t="s">
        <v>260</v>
      </c>
      <c r="F1407" s="44"/>
      <c r="G1407" s="44"/>
      <c r="H1407" s="151"/>
      <c r="I1407" s="151"/>
      <c r="J1407" s="151"/>
      <c r="K1407" s="34" t="s">
        <v>134</v>
      </c>
      <c r="L1407" s="39"/>
      <c r="M1407" s="39"/>
      <c r="N1407" s="39">
        <v>44672</v>
      </c>
      <c r="O1407" s="38">
        <v>4129</v>
      </c>
      <c r="P1407" s="6"/>
      <c r="Q1407" s="524"/>
      <c r="S1407" s="489"/>
      <c r="T1407" s="113"/>
      <c r="U1407" s="501"/>
      <c r="V1407" s="494">
        <v>90</v>
      </c>
    </row>
    <row r="1408" spans="1:22" ht="18" customHeight="1">
      <c r="B1408" s="28" t="s">
        <v>1856</v>
      </c>
      <c r="C1408" s="6" t="s">
        <v>2699</v>
      </c>
      <c r="D1408" s="15" t="s">
        <v>2129</v>
      </c>
      <c r="E1408" s="24">
        <v>4141</v>
      </c>
      <c r="F1408" s="44">
        <v>9</v>
      </c>
      <c r="G1408" s="24" t="s">
        <v>2700</v>
      </c>
      <c r="H1408" s="67">
        <v>20</v>
      </c>
      <c r="I1408" s="68">
        <v>2</v>
      </c>
      <c r="J1408" s="8">
        <f>H1408*I1408</f>
        <v>40</v>
      </c>
      <c r="K1408" s="46">
        <v>1.63</v>
      </c>
      <c r="L1408" s="46">
        <f>K1408*J1408</f>
        <v>65.199999999999989</v>
      </c>
      <c r="M1408" s="162" t="s">
        <v>2219</v>
      </c>
      <c r="N1408" s="39">
        <v>44672</v>
      </c>
      <c r="O1408" s="38">
        <v>4129</v>
      </c>
      <c r="P1408" s="46">
        <f>K1408*(VLOOKUP(B1408,$C$2:$F$6,3,FALSE))</f>
        <v>1.4343999999999999</v>
      </c>
      <c r="Q1408" s="482">
        <v>1.43</v>
      </c>
      <c r="R1408" s="704">
        <f>Q1408*J1408</f>
        <v>57.199999999999996</v>
      </c>
      <c r="S1408" s="489">
        <v>88</v>
      </c>
      <c r="T1408" s="113">
        <f>S1408*J1408</f>
        <v>3520</v>
      </c>
      <c r="U1408" s="1599"/>
      <c r="V1408" s="494">
        <v>90</v>
      </c>
    </row>
    <row r="1409" spans="1:23" ht="18" customHeight="1">
      <c r="B1409" s="28" t="s">
        <v>1856</v>
      </c>
      <c r="C1409" s="6" t="s">
        <v>2699</v>
      </c>
      <c r="D1409" s="15" t="s">
        <v>2129</v>
      </c>
      <c r="E1409" s="24">
        <v>4141</v>
      </c>
      <c r="F1409" s="44">
        <v>9</v>
      </c>
      <c r="G1409" s="24" t="s">
        <v>2701</v>
      </c>
      <c r="H1409" s="67">
        <v>20</v>
      </c>
      <c r="I1409" s="68">
        <v>2</v>
      </c>
      <c r="J1409" s="8">
        <f>H1409*I1409</f>
        <v>40</v>
      </c>
      <c r="K1409" s="46">
        <v>1.63</v>
      </c>
      <c r="L1409" s="46">
        <f>K1409*J1409</f>
        <v>65.199999999999989</v>
      </c>
      <c r="M1409" s="162" t="s">
        <v>2219</v>
      </c>
      <c r="N1409" s="39">
        <v>44672</v>
      </c>
      <c r="O1409" s="38">
        <v>4129</v>
      </c>
      <c r="P1409" s="46">
        <f>K1409*(VLOOKUP(B1409,$C$2:$F$6,3,FALSE))</f>
        <v>1.4343999999999999</v>
      </c>
      <c r="Q1409" s="482">
        <v>1.43</v>
      </c>
      <c r="R1409" s="704">
        <f>Q1409*J1409</f>
        <v>57.199999999999996</v>
      </c>
      <c r="S1409" s="489">
        <v>88</v>
      </c>
      <c r="T1409" s="113">
        <f>S1409*J1409</f>
        <v>3520</v>
      </c>
      <c r="U1409" s="1599"/>
      <c r="V1409" s="494">
        <v>90</v>
      </c>
    </row>
    <row r="1410" spans="1:23" s="7" customFormat="1" ht="15.95" customHeight="1">
      <c r="A1410" s="1"/>
      <c r="B1410" s="12"/>
      <c r="C1410" s="6" t="s">
        <v>2699</v>
      </c>
      <c r="D1410" s="15" t="s">
        <v>2129</v>
      </c>
      <c r="E1410" s="24"/>
      <c r="F1410" s="138"/>
      <c r="G1410" s="44" t="s">
        <v>1993</v>
      </c>
      <c r="H1410" s="8"/>
      <c r="I1410" s="41"/>
      <c r="J1410" s="45">
        <v>1</v>
      </c>
      <c r="K1410" s="46">
        <v>12</v>
      </c>
      <c r="L1410" s="46">
        <f>K1410*J1410</f>
        <v>12</v>
      </c>
      <c r="M1410" s="39"/>
      <c r="N1410" s="39">
        <v>44672</v>
      </c>
      <c r="O1410" s="38">
        <v>4129</v>
      </c>
      <c r="P1410" s="6"/>
      <c r="Q1410" s="483">
        <v>12</v>
      </c>
      <c r="R1410" s="704">
        <f>Q1410*J1410</f>
        <v>12</v>
      </c>
      <c r="S1410" s="489">
        <v>1000</v>
      </c>
      <c r="T1410" s="113">
        <f>S1410*J1410</f>
        <v>1000</v>
      </c>
      <c r="U1410" s="501"/>
      <c r="V1410" s="494">
        <v>90</v>
      </c>
    </row>
    <row r="1411" spans="1:23" s="314" customFormat="1" ht="15" customHeight="1">
      <c r="A1411" s="1"/>
      <c r="B1411" s="313"/>
      <c r="C1411" s="302" t="s">
        <v>2699</v>
      </c>
      <c r="D1411" s="303" t="s">
        <v>2129</v>
      </c>
      <c r="E1411" s="304"/>
      <c r="F1411" s="305"/>
      <c r="G1411" s="691" t="s">
        <v>2244</v>
      </c>
      <c r="H1411" s="307" t="s">
        <v>1228</v>
      </c>
      <c r="I1411" s="308"/>
      <c r="J1411" s="306"/>
      <c r="K1411" s="315">
        <v>0</v>
      </c>
      <c r="L1411" s="310"/>
      <c r="M1411" s="310"/>
      <c r="N1411" s="310">
        <v>44672</v>
      </c>
      <c r="O1411" s="309">
        <v>4129</v>
      </c>
      <c r="P1411" s="302"/>
      <c r="Q1411" s="485">
        <v>0</v>
      </c>
      <c r="R1411" s="704"/>
      <c r="S1411" s="536">
        <v>0</v>
      </c>
      <c r="T1411" s="322">
        <v>0</v>
      </c>
      <c r="U1411" s="515"/>
      <c r="V1411" s="494">
        <v>90</v>
      </c>
    </row>
    <row r="1412" spans="1:23" s="7" customFormat="1" ht="15">
      <c r="A1412" s="1"/>
      <c r="B1412" s="12"/>
      <c r="C1412" s="6" t="s">
        <v>2704</v>
      </c>
      <c r="D1412" s="15" t="s">
        <v>958</v>
      </c>
      <c r="E1412" s="20" t="s">
        <v>2322</v>
      </c>
      <c r="F1412" s="26"/>
      <c r="G1412" s="24"/>
      <c r="H1412" s="67"/>
      <c r="I1412" s="68"/>
      <c r="J1412" s="67"/>
      <c r="K1412" s="17" t="s">
        <v>134</v>
      </c>
      <c r="L1412" s="39"/>
      <c r="M1412" s="39"/>
      <c r="N1412" s="39">
        <v>44678</v>
      </c>
      <c r="O1412" s="38">
        <v>4105</v>
      </c>
      <c r="P1412" s="6" t="s">
        <v>23</v>
      </c>
      <c r="Q1412" s="481"/>
      <c r="S1412" s="489"/>
      <c r="T1412" s="113"/>
      <c r="U1412" s="500"/>
      <c r="V1412" s="494">
        <v>90</v>
      </c>
    </row>
    <row r="1413" spans="1:23" s="7" customFormat="1" ht="15.75">
      <c r="A1413" s="1"/>
      <c r="B1413" s="12" t="s">
        <v>1856</v>
      </c>
      <c r="C1413" s="6" t="s">
        <v>2704</v>
      </c>
      <c r="D1413" s="15" t="s">
        <v>958</v>
      </c>
      <c r="E1413" s="24" t="s">
        <v>1668</v>
      </c>
      <c r="F1413" s="26">
        <v>35</v>
      </c>
      <c r="G1413" s="24" t="s">
        <v>137</v>
      </c>
      <c r="H1413" s="151">
        <v>30</v>
      </c>
      <c r="I1413" s="152">
        <v>7</v>
      </c>
      <c r="J1413" s="67">
        <f>H1413*I1413</f>
        <v>210</v>
      </c>
      <c r="K1413" s="46">
        <v>4.6100000000000003</v>
      </c>
      <c r="L1413" s="46">
        <f>K1413*J1413</f>
        <v>968.1</v>
      </c>
      <c r="M1413" s="162" t="s">
        <v>2219</v>
      </c>
      <c r="N1413" s="39">
        <v>44678</v>
      </c>
      <c r="O1413" s="38">
        <v>4105</v>
      </c>
      <c r="P1413" s="180">
        <v>3.75</v>
      </c>
      <c r="Q1413" s="482">
        <v>3.75</v>
      </c>
      <c r="R1413" s="704">
        <f>Q1413*J1413</f>
        <v>787.5</v>
      </c>
      <c r="S1413" s="489">
        <v>230</v>
      </c>
      <c r="T1413" s="567">
        <f>S1413*J1413</f>
        <v>48300</v>
      </c>
      <c r="U1413" s="500"/>
      <c r="V1413" s="494">
        <v>90</v>
      </c>
    </row>
    <row r="1414" spans="1:23" s="7" customFormat="1" ht="18" customHeight="1">
      <c r="A1414" s="1"/>
      <c r="B1414" s="12"/>
      <c r="C1414" s="6" t="s">
        <v>2704</v>
      </c>
      <c r="D1414" s="15" t="s">
        <v>958</v>
      </c>
      <c r="E1414" s="7" t="s">
        <v>2705</v>
      </c>
      <c r="F1414" s="700"/>
      <c r="G1414" s="640"/>
      <c r="H1414" s="641"/>
      <c r="I1414" s="701"/>
      <c r="J1414" s="702"/>
      <c r="K1414" s="153" t="s">
        <v>10</v>
      </c>
      <c r="L1414" s="219"/>
      <c r="M1414" s="11"/>
      <c r="N1414" s="39">
        <v>44678</v>
      </c>
      <c r="O1414" s="38">
        <v>4105</v>
      </c>
      <c r="P1414" s="6"/>
      <c r="Q1414" s="703"/>
      <c r="U1414" s="46"/>
      <c r="V1414" s="494">
        <v>90</v>
      </c>
    </row>
    <row r="1415" spans="1:23" ht="18" customHeight="1">
      <c r="B1415" s="28" t="s">
        <v>1856</v>
      </c>
      <c r="C1415" s="6" t="s">
        <v>2704</v>
      </c>
      <c r="D1415" s="15" t="s">
        <v>958</v>
      </c>
      <c r="E1415" s="24" t="s">
        <v>18</v>
      </c>
      <c r="F1415" s="44">
        <v>30</v>
      </c>
      <c r="G1415" s="24" t="s">
        <v>137</v>
      </c>
      <c r="H1415" s="151">
        <v>30</v>
      </c>
      <c r="I1415" s="152">
        <v>7</v>
      </c>
      <c r="J1415" s="67">
        <f>H1415*I1415</f>
        <v>210</v>
      </c>
      <c r="K1415" s="46">
        <v>4.6100000000000003</v>
      </c>
      <c r="L1415" s="46">
        <f>K1415*J1415</f>
        <v>968.1</v>
      </c>
      <c r="M1415" s="162" t="s">
        <v>2219</v>
      </c>
      <c r="N1415" s="39">
        <v>44678</v>
      </c>
      <c r="O1415" s="38">
        <v>4105</v>
      </c>
      <c r="P1415" s="180">
        <v>3.75</v>
      </c>
      <c r="Q1415" s="482">
        <v>3.75</v>
      </c>
      <c r="R1415" s="704">
        <f>Q1415*J1415</f>
        <v>787.5</v>
      </c>
      <c r="S1415" s="489">
        <v>230</v>
      </c>
      <c r="T1415" s="113">
        <f>S1415*J1415</f>
        <v>48300</v>
      </c>
      <c r="U1415" s="507"/>
      <c r="V1415" s="494">
        <v>90</v>
      </c>
    </row>
    <row r="1416" spans="1:23" s="7" customFormat="1" ht="15.95" customHeight="1">
      <c r="A1416" s="1"/>
      <c r="B1416" s="12"/>
      <c r="C1416" s="6" t="s">
        <v>2704</v>
      </c>
      <c r="D1416" s="15" t="s">
        <v>958</v>
      </c>
      <c r="E1416" s="24"/>
      <c r="F1416" s="138"/>
      <c r="G1416" s="44" t="s">
        <v>1993</v>
      </c>
      <c r="H1416" s="8"/>
      <c r="I1416" s="41"/>
      <c r="J1416" s="45">
        <v>1</v>
      </c>
      <c r="K1416" s="46">
        <v>0</v>
      </c>
      <c r="L1416" s="46">
        <f>K1416*J1416</f>
        <v>0</v>
      </c>
      <c r="M1416" s="112"/>
      <c r="N1416" s="39">
        <v>44678</v>
      </c>
      <c r="O1416" s="38">
        <v>4105</v>
      </c>
      <c r="P1416" s="179"/>
      <c r="Q1416" s="830" t="s">
        <v>855</v>
      </c>
      <c r="R1416" s="929">
        <v>0</v>
      </c>
      <c r="S1416" s="928">
        <v>0</v>
      </c>
      <c r="T1416" s="568">
        <v>0</v>
      </c>
      <c r="U1416" s="511"/>
      <c r="V1416" s="494">
        <v>90</v>
      </c>
      <c r="W1416" s="1"/>
    </row>
    <row r="1417" spans="1:23" s="314" customFormat="1" ht="15">
      <c r="A1417" s="1"/>
      <c r="B1417" s="313"/>
      <c r="C1417" s="302" t="s">
        <v>2704</v>
      </c>
      <c r="D1417" s="303" t="s">
        <v>958</v>
      </c>
      <c r="E1417" s="304"/>
      <c r="F1417" s="305"/>
      <c r="G1417" s="305" t="s">
        <v>1227</v>
      </c>
      <c r="H1417" s="307"/>
      <c r="I1417" s="308" t="s">
        <v>2370</v>
      </c>
      <c r="J1417" s="410">
        <v>420</v>
      </c>
      <c r="K1417" s="315">
        <v>0.35</v>
      </c>
      <c r="L1417" s="310"/>
      <c r="M1417" s="310"/>
      <c r="N1417" s="310">
        <v>44678</v>
      </c>
      <c r="O1417" s="309">
        <v>4105</v>
      </c>
      <c r="P1417" s="302"/>
      <c r="Q1417" s="485">
        <v>147</v>
      </c>
      <c r="R1417" s="704">
        <v>147</v>
      </c>
      <c r="S1417" s="536">
        <v>0</v>
      </c>
      <c r="T1417" s="321">
        <v>0</v>
      </c>
      <c r="U1417" s="515"/>
      <c r="V1417" s="494">
        <v>90</v>
      </c>
    </row>
    <row r="1418" spans="1:23" s="7" customFormat="1" ht="18" customHeight="1">
      <c r="A1418" s="1"/>
      <c r="B1418" s="12"/>
      <c r="C1418" s="6" t="s">
        <v>2706</v>
      </c>
      <c r="D1418" s="15" t="s">
        <v>958</v>
      </c>
      <c r="E1418" s="20" t="s">
        <v>2663</v>
      </c>
      <c r="F1418" s="24"/>
      <c r="G1418" s="44"/>
      <c r="H1418" s="151"/>
      <c r="I1418" s="151"/>
      <c r="J1418" s="151"/>
      <c r="K1418" s="153" t="s">
        <v>10</v>
      </c>
      <c r="L1418" s="39"/>
      <c r="M1418" s="39"/>
      <c r="N1418" s="39">
        <v>44678</v>
      </c>
      <c r="O1418" s="38">
        <v>4105</v>
      </c>
      <c r="P1418" s="6"/>
      <c r="Q1418" s="411"/>
      <c r="S1418" s="489"/>
      <c r="T1418" s="113"/>
      <c r="U1418" s="501"/>
      <c r="V1418" s="494">
        <v>90</v>
      </c>
    </row>
    <row r="1419" spans="1:23" s="7" customFormat="1" ht="15.95" customHeight="1">
      <c r="A1419" s="1"/>
      <c r="B1419" s="12" t="s">
        <v>1856</v>
      </c>
      <c r="C1419" s="6" t="s">
        <v>2706</v>
      </c>
      <c r="D1419" s="15" t="s">
        <v>958</v>
      </c>
      <c r="E1419" s="24">
        <v>5659</v>
      </c>
      <c r="F1419" s="44" t="s">
        <v>502</v>
      </c>
      <c r="G1419" s="44" t="s">
        <v>2707</v>
      </c>
      <c r="H1419" s="8">
        <v>50</v>
      </c>
      <c r="I1419" s="41">
        <v>2</v>
      </c>
      <c r="J1419" s="67">
        <f>H1419*I1419</f>
        <v>100</v>
      </c>
      <c r="K1419" s="46">
        <v>0.89</v>
      </c>
      <c r="L1419" s="46">
        <f>K1419*J1419</f>
        <v>89</v>
      </c>
      <c r="M1419" s="162" t="s">
        <v>2219</v>
      </c>
      <c r="N1419" s="39">
        <v>44678</v>
      </c>
      <c r="O1419" s="38">
        <v>4105</v>
      </c>
      <c r="P1419" s="180">
        <v>0.57999999999999996</v>
      </c>
      <c r="Q1419" s="483">
        <v>0.57999999999999996</v>
      </c>
      <c r="R1419" s="704">
        <f>Q1419*J1419</f>
        <v>57.999999999999993</v>
      </c>
      <c r="S1419" s="489">
        <v>35.4</v>
      </c>
      <c r="T1419" s="113">
        <f>S1419*J1419</f>
        <v>3540</v>
      </c>
      <c r="U1419" s="517"/>
      <c r="V1419" s="494">
        <v>90</v>
      </c>
    </row>
    <row r="1420" spans="1:23" ht="15.95" customHeight="1">
      <c r="B1420" s="12" t="s">
        <v>1862</v>
      </c>
      <c r="C1420" s="6" t="s">
        <v>2706</v>
      </c>
      <c r="D1420" s="15" t="s">
        <v>958</v>
      </c>
      <c r="E1420" s="24"/>
      <c r="F1420" s="138"/>
      <c r="G1420" s="44" t="s">
        <v>1993</v>
      </c>
      <c r="H1420" s="8"/>
      <c r="I1420" s="41"/>
      <c r="J1420" s="45">
        <v>1</v>
      </c>
      <c r="K1420" s="46">
        <v>0</v>
      </c>
      <c r="L1420" s="46">
        <f>K1420*J1420</f>
        <v>0</v>
      </c>
      <c r="M1420" s="112"/>
      <c r="N1420" s="39">
        <v>44678</v>
      </c>
      <c r="O1420" s="38">
        <v>4105</v>
      </c>
      <c r="P1420" s="46">
        <f>K1420*(VLOOKUP(B1420,$C$2:$F$6,3,FALSE))</f>
        <v>0</v>
      </c>
      <c r="Q1420" s="483">
        <v>12</v>
      </c>
      <c r="R1420" s="704">
        <v>0</v>
      </c>
      <c r="S1420" s="489">
        <v>1100</v>
      </c>
      <c r="T1420" s="113">
        <f>S1420*J1420</f>
        <v>1100</v>
      </c>
      <c r="U1420" s="511"/>
      <c r="V1420" s="494">
        <v>90</v>
      </c>
    </row>
    <row r="1421" spans="1:23" s="314" customFormat="1" ht="15">
      <c r="A1421" s="1"/>
      <c r="B1421" s="313"/>
      <c r="C1421" s="302" t="s">
        <v>2706</v>
      </c>
      <c r="D1421" s="303" t="s">
        <v>958</v>
      </c>
      <c r="E1421" s="304"/>
      <c r="F1421" s="305"/>
      <c r="G1421" s="305" t="s">
        <v>1227</v>
      </c>
      <c r="H1421" s="307"/>
      <c r="I1421" s="308" t="s">
        <v>2370</v>
      </c>
      <c r="J1421" s="410">
        <v>100</v>
      </c>
      <c r="K1421" s="315">
        <v>0.23</v>
      </c>
      <c r="L1421" s="310"/>
      <c r="M1421" s="310"/>
      <c r="N1421" s="310">
        <v>44678</v>
      </c>
      <c r="O1421" s="309">
        <v>4105</v>
      </c>
      <c r="P1421" s="302"/>
      <c r="Q1421" s="315">
        <v>23</v>
      </c>
      <c r="R1421" s="315">
        <v>23</v>
      </c>
      <c r="S1421" s="536">
        <v>0</v>
      </c>
      <c r="T1421" s="321">
        <v>0</v>
      </c>
      <c r="U1421" s="515"/>
      <c r="V1421" s="494">
        <v>90</v>
      </c>
    </row>
    <row r="1422" spans="1:23" s="7" customFormat="1" ht="15">
      <c r="A1422" s="1"/>
      <c r="B1422" s="12"/>
      <c r="C1422" s="6" t="s">
        <v>2709</v>
      </c>
      <c r="D1422" s="15" t="s">
        <v>1214</v>
      </c>
      <c r="E1422" s="20" t="s">
        <v>2689</v>
      </c>
      <c r="F1422" s="26"/>
      <c r="G1422" s="24"/>
      <c r="H1422" s="67"/>
      <c r="I1422" s="68"/>
      <c r="J1422" s="67"/>
      <c r="K1422" s="10" t="s">
        <v>10</v>
      </c>
      <c r="L1422" s="39"/>
      <c r="M1422" s="39"/>
      <c r="N1422" s="39">
        <v>44678</v>
      </c>
      <c r="O1422" s="38">
        <v>4151</v>
      </c>
      <c r="P1422" s="6" t="s">
        <v>3</v>
      </c>
      <c r="Q1422" s="481"/>
      <c r="S1422" s="489"/>
      <c r="T1422" s="113"/>
      <c r="U1422" s="500"/>
      <c r="V1422" s="494">
        <v>90</v>
      </c>
    </row>
    <row r="1423" spans="1:23" s="7" customFormat="1" ht="15" customHeight="1">
      <c r="A1423" s="1"/>
      <c r="B1423" s="12" t="s">
        <v>1856</v>
      </c>
      <c r="C1423" s="6" t="s">
        <v>2709</v>
      </c>
      <c r="D1423" s="15" t="s">
        <v>1214</v>
      </c>
      <c r="E1423" s="24">
        <v>11700</v>
      </c>
      <c r="F1423" s="26">
        <v>6</v>
      </c>
      <c r="G1423" s="24" t="s">
        <v>185</v>
      </c>
      <c r="H1423" s="67">
        <v>10</v>
      </c>
      <c r="I1423" s="68">
        <v>1</v>
      </c>
      <c r="J1423" s="8">
        <f>H1423*I1423</f>
        <v>10</v>
      </c>
      <c r="K1423" s="25">
        <v>1.23</v>
      </c>
      <c r="L1423" s="46">
        <f>K1423*J1423</f>
        <v>12.3</v>
      </c>
      <c r="M1423" s="162" t="s">
        <v>2219</v>
      </c>
      <c r="N1423" s="39">
        <v>44678</v>
      </c>
      <c r="O1423" s="38">
        <v>4151</v>
      </c>
      <c r="P1423" s="46">
        <f>K1423*(VLOOKUP(B1423,$C$2:$F$6,3,FALSE))</f>
        <v>1.0824</v>
      </c>
      <c r="Q1423" s="482">
        <v>1.08</v>
      </c>
      <c r="R1423" s="704">
        <f>Q1423*J1423</f>
        <v>10.8</v>
      </c>
      <c r="S1423" s="489">
        <v>66</v>
      </c>
      <c r="T1423" s="113">
        <f>S1423*J1423</f>
        <v>660</v>
      </c>
      <c r="U1423" s="1597"/>
      <c r="V1423" s="494">
        <v>90</v>
      </c>
    </row>
    <row r="1424" spans="1:23" ht="15.95" customHeight="1">
      <c r="B1424" s="12" t="s">
        <v>1862</v>
      </c>
      <c r="C1424" s="6" t="s">
        <v>2709</v>
      </c>
      <c r="D1424" s="15" t="s">
        <v>1214</v>
      </c>
      <c r="E1424" s="24"/>
      <c r="F1424" s="138"/>
      <c r="G1424" s="44" t="s">
        <v>1993</v>
      </c>
      <c r="H1424" s="8"/>
      <c r="I1424" s="41"/>
      <c r="J1424" s="45">
        <v>1</v>
      </c>
      <c r="K1424" s="46">
        <v>12</v>
      </c>
      <c r="L1424" s="46">
        <f>K1424*J1424</f>
        <v>12</v>
      </c>
      <c r="M1424" s="112"/>
      <c r="N1424" s="39">
        <v>44678</v>
      </c>
      <c r="O1424" s="38">
        <v>4151</v>
      </c>
      <c r="P1424" s="46">
        <f>K1424*(VLOOKUP(B1424,$C$2:$F$6,3,FALSE))</f>
        <v>12</v>
      </c>
      <c r="Q1424" s="483">
        <v>12</v>
      </c>
      <c r="R1424" s="704">
        <v>12</v>
      </c>
      <c r="S1424" s="489">
        <v>0</v>
      </c>
      <c r="T1424" s="113">
        <f>S1424*J1424</f>
        <v>0</v>
      </c>
      <c r="U1424" s="511"/>
      <c r="V1424" s="494">
        <v>90</v>
      </c>
    </row>
    <row r="1425" spans="1:22" s="314" customFormat="1" ht="15.6" customHeight="1">
      <c r="A1425" s="1"/>
      <c r="B1425" s="313"/>
      <c r="C1425" s="302" t="s">
        <v>2709</v>
      </c>
      <c r="D1425" s="303" t="s">
        <v>1214</v>
      </c>
      <c r="E1425" s="304"/>
      <c r="F1425" s="305"/>
      <c r="G1425" s="305" t="s">
        <v>1227</v>
      </c>
      <c r="H1425" s="307" t="s">
        <v>1228</v>
      </c>
      <c r="I1425" s="308"/>
      <c r="J1425" s="306"/>
      <c r="K1425" s="315">
        <v>0</v>
      </c>
      <c r="L1425" s="310"/>
      <c r="M1425" s="310"/>
      <c r="N1425" s="310">
        <v>44678</v>
      </c>
      <c r="O1425" s="309">
        <v>4151</v>
      </c>
      <c r="P1425" s="302"/>
      <c r="Q1425" s="485">
        <v>0</v>
      </c>
      <c r="S1425" s="535">
        <v>0</v>
      </c>
      <c r="T1425" s="322">
        <v>0</v>
      </c>
      <c r="U1425" s="515"/>
      <c r="V1425" s="494">
        <v>90</v>
      </c>
    </row>
    <row r="1426" spans="1:22" s="7" customFormat="1" ht="15" customHeight="1">
      <c r="A1426" s="1"/>
      <c r="B1426" s="12"/>
      <c r="C1426" s="6" t="s">
        <v>2710</v>
      </c>
      <c r="D1426" s="15" t="s">
        <v>892</v>
      </c>
      <c r="E1426" s="20" t="s">
        <v>628</v>
      </c>
      <c r="F1426" s="26"/>
      <c r="G1426" s="24"/>
      <c r="H1426" s="67"/>
      <c r="I1426" s="68"/>
      <c r="J1426" s="67"/>
      <c r="K1426" s="17" t="s">
        <v>134</v>
      </c>
      <c r="L1426" s="39"/>
      <c r="M1426" s="39"/>
      <c r="N1426" s="39">
        <v>44678</v>
      </c>
      <c r="O1426" s="38">
        <v>4150</v>
      </c>
      <c r="P1426" s="179" t="s">
        <v>23</v>
      </c>
      <c r="Q1426" s="438" t="s">
        <v>959</v>
      </c>
      <c r="S1426" s="489"/>
      <c r="T1426" s="113"/>
      <c r="U1426" s="510"/>
      <c r="V1426" s="494">
        <v>90</v>
      </c>
    </row>
    <row r="1427" spans="1:22" s="7" customFormat="1" ht="18" customHeight="1">
      <c r="A1427" s="1"/>
      <c r="B1427" s="12" t="s">
        <v>1856</v>
      </c>
      <c r="C1427" s="6" t="s">
        <v>2710</v>
      </c>
      <c r="D1427" s="15" t="s">
        <v>892</v>
      </c>
      <c r="E1427" s="24">
        <v>5291</v>
      </c>
      <c r="F1427" s="26">
        <v>10</v>
      </c>
      <c r="G1427" s="24" t="s">
        <v>29</v>
      </c>
      <c r="H1427" s="67">
        <v>20</v>
      </c>
      <c r="I1427" s="68">
        <v>2</v>
      </c>
      <c r="J1427" s="67">
        <f>H1427*I1427</f>
        <v>40</v>
      </c>
      <c r="K1427" s="46">
        <v>0.72</v>
      </c>
      <c r="L1427" s="46">
        <f t="shared" ref="L1427:L1433" si="71">K1427*J1427</f>
        <v>28.799999999999997</v>
      </c>
      <c r="M1427" s="162" t="s">
        <v>2219</v>
      </c>
      <c r="N1427" s="39">
        <v>44678</v>
      </c>
      <c r="O1427" s="38">
        <v>4150</v>
      </c>
      <c r="P1427" s="46">
        <f>K1427*(VLOOKUP(B1427,$C$2:$F$6,3,FALSE))</f>
        <v>0.63359999999999994</v>
      </c>
      <c r="Q1427" s="180">
        <v>0.63</v>
      </c>
      <c r="R1427" s="704">
        <f>Q1427*J1427</f>
        <v>25.2</v>
      </c>
      <c r="S1427" s="532">
        <v>35</v>
      </c>
      <c r="T1427" s="113">
        <f t="shared" ref="T1427:T1433" si="72">S1427*J1427</f>
        <v>1400</v>
      </c>
      <c r="U1427" s="867" t="s">
        <v>2711</v>
      </c>
      <c r="V1427" s="494">
        <v>90</v>
      </c>
    </row>
    <row r="1428" spans="1:22" s="7" customFormat="1" ht="18" customHeight="1">
      <c r="A1428" s="1"/>
      <c r="B1428" s="12" t="s">
        <v>1856</v>
      </c>
      <c r="C1428" s="6" t="s">
        <v>2710</v>
      </c>
      <c r="D1428" s="15" t="s">
        <v>892</v>
      </c>
      <c r="E1428" s="24">
        <v>5291</v>
      </c>
      <c r="F1428" s="26">
        <v>10</v>
      </c>
      <c r="G1428" s="24" t="s">
        <v>499</v>
      </c>
      <c r="H1428" s="67">
        <v>20</v>
      </c>
      <c r="I1428" s="68">
        <v>2</v>
      </c>
      <c r="J1428" s="67">
        <f>H1428*I1428</f>
        <v>40</v>
      </c>
      <c r="K1428" s="46">
        <v>0.72</v>
      </c>
      <c r="L1428" s="46">
        <f t="shared" si="71"/>
        <v>28.799999999999997</v>
      </c>
      <c r="M1428" s="162" t="s">
        <v>2219</v>
      </c>
      <c r="N1428" s="39">
        <v>44678</v>
      </c>
      <c r="O1428" s="38">
        <v>4150</v>
      </c>
      <c r="P1428" s="46">
        <f>K1428*(VLOOKUP(B1428,$C$2:$F$6,3,FALSE))</f>
        <v>0.63359999999999994</v>
      </c>
      <c r="Q1428" s="180">
        <v>0.63</v>
      </c>
      <c r="R1428" s="704">
        <f>Q1428*J1428</f>
        <v>25.2</v>
      </c>
      <c r="S1428" s="532">
        <v>35</v>
      </c>
      <c r="T1428" s="113">
        <f t="shared" si="72"/>
        <v>1400</v>
      </c>
      <c r="U1428" s="867" t="s">
        <v>2711</v>
      </c>
      <c r="V1428" s="494">
        <v>90</v>
      </c>
    </row>
    <row r="1429" spans="1:22" s="7" customFormat="1" ht="18" customHeight="1">
      <c r="A1429" s="1"/>
      <c r="B1429" s="12" t="s">
        <v>1856</v>
      </c>
      <c r="C1429" s="6" t="s">
        <v>2710</v>
      </c>
      <c r="D1429" s="15" t="s">
        <v>892</v>
      </c>
      <c r="E1429" s="24">
        <v>5291</v>
      </c>
      <c r="F1429" s="26">
        <v>8</v>
      </c>
      <c r="G1429" s="24" t="s">
        <v>29</v>
      </c>
      <c r="H1429" s="67">
        <v>50</v>
      </c>
      <c r="I1429" s="68">
        <v>1</v>
      </c>
      <c r="J1429" s="67">
        <f>H1429*I1429</f>
        <v>50</v>
      </c>
      <c r="K1429" s="46">
        <v>0.49</v>
      </c>
      <c r="L1429" s="46">
        <f t="shared" si="71"/>
        <v>24.5</v>
      </c>
      <c r="M1429" s="162" t="s">
        <v>2219</v>
      </c>
      <c r="N1429" s="39">
        <v>44678</v>
      </c>
      <c r="O1429" s="38">
        <v>4150</v>
      </c>
      <c r="P1429" s="46">
        <f>K1429*(VLOOKUP(B1429,$C$2:$F$6,3,FALSE))</f>
        <v>0.43119999999999997</v>
      </c>
      <c r="Q1429" s="180">
        <v>0.43</v>
      </c>
      <c r="R1429" s="704">
        <f>Q1429*J1429</f>
        <v>21.5</v>
      </c>
      <c r="S1429" s="489">
        <v>24</v>
      </c>
      <c r="T1429" s="113">
        <f t="shared" si="72"/>
        <v>1200</v>
      </c>
      <c r="U1429" s="867" t="s">
        <v>2612</v>
      </c>
      <c r="V1429" s="494">
        <v>90</v>
      </c>
    </row>
    <row r="1430" spans="1:22" s="7" customFormat="1" ht="18" customHeight="1">
      <c r="A1430" s="1"/>
      <c r="B1430" s="12" t="s">
        <v>1856</v>
      </c>
      <c r="C1430" s="6" t="s">
        <v>2710</v>
      </c>
      <c r="D1430" s="15" t="s">
        <v>892</v>
      </c>
      <c r="E1430" s="24">
        <v>5291</v>
      </c>
      <c r="F1430" s="26">
        <v>8</v>
      </c>
      <c r="G1430" s="24" t="s">
        <v>499</v>
      </c>
      <c r="H1430" s="67">
        <v>50</v>
      </c>
      <c r="I1430" s="68">
        <v>1</v>
      </c>
      <c r="J1430" s="67">
        <f>H1430*I1430</f>
        <v>50</v>
      </c>
      <c r="K1430" s="46">
        <v>0.49</v>
      </c>
      <c r="L1430" s="46">
        <f t="shared" si="71"/>
        <v>24.5</v>
      </c>
      <c r="M1430" s="162" t="s">
        <v>2219</v>
      </c>
      <c r="N1430" s="39">
        <v>44678</v>
      </c>
      <c r="O1430" s="38">
        <v>4150</v>
      </c>
      <c r="P1430" s="46">
        <f>K1430*(VLOOKUP(B1430,$C$2:$F$6,3,FALSE))</f>
        <v>0.43119999999999997</v>
      </c>
      <c r="Q1430" s="180">
        <v>0.43</v>
      </c>
      <c r="R1430" s="704">
        <f>Q1430*J1430</f>
        <v>21.5</v>
      </c>
      <c r="S1430" s="489">
        <v>24</v>
      </c>
      <c r="T1430" s="113">
        <f t="shared" si="72"/>
        <v>1200</v>
      </c>
      <c r="U1430" s="867" t="s">
        <v>2612</v>
      </c>
      <c r="V1430" s="494">
        <v>90</v>
      </c>
    </row>
    <row r="1431" spans="1:22" s="7" customFormat="1" ht="18" customHeight="1">
      <c r="A1431" s="1"/>
      <c r="B1431" s="12" t="s">
        <v>1856</v>
      </c>
      <c r="C1431" s="6" t="s">
        <v>2710</v>
      </c>
      <c r="D1431" s="15" t="s">
        <v>892</v>
      </c>
      <c r="E1431" s="24">
        <v>5291</v>
      </c>
      <c r="F1431" s="26">
        <v>8</v>
      </c>
      <c r="G1431" s="24" t="s">
        <v>211</v>
      </c>
      <c r="H1431" s="67">
        <v>50</v>
      </c>
      <c r="I1431" s="68">
        <v>1</v>
      </c>
      <c r="J1431" s="67">
        <f>H1431*I1431</f>
        <v>50</v>
      </c>
      <c r="K1431" s="46">
        <v>0.49</v>
      </c>
      <c r="L1431" s="46">
        <f t="shared" si="71"/>
        <v>24.5</v>
      </c>
      <c r="M1431" s="162" t="s">
        <v>2219</v>
      </c>
      <c r="N1431" s="39">
        <v>44678</v>
      </c>
      <c r="O1431" s="38">
        <v>4150</v>
      </c>
      <c r="P1431" s="46">
        <f>K1431*(VLOOKUP(B1431,$C$2:$F$6,3,FALSE))</f>
        <v>0.43119999999999997</v>
      </c>
      <c r="Q1431" s="180">
        <v>0.43</v>
      </c>
      <c r="R1431" s="704">
        <f>Q1431*J1431</f>
        <v>21.5</v>
      </c>
      <c r="S1431" s="489">
        <v>24</v>
      </c>
      <c r="T1431" s="113">
        <f t="shared" si="72"/>
        <v>1200</v>
      </c>
      <c r="U1431" s="867" t="s">
        <v>2612</v>
      </c>
      <c r="V1431" s="494">
        <v>90</v>
      </c>
    </row>
    <row r="1432" spans="1:22" ht="15.95" customHeight="1">
      <c r="C1432" s="6" t="s">
        <v>2710</v>
      </c>
      <c r="D1432" s="15" t="s">
        <v>892</v>
      </c>
      <c r="E1432" s="24"/>
      <c r="F1432" s="138"/>
      <c r="G1432" s="44" t="s">
        <v>1993</v>
      </c>
      <c r="H1432" s="8"/>
      <c r="I1432" s="41"/>
      <c r="J1432" s="45">
        <v>1</v>
      </c>
      <c r="K1432" s="46">
        <v>12</v>
      </c>
      <c r="L1432" s="46">
        <f t="shared" si="71"/>
        <v>12</v>
      </c>
      <c r="M1432" s="112"/>
      <c r="N1432" s="39">
        <v>44678</v>
      </c>
      <c r="O1432" s="38">
        <v>4150</v>
      </c>
      <c r="P1432" s="179"/>
      <c r="Q1432" s="180">
        <v>12</v>
      </c>
      <c r="R1432" s="704">
        <v>12</v>
      </c>
      <c r="S1432" s="498">
        <v>850</v>
      </c>
      <c r="T1432" s="568">
        <f t="shared" si="72"/>
        <v>850</v>
      </c>
      <c r="U1432" s="511"/>
      <c r="V1432" s="494">
        <v>90</v>
      </c>
    </row>
    <row r="1433" spans="1:22" s="7" customFormat="1" ht="18" customHeight="1">
      <c r="A1433" s="1"/>
      <c r="B1433" s="12" t="s">
        <v>1856</v>
      </c>
      <c r="C1433" s="6" t="s">
        <v>2710</v>
      </c>
      <c r="D1433" s="15" t="s">
        <v>892</v>
      </c>
      <c r="E1433" s="24">
        <v>5291</v>
      </c>
      <c r="F1433" s="26">
        <v>8</v>
      </c>
      <c r="G1433" s="24" t="s">
        <v>1158</v>
      </c>
      <c r="H1433" s="67">
        <v>50</v>
      </c>
      <c r="I1433" s="68">
        <v>1</v>
      </c>
      <c r="J1433" s="67">
        <f>H1433*I1433</f>
        <v>50</v>
      </c>
      <c r="K1433" s="46">
        <v>0.49</v>
      </c>
      <c r="L1433" s="46">
        <f t="shared" si="71"/>
        <v>24.5</v>
      </c>
      <c r="M1433" s="162" t="s">
        <v>2219</v>
      </c>
      <c r="N1433" s="39">
        <v>44687</v>
      </c>
      <c r="O1433" s="38">
        <v>4163</v>
      </c>
      <c r="P1433" s="46">
        <f>K1433*(VLOOKUP(B1433,$C$2:$F$6,3,FALSE))</f>
        <v>0.43119999999999997</v>
      </c>
      <c r="Q1433" s="180">
        <v>0.43</v>
      </c>
      <c r="R1433" s="704">
        <f>Q1433*J1433</f>
        <v>21.5</v>
      </c>
      <c r="S1433" s="489">
        <v>24</v>
      </c>
      <c r="T1433" s="113">
        <f t="shared" si="72"/>
        <v>1200</v>
      </c>
      <c r="U1433" s="867" t="s">
        <v>2612</v>
      </c>
      <c r="V1433" s="494">
        <v>90</v>
      </c>
    </row>
    <row r="1434" spans="1:22" s="314" customFormat="1" ht="15" customHeight="1">
      <c r="A1434" s="1"/>
      <c r="B1434" s="313"/>
      <c r="C1434" s="302" t="s">
        <v>2710</v>
      </c>
      <c r="D1434" s="303" t="s">
        <v>892</v>
      </c>
      <c r="E1434" s="304"/>
      <c r="F1434" s="305"/>
      <c r="G1434" s="305" t="s">
        <v>1227</v>
      </c>
      <c r="H1434" s="307" t="s">
        <v>1228</v>
      </c>
      <c r="I1434" s="308"/>
      <c r="J1434" s="306"/>
      <c r="K1434" s="315">
        <v>0</v>
      </c>
      <c r="L1434" s="310"/>
      <c r="M1434" s="310"/>
      <c r="N1434" s="310">
        <v>44687</v>
      </c>
      <c r="O1434" s="309">
        <v>4163</v>
      </c>
      <c r="P1434" s="302"/>
      <c r="Q1434" s="485">
        <v>0</v>
      </c>
      <c r="S1434" s="536">
        <v>0</v>
      </c>
      <c r="T1434" s="322">
        <v>0</v>
      </c>
      <c r="U1434" s="515"/>
      <c r="V1434" s="494">
        <v>90</v>
      </c>
    </row>
    <row r="1435" spans="1:22" s="7" customFormat="1" ht="15" customHeight="1">
      <c r="A1435" s="1"/>
      <c r="B1435" s="12"/>
      <c r="C1435" s="6" t="s">
        <v>2717</v>
      </c>
      <c r="D1435" s="15" t="s">
        <v>169</v>
      </c>
      <c r="E1435" s="20" t="s">
        <v>27</v>
      </c>
      <c r="F1435" s="150"/>
      <c r="G1435" s="24"/>
      <c r="H1435" s="151"/>
      <c r="I1435" s="152"/>
      <c r="J1435" s="151"/>
      <c r="K1435" s="34" t="s">
        <v>10</v>
      </c>
      <c r="L1435" s="39"/>
      <c r="M1435" s="39"/>
      <c r="N1435" s="39">
        <v>44692</v>
      </c>
      <c r="O1435" s="38">
        <v>4184</v>
      </c>
      <c r="P1435" s="15"/>
      <c r="Q1435" s="483"/>
      <c r="S1435" s="489"/>
      <c r="T1435" s="113"/>
      <c r="U1435" s="506"/>
      <c r="V1435" s="494">
        <v>90</v>
      </c>
    </row>
    <row r="1436" spans="1:22" s="7" customFormat="1" ht="15.75">
      <c r="A1436" s="1"/>
      <c r="B1436" s="12" t="s">
        <v>1858</v>
      </c>
      <c r="C1436" s="6" t="s">
        <v>2717</v>
      </c>
      <c r="D1436" s="15" t="s">
        <v>169</v>
      </c>
      <c r="E1436" s="24" t="s">
        <v>536</v>
      </c>
      <c r="F1436" s="150">
        <v>160</v>
      </c>
      <c r="G1436" s="873" t="s">
        <v>2718</v>
      </c>
      <c r="H1436" s="67">
        <v>50</v>
      </c>
      <c r="I1436" s="68">
        <v>1</v>
      </c>
      <c r="J1436" s="8">
        <f>H1436*I1436</f>
        <v>50</v>
      </c>
      <c r="K1436" s="25">
        <v>5</v>
      </c>
      <c r="L1436" s="46">
        <f>K1436*J1436</f>
        <v>250</v>
      </c>
      <c r="M1436" s="162" t="s">
        <v>2218</v>
      </c>
      <c r="N1436" s="39">
        <v>44692</v>
      </c>
      <c r="O1436" s="38">
        <v>4184</v>
      </c>
      <c r="P1436" s="46">
        <f>K1436*(VLOOKUP(B1436,$C$2:$F$6,3,FALSE))</f>
        <v>4.6999999999999993</v>
      </c>
      <c r="Q1436" s="483">
        <v>4.7</v>
      </c>
      <c r="R1436" s="704">
        <f>Q1436*J1436</f>
        <v>235</v>
      </c>
      <c r="S1436" s="532">
        <v>360</v>
      </c>
      <c r="T1436" s="567">
        <f>S1436*J1436</f>
        <v>18000</v>
      </c>
      <c r="U1436" s="501"/>
      <c r="V1436" s="494">
        <v>90</v>
      </c>
    </row>
    <row r="1437" spans="1:22" s="7" customFormat="1" ht="15.75">
      <c r="A1437" s="1"/>
      <c r="B1437" s="12" t="s">
        <v>1858</v>
      </c>
      <c r="C1437" s="6" t="s">
        <v>2717</v>
      </c>
      <c r="D1437" s="15" t="s">
        <v>169</v>
      </c>
      <c r="E1437" s="24" t="s">
        <v>536</v>
      </c>
      <c r="F1437" s="150">
        <v>160</v>
      </c>
      <c r="G1437" s="407" t="s">
        <v>2630</v>
      </c>
      <c r="H1437" s="67">
        <v>50</v>
      </c>
      <c r="I1437" s="68">
        <v>1</v>
      </c>
      <c r="J1437" s="8">
        <f>H1437*I1437</f>
        <v>50</v>
      </c>
      <c r="K1437" s="25">
        <v>5</v>
      </c>
      <c r="L1437" s="46">
        <f>K1437*J1437</f>
        <v>250</v>
      </c>
      <c r="M1437" s="162" t="s">
        <v>2218</v>
      </c>
      <c r="N1437" s="39">
        <v>44692</v>
      </c>
      <c r="O1437" s="38">
        <v>4184</v>
      </c>
      <c r="P1437" s="46">
        <f>K1437*(VLOOKUP(B1437,$C$2:$F$6,3,FALSE))</f>
        <v>4.6999999999999993</v>
      </c>
      <c r="Q1437" s="483">
        <v>4.7</v>
      </c>
      <c r="R1437" s="704">
        <f>Q1437*J1437</f>
        <v>235</v>
      </c>
      <c r="S1437" s="532">
        <v>360</v>
      </c>
      <c r="T1437" s="567">
        <f>S1437*J1437</f>
        <v>18000</v>
      </c>
      <c r="U1437" s="501"/>
      <c r="V1437" s="494">
        <v>90</v>
      </c>
    </row>
    <row r="1438" spans="1:22" ht="15.95" customHeight="1">
      <c r="C1438" s="6" t="s">
        <v>2717</v>
      </c>
      <c r="D1438" s="15" t="s">
        <v>169</v>
      </c>
      <c r="E1438" s="24"/>
      <c r="F1438" s="138"/>
      <c r="G1438" s="44" t="s">
        <v>1993</v>
      </c>
      <c r="H1438" s="8"/>
      <c r="I1438" s="41"/>
      <c r="J1438" s="45">
        <v>1</v>
      </c>
      <c r="K1438" s="46">
        <v>20</v>
      </c>
      <c r="L1438" s="46">
        <v>20</v>
      </c>
      <c r="M1438" s="112"/>
      <c r="N1438" s="39">
        <v>44692</v>
      </c>
      <c r="O1438" s="38">
        <v>4184</v>
      </c>
      <c r="P1438" s="179"/>
      <c r="Q1438" s="180">
        <v>20</v>
      </c>
      <c r="R1438" s="704">
        <v>20</v>
      </c>
      <c r="S1438" s="498">
        <v>1800</v>
      </c>
      <c r="T1438" s="568">
        <f>S1438*J1438</f>
        <v>1800</v>
      </c>
      <c r="U1438" s="511"/>
      <c r="V1438" s="494">
        <v>90</v>
      </c>
    </row>
    <row r="1439" spans="1:22" s="7" customFormat="1" ht="15.75">
      <c r="A1439" s="1"/>
      <c r="B1439" s="12" t="s">
        <v>1858</v>
      </c>
      <c r="C1439" s="6" t="s">
        <v>2717</v>
      </c>
      <c r="D1439" s="15" t="s">
        <v>169</v>
      </c>
      <c r="E1439" s="24" t="s">
        <v>536</v>
      </c>
      <c r="F1439" s="150">
        <v>160</v>
      </c>
      <c r="G1439" s="873" t="s">
        <v>2682</v>
      </c>
      <c r="H1439" s="67">
        <v>50</v>
      </c>
      <c r="I1439" s="68">
        <v>2</v>
      </c>
      <c r="J1439" s="8">
        <f>H1439*I1439</f>
        <v>100</v>
      </c>
      <c r="K1439" s="25">
        <v>5</v>
      </c>
      <c r="L1439" s="46">
        <f>K1439*J1439</f>
        <v>500</v>
      </c>
      <c r="M1439" s="162" t="s">
        <v>2219</v>
      </c>
      <c r="N1439" s="39">
        <v>44715</v>
      </c>
      <c r="O1439" s="38">
        <v>4251</v>
      </c>
      <c r="P1439" s="46">
        <f>K1439*(VLOOKUP(B1439,$C$2:$F$6,3,FALSE))</f>
        <v>4.6999999999999993</v>
      </c>
      <c r="Q1439" s="483">
        <v>4.7</v>
      </c>
      <c r="R1439" s="704">
        <f>Q1439*J1439</f>
        <v>470</v>
      </c>
      <c r="S1439" s="532">
        <v>360</v>
      </c>
      <c r="T1439" s="567">
        <f>S1439*J1439</f>
        <v>36000</v>
      </c>
      <c r="U1439" s="501"/>
      <c r="V1439" s="494">
        <v>90</v>
      </c>
    </row>
    <row r="1440" spans="1:22" s="217" customFormat="1" ht="15.95" customHeight="1">
      <c r="A1440" s="1"/>
      <c r="B1440" s="539"/>
      <c r="C1440" s="216" t="s">
        <v>2717</v>
      </c>
      <c r="D1440" s="109" t="s">
        <v>169</v>
      </c>
      <c r="E1440" s="228"/>
      <c r="F1440" s="160"/>
      <c r="G1440" s="42" t="s">
        <v>1993</v>
      </c>
      <c r="H1440" s="214"/>
      <c r="I1440" s="215"/>
      <c r="J1440" s="43">
        <v>1</v>
      </c>
      <c r="K1440" s="229">
        <v>20</v>
      </c>
      <c r="L1440" s="229">
        <v>0</v>
      </c>
      <c r="M1440" s="969"/>
      <c r="N1440" s="39">
        <v>44715</v>
      </c>
      <c r="O1440" s="38">
        <v>4251</v>
      </c>
      <c r="P1440" s="692"/>
      <c r="Q1440" s="970">
        <v>0</v>
      </c>
      <c r="R1440" s="973">
        <v>0</v>
      </c>
      <c r="S1440" s="971">
        <v>1800</v>
      </c>
      <c r="T1440" s="972">
        <f>S1440*J1440</f>
        <v>1800</v>
      </c>
      <c r="U1440" s="667"/>
      <c r="V1440" s="547">
        <v>90</v>
      </c>
    </row>
    <row r="1441" spans="1:22" s="314" customFormat="1" ht="15">
      <c r="A1441" s="1"/>
      <c r="B1441" s="313"/>
      <c r="C1441" s="302" t="s">
        <v>2717</v>
      </c>
      <c r="D1441" s="303" t="s">
        <v>169</v>
      </c>
      <c r="E1441" s="304"/>
      <c r="F1441" s="305"/>
      <c r="G1441" s="305" t="s">
        <v>1227</v>
      </c>
      <c r="H1441" s="307" t="s">
        <v>1228</v>
      </c>
      <c r="I1441" s="308"/>
      <c r="J1441" s="306"/>
      <c r="K1441" s="315">
        <v>0</v>
      </c>
      <c r="L1441" s="310"/>
      <c r="M1441" s="310"/>
      <c r="N1441" s="310">
        <v>44715</v>
      </c>
      <c r="O1441" s="309">
        <v>4251</v>
      </c>
      <c r="P1441" s="302"/>
      <c r="Q1441" s="485">
        <v>0</v>
      </c>
      <c r="S1441" s="535">
        <v>0</v>
      </c>
      <c r="T1441" s="322">
        <v>0</v>
      </c>
      <c r="U1441" s="515"/>
      <c r="V1441" s="494">
        <v>90</v>
      </c>
    </row>
    <row r="1442" spans="1:22" s="7" customFormat="1" ht="18" customHeight="1">
      <c r="A1442" s="1"/>
      <c r="B1442" s="12"/>
      <c r="C1442" s="6" t="s">
        <v>2719</v>
      </c>
      <c r="D1442" s="15" t="s">
        <v>586</v>
      </c>
      <c r="E1442" s="20" t="s">
        <v>1003</v>
      </c>
      <c r="F1442" s="24"/>
      <c r="G1442" s="44"/>
      <c r="H1442" s="151"/>
      <c r="I1442" s="151"/>
      <c r="J1442" s="151"/>
      <c r="K1442" s="153" t="s">
        <v>10</v>
      </c>
      <c r="L1442" s="39"/>
      <c r="M1442" s="39"/>
      <c r="N1442" s="39">
        <v>44690</v>
      </c>
      <c r="O1442" s="38">
        <v>4169</v>
      </c>
      <c r="P1442" s="6"/>
      <c r="Q1442" s="411"/>
      <c r="S1442" s="489"/>
      <c r="T1442" s="113"/>
      <c r="U1442" s="501"/>
      <c r="V1442" s="494">
        <v>90</v>
      </c>
    </row>
    <row r="1443" spans="1:22" s="7" customFormat="1" ht="15.95" customHeight="1">
      <c r="A1443" s="1"/>
      <c r="B1443" s="12" t="s">
        <v>1856</v>
      </c>
      <c r="C1443" s="6" t="s">
        <v>2719</v>
      </c>
      <c r="D1443" s="15" t="s">
        <v>586</v>
      </c>
      <c r="E1443" s="24" t="s">
        <v>1802</v>
      </c>
      <c r="F1443" s="44"/>
      <c r="G1443" s="44" t="s">
        <v>78</v>
      </c>
      <c r="H1443" s="8">
        <v>14</v>
      </c>
      <c r="I1443" s="41">
        <v>7</v>
      </c>
      <c r="J1443" s="67">
        <f>I1443*H1443</f>
        <v>98</v>
      </c>
      <c r="K1443" s="46">
        <v>1.62</v>
      </c>
      <c r="L1443" s="46">
        <f>K1443*J1443</f>
        <v>158.76000000000002</v>
      </c>
      <c r="M1443" s="162" t="s">
        <v>2219</v>
      </c>
      <c r="N1443" s="39">
        <v>44690</v>
      </c>
      <c r="O1443" s="38">
        <v>4169</v>
      </c>
      <c r="P1443" s="46">
        <f>K1443*(VLOOKUP(B1443,$C$2:$F$6,3,FALSE))</f>
        <v>1.4256000000000002</v>
      </c>
      <c r="Q1443" s="483">
        <v>1.43</v>
      </c>
      <c r="R1443" s="704">
        <f>Q1443*J1443</f>
        <v>140.13999999999999</v>
      </c>
      <c r="S1443" s="489">
        <v>87</v>
      </c>
      <c r="T1443" s="567">
        <f>S1443*J1443</f>
        <v>8526</v>
      </c>
      <c r="U1443" s="517"/>
      <c r="V1443" s="494">
        <v>90</v>
      </c>
    </row>
    <row r="1444" spans="1:22" s="7" customFormat="1" ht="15.95" customHeight="1">
      <c r="A1444" s="1"/>
      <c r="B1444" s="12" t="s">
        <v>1856</v>
      </c>
      <c r="C1444" s="6" t="s">
        <v>2719</v>
      </c>
      <c r="D1444" s="15" t="s">
        <v>586</v>
      </c>
      <c r="E1444" s="24" t="s">
        <v>1684</v>
      </c>
      <c r="F1444" s="44"/>
      <c r="G1444" s="44" t="s">
        <v>78</v>
      </c>
      <c r="H1444" s="8">
        <v>14</v>
      </c>
      <c r="I1444" s="41">
        <v>2</v>
      </c>
      <c r="J1444" s="67">
        <f>I1444*H1444</f>
        <v>28</v>
      </c>
      <c r="K1444" s="46">
        <v>1.02</v>
      </c>
      <c r="L1444" s="46">
        <f>K1444*J1444</f>
        <v>28.560000000000002</v>
      </c>
      <c r="M1444" s="162" t="s">
        <v>2219</v>
      </c>
      <c r="N1444" s="39">
        <v>44690</v>
      </c>
      <c r="O1444" s="38">
        <v>4169</v>
      </c>
      <c r="P1444" s="46">
        <f>K1444*(VLOOKUP(B1444,$C$2:$F$6,3,FALSE))</f>
        <v>0.89760000000000006</v>
      </c>
      <c r="Q1444" s="483">
        <v>0.9</v>
      </c>
      <c r="R1444" s="704">
        <f>Q1444*J1444</f>
        <v>25.2</v>
      </c>
      <c r="S1444" s="489">
        <v>55</v>
      </c>
      <c r="T1444" s="567">
        <f>S1444*J1444</f>
        <v>1540</v>
      </c>
      <c r="U1444" s="517"/>
      <c r="V1444" s="494">
        <v>90</v>
      </c>
    </row>
    <row r="1445" spans="1:22" ht="15.95" customHeight="1">
      <c r="B1445" s="12" t="s">
        <v>1862</v>
      </c>
      <c r="C1445" s="6" t="s">
        <v>2719</v>
      </c>
      <c r="D1445" s="15" t="s">
        <v>586</v>
      </c>
      <c r="E1445" s="24"/>
      <c r="F1445" s="138"/>
      <c r="G1445" s="44" t="s">
        <v>1993</v>
      </c>
      <c r="H1445" s="8"/>
      <c r="I1445" s="41"/>
      <c r="J1445" s="45">
        <v>1</v>
      </c>
      <c r="K1445" s="46">
        <v>12</v>
      </c>
      <c r="L1445" s="46">
        <f>K1445*J1445</f>
        <v>12</v>
      </c>
      <c r="M1445" s="112"/>
      <c r="N1445" s="39">
        <v>44690</v>
      </c>
      <c r="O1445" s="38">
        <v>4169</v>
      </c>
      <c r="P1445" s="46">
        <f>K1445*(VLOOKUP(B1445,$C$2:$F$6,3,FALSE))</f>
        <v>12</v>
      </c>
      <c r="Q1445" s="483">
        <v>12</v>
      </c>
      <c r="R1445" s="704">
        <f>Q1445*J1445</f>
        <v>12</v>
      </c>
      <c r="S1445" s="489">
        <v>900</v>
      </c>
      <c r="T1445" s="567">
        <f>S1445*J1445</f>
        <v>900</v>
      </c>
      <c r="U1445" s="511"/>
      <c r="V1445" s="494">
        <v>90</v>
      </c>
    </row>
    <row r="1446" spans="1:22" s="314" customFormat="1" ht="15">
      <c r="A1446" s="1"/>
      <c r="B1446" s="313"/>
      <c r="C1446" s="302" t="s">
        <v>2719</v>
      </c>
      <c r="D1446" s="303" t="s">
        <v>586</v>
      </c>
      <c r="E1446" s="304"/>
      <c r="F1446" s="305"/>
      <c r="G1446" s="305" t="s">
        <v>1227</v>
      </c>
      <c r="H1446" s="307" t="s">
        <v>1228</v>
      </c>
      <c r="I1446" s="308"/>
      <c r="J1446" s="306"/>
      <c r="K1446" s="315">
        <v>0</v>
      </c>
      <c r="L1446" s="310"/>
      <c r="M1446" s="310"/>
      <c r="N1446" s="310">
        <v>44690</v>
      </c>
      <c r="O1446" s="309">
        <v>4169</v>
      </c>
      <c r="P1446" s="302"/>
      <c r="Q1446" s="485">
        <v>0</v>
      </c>
      <c r="S1446" s="536">
        <v>0</v>
      </c>
      <c r="T1446" s="567">
        <f>S1446*J1446</f>
        <v>0</v>
      </c>
      <c r="U1446" s="515"/>
      <c r="V1446" s="494">
        <v>90</v>
      </c>
    </row>
    <row r="1447" spans="1:22" s="7" customFormat="1" ht="15">
      <c r="A1447" s="1"/>
      <c r="B1447" s="12"/>
      <c r="C1447" s="6" t="s">
        <v>2720</v>
      </c>
      <c r="D1447" s="15" t="s">
        <v>983</v>
      </c>
      <c r="E1447" s="20" t="s">
        <v>344</v>
      </c>
      <c r="F1447" s="26"/>
      <c r="G1447" s="24"/>
      <c r="H1447" s="67"/>
      <c r="I1447" s="68"/>
      <c r="J1447" s="67"/>
      <c r="K1447" s="17" t="s">
        <v>134</v>
      </c>
      <c r="L1447" s="39"/>
      <c r="M1447" s="39"/>
      <c r="N1447" s="39">
        <v>44704</v>
      </c>
      <c r="O1447" s="38">
        <v>4185</v>
      </c>
      <c r="P1447" s="6" t="s">
        <v>23</v>
      </c>
      <c r="Q1447" s="481"/>
      <c r="S1447" s="489"/>
      <c r="T1447" s="113"/>
      <c r="U1447" s="500"/>
      <c r="V1447" s="494">
        <v>90</v>
      </c>
    </row>
    <row r="1448" spans="1:22" s="7" customFormat="1" ht="15.75">
      <c r="A1448" s="1"/>
      <c r="B1448" s="12" t="s">
        <v>1856</v>
      </c>
      <c r="C1448" s="6" t="s">
        <v>2720</v>
      </c>
      <c r="D1448" s="15" t="s">
        <v>983</v>
      </c>
      <c r="E1448" s="24">
        <v>14552</v>
      </c>
      <c r="F1448" s="26">
        <v>10</v>
      </c>
      <c r="G1448" s="24" t="s">
        <v>2721</v>
      </c>
      <c r="H1448" s="151">
        <v>30</v>
      </c>
      <c r="I1448" s="152">
        <v>67</v>
      </c>
      <c r="J1448" s="67">
        <f>H1448*I1448</f>
        <v>2010</v>
      </c>
      <c r="K1448" s="25">
        <v>0.69</v>
      </c>
      <c r="L1448" s="46">
        <f>K1448*J1448</f>
        <v>1386.8999999999999</v>
      </c>
      <c r="M1448" s="162" t="s">
        <v>2219</v>
      </c>
      <c r="N1448" s="39">
        <v>44704</v>
      </c>
      <c r="O1448" s="38">
        <v>4185</v>
      </c>
      <c r="P1448" s="46">
        <f>K1448*(VLOOKUP(B1448,$C$2:$F$6,3,FALSE))</f>
        <v>0.60719999999999996</v>
      </c>
      <c r="Q1448" s="482">
        <v>0.61</v>
      </c>
      <c r="R1448" s="704">
        <f>Q1448*J1448</f>
        <v>1226.0999999999999</v>
      </c>
      <c r="S1448" s="489">
        <v>37</v>
      </c>
      <c r="T1448" s="567">
        <f>S1448*J1448</f>
        <v>74370</v>
      </c>
      <c r="U1448" s="500"/>
      <c r="V1448" s="494">
        <v>90</v>
      </c>
    </row>
    <row r="1449" spans="1:22" s="7" customFormat="1" ht="15.75">
      <c r="A1449" s="1"/>
      <c r="B1449" s="12" t="s">
        <v>1856</v>
      </c>
      <c r="C1449" s="6" t="s">
        <v>2720</v>
      </c>
      <c r="D1449" s="15" t="s">
        <v>983</v>
      </c>
      <c r="E1449" s="24">
        <v>14552</v>
      </c>
      <c r="F1449" s="26">
        <v>10</v>
      </c>
      <c r="G1449" s="24" t="s">
        <v>1662</v>
      </c>
      <c r="H1449" s="151">
        <v>30</v>
      </c>
      <c r="I1449" s="152">
        <v>40</v>
      </c>
      <c r="J1449" s="67">
        <f>H1449*I1449</f>
        <v>1200</v>
      </c>
      <c r="K1449" s="25">
        <v>0.69</v>
      </c>
      <c r="L1449" s="46">
        <f>K1449*J1449</f>
        <v>827.99999999999989</v>
      </c>
      <c r="M1449" s="162" t="s">
        <v>2219</v>
      </c>
      <c r="N1449" s="39">
        <v>44704</v>
      </c>
      <c r="O1449" s="38">
        <v>4185</v>
      </c>
      <c r="P1449" s="46">
        <f>K1449*(VLOOKUP(B1449,$C$2:$F$6,3,FALSE))</f>
        <v>0.60719999999999996</v>
      </c>
      <c r="Q1449" s="482">
        <v>0.61</v>
      </c>
      <c r="R1449" s="704">
        <f>Q1449*J1449</f>
        <v>732</v>
      </c>
      <c r="S1449" s="489">
        <v>37</v>
      </c>
      <c r="T1449" s="567">
        <f>S1449*J1449</f>
        <v>44400</v>
      </c>
      <c r="U1449" s="500"/>
      <c r="V1449" s="494">
        <v>90</v>
      </c>
    </row>
    <row r="1450" spans="1:22" s="314" customFormat="1" ht="15.75">
      <c r="A1450" s="1"/>
      <c r="B1450" s="313"/>
      <c r="C1450" s="302" t="s">
        <v>2720</v>
      </c>
      <c r="D1450" s="303" t="s">
        <v>983</v>
      </c>
      <c r="E1450" s="304"/>
      <c r="F1450" s="305"/>
      <c r="G1450" s="682" t="s">
        <v>2238</v>
      </c>
      <c r="H1450" s="307" t="s">
        <v>1243</v>
      </c>
      <c r="I1450" s="308"/>
      <c r="J1450" s="306"/>
      <c r="K1450" s="329">
        <v>250</v>
      </c>
      <c r="L1450" s="310"/>
      <c r="M1450" s="310"/>
      <c r="N1450" s="310">
        <v>44704</v>
      </c>
      <c r="O1450" s="309">
        <v>4185</v>
      </c>
      <c r="P1450" s="302"/>
      <c r="Q1450" s="578">
        <v>250</v>
      </c>
      <c r="R1450" s="929">
        <v>250</v>
      </c>
      <c r="S1450" s="532">
        <v>22490</v>
      </c>
      <c r="T1450" s="113">
        <v>22490</v>
      </c>
      <c r="U1450" s="515"/>
      <c r="V1450" s="494">
        <v>90</v>
      </c>
    </row>
    <row r="1451" spans="1:22" s="683" customFormat="1" ht="15.75">
      <c r="A1451" s="1"/>
      <c r="B1451" s="684"/>
      <c r="C1451" s="302" t="s">
        <v>2720</v>
      </c>
      <c r="D1451" s="303" t="s">
        <v>983</v>
      </c>
      <c r="E1451" s="304"/>
      <c r="F1451" s="305"/>
      <c r="G1451" s="682" t="s">
        <v>2239</v>
      </c>
      <c r="H1451" s="307" t="s">
        <v>1243</v>
      </c>
      <c r="I1451" s="308"/>
      <c r="J1451" s="306"/>
      <c r="K1451" s="329">
        <v>36</v>
      </c>
      <c r="L1451" s="310"/>
      <c r="M1451" s="310"/>
      <c r="N1451" s="310">
        <v>44704</v>
      </c>
      <c r="O1451" s="309">
        <v>4185</v>
      </c>
      <c r="P1451" s="685"/>
      <c r="Q1451" s="578">
        <v>36</v>
      </c>
      <c r="R1451" s="929">
        <v>36</v>
      </c>
      <c r="S1451" s="532">
        <v>3250</v>
      </c>
      <c r="T1451" s="113">
        <v>3250</v>
      </c>
      <c r="U1451" s="688"/>
      <c r="V1451" s="689">
        <v>90</v>
      </c>
    </row>
    <row r="1452" spans="1:22" s="7" customFormat="1" ht="18" customHeight="1">
      <c r="A1452" s="1"/>
      <c r="B1452" s="12"/>
      <c r="C1452" s="6" t="s">
        <v>2726</v>
      </c>
      <c r="D1452" s="15" t="s">
        <v>892</v>
      </c>
      <c r="E1452" s="7" t="s">
        <v>2306</v>
      </c>
      <c r="F1452" s="700"/>
      <c r="G1452" s="640"/>
      <c r="H1452" s="641"/>
      <c r="I1452" s="701"/>
      <c r="J1452" s="702"/>
      <c r="K1452" s="153" t="s">
        <v>10</v>
      </c>
      <c r="L1452" s="219"/>
      <c r="M1452" s="11"/>
      <c r="N1452" s="39">
        <v>44692</v>
      </c>
      <c r="O1452" s="38">
        <v>4180</v>
      </c>
      <c r="P1452" s="6"/>
      <c r="Q1452" s="703"/>
      <c r="U1452" s="46"/>
      <c r="V1452" s="494">
        <v>90</v>
      </c>
    </row>
    <row r="1453" spans="1:22" ht="18" customHeight="1">
      <c r="B1453" s="28" t="s">
        <v>1856</v>
      </c>
      <c r="C1453" s="6" t="s">
        <v>2726</v>
      </c>
      <c r="D1453" s="15" t="s">
        <v>892</v>
      </c>
      <c r="E1453" s="24" t="s">
        <v>18</v>
      </c>
      <c r="F1453" s="44">
        <v>30</v>
      </c>
      <c r="G1453" s="24" t="s">
        <v>2727</v>
      </c>
      <c r="H1453" s="151">
        <v>30</v>
      </c>
      <c r="I1453" s="152">
        <v>1</v>
      </c>
      <c r="J1453" s="67">
        <f>H1453*I1453</f>
        <v>30</v>
      </c>
      <c r="K1453" s="46">
        <v>4.26</v>
      </c>
      <c r="L1453" s="46">
        <f>K1453*J1453</f>
        <v>127.8</v>
      </c>
      <c r="M1453" s="162" t="s">
        <v>2219</v>
      </c>
      <c r="N1453" s="39">
        <v>44692</v>
      </c>
      <c r="O1453" s="38">
        <v>4180</v>
      </c>
      <c r="P1453" s="46">
        <f>K1453*(VLOOKUP(B1453,$C$2:$F$6,3,FALSE))</f>
        <v>3.7487999999999997</v>
      </c>
      <c r="Q1453" s="482">
        <v>3.75</v>
      </c>
      <c r="R1453" s="704">
        <f>Q1453*J1453</f>
        <v>112.5</v>
      </c>
      <c r="S1453" s="489">
        <v>230</v>
      </c>
      <c r="T1453" s="113">
        <f>S1453*J1453</f>
        <v>6900</v>
      </c>
      <c r="U1453" s="507"/>
      <c r="V1453" s="494">
        <v>90</v>
      </c>
    </row>
    <row r="1454" spans="1:22" s="7" customFormat="1" ht="15.95" customHeight="1">
      <c r="A1454" s="1"/>
      <c r="B1454" s="12"/>
      <c r="C1454" s="6" t="s">
        <v>2726</v>
      </c>
      <c r="D1454" s="15" t="s">
        <v>892</v>
      </c>
      <c r="E1454" s="24"/>
      <c r="F1454" s="138"/>
      <c r="G1454" s="44" t="s">
        <v>1993</v>
      </c>
      <c r="H1454" s="8"/>
      <c r="I1454" s="41"/>
      <c r="J1454" s="45">
        <v>1</v>
      </c>
      <c r="K1454" s="46">
        <v>12</v>
      </c>
      <c r="L1454" s="46">
        <f>K1454*J1454</f>
        <v>12</v>
      </c>
      <c r="M1454" s="39"/>
      <c r="N1454" s="39">
        <v>44692</v>
      </c>
      <c r="O1454" s="38">
        <v>4180</v>
      </c>
      <c r="P1454" s="6"/>
      <c r="Q1454" s="483">
        <v>12</v>
      </c>
      <c r="R1454" s="704">
        <f>Q1454*J1454</f>
        <v>12</v>
      </c>
      <c r="S1454" s="489">
        <v>1000</v>
      </c>
      <c r="T1454" s="113">
        <f>S1454*J1454</f>
        <v>1000</v>
      </c>
      <c r="U1454" s="501"/>
      <c r="V1454" s="494">
        <v>90</v>
      </c>
    </row>
    <row r="1455" spans="1:22" s="314" customFormat="1" ht="15">
      <c r="A1455" s="1"/>
      <c r="B1455" s="313"/>
      <c r="C1455" s="302" t="s">
        <v>2726</v>
      </c>
      <c r="D1455" s="303" t="s">
        <v>892</v>
      </c>
      <c r="E1455" s="304"/>
      <c r="F1455" s="305"/>
      <c r="G1455" s="305" t="s">
        <v>1227</v>
      </c>
      <c r="H1455" s="307" t="s">
        <v>1228</v>
      </c>
      <c r="I1455" s="308"/>
      <c r="J1455" s="306"/>
      <c r="K1455" s="315">
        <v>0</v>
      </c>
      <c r="L1455" s="310"/>
      <c r="M1455" s="310"/>
      <c r="N1455" s="310">
        <v>44692</v>
      </c>
      <c r="O1455" s="309">
        <v>4180</v>
      </c>
      <c r="P1455" s="302"/>
      <c r="Q1455" s="485">
        <v>0</v>
      </c>
      <c r="S1455" s="536">
        <v>0</v>
      </c>
      <c r="T1455" s="322">
        <v>0</v>
      </c>
      <c r="U1455" s="515"/>
      <c r="V1455" s="494">
        <v>90</v>
      </c>
    </row>
    <row r="1456" spans="1:22" ht="18" customHeight="1">
      <c r="C1456" s="6" t="s">
        <v>2728</v>
      </c>
      <c r="D1456" s="15" t="s">
        <v>892</v>
      </c>
      <c r="E1456" s="20" t="s">
        <v>2243</v>
      </c>
      <c r="F1456" s="44"/>
      <c r="G1456" s="44"/>
      <c r="H1456" s="151"/>
      <c r="I1456" s="151"/>
      <c r="J1456" s="151"/>
      <c r="K1456" s="34" t="s">
        <v>134</v>
      </c>
      <c r="L1456" s="39"/>
      <c r="M1456" s="39"/>
      <c r="N1456" s="39">
        <v>44692</v>
      </c>
      <c r="O1456" s="38">
        <v>4180</v>
      </c>
      <c r="P1456" s="6"/>
      <c r="Q1456" s="524"/>
      <c r="S1456" s="707" t="s">
        <v>2297</v>
      </c>
      <c r="T1456" s="113"/>
      <c r="U1456" s="706"/>
      <c r="V1456" s="494">
        <v>90</v>
      </c>
    </row>
    <row r="1457" spans="1:22" ht="18" customHeight="1">
      <c r="B1457" s="28" t="s">
        <v>1856</v>
      </c>
      <c r="C1457" s="6" t="s">
        <v>2728</v>
      </c>
      <c r="D1457" s="15" t="s">
        <v>892</v>
      </c>
      <c r="E1457" s="24">
        <v>3806</v>
      </c>
      <c r="F1457" s="44">
        <v>38</v>
      </c>
      <c r="G1457" s="24" t="s">
        <v>338</v>
      </c>
      <c r="H1457" s="151">
        <v>30</v>
      </c>
      <c r="I1457" s="152">
        <v>3</v>
      </c>
      <c r="J1457" s="67">
        <f>H1457*I1457</f>
        <v>90</v>
      </c>
      <c r="K1457" s="46">
        <v>0.73</v>
      </c>
      <c r="L1457" s="46">
        <f>K1457*J1457</f>
        <v>65.7</v>
      </c>
      <c r="M1457" s="162" t="s">
        <v>2219</v>
      </c>
      <c r="N1457" s="39">
        <v>44692</v>
      </c>
      <c r="O1457" s="38">
        <v>4180</v>
      </c>
      <c r="P1457" s="46">
        <f>K1457*(VLOOKUP(B1457,$C$2:$F$6,3,FALSE))</f>
        <v>0.64239999999999997</v>
      </c>
      <c r="Q1457" s="482">
        <v>0.64</v>
      </c>
      <c r="R1457" s="704">
        <f>Q1457*J1457</f>
        <v>57.6</v>
      </c>
      <c r="S1457" s="489">
        <v>36.6</v>
      </c>
      <c r="T1457" s="113">
        <f>S1457*J1457</f>
        <v>3294</v>
      </c>
      <c r="U1457" s="532" t="s">
        <v>2295</v>
      </c>
      <c r="V1457" s="494">
        <v>90</v>
      </c>
    </row>
    <row r="1458" spans="1:22" s="7" customFormat="1" ht="15.95" customHeight="1">
      <c r="A1458" s="1"/>
      <c r="B1458" s="12"/>
      <c r="C1458" s="6" t="s">
        <v>2728</v>
      </c>
      <c r="D1458" s="15" t="s">
        <v>892</v>
      </c>
      <c r="E1458" s="24"/>
      <c r="F1458" s="138"/>
      <c r="G1458" s="44" t="s">
        <v>1993</v>
      </c>
      <c r="H1458" s="8"/>
      <c r="I1458" s="41"/>
      <c r="J1458" s="45">
        <v>1</v>
      </c>
      <c r="K1458" s="46">
        <v>12</v>
      </c>
      <c r="L1458" s="46">
        <f>K1458*J1458</f>
        <v>12</v>
      </c>
      <c r="M1458" s="39"/>
      <c r="N1458" s="39">
        <v>44692</v>
      </c>
      <c r="O1458" s="38">
        <v>4180</v>
      </c>
      <c r="P1458" s="6"/>
      <c r="Q1458" s="483">
        <v>12</v>
      </c>
      <c r="R1458" s="704">
        <f>Q1458*J1458</f>
        <v>12</v>
      </c>
      <c r="S1458" s="489">
        <v>0</v>
      </c>
      <c r="T1458" s="113">
        <f>S1458*J1458</f>
        <v>0</v>
      </c>
      <c r="U1458" s="501"/>
      <c r="V1458" s="494">
        <v>90</v>
      </c>
    </row>
    <row r="1459" spans="1:22" s="314" customFormat="1" ht="15" customHeight="1">
      <c r="A1459" s="1"/>
      <c r="B1459" s="313"/>
      <c r="C1459" s="302" t="s">
        <v>2728</v>
      </c>
      <c r="D1459" s="303" t="s">
        <v>892</v>
      </c>
      <c r="E1459" s="304"/>
      <c r="F1459" s="305"/>
      <c r="G1459" s="691" t="s">
        <v>1227</v>
      </c>
      <c r="H1459" s="307" t="s">
        <v>1228</v>
      </c>
      <c r="I1459" s="308"/>
      <c r="J1459" s="306"/>
      <c r="K1459" s="315">
        <v>0</v>
      </c>
      <c r="L1459" s="310"/>
      <c r="M1459" s="310"/>
      <c r="N1459" s="310">
        <v>44692</v>
      </c>
      <c r="O1459" s="309">
        <v>4180</v>
      </c>
      <c r="P1459" s="302"/>
      <c r="Q1459" s="485">
        <v>0</v>
      </c>
      <c r="S1459" s="536">
        <v>0</v>
      </c>
      <c r="T1459" s="322">
        <v>0</v>
      </c>
      <c r="U1459" s="515"/>
      <c r="V1459" s="494">
        <v>90</v>
      </c>
    </row>
    <row r="1460" spans="1:22" s="7" customFormat="1" ht="15">
      <c r="A1460" s="1"/>
      <c r="B1460" s="12"/>
      <c r="C1460" s="6" t="s">
        <v>2738</v>
      </c>
      <c r="D1460" s="61" t="s">
        <v>630</v>
      </c>
      <c r="E1460" s="20" t="s">
        <v>902</v>
      </c>
      <c r="F1460" s="26"/>
      <c r="G1460" s="24"/>
      <c r="H1460" s="36"/>
      <c r="I1460" s="68"/>
      <c r="J1460" s="67"/>
      <c r="K1460" s="17" t="s">
        <v>10</v>
      </c>
      <c r="L1460" s="11"/>
      <c r="M1460" s="11"/>
      <c r="N1460" s="39">
        <v>44693</v>
      </c>
      <c r="O1460" s="38">
        <v>4186</v>
      </c>
      <c r="P1460" s="6"/>
      <c r="Q1460" s="482"/>
      <c r="S1460" s="489"/>
      <c r="T1460" s="113"/>
      <c r="U1460" s="500"/>
      <c r="V1460" s="494">
        <v>90</v>
      </c>
    </row>
    <row r="1461" spans="1:22" s="7" customFormat="1" ht="15.75">
      <c r="A1461" s="1"/>
      <c r="B1461" s="12" t="s">
        <v>1856</v>
      </c>
      <c r="C1461" s="6" t="s">
        <v>2738</v>
      </c>
      <c r="D1461" s="61" t="s">
        <v>630</v>
      </c>
      <c r="E1461" s="24">
        <v>3709</v>
      </c>
      <c r="F1461" s="26">
        <v>25</v>
      </c>
      <c r="G1461" s="24" t="s">
        <v>29</v>
      </c>
      <c r="H1461" s="8">
        <v>30</v>
      </c>
      <c r="I1461" s="41">
        <v>1</v>
      </c>
      <c r="J1461" s="8">
        <f>H1461*I1461</f>
        <v>30</v>
      </c>
      <c r="K1461" s="25">
        <v>0.89</v>
      </c>
      <c r="L1461" s="46">
        <f>K1461*J1461</f>
        <v>26.7</v>
      </c>
      <c r="M1461" s="162" t="s">
        <v>2219</v>
      </c>
      <c r="N1461" s="39">
        <v>44693</v>
      </c>
      <c r="O1461" s="38">
        <v>4186</v>
      </c>
      <c r="P1461" s="46">
        <f>K1461*(VLOOKUP(B1461,$C$2:$F$6,3,FALSE))</f>
        <v>0.78320000000000001</v>
      </c>
      <c r="Q1461" s="482">
        <v>0.78</v>
      </c>
      <c r="R1461" s="704">
        <f>Q1461*J1461</f>
        <v>23.400000000000002</v>
      </c>
      <c r="S1461" s="489">
        <v>47.97</v>
      </c>
      <c r="T1461" s="567">
        <f>S1461*J1461</f>
        <v>1439.1</v>
      </c>
      <c r="U1461" s="500"/>
      <c r="V1461" s="494">
        <v>90</v>
      </c>
    </row>
    <row r="1462" spans="1:22" s="7" customFormat="1" ht="15">
      <c r="A1462" s="1"/>
      <c r="B1462" s="12" t="s">
        <v>1862</v>
      </c>
      <c r="C1462" s="6" t="s">
        <v>2738</v>
      </c>
      <c r="D1462" s="61" t="s">
        <v>630</v>
      </c>
      <c r="E1462" s="24"/>
      <c r="F1462" s="26"/>
      <c r="G1462" s="44" t="s">
        <v>1993</v>
      </c>
      <c r="H1462" s="36"/>
      <c r="I1462" s="68"/>
      <c r="J1462" s="45">
        <v>1</v>
      </c>
      <c r="K1462" s="25">
        <v>12</v>
      </c>
      <c r="L1462" s="46">
        <f>K1462*J1462</f>
        <v>12</v>
      </c>
      <c r="M1462" s="39"/>
      <c r="N1462" s="39">
        <v>44693</v>
      </c>
      <c r="O1462" s="38">
        <v>4186</v>
      </c>
      <c r="P1462" s="46">
        <f>K1462*(VLOOKUP(B1462,$C$2:$F$6,3,FALSE))</f>
        <v>12</v>
      </c>
      <c r="Q1462" s="482">
        <v>12</v>
      </c>
      <c r="R1462" s="704">
        <f>Q1462*J1462</f>
        <v>12</v>
      </c>
      <c r="S1462" s="489">
        <v>0</v>
      </c>
      <c r="T1462" s="567">
        <f>S1462*J1462</f>
        <v>0</v>
      </c>
      <c r="U1462" s="500"/>
      <c r="V1462" s="494">
        <v>90</v>
      </c>
    </row>
    <row r="1463" spans="1:22" s="7" customFormat="1" ht="15.75">
      <c r="A1463" s="1"/>
      <c r="B1463" s="12" t="s">
        <v>1856</v>
      </c>
      <c r="C1463" s="6" t="s">
        <v>2738</v>
      </c>
      <c r="D1463" s="61" t="s">
        <v>630</v>
      </c>
      <c r="E1463" s="24">
        <v>3709</v>
      </c>
      <c r="F1463" s="26">
        <v>25</v>
      </c>
      <c r="G1463" s="24" t="s">
        <v>304</v>
      </c>
      <c r="H1463" s="8">
        <v>30</v>
      </c>
      <c r="I1463" s="41">
        <v>9</v>
      </c>
      <c r="J1463" s="8">
        <f>H1463*I1463</f>
        <v>270</v>
      </c>
      <c r="K1463" s="25">
        <v>0.89</v>
      </c>
      <c r="L1463" s="46">
        <f>K1463*J1463</f>
        <v>240.3</v>
      </c>
      <c r="M1463" s="162" t="s">
        <v>2219</v>
      </c>
      <c r="N1463" s="39">
        <v>44701</v>
      </c>
      <c r="O1463" s="38">
        <v>4219</v>
      </c>
      <c r="P1463" s="46">
        <f>K1463*(VLOOKUP(B1463,$C$2:$F$6,3,FALSE))</f>
        <v>0.78320000000000001</v>
      </c>
      <c r="Q1463" s="482">
        <v>0.78</v>
      </c>
      <c r="R1463" s="704">
        <f>Q1463*J1463</f>
        <v>210.6</v>
      </c>
      <c r="S1463" s="489">
        <v>47.97</v>
      </c>
      <c r="T1463" s="567">
        <f>S1463*J1463</f>
        <v>12951.9</v>
      </c>
      <c r="U1463" s="500"/>
      <c r="V1463" s="494">
        <v>90</v>
      </c>
    </row>
    <row r="1464" spans="1:22" s="314" customFormat="1" ht="15" customHeight="1">
      <c r="A1464" s="1"/>
      <c r="B1464" s="313"/>
      <c r="C1464" s="302" t="s">
        <v>2738</v>
      </c>
      <c r="D1464" s="592" t="s">
        <v>630</v>
      </c>
      <c r="E1464" s="304"/>
      <c r="F1464" s="305"/>
      <c r="G1464" s="305" t="s">
        <v>1227</v>
      </c>
      <c r="H1464" s="307" t="s">
        <v>1228</v>
      </c>
      <c r="I1464" s="308"/>
      <c r="J1464" s="306"/>
      <c r="K1464" s="315">
        <v>0</v>
      </c>
      <c r="L1464" s="310"/>
      <c r="M1464" s="310"/>
      <c r="N1464" s="310">
        <v>44701</v>
      </c>
      <c r="O1464" s="309">
        <v>4219</v>
      </c>
      <c r="P1464" s="302"/>
      <c r="Q1464" s="485">
        <v>0</v>
      </c>
      <c r="S1464" s="535">
        <v>0</v>
      </c>
      <c r="T1464" s="322">
        <v>0</v>
      </c>
      <c r="U1464" s="515"/>
      <c r="V1464" s="494">
        <v>90</v>
      </c>
    </row>
    <row r="1465" spans="1:22" s="7" customFormat="1" ht="15">
      <c r="A1465" s="1"/>
      <c r="B1465" s="12"/>
      <c r="C1465" s="6" t="s">
        <v>2739</v>
      </c>
      <c r="D1465" s="15" t="s">
        <v>909</v>
      </c>
      <c r="E1465" s="20" t="s">
        <v>1139</v>
      </c>
      <c r="F1465" s="26"/>
      <c r="G1465" s="24"/>
      <c r="H1465" s="45"/>
      <c r="I1465" s="68"/>
      <c r="J1465" s="67"/>
      <c r="K1465" s="17" t="s">
        <v>10</v>
      </c>
      <c r="L1465" s="39"/>
      <c r="M1465" s="39"/>
      <c r="N1465" s="39">
        <v>44694</v>
      </c>
      <c r="O1465" s="38">
        <v>4192</v>
      </c>
      <c r="P1465" s="6"/>
      <c r="Q1465" s="482"/>
      <c r="S1465" s="489"/>
      <c r="T1465" s="113"/>
      <c r="U1465" s="500"/>
      <c r="V1465" s="494">
        <v>90</v>
      </c>
    </row>
    <row r="1466" spans="1:22" s="7" customFormat="1" ht="15" customHeight="1">
      <c r="A1466" s="1"/>
      <c r="B1466" s="12" t="s">
        <v>1856</v>
      </c>
      <c r="C1466" s="6" t="s">
        <v>2739</v>
      </c>
      <c r="D1466" s="15" t="s">
        <v>909</v>
      </c>
      <c r="E1466" s="24">
        <v>3717</v>
      </c>
      <c r="F1466" s="26">
        <v>19</v>
      </c>
      <c r="G1466" s="24" t="s">
        <v>1830</v>
      </c>
      <c r="H1466" s="151">
        <v>30</v>
      </c>
      <c r="I1466" s="152">
        <v>15</v>
      </c>
      <c r="J1466" s="67">
        <f>H1466*I1466</f>
        <v>450</v>
      </c>
      <c r="K1466" s="46">
        <v>0.44</v>
      </c>
      <c r="L1466" s="46">
        <f>K1466*J1466</f>
        <v>198</v>
      </c>
      <c r="M1466" s="162" t="s">
        <v>2219</v>
      </c>
      <c r="N1466" s="39">
        <v>44694</v>
      </c>
      <c r="O1466" s="38">
        <v>4192</v>
      </c>
      <c r="P1466" s="46">
        <f>K1466*(VLOOKUP(B1466,$C$2:$F$6,3,FALSE))</f>
        <v>0.38719999999999999</v>
      </c>
      <c r="Q1466" s="483">
        <v>0.39</v>
      </c>
      <c r="R1466" s="704">
        <f>Q1466*J1466</f>
        <v>175.5</v>
      </c>
      <c r="S1466" s="489">
        <v>23.33</v>
      </c>
      <c r="T1466" s="567">
        <f>S1466*J1466</f>
        <v>10498.5</v>
      </c>
      <c r="U1466" s="500"/>
      <c r="V1466" s="494">
        <v>90</v>
      </c>
    </row>
    <row r="1467" spans="1:22" s="7" customFormat="1" ht="15" customHeight="1">
      <c r="A1467" s="1"/>
      <c r="B1467" s="12" t="s">
        <v>1856</v>
      </c>
      <c r="C1467" s="6" t="s">
        <v>2739</v>
      </c>
      <c r="D1467" s="15" t="s">
        <v>909</v>
      </c>
      <c r="E1467" s="1012">
        <v>3717</v>
      </c>
      <c r="F1467" s="26">
        <v>19</v>
      </c>
      <c r="G1467" s="24" t="s">
        <v>1830</v>
      </c>
      <c r="H1467" s="151">
        <v>30</v>
      </c>
      <c r="I1467" s="152">
        <v>10</v>
      </c>
      <c r="J1467" s="67">
        <f>H1467*I1467</f>
        <v>300</v>
      </c>
      <c r="K1467" s="46">
        <v>0.44</v>
      </c>
      <c r="L1467" s="46">
        <f>K1467*J1467</f>
        <v>132</v>
      </c>
      <c r="M1467" s="162" t="s">
        <v>2219</v>
      </c>
      <c r="N1467" s="39">
        <v>44719</v>
      </c>
      <c r="O1467" s="38">
        <v>4261</v>
      </c>
      <c r="P1467" s="46">
        <f>K1467*(VLOOKUP(B1467,$C$2:$F$6,3,FALSE))</f>
        <v>0.38719999999999999</v>
      </c>
      <c r="Q1467" s="483">
        <v>0.39</v>
      </c>
      <c r="R1467" s="704">
        <f>Q1467*J1467</f>
        <v>117</v>
      </c>
      <c r="S1467" s="489">
        <v>23.33</v>
      </c>
      <c r="T1467" s="567">
        <f>S1467*J1467</f>
        <v>6998.9999999999991</v>
      </c>
      <c r="U1467" s="500"/>
      <c r="V1467" s="494">
        <v>90</v>
      </c>
    </row>
    <row r="1468" spans="1:22" ht="15.95" customHeight="1">
      <c r="C1468" s="6" t="s">
        <v>2739</v>
      </c>
      <c r="D1468" s="15" t="s">
        <v>909</v>
      </c>
      <c r="E1468" s="24"/>
      <c r="F1468" s="138"/>
      <c r="G1468" s="44" t="s">
        <v>1993</v>
      </c>
      <c r="H1468" s="8"/>
      <c r="I1468" s="41"/>
      <c r="J1468" s="45">
        <v>1</v>
      </c>
      <c r="K1468" s="46">
        <v>12</v>
      </c>
      <c r="L1468" s="39"/>
      <c r="M1468" s="39"/>
      <c r="N1468" s="39">
        <v>44719</v>
      </c>
      <c r="O1468" s="38">
        <v>4261</v>
      </c>
      <c r="P1468" s="179"/>
      <c r="Q1468" s="483">
        <v>12</v>
      </c>
      <c r="R1468" s="704">
        <f>Q1468*J1468</f>
        <v>12</v>
      </c>
      <c r="S1468" s="1011">
        <v>0</v>
      </c>
      <c r="T1468" s="567">
        <f>S1468*J1468</f>
        <v>0</v>
      </c>
      <c r="U1468" s="511"/>
      <c r="V1468" s="494">
        <v>90</v>
      </c>
    </row>
    <row r="1469" spans="1:22" s="314" customFormat="1" ht="15">
      <c r="A1469" s="1"/>
      <c r="B1469" s="313"/>
      <c r="C1469" s="302" t="s">
        <v>2739</v>
      </c>
      <c r="D1469" s="303" t="s">
        <v>909</v>
      </c>
      <c r="E1469" s="304"/>
      <c r="F1469" s="305"/>
      <c r="G1469" s="305" t="s">
        <v>1227</v>
      </c>
      <c r="H1469" s="307" t="s">
        <v>1228</v>
      </c>
      <c r="I1469" s="308"/>
      <c r="J1469" s="306"/>
      <c r="K1469" s="315">
        <v>0</v>
      </c>
      <c r="L1469" s="310"/>
      <c r="M1469" s="310"/>
      <c r="N1469" s="310">
        <v>44719</v>
      </c>
      <c r="O1469" s="309">
        <v>4261</v>
      </c>
      <c r="P1469" s="302"/>
      <c r="Q1469" s="485">
        <v>0</v>
      </c>
      <c r="S1469" s="535">
        <v>0</v>
      </c>
      <c r="T1469" s="322">
        <v>0</v>
      </c>
      <c r="U1469" s="515"/>
      <c r="V1469" s="494">
        <v>90</v>
      </c>
    </row>
    <row r="1470" spans="1:22" s="7" customFormat="1" ht="18" customHeight="1">
      <c r="A1470" s="1"/>
      <c r="B1470" s="12"/>
      <c r="C1470" s="6" t="s">
        <v>2747</v>
      </c>
      <c r="D1470" s="15" t="s">
        <v>586</v>
      </c>
      <c r="E1470" s="20" t="s">
        <v>1003</v>
      </c>
      <c r="F1470" s="24"/>
      <c r="G1470" s="44"/>
      <c r="H1470" s="151"/>
      <c r="I1470" s="151"/>
      <c r="J1470" s="151"/>
      <c r="K1470" s="153" t="s">
        <v>10</v>
      </c>
      <c r="L1470" s="39"/>
      <c r="M1470" s="39"/>
      <c r="N1470" s="39">
        <v>44701</v>
      </c>
      <c r="O1470" s="38">
        <v>4207</v>
      </c>
      <c r="P1470" s="6"/>
      <c r="Q1470" s="411"/>
      <c r="S1470" s="489"/>
      <c r="T1470" s="113"/>
      <c r="U1470" s="501"/>
      <c r="V1470" s="494">
        <v>90</v>
      </c>
    </row>
    <row r="1471" spans="1:22" s="7" customFormat="1" ht="15.95" customHeight="1">
      <c r="A1471" s="1"/>
      <c r="B1471" s="12" t="s">
        <v>1856</v>
      </c>
      <c r="C1471" s="6" t="s">
        <v>2747</v>
      </c>
      <c r="D1471" s="15" t="s">
        <v>586</v>
      </c>
      <c r="E1471" s="24" t="s">
        <v>1801</v>
      </c>
      <c r="F1471" s="44"/>
      <c r="G1471" s="44" t="s">
        <v>78</v>
      </c>
      <c r="H1471" s="8">
        <v>14</v>
      </c>
      <c r="I1471" s="41">
        <v>18</v>
      </c>
      <c r="J1471" s="67">
        <f>H1471*I1471</f>
        <v>252</v>
      </c>
      <c r="K1471" s="46">
        <v>1.6</v>
      </c>
      <c r="L1471" s="46">
        <f>K1471*J1471</f>
        <v>403.20000000000005</v>
      </c>
      <c r="M1471" s="162" t="s">
        <v>2219</v>
      </c>
      <c r="N1471" s="39">
        <v>44701</v>
      </c>
      <c r="O1471" s="38">
        <v>4207</v>
      </c>
      <c r="P1471" s="180">
        <f>K1471*(VLOOKUP(B1471,$C$2:$F$6,3,FALSE))</f>
        <v>1.4080000000000001</v>
      </c>
      <c r="Q1471" s="483">
        <v>1.41</v>
      </c>
      <c r="R1471" s="704">
        <f>Q1471*J1471</f>
        <v>355.32</v>
      </c>
      <c r="S1471" s="489">
        <v>86</v>
      </c>
      <c r="T1471" s="113">
        <f>S1471*J1471</f>
        <v>21672</v>
      </c>
      <c r="U1471" s="517"/>
      <c r="V1471" s="494">
        <v>90</v>
      </c>
    </row>
    <row r="1472" spans="1:22" ht="15.95" customHeight="1">
      <c r="B1472" s="12" t="s">
        <v>1862</v>
      </c>
      <c r="C1472" s="6" t="s">
        <v>2747</v>
      </c>
      <c r="D1472" s="15" t="s">
        <v>586</v>
      </c>
      <c r="E1472" s="24"/>
      <c r="F1472" s="138"/>
      <c r="G1472" s="44" t="s">
        <v>1993</v>
      </c>
      <c r="H1472" s="8"/>
      <c r="I1472" s="41"/>
      <c r="J1472" s="45">
        <v>1</v>
      </c>
      <c r="K1472" s="46">
        <v>12</v>
      </c>
      <c r="L1472" s="46">
        <f>K1472*J1472</f>
        <v>12</v>
      </c>
      <c r="M1472" s="112"/>
      <c r="N1472" s="39">
        <v>44701</v>
      </c>
      <c r="O1472" s="38">
        <v>4207</v>
      </c>
      <c r="P1472" s="46">
        <f>K1472*(VLOOKUP(B1472,$C$2:$F$6,3,FALSE))</f>
        <v>12</v>
      </c>
      <c r="Q1472" s="483">
        <v>12</v>
      </c>
      <c r="R1472" s="704">
        <v>12</v>
      </c>
      <c r="S1472" s="489">
        <v>0</v>
      </c>
      <c r="T1472" s="113">
        <f>S1472*J1472</f>
        <v>0</v>
      </c>
      <c r="U1472" s="511"/>
      <c r="V1472" s="494">
        <v>90</v>
      </c>
    </row>
    <row r="1473" spans="1:22" s="314" customFormat="1" ht="15">
      <c r="A1473" s="1"/>
      <c r="B1473" s="313"/>
      <c r="C1473" s="302" t="s">
        <v>2747</v>
      </c>
      <c r="D1473" s="303" t="s">
        <v>586</v>
      </c>
      <c r="E1473" s="304"/>
      <c r="F1473" s="305"/>
      <c r="G1473" s="305" t="s">
        <v>1227</v>
      </c>
      <c r="H1473" s="307" t="s">
        <v>1228</v>
      </c>
      <c r="I1473" s="308"/>
      <c r="J1473" s="306"/>
      <c r="K1473" s="315">
        <v>0</v>
      </c>
      <c r="L1473" s="310"/>
      <c r="M1473" s="310"/>
      <c r="N1473" s="310">
        <v>44701</v>
      </c>
      <c r="O1473" s="309">
        <v>4207</v>
      </c>
      <c r="P1473" s="302"/>
      <c r="Q1473" s="485">
        <v>0</v>
      </c>
      <c r="S1473" s="536">
        <v>0</v>
      </c>
      <c r="T1473" s="322">
        <v>0</v>
      </c>
      <c r="U1473" s="515"/>
      <c r="V1473" s="494">
        <v>90</v>
      </c>
    </row>
    <row r="1474" spans="1:22" ht="15">
      <c r="C1474" s="6" t="s">
        <v>2748</v>
      </c>
      <c r="D1474" s="15" t="s">
        <v>11</v>
      </c>
      <c r="E1474" s="20" t="s">
        <v>79</v>
      </c>
      <c r="F1474" s="150"/>
      <c r="G1474" s="24"/>
      <c r="H1474" s="151"/>
      <c r="I1474" s="152"/>
      <c r="J1474" s="151"/>
      <c r="K1474" s="153" t="s">
        <v>10</v>
      </c>
      <c r="L1474" s="39"/>
      <c r="M1474" s="39"/>
      <c r="N1474" s="39">
        <v>44708</v>
      </c>
      <c r="O1474" s="38">
        <v>4230</v>
      </c>
      <c r="P1474" s="15"/>
      <c r="Q1474" s="483"/>
      <c r="S1474" s="496"/>
      <c r="T1474" s="113"/>
      <c r="V1474" s="494">
        <v>90</v>
      </c>
    </row>
    <row r="1475" spans="1:22" ht="15.75">
      <c r="B1475" s="12" t="s">
        <v>1858</v>
      </c>
      <c r="C1475" s="6" t="s">
        <v>2748</v>
      </c>
      <c r="D1475" s="15" t="s">
        <v>11</v>
      </c>
      <c r="E1475" s="24">
        <v>2440</v>
      </c>
      <c r="F1475" s="150">
        <v>140</v>
      </c>
      <c r="G1475" s="24" t="s">
        <v>859</v>
      </c>
      <c r="H1475" s="67">
        <v>58</v>
      </c>
      <c r="I1475" s="68">
        <v>20</v>
      </c>
      <c r="J1475" s="67">
        <f>H1475*I1475</f>
        <v>1160</v>
      </c>
      <c r="K1475" s="46">
        <v>3.89</v>
      </c>
      <c r="L1475" s="46">
        <f>K1475*J1475</f>
        <v>4512.4000000000005</v>
      </c>
      <c r="M1475" s="162" t="s">
        <v>2219</v>
      </c>
      <c r="N1475" s="39">
        <v>44708</v>
      </c>
      <c r="O1475" s="38">
        <v>4230</v>
      </c>
      <c r="P1475" s="46">
        <f>K1475*(VLOOKUP(B1475,$C$2:$F$6,3,FALSE))</f>
        <v>3.6566000000000001</v>
      </c>
      <c r="Q1475" s="483">
        <v>3.66</v>
      </c>
      <c r="R1475" s="704">
        <f>Q1475*J1475</f>
        <v>4245.6000000000004</v>
      </c>
      <c r="S1475" s="532">
        <v>280</v>
      </c>
      <c r="T1475" s="567">
        <f>S1475*J1475</f>
        <v>324800</v>
      </c>
      <c r="V1475" s="494">
        <v>90</v>
      </c>
    </row>
    <row r="1476" spans="1:22" ht="15">
      <c r="C1476" s="6" t="s">
        <v>2748</v>
      </c>
      <c r="D1476" s="15" t="s">
        <v>11</v>
      </c>
      <c r="E1476" s="24"/>
      <c r="F1476" s="160"/>
      <c r="G1476" s="228" t="s">
        <v>481</v>
      </c>
      <c r="H1476" s="214"/>
      <c r="I1476" s="215"/>
      <c r="J1476" s="43">
        <v>1</v>
      </c>
      <c r="K1476" s="229">
        <v>20</v>
      </c>
      <c r="L1476" s="417" t="s">
        <v>1676</v>
      </c>
      <c r="M1476" s="417"/>
      <c r="N1476" s="39">
        <v>44708</v>
      </c>
      <c r="O1476" s="38">
        <v>4230</v>
      </c>
      <c r="P1476" s="216"/>
      <c r="Q1476" s="525">
        <v>0</v>
      </c>
      <c r="R1476" s="704">
        <f>Q1476*J1476</f>
        <v>0</v>
      </c>
      <c r="S1476" s="532">
        <v>1800</v>
      </c>
      <c r="T1476" s="113">
        <f>S1476*J1476</f>
        <v>1800</v>
      </c>
      <c r="V1476" s="494">
        <v>90</v>
      </c>
    </row>
    <row r="1477" spans="1:22" s="7" customFormat="1" ht="15" customHeight="1">
      <c r="A1477" s="1"/>
      <c r="B1477" s="12"/>
      <c r="C1477" s="220" t="s">
        <v>2748</v>
      </c>
      <c r="D1477" s="224" t="s">
        <v>11</v>
      </c>
      <c r="E1477" s="991" t="s">
        <v>27</v>
      </c>
      <c r="F1477" s="992"/>
      <c r="G1477" s="177"/>
      <c r="H1477" s="223"/>
      <c r="I1477" s="231"/>
      <c r="J1477" s="223"/>
      <c r="K1477" s="993" t="s">
        <v>10</v>
      </c>
      <c r="L1477" s="994"/>
      <c r="M1477" s="994"/>
      <c r="N1477" s="994"/>
      <c r="O1477" s="203"/>
      <c r="P1477" s="15"/>
      <c r="Q1477" s="483"/>
      <c r="S1477" s="489"/>
      <c r="T1477" s="113"/>
      <c r="U1477" s="506"/>
      <c r="V1477" s="494">
        <v>90</v>
      </c>
    </row>
    <row r="1478" spans="1:22" s="7" customFormat="1" ht="15.75">
      <c r="A1478" s="1"/>
      <c r="B1478" s="12" t="s">
        <v>1858</v>
      </c>
      <c r="C1478" s="220" t="s">
        <v>2748</v>
      </c>
      <c r="D1478" s="224" t="s">
        <v>11</v>
      </c>
      <c r="E1478" s="225" t="s">
        <v>536</v>
      </c>
      <c r="F1478" s="992">
        <v>160</v>
      </c>
      <c r="G1478" s="995" t="s">
        <v>2749</v>
      </c>
      <c r="H1478" s="996">
        <v>49.5</v>
      </c>
      <c r="I1478" s="997">
        <v>1</v>
      </c>
      <c r="J1478" s="998">
        <f>H1478*I1478</f>
        <v>49.5</v>
      </c>
      <c r="K1478" s="999">
        <v>5</v>
      </c>
      <c r="L1478" s="201">
        <f>K1478*J1478</f>
        <v>247.5</v>
      </c>
      <c r="M1478" s="1000" t="s">
        <v>2219</v>
      </c>
      <c r="N1478" s="1001" t="s">
        <v>2775</v>
      </c>
      <c r="O1478" s="203"/>
      <c r="P1478" s="46"/>
      <c r="Q1478" s="483"/>
      <c r="R1478" s="704">
        <f>Q1478*J1478</f>
        <v>0</v>
      </c>
      <c r="S1478" s="532"/>
      <c r="T1478" s="567"/>
      <c r="U1478" s="501"/>
      <c r="V1478" s="494">
        <v>90</v>
      </c>
    </row>
    <row r="1479" spans="1:22" s="314" customFormat="1" ht="15">
      <c r="A1479" s="1"/>
      <c r="B1479" s="313"/>
      <c r="C1479" s="302" t="s">
        <v>2748</v>
      </c>
      <c r="D1479" s="303" t="s">
        <v>11</v>
      </c>
      <c r="E1479" s="304"/>
      <c r="F1479" s="305"/>
      <c r="G1479" s="305" t="s">
        <v>1227</v>
      </c>
      <c r="H1479" s="307" t="s">
        <v>1228</v>
      </c>
      <c r="I1479" s="308"/>
      <c r="J1479" s="306"/>
      <c r="K1479" s="315">
        <v>0</v>
      </c>
      <c r="L1479" s="310"/>
      <c r="M1479" s="310"/>
      <c r="N1479" s="310"/>
      <c r="O1479" s="309"/>
      <c r="P1479" s="302"/>
      <c r="Q1479" s="485">
        <v>0</v>
      </c>
      <c r="S1479" s="535">
        <v>0</v>
      </c>
      <c r="T1479" s="322">
        <v>0</v>
      </c>
      <c r="U1479" s="515"/>
      <c r="V1479" s="494">
        <v>90</v>
      </c>
    </row>
    <row r="1480" spans="1:22" ht="15">
      <c r="C1480" s="6" t="s">
        <v>2791</v>
      </c>
      <c r="D1480" s="15" t="s">
        <v>2772</v>
      </c>
      <c r="E1480" s="20" t="s">
        <v>2773</v>
      </c>
      <c r="F1480" s="44"/>
      <c r="G1480" s="44"/>
      <c r="H1480" s="151"/>
      <c r="I1480" s="151"/>
      <c r="J1480" s="151"/>
      <c r="K1480" s="34" t="s">
        <v>134</v>
      </c>
      <c r="L1480" s="213"/>
      <c r="M1480" s="39"/>
      <c r="N1480" s="39">
        <v>44714</v>
      </c>
      <c r="O1480" s="38">
        <v>4241</v>
      </c>
      <c r="P1480" s="6"/>
      <c r="Q1480" s="862"/>
      <c r="S1480" s="7"/>
      <c r="T1480" s="7"/>
      <c r="U1480" s="23"/>
      <c r="V1480" s="494">
        <v>90</v>
      </c>
    </row>
    <row r="1481" spans="1:22" ht="15.75">
      <c r="B1481" s="28" t="s">
        <v>1856</v>
      </c>
      <c r="C1481" s="6" t="s">
        <v>2791</v>
      </c>
      <c r="D1481" s="15" t="s">
        <v>2772</v>
      </c>
      <c r="E1481" s="24">
        <v>2200</v>
      </c>
      <c r="F1481" s="44">
        <v>18</v>
      </c>
      <c r="G1481" s="24" t="s">
        <v>2789</v>
      </c>
      <c r="H1481" s="151">
        <v>15</v>
      </c>
      <c r="I1481" s="152">
        <v>1</v>
      </c>
      <c r="J1481" s="8">
        <f>H1481*I1481</f>
        <v>15</v>
      </c>
      <c r="K1481" s="46">
        <v>1.52</v>
      </c>
      <c r="L1481" s="46">
        <f>K1481*J1481</f>
        <v>22.8</v>
      </c>
      <c r="M1481" s="162" t="s">
        <v>2607</v>
      </c>
      <c r="N1481" s="39">
        <v>44714</v>
      </c>
      <c r="O1481" s="38">
        <v>4241</v>
      </c>
      <c r="P1481" s="46">
        <f>K1481*(VLOOKUP(B1481,$C$2:$F$6,3,FALSE))</f>
        <v>1.3376000000000001</v>
      </c>
      <c r="Q1481" s="703">
        <v>1.34</v>
      </c>
      <c r="R1481" s="703">
        <f>Q1481*J1481</f>
        <v>20.100000000000001</v>
      </c>
      <c r="S1481" s="7">
        <v>74.2</v>
      </c>
      <c r="T1481" s="7">
        <f>S1481*J1481</f>
        <v>1113</v>
      </c>
      <c r="U1481" s="207" t="s">
        <v>2790</v>
      </c>
      <c r="V1481" s="494">
        <v>90</v>
      </c>
    </row>
    <row r="1482" spans="1:22" ht="15.95" customHeight="1">
      <c r="B1482" s="12" t="s">
        <v>1862</v>
      </c>
      <c r="C1482" s="6" t="s">
        <v>2791</v>
      </c>
      <c r="D1482" s="15" t="s">
        <v>2772</v>
      </c>
      <c r="E1482" s="24"/>
      <c r="F1482" s="138"/>
      <c r="G1482" s="44" t="s">
        <v>1993</v>
      </c>
      <c r="H1482" s="8"/>
      <c r="I1482" s="41"/>
      <c r="J1482" s="45">
        <v>1</v>
      </c>
      <c r="K1482" s="46">
        <v>12</v>
      </c>
      <c r="L1482" s="46">
        <f>K1482*J1482</f>
        <v>12</v>
      </c>
      <c r="M1482" s="112"/>
      <c r="N1482" s="39">
        <v>44714</v>
      </c>
      <c r="O1482" s="38">
        <v>4241</v>
      </c>
      <c r="P1482" s="46">
        <f>K1482*(VLOOKUP(B1482,$C$2:$F$6,3,FALSE))</f>
        <v>12</v>
      </c>
      <c r="Q1482" s="483">
        <v>12</v>
      </c>
      <c r="R1482" s="704">
        <v>12</v>
      </c>
      <c r="S1482" s="489">
        <v>0</v>
      </c>
      <c r="T1482" s="113">
        <f>S1482*J1482</f>
        <v>0</v>
      </c>
      <c r="U1482" s="511"/>
      <c r="V1482" s="494">
        <v>90</v>
      </c>
    </row>
    <row r="1483" spans="1:22" s="314" customFormat="1" ht="15">
      <c r="A1483" s="1"/>
      <c r="B1483" s="313"/>
      <c r="C1483" s="302" t="s">
        <v>2791</v>
      </c>
      <c r="D1483" s="303" t="s">
        <v>2772</v>
      </c>
      <c r="E1483" s="304"/>
      <c r="F1483" s="305"/>
      <c r="G1483" s="305" t="s">
        <v>1227</v>
      </c>
      <c r="H1483" s="307" t="s">
        <v>1228</v>
      </c>
      <c r="I1483" s="308"/>
      <c r="J1483" s="306"/>
      <c r="K1483" s="315">
        <v>0</v>
      </c>
      <c r="L1483" s="310"/>
      <c r="M1483" s="310"/>
      <c r="N1483" s="310">
        <v>44714</v>
      </c>
      <c r="O1483" s="309">
        <v>4241</v>
      </c>
      <c r="P1483" s="302"/>
      <c r="Q1483" s="485">
        <v>0</v>
      </c>
      <c r="S1483" s="535">
        <v>0</v>
      </c>
      <c r="T1483" s="322">
        <v>0</v>
      </c>
      <c r="U1483" s="515"/>
      <c r="V1483" s="494">
        <v>90</v>
      </c>
    </row>
    <row r="1484" spans="1:22" ht="15">
      <c r="C1484" s="6" t="s">
        <v>2771</v>
      </c>
      <c r="D1484" s="15" t="s">
        <v>2772</v>
      </c>
      <c r="E1484" s="20" t="s">
        <v>2773</v>
      </c>
      <c r="F1484" s="44"/>
      <c r="G1484" s="44"/>
      <c r="H1484" s="151"/>
      <c r="I1484" s="151"/>
      <c r="J1484" s="151"/>
      <c r="K1484" s="34" t="s">
        <v>134</v>
      </c>
      <c r="L1484" s="213"/>
      <c r="M1484" s="39"/>
      <c r="N1484" s="39">
        <v>44740</v>
      </c>
      <c r="O1484" s="38">
        <v>4302</v>
      </c>
      <c r="P1484" s="6"/>
      <c r="Q1484" s="862"/>
      <c r="S1484" s="7"/>
      <c r="T1484" s="7"/>
      <c r="U1484" s="23"/>
      <c r="V1484" s="494">
        <v>90</v>
      </c>
    </row>
    <row r="1485" spans="1:22" ht="15.75">
      <c r="B1485" s="28" t="s">
        <v>1856</v>
      </c>
      <c r="C1485" s="6" t="s">
        <v>2771</v>
      </c>
      <c r="D1485" s="15" t="s">
        <v>2772</v>
      </c>
      <c r="E1485" s="24">
        <v>2200</v>
      </c>
      <c r="F1485" s="44">
        <v>18</v>
      </c>
      <c r="G1485" s="24" t="s">
        <v>2789</v>
      </c>
      <c r="H1485" s="151">
        <v>15</v>
      </c>
      <c r="I1485" s="152">
        <v>60</v>
      </c>
      <c r="J1485" s="8">
        <f>H1485*I1485</f>
        <v>900</v>
      </c>
      <c r="K1485" s="46">
        <v>1.52</v>
      </c>
      <c r="L1485" s="46">
        <f>K1485*J1485</f>
        <v>1368</v>
      </c>
      <c r="M1485" s="162" t="s">
        <v>2607</v>
      </c>
      <c r="N1485" s="39">
        <v>44740</v>
      </c>
      <c r="O1485" s="38">
        <v>4302</v>
      </c>
      <c r="P1485" s="46">
        <f>K1485*(VLOOKUP(B1485,$C$2:$F$6,3,FALSE))</f>
        <v>1.3376000000000001</v>
      </c>
      <c r="Q1485" s="703">
        <v>1.34</v>
      </c>
      <c r="R1485" s="703">
        <f>Q1485*J1485</f>
        <v>1206</v>
      </c>
      <c r="S1485" s="7">
        <v>74.2</v>
      </c>
      <c r="T1485" s="7">
        <f>S1485*J1485</f>
        <v>66780</v>
      </c>
      <c r="U1485" s="207" t="s">
        <v>2790</v>
      </c>
      <c r="V1485" s="494">
        <v>90</v>
      </c>
    </row>
    <row r="1486" spans="1:22" ht="15.95" customHeight="1">
      <c r="B1486" s="12" t="s">
        <v>1862</v>
      </c>
      <c r="C1486" s="6" t="s">
        <v>2771</v>
      </c>
      <c r="D1486" s="15" t="s">
        <v>2772</v>
      </c>
      <c r="E1486" s="24"/>
      <c r="F1486" s="138"/>
      <c r="G1486" s="44" t="s">
        <v>1993</v>
      </c>
      <c r="H1486" s="8"/>
      <c r="I1486" s="41"/>
      <c r="J1486" s="45">
        <v>1</v>
      </c>
      <c r="K1486" s="46">
        <v>12</v>
      </c>
      <c r="L1486" s="46">
        <f>K1486*J1486</f>
        <v>12</v>
      </c>
      <c r="M1486" s="112"/>
      <c r="N1486" s="39">
        <v>44740</v>
      </c>
      <c r="O1486" s="38">
        <v>4302</v>
      </c>
      <c r="P1486" s="46">
        <f>K1486*(VLOOKUP(B1486,$C$2:$F$6,3,FALSE))</f>
        <v>12</v>
      </c>
      <c r="Q1486" s="483">
        <v>12</v>
      </c>
      <c r="R1486" s="704">
        <v>12</v>
      </c>
      <c r="S1486" s="489">
        <v>0</v>
      </c>
      <c r="T1486" s="113">
        <f>S1486*J1486</f>
        <v>0</v>
      </c>
      <c r="U1486" s="511"/>
      <c r="V1486" s="494">
        <v>90</v>
      </c>
    </row>
    <row r="1487" spans="1:22" s="314" customFormat="1" ht="15">
      <c r="A1487" s="1"/>
      <c r="B1487" s="313"/>
      <c r="C1487" s="302" t="s">
        <v>2771</v>
      </c>
      <c r="D1487" s="303" t="s">
        <v>2772</v>
      </c>
      <c r="E1487" s="304"/>
      <c r="F1487" s="305"/>
      <c r="G1487" s="305" t="s">
        <v>1227</v>
      </c>
      <c r="H1487" s="307" t="s">
        <v>1228</v>
      </c>
      <c r="I1487" s="308"/>
      <c r="J1487" s="306"/>
      <c r="K1487" s="315">
        <v>0</v>
      </c>
      <c r="L1487" s="310"/>
      <c r="M1487" s="310"/>
      <c r="N1487" s="310">
        <v>44740</v>
      </c>
      <c r="O1487" s="309">
        <v>4302</v>
      </c>
      <c r="P1487" s="302"/>
      <c r="Q1487" s="485">
        <v>0</v>
      </c>
      <c r="S1487" s="535">
        <v>0</v>
      </c>
      <c r="T1487" s="322">
        <v>0</v>
      </c>
      <c r="U1487" s="515"/>
      <c r="V1487" s="494">
        <v>90</v>
      </c>
    </row>
    <row r="1488" spans="1:22" s="7" customFormat="1" ht="18" customHeight="1">
      <c r="A1488" s="1"/>
      <c r="B1488" s="12"/>
      <c r="C1488" s="6" t="s">
        <v>2800</v>
      </c>
      <c r="D1488" s="15" t="s">
        <v>1214</v>
      </c>
      <c r="E1488" s="20" t="s">
        <v>2801</v>
      </c>
      <c r="F1488" s="24"/>
      <c r="G1488" s="44"/>
      <c r="H1488" s="151"/>
      <c r="I1488" s="151"/>
      <c r="J1488" s="151"/>
      <c r="K1488" s="153" t="s">
        <v>10</v>
      </c>
      <c r="L1488" s="39"/>
      <c r="M1488" s="39"/>
      <c r="N1488" s="39">
        <v>44718</v>
      </c>
      <c r="O1488" s="38">
        <v>4257</v>
      </c>
      <c r="P1488" s="6"/>
      <c r="Q1488" s="411"/>
      <c r="S1488" s="489"/>
      <c r="T1488" s="113"/>
      <c r="U1488" s="501"/>
      <c r="V1488" s="494">
        <v>90</v>
      </c>
    </row>
    <row r="1489" spans="1:22" s="7" customFormat="1" ht="15.95" customHeight="1">
      <c r="A1489" s="1"/>
      <c r="B1489" s="12" t="s">
        <v>1856</v>
      </c>
      <c r="C1489" s="6" t="s">
        <v>2800</v>
      </c>
      <c r="D1489" s="15" t="s">
        <v>1214</v>
      </c>
      <c r="E1489" s="1010" t="s">
        <v>2781</v>
      </c>
      <c r="F1489" s="44"/>
      <c r="G1489" s="44" t="s">
        <v>78</v>
      </c>
      <c r="H1489" s="8"/>
      <c r="I1489" s="41"/>
      <c r="J1489" s="67">
        <v>10</v>
      </c>
      <c r="K1489" s="1007">
        <v>4.74</v>
      </c>
      <c r="L1489" s="46">
        <f>K1489*J1489</f>
        <v>47.400000000000006</v>
      </c>
      <c r="M1489" s="162" t="s">
        <v>2219</v>
      </c>
      <c r="N1489" s="39">
        <v>44718</v>
      </c>
      <c r="O1489" s="38">
        <v>4257</v>
      </c>
      <c r="P1489" s="180">
        <f>K1489*(VLOOKUP(B1489,$C$2:$F$6,3,FALSE))</f>
        <v>4.1711999999999998</v>
      </c>
      <c r="Q1489" s="483">
        <v>4.17</v>
      </c>
      <c r="R1489" s="704">
        <f>Q1489*J1489</f>
        <v>41.7</v>
      </c>
      <c r="S1489" s="489">
        <v>256</v>
      </c>
      <c r="T1489" s="113">
        <f>S1489*J1489</f>
        <v>2560</v>
      </c>
      <c r="U1489" s="517"/>
      <c r="V1489" s="494">
        <v>90</v>
      </c>
    </row>
    <row r="1490" spans="1:22" s="7" customFormat="1" ht="15.95" customHeight="1">
      <c r="A1490" s="1"/>
      <c r="B1490" s="12" t="s">
        <v>1856</v>
      </c>
      <c r="C1490" s="6" t="s">
        <v>2800</v>
      </c>
      <c r="D1490" s="15" t="s">
        <v>1214</v>
      </c>
      <c r="E1490" s="1010" t="s">
        <v>2786</v>
      </c>
      <c r="F1490" s="44"/>
      <c r="G1490" s="44" t="s">
        <v>78</v>
      </c>
      <c r="H1490" s="151">
        <v>14</v>
      </c>
      <c r="I1490" s="152">
        <v>1</v>
      </c>
      <c r="J1490" s="8">
        <f>H1490*I1490</f>
        <v>14</v>
      </c>
      <c r="K1490" s="1007">
        <v>1.17</v>
      </c>
      <c r="L1490" s="46">
        <f>K1490*J1490</f>
        <v>16.38</v>
      </c>
      <c r="M1490" s="162" t="s">
        <v>2219</v>
      </c>
      <c r="N1490" s="39">
        <v>44718</v>
      </c>
      <c r="O1490" s="38">
        <v>4257</v>
      </c>
      <c r="P1490" s="180">
        <f>K1490*(VLOOKUP(B1490,$C$2:$F$6,3,FALSE))</f>
        <v>1.0295999999999998</v>
      </c>
      <c r="Q1490" s="483">
        <v>1.03</v>
      </c>
      <c r="R1490" s="704">
        <f>Q1490*J1490</f>
        <v>14.42</v>
      </c>
      <c r="S1490" s="489">
        <v>63</v>
      </c>
      <c r="T1490" s="113">
        <f>S1490*J1490</f>
        <v>882</v>
      </c>
      <c r="U1490" s="517"/>
      <c r="V1490" s="494">
        <v>90</v>
      </c>
    </row>
    <row r="1491" spans="1:22" s="7" customFormat="1" ht="15.95" customHeight="1">
      <c r="A1491" s="1"/>
      <c r="B1491" s="12" t="s">
        <v>1856</v>
      </c>
      <c r="C1491" s="6" t="s">
        <v>2800</v>
      </c>
      <c r="D1491" s="15" t="s">
        <v>1214</v>
      </c>
      <c r="E1491" s="1010" t="s">
        <v>2788</v>
      </c>
      <c r="F1491" s="44"/>
      <c r="G1491" s="44" t="s">
        <v>78</v>
      </c>
      <c r="H1491" s="151">
        <v>14</v>
      </c>
      <c r="I1491" s="152">
        <v>1</v>
      </c>
      <c r="J1491" s="8">
        <f>H1491*I1491</f>
        <v>14</v>
      </c>
      <c r="K1491" s="1007">
        <v>1.63</v>
      </c>
      <c r="L1491" s="46">
        <f>K1491*J1491</f>
        <v>22.82</v>
      </c>
      <c r="M1491" s="162" t="s">
        <v>2219</v>
      </c>
      <c r="N1491" s="39">
        <v>44718</v>
      </c>
      <c r="O1491" s="38">
        <v>4257</v>
      </c>
      <c r="P1491" s="180">
        <f>K1491*(VLOOKUP(B1491,$C$2:$F$6,3,FALSE))</f>
        <v>1.4343999999999999</v>
      </c>
      <c r="Q1491" s="483">
        <v>1.43</v>
      </c>
      <c r="R1491" s="704">
        <f>Q1491*J1491</f>
        <v>20.02</v>
      </c>
      <c r="S1491" s="489">
        <v>88</v>
      </c>
      <c r="T1491" s="113">
        <f>S1491*J1491</f>
        <v>1232</v>
      </c>
      <c r="U1491" s="517"/>
      <c r="V1491" s="494">
        <v>90</v>
      </c>
    </row>
    <row r="1492" spans="1:22" s="7" customFormat="1" ht="18" customHeight="1">
      <c r="A1492" s="1"/>
      <c r="B1492" s="12"/>
      <c r="C1492" s="6" t="s">
        <v>2800</v>
      </c>
      <c r="D1492" s="15" t="s">
        <v>1214</v>
      </c>
      <c r="E1492" s="20" t="s">
        <v>2802</v>
      </c>
      <c r="F1492" s="24"/>
      <c r="G1492" s="44"/>
      <c r="H1492" s="151"/>
      <c r="I1492" s="151"/>
      <c r="J1492" s="151"/>
      <c r="K1492" s="153" t="s">
        <v>10</v>
      </c>
      <c r="L1492" s="39"/>
      <c r="M1492" s="39"/>
      <c r="N1492" s="39">
        <v>44718</v>
      </c>
      <c r="O1492" s="38">
        <v>4257</v>
      </c>
      <c r="P1492" s="6"/>
      <c r="Q1492" s="411"/>
      <c r="S1492" s="489"/>
      <c r="T1492" s="113"/>
      <c r="U1492" s="501"/>
      <c r="V1492" s="494">
        <v>90</v>
      </c>
    </row>
    <row r="1493" spans="1:22" s="7" customFormat="1" ht="15.95" customHeight="1">
      <c r="A1493" s="1"/>
      <c r="B1493" s="12" t="s">
        <v>1856</v>
      </c>
      <c r="C1493" s="6" t="s">
        <v>2800</v>
      </c>
      <c r="D1493" s="15" t="s">
        <v>1214</v>
      </c>
      <c r="E1493" s="1010" t="s">
        <v>2783</v>
      </c>
      <c r="F1493" s="44"/>
      <c r="G1493" s="44" t="s">
        <v>78</v>
      </c>
      <c r="H1493" s="151">
        <v>13.7</v>
      </c>
      <c r="I1493" s="152">
        <v>1</v>
      </c>
      <c r="J1493" s="198">
        <f>H1493*I1493</f>
        <v>13.7</v>
      </c>
      <c r="K1493" s="1007">
        <v>1.67</v>
      </c>
      <c r="L1493" s="46">
        <f>K1493*J1493</f>
        <v>22.878999999999998</v>
      </c>
      <c r="M1493" s="162" t="s">
        <v>2219</v>
      </c>
      <c r="N1493" s="39">
        <v>44718</v>
      </c>
      <c r="O1493" s="38">
        <v>4257</v>
      </c>
      <c r="P1493" s="180">
        <f>K1493*(VLOOKUP(B1493,$C$2:$F$6,3,FALSE))</f>
        <v>1.4696</v>
      </c>
      <c r="Q1493" s="483">
        <v>1.47</v>
      </c>
      <c r="R1493" s="704">
        <f>Q1493*J1493</f>
        <v>20.138999999999999</v>
      </c>
      <c r="S1493" s="489">
        <v>90</v>
      </c>
      <c r="T1493" s="113">
        <f>S1493*J1493</f>
        <v>1233</v>
      </c>
      <c r="U1493" s="517"/>
      <c r="V1493" s="494">
        <v>90</v>
      </c>
    </row>
    <row r="1494" spans="1:22" ht="15.95" customHeight="1">
      <c r="B1494" s="12" t="s">
        <v>1862</v>
      </c>
      <c r="C1494" s="6" t="s">
        <v>2800</v>
      </c>
      <c r="D1494" s="15" t="s">
        <v>1214</v>
      </c>
      <c r="E1494" s="24"/>
      <c r="F1494" s="138"/>
      <c r="G1494" s="44" t="s">
        <v>1993</v>
      </c>
      <c r="H1494" s="8"/>
      <c r="I1494" s="41"/>
      <c r="J1494" s="45">
        <v>1</v>
      </c>
      <c r="K1494" s="46">
        <v>24</v>
      </c>
      <c r="L1494" s="46">
        <f>K1494*J1494</f>
        <v>24</v>
      </c>
      <c r="M1494" s="112"/>
      <c r="N1494" s="39">
        <v>44718</v>
      </c>
      <c r="O1494" s="38">
        <v>4257</v>
      </c>
      <c r="P1494" s="46">
        <f>K1494*(VLOOKUP(B1494,$C$2:$F$6,3,FALSE))</f>
        <v>24</v>
      </c>
      <c r="Q1494" s="483">
        <v>24</v>
      </c>
      <c r="R1494" s="704">
        <v>24</v>
      </c>
      <c r="S1494" s="489">
        <f>900+900</f>
        <v>1800</v>
      </c>
      <c r="T1494" s="113">
        <f>S1494*J1494</f>
        <v>1800</v>
      </c>
      <c r="U1494" s="511"/>
      <c r="V1494" s="494">
        <v>90</v>
      </c>
    </row>
    <row r="1495" spans="1:22" s="314" customFormat="1" ht="15">
      <c r="A1495" s="1"/>
      <c r="B1495" s="313"/>
      <c r="C1495" s="302" t="s">
        <v>2800</v>
      </c>
      <c r="D1495" s="303" t="s">
        <v>1214</v>
      </c>
      <c r="E1495" s="304"/>
      <c r="F1495" s="305"/>
      <c r="G1495" s="305" t="s">
        <v>1227</v>
      </c>
      <c r="H1495" s="307" t="s">
        <v>1228</v>
      </c>
      <c r="I1495" s="308"/>
      <c r="J1495" s="306"/>
      <c r="K1495" s="315">
        <v>0</v>
      </c>
      <c r="L1495" s="310"/>
      <c r="M1495" s="310"/>
      <c r="N1495" s="310">
        <v>44718</v>
      </c>
      <c r="O1495" s="309">
        <v>4257</v>
      </c>
      <c r="P1495" s="302"/>
      <c r="Q1495" s="485">
        <v>0</v>
      </c>
      <c r="S1495" s="536">
        <v>0</v>
      </c>
      <c r="T1495" s="322">
        <v>0</v>
      </c>
      <c r="U1495" s="515"/>
      <c r="V1495" s="494">
        <v>90</v>
      </c>
    </row>
    <row r="1496" spans="1:22" s="7" customFormat="1" ht="15" customHeight="1">
      <c r="A1496" s="1"/>
      <c r="B1496" s="12"/>
      <c r="C1496" s="6" t="s">
        <v>2804</v>
      </c>
      <c r="D1496" s="15" t="s">
        <v>958</v>
      </c>
      <c r="E1496" s="20" t="s">
        <v>628</v>
      </c>
      <c r="F1496" s="26"/>
      <c r="G1496" s="24"/>
      <c r="H1496" s="67"/>
      <c r="I1496" s="68"/>
      <c r="J1496" s="67"/>
      <c r="K1496" s="17" t="s">
        <v>134</v>
      </c>
      <c r="L1496" s="39"/>
      <c r="M1496" s="39"/>
      <c r="N1496" s="39">
        <v>44721</v>
      </c>
      <c r="O1496" s="38">
        <v>4266</v>
      </c>
      <c r="P1496" s="179" t="s">
        <v>23</v>
      </c>
      <c r="Q1496" s="438" t="s">
        <v>959</v>
      </c>
      <c r="S1496" s="489"/>
      <c r="T1496" s="113"/>
      <c r="U1496" s="510"/>
      <c r="V1496" s="494">
        <v>90</v>
      </c>
    </row>
    <row r="1497" spans="1:22" s="7" customFormat="1" ht="18" customHeight="1">
      <c r="A1497" s="1"/>
      <c r="B1497" s="12" t="s">
        <v>1856</v>
      </c>
      <c r="C1497" s="6" t="s">
        <v>2804</v>
      </c>
      <c r="D1497" s="15" t="s">
        <v>958</v>
      </c>
      <c r="E1497" s="24">
        <v>5291</v>
      </c>
      <c r="F1497" s="26">
        <v>8</v>
      </c>
      <c r="G1497" s="24" t="s">
        <v>498</v>
      </c>
      <c r="H1497" s="67">
        <v>50</v>
      </c>
      <c r="I1497" s="68">
        <v>2</v>
      </c>
      <c r="J1497" s="67">
        <f>H1497*I1497</f>
        <v>100</v>
      </c>
      <c r="K1497" s="46">
        <v>0.99</v>
      </c>
      <c r="L1497" s="46">
        <f>K1497*J1497</f>
        <v>99</v>
      </c>
      <c r="M1497" s="162" t="s">
        <v>2219</v>
      </c>
      <c r="N1497" s="39">
        <v>44721</v>
      </c>
      <c r="O1497" s="38">
        <v>4266</v>
      </c>
      <c r="P1497" s="180">
        <v>0.43</v>
      </c>
      <c r="Q1497" s="180">
        <v>0.43</v>
      </c>
      <c r="R1497" s="704">
        <f>Q1497*J1497</f>
        <v>43</v>
      </c>
      <c r="S1497" s="489">
        <v>26</v>
      </c>
      <c r="T1497" s="113">
        <f>S1497*J1497</f>
        <v>2600</v>
      </c>
      <c r="U1497" s="867"/>
      <c r="V1497" s="494">
        <v>90</v>
      </c>
    </row>
    <row r="1498" spans="1:22" ht="15.95" customHeight="1">
      <c r="C1498" s="6" t="s">
        <v>2804</v>
      </c>
      <c r="D1498" s="15" t="s">
        <v>958</v>
      </c>
      <c r="E1498" s="24"/>
      <c r="F1498" s="138"/>
      <c r="G1498" s="44" t="s">
        <v>1993</v>
      </c>
      <c r="H1498" s="8"/>
      <c r="I1498" s="41"/>
      <c r="J1498" s="45">
        <v>1</v>
      </c>
      <c r="K1498" s="46">
        <v>0</v>
      </c>
      <c r="L1498" s="46">
        <f>K1498*J1498</f>
        <v>0</v>
      </c>
      <c r="M1498" s="112"/>
      <c r="N1498" s="39">
        <v>44721</v>
      </c>
      <c r="O1498" s="38">
        <v>4266</v>
      </c>
      <c r="P1498" s="179"/>
      <c r="Q1498" s="180">
        <v>12</v>
      </c>
      <c r="R1498" s="704">
        <v>12</v>
      </c>
      <c r="S1498" s="498">
        <v>850</v>
      </c>
      <c r="T1498" s="568">
        <f>S1498*J1498</f>
        <v>850</v>
      </c>
      <c r="U1498" s="511"/>
      <c r="V1498" s="494">
        <v>90</v>
      </c>
    </row>
    <row r="1499" spans="1:22" s="314" customFormat="1" ht="15" customHeight="1">
      <c r="A1499" s="1"/>
      <c r="B1499" s="313"/>
      <c r="C1499" s="302" t="s">
        <v>2804</v>
      </c>
      <c r="D1499" s="303" t="s">
        <v>958</v>
      </c>
      <c r="E1499" s="304"/>
      <c r="F1499" s="305"/>
      <c r="G1499" s="305" t="s">
        <v>2371</v>
      </c>
      <c r="H1499" s="410"/>
      <c r="I1499" s="308" t="s">
        <v>2803</v>
      </c>
      <c r="J1499" s="410">
        <v>100</v>
      </c>
      <c r="K1499" s="315">
        <v>0.5</v>
      </c>
      <c r="L1499" s="315"/>
      <c r="M1499" s="784"/>
      <c r="N1499" s="310">
        <v>44721</v>
      </c>
      <c r="O1499" s="309">
        <v>4266</v>
      </c>
      <c r="P1499" s="302"/>
      <c r="Q1499" s="485">
        <v>38</v>
      </c>
      <c r="R1499" s="704">
        <v>38</v>
      </c>
      <c r="S1499" s="537">
        <v>2981</v>
      </c>
      <c r="T1499" s="348">
        <v>2981</v>
      </c>
      <c r="U1499" s="515"/>
      <c r="V1499" s="494">
        <v>90</v>
      </c>
    </row>
    <row r="1500" spans="1:22" s="7" customFormat="1" ht="18" customHeight="1">
      <c r="A1500" s="1"/>
      <c r="B1500" s="12"/>
      <c r="C1500" s="6" t="s">
        <v>2805</v>
      </c>
      <c r="D1500" s="15" t="s">
        <v>1666</v>
      </c>
      <c r="E1500" s="20" t="s">
        <v>2806</v>
      </c>
      <c r="F1500" s="24"/>
      <c r="G1500" s="44"/>
      <c r="H1500" s="151"/>
      <c r="I1500" s="151"/>
      <c r="J1500" s="151"/>
      <c r="K1500" s="153" t="s">
        <v>10</v>
      </c>
      <c r="L1500" s="39"/>
      <c r="M1500" s="39"/>
      <c r="N1500" s="39">
        <v>44722</v>
      </c>
      <c r="O1500" s="38">
        <v>4269</v>
      </c>
      <c r="P1500" s="6"/>
      <c r="Q1500" s="411"/>
      <c r="S1500" s="489"/>
      <c r="T1500" s="113"/>
      <c r="U1500" s="501"/>
      <c r="V1500" s="494">
        <v>90</v>
      </c>
    </row>
    <row r="1501" spans="1:22" s="7" customFormat="1" ht="15.95" customHeight="1">
      <c r="A1501" s="1"/>
      <c r="B1501" s="12" t="s">
        <v>1856</v>
      </c>
      <c r="C1501" s="6" t="s">
        <v>2805</v>
      </c>
      <c r="D1501" s="15" t="s">
        <v>1666</v>
      </c>
      <c r="E1501" s="24" t="s">
        <v>2807</v>
      </c>
      <c r="F1501" s="1013">
        <v>3</v>
      </c>
      <c r="G1501" s="44" t="s">
        <v>2808</v>
      </c>
      <c r="H1501" s="8">
        <v>30</v>
      </c>
      <c r="I1501" s="41">
        <v>1</v>
      </c>
      <c r="J1501" s="67">
        <f>H1501*I1501</f>
        <v>30</v>
      </c>
      <c r="K1501" s="46">
        <v>3.87</v>
      </c>
      <c r="L1501" s="46">
        <f>K1501*J1501</f>
        <v>116.10000000000001</v>
      </c>
      <c r="M1501" s="162" t="s">
        <v>2219</v>
      </c>
      <c r="N1501" s="39">
        <v>44722</v>
      </c>
      <c r="O1501" s="38">
        <v>4269</v>
      </c>
      <c r="P1501" s="180">
        <f>K1501*(VLOOKUP(B1501,$C$2:$F$6,3,FALSE))</f>
        <v>3.4056000000000002</v>
      </c>
      <c r="Q1501" s="483">
        <v>3.41</v>
      </c>
      <c r="R1501" s="704">
        <f>Q1501*J1501</f>
        <v>102.30000000000001</v>
      </c>
      <c r="S1501" s="489">
        <v>278</v>
      </c>
      <c r="T1501" s="113">
        <f>S1501*J1501</f>
        <v>8340</v>
      </c>
      <c r="U1501" s="517"/>
      <c r="V1501" s="494">
        <v>90</v>
      </c>
    </row>
    <row r="1502" spans="1:22" s="7" customFormat="1" ht="15.95" customHeight="1">
      <c r="A1502" s="1"/>
      <c r="B1502" s="12" t="s">
        <v>1856</v>
      </c>
      <c r="C1502" s="6" t="s">
        <v>2805</v>
      </c>
      <c r="D1502" s="15" t="s">
        <v>1666</v>
      </c>
      <c r="E1502" s="24" t="s">
        <v>2807</v>
      </c>
      <c r="F1502" s="1013">
        <v>2</v>
      </c>
      <c r="G1502" s="44" t="s">
        <v>2808</v>
      </c>
      <c r="H1502" s="8">
        <v>30</v>
      </c>
      <c r="I1502" s="41">
        <v>1</v>
      </c>
      <c r="J1502" s="67">
        <f>H1502*I1502</f>
        <v>30</v>
      </c>
      <c r="K1502" s="46">
        <v>3.45</v>
      </c>
      <c r="L1502" s="46">
        <f>K1502*J1502</f>
        <v>103.5</v>
      </c>
      <c r="M1502" s="162" t="s">
        <v>2219</v>
      </c>
      <c r="N1502" s="39">
        <v>44722</v>
      </c>
      <c r="O1502" s="38">
        <v>4269</v>
      </c>
      <c r="P1502" s="180">
        <f>K1502*(VLOOKUP(B1502,$C$2:$F$6,3,FALSE))</f>
        <v>3.036</v>
      </c>
      <c r="Q1502" s="483">
        <v>3.04</v>
      </c>
      <c r="R1502" s="704">
        <f>Q1502*J1502</f>
        <v>91.2</v>
      </c>
      <c r="S1502" s="489">
        <v>248</v>
      </c>
      <c r="T1502" s="113">
        <f>S1502*J1502</f>
        <v>7440</v>
      </c>
      <c r="U1502" s="517"/>
      <c r="V1502" s="494">
        <v>90</v>
      </c>
    </row>
    <row r="1503" spans="1:22" s="7" customFormat="1" ht="15.95" customHeight="1">
      <c r="A1503" s="1"/>
      <c r="B1503" s="12" t="s">
        <v>1856</v>
      </c>
      <c r="C1503" s="6" t="s">
        <v>2805</v>
      </c>
      <c r="D1503" s="15" t="s">
        <v>1666</v>
      </c>
      <c r="E1503" s="24" t="s">
        <v>2807</v>
      </c>
      <c r="F1503" s="1013">
        <v>1.5</v>
      </c>
      <c r="G1503" s="44" t="s">
        <v>2808</v>
      </c>
      <c r="H1503" s="8"/>
      <c r="I1503" s="41"/>
      <c r="J1503" s="67">
        <v>5</v>
      </c>
      <c r="K1503" s="46">
        <v>4.7</v>
      </c>
      <c r="L1503" s="46">
        <f>K1503*J1503</f>
        <v>23.5</v>
      </c>
      <c r="M1503" s="162" t="s">
        <v>2219</v>
      </c>
      <c r="N1503" s="39">
        <v>44722</v>
      </c>
      <c r="O1503" s="38">
        <v>4269</v>
      </c>
      <c r="P1503" s="180">
        <f>K1503*(VLOOKUP(B1503,$C$2:$F$6,3,FALSE))</f>
        <v>4.1360000000000001</v>
      </c>
      <c r="Q1503" s="483">
        <v>4.1399999999999997</v>
      </c>
      <c r="R1503" s="704">
        <f>Q1503*J1503</f>
        <v>20.7</v>
      </c>
      <c r="S1503" s="489">
        <v>338</v>
      </c>
      <c r="T1503" s="113">
        <f>S1503*J1503</f>
        <v>1690</v>
      </c>
      <c r="U1503" s="517"/>
      <c r="V1503" s="494">
        <v>90</v>
      </c>
    </row>
    <row r="1504" spans="1:22" s="7" customFormat="1" ht="18" customHeight="1">
      <c r="A1504" s="1"/>
      <c r="B1504" s="12"/>
      <c r="C1504" s="6" t="s">
        <v>2805</v>
      </c>
      <c r="D1504" s="15" t="s">
        <v>1666</v>
      </c>
      <c r="E1504" s="20" t="s">
        <v>2809</v>
      </c>
      <c r="F1504" s="24"/>
      <c r="G1504" s="44"/>
      <c r="H1504" s="151"/>
      <c r="I1504" s="151"/>
      <c r="J1504" s="151"/>
      <c r="K1504" s="153" t="s">
        <v>10</v>
      </c>
      <c r="L1504" s="39"/>
      <c r="M1504" s="39"/>
      <c r="N1504" s="39">
        <v>44722</v>
      </c>
      <c r="O1504" s="38">
        <v>4269</v>
      </c>
      <c r="P1504" s="6"/>
      <c r="Q1504" s="411"/>
      <c r="S1504" s="489"/>
      <c r="T1504" s="113"/>
      <c r="U1504" s="501"/>
      <c r="V1504" s="494">
        <v>90</v>
      </c>
    </row>
    <row r="1505" spans="1:22" s="7" customFormat="1" ht="15.95" customHeight="1">
      <c r="A1505" s="1"/>
      <c r="B1505" s="12" t="s">
        <v>1856</v>
      </c>
      <c r="C1505" s="6" t="s">
        <v>2805</v>
      </c>
      <c r="D1505" s="15" t="s">
        <v>1666</v>
      </c>
      <c r="E1505" s="24">
        <v>5650</v>
      </c>
      <c r="F1505" s="1013" t="s">
        <v>2810</v>
      </c>
      <c r="G1505" s="44" t="s">
        <v>2814</v>
      </c>
      <c r="H1505" s="8">
        <v>50</v>
      </c>
      <c r="I1505" s="41">
        <v>1</v>
      </c>
      <c r="J1505" s="67">
        <f>H1505*I1505</f>
        <v>50</v>
      </c>
      <c r="K1505" s="46">
        <v>0.69</v>
      </c>
      <c r="L1505" s="46">
        <f>K1505*J1505</f>
        <v>34.5</v>
      </c>
      <c r="M1505" s="162" t="s">
        <v>2219</v>
      </c>
      <c r="N1505" s="39">
        <v>44722</v>
      </c>
      <c r="O1505" s="38">
        <v>4269</v>
      </c>
      <c r="P1505" s="180">
        <f>K1505*(VLOOKUP(B1505,$C$2:$F$6,3,FALSE))</f>
        <v>0.60719999999999996</v>
      </c>
      <c r="Q1505" s="483">
        <v>0.61</v>
      </c>
      <c r="R1505" s="704">
        <f>Q1505*J1505</f>
        <v>30.5</v>
      </c>
      <c r="S1505" s="489">
        <v>37.1</v>
      </c>
      <c r="T1505" s="113">
        <f>S1505*J1505</f>
        <v>1855</v>
      </c>
      <c r="U1505" s="517"/>
      <c r="V1505" s="494">
        <v>90</v>
      </c>
    </row>
    <row r="1506" spans="1:22" ht="15.95" customHeight="1">
      <c r="B1506" s="12" t="s">
        <v>1862</v>
      </c>
      <c r="C1506" s="6" t="s">
        <v>2805</v>
      </c>
      <c r="D1506" s="15" t="s">
        <v>1666</v>
      </c>
      <c r="E1506" s="24"/>
      <c r="F1506" s="138"/>
      <c r="G1506" s="44" t="s">
        <v>1993</v>
      </c>
      <c r="H1506" s="8"/>
      <c r="I1506" s="41"/>
      <c r="J1506" s="45">
        <v>2</v>
      </c>
      <c r="K1506" s="46">
        <v>12</v>
      </c>
      <c r="L1506" s="46">
        <f>K1506*J1506</f>
        <v>24</v>
      </c>
      <c r="M1506" s="112"/>
      <c r="N1506" s="39">
        <v>44722</v>
      </c>
      <c r="O1506" s="38">
        <v>4269</v>
      </c>
      <c r="P1506" s="46">
        <f>K1506*(VLOOKUP(B1506,$C$2:$F$6,3,FALSE))</f>
        <v>12</v>
      </c>
      <c r="Q1506" s="483">
        <v>24</v>
      </c>
      <c r="R1506" s="704">
        <v>24</v>
      </c>
      <c r="S1506" s="489">
        <v>1100</v>
      </c>
      <c r="T1506" s="113">
        <v>1100</v>
      </c>
      <c r="U1506" s="511"/>
      <c r="V1506" s="494">
        <v>90</v>
      </c>
    </row>
    <row r="1507" spans="1:22" s="314" customFormat="1" ht="15">
      <c r="A1507" s="1"/>
      <c r="B1507" s="313"/>
      <c r="C1507" s="302" t="s">
        <v>2805</v>
      </c>
      <c r="D1507" s="303" t="s">
        <v>1666</v>
      </c>
      <c r="E1507" s="304"/>
      <c r="F1507" s="305"/>
      <c r="G1507" s="305" t="s">
        <v>1227</v>
      </c>
      <c r="H1507" s="307" t="s">
        <v>1228</v>
      </c>
      <c r="I1507" s="308"/>
      <c r="J1507" s="306"/>
      <c r="K1507" s="315">
        <v>0</v>
      </c>
      <c r="L1507" s="310"/>
      <c r="M1507" s="310"/>
      <c r="N1507" s="310">
        <v>44722</v>
      </c>
      <c r="O1507" s="309">
        <v>4269</v>
      </c>
      <c r="P1507" s="302"/>
      <c r="Q1507" s="485">
        <v>0</v>
      </c>
      <c r="S1507" s="536">
        <v>0</v>
      </c>
      <c r="T1507" s="322">
        <v>0</v>
      </c>
      <c r="U1507" s="515"/>
      <c r="V1507" s="494">
        <v>90</v>
      </c>
    </row>
    <row r="1508" spans="1:22" s="7" customFormat="1" ht="18" customHeight="1">
      <c r="A1508" s="1"/>
      <c r="B1508" s="12"/>
      <c r="C1508" s="6" t="s">
        <v>2818</v>
      </c>
      <c r="D1508" s="15" t="s">
        <v>1214</v>
      </c>
      <c r="E1508" s="20" t="s">
        <v>2819</v>
      </c>
      <c r="F1508" s="24"/>
      <c r="G1508" s="44"/>
      <c r="H1508" s="151"/>
      <c r="I1508" s="151"/>
      <c r="J1508" s="151"/>
      <c r="K1508" s="153" t="s">
        <v>10</v>
      </c>
      <c r="L1508" s="39"/>
      <c r="M1508" s="39"/>
      <c r="N1508" s="39">
        <v>44726</v>
      </c>
      <c r="O1508" s="38">
        <v>4283</v>
      </c>
      <c r="P1508" s="6"/>
      <c r="Q1508" s="411"/>
      <c r="S1508" s="489"/>
      <c r="T1508" s="113"/>
      <c r="U1508" s="501"/>
      <c r="V1508" s="494">
        <v>90</v>
      </c>
    </row>
    <row r="1509" spans="1:22" s="7" customFormat="1" ht="15.95" customHeight="1">
      <c r="A1509" s="1"/>
      <c r="B1509" s="12" t="s">
        <v>1856</v>
      </c>
      <c r="C1509" s="6" t="s">
        <v>2818</v>
      </c>
      <c r="D1509" s="15" t="s">
        <v>1214</v>
      </c>
      <c r="E1509" s="24">
        <v>3030</v>
      </c>
      <c r="F1509" s="44">
        <v>4</v>
      </c>
      <c r="G1509" s="44" t="s">
        <v>2820</v>
      </c>
      <c r="H1509" s="151">
        <v>30</v>
      </c>
      <c r="I1509" s="152">
        <v>1</v>
      </c>
      <c r="J1509" s="8">
        <f>H1509*I1509</f>
        <v>30</v>
      </c>
      <c r="K1509" s="1007">
        <v>0.18</v>
      </c>
      <c r="L1509" s="46">
        <f>K1509*J1509</f>
        <v>5.3999999999999995</v>
      </c>
      <c r="M1509" s="162" t="s">
        <v>2219</v>
      </c>
      <c r="N1509" s="39">
        <v>44726</v>
      </c>
      <c r="O1509" s="38">
        <v>4283</v>
      </c>
      <c r="P1509" s="180">
        <f>K1509*(VLOOKUP(B1509,$C$2:$F$6,3,FALSE))</f>
        <v>0.15839999999999999</v>
      </c>
      <c r="Q1509" s="483">
        <v>0.16</v>
      </c>
      <c r="R1509" s="704">
        <f>Q1509*J1509</f>
        <v>4.8</v>
      </c>
      <c r="S1509" s="532">
        <v>8.43</v>
      </c>
      <c r="T1509" s="113">
        <f>S1509*J1509</f>
        <v>252.89999999999998</v>
      </c>
      <c r="U1509" s="1021" t="s">
        <v>2828</v>
      </c>
      <c r="V1509" s="494">
        <v>90</v>
      </c>
    </row>
    <row r="1510" spans="1:22" s="7" customFormat="1" ht="15.95" customHeight="1">
      <c r="A1510" s="1"/>
      <c r="B1510" s="12" t="s">
        <v>1856</v>
      </c>
      <c r="C1510" s="6" t="s">
        <v>2818</v>
      </c>
      <c r="D1510" s="15" t="s">
        <v>1214</v>
      </c>
      <c r="E1510" s="24">
        <v>3030</v>
      </c>
      <c r="F1510" s="44">
        <v>6</v>
      </c>
      <c r="G1510" s="44" t="s">
        <v>2820</v>
      </c>
      <c r="H1510" s="151">
        <v>30</v>
      </c>
      <c r="I1510" s="152">
        <v>1</v>
      </c>
      <c r="J1510" s="8">
        <f>H1510*I1510</f>
        <v>30</v>
      </c>
      <c r="K1510" s="1007">
        <v>0.2</v>
      </c>
      <c r="L1510" s="46">
        <f>K1510*J1510</f>
        <v>6</v>
      </c>
      <c r="M1510" s="162" t="s">
        <v>2219</v>
      </c>
      <c r="N1510" s="39">
        <v>44726</v>
      </c>
      <c r="O1510" s="38">
        <v>4283</v>
      </c>
      <c r="P1510" s="180">
        <f>K1510*(VLOOKUP(B1510,$C$2:$F$6,3,FALSE))</f>
        <v>0.17600000000000002</v>
      </c>
      <c r="Q1510" s="483">
        <v>0.18</v>
      </c>
      <c r="R1510" s="704">
        <f>Q1510*J1510</f>
        <v>5.3999999999999995</v>
      </c>
      <c r="S1510" s="532">
        <v>9.5299999999999994</v>
      </c>
      <c r="T1510" s="113">
        <f>S1510*J1510</f>
        <v>285.89999999999998</v>
      </c>
      <c r="U1510" s="1021" t="s">
        <v>2829</v>
      </c>
      <c r="V1510" s="494">
        <v>90</v>
      </c>
    </row>
    <row r="1511" spans="1:22" s="7" customFormat="1" ht="15.95" customHeight="1">
      <c r="A1511" s="1"/>
      <c r="B1511" s="12" t="s">
        <v>1856</v>
      </c>
      <c r="C1511" s="6" t="s">
        <v>2818</v>
      </c>
      <c r="D1511" s="15" t="s">
        <v>1214</v>
      </c>
      <c r="E1511" s="24">
        <v>3030</v>
      </c>
      <c r="F1511" s="44">
        <v>4</v>
      </c>
      <c r="G1511" s="44" t="s">
        <v>2821</v>
      </c>
      <c r="H1511" s="151">
        <v>30</v>
      </c>
      <c r="I1511" s="152">
        <v>1</v>
      </c>
      <c r="J1511" s="8">
        <f>H1511*I1511</f>
        <v>30</v>
      </c>
      <c r="K1511" s="1007">
        <v>0.18</v>
      </c>
      <c r="L1511" s="46">
        <f>K1511*J1511</f>
        <v>5.3999999999999995</v>
      </c>
      <c r="M1511" s="162" t="s">
        <v>2219</v>
      </c>
      <c r="N1511" s="39">
        <v>44726</v>
      </c>
      <c r="O1511" s="38">
        <v>4283</v>
      </c>
      <c r="P1511" s="180">
        <f>K1511*(VLOOKUP(B1511,$C$2:$F$6,3,FALSE))</f>
        <v>0.15839999999999999</v>
      </c>
      <c r="Q1511" s="483">
        <v>0.16</v>
      </c>
      <c r="R1511" s="704">
        <f>Q1511*J1511</f>
        <v>4.8</v>
      </c>
      <c r="S1511" s="532">
        <v>8.43</v>
      </c>
      <c r="T1511" s="113">
        <f>S1511*J1511</f>
        <v>252.89999999999998</v>
      </c>
      <c r="U1511" s="1021" t="s">
        <v>2828</v>
      </c>
      <c r="V1511" s="494">
        <v>90</v>
      </c>
    </row>
    <row r="1512" spans="1:22" s="7" customFormat="1" ht="15.95" customHeight="1">
      <c r="A1512" s="1"/>
      <c r="B1512" s="12" t="s">
        <v>1856</v>
      </c>
      <c r="C1512" s="6" t="s">
        <v>2818</v>
      </c>
      <c r="D1512" s="15" t="s">
        <v>1214</v>
      </c>
      <c r="E1512" s="24">
        <v>3030</v>
      </c>
      <c r="F1512" s="44">
        <v>6</v>
      </c>
      <c r="G1512" s="44" t="s">
        <v>2821</v>
      </c>
      <c r="H1512" s="151">
        <v>30</v>
      </c>
      <c r="I1512" s="152">
        <v>1</v>
      </c>
      <c r="J1512" s="8">
        <f>H1512*I1512</f>
        <v>30</v>
      </c>
      <c r="K1512" s="1007">
        <v>0.2</v>
      </c>
      <c r="L1512" s="46">
        <f>K1512*J1512</f>
        <v>6</v>
      </c>
      <c r="M1512" s="162" t="s">
        <v>2219</v>
      </c>
      <c r="N1512" s="39">
        <v>44726</v>
      </c>
      <c r="O1512" s="38">
        <v>4283</v>
      </c>
      <c r="P1512" s="180">
        <f>K1512*(VLOOKUP(B1512,$C$2:$F$6,3,FALSE))</f>
        <v>0.17600000000000002</v>
      </c>
      <c r="Q1512" s="483">
        <v>0.18</v>
      </c>
      <c r="R1512" s="704">
        <f>Q1512*J1512</f>
        <v>5.3999999999999995</v>
      </c>
      <c r="S1512" s="532">
        <v>9.5299999999999994</v>
      </c>
      <c r="T1512" s="113">
        <f>S1512*J1512</f>
        <v>285.89999999999998</v>
      </c>
      <c r="U1512" s="1021" t="s">
        <v>2829</v>
      </c>
      <c r="V1512" s="494">
        <v>90</v>
      </c>
    </row>
    <row r="1513" spans="1:22" s="7" customFormat="1" ht="18" customHeight="1">
      <c r="A1513" s="1"/>
      <c r="B1513" s="12"/>
      <c r="C1513" s="6" t="s">
        <v>2818</v>
      </c>
      <c r="D1513" s="15" t="s">
        <v>1214</v>
      </c>
      <c r="E1513" s="20" t="s">
        <v>2822</v>
      </c>
      <c r="F1513" s="24"/>
      <c r="G1513" s="44"/>
      <c r="H1513" s="151"/>
      <c r="I1513" s="151"/>
      <c r="J1513" s="151"/>
      <c r="K1513" s="153" t="s">
        <v>10</v>
      </c>
      <c r="L1513" s="39"/>
      <c r="M1513" s="39"/>
      <c r="N1513" s="39">
        <v>44726</v>
      </c>
      <c r="O1513" s="38">
        <v>4283</v>
      </c>
      <c r="P1513" s="6"/>
      <c r="Q1513" s="411"/>
      <c r="S1513" s="489"/>
      <c r="T1513" s="113"/>
      <c r="U1513" s="501"/>
      <c r="V1513" s="494">
        <v>90</v>
      </c>
    </row>
    <row r="1514" spans="1:22" s="7" customFormat="1" ht="15.95" customHeight="1">
      <c r="A1514" s="1"/>
      <c r="B1514" s="12" t="s">
        <v>1856</v>
      </c>
      <c r="C1514" s="6" t="s">
        <v>2818</v>
      </c>
      <c r="D1514" s="15" t="s">
        <v>1214</v>
      </c>
      <c r="E1514" s="24">
        <v>1515</v>
      </c>
      <c r="F1514" s="44">
        <v>6</v>
      </c>
      <c r="G1514" s="44" t="s">
        <v>2823</v>
      </c>
      <c r="H1514" s="151">
        <v>30</v>
      </c>
      <c r="I1514" s="152">
        <v>1</v>
      </c>
      <c r="J1514" s="8">
        <f>H1514*I1514</f>
        <v>30</v>
      </c>
      <c r="K1514" s="1007">
        <v>0.15</v>
      </c>
      <c r="L1514" s="46">
        <f>K1514*J1514</f>
        <v>4.5</v>
      </c>
      <c r="M1514" s="162" t="s">
        <v>2219</v>
      </c>
      <c r="N1514" s="39">
        <v>44726</v>
      </c>
      <c r="O1514" s="38">
        <v>4283</v>
      </c>
      <c r="P1514" s="180">
        <f>K1514*(VLOOKUP(B1514,$C$2:$F$6,3,FALSE))</f>
        <v>0.13200000000000001</v>
      </c>
      <c r="Q1514" s="483">
        <v>0.13</v>
      </c>
      <c r="R1514" s="704">
        <f>Q1514*J1514</f>
        <v>3.9000000000000004</v>
      </c>
      <c r="S1514" s="489">
        <v>7.17</v>
      </c>
      <c r="T1514" s="113">
        <f>S1514*J1514</f>
        <v>215.1</v>
      </c>
      <c r="U1514" s="1021" t="s">
        <v>2830</v>
      </c>
      <c r="V1514" s="494">
        <v>90</v>
      </c>
    </row>
    <row r="1515" spans="1:22" s="7" customFormat="1" ht="18" customHeight="1">
      <c r="A1515" s="1"/>
      <c r="B1515" s="12"/>
      <c r="C1515" s="6" t="s">
        <v>2818</v>
      </c>
      <c r="D1515" s="15" t="s">
        <v>1214</v>
      </c>
      <c r="E1515" s="20" t="s">
        <v>2825</v>
      </c>
      <c r="F1515" s="24"/>
      <c r="G1515" s="44"/>
      <c r="H1515" s="151"/>
      <c r="I1515" s="151"/>
      <c r="J1515" s="151"/>
      <c r="K1515" s="153" t="s">
        <v>10</v>
      </c>
      <c r="L1515" s="39"/>
      <c r="M1515" s="39"/>
      <c r="N1515" s="39">
        <v>44726</v>
      </c>
      <c r="O1515" s="38">
        <v>4283</v>
      </c>
      <c r="P1515" s="6"/>
      <c r="Q1515" s="411"/>
      <c r="S1515" s="489"/>
      <c r="T1515" s="113"/>
      <c r="U1515" s="501"/>
      <c r="V1515" s="494">
        <v>90</v>
      </c>
    </row>
    <row r="1516" spans="1:22" s="7" customFormat="1" ht="15.95" customHeight="1">
      <c r="A1516" s="1"/>
      <c r="B1516" s="12" t="s">
        <v>1856</v>
      </c>
      <c r="C1516" s="6" t="s">
        <v>2818</v>
      </c>
      <c r="D1516" s="15" t="s">
        <v>1214</v>
      </c>
      <c r="E1516" s="24">
        <v>3745</v>
      </c>
      <c r="F1516" s="44">
        <v>6</v>
      </c>
      <c r="G1516" s="44" t="s">
        <v>2826</v>
      </c>
      <c r="H1516" s="151">
        <v>20</v>
      </c>
      <c r="I1516" s="152">
        <v>1</v>
      </c>
      <c r="J1516" s="8">
        <f>H1516*I1516</f>
        <v>20</v>
      </c>
      <c r="K1516" s="1007">
        <v>0.67</v>
      </c>
      <c r="L1516" s="46">
        <f>K1516*J1516</f>
        <v>13.4</v>
      </c>
      <c r="M1516" s="162" t="s">
        <v>2219</v>
      </c>
      <c r="N1516" s="39">
        <v>44726</v>
      </c>
      <c r="O1516" s="38">
        <v>4283</v>
      </c>
      <c r="P1516" s="180">
        <f>K1516*(VLOOKUP(B1516,$C$2:$F$6,3,FALSE))</f>
        <v>0.58960000000000001</v>
      </c>
      <c r="Q1516" s="483">
        <v>0.59</v>
      </c>
      <c r="R1516" s="704">
        <f>Q1516*J1516</f>
        <v>11.799999999999999</v>
      </c>
      <c r="S1516" s="489">
        <v>36</v>
      </c>
      <c r="T1516" s="113">
        <f>S1516*J1516</f>
        <v>720</v>
      </c>
      <c r="U1516" s="517"/>
      <c r="V1516" s="494">
        <v>90</v>
      </c>
    </row>
    <row r="1517" spans="1:22" s="7" customFormat="1" ht="15.95" customHeight="1">
      <c r="A1517" s="1"/>
      <c r="B1517" s="12" t="s">
        <v>1856</v>
      </c>
      <c r="C1517" s="6" t="s">
        <v>2818</v>
      </c>
      <c r="D1517" s="15" t="s">
        <v>1214</v>
      </c>
      <c r="E1517" s="24">
        <v>3745</v>
      </c>
      <c r="F1517" s="44">
        <v>6</v>
      </c>
      <c r="G1517" s="44" t="s">
        <v>2827</v>
      </c>
      <c r="H1517" s="151">
        <v>20</v>
      </c>
      <c r="I1517" s="152">
        <v>1</v>
      </c>
      <c r="J1517" s="8">
        <f>H1517*I1517</f>
        <v>20</v>
      </c>
      <c r="K1517" s="1007">
        <v>0.67</v>
      </c>
      <c r="L1517" s="46">
        <f>K1517*J1517</f>
        <v>13.4</v>
      </c>
      <c r="M1517" s="162" t="s">
        <v>2219</v>
      </c>
      <c r="N1517" s="39">
        <v>44726</v>
      </c>
      <c r="O1517" s="38">
        <v>4283</v>
      </c>
      <c r="P1517" s="180">
        <f>K1517*(VLOOKUP(B1517,$C$2:$F$6,3,FALSE))</f>
        <v>0.58960000000000001</v>
      </c>
      <c r="Q1517" s="483">
        <v>0.59</v>
      </c>
      <c r="R1517" s="704">
        <f>Q1517*J1517</f>
        <v>11.799999999999999</v>
      </c>
      <c r="S1517" s="489">
        <v>36</v>
      </c>
      <c r="T1517" s="113">
        <f>S1517*J1517</f>
        <v>720</v>
      </c>
      <c r="U1517" s="517"/>
      <c r="V1517" s="494">
        <v>90</v>
      </c>
    </row>
    <row r="1518" spans="1:22" ht="15.95" customHeight="1">
      <c r="B1518" s="12" t="s">
        <v>1862</v>
      </c>
      <c r="C1518" s="6" t="s">
        <v>2818</v>
      </c>
      <c r="D1518" s="15" t="s">
        <v>1214</v>
      </c>
      <c r="E1518" s="24"/>
      <c r="F1518" s="138"/>
      <c r="G1518" s="44" t="s">
        <v>1993</v>
      </c>
      <c r="H1518" s="8"/>
      <c r="I1518" s="41"/>
      <c r="J1518" s="45">
        <v>1</v>
      </c>
      <c r="K1518" s="46">
        <v>24</v>
      </c>
      <c r="L1518" s="46">
        <f>K1518*J1518</f>
        <v>24</v>
      </c>
      <c r="M1518" s="112"/>
      <c r="N1518" s="39">
        <v>44726</v>
      </c>
      <c r="O1518" s="38">
        <v>4283</v>
      </c>
      <c r="P1518" s="46">
        <f>K1518*(VLOOKUP(B1518,$C$2:$F$6,3,FALSE))</f>
        <v>24</v>
      </c>
      <c r="Q1518" s="483">
        <v>24</v>
      </c>
      <c r="R1518" s="704">
        <v>24</v>
      </c>
      <c r="S1518" s="489">
        <v>1000</v>
      </c>
      <c r="T1518" s="113">
        <f>S1518*J1518</f>
        <v>1000</v>
      </c>
      <c r="U1518" s="511"/>
      <c r="V1518" s="494">
        <v>90</v>
      </c>
    </row>
    <row r="1519" spans="1:22" s="314" customFormat="1" ht="15">
      <c r="A1519" s="1"/>
      <c r="B1519" s="313"/>
      <c r="C1519" s="302" t="s">
        <v>2818</v>
      </c>
      <c r="D1519" s="303" t="s">
        <v>1214</v>
      </c>
      <c r="E1519" s="304"/>
      <c r="F1519" s="305"/>
      <c r="G1519" s="305" t="s">
        <v>1227</v>
      </c>
      <c r="H1519" s="307" t="s">
        <v>1228</v>
      </c>
      <c r="I1519" s="308"/>
      <c r="J1519" s="306"/>
      <c r="K1519" s="315">
        <v>0</v>
      </c>
      <c r="L1519" s="310"/>
      <c r="M1519" s="310"/>
      <c r="N1519" s="310">
        <v>44726</v>
      </c>
      <c r="O1519" s="309">
        <v>4283</v>
      </c>
      <c r="P1519" s="302"/>
      <c r="Q1519" s="485">
        <v>0</v>
      </c>
      <c r="S1519" s="536">
        <v>0</v>
      </c>
      <c r="T1519" s="322">
        <v>0</v>
      </c>
      <c r="U1519" s="515"/>
      <c r="V1519" s="494">
        <v>90</v>
      </c>
    </row>
    <row r="1520" spans="1:22" s="7" customFormat="1" ht="15">
      <c r="A1520" s="1"/>
      <c r="B1520" s="12"/>
      <c r="C1520" s="6" t="s">
        <v>2831</v>
      </c>
      <c r="D1520" s="15" t="s">
        <v>2832</v>
      </c>
      <c r="E1520" s="20" t="s">
        <v>1139</v>
      </c>
      <c r="F1520" s="26"/>
      <c r="G1520" s="24"/>
      <c r="H1520" s="45"/>
      <c r="I1520" s="68"/>
      <c r="J1520" s="67"/>
      <c r="K1520" s="17" t="s">
        <v>10</v>
      </c>
      <c r="L1520" s="39"/>
      <c r="M1520" s="39"/>
      <c r="N1520" s="39">
        <v>44757</v>
      </c>
      <c r="O1520" s="38">
        <v>4293</v>
      </c>
      <c r="P1520" s="6"/>
      <c r="Q1520" s="482"/>
      <c r="S1520" s="489"/>
      <c r="T1520" s="113"/>
      <c r="U1520" s="500"/>
      <c r="V1520" s="494">
        <v>90</v>
      </c>
    </row>
    <row r="1521" spans="1:22" s="7" customFormat="1" ht="15" customHeight="1">
      <c r="A1521" s="1"/>
      <c r="B1521" s="12" t="s">
        <v>1856</v>
      </c>
      <c r="C1521" s="6" t="s">
        <v>2831</v>
      </c>
      <c r="D1521" s="15" t="s">
        <v>2832</v>
      </c>
      <c r="E1521" s="24">
        <v>3717</v>
      </c>
      <c r="F1521" s="26">
        <v>19</v>
      </c>
      <c r="G1521" s="24" t="s">
        <v>1830</v>
      </c>
      <c r="H1521" s="151">
        <v>30</v>
      </c>
      <c r="I1521" s="152">
        <v>25</v>
      </c>
      <c r="J1521" s="67">
        <f>H1521*I1521</f>
        <v>750</v>
      </c>
      <c r="K1521" s="46">
        <v>0.48</v>
      </c>
      <c r="L1521" s="46">
        <f>K1521*J1521</f>
        <v>360</v>
      </c>
      <c r="M1521" s="162" t="s">
        <v>2219</v>
      </c>
      <c r="N1521" s="39">
        <v>44757</v>
      </c>
      <c r="O1521" s="38">
        <v>4293</v>
      </c>
      <c r="P1521" s="46">
        <f>K1521*(VLOOKUP(B1521,$C$2:$F$6,3,FALSE))</f>
        <v>0.4224</v>
      </c>
      <c r="Q1521" s="483">
        <v>0.42</v>
      </c>
      <c r="R1521" s="704">
        <f>Q1521*J1521</f>
        <v>315</v>
      </c>
      <c r="S1521" s="489">
        <v>23.33</v>
      </c>
      <c r="T1521" s="567">
        <f>S1521*J1521</f>
        <v>17497.5</v>
      </c>
      <c r="U1521" s="1021" t="s">
        <v>2833</v>
      </c>
      <c r="V1521" s="494">
        <v>90</v>
      </c>
    </row>
    <row r="1522" spans="1:22" ht="15.95" customHeight="1">
      <c r="C1522" s="6" t="s">
        <v>2831</v>
      </c>
      <c r="D1522" s="15" t="s">
        <v>2832</v>
      </c>
      <c r="E1522" s="24"/>
      <c r="F1522" s="138"/>
      <c r="G1522" s="44" t="s">
        <v>1993</v>
      </c>
      <c r="H1522" s="8"/>
      <c r="I1522" s="41"/>
      <c r="J1522" s="45">
        <v>1</v>
      </c>
      <c r="K1522" s="46">
        <v>12</v>
      </c>
      <c r="L1522" s="46">
        <f>K1522*J1522</f>
        <v>12</v>
      </c>
      <c r="M1522" s="39"/>
      <c r="N1522" s="39">
        <v>44757</v>
      </c>
      <c r="O1522" s="38">
        <v>4293</v>
      </c>
      <c r="P1522" s="179"/>
      <c r="Q1522" s="483">
        <v>12</v>
      </c>
      <c r="R1522" s="704">
        <f>Q1522*J1522</f>
        <v>12</v>
      </c>
      <c r="S1522" s="489">
        <v>0</v>
      </c>
      <c r="T1522" s="567">
        <f>S1522*J1522</f>
        <v>0</v>
      </c>
      <c r="U1522" s="511"/>
      <c r="V1522" s="494">
        <v>90</v>
      </c>
    </row>
    <row r="1523" spans="1:22" s="314" customFormat="1" ht="15">
      <c r="A1523" s="1"/>
      <c r="B1523" s="313"/>
      <c r="C1523" s="302" t="s">
        <v>2831</v>
      </c>
      <c r="D1523" s="303" t="s">
        <v>2832</v>
      </c>
      <c r="E1523" s="304"/>
      <c r="F1523" s="305"/>
      <c r="G1523" s="305" t="s">
        <v>1227</v>
      </c>
      <c r="H1523" s="307" t="s">
        <v>1228</v>
      </c>
      <c r="I1523" s="308"/>
      <c r="J1523" s="306"/>
      <c r="K1523" s="315">
        <v>0</v>
      </c>
      <c r="L1523" s="310"/>
      <c r="M1523" s="310"/>
      <c r="N1523" s="310">
        <v>44757</v>
      </c>
      <c r="O1523" s="309">
        <v>4293</v>
      </c>
      <c r="P1523" s="302"/>
      <c r="Q1523" s="485">
        <v>0</v>
      </c>
      <c r="S1523" s="535">
        <v>0</v>
      </c>
      <c r="T1523" s="322">
        <v>0</v>
      </c>
      <c r="U1523" s="515"/>
      <c r="V1523" s="494">
        <v>90</v>
      </c>
    </row>
    <row r="1524" spans="1:22" ht="15">
      <c r="C1524" s="6" t="s">
        <v>2834</v>
      </c>
      <c r="D1524" s="15" t="s">
        <v>11</v>
      </c>
      <c r="E1524" s="20" t="s">
        <v>79</v>
      </c>
      <c r="F1524" s="150"/>
      <c r="G1524" s="24"/>
      <c r="H1524" s="151"/>
      <c r="I1524" s="152"/>
      <c r="J1524" s="151"/>
      <c r="K1524" s="153" t="s">
        <v>10</v>
      </c>
      <c r="L1524" s="39"/>
      <c r="M1524" s="39"/>
      <c r="N1524" s="39">
        <v>44732</v>
      </c>
      <c r="O1524" s="38">
        <v>4290</v>
      </c>
      <c r="P1524" s="15"/>
      <c r="Q1524" s="483"/>
      <c r="S1524" s="496"/>
      <c r="T1524" s="113"/>
      <c r="V1524" s="494">
        <v>90</v>
      </c>
    </row>
    <row r="1525" spans="1:22" ht="15.75">
      <c r="B1525" s="12" t="s">
        <v>1858</v>
      </c>
      <c r="C1525" s="6" t="s">
        <v>2834</v>
      </c>
      <c r="D1525" s="15" t="s">
        <v>11</v>
      </c>
      <c r="E1525" s="24">
        <v>2440</v>
      </c>
      <c r="F1525" s="150">
        <v>140</v>
      </c>
      <c r="G1525" s="24" t="s">
        <v>859</v>
      </c>
      <c r="H1525" s="67">
        <v>68</v>
      </c>
      <c r="I1525" s="68">
        <v>5</v>
      </c>
      <c r="J1525" s="67">
        <f>H1525*I1525</f>
        <v>340</v>
      </c>
      <c r="K1525" s="46">
        <v>3.89</v>
      </c>
      <c r="L1525" s="46">
        <f>K1525*J1525</f>
        <v>1322.6000000000001</v>
      </c>
      <c r="M1525" s="162" t="s">
        <v>2219</v>
      </c>
      <c r="N1525" s="39">
        <v>44732</v>
      </c>
      <c r="O1525" s="38">
        <v>4290</v>
      </c>
      <c r="P1525" s="46">
        <f>K1525*(VLOOKUP(B1525,$C$2:$F$6,3,FALSE))</f>
        <v>3.6566000000000001</v>
      </c>
      <c r="Q1525" s="483">
        <v>3.66</v>
      </c>
      <c r="R1525" s="704">
        <f>Q1525*J1525</f>
        <v>1244.4000000000001</v>
      </c>
      <c r="S1525" s="532">
        <v>280</v>
      </c>
      <c r="T1525" s="567">
        <f>S1525*J1525</f>
        <v>95200</v>
      </c>
      <c r="V1525" s="494">
        <v>90</v>
      </c>
    </row>
    <row r="1526" spans="1:22" ht="15.75">
      <c r="B1526" s="12" t="s">
        <v>1858</v>
      </c>
      <c r="C1526" s="6" t="s">
        <v>2834</v>
      </c>
      <c r="D1526" s="15" t="s">
        <v>11</v>
      </c>
      <c r="E1526" s="24">
        <v>2440</v>
      </c>
      <c r="F1526" s="150">
        <v>140</v>
      </c>
      <c r="G1526" s="24" t="s">
        <v>859</v>
      </c>
      <c r="H1526" s="67">
        <v>58</v>
      </c>
      <c r="I1526" s="68">
        <v>14</v>
      </c>
      <c r="J1526" s="67">
        <f>H1526*I1526</f>
        <v>812</v>
      </c>
      <c r="K1526" s="46">
        <v>3.89</v>
      </c>
      <c r="L1526" s="46">
        <f>K1526*J1526</f>
        <v>3158.6800000000003</v>
      </c>
      <c r="M1526" s="162" t="s">
        <v>2219</v>
      </c>
      <c r="N1526" s="39">
        <v>44732</v>
      </c>
      <c r="O1526" s="38">
        <v>4290</v>
      </c>
      <c r="P1526" s="46">
        <f>K1526*(VLOOKUP(B1526,$C$2:$F$6,3,FALSE))</f>
        <v>3.6566000000000001</v>
      </c>
      <c r="Q1526" s="483">
        <v>3.66</v>
      </c>
      <c r="R1526" s="704">
        <f>Q1526*J1526</f>
        <v>2971.92</v>
      </c>
      <c r="S1526" s="532">
        <v>280</v>
      </c>
      <c r="T1526" s="567">
        <f>S1526*J1526</f>
        <v>227360</v>
      </c>
      <c r="V1526" s="494">
        <v>90</v>
      </c>
    </row>
    <row r="1527" spans="1:22" ht="15">
      <c r="C1527" s="6" t="s">
        <v>2834</v>
      </c>
      <c r="D1527" s="15" t="s">
        <v>11</v>
      </c>
      <c r="E1527" s="24"/>
      <c r="F1527" s="160"/>
      <c r="G1527" s="228" t="s">
        <v>481</v>
      </c>
      <c r="H1527" s="214"/>
      <c r="I1527" s="215"/>
      <c r="J1527" s="43">
        <v>1</v>
      </c>
      <c r="K1527" s="229">
        <v>20</v>
      </c>
      <c r="L1527" s="417" t="s">
        <v>1676</v>
      </c>
      <c r="M1527" s="417"/>
      <c r="N1527" s="39">
        <v>44732</v>
      </c>
      <c r="O1527" s="38">
        <v>4290</v>
      </c>
      <c r="P1527" s="216"/>
      <c r="Q1527" s="525">
        <v>0</v>
      </c>
      <c r="R1527" s="704">
        <f>Q1527*J1527</f>
        <v>0</v>
      </c>
      <c r="S1527" s="532">
        <v>1800</v>
      </c>
      <c r="T1527" s="113">
        <f>S1527*J1527</f>
        <v>1800</v>
      </c>
      <c r="V1527" s="494">
        <v>90</v>
      </c>
    </row>
    <row r="1528" spans="1:22" s="314" customFormat="1" ht="15">
      <c r="A1528" s="1"/>
      <c r="B1528" s="313"/>
      <c r="C1528" s="302" t="s">
        <v>2834</v>
      </c>
      <c r="D1528" s="303" t="s">
        <v>11</v>
      </c>
      <c r="E1528" s="304"/>
      <c r="F1528" s="305"/>
      <c r="G1528" s="305" t="s">
        <v>1227</v>
      </c>
      <c r="H1528" s="307" t="s">
        <v>1228</v>
      </c>
      <c r="I1528" s="308"/>
      <c r="J1528" s="306"/>
      <c r="K1528" s="315">
        <v>0</v>
      </c>
      <c r="L1528" s="310"/>
      <c r="M1528" s="310"/>
      <c r="N1528" s="310">
        <v>44732</v>
      </c>
      <c r="O1528" s="309">
        <v>4290</v>
      </c>
      <c r="P1528" s="302"/>
      <c r="Q1528" s="485">
        <v>0</v>
      </c>
      <c r="S1528" s="535">
        <v>0</v>
      </c>
      <c r="T1528" s="322">
        <v>0</v>
      </c>
      <c r="U1528" s="515"/>
      <c r="V1528" s="494">
        <v>90</v>
      </c>
    </row>
    <row r="1529" spans="1:22" ht="15">
      <c r="C1529" s="6" t="s">
        <v>2835</v>
      </c>
      <c r="D1529" s="15" t="s">
        <v>11</v>
      </c>
      <c r="E1529" s="20" t="s">
        <v>79</v>
      </c>
      <c r="F1529" s="150"/>
      <c r="G1529" s="24"/>
      <c r="H1529" s="151"/>
      <c r="I1529" s="152"/>
      <c r="J1529" s="151"/>
      <c r="K1529" s="153" t="s">
        <v>10</v>
      </c>
      <c r="L1529" s="39"/>
      <c r="M1529" s="39"/>
      <c r="N1529" s="39">
        <v>44781</v>
      </c>
      <c r="O1529" s="38">
        <v>4468</v>
      </c>
      <c r="P1529" s="15"/>
      <c r="Q1529" s="483"/>
      <c r="S1529" s="496"/>
      <c r="T1529" s="113"/>
      <c r="V1529" s="494">
        <v>90</v>
      </c>
    </row>
    <row r="1530" spans="1:22" ht="15.75">
      <c r="B1530" s="12" t="s">
        <v>1858</v>
      </c>
      <c r="C1530" s="6" t="s">
        <v>2835</v>
      </c>
      <c r="D1530" s="15" t="s">
        <v>11</v>
      </c>
      <c r="E1530" s="24" t="s">
        <v>3067</v>
      </c>
      <c r="F1530" s="150">
        <v>152</v>
      </c>
      <c r="G1530" s="24" t="s">
        <v>859</v>
      </c>
      <c r="H1530" s="67">
        <v>58</v>
      </c>
      <c r="I1530" s="68">
        <v>20</v>
      </c>
      <c r="J1530" s="67">
        <f>H1530*I1530</f>
        <v>1160</v>
      </c>
      <c r="K1530" s="46">
        <v>3.89</v>
      </c>
      <c r="L1530" s="46">
        <f>K1530*J1530</f>
        <v>4512.4000000000005</v>
      </c>
      <c r="M1530" s="162" t="s">
        <v>2219</v>
      </c>
      <c r="N1530" s="39">
        <v>44781</v>
      </c>
      <c r="O1530" s="38">
        <v>4468</v>
      </c>
      <c r="P1530" s="46">
        <f>K1530*(VLOOKUP(B1530,$C$2:$F$6,3,FALSE))</f>
        <v>3.6566000000000001</v>
      </c>
      <c r="Q1530" s="483">
        <v>3.66</v>
      </c>
      <c r="R1530" s="704">
        <f>Q1530*J1530</f>
        <v>4245.6000000000004</v>
      </c>
      <c r="S1530" s="532">
        <v>220</v>
      </c>
      <c r="T1530" s="567">
        <f>S1530*J1530</f>
        <v>255200</v>
      </c>
      <c r="V1530" s="494">
        <v>90</v>
      </c>
    </row>
    <row r="1531" spans="1:22" ht="15">
      <c r="C1531" s="6" t="s">
        <v>2835</v>
      </c>
      <c r="D1531" s="15" t="s">
        <v>11</v>
      </c>
      <c r="E1531" s="24"/>
      <c r="F1531" s="160"/>
      <c r="G1531" s="228" t="s">
        <v>31</v>
      </c>
      <c r="H1531" s="214"/>
      <c r="I1531" s="215"/>
      <c r="J1531" s="43">
        <v>1</v>
      </c>
      <c r="K1531" s="229">
        <v>20</v>
      </c>
      <c r="L1531" s="417" t="s">
        <v>1676</v>
      </c>
      <c r="M1531" s="417"/>
      <c r="N1531" s="39">
        <v>44781</v>
      </c>
      <c r="O1531" s="38">
        <v>4468</v>
      </c>
      <c r="P1531" s="216"/>
      <c r="Q1531" s="525">
        <v>0</v>
      </c>
      <c r="R1531" s="704">
        <f>Q1531*J1531</f>
        <v>0</v>
      </c>
      <c r="S1531" s="532">
        <v>0</v>
      </c>
      <c r="T1531" s="113">
        <f>S1531*J1531</f>
        <v>0</v>
      </c>
      <c r="V1531" s="494">
        <v>90</v>
      </c>
    </row>
    <row r="1532" spans="1:22" s="314" customFormat="1" ht="15">
      <c r="A1532" s="1"/>
      <c r="B1532" s="313"/>
      <c r="C1532" s="302" t="s">
        <v>2835</v>
      </c>
      <c r="D1532" s="303" t="s">
        <v>11</v>
      </c>
      <c r="E1532" s="304"/>
      <c r="F1532" s="305"/>
      <c r="G1532" s="305" t="s">
        <v>1227</v>
      </c>
      <c r="H1532" s="307" t="s">
        <v>1228</v>
      </c>
      <c r="I1532" s="308"/>
      <c r="J1532" s="306"/>
      <c r="K1532" s="315">
        <v>0</v>
      </c>
      <c r="L1532" s="310"/>
      <c r="M1532" s="310"/>
      <c r="N1532" s="310">
        <v>44781</v>
      </c>
      <c r="O1532" s="309">
        <v>4468</v>
      </c>
      <c r="P1532" s="302"/>
      <c r="Q1532" s="485">
        <v>0</v>
      </c>
      <c r="S1532" s="535">
        <v>0</v>
      </c>
      <c r="T1532" s="322">
        <v>0</v>
      </c>
      <c r="U1532" s="515"/>
      <c r="V1532" s="494">
        <v>90</v>
      </c>
    </row>
    <row r="1533" spans="1:22" ht="15">
      <c r="C1533" s="6" t="s">
        <v>2836</v>
      </c>
      <c r="D1533" s="15" t="s">
        <v>11</v>
      </c>
      <c r="E1533" s="20" t="s">
        <v>79</v>
      </c>
      <c r="F1533" s="150"/>
      <c r="G1533" s="24"/>
      <c r="H1533" s="151"/>
      <c r="I1533" s="152"/>
      <c r="J1533" s="151"/>
      <c r="K1533" s="153" t="s">
        <v>10</v>
      </c>
      <c r="L1533" s="39"/>
      <c r="M1533" s="39"/>
      <c r="N1533" s="39">
        <v>44824</v>
      </c>
      <c r="O1533" s="38">
        <v>4582</v>
      </c>
      <c r="P1533" s="15"/>
      <c r="Q1533" s="483"/>
      <c r="S1533" s="496"/>
      <c r="T1533" s="113"/>
      <c r="V1533" s="494">
        <v>90</v>
      </c>
    </row>
    <row r="1534" spans="1:22" ht="15.75">
      <c r="B1534" s="12" t="s">
        <v>1858</v>
      </c>
      <c r="C1534" s="6" t="s">
        <v>2836</v>
      </c>
      <c r="D1534" s="15" t="s">
        <v>11</v>
      </c>
      <c r="E1534" s="24" t="s">
        <v>3080</v>
      </c>
      <c r="F1534" s="150">
        <v>152</v>
      </c>
      <c r="G1534" s="24" t="s">
        <v>859</v>
      </c>
      <c r="H1534" s="67">
        <v>58</v>
      </c>
      <c r="I1534" s="68">
        <v>14</v>
      </c>
      <c r="J1534" s="67">
        <f>H1534*I1534</f>
        <v>812</v>
      </c>
      <c r="K1534" s="46">
        <v>3.89</v>
      </c>
      <c r="L1534" s="46">
        <f>K1534*J1534</f>
        <v>3158.6800000000003</v>
      </c>
      <c r="M1534" s="162" t="s">
        <v>2219</v>
      </c>
      <c r="N1534" s="39">
        <v>44824</v>
      </c>
      <c r="O1534" s="38">
        <v>4582</v>
      </c>
      <c r="P1534" s="46">
        <f>K1534*(VLOOKUP(B1534,$C$2:$F$6,3,FALSE))</f>
        <v>3.6566000000000001</v>
      </c>
      <c r="Q1534" s="483">
        <v>3.66</v>
      </c>
      <c r="R1534" s="704">
        <f>Q1534*J1534</f>
        <v>2971.92</v>
      </c>
      <c r="S1534" s="532">
        <v>220</v>
      </c>
      <c r="T1534" s="567">
        <f>S1534*J1534</f>
        <v>178640</v>
      </c>
      <c r="V1534" s="494">
        <v>90</v>
      </c>
    </row>
    <row r="1535" spans="1:22" ht="15.75">
      <c r="B1535" s="12" t="s">
        <v>1858</v>
      </c>
      <c r="C1535" s="6" t="s">
        <v>2836</v>
      </c>
      <c r="D1535" s="15" t="s">
        <v>11</v>
      </c>
      <c r="E1535" s="24" t="s">
        <v>3080</v>
      </c>
      <c r="F1535" s="150">
        <v>152</v>
      </c>
      <c r="G1535" s="24" t="s">
        <v>859</v>
      </c>
      <c r="H1535" s="67">
        <v>60</v>
      </c>
      <c r="I1535" s="68">
        <v>1</v>
      </c>
      <c r="J1535" s="67">
        <f>H1535*I1535</f>
        <v>60</v>
      </c>
      <c r="K1535" s="46">
        <v>3.89</v>
      </c>
      <c r="L1535" s="46">
        <f>K1535*J1535</f>
        <v>233.4</v>
      </c>
      <c r="M1535" s="162" t="s">
        <v>2219</v>
      </c>
      <c r="N1535" s="39">
        <v>44824</v>
      </c>
      <c r="O1535" s="38">
        <v>4582</v>
      </c>
      <c r="P1535" s="46">
        <f>K1535*(VLOOKUP(B1535,$C$2:$F$6,3,FALSE))</f>
        <v>3.6566000000000001</v>
      </c>
      <c r="Q1535" s="483">
        <v>3.66</v>
      </c>
      <c r="R1535" s="704">
        <f>Q1535*J1535</f>
        <v>219.60000000000002</v>
      </c>
      <c r="S1535" s="532">
        <v>220</v>
      </c>
      <c r="T1535" s="567">
        <f>S1535*J1535</f>
        <v>13200</v>
      </c>
      <c r="V1535" s="494">
        <v>90</v>
      </c>
    </row>
    <row r="1536" spans="1:22" ht="15.75">
      <c r="B1536" s="12" t="s">
        <v>1858</v>
      </c>
      <c r="C1536" s="6" t="s">
        <v>2836</v>
      </c>
      <c r="D1536" s="15" t="s">
        <v>11</v>
      </c>
      <c r="E1536" s="24" t="s">
        <v>3080</v>
      </c>
      <c r="F1536" s="150">
        <v>152</v>
      </c>
      <c r="G1536" s="24" t="s">
        <v>859</v>
      </c>
      <c r="H1536" s="67">
        <v>61</v>
      </c>
      <c r="I1536" s="68">
        <v>2</v>
      </c>
      <c r="J1536" s="67">
        <f>H1536*I1536</f>
        <v>122</v>
      </c>
      <c r="K1536" s="46">
        <v>3.89</v>
      </c>
      <c r="L1536" s="46">
        <f>K1536*J1536</f>
        <v>474.58000000000004</v>
      </c>
      <c r="M1536" s="162" t="s">
        <v>2219</v>
      </c>
      <c r="N1536" s="39">
        <v>44824</v>
      </c>
      <c r="O1536" s="38">
        <v>4582</v>
      </c>
      <c r="P1536" s="46">
        <f>K1536*(VLOOKUP(B1536,$C$2:$F$6,3,FALSE))</f>
        <v>3.6566000000000001</v>
      </c>
      <c r="Q1536" s="483">
        <v>3.66</v>
      </c>
      <c r="R1536" s="704">
        <f>Q1536*J1536</f>
        <v>446.52000000000004</v>
      </c>
      <c r="S1536" s="532">
        <v>220</v>
      </c>
      <c r="T1536" s="567">
        <f>S1536*J1536</f>
        <v>26840</v>
      </c>
      <c r="V1536" s="494">
        <v>90</v>
      </c>
    </row>
    <row r="1537" spans="1:23" ht="15.75">
      <c r="B1537" s="12" t="s">
        <v>1858</v>
      </c>
      <c r="C1537" s="6" t="s">
        <v>2836</v>
      </c>
      <c r="D1537" s="15" t="s">
        <v>11</v>
      </c>
      <c r="E1537" s="24" t="s">
        <v>3080</v>
      </c>
      <c r="F1537" s="150">
        <v>152</v>
      </c>
      <c r="G1537" s="24" t="s">
        <v>859</v>
      </c>
      <c r="H1537" s="67">
        <v>68</v>
      </c>
      <c r="I1537" s="68">
        <v>3</v>
      </c>
      <c r="J1537" s="67">
        <f>H1537*I1537</f>
        <v>204</v>
      </c>
      <c r="K1537" s="46">
        <v>3.89</v>
      </c>
      <c r="L1537" s="46">
        <f>K1537*J1537</f>
        <v>793.56000000000006</v>
      </c>
      <c r="M1537" s="162" t="s">
        <v>2219</v>
      </c>
      <c r="N1537" s="39">
        <v>44824</v>
      </c>
      <c r="O1537" s="38">
        <v>4582</v>
      </c>
      <c r="P1537" s="46">
        <f>K1537*(VLOOKUP(B1537,$C$2:$F$6,3,FALSE))</f>
        <v>3.6566000000000001</v>
      </c>
      <c r="Q1537" s="483">
        <v>3.66</v>
      </c>
      <c r="R1537" s="704">
        <f>Q1537*J1537</f>
        <v>746.64</v>
      </c>
      <c r="S1537" s="532">
        <v>220</v>
      </c>
      <c r="T1537" s="567">
        <f>S1537*J1537</f>
        <v>44880</v>
      </c>
      <c r="V1537" s="494">
        <v>90</v>
      </c>
    </row>
    <row r="1538" spans="1:23" ht="15">
      <c r="C1538" s="6" t="s">
        <v>2836</v>
      </c>
      <c r="D1538" s="15" t="s">
        <v>11</v>
      </c>
      <c r="E1538" s="24"/>
      <c r="F1538" s="160"/>
      <c r="G1538" s="228" t="s">
        <v>481</v>
      </c>
      <c r="H1538" s="214"/>
      <c r="I1538" s="215"/>
      <c r="J1538" s="43">
        <v>1</v>
      </c>
      <c r="K1538" s="229">
        <v>20</v>
      </c>
      <c r="L1538" s="417" t="s">
        <v>1676</v>
      </c>
      <c r="M1538" s="417"/>
      <c r="N1538" s="39">
        <v>44824</v>
      </c>
      <c r="O1538" s="38">
        <v>4582</v>
      </c>
      <c r="P1538" s="216"/>
      <c r="Q1538" s="525">
        <v>0</v>
      </c>
      <c r="R1538" s="704">
        <f>Q1538*J1538</f>
        <v>0</v>
      </c>
      <c r="S1538" s="532">
        <v>0</v>
      </c>
      <c r="T1538" s="113">
        <f>S1538*J1538</f>
        <v>0</v>
      </c>
      <c r="V1538" s="494">
        <v>90</v>
      </c>
    </row>
    <row r="1539" spans="1:23" s="314" customFormat="1" ht="15">
      <c r="A1539" s="1"/>
      <c r="B1539" s="313"/>
      <c r="C1539" s="302" t="s">
        <v>2836</v>
      </c>
      <c r="D1539" s="303" t="s">
        <v>11</v>
      </c>
      <c r="E1539" s="304"/>
      <c r="F1539" s="305"/>
      <c r="G1539" s="305" t="s">
        <v>1227</v>
      </c>
      <c r="H1539" s="307" t="s">
        <v>1228</v>
      </c>
      <c r="I1539" s="308"/>
      <c r="J1539" s="306"/>
      <c r="K1539" s="315">
        <v>0</v>
      </c>
      <c r="L1539" s="310"/>
      <c r="M1539" s="310"/>
      <c r="N1539" s="310">
        <v>44824</v>
      </c>
      <c r="O1539" s="309">
        <v>4582</v>
      </c>
      <c r="P1539" s="302"/>
      <c r="Q1539" s="485">
        <v>0</v>
      </c>
      <c r="S1539" s="535">
        <v>0</v>
      </c>
      <c r="T1539" s="322">
        <v>0</v>
      </c>
      <c r="U1539" s="515"/>
      <c r="V1539" s="494">
        <v>90</v>
      </c>
    </row>
    <row r="1540" spans="1:23" ht="15">
      <c r="C1540" s="6" t="s">
        <v>2837</v>
      </c>
      <c r="D1540" s="15" t="s">
        <v>11</v>
      </c>
      <c r="E1540" s="20" t="s">
        <v>79</v>
      </c>
      <c r="F1540" s="150"/>
      <c r="G1540" s="24"/>
      <c r="H1540" s="151"/>
      <c r="I1540" s="152"/>
      <c r="J1540" s="151"/>
      <c r="K1540" s="153" t="s">
        <v>10</v>
      </c>
      <c r="L1540" s="39"/>
      <c r="M1540" s="39"/>
      <c r="N1540" s="39">
        <v>44867</v>
      </c>
      <c r="O1540" s="38">
        <v>4703</v>
      </c>
      <c r="P1540" s="15"/>
      <c r="Q1540" s="483"/>
      <c r="S1540" s="496"/>
      <c r="T1540" s="113"/>
      <c r="V1540" s="494">
        <v>90</v>
      </c>
    </row>
    <row r="1541" spans="1:23" ht="15.75">
      <c r="B1541" s="12" t="s">
        <v>1858</v>
      </c>
      <c r="C1541" s="6" t="s">
        <v>2837</v>
      </c>
      <c r="D1541" s="15" t="s">
        <v>11</v>
      </c>
      <c r="E1541" s="24" t="s">
        <v>3080</v>
      </c>
      <c r="F1541" s="150">
        <v>152</v>
      </c>
      <c r="G1541" s="24" t="s">
        <v>859</v>
      </c>
      <c r="H1541" s="67">
        <v>58</v>
      </c>
      <c r="I1541" s="68">
        <v>12</v>
      </c>
      <c r="J1541" s="67">
        <f>H1541*I1541</f>
        <v>696</v>
      </c>
      <c r="K1541" s="46">
        <v>3.89</v>
      </c>
      <c r="L1541" s="46">
        <f>K1541*J1541</f>
        <v>2707.44</v>
      </c>
      <c r="M1541" s="162" t="s">
        <v>2219</v>
      </c>
      <c r="N1541" s="39">
        <v>44867</v>
      </c>
      <c r="O1541" s="38">
        <v>4703</v>
      </c>
      <c r="P1541" s="46">
        <f>K1541*(VLOOKUP(B1541,$C$2:$F$6,3,FALSE))</f>
        <v>3.6566000000000001</v>
      </c>
      <c r="Q1541" s="483">
        <v>3.66</v>
      </c>
      <c r="R1541" s="704">
        <f>Q1541*J1541</f>
        <v>2547.36</v>
      </c>
      <c r="S1541" s="532">
        <v>220</v>
      </c>
      <c r="T1541" s="567">
        <f>S1541*J1541</f>
        <v>153120</v>
      </c>
      <c r="V1541" s="494">
        <v>90</v>
      </c>
    </row>
    <row r="1542" spans="1:23" ht="15.75">
      <c r="B1542" s="12" t="s">
        <v>1858</v>
      </c>
      <c r="C1542" s="6" t="s">
        <v>2837</v>
      </c>
      <c r="D1542" s="15" t="s">
        <v>11</v>
      </c>
      <c r="E1542" s="24" t="s">
        <v>3080</v>
      </c>
      <c r="F1542" s="150">
        <v>152</v>
      </c>
      <c r="G1542" s="24" t="s">
        <v>859</v>
      </c>
      <c r="H1542" s="67">
        <v>67</v>
      </c>
      <c r="I1542" s="68">
        <v>1</v>
      </c>
      <c r="J1542" s="67">
        <f>H1542*I1542</f>
        <v>67</v>
      </c>
      <c r="K1542" s="46">
        <v>3.89</v>
      </c>
      <c r="L1542" s="46">
        <f>K1542*J1542</f>
        <v>260.63</v>
      </c>
      <c r="M1542" s="162" t="s">
        <v>2219</v>
      </c>
      <c r="N1542" s="39">
        <v>44867</v>
      </c>
      <c r="O1542" s="38">
        <v>4703</v>
      </c>
      <c r="P1542" s="46">
        <f>K1542*(VLOOKUP(B1542,$C$2:$F$6,3,FALSE))</f>
        <v>3.6566000000000001</v>
      </c>
      <c r="Q1542" s="483">
        <v>3.66</v>
      </c>
      <c r="R1542" s="704">
        <f>Q1542*J1542</f>
        <v>245.22</v>
      </c>
      <c r="S1542" s="532">
        <v>220</v>
      </c>
      <c r="T1542" s="567">
        <f>S1542*J1542</f>
        <v>14740</v>
      </c>
      <c r="V1542" s="494">
        <v>90</v>
      </c>
    </row>
    <row r="1543" spans="1:23" ht="15.75">
      <c r="B1543" s="12" t="s">
        <v>1858</v>
      </c>
      <c r="C1543" s="6" t="s">
        <v>2837</v>
      </c>
      <c r="D1543" s="15" t="s">
        <v>11</v>
      </c>
      <c r="E1543" s="24" t="s">
        <v>3080</v>
      </c>
      <c r="F1543" s="150">
        <v>152</v>
      </c>
      <c r="G1543" s="24" t="s">
        <v>859</v>
      </c>
      <c r="H1543" s="67">
        <v>68</v>
      </c>
      <c r="I1543" s="68">
        <v>7</v>
      </c>
      <c r="J1543" s="67">
        <f>H1543*I1543</f>
        <v>476</v>
      </c>
      <c r="K1543" s="46">
        <v>3.89</v>
      </c>
      <c r="L1543" s="46">
        <f>K1543*J1543</f>
        <v>1851.64</v>
      </c>
      <c r="M1543" s="162" t="s">
        <v>2219</v>
      </c>
      <c r="N1543" s="39">
        <v>44867</v>
      </c>
      <c r="O1543" s="38">
        <v>4703</v>
      </c>
      <c r="P1543" s="46">
        <f>K1543*(VLOOKUP(B1543,$C$2:$F$6,3,FALSE))</f>
        <v>3.6566000000000001</v>
      </c>
      <c r="Q1543" s="483">
        <v>3.66</v>
      </c>
      <c r="R1543" s="704">
        <f>Q1543*J1543</f>
        <v>1742.16</v>
      </c>
      <c r="S1543" s="532">
        <v>220</v>
      </c>
      <c r="T1543" s="567">
        <f>S1543*J1543</f>
        <v>104720</v>
      </c>
      <c r="V1543" s="494">
        <v>90</v>
      </c>
    </row>
    <row r="1544" spans="1:23" ht="15">
      <c r="C1544" s="6" t="s">
        <v>2837</v>
      </c>
      <c r="D1544" s="15" t="s">
        <v>11</v>
      </c>
      <c r="E1544" s="24"/>
      <c r="F1544" s="160"/>
      <c r="G1544" s="228" t="s">
        <v>481</v>
      </c>
      <c r="H1544" s="214"/>
      <c r="I1544" s="215"/>
      <c r="J1544" s="43">
        <v>1</v>
      </c>
      <c r="K1544" s="229">
        <v>20</v>
      </c>
      <c r="L1544" s="417" t="s">
        <v>1676</v>
      </c>
      <c r="M1544" s="417"/>
      <c r="N1544" s="39">
        <v>44867</v>
      </c>
      <c r="O1544" s="38">
        <v>4703</v>
      </c>
      <c r="P1544" s="216"/>
      <c r="Q1544" s="525">
        <v>0</v>
      </c>
      <c r="R1544" s="704">
        <f>Q1544*J1544</f>
        <v>0</v>
      </c>
      <c r="S1544" s="532">
        <v>0</v>
      </c>
      <c r="T1544" s="113">
        <f>S1544*J1544</f>
        <v>0</v>
      </c>
      <c r="V1544" s="494">
        <v>90</v>
      </c>
    </row>
    <row r="1545" spans="1:23" s="314" customFormat="1" ht="15">
      <c r="A1545" s="1"/>
      <c r="B1545" s="313"/>
      <c r="C1545" s="302" t="s">
        <v>2837</v>
      </c>
      <c r="D1545" s="303" t="s">
        <v>11</v>
      </c>
      <c r="E1545" s="304"/>
      <c r="F1545" s="305"/>
      <c r="G1545" s="305" t="s">
        <v>1227</v>
      </c>
      <c r="H1545" s="307" t="s">
        <v>1228</v>
      </c>
      <c r="I1545" s="308"/>
      <c r="J1545" s="306"/>
      <c r="K1545" s="315">
        <v>0</v>
      </c>
      <c r="L1545" s="310"/>
      <c r="M1545" s="310"/>
      <c r="N1545" s="310">
        <v>44867</v>
      </c>
      <c r="O1545" s="309">
        <v>4703</v>
      </c>
      <c r="P1545" s="302"/>
      <c r="Q1545" s="485">
        <v>0</v>
      </c>
      <c r="S1545" s="535">
        <v>0</v>
      </c>
      <c r="T1545" s="322">
        <v>0</v>
      </c>
      <c r="U1545" s="515"/>
      <c r="V1545" s="494">
        <v>90</v>
      </c>
    </row>
    <row r="1546" spans="1:23" ht="15">
      <c r="C1546" s="6" t="s">
        <v>2838</v>
      </c>
      <c r="D1546" s="15" t="s">
        <v>11</v>
      </c>
      <c r="E1546" s="20" t="s">
        <v>79</v>
      </c>
      <c r="F1546" s="150"/>
      <c r="G1546" s="24"/>
      <c r="H1546" s="151"/>
      <c r="I1546" s="152"/>
      <c r="J1546" s="151"/>
      <c r="K1546" s="153" t="s">
        <v>10</v>
      </c>
      <c r="L1546" s="39"/>
      <c r="M1546" s="39"/>
      <c r="N1546" s="39">
        <v>44900</v>
      </c>
      <c r="O1546" s="38">
        <v>4803</v>
      </c>
      <c r="P1546" s="15"/>
      <c r="Q1546" s="483"/>
      <c r="S1546" s="496"/>
      <c r="T1546" s="113"/>
      <c r="V1546" s="494">
        <v>90</v>
      </c>
      <c r="W1546"/>
    </row>
    <row r="1547" spans="1:23" ht="15.75">
      <c r="B1547" s="12" t="s">
        <v>1858</v>
      </c>
      <c r="C1547" s="6" t="s">
        <v>2838</v>
      </c>
      <c r="D1547" s="15" t="s">
        <v>11</v>
      </c>
      <c r="E1547" s="24" t="s">
        <v>3080</v>
      </c>
      <c r="F1547" s="150">
        <v>152</v>
      </c>
      <c r="G1547" s="24" t="s">
        <v>859</v>
      </c>
      <c r="H1547" s="67">
        <v>58</v>
      </c>
      <c r="I1547" s="68">
        <v>13</v>
      </c>
      <c r="J1547" s="67">
        <f>H1547*I1547</f>
        <v>754</v>
      </c>
      <c r="K1547" s="46">
        <v>3.89</v>
      </c>
      <c r="L1547" s="46">
        <f>K1547*J1547</f>
        <v>2933.06</v>
      </c>
      <c r="M1547" s="162" t="s">
        <v>2219</v>
      </c>
      <c r="N1547" s="39">
        <v>44900</v>
      </c>
      <c r="O1547" s="38">
        <v>4803</v>
      </c>
      <c r="P1547" s="46">
        <f>K1547*(VLOOKUP(B1547,$C$2:$F$6,3,FALSE))</f>
        <v>3.6566000000000001</v>
      </c>
      <c r="Q1547" s="483">
        <v>3.66</v>
      </c>
      <c r="R1547" s="704">
        <f>Q1547*J1547</f>
        <v>2759.6400000000003</v>
      </c>
      <c r="S1547" s="532">
        <v>220</v>
      </c>
      <c r="T1547" s="567">
        <f>S1547*J1547</f>
        <v>165880</v>
      </c>
      <c r="V1547" s="494">
        <v>90</v>
      </c>
      <c r="W1547"/>
    </row>
    <row r="1548" spans="1:23" ht="15.75">
      <c r="B1548" s="12" t="s">
        <v>1858</v>
      </c>
      <c r="C1548" s="6" t="s">
        <v>2838</v>
      </c>
      <c r="D1548" s="15" t="s">
        <v>11</v>
      </c>
      <c r="E1548" s="24" t="s">
        <v>3080</v>
      </c>
      <c r="F1548" s="150">
        <v>152</v>
      </c>
      <c r="G1548" s="24" t="s">
        <v>859</v>
      </c>
      <c r="H1548" s="67">
        <v>66</v>
      </c>
      <c r="I1548" s="68">
        <v>7</v>
      </c>
      <c r="J1548" s="67">
        <f>H1548*I1548</f>
        <v>462</v>
      </c>
      <c r="K1548" s="46">
        <v>3.89</v>
      </c>
      <c r="L1548" s="46">
        <f>K1548*J1548</f>
        <v>1797.18</v>
      </c>
      <c r="M1548" s="162" t="s">
        <v>2219</v>
      </c>
      <c r="N1548" s="39">
        <v>44900</v>
      </c>
      <c r="O1548" s="38">
        <v>4803</v>
      </c>
      <c r="P1548" s="46">
        <f>K1548*(VLOOKUP(B1548,$C$2:$F$6,3,FALSE))</f>
        <v>3.6566000000000001</v>
      </c>
      <c r="Q1548" s="483">
        <v>3.66</v>
      </c>
      <c r="R1548" s="704">
        <f>Q1548*J1548</f>
        <v>1690.92</v>
      </c>
      <c r="S1548" s="532">
        <v>220</v>
      </c>
      <c r="T1548" s="567">
        <f>S1548*J1548</f>
        <v>101640</v>
      </c>
      <c r="V1548" s="494">
        <v>90</v>
      </c>
      <c r="W1548"/>
    </row>
    <row r="1549" spans="1:23" ht="15">
      <c r="C1549" s="6" t="s">
        <v>2838</v>
      </c>
      <c r="D1549" s="15" t="s">
        <v>11</v>
      </c>
      <c r="E1549" s="24"/>
      <c r="F1549" s="160"/>
      <c r="G1549" s="228" t="s">
        <v>481</v>
      </c>
      <c r="H1549" s="214"/>
      <c r="I1549" s="215"/>
      <c r="J1549" s="43">
        <v>1</v>
      </c>
      <c r="K1549" s="229">
        <v>20</v>
      </c>
      <c r="L1549" s="417" t="s">
        <v>1676</v>
      </c>
      <c r="M1549" s="417"/>
      <c r="N1549" s="39">
        <v>44900</v>
      </c>
      <c r="O1549" s="38">
        <v>4803</v>
      </c>
      <c r="P1549" s="216"/>
      <c r="Q1549" s="525">
        <v>0</v>
      </c>
      <c r="R1549" s="704">
        <f>Q1549*J1549</f>
        <v>0</v>
      </c>
      <c r="S1549" s="532">
        <v>0</v>
      </c>
      <c r="T1549" s="113">
        <f>S1549*J1549</f>
        <v>0</v>
      </c>
      <c r="V1549" s="494">
        <v>90</v>
      </c>
    </row>
    <row r="1550" spans="1:23" s="314" customFormat="1" ht="15">
      <c r="B1550" s="313"/>
      <c r="C1550" s="302" t="s">
        <v>2838</v>
      </c>
      <c r="D1550" s="303" t="s">
        <v>11</v>
      </c>
      <c r="E1550" s="304"/>
      <c r="F1550" s="305"/>
      <c r="G1550" s="305" t="s">
        <v>1227</v>
      </c>
      <c r="H1550" s="307" t="s">
        <v>1228</v>
      </c>
      <c r="I1550" s="308"/>
      <c r="J1550" s="306"/>
      <c r="K1550" s="315">
        <v>0</v>
      </c>
      <c r="L1550" s="310"/>
      <c r="M1550" s="310"/>
      <c r="N1550" s="310">
        <v>44900</v>
      </c>
      <c r="O1550" s="309">
        <v>4803</v>
      </c>
      <c r="P1550" s="302"/>
      <c r="Q1550" s="485">
        <v>0</v>
      </c>
      <c r="S1550" s="535">
        <v>0</v>
      </c>
      <c r="T1550" s="322">
        <v>0</v>
      </c>
      <c r="U1550" s="515"/>
      <c r="V1550" s="494">
        <v>90</v>
      </c>
    </row>
    <row r="1551" spans="1:23" s="7" customFormat="1" ht="18" customHeight="1">
      <c r="B1551" s="12"/>
      <c r="C1551" s="6" t="s">
        <v>2844</v>
      </c>
      <c r="D1551" s="15" t="s">
        <v>2845</v>
      </c>
      <c r="E1551" s="20" t="s">
        <v>2846</v>
      </c>
      <c r="F1551" s="24"/>
      <c r="G1551" s="44"/>
      <c r="H1551" s="151"/>
      <c r="I1551" s="151"/>
      <c r="J1551" s="151"/>
      <c r="K1551" s="153" t="s">
        <v>10</v>
      </c>
      <c r="L1551" s="39"/>
      <c r="M1551" s="39"/>
      <c r="N1551" s="39">
        <v>44736</v>
      </c>
      <c r="O1551" s="417" t="s">
        <v>1422</v>
      </c>
      <c r="P1551" s="6"/>
      <c r="Q1551" s="411"/>
      <c r="S1551" s="489"/>
      <c r="T1551" s="113"/>
      <c r="U1551" s="501"/>
      <c r="V1551" s="1051">
        <v>120</v>
      </c>
    </row>
    <row r="1552" spans="1:23" s="7" customFormat="1" ht="15.95" customHeight="1">
      <c r="B1552" s="12" t="s">
        <v>1856</v>
      </c>
      <c r="C1552" s="6" t="s">
        <v>2844</v>
      </c>
      <c r="D1552" s="15" t="s">
        <v>2845</v>
      </c>
      <c r="E1552" s="24">
        <v>4114</v>
      </c>
      <c r="F1552" s="44">
        <v>9</v>
      </c>
      <c r="G1552" s="44" t="s">
        <v>2847</v>
      </c>
      <c r="H1552" s="151"/>
      <c r="I1552" s="152"/>
      <c r="J1552" s="8">
        <v>2</v>
      </c>
      <c r="K1552" s="1007">
        <v>0.77</v>
      </c>
      <c r="L1552" s="46">
        <f>K1552*J1552</f>
        <v>1.54</v>
      </c>
      <c r="M1552" s="162" t="s">
        <v>2219</v>
      </c>
      <c r="N1552" s="39">
        <v>44736</v>
      </c>
      <c r="O1552" s="417" t="s">
        <v>1422</v>
      </c>
      <c r="P1552" s="180">
        <f>K1552*(VLOOKUP(B1552,$C$2:$F$6,3,FALSE))</f>
        <v>0.67759999999999998</v>
      </c>
      <c r="Q1552" s="483">
        <v>0.68</v>
      </c>
      <c r="R1552" s="704"/>
      <c r="S1552" s="489">
        <v>0</v>
      </c>
      <c r="T1552" s="113">
        <f>S1552*J1552</f>
        <v>0</v>
      </c>
      <c r="U1552" s="517"/>
      <c r="V1552" s="494">
        <v>120</v>
      </c>
    </row>
    <row r="1553" spans="2:23" ht="15.95" customHeight="1">
      <c r="B1553" s="12" t="s">
        <v>1862</v>
      </c>
      <c r="C1553" s="6" t="s">
        <v>2844</v>
      </c>
      <c r="D1553" s="15" t="s">
        <v>2845</v>
      </c>
      <c r="E1553" s="24"/>
      <c r="F1553" s="138"/>
      <c r="G1553" s="44" t="s">
        <v>1993</v>
      </c>
      <c r="H1553" s="8"/>
      <c r="I1553" s="41"/>
      <c r="J1553" s="45">
        <v>1</v>
      </c>
      <c r="K1553" s="46">
        <v>12</v>
      </c>
      <c r="L1553" s="46">
        <f>K1553*J1553</f>
        <v>12</v>
      </c>
      <c r="M1553" s="112"/>
      <c r="N1553" s="39">
        <v>44736</v>
      </c>
      <c r="O1553" s="417" t="s">
        <v>1422</v>
      </c>
      <c r="P1553" s="46">
        <f>K1553*(VLOOKUP(B1553,$C$2:$F$6,3,FALSE))</f>
        <v>12</v>
      </c>
      <c r="Q1553" s="483">
        <v>12</v>
      </c>
      <c r="R1553" s="704"/>
      <c r="S1553" s="489">
        <v>0</v>
      </c>
      <c r="T1553" s="113">
        <f>S1553*J1553</f>
        <v>0</v>
      </c>
      <c r="U1553" s="511"/>
      <c r="V1553" s="494">
        <v>120</v>
      </c>
      <c r="W1553"/>
    </row>
    <row r="1554" spans="2:23" s="314" customFormat="1" ht="15">
      <c r="B1554" s="313"/>
      <c r="C1554" s="302" t="s">
        <v>2844</v>
      </c>
      <c r="D1554" s="303" t="s">
        <v>2845</v>
      </c>
      <c r="E1554" s="304"/>
      <c r="F1554" s="305"/>
      <c r="G1554" s="305" t="s">
        <v>1227</v>
      </c>
      <c r="H1554" s="307" t="s">
        <v>1228</v>
      </c>
      <c r="I1554" s="308"/>
      <c r="J1554" s="306"/>
      <c r="K1554" s="315">
        <v>0</v>
      </c>
      <c r="L1554" s="310"/>
      <c r="M1554" s="310"/>
      <c r="N1554" s="310">
        <v>44736</v>
      </c>
      <c r="O1554" s="1063" t="s">
        <v>1422</v>
      </c>
      <c r="P1554" s="302"/>
      <c r="Q1554" s="485">
        <v>0</v>
      </c>
      <c r="S1554" s="536">
        <v>0</v>
      </c>
      <c r="T1554" s="322">
        <v>0</v>
      </c>
      <c r="U1554" s="515"/>
      <c r="V1554" s="494">
        <v>120</v>
      </c>
    </row>
    <row r="1555" spans="2:23" s="7" customFormat="1" ht="18" customHeight="1">
      <c r="B1555" s="12"/>
      <c r="C1555" s="6" t="s">
        <v>2854</v>
      </c>
      <c r="D1555" s="15" t="s">
        <v>2855</v>
      </c>
      <c r="E1555" s="20" t="s">
        <v>2856</v>
      </c>
      <c r="F1555" s="24"/>
      <c r="G1555" s="44"/>
      <c r="H1555" s="151"/>
      <c r="I1555" s="151"/>
      <c r="J1555" s="151"/>
      <c r="K1555" s="153" t="s">
        <v>10</v>
      </c>
      <c r="L1555" s="39"/>
      <c r="M1555" s="39"/>
      <c r="N1555" s="39">
        <v>44740</v>
      </c>
      <c r="O1555" s="38">
        <v>4328</v>
      </c>
      <c r="P1555" s="6"/>
      <c r="Q1555" s="411"/>
      <c r="S1555" s="489"/>
      <c r="T1555" s="113"/>
      <c r="U1555" s="501"/>
      <c r="V1555" s="494">
        <v>120</v>
      </c>
    </row>
    <row r="1556" spans="2:23" s="7" customFormat="1" ht="15.95" customHeight="1">
      <c r="B1556" s="12" t="s">
        <v>1856</v>
      </c>
      <c r="C1556" s="6" t="s">
        <v>2854</v>
      </c>
      <c r="D1556" s="15" t="s">
        <v>2855</v>
      </c>
      <c r="E1556" s="24">
        <v>12720</v>
      </c>
      <c r="F1556" s="44">
        <v>9</v>
      </c>
      <c r="G1556" s="44" t="s">
        <v>2858</v>
      </c>
      <c r="H1556" s="67">
        <v>10</v>
      </c>
      <c r="I1556" s="68">
        <v>1</v>
      </c>
      <c r="J1556" s="67">
        <f>H1556*I1556</f>
        <v>10</v>
      </c>
      <c r="K1556" s="1007">
        <v>0.97</v>
      </c>
      <c r="L1556" s="46">
        <f>K1556*J1556</f>
        <v>9.6999999999999993</v>
      </c>
      <c r="M1556" s="162" t="s">
        <v>2219</v>
      </c>
      <c r="N1556" s="39">
        <v>44740</v>
      </c>
      <c r="O1556" s="38">
        <v>4328</v>
      </c>
      <c r="P1556" s="180">
        <f>K1556*(VLOOKUP(B1556,$C$2:$F$6,3,FALSE))</f>
        <v>0.85360000000000003</v>
      </c>
      <c r="Q1556" s="483">
        <v>0.85</v>
      </c>
      <c r="R1556" s="704">
        <f>Q1556*J1556</f>
        <v>8.5</v>
      </c>
      <c r="S1556" s="489">
        <v>47.3</v>
      </c>
      <c r="T1556" s="113">
        <f>S1556*J1556</f>
        <v>473</v>
      </c>
      <c r="U1556" s="1021" t="s">
        <v>2857</v>
      </c>
      <c r="V1556" s="494">
        <v>120</v>
      </c>
    </row>
    <row r="1557" spans="2:23" ht="15.95" customHeight="1">
      <c r="B1557" s="12" t="s">
        <v>1862</v>
      </c>
      <c r="C1557" s="6" t="s">
        <v>2854</v>
      </c>
      <c r="D1557" s="15" t="s">
        <v>2855</v>
      </c>
      <c r="E1557" s="24"/>
      <c r="F1557" s="138"/>
      <c r="G1557" s="44" t="s">
        <v>1993</v>
      </c>
      <c r="H1557" s="8"/>
      <c r="I1557" s="41"/>
      <c r="J1557" s="45">
        <v>1</v>
      </c>
      <c r="K1557" s="46">
        <v>12</v>
      </c>
      <c r="L1557" s="46">
        <f>K1557*J1557</f>
        <v>12</v>
      </c>
      <c r="M1557" s="112"/>
      <c r="N1557" s="39">
        <v>44740</v>
      </c>
      <c r="O1557" s="38">
        <v>4328</v>
      </c>
      <c r="P1557" s="46">
        <f>K1557*(VLOOKUP(B1557,$C$2:$F$6,3,FALSE))</f>
        <v>12</v>
      </c>
      <c r="Q1557" s="483">
        <v>12</v>
      </c>
      <c r="R1557" s="704">
        <v>12</v>
      </c>
      <c r="S1557" s="489">
        <v>0</v>
      </c>
      <c r="T1557" s="113">
        <v>0</v>
      </c>
      <c r="U1557" s="511"/>
      <c r="V1557" s="494">
        <v>120</v>
      </c>
      <c r="W1557"/>
    </row>
    <row r="1558" spans="2:23" s="314" customFormat="1" ht="15">
      <c r="B1558" s="313"/>
      <c r="C1558" s="302" t="s">
        <v>2854</v>
      </c>
      <c r="D1558" s="303" t="s">
        <v>2855</v>
      </c>
      <c r="E1558" s="304"/>
      <c r="F1558" s="305"/>
      <c r="G1558" s="305" t="s">
        <v>1227</v>
      </c>
      <c r="H1558" s="307" t="s">
        <v>1228</v>
      </c>
      <c r="I1558" s="308"/>
      <c r="J1558" s="306"/>
      <c r="K1558" s="315">
        <v>0</v>
      </c>
      <c r="L1558" s="310"/>
      <c r="M1558" s="310"/>
      <c r="N1558" s="310">
        <v>44740</v>
      </c>
      <c r="O1558" s="309">
        <v>4328</v>
      </c>
      <c r="P1558" s="302"/>
      <c r="Q1558" s="485">
        <v>0</v>
      </c>
      <c r="S1558" s="536">
        <v>0</v>
      </c>
      <c r="T1558" s="322">
        <v>0</v>
      </c>
      <c r="U1558" s="515"/>
      <c r="V1558" s="494">
        <v>120</v>
      </c>
    </row>
    <row r="1559" spans="2:23" s="7" customFormat="1" ht="15">
      <c r="B1559" s="12"/>
      <c r="C1559" s="6" t="s">
        <v>2859</v>
      </c>
      <c r="D1559" s="15" t="s">
        <v>909</v>
      </c>
      <c r="E1559" s="20" t="s">
        <v>1026</v>
      </c>
      <c r="F1559" s="44"/>
      <c r="G1559" s="44"/>
      <c r="H1559" s="151"/>
      <c r="I1559" s="151"/>
      <c r="J1559" s="151"/>
      <c r="K1559" s="34" t="s">
        <v>1027</v>
      </c>
      <c r="L1559" s="39"/>
      <c r="M1559" s="39"/>
      <c r="N1559" s="39">
        <v>44753</v>
      </c>
      <c r="O1559" s="38">
        <v>4371</v>
      </c>
      <c r="P1559" s="6"/>
      <c r="Q1559" s="524"/>
      <c r="S1559" s="489"/>
      <c r="T1559" s="113"/>
      <c r="U1559" s="501"/>
      <c r="V1559" s="494">
        <v>120</v>
      </c>
    </row>
    <row r="1560" spans="2:23" s="7" customFormat="1" ht="15" customHeight="1">
      <c r="B1560" s="12" t="s">
        <v>1856</v>
      </c>
      <c r="C1560" s="6" t="s">
        <v>2859</v>
      </c>
      <c r="D1560" s="15" t="s">
        <v>909</v>
      </c>
      <c r="E1560" s="24" t="s">
        <v>1346</v>
      </c>
      <c r="F1560" s="44" t="s">
        <v>1454</v>
      </c>
      <c r="G1560" s="267" t="s">
        <v>1446</v>
      </c>
      <c r="H1560" s="261"/>
      <c r="I1560" s="261"/>
      <c r="J1560" s="664">
        <v>40</v>
      </c>
      <c r="K1560" s="46">
        <v>0.48</v>
      </c>
      <c r="L1560" s="46">
        <f t="shared" ref="L1560:L1568" si="73">K1560*J1560</f>
        <v>19.2</v>
      </c>
      <c r="M1560" s="162" t="s">
        <v>2219</v>
      </c>
      <c r="N1560" s="39">
        <v>44753</v>
      </c>
      <c r="O1560" s="38">
        <v>4371</v>
      </c>
      <c r="P1560" s="46">
        <f t="shared" ref="P1560:P1567" si="74">K1560*(VLOOKUP(B1560,$C$2:$F$6,3,FALSE))</f>
        <v>0.4224</v>
      </c>
      <c r="Q1560" s="483">
        <v>0.42</v>
      </c>
      <c r="R1560" s="704">
        <f t="shared" ref="R1560:R1566" si="75">Q1560*J1560</f>
        <v>16.8</v>
      </c>
      <c r="S1560" s="532">
        <v>25.7</v>
      </c>
      <c r="T1560" s="567">
        <f t="shared" ref="T1560:T1568" si="76">S1560*J1560</f>
        <v>1028</v>
      </c>
      <c r="U1560" s="507"/>
      <c r="V1560" s="494">
        <v>120</v>
      </c>
    </row>
    <row r="1561" spans="2:23" s="7" customFormat="1" ht="15" customHeight="1">
      <c r="B1561" s="12" t="s">
        <v>1856</v>
      </c>
      <c r="C1561" s="6" t="s">
        <v>2859</v>
      </c>
      <c r="D1561" s="15" t="s">
        <v>909</v>
      </c>
      <c r="E1561" s="24" t="s">
        <v>1346</v>
      </c>
      <c r="F1561" s="44" t="s">
        <v>1030</v>
      </c>
      <c r="G1561" s="267" t="s">
        <v>1446</v>
      </c>
      <c r="H1561" s="261"/>
      <c r="I1561" s="261"/>
      <c r="J1561" s="664">
        <v>248</v>
      </c>
      <c r="K1561" s="46">
        <v>0.49</v>
      </c>
      <c r="L1561" s="46">
        <f t="shared" si="73"/>
        <v>121.52</v>
      </c>
      <c r="M1561" s="162" t="s">
        <v>2219</v>
      </c>
      <c r="N1561" s="39">
        <v>44753</v>
      </c>
      <c r="O1561" s="38">
        <v>4371</v>
      </c>
      <c r="P1561" s="46">
        <f t="shared" si="74"/>
        <v>0.43119999999999997</v>
      </c>
      <c r="Q1561" s="483">
        <v>0.43</v>
      </c>
      <c r="R1561" s="704">
        <f t="shared" si="75"/>
        <v>106.64</v>
      </c>
      <c r="S1561" s="489">
        <v>26.2</v>
      </c>
      <c r="T1561" s="567">
        <f t="shared" si="76"/>
        <v>6497.5999999999995</v>
      </c>
      <c r="U1561" s="507"/>
      <c r="V1561" s="494">
        <v>120</v>
      </c>
    </row>
    <row r="1562" spans="2:23" s="7" customFormat="1" ht="15" customHeight="1">
      <c r="B1562" s="12" t="s">
        <v>1856</v>
      </c>
      <c r="C1562" s="6" t="s">
        <v>2859</v>
      </c>
      <c r="D1562" s="15" t="s">
        <v>909</v>
      </c>
      <c r="E1562" s="24" t="s">
        <v>1346</v>
      </c>
      <c r="F1562" s="44" t="s">
        <v>1032</v>
      </c>
      <c r="G1562" s="267" t="s">
        <v>1446</v>
      </c>
      <c r="H1562" s="261"/>
      <c r="I1562" s="261"/>
      <c r="J1562" s="664">
        <v>434</v>
      </c>
      <c r="K1562" s="46">
        <v>0.51</v>
      </c>
      <c r="L1562" s="46">
        <f t="shared" si="73"/>
        <v>221.34</v>
      </c>
      <c r="M1562" s="162" t="s">
        <v>2219</v>
      </c>
      <c r="N1562" s="39">
        <v>44753</v>
      </c>
      <c r="O1562" s="38">
        <v>4371</v>
      </c>
      <c r="P1562" s="46">
        <f t="shared" si="74"/>
        <v>0.44880000000000003</v>
      </c>
      <c r="Q1562" s="483">
        <v>0.45</v>
      </c>
      <c r="R1562" s="704">
        <f t="shared" si="75"/>
        <v>195.3</v>
      </c>
      <c r="S1562" s="489">
        <v>27.3</v>
      </c>
      <c r="T1562" s="567">
        <f t="shared" si="76"/>
        <v>11848.2</v>
      </c>
      <c r="U1562" s="507"/>
      <c r="V1562" s="494">
        <v>120</v>
      </c>
    </row>
    <row r="1563" spans="2:23" s="7" customFormat="1" ht="15.75">
      <c r="B1563" s="12" t="s">
        <v>1856</v>
      </c>
      <c r="C1563" s="6" t="s">
        <v>2859</v>
      </c>
      <c r="D1563" s="15" t="s">
        <v>909</v>
      </c>
      <c r="E1563" s="24" t="s">
        <v>1346</v>
      </c>
      <c r="F1563" s="44" t="s">
        <v>1033</v>
      </c>
      <c r="G1563" s="267" t="s">
        <v>1446</v>
      </c>
      <c r="H1563" s="261"/>
      <c r="I1563" s="261"/>
      <c r="J1563" s="664">
        <v>100</v>
      </c>
      <c r="K1563" s="46">
        <v>0.53</v>
      </c>
      <c r="L1563" s="46">
        <f t="shared" si="73"/>
        <v>53</v>
      </c>
      <c r="M1563" s="162" t="s">
        <v>2219</v>
      </c>
      <c r="N1563" s="39">
        <v>44753</v>
      </c>
      <c r="O1563" s="38">
        <v>4371</v>
      </c>
      <c r="P1563" s="46">
        <f t="shared" si="74"/>
        <v>0.46640000000000004</v>
      </c>
      <c r="Q1563" s="483">
        <v>0.47</v>
      </c>
      <c r="R1563" s="704">
        <f t="shared" si="75"/>
        <v>47</v>
      </c>
      <c r="S1563" s="489">
        <v>28.2</v>
      </c>
      <c r="T1563" s="567">
        <f t="shared" si="76"/>
        <v>2820</v>
      </c>
      <c r="U1563" s="507"/>
      <c r="V1563" s="494">
        <v>120</v>
      </c>
    </row>
    <row r="1564" spans="2:23" s="7" customFormat="1" ht="15" customHeight="1">
      <c r="B1564" s="12" t="s">
        <v>1856</v>
      </c>
      <c r="C1564" s="6" t="s">
        <v>2859</v>
      </c>
      <c r="D1564" s="15" t="s">
        <v>909</v>
      </c>
      <c r="E1564" s="24" t="s">
        <v>1346</v>
      </c>
      <c r="F1564" s="44" t="s">
        <v>1034</v>
      </c>
      <c r="G1564" s="267" t="s">
        <v>1446</v>
      </c>
      <c r="H1564" s="261"/>
      <c r="I1564" s="261"/>
      <c r="J1564" s="664">
        <v>4</v>
      </c>
      <c r="K1564" s="46">
        <v>0.54</v>
      </c>
      <c r="L1564" s="46">
        <f t="shared" si="73"/>
        <v>2.16</v>
      </c>
      <c r="M1564" s="162" t="s">
        <v>2219</v>
      </c>
      <c r="N1564" s="39">
        <v>44753</v>
      </c>
      <c r="O1564" s="38">
        <v>4371</v>
      </c>
      <c r="P1564" s="46">
        <f t="shared" si="74"/>
        <v>0.47520000000000001</v>
      </c>
      <c r="Q1564" s="483">
        <v>0.48</v>
      </c>
      <c r="R1564" s="704">
        <f t="shared" si="75"/>
        <v>1.92</v>
      </c>
      <c r="S1564" s="489">
        <v>29</v>
      </c>
      <c r="T1564" s="567">
        <f t="shared" si="76"/>
        <v>116</v>
      </c>
      <c r="U1564" s="507"/>
      <c r="V1564" s="494">
        <v>120</v>
      </c>
    </row>
    <row r="1565" spans="2:23" s="7" customFormat="1" ht="15" customHeight="1">
      <c r="B1565" s="12" t="s">
        <v>1856</v>
      </c>
      <c r="C1565" s="6" t="s">
        <v>2859</v>
      </c>
      <c r="D1565" s="15" t="s">
        <v>909</v>
      </c>
      <c r="E1565" s="24" t="s">
        <v>1346</v>
      </c>
      <c r="F1565" s="44" t="s">
        <v>1454</v>
      </c>
      <c r="G1565" s="267" t="s">
        <v>1347</v>
      </c>
      <c r="H1565" s="261"/>
      <c r="I1565" s="261"/>
      <c r="J1565" s="664">
        <v>20</v>
      </c>
      <c r="K1565" s="46">
        <v>0.48</v>
      </c>
      <c r="L1565" s="46">
        <f t="shared" si="73"/>
        <v>9.6</v>
      </c>
      <c r="M1565" s="162" t="s">
        <v>2219</v>
      </c>
      <c r="N1565" s="39">
        <v>44753</v>
      </c>
      <c r="O1565" s="38">
        <v>4371</v>
      </c>
      <c r="P1565" s="46">
        <f t="shared" si="74"/>
        <v>0.4224</v>
      </c>
      <c r="Q1565" s="483">
        <v>0.43</v>
      </c>
      <c r="R1565" s="704">
        <f t="shared" si="75"/>
        <v>8.6</v>
      </c>
      <c r="S1565" s="532">
        <v>25.7</v>
      </c>
      <c r="T1565" s="567">
        <f t="shared" si="76"/>
        <v>514</v>
      </c>
      <c r="U1565" s="507"/>
      <c r="V1565" s="494">
        <v>120</v>
      </c>
    </row>
    <row r="1566" spans="2:23" s="7" customFormat="1" ht="15" customHeight="1">
      <c r="B1566" s="12" t="s">
        <v>1856</v>
      </c>
      <c r="C1566" s="6" t="s">
        <v>2859</v>
      </c>
      <c r="D1566" s="15" t="s">
        <v>909</v>
      </c>
      <c r="E1566" s="24" t="s">
        <v>1346</v>
      </c>
      <c r="F1566" s="44" t="s">
        <v>1032</v>
      </c>
      <c r="G1566" s="267" t="s">
        <v>1347</v>
      </c>
      <c r="H1566" s="261"/>
      <c r="I1566" s="261"/>
      <c r="J1566" s="664">
        <v>35</v>
      </c>
      <c r="K1566" s="46">
        <v>0.51</v>
      </c>
      <c r="L1566" s="46">
        <f t="shared" si="73"/>
        <v>17.850000000000001</v>
      </c>
      <c r="M1566" s="162" t="s">
        <v>2219</v>
      </c>
      <c r="N1566" s="39">
        <v>44753</v>
      </c>
      <c r="O1566" s="38">
        <v>4371</v>
      </c>
      <c r="P1566" s="46">
        <f t="shared" si="74"/>
        <v>0.44880000000000003</v>
      </c>
      <c r="Q1566" s="483">
        <v>0.45</v>
      </c>
      <c r="R1566" s="704">
        <f t="shared" si="75"/>
        <v>15.75</v>
      </c>
      <c r="S1566" s="489">
        <v>27.3</v>
      </c>
      <c r="T1566" s="567">
        <f t="shared" si="76"/>
        <v>955.5</v>
      </c>
      <c r="U1566" s="507"/>
      <c r="V1566" s="494">
        <v>120</v>
      </c>
    </row>
    <row r="1567" spans="2:23" s="7" customFormat="1" ht="15" customHeight="1">
      <c r="B1567" s="12" t="s">
        <v>1862</v>
      </c>
      <c r="C1567" s="6" t="s">
        <v>2859</v>
      </c>
      <c r="D1567" s="15" t="s">
        <v>909</v>
      </c>
      <c r="E1567" s="56"/>
      <c r="F1567" s="138"/>
      <c r="G1567" s="44" t="s">
        <v>2014</v>
      </c>
      <c r="H1567" s="8"/>
      <c r="I1567" s="41"/>
      <c r="J1567" s="45">
        <v>4</v>
      </c>
      <c r="K1567" s="46">
        <v>7</v>
      </c>
      <c r="L1567" s="46">
        <f t="shared" si="73"/>
        <v>28</v>
      </c>
      <c r="M1567" s="162" t="s">
        <v>2219</v>
      </c>
      <c r="N1567" s="39">
        <v>44753</v>
      </c>
      <c r="O1567" s="38">
        <v>4371</v>
      </c>
      <c r="P1567" s="46">
        <f t="shared" si="74"/>
        <v>7</v>
      </c>
      <c r="Q1567" s="483">
        <f>P1567*J1567</f>
        <v>28</v>
      </c>
      <c r="R1567" s="704">
        <v>28</v>
      </c>
      <c r="S1567" s="489">
        <v>500</v>
      </c>
      <c r="T1567" s="567">
        <f t="shared" si="76"/>
        <v>2000</v>
      </c>
      <c r="U1567" s="501"/>
      <c r="V1567" s="494">
        <v>120</v>
      </c>
    </row>
    <row r="1568" spans="2:23" s="7" customFormat="1" ht="15" customHeight="1">
      <c r="B1568" s="12" t="s">
        <v>1856</v>
      </c>
      <c r="C1568" s="6" t="s">
        <v>2859</v>
      </c>
      <c r="D1568" s="15" t="s">
        <v>909</v>
      </c>
      <c r="E1568" s="24"/>
      <c r="F1568" s="138"/>
      <c r="G1568" s="44" t="s">
        <v>1993</v>
      </c>
      <c r="H1568" s="8"/>
      <c r="I1568" s="41"/>
      <c r="J1568" s="45">
        <v>1</v>
      </c>
      <c r="K1568" s="46">
        <v>12</v>
      </c>
      <c r="L1568" s="46">
        <f t="shared" si="73"/>
        <v>12</v>
      </c>
      <c r="M1568" s="39"/>
      <c r="N1568" s="39">
        <v>44753</v>
      </c>
      <c r="O1568" s="38">
        <v>4371</v>
      </c>
      <c r="P1568" s="6"/>
      <c r="Q1568" s="483">
        <v>12</v>
      </c>
      <c r="R1568" s="704">
        <v>12</v>
      </c>
      <c r="S1568" s="489">
        <v>1100</v>
      </c>
      <c r="T1568" s="567">
        <f t="shared" si="76"/>
        <v>1100</v>
      </c>
      <c r="U1568" s="501"/>
      <c r="V1568" s="494">
        <v>120</v>
      </c>
    </row>
    <row r="1569" spans="2:23" s="314" customFormat="1" ht="15">
      <c r="B1569" s="313"/>
      <c r="C1569" s="302" t="s">
        <v>2859</v>
      </c>
      <c r="D1569" s="303" t="s">
        <v>909</v>
      </c>
      <c r="E1569" s="304"/>
      <c r="F1569" s="305"/>
      <c r="G1569" s="305" t="s">
        <v>1227</v>
      </c>
      <c r="H1569" s="307" t="s">
        <v>1228</v>
      </c>
      <c r="I1569" s="308"/>
      <c r="J1569" s="306"/>
      <c r="K1569" s="315">
        <v>0</v>
      </c>
      <c r="L1569" s="310"/>
      <c r="M1569" s="310"/>
      <c r="N1569" s="310">
        <v>44753</v>
      </c>
      <c r="O1569" s="309">
        <v>4371</v>
      </c>
      <c r="P1569" s="302"/>
      <c r="Q1569" s="485">
        <v>0</v>
      </c>
      <c r="S1569" s="535">
        <v>0</v>
      </c>
      <c r="T1569" s="322">
        <v>0</v>
      </c>
      <c r="U1569" s="515"/>
      <c r="V1569" s="494">
        <v>120</v>
      </c>
    </row>
    <row r="1570" spans="2:23" s="7" customFormat="1" ht="15">
      <c r="B1570" s="12"/>
      <c r="C1570" s="6" t="s">
        <v>2895</v>
      </c>
      <c r="D1570" s="15" t="s">
        <v>909</v>
      </c>
      <c r="E1570" s="20" t="s">
        <v>2554</v>
      </c>
      <c r="F1570" s="44"/>
      <c r="G1570" s="44"/>
      <c r="H1570" s="151"/>
      <c r="I1570" s="151"/>
      <c r="J1570" s="151"/>
      <c r="K1570" s="17" t="s">
        <v>134</v>
      </c>
      <c r="L1570" s="39"/>
      <c r="M1570" s="39"/>
      <c r="N1570" s="39">
        <v>44741</v>
      </c>
      <c r="O1570" s="38">
        <v>4334</v>
      </c>
      <c r="P1570" s="6"/>
      <c r="Q1570" s="524"/>
      <c r="S1570" s="489"/>
      <c r="T1570" s="113"/>
      <c r="U1570" s="501"/>
      <c r="V1570" s="494">
        <v>120</v>
      </c>
    </row>
    <row r="1571" spans="2:23" s="7" customFormat="1" ht="15" customHeight="1">
      <c r="B1571" s="12" t="s">
        <v>1856</v>
      </c>
      <c r="C1571" s="6" t="s">
        <v>2860</v>
      </c>
      <c r="D1571" s="15" t="s">
        <v>909</v>
      </c>
      <c r="E1571" s="24">
        <v>5654</v>
      </c>
      <c r="F1571" s="44"/>
      <c r="G1571" s="44" t="s">
        <v>2013</v>
      </c>
      <c r="H1571" s="151">
        <v>50</v>
      </c>
      <c r="I1571" s="152">
        <v>1</v>
      </c>
      <c r="J1571" s="67">
        <f>H1571*I1571</f>
        <v>50</v>
      </c>
      <c r="K1571" s="46">
        <v>0.3</v>
      </c>
      <c r="L1571" s="46">
        <f>K1571*J1571</f>
        <v>15</v>
      </c>
      <c r="M1571" s="162" t="s">
        <v>2219</v>
      </c>
      <c r="N1571" s="39">
        <v>44741</v>
      </c>
      <c r="O1571" s="38">
        <v>4334</v>
      </c>
      <c r="P1571" s="46">
        <f>K1571*(VLOOKUP(B1571,$C$2:$F$6,3,FALSE))</f>
        <v>0.26400000000000001</v>
      </c>
      <c r="Q1571" s="483">
        <v>0.26</v>
      </c>
      <c r="R1571" s="704">
        <f>Q1571*J1571</f>
        <v>13</v>
      </c>
      <c r="S1571" s="489">
        <v>15.8</v>
      </c>
      <c r="T1571" s="567">
        <f>S1571*J1571</f>
        <v>790</v>
      </c>
      <c r="U1571" s="507"/>
      <c r="V1571" s="494">
        <v>120</v>
      </c>
    </row>
    <row r="1572" spans="2:23" s="7" customFormat="1" ht="15" customHeight="1">
      <c r="B1572" s="12" t="s">
        <v>1862</v>
      </c>
      <c r="C1572" s="6" t="s">
        <v>2860</v>
      </c>
      <c r="D1572" s="15" t="s">
        <v>909</v>
      </c>
      <c r="E1572" s="24"/>
      <c r="F1572" s="138"/>
      <c r="G1572" s="44" t="s">
        <v>1993</v>
      </c>
      <c r="H1572" s="8"/>
      <c r="I1572" s="41"/>
      <c r="J1572" s="45">
        <v>1</v>
      </c>
      <c r="K1572" s="46">
        <v>12</v>
      </c>
      <c r="L1572" s="46">
        <f>K1572*J1572</f>
        <v>12</v>
      </c>
      <c r="M1572" s="162" t="s">
        <v>2219</v>
      </c>
      <c r="N1572" s="39">
        <v>44741</v>
      </c>
      <c r="O1572" s="38">
        <v>4334</v>
      </c>
      <c r="P1572" s="46">
        <f>K1572*(VLOOKUP(B1572,$C$2:$F$6,3,FALSE))</f>
        <v>12</v>
      </c>
      <c r="Q1572" s="483">
        <v>12</v>
      </c>
      <c r="R1572" s="704">
        <f>Q1572*J1572</f>
        <v>12</v>
      </c>
      <c r="S1572" s="489">
        <v>1100</v>
      </c>
      <c r="T1572" s="567">
        <f>S1572*J1572</f>
        <v>1100</v>
      </c>
      <c r="U1572" s="501"/>
      <c r="V1572" s="494">
        <v>120</v>
      </c>
    </row>
    <row r="1573" spans="2:23" s="314" customFormat="1" ht="15" customHeight="1">
      <c r="B1573" s="313"/>
      <c r="C1573" s="302" t="s">
        <v>2860</v>
      </c>
      <c r="D1573" s="303" t="s">
        <v>909</v>
      </c>
      <c r="E1573" s="304"/>
      <c r="F1573" s="305"/>
      <c r="G1573" s="305" t="s">
        <v>1227</v>
      </c>
      <c r="H1573" s="307" t="s">
        <v>1228</v>
      </c>
      <c r="I1573" s="308"/>
      <c r="J1573" s="306"/>
      <c r="K1573" s="315">
        <v>0</v>
      </c>
      <c r="L1573" s="310"/>
      <c r="M1573" s="310"/>
      <c r="N1573" s="310">
        <v>44741</v>
      </c>
      <c r="O1573" s="309">
        <v>4334</v>
      </c>
      <c r="P1573" s="302"/>
      <c r="Q1573" s="485">
        <v>0</v>
      </c>
      <c r="R1573" s="704">
        <f>Q1573*J1573</f>
        <v>0</v>
      </c>
      <c r="S1573" s="535">
        <v>0</v>
      </c>
      <c r="T1573" s="322">
        <v>0</v>
      </c>
      <c r="U1573" s="515"/>
      <c r="V1573" s="494">
        <v>120</v>
      </c>
    </row>
    <row r="1574" spans="2:23" s="7" customFormat="1" ht="18" customHeight="1">
      <c r="B1574" s="12"/>
      <c r="C1574" s="6" t="s">
        <v>2868</v>
      </c>
      <c r="D1574" s="15" t="s">
        <v>1214</v>
      </c>
      <c r="E1574" s="20" t="s">
        <v>2801</v>
      </c>
      <c r="F1574" s="24"/>
      <c r="G1574" s="44"/>
      <c r="H1574" s="151"/>
      <c r="I1574" s="151"/>
      <c r="J1574" s="151"/>
      <c r="K1574" s="153" t="s">
        <v>10</v>
      </c>
      <c r="L1574" s="39"/>
      <c r="M1574" s="39"/>
      <c r="N1574" s="39">
        <v>44748</v>
      </c>
      <c r="O1574" s="38">
        <v>4352</v>
      </c>
      <c r="P1574" s="6"/>
      <c r="Q1574" s="411"/>
      <c r="S1574" s="489"/>
      <c r="T1574" s="113"/>
      <c r="U1574" s="501"/>
      <c r="V1574" s="494">
        <v>120</v>
      </c>
    </row>
    <row r="1575" spans="2:23" s="7" customFormat="1" ht="15.95" customHeight="1">
      <c r="B1575" s="12" t="s">
        <v>1856</v>
      </c>
      <c r="C1575" s="6" t="s">
        <v>2868</v>
      </c>
      <c r="D1575" s="15" t="s">
        <v>1214</v>
      </c>
      <c r="E1575" s="1010" t="s">
        <v>2781</v>
      </c>
      <c r="F1575" s="44"/>
      <c r="G1575" s="44" t="s">
        <v>78</v>
      </c>
      <c r="H1575" s="8"/>
      <c r="I1575" s="41"/>
      <c r="J1575" s="67">
        <v>56</v>
      </c>
      <c r="K1575" s="1007">
        <v>4.74</v>
      </c>
      <c r="L1575" s="46">
        <f>K1575*J1575</f>
        <v>265.44</v>
      </c>
      <c r="M1575" s="162" t="s">
        <v>2219</v>
      </c>
      <c r="N1575" s="39">
        <v>44748</v>
      </c>
      <c r="O1575" s="38">
        <v>4352</v>
      </c>
      <c r="P1575" s="180">
        <f>K1575*(VLOOKUP(B1575,$C$2:$F$6,3,FALSE))</f>
        <v>4.1711999999999998</v>
      </c>
      <c r="Q1575" s="483">
        <v>4.17</v>
      </c>
      <c r="R1575" s="704">
        <f>Q1575*J1575</f>
        <v>233.51999999999998</v>
      </c>
      <c r="S1575" s="489">
        <v>256</v>
      </c>
      <c r="T1575" s="113">
        <f>S1575*J1575</f>
        <v>14336</v>
      </c>
      <c r="U1575" s="517"/>
      <c r="V1575" s="494">
        <v>120</v>
      </c>
    </row>
    <row r="1576" spans="2:23" s="7" customFormat="1" ht="15.95" customHeight="1">
      <c r="B1576" s="12" t="s">
        <v>1856</v>
      </c>
      <c r="C1576" s="6" t="s">
        <v>2868</v>
      </c>
      <c r="D1576" s="15" t="s">
        <v>1214</v>
      </c>
      <c r="E1576" s="1010" t="s">
        <v>2788</v>
      </c>
      <c r="F1576" s="44"/>
      <c r="G1576" s="44" t="s">
        <v>78</v>
      </c>
      <c r="H1576" s="151">
        <v>14</v>
      </c>
      <c r="I1576" s="152">
        <v>4</v>
      </c>
      <c r="J1576" s="8">
        <f>H1576*I1576</f>
        <v>56</v>
      </c>
      <c r="K1576" s="1007">
        <v>1.63</v>
      </c>
      <c r="L1576" s="46">
        <f>K1576*J1576</f>
        <v>91.28</v>
      </c>
      <c r="M1576" s="162" t="s">
        <v>2219</v>
      </c>
      <c r="N1576" s="39">
        <v>44740</v>
      </c>
      <c r="O1576" s="38">
        <v>4294</v>
      </c>
      <c r="P1576" s="180">
        <f>K1576*(VLOOKUP(B1576,$C$2:$F$6,3,FALSE))</f>
        <v>1.4343999999999999</v>
      </c>
      <c r="Q1576" s="483">
        <v>1.43</v>
      </c>
      <c r="R1576" s="704">
        <f>Q1576*J1576</f>
        <v>80.08</v>
      </c>
      <c r="S1576" s="489">
        <v>88</v>
      </c>
      <c r="T1576" s="113">
        <f>S1576*J1576</f>
        <v>4928</v>
      </c>
      <c r="U1576" s="517"/>
      <c r="V1576" s="494">
        <v>120</v>
      </c>
    </row>
    <row r="1577" spans="2:23" s="7" customFormat="1" ht="15.95" customHeight="1">
      <c r="B1577" s="12" t="s">
        <v>1856</v>
      </c>
      <c r="C1577" s="6" t="s">
        <v>2868</v>
      </c>
      <c r="D1577" s="15" t="s">
        <v>1214</v>
      </c>
      <c r="E1577" s="1010" t="s">
        <v>2786</v>
      </c>
      <c r="F1577" s="44"/>
      <c r="G1577" s="44" t="s">
        <v>78</v>
      </c>
      <c r="H1577" s="151">
        <v>14</v>
      </c>
      <c r="I1577" s="152">
        <v>4</v>
      </c>
      <c r="J1577" s="8">
        <f>H1577*I1577</f>
        <v>56</v>
      </c>
      <c r="K1577" s="1007">
        <v>1.17</v>
      </c>
      <c r="L1577" s="46">
        <f>K1577*J1577</f>
        <v>65.52</v>
      </c>
      <c r="M1577" s="162" t="s">
        <v>2219</v>
      </c>
      <c r="N1577" s="39">
        <v>44740</v>
      </c>
      <c r="O1577" s="38">
        <v>4294</v>
      </c>
      <c r="P1577" s="180">
        <f>K1577*(VLOOKUP(B1577,$C$2:$F$6,3,FALSE))</f>
        <v>1.0295999999999998</v>
      </c>
      <c r="Q1577" s="483">
        <v>1.03</v>
      </c>
      <c r="R1577" s="704">
        <f>Q1577*J1577</f>
        <v>57.68</v>
      </c>
      <c r="S1577" s="489">
        <v>63</v>
      </c>
      <c r="T1577" s="113">
        <f>S1577*J1577</f>
        <v>3528</v>
      </c>
      <c r="U1577" s="517"/>
      <c r="V1577" s="494">
        <v>120</v>
      </c>
    </row>
    <row r="1578" spans="2:23" ht="15.95" customHeight="1">
      <c r="B1578" s="12" t="s">
        <v>1862</v>
      </c>
      <c r="C1578" s="6" t="s">
        <v>2868</v>
      </c>
      <c r="D1578" s="15" t="s">
        <v>1214</v>
      </c>
      <c r="E1578" s="24"/>
      <c r="F1578" s="138"/>
      <c r="G1578" s="44" t="s">
        <v>1993</v>
      </c>
      <c r="H1578" s="8"/>
      <c r="I1578" s="41"/>
      <c r="J1578" s="45">
        <v>1</v>
      </c>
      <c r="K1578" s="46">
        <v>24</v>
      </c>
      <c r="L1578" s="46">
        <f>K1578*J1578</f>
        <v>24</v>
      </c>
      <c r="M1578" s="112"/>
      <c r="N1578" s="39">
        <v>44740</v>
      </c>
      <c r="O1578" s="38">
        <v>4294</v>
      </c>
      <c r="P1578" s="46">
        <f>K1578*(VLOOKUP(B1578,$C$2:$F$6,3,FALSE))</f>
        <v>24</v>
      </c>
      <c r="Q1578" s="483">
        <v>24</v>
      </c>
      <c r="R1578" s="704">
        <v>24</v>
      </c>
      <c r="S1578" s="489">
        <f>900+900</f>
        <v>1800</v>
      </c>
      <c r="T1578" s="113">
        <f>S1578*J1578</f>
        <v>1800</v>
      </c>
      <c r="U1578" s="511"/>
      <c r="V1578" s="494">
        <v>120</v>
      </c>
      <c r="W1578"/>
    </row>
    <row r="1579" spans="2:23" s="314" customFormat="1" ht="15">
      <c r="B1579" s="313"/>
      <c r="C1579" s="302" t="s">
        <v>2868</v>
      </c>
      <c r="D1579" s="303" t="s">
        <v>1214</v>
      </c>
      <c r="E1579" s="304"/>
      <c r="F1579" s="305"/>
      <c r="G1579" s="305" t="s">
        <v>1227</v>
      </c>
      <c r="H1579" s="307" t="s">
        <v>1228</v>
      </c>
      <c r="I1579" s="308"/>
      <c r="J1579" s="306"/>
      <c r="K1579" s="315">
        <v>0</v>
      </c>
      <c r="L1579" s="310"/>
      <c r="M1579" s="310"/>
      <c r="N1579" s="310">
        <v>44740</v>
      </c>
      <c r="O1579" s="309">
        <v>4294</v>
      </c>
      <c r="P1579" s="302"/>
      <c r="Q1579" s="485">
        <v>0</v>
      </c>
      <c r="S1579" s="536">
        <v>0</v>
      </c>
      <c r="T1579" s="322">
        <v>0</v>
      </c>
      <c r="U1579" s="515"/>
      <c r="V1579" s="494">
        <v>120</v>
      </c>
    </row>
    <row r="1580" spans="2:23" s="7" customFormat="1" ht="18" customHeight="1">
      <c r="B1580" s="12"/>
      <c r="C1580" s="6" t="s">
        <v>2900</v>
      </c>
      <c r="D1580" s="15" t="s">
        <v>2899</v>
      </c>
      <c r="E1580" s="7" t="s">
        <v>2306</v>
      </c>
      <c r="F1580" s="700"/>
      <c r="G1580" s="640"/>
      <c r="H1580" s="641"/>
      <c r="I1580" s="701"/>
      <c r="J1580" s="702"/>
      <c r="K1580" s="153" t="s">
        <v>10</v>
      </c>
      <c r="L1580" s="219"/>
      <c r="M1580" s="11"/>
      <c r="N1580" s="39">
        <v>44762</v>
      </c>
      <c r="O1580" s="38">
        <v>4370</v>
      </c>
      <c r="P1580" s="6"/>
      <c r="Q1580" s="703"/>
      <c r="U1580" s="46"/>
      <c r="V1580" s="494">
        <v>120</v>
      </c>
    </row>
    <row r="1581" spans="2:23" ht="18" customHeight="1">
      <c r="B1581" s="28" t="s">
        <v>1856</v>
      </c>
      <c r="C1581" s="6" t="s">
        <v>2900</v>
      </c>
      <c r="D1581" s="15" t="s">
        <v>2899</v>
      </c>
      <c r="E1581" s="24" t="s">
        <v>18</v>
      </c>
      <c r="F1581" s="44">
        <v>30</v>
      </c>
      <c r="G1581" s="24" t="s">
        <v>137</v>
      </c>
      <c r="H1581" s="151">
        <v>30</v>
      </c>
      <c r="I1581" s="152">
        <v>23</v>
      </c>
      <c r="J1581" s="67">
        <f>H1581*I1581</f>
        <v>690</v>
      </c>
      <c r="K1581" s="46">
        <v>4.26</v>
      </c>
      <c r="L1581" s="46">
        <f>K1581*J1581</f>
        <v>2939.3999999999996</v>
      </c>
      <c r="M1581" s="162" t="s">
        <v>2219</v>
      </c>
      <c r="N1581" s="39">
        <v>44762</v>
      </c>
      <c r="O1581" s="38">
        <v>4370</v>
      </c>
      <c r="P1581" s="46">
        <f>K1581*(VLOOKUP(B1581,$C$2:$F$6,3,FALSE))</f>
        <v>3.7487999999999997</v>
      </c>
      <c r="Q1581" s="482">
        <v>3.75</v>
      </c>
      <c r="R1581" s="704">
        <f>Q1581*J1581</f>
        <v>2587.5</v>
      </c>
      <c r="S1581" s="489">
        <v>230</v>
      </c>
      <c r="T1581" s="113">
        <f>S1581*J1581</f>
        <v>158700</v>
      </c>
      <c r="U1581" s="507"/>
      <c r="V1581" s="494">
        <v>120</v>
      </c>
      <c r="W1581"/>
    </row>
    <row r="1582" spans="2:23" ht="18" customHeight="1">
      <c r="B1582" s="28" t="s">
        <v>1856</v>
      </c>
      <c r="C1582" s="6" t="s">
        <v>2900</v>
      </c>
      <c r="D1582" s="15" t="s">
        <v>2899</v>
      </c>
      <c r="E1582" s="24" t="s">
        <v>18</v>
      </c>
      <c r="F1582" s="44">
        <v>30</v>
      </c>
      <c r="G1582" s="24" t="s">
        <v>2727</v>
      </c>
      <c r="H1582" s="151">
        <v>30</v>
      </c>
      <c r="I1582" s="152">
        <v>25</v>
      </c>
      <c r="J1582" s="67">
        <f>H1582*I1582</f>
        <v>750</v>
      </c>
      <c r="K1582" s="46">
        <v>4.26</v>
      </c>
      <c r="L1582" s="46">
        <f>K1582*J1582</f>
        <v>3195</v>
      </c>
      <c r="M1582" s="162" t="s">
        <v>2219</v>
      </c>
      <c r="N1582" s="39">
        <v>44762</v>
      </c>
      <c r="O1582" s="38">
        <v>4370</v>
      </c>
      <c r="P1582" s="46">
        <f>K1582*(VLOOKUP(B1582,$C$2:$F$6,3,FALSE))</f>
        <v>3.7487999999999997</v>
      </c>
      <c r="Q1582" s="482">
        <v>3.75</v>
      </c>
      <c r="R1582" s="704">
        <f>Q1582*J1582</f>
        <v>2812.5</v>
      </c>
      <c r="S1582" s="489">
        <v>230</v>
      </c>
      <c r="T1582" s="113">
        <f>S1582*J1582</f>
        <v>172500</v>
      </c>
      <c r="U1582" s="507"/>
      <c r="V1582" s="494">
        <v>120</v>
      </c>
      <c r="W1582"/>
    </row>
    <row r="1583" spans="2:23" s="314" customFormat="1" ht="15">
      <c r="B1583" s="313"/>
      <c r="C1583" s="302" t="s">
        <v>2900</v>
      </c>
      <c r="D1583" s="303" t="s">
        <v>2899</v>
      </c>
      <c r="E1583" s="304"/>
      <c r="F1583" s="305"/>
      <c r="G1583" s="305" t="s">
        <v>1227</v>
      </c>
      <c r="H1583" s="307" t="s">
        <v>1228</v>
      </c>
      <c r="I1583" s="308"/>
      <c r="J1583" s="306"/>
      <c r="K1583" s="315">
        <v>0</v>
      </c>
      <c r="L1583" s="310"/>
      <c r="M1583" s="310"/>
      <c r="N1583" s="310"/>
      <c r="O1583" s="309"/>
      <c r="P1583" s="302"/>
      <c r="Q1583" s="485">
        <v>0</v>
      </c>
      <c r="R1583" s="704">
        <v>0</v>
      </c>
      <c r="S1583" s="536">
        <v>0</v>
      </c>
      <c r="T1583" s="322">
        <v>0</v>
      </c>
      <c r="U1583" s="515"/>
      <c r="V1583" s="494">
        <v>120</v>
      </c>
    </row>
    <row r="1584" spans="2:23" ht="18" customHeight="1">
      <c r="B1584" s="28" t="s">
        <v>1856</v>
      </c>
      <c r="C1584" s="6" t="s">
        <v>2900</v>
      </c>
      <c r="D1584" s="15" t="s">
        <v>2899</v>
      </c>
      <c r="E1584" s="24" t="s">
        <v>18</v>
      </c>
      <c r="F1584" s="44">
        <v>30</v>
      </c>
      <c r="G1584" s="24" t="s">
        <v>2901</v>
      </c>
      <c r="H1584" s="151">
        <v>30</v>
      </c>
      <c r="I1584" s="152">
        <v>32</v>
      </c>
      <c r="J1584" s="67">
        <f>H1584*I1584</f>
        <v>960</v>
      </c>
      <c r="K1584" s="46">
        <v>4.26</v>
      </c>
      <c r="L1584" s="46">
        <f>K1584*J1584</f>
        <v>4089.6</v>
      </c>
      <c r="M1584" s="162" t="s">
        <v>2219</v>
      </c>
      <c r="N1584" s="39">
        <v>44790</v>
      </c>
      <c r="O1584" s="38">
        <v>4474</v>
      </c>
      <c r="P1584" s="46">
        <f>K1584*(VLOOKUP(B1584,$C$2:$F$6,3,FALSE))</f>
        <v>3.7487999999999997</v>
      </c>
      <c r="Q1584" s="482">
        <v>3.75</v>
      </c>
      <c r="R1584" s="704">
        <f>Q1584*J1584</f>
        <v>3600</v>
      </c>
      <c r="S1584" s="489">
        <v>230</v>
      </c>
      <c r="T1584" s="113">
        <f>S1584*J1584</f>
        <v>220800</v>
      </c>
      <c r="U1584" s="507"/>
      <c r="V1584" s="494">
        <v>120</v>
      </c>
      <c r="W1584"/>
    </row>
    <row r="1585" spans="2:23" ht="17.25" customHeight="1">
      <c r="B1585" s="12" t="s">
        <v>1862</v>
      </c>
      <c r="C1585" s="6" t="s">
        <v>2900</v>
      </c>
      <c r="D1585" s="15" t="s">
        <v>2899</v>
      </c>
      <c r="E1585" s="24"/>
      <c r="F1585" s="138"/>
      <c r="G1585" s="44" t="s">
        <v>2902</v>
      </c>
      <c r="H1585" s="8"/>
      <c r="I1585" s="41"/>
      <c r="J1585" s="45">
        <v>1</v>
      </c>
      <c r="K1585" s="46">
        <v>250</v>
      </c>
      <c r="L1585" s="46">
        <f>K1585*J1585</f>
        <v>250</v>
      </c>
      <c r="M1585" s="112"/>
      <c r="N1585" s="39">
        <v>44790</v>
      </c>
      <c r="O1585" s="38">
        <v>4474</v>
      </c>
      <c r="P1585" s="46">
        <f>K1585*(VLOOKUP(B1585,$C$2:$F$6,3,FALSE))</f>
        <v>250</v>
      </c>
      <c r="Q1585" s="483">
        <v>250</v>
      </c>
      <c r="R1585" s="704">
        <v>250</v>
      </c>
      <c r="S1585" s="489">
        <v>18000</v>
      </c>
      <c r="T1585" s="113">
        <f>S1585*J1585</f>
        <v>18000</v>
      </c>
      <c r="U1585" s="511"/>
      <c r="V1585" s="494">
        <v>120</v>
      </c>
      <c r="W1585"/>
    </row>
    <row r="1586" spans="2:23" s="314" customFormat="1" ht="15">
      <c r="B1586" s="313"/>
      <c r="C1586" s="302" t="s">
        <v>2900</v>
      </c>
      <c r="D1586" s="303" t="s">
        <v>2899</v>
      </c>
      <c r="E1586" s="304"/>
      <c r="F1586" s="305"/>
      <c r="G1586" s="305" t="s">
        <v>1227</v>
      </c>
      <c r="H1586" s="307" t="s">
        <v>1243</v>
      </c>
      <c r="I1586" s="308"/>
      <c r="J1586" s="306"/>
      <c r="K1586" s="315">
        <v>170</v>
      </c>
      <c r="L1586" s="315">
        <v>170</v>
      </c>
      <c r="M1586" s="310"/>
      <c r="N1586" s="310">
        <v>44790</v>
      </c>
      <c r="O1586" s="309">
        <v>4474</v>
      </c>
      <c r="P1586" s="302"/>
      <c r="Q1586" s="485">
        <v>170</v>
      </c>
      <c r="R1586" s="704">
        <v>170</v>
      </c>
      <c r="S1586" s="536">
        <v>10638</v>
      </c>
      <c r="T1586" s="536">
        <v>10638</v>
      </c>
      <c r="U1586" s="515"/>
      <c r="V1586" s="494">
        <v>120</v>
      </c>
    </row>
    <row r="1587" spans="2:23" ht="18" customHeight="1">
      <c r="B1587" s="28" t="s">
        <v>1856</v>
      </c>
      <c r="C1587" s="6" t="s">
        <v>2900</v>
      </c>
      <c r="D1587" s="15" t="s">
        <v>2899</v>
      </c>
      <c r="E1587" s="24" t="s">
        <v>18</v>
      </c>
      <c r="F1587" s="44">
        <v>30</v>
      </c>
      <c r="G1587" s="24" t="s">
        <v>2901</v>
      </c>
      <c r="H1587" s="151">
        <v>30</v>
      </c>
      <c r="I1587" s="152">
        <v>2</v>
      </c>
      <c r="J1587" s="67">
        <f>H1587*I1587</f>
        <v>60</v>
      </c>
      <c r="K1587" s="46">
        <v>4.26</v>
      </c>
      <c r="L1587" s="46">
        <f>K1587*J1587</f>
        <v>255.6</v>
      </c>
      <c r="M1587" s="162" t="s">
        <v>2219</v>
      </c>
      <c r="N1587" s="39">
        <v>44799</v>
      </c>
      <c r="O1587" s="38">
        <v>4484</v>
      </c>
      <c r="P1587" s="46">
        <f>K1587*(VLOOKUP(B1587,$C$2:$F$6,3,FALSE))</f>
        <v>3.7487999999999997</v>
      </c>
      <c r="Q1587" s="482">
        <v>3.75</v>
      </c>
      <c r="R1587" s="704">
        <f>Q1587*J1587</f>
        <v>225</v>
      </c>
      <c r="S1587" s="489">
        <v>230</v>
      </c>
      <c r="T1587" s="113">
        <f>S1587*J1587</f>
        <v>13800</v>
      </c>
      <c r="U1587" s="507"/>
      <c r="V1587" s="494">
        <v>120</v>
      </c>
      <c r="W1587"/>
    </row>
    <row r="1588" spans="2:23" s="314" customFormat="1" ht="15">
      <c r="B1588" s="313"/>
      <c r="C1588" s="302" t="s">
        <v>2900</v>
      </c>
      <c r="D1588" s="303" t="s">
        <v>2899</v>
      </c>
      <c r="E1588" s="304"/>
      <c r="F1588" s="305"/>
      <c r="G1588" s="305" t="s">
        <v>1227</v>
      </c>
      <c r="H1588" s="307" t="s">
        <v>1243</v>
      </c>
      <c r="I1588" s="308"/>
      <c r="J1588" s="306"/>
      <c r="K1588" s="1144" t="s">
        <v>1676</v>
      </c>
      <c r="L1588" s="310"/>
      <c r="M1588" s="310"/>
      <c r="N1588" s="310">
        <v>44799</v>
      </c>
      <c r="O1588" s="309">
        <v>4484</v>
      </c>
      <c r="P1588" s="302"/>
      <c r="Q1588" s="1144" t="s">
        <v>1676</v>
      </c>
      <c r="R1588" s="1144" t="s">
        <v>1676</v>
      </c>
      <c r="S1588" s="536">
        <v>2667</v>
      </c>
      <c r="T1588" s="322">
        <v>2667</v>
      </c>
      <c r="U1588" s="515"/>
      <c r="V1588" s="494">
        <v>120</v>
      </c>
    </row>
    <row r="1589" spans="2:23" s="7" customFormat="1" ht="18" customHeight="1">
      <c r="B1589" s="12"/>
      <c r="C1589" s="6" t="s">
        <v>2900</v>
      </c>
      <c r="D1589" s="15" t="s">
        <v>2899</v>
      </c>
      <c r="E1589" s="7" t="s">
        <v>2306</v>
      </c>
      <c r="F1589" s="700"/>
      <c r="G1589" s="640"/>
      <c r="H1589" s="641"/>
      <c r="I1589" s="701"/>
      <c r="J1589" s="702"/>
      <c r="K1589" s="153" t="s">
        <v>10</v>
      </c>
      <c r="L1589" s="219"/>
      <c r="M1589" s="11"/>
      <c r="N1589" s="39">
        <v>44781</v>
      </c>
      <c r="O1589" s="38">
        <v>4426</v>
      </c>
      <c r="P1589" s="6"/>
      <c r="Q1589" s="703"/>
      <c r="U1589" s="46"/>
      <c r="V1589" s="494">
        <v>120</v>
      </c>
    </row>
    <row r="1590" spans="2:23" ht="18" customHeight="1">
      <c r="B1590" s="28" t="s">
        <v>1856</v>
      </c>
      <c r="C1590" s="6" t="s">
        <v>2900</v>
      </c>
      <c r="D1590" s="15" t="s">
        <v>2899</v>
      </c>
      <c r="E1590" s="24" t="s">
        <v>18</v>
      </c>
      <c r="F1590" s="44">
        <v>30</v>
      </c>
      <c r="G1590" s="24" t="s">
        <v>137</v>
      </c>
      <c r="H1590" s="151">
        <v>30</v>
      </c>
      <c r="I1590" s="152">
        <v>32</v>
      </c>
      <c r="J1590" s="67">
        <v>960</v>
      </c>
      <c r="K1590" s="46">
        <v>4.26</v>
      </c>
      <c r="L1590" s="46">
        <v>4089.6</v>
      </c>
      <c r="M1590" s="162" t="s">
        <v>2219</v>
      </c>
      <c r="N1590" s="39">
        <v>44781</v>
      </c>
      <c r="O1590" s="38">
        <v>4426</v>
      </c>
      <c r="P1590" s="46">
        <v>3.7487999999999997</v>
      </c>
      <c r="Q1590" s="482">
        <v>3.75</v>
      </c>
      <c r="R1590" s="704">
        <v>3600</v>
      </c>
      <c r="S1590" s="489">
        <v>230</v>
      </c>
      <c r="T1590" s="113">
        <v>220800</v>
      </c>
      <c r="U1590" s="507"/>
      <c r="V1590" s="494">
        <v>120</v>
      </c>
      <c r="W1590"/>
    </row>
    <row r="1591" spans="2:23" s="314" customFormat="1" ht="15">
      <c r="B1591" s="313"/>
      <c r="C1591" s="302" t="s">
        <v>2900</v>
      </c>
      <c r="D1591" s="303" t="s">
        <v>2899</v>
      </c>
      <c r="E1591" s="304"/>
      <c r="F1591" s="305"/>
      <c r="G1591" s="305" t="s">
        <v>1227</v>
      </c>
      <c r="H1591" s="307" t="s">
        <v>1243</v>
      </c>
      <c r="I1591" s="308"/>
      <c r="J1591" s="306"/>
      <c r="K1591" s="315">
        <v>170</v>
      </c>
      <c r="L1591" s="315">
        <v>170</v>
      </c>
      <c r="M1591" s="310"/>
      <c r="N1591" s="310">
        <v>44781</v>
      </c>
      <c r="O1591" s="309">
        <v>4426</v>
      </c>
      <c r="P1591" s="302"/>
      <c r="Q1591" s="485">
        <v>170</v>
      </c>
      <c r="R1591" s="704">
        <v>170</v>
      </c>
      <c r="S1591" s="536">
        <v>10718</v>
      </c>
      <c r="T1591" s="321">
        <v>10718</v>
      </c>
      <c r="U1591" s="515"/>
      <c r="V1591" s="494">
        <v>120</v>
      </c>
    </row>
    <row r="1592" spans="2:23" s="7" customFormat="1" ht="18" customHeight="1">
      <c r="B1592" s="12"/>
      <c r="C1592" s="6" t="s">
        <v>2908</v>
      </c>
      <c r="D1592" s="15" t="s">
        <v>586</v>
      </c>
      <c r="E1592" s="20" t="s">
        <v>1003</v>
      </c>
      <c r="F1592" s="24"/>
      <c r="G1592" s="44"/>
      <c r="H1592" s="151"/>
      <c r="I1592" s="151"/>
      <c r="J1592" s="151"/>
      <c r="K1592" s="153" t="s">
        <v>10</v>
      </c>
      <c r="L1592" s="39"/>
      <c r="M1592" s="39"/>
      <c r="N1592" s="39">
        <v>44749</v>
      </c>
      <c r="O1592" s="38">
        <v>4355</v>
      </c>
      <c r="P1592" s="6"/>
      <c r="Q1592" s="411"/>
      <c r="S1592" s="489"/>
      <c r="T1592" s="113"/>
      <c r="U1592" s="501"/>
      <c r="V1592" s="494">
        <v>120</v>
      </c>
    </row>
    <row r="1593" spans="2:23" s="7" customFormat="1" ht="15.95" customHeight="1">
      <c r="B1593" s="12" t="s">
        <v>1856</v>
      </c>
      <c r="C1593" s="6" t="s">
        <v>2908</v>
      </c>
      <c r="D1593" s="15" t="s">
        <v>586</v>
      </c>
      <c r="E1593" s="24" t="s">
        <v>1684</v>
      </c>
      <c r="F1593" s="44"/>
      <c r="G1593" s="44" t="s">
        <v>78</v>
      </c>
      <c r="H1593" s="8">
        <v>14</v>
      </c>
      <c r="I1593" s="41">
        <v>2</v>
      </c>
      <c r="J1593" s="67">
        <f>I1593*H1593</f>
        <v>28</v>
      </c>
      <c r="K1593" s="46">
        <v>1.02</v>
      </c>
      <c r="L1593" s="46">
        <f>K1593*J1593</f>
        <v>28.560000000000002</v>
      </c>
      <c r="M1593" s="162" t="s">
        <v>2219</v>
      </c>
      <c r="N1593" s="39">
        <v>44749</v>
      </c>
      <c r="O1593" s="38">
        <v>4355</v>
      </c>
      <c r="P1593" s="46">
        <f>K1593*(VLOOKUP(B1593,$C$2:$F$6,3,FALSE))</f>
        <v>0.89760000000000006</v>
      </c>
      <c r="Q1593" s="483">
        <v>0.9</v>
      </c>
      <c r="R1593" s="704">
        <f>Q1593*J1593</f>
        <v>25.2</v>
      </c>
      <c r="S1593" s="489">
        <v>55</v>
      </c>
      <c r="T1593" s="567">
        <f>S1593*J1593</f>
        <v>1540</v>
      </c>
      <c r="U1593" s="517"/>
      <c r="V1593" s="494">
        <v>120</v>
      </c>
    </row>
    <row r="1594" spans="2:23" ht="15.95" customHeight="1">
      <c r="B1594" s="12" t="s">
        <v>1862</v>
      </c>
      <c r="C1594" s="6" t="s">
        <v>2908</v>
      </c>
      <c r="D1594" s="15" t="s">
        <v>586</v>
      </c>
      <c r="E1594" s="24"/>
      <c r="F1594" s="138"/>
      <c r="G1594" s="44" t="s">
        <v>1993</v>
      </c>
      <c r="H1594" s="8"/>
      <c r="I1594" s="41"/>
      <c r="J1594" s="45">
        <v>1</v>
      </c>
      <c r="K1594" s="46">
        <v>12</v>
      </c>
      <c r="L1594" s="46">
        <f>K1594*J1594</f>
        <v>12</v>
      </c>
      <c r="M1594" s="112"/>
      <c r="N1594" s="39">
        <v>44749</v>
      </c>
      <c r="O1594" s="38">
        <v>4355</v>
      </c>
      <c r="P1594" s="46">
        <f>K1594*(VLOOKUP(B1594,$C$2:$F$6,3,FALSE))</f>
        <v>12</v>
      </c>
      <c r="Q1594" s="483">
        <v>12</v>
      </c>
      <c r="R1594" s="704">
        <f>Q1594*J1594</f>
        <v>12</v>
      </c>
      <c r="S1594" s="489">
        <v>900</v>
      </c>
      <c r="T1594" s="567">
        <f>S1594*J1594</f>
        <v>900</v>
      </c>
      <c r="U1594" s="511"/>
      <c r="V1594" s="494">
        <v>120</v>
      </c>
      <c r="W1594"/>
    </row>
    <row r="1595" spans="2:23" s="314" customFormat="1" ht="15">
      <c r="B1595" s="313"/>
      <c r="C1595" s="302" t="s">
        <v>2908</v>
      </c>
      <c r="D1595" s="303" t="s">
        <v>586</v>
      </c>
      <c r="E1595" s="304"/>
      <c r="F1595" s="305"/>
      <c r="G1595" s="305" t="s">
        <v>1227</v>
      </c>
      <c r="H1595" s="307" t="s">
        <v>1228</v>
      </c>
      <c r="I1595" s="308"/>
      <c r="J1595" s="306"/>
      <c r="K1595" s="315">
        <v>0</v>
      </c>
      <c r="L1595" s="310"/>
      <c r="M1595" s="310"/>
      <c r="N1595" s="310">
        <v>44749</v>
      </c>
      <c r="O1595" s="309">
        <v>4355</v>
      </c>
      <c r="P1595" s="302"/>
      <c r="Q1595" s="485">
        <v>0</v>
      </c>
      <c r="S1595" s="536">
        <v>0</v>
      </c>
      <c r="T1595" s="567">
        <f>S1595*J1595</f>
        <v>0</v>
      </c>
      <c r="U1595" s="515"/>
      <c r="V1595" s="494">
        <v>120</v>
      </c>
    </row>
    <row r="1596" spans="2:23" ht="15">
      <c r="C1596" s="6" t="s">
        <v>2923</v>
      </c>
      <c r="D1596" s="15" t="s">
        <v>2924</v>
      </c>
      <c r="E1596" s="20" t="s">
        <v>79</v>
      </c>
      <c r="F1596" s="150"/>
      <c r="G1596" s="24"/>
      <c r="H1596" s="151"/>
      <c r="I1596" s="152"/>
      <c r="J1596" s="151"/>
      <c r="K1596" s="153" t="s">
        <v>10</v>
      </c>
      <c r="L1596" s="39"/>
      <c r="M1596" s="39"/>
      <c r="N1596" s="39">
        <v>44811</v>
      </c>
      <c r="O1596" s="38">
        <v>4538</v>
      </c>
      <c r="P1596" s="15"/>
      <c r="Q1596" s="483"/>
      <c r="S1596" s="496"/>
      <c r="T1596" s="113"/>
      <c r="V1596" s="494">
        <v>120</v>
      </c>
      <c r="W1596"/>
    </row>
    <row r="1597" spans="2:23" s="7" customFormat="1" ht="15.75">
      <c r="B1597" s="12" t="s">
        <v>1858</v>
      </c>
      <c r="C1597" s="6" t="s">
        <v>2923</v>
      </c>
      <c r="D1597" s="15" t="s">
        <v>2924</v>
      </c>
      <c r="E1597" s="24" t="s">
        <v>2925</v>
      </c>
      <c r="F1597" s="150">
        <v>140</v>
      </c>
      <c r="G1597" s="24" t="s">
        <v>2929</v>
      </c>
      <c r="H1597" s="8">
        <v>35</v>
      </c>
      <c r="I1597" s="41">
        <v>1</v>
      </c>
      <c r="J1597" s="67">
        <f>I1597*H1597</f>
        <v>35</v>
      </c>
      <c r="K1597" s="46">
        <v>15.28</v>
      </c>
      <c r="L1597" s="46">
        <f>K1597*J1597</f>
        <v>534.79999999999995</v>
      </c>
      <c r="M1597" s="162" t="s">
        <v>2219</v>
      </c>
      <c r="N1597" s="39">
        <v>44811</v>
      </c>
      <c r="O1597" s="38">
        <v>4538</v>
      </c>
      <c r="P1597" s="46">
        <f>K1597*(VLOOKUP(B1597,$C$2:$F$6,3,FALSE))</f>
        <v>14.363199999999999</v>
      </c>
      <c r="Q1597" s="483">
        <v>14.36</v>
      </c>
      <c r="R1597" s="704">
        <f>Q1597*J1597</f>
        <v>502.59999999999997</v>
      </c>
      <c r="S1597" s="532">
        <v>1100</v>
      </c>
      <c r="T1597" s="113">
        <f>S1597*J1597</f>
        <v>38500</v>
      </c>
      <c r="U1597" s="501"/>
      <c r="V1597" s="494">
        <v>120</v>
      </c>
    </row>
    <row r="1598" spans="2:23" s="7" customFormat="1" ht="15.75">
      <c r="B1598" s="12" t="s">
        <v>1858</v>
      </c>
      <c r="C1598" s="6" t="s">
        <v>2923</v>
      </c>
      <c r="D1598" s="15" t="s">
        <v>2924</v>
      </c>
      <c r="E1598" s="24" t="s">
        <v>2925</v>
      </c>
      <c r="F1598" s="150">
        <v>140</v>
      </c>
      <c r="G1598" s="24" t="s">
        <v>2929</v>
      </c>
      <c r="H1598" s="8">
        <v>46</v>
      </c>
      <c r="I1598" s="41">
        <v>1</v>
      </c>
      <c r="J1598" s="67">
        <f>I1598*H1598</f>
        <v>46</v>
      </c>
      <c r="K1598" s="46">
        <v>15.28</v>
      </c>
      <c r="L1598" s="46">
        <f>K1598*J1598</f>
        <v>702.88</v>
      </c>
      <c r="M1598" s="162" t="s">
        <v>2219</v>
      </c>
      <c r="N1598" s="39">
        <v>44811</v>
      </c>
      <c r="O1598" s="38">
        <v>4538</v>
      </c>
      <c r="P1598" s="46">
        <f>K1598*(VLOOKUP(B1598,$C$2:$F$6,3,FALSE))</f>
        <v>14.363199999999999</v>
      </c>
      <c r="Q1598" s="483">
        <v>14.36</v>
      </c>
      <c r="R1598" s="704">
        <f>Q1598*J1598</f>
        <v>660.56</v>
      </c>
      <c r="S1598" s="532">
        <v>1100</v>
      </c>
      <c r="T1598" s="113">
        <f>S1598*J1598</f>
        <v>50600</v>
      </c>
      <c r="U1598" s="501"/>
      <c r="V1598" s="494">
        <v>120</v>
      </c>
    </row>
    <row r="1599" spans="2:23" s="7" customFormat="1" ht="15.75">
      <c r="B1599" s="12" t="s">
        <v>1858</v>
      </c>
      <c r="C1599" s="6" t="s">
        <v>2923</v>
      </c>
      <c r="D1599" s="15" t="s">
        <v>2924</v>
      </c>
      <c r="E1599" s="24" t="s">
        <v>2925</v>
      </c>
      <c r="F1599" s="150">
        <v>140</v>
      </c>
      <c r="G1599" s="24" t="s">
        <v>2929</v>
      </c>
      <c r="H1599" s="8">
        <v>48</v>
      </c>
      <c r="I1599" s="41">
        <v>1</v>
      </c>
      <c r="J1599" s="67">
        <f>I1599*H1599</f>
        <v>48</v>
      </c>
      <c r="K1599" s="46">
        <v>15.28</v>
      </c>
      <c r="L1599" s="46">
        <f>K1599*J1599</f>
        <v>733.43999999999994</v>
      </c>
      <c r="M1599" s="162" t="s">
        <v>2219</v>
      </c>
      <c r="N1599" s="39">
        <v>44811</v>
      </c>
      <c r="O1599" s="38">
        <v>4538</v>
      </c>
      <c r="P1599" s="46">
        <f>K1599*(VLOOKUP(B1599,$C$2:$F$6,3,FALSE))</f>
        <v>14.363199999999999</v>
      </c>
      <c r="Q1599" s="483">
        <v>14.36</v>
      </c>
      <c r="R1599" s="704">
        <f>Q1599*J1599</f>
        <v>689.28</v>
      </c>
      <c r="S1599" s="532">
        <v>1100</v>
      </c>
      <c r="T1599" s="113">
        <f>S1599*J1599</f>
        <v>52800</v>
      </c>
      <c r="U1599" s="501"/>
      <c r="V1599" s="494">
        <v>120</v>
      </c>
    </row>
    <row r="1600" spans="2:23" s="7" customFormat="1" ht="15.75">
      <c r="B1600" s="12" t="s">
        <v>1858</v>
      </c>
      <c r="C1600" s="6" t="s">
        <v>2923</v>
      </c>
      <c r="D1600" s="15" t="s">
        <v>2924</v>
      </c>
      <c r="E1600" s="24" t="s">
        <v>2925</v>
      </c>
      <c r="F1600" s="150">
        <v>140</v>
      </c>
      <c r="G1600" s="24" t="s">
        <v>2929</v>
      </c>
      <c r="H1600" s="198">
        <v>48.5</v>
      </c>
      <c r="I1600" s="41">
        <v>1</v>
      </c>
      <c r="J1600" s="19">
        <f>I1600*H1600</f>
        <v>48.5</v>
      </c>
      <c r="K1600" s="46">
        <v>15.28</v>
      </c>
      <c r="L1600" s="46">
        <f>K1600*J1600</f>
        <v>741.07999999999993</v>
      </c>
      <c r="M1600" s="162" t="s">
        <v>2219</v>
      </c>
      <c r="N1600" s="39">
        <v>44811</v>
      </c>
      <c r="O1600" s="38">
        <v>4538</v>
      </c>
      <c r="P1600" s="46">
        <f>K1600*(VLOOKUP(B1600,$C$2:$F$6,3,FALSE))</f>
        <v>14.363199999999999</v>
      </c>
      <c r="Q1600" s="483">
        <v>14.36</v>
      </c>
      <c r="R1600" s="704">
        <f>Q1600*J1600</f>
        <v>696.45999999999992</v>
      </c>
      <c r="S1600" s="532">
        <v>1100</v>
      </c>
      <c r="T1600" s="113">
        <f>S1600*J1600</f>
        <v>53350</v>
      </c>
      <c r="U1600" s="501"/>
      <c r="V1600" s="494">
        <v>120</v>
      </c>
    </row>
    <row r="1601" spans="2:24" ht="15">
      <c r="C1601" s="6" t="s">
        <v>2923</v>
      </c>
      <c r="D1601" s="15" t="s">
        <v>2924</v>
      </c>
      <c r="E1601" s="24"/>
      <c r="F1601" s="160"/>
      <c r="G1601" s="228" t="s">
        <v>481</v>
      </c>
      <c r="H1601" s="214"/>
      <c r="I1601" s="215"/>
      <c r="J1601" s="43">
        <v>1</v>
      </c>
      <c r="K1601" s="229">
        <v>20</v>
      </c>
      <c r="L1601" s="417" t="s">
        <v>1676</v>
      </c>
      <c r="M1601" s="417"/>
      <c r="N1601" s="39">
        <v>44811</v>
      </c>
      <c r="O1601" s="38">
        <v>4538</v>
      </c>
      <c r="P1601" s="216"/>
      <c r="Q1601" s="525">
        <v>0</v>
      </c>
      <c r="R1601" s="704">
        <f>Q1601*J1601</f>
        <v>0</v>
      </c>
      <c r="S1601" s="532">
        <v>0</v>
      </c>
      <c r="T1601" s="113">
        <f>S1601*J1601</f>
        <v>0</v>
      </c>
      <c r="V1601" s="494">
        <v>120</v>
      </c>
    </row>
    <row r="1602" spans="2:24" s="314" customFormat="1" ht="15">
      <c r="B1602" s="313"/>
      <c r="C1602" s="302" t="s">
        <v>2923</v>
      </c>
      <c r="D1602" s="303" t="s">
        <v>2924</v>
      </c>
      <c r="E1602" s="304"/>
      <c r="F1602" s="305"/>
      <c r="G1602" s="305" t="s">
        <v>1227</v>
      </c>
      <c r="H1602" s="307" t="s">
        <v>1243</v>
      </c>
      <c r="I1602" s="1080"/>
      <c r="J1602" s="1081"/>
      <c r="K1602" s="315">
        <v>250</v>
      </c>
      <c r="L1602" s="315">
        <v>250</v>
      </c>
      <c r="M1602" s="1082"/>
      <c r="N1602" s="310">
        <v>44811</v>
      </c>
      <c r="O1602" s="309">
        <v>4538</v>
      </c>
      <c r="P1602" s="1083"/>
      <c r="Q1602" s="315">
        <v>250</v>
      </c>
      <c r="R1602" s="704">
        <v>250</v>
      </c>
      <c r="S1602" s="537">
        <v>26380</v>
      </c>
      <c r="T1602" s="537">
        <v>26380</v>
      </c>
      <c r="U1602" s="1084"/>
      <c r="V1602" s="494">
        <v>120</v>
      </c>
      <c r="X1602" s="1085"/>
    </row>
    <row r="1603" spans="2:24" s="7" customFormat="1" ht="18" customHeight="1">
      <c r="B1603" s="12"/>
      <c r="C1603" s="6" t="s">
        <v>2927</v>
      </c>
      <c r="D1603" s="15" t="s">
        <v>2928</v>
      </c>
      <c r="E1603" s="7" t="s">
        <v>2306</v>
      </c>
      <c r="F1603" s="700"/>
      <c r="G1603" s="640"/>
      <c r="H1603" s="641"/>
      <c r="I1603" s="701"/>
      <c r="J1603" s="702"/>
      <c r="K1603" s="153" t="s">
        <v>10</v>
      </c>
      <c r="L1603" s="219"/>
      <c r="M1603" s="11"/>
      <c r="N1603" s="39">
        <v>44770</v>
      </c>
      <c r="O1603" s="38">
        <v>4401</v>
      </c>
      <c r="P1603" s="6"/>
      <c r="Q1603" s="703"/>
      <c r="U1603" s="46"/>
      <c r="V1603" s="494">
        <v>120</v>
      </c>
    </row>
    <row r="1604" spans="2:24" ht="18" customHeight="1">
      <c r="B1604" s="28" t="s">
        <v>1856</v>
      </c>
      <c r="C1604" s="6" t="s">
        <v>2927</v>
      </c>
      <c r="D1604" s="15" t="s">
        <v>2928</v>
      </c>
      <c r="E1604" s="24" t="s">
        <v>18</v>
      </c>
      <c r="F1604" s="44">
        <v>30</v>
      </c>
      <c r="G1604" s="24" t="s">
        <v>137</v>
      </c>
      <c r="H1604" s="151">
        <v>30</v>
      </c>
      <c r="I1604" s="152">
        <v>16</v>
      </c>
      <c r="J1604" s="67">
        <f>H1604*I1604</f>
        <v>480</v>
      </c>
      <c r="K1604" s="46">
        <v>4.26</v>
      </c>
      <c r="L1604" s="46">
        <f>K1604*J1604</f>
        <v>2044.8</v>
      </c>
      <c r="M1604" s="162" t="s">
        <v>2219</v>
      </c>
      <c r="N1604" s="39">
        <v>44770</v>
      </c>
      <c r="O1604" s="38">
        <v>4401</v>
      </c>
      <c r="P1604" s="46">
        <f>K1604*(VLOOKUP(B1604,$C$2:$F$6,3,FALSE))</f>
        <v>3.7487999999999997</v>
      </c>
      <c r="Q1604" s="482">
        <v>3.75</v>
      </c>
      <c r="R1604" s="704">
        <f>Q1604*J1604</f>
        <v>1800</v>
      </c>
      <c r="S1604" s="489">
        <v>230</v>
      </c>
      <c r="T1604" s="113">
        <f>S1604*J1604</f>
        <v>110400</v>
      </c>
      <c r="U1604" s="507"/>
      <c r="V1604" s="494">
        <v>120</v>
      </c>
      <c r="W1604"/>
    </row>
    <row r="1605" spans="2:24" s="314" customFormat="1" ht="18" customHeight="1">
      <c r="B1605" s="313"/>
      <c r="C1605" s="302" t="s">
        <v>2927</v>
      </c>
      <c r="D1605" s="303" t="s">
        <v>2928</v>
      </c>
      <c r="E1605" s="371"/>
      <c r="F1605" s="305"/>
      <c r="G1605" s="305" t="s">
        <v>1227</v>
      </c>
      <c r="H1605" s="307" t="s">
        <v>1228</v>
      </c>
      <c r="I1605" s="308"/>
      <c r="J1605" s="306"/>
      <c r="K1605" s="315">
        <v>0</v>
      </c>
      <c r="L1605" s="310"/>
      <c r="M1605" s="310"/>
      <c r="N1605" s="310">
        <v>44770</v>
      </c>
      <c r="O1605" s="309">
        <v>4401</v>
      </c>
      <c r="P1605" s="302"/>
      <c r="Q1605" s="531">
        <v>0</v>
      </c>
      <c r="R1605" s="704">
        <v>0</v>
      </c>
      <c r="S1605" s="536">
        <v>0</v>
      </c>
      <c r="T1605" s="322">
        <v>0</v>
      </c>
      <c r="U1605" s="1115"/>
      <c r="V1605" s="494">
        <v>120</v>
      </c>
    </row>
    <row r="1606" spans="2:24" s="7" customFormat="1" ht="18" customHeight="1">
      <c r="B1606" s="12"/>
      <c r="C1606" s="6" t="s">
        <v>2930</v>
      </c>
      <c r="D1606" s="15" t="s">
        <v>169</v>
      </c>
      <c r="E1606" s="20" t="s">
        <v>27</v>
      </c>
      <c r="F1606" s="150"/>
      <c r="G1606" s="24"/>
      <c r="H1606" s="151"/>
      <c r="I1606" s="152"/>
      <c r="J1606" s="151"/>
      <c r="K1606" s="34" t="s">
        <v>10</v>
      </c>
      <c r="L1606" s="39"/>
      <c r="M1606" s="39"/>
      <c r="N1606" s="39">
        <v>44761</v>
      </c>
      <c r="O1606" s="38">
        <v>4392</v>
      </c>
      <c r="P1606" s="15"/>
      <c r="Q1606" s="483"/>
      <c r="S1606" s="489"/>
      <c r="T1606" s="113"/>
      <c r="U1606" s="506"/>
      <c r="V1606" s="494">
        <v>120</v>
      </c>
    </row>
    <row r="1607" spans="2:24" s="7" customFormat="1" ht="18" customHeight="1">
      <c r="B1607" s="12" t="s">
        <v>1858</v>
      </c>
      <c r="C1607" s="6" t="s">
        <v>2930</v>
      </c>
      <c r="D1607" s="15" t="s">
        <v>169</v>
      </c>
      <c r="E1607" s="24" t="s">
        <v>536</v>
      </c>
      <c r="F1607" s="150">
        <v>160</v>
      </c>
      <c r="G1607" s="873" t="s">
        <v>2228</v>
      </c>
      <c r="H1607" s="67">
        <v>50</v>
      </c>
      <c r="I1607" s="68">
        <v>4</v>
      </c>
      <c r="J1607" s="8">
        <f t="shared" ref="J1607:J1614" si="77">H1607*I1607</f>
        <v>200</v>
      </c>
      <c r="K1607" s="25">
        <v>5</v>
      </c>
      <c r="L1607" s="46">
        <f t="shared" ref="L1607:L1614" si="78">K1607*J1607</f>
        <v>1000</v>
      </c>
      <c r="M1607" s="162" t="s">
        <v>2218</v>
      </c>
      <c r="N1607" s="39">
        <v>44761</v>
      </c>
      <c r="O1607" s="38">
        <v>4392</v>
      </c>
      <c r="P1607" s="46">
        <f t="shared" ref="P1607:P1614" si="79">K1607*(VLOOKUP(B1607,$C$2:$F$6,3,FALSE))</f>
        <v>4.6999999999999993</v>
      </c>
      <c r="Q1607" s="483">
        <v>4.7</v>
      </c>
      <c r="R1607" s="704">
        <f t="shared" ref="R1607:R1614" si="80">Q1607*J1607</f>
        <v>940</v>
      </c>
      <c r="S1607" s="532">
        <v>360</v>
      </c>
      <c r="T1607" s="567">
        <f t="shared" ref="T1607:T1615" si="81">S1607*J1607</f>
        <v>72000</v>
      </c>
      <c r="U1607" s="501"/>
      <c r="V1607" s="494">
        <v>120</v>
      </c>
    </row>
    <row r="1608" spans="2:24" s="7" customFormat="1" ht="15.75">
      <c r="B1608" s="12" t="s">
        <v>1858</v>
      </c>
      <c r="C1608" s="6" t="s">
        <v>2930</v>
      </c>
      <c r="D1608" s="15" t="s">
        <v>169</v>
      </c>
      <c r="E1608" s="24" t="s">
        <v>536</v>
      </c>
      <c r="F1608" s="150">
        <v>160</v>
      </c>
      <c r="G1608" s="873" t="s">
        <v>2931</v>
      </c>
      <c r="H1608" s="67">
        <v>50</v>
      </c>
      <c r="I1608" s="68">
        <v>3</v>
      </c>
      <c r="J1608" s="8">
        <f t="shared" si="77"/>
        <v>150</v>
      </c>
      <c r="K1608" s="25">
        <v>5</v>
      </c>
      <c r="L1608" s="46">
        <f t="shared" si="78"/>
        <v>750</v>
      </c>
      <c r="M1608" s="162" t="s">
        <v>2218</v>
      </c>
      <c r="N1608" s="39">
        <v>44797</v>
      </c>
      <c r="O1608" s="38">
        <v>4510</v>
      </c>
      <c r="P1608" s="46">
        <f t="shared" si="79"/>
        <v>4.6999999999999993</v>
      </c>
      <c r="Q1608" s="483">
        <v>4.7</v>
      </c>
      <c r="R1608" s="704">
        <f t="shared" si="80"/>
        <v>705</v>
      </c>
      <c r="S1608" s="532">
        <v>360</v>
      </c>
      <c r="T1608" s="567">
        <f t="shared" si="81"/>
        <v>54000</v>
      </c>
      <c r="U1608" s="501"/>
      <c r="V1608" s="494">
        <v>120</v>
      </c>
    </row>
    <row r="1609" spans="2:24" s="7" customFormat="1" ht="18" customHeight="1">
      <c r="B1609" s="12" t="s">
        <v>1858</v>
      </c>
      <c r="C1609" s="6" t="s">
        <v>2932</v>
      </c>
      <c r="D1609" s="15" t="s">
        <v>169</v>
      </c>
      <c r="E1609" s="24" t="s">
        <v>536</v>
      </c>
      <c r="F1609" s="150">
        <v>160</v>
      </c>
      <c r="G1609" s="873" t="s">
        <v>2933</v>
      </c>
      <c r="H1609" s="872">
        <v>50</v>
      </c>
      <c r="I1609" s="68">
        <v>1</v>
      </c>
      <c r="J1609" s="8">
        <f t="shared" si="77"/>
        <v>50</v>
      </c>
      <c r="K1609" s="25">
        <v>5</v>
      </c>
      <c r="L1609" s="46">
        <f t="shared" si="78"/>
        <v>250</v>
      </c>
      <c r="M1609" s="162" t="s">
        <v>2218</v>
      </c>
      <c r="N1609" s="39">
        <v>44761</v>
      </c>
      <c r="O1609" s="38">
        <v>4392</v>
      </c>
      <c r="P1609" s="46">
        <f t="shared" si="79"/>
        <v>4.6999999999999993</v>
      </c>
      <c r="Q1609" s="483">
        <v>4.7</v>
      </c>
      <c r="R1609" s="704">
        <f t="shared" si="80"/>
        <v>235</v>
      </c>
      <c r="S1609" s="532">
        <v>360</v>
      </c>
      <c r="T1609" s="567">
        <f t="shared" si="81"/>
        <v>18000</v>
      </c>
      <c r="U1609" s="501"/>
      <c r="V1609" s="494">
        <v>120</v>
      </c>
    </row>
    <row r="1610" spans="2:24" s="7" customFormat="1" ht="18" customHeight="1">
      <c r="B1610" s="12" t="s">
        <v>1858</v>
      </c>
      <c r="C1610" s="6" t="s">
        <v>2932</v>
      </c>
      <c r="D1610" s="15" t="s">
        <v>169</v>
      </c>
      <c r="E1610" s="24" t="s">
        <v>536</v>
      </c>
      <c r="F1610" s="150">
        <v>160</v>
      </c>
      <c r="G1610" s="873" t="s">
        <v>2934</v>
      </c>
      <c r="H1610" s="872">
        <v>48</v>
      </c>
      <c r="I1610" s="68">
        <v>1</v>
      </c>
      <c r="J1610" s="8">
        <f t="shared" si="77"/>
        <v>48</v>
      </c>
      <c r="K1610" s="25">
        <v>5</v>
      </c>
      <c r="L1610" s="46">
        <f t="shared" si="78"/>
        <v>240</v>
      </c>
      <c r="M1610" s="162" t="s">
        <v>2219</v>
      </c>
      <c r="N1610" s="39">
        <v>44761</v>
      </c>
      <c r="O1610" s="38">
        <v>4392</v>
      </c>
      <c r="P1610" s="46">
        <f t="shared" si="79"/>
        <v>4.6999999999999993</v>
      </c>
      <c r="Q1610" s="483">
        <v>4.7</v>
      </c>
      <c r="R1610" s="704">
        <f t="shared" si="80"/>
        <v>225.60000000000002</v>
      </c>
      <c r="S1610" s="532">
        <v>360</v>
      </c>
      <c r="T1610" s="567">
        <f t="shared" si="81"/>
        <v>17280</v>
      </c>
      <c r="U1610" s="501"/>
      <c r="V1610" s="494">
        <v>120</v>
      </c>
    </row>
    <row r="1611" spans="2:24" s="7" customFormat="1" ht="18" customHeight="1">
      <c r="B1611" s="12" t="s">
        <v>1858</v>
      </c>
      <c r="C1611" s="6" t="s">
        <v>2932</v>
      </c>
      <c r="D1611" s="15" t="s">
        <v>169</v>
      </c>
      <c r="E1611" s="24" t="s">
        <v>536</v>
      </c>
      <c r="F1611" s="150">
        <v>160</v>
      </c>
      <c r="G1611" s="873" t="s">
        <v>2935</v>
      </c>
      <c r="H1611" s="872">
        <v>50</v>
      </c>
      <c r="I1611" s="68">
        <v>1</v>
      </c>
      <c r="J1611" s="8">
        <f t="shared" si="77"/>
        <v>50</v>
      </c>
      <c r="K1611" s="25">
        <v>5</v>
      </c>
      <c r="L1611" s="46">
        <f t="shared" si="78"/>
        <v>250</v>
      </c>
      <c r="M1611" s="162" t="s">
        <v>2218</v>
      </c>
      <c r="N1611" s="39">
        <v>44761</v>
      </c>
      <c r="O1611" s="38">
        <v>4392</v>
      </c>
      <c r="P1611" s="46">
        <f t="shared" si="79"/>
        <v>4.6999999999999993</v>
      </c>
      <c r="Q1611" s="483">
        <v>4.7</v>
      </c>
      <c r="R1611" s="704">
        <f t="shared" si="80"/>
        <v>235</v>
      </c>
      <c r="S1611" s="532">
        <v>360</v>
      </c>
      <c r="T1611" s="567">
        <f t="shared" si="81"/>
        <v>18000</v>
      </c>
      <c r="U1611" s="501"/>
      <c r="V1611" s="494">
        <v>120</v>
      </c>
    </row>
    <row r="1612" spans="2:24" s="7" customFormat="1" ht="18" customHeight="1">
      <c r="B1612" s="12" t="s">
        <v>1858</v>
      </c>
      <c r="C1612" s="6" t="s">
        <v>2932</v>
      </c>
      <c r="D1612" s="15" t="s">
        <v>169</v>
      </c>
      <c r="E1612" s="24" t="s">
        <v>536</v>
      </c>
      <c r="F1612" s="150">
        <v>160</v>
      </c>
      <c r="G1612" s="873" t="s">
        <v>434</v>
      </c>
      <c r="H1612" s="872">
        <v>50</v>
      </c>
      <c r="I1612" s="68">
        <v>1</v>
      </c>
      <c r="J1612" s="8">
        <f t="shared" si="77"/>
        <v>50</v>
      </c>
      <c r="K1612" s="25">
        <v>5</v>
      </c>
      <c r="L1612" s="46">
        <f t="shared" si="78"/>
        <v>250</v>
      </c>
      <c r="M1612" s="162" t="s">
        <v>2218</v>
      </c>
      <c r="N1612" s="39">
        <v>44761</v>
      </c>
      <c r="O1612" s="38">
        <v>4392</v>
      </c>
      <c r="P1612" s="46">
        <f t="shared" si="79"/>
        <v>4.6999999999999993</v>
      </c>
      <c r="Q1612" s="483">
        <v>4.7</v>
      </c>
      <c r="R1612" s="704">
        <f t="shared" si="80"/>
        <v>235</v>
      </c>
      <c r="S1612" s="532">
        <v>360</v>
      </c>
      <c r="T1612" s="567">
        <f t="shared" si="81"/>
        <v>18000</v>
      </c>
      <c r="U1612" s="501"/>
      <c r="V1612" s="494">
        <v>120</v>
      </c>
    </row>
    <row r="1613" spans="2:24" s="7" customFormat="1" ht="18" customHeight="1">
      <c r="B1613" s="12" t="s">
        <v>1858</v>
      </c>
      <c r="C1613" s="6" t="s">
        <v>2932</v>
      </c>
      <c r="D1613" s="15" t="s">
        <v>169</v>
      </c>
      <c r="E1613" s="24" t="s">
        <v>536</v>
      </c>
      <c r="F1613" s="150">
        <v>160</v>
      </c>
      <c r="G1613" s="873" t="s">
        <v>2936</v>
      </c>
      <c r="H1613" s="872">
        <v>50</v>
      </c>
      <c r="I1613" s="68">
        <v>1</v>
      </c>
      <c r="J1613" s="8">
        <f t="shared" si="77"/>
        <v>50</v>
      </c>
      <c r="K1613" s="25">
        <v>5</v>
      </c>
      <c r="L1613" s="46">
        <f t="shared" si="78"/>
        <v>250</v>
      </c>
      <c r="M1613" s="162" t="s">
        <v>2218</v>
      </c>
      <c r="N1613" s="39">
        <v>44761</v>
      </c>
      <c r="O1613" s="38">
        <v>4392</v>
      </c>
      <c r="P1613" s="46">
        <f t="shared" si="79"/>
        <v>4.6999999999999993</v>
      </c>
      <c r="Q1613" s="483">
        <v>4.7</v>
      </c>
      <c r="R1613" s="704">
        <f t="shared" si="80"/>
        <v>235</v>
      </c>
      <c r="S1613" s="532">
        <v>360</v>
      </c>
      <c r="T1613" s="567">
        <f t="shared" si="81"/>
        <v>18000</v>
      </c>
      <c r="U1613" s="501"/>
      <c r="V1613" s="494">
        <v>120</v>
      </c>
    </row>
    <row r="1614" spans="2:24" s="7" customFormat="1" ht="18" customHeight="1">
      <c r="B1614" s="12" t="s">
        <v>1858</v>
      </c>
      <c r="C1614" s="6" t="s">
        <v>2932</v>
      </c>
      <c r="D1614" s="15" t="s">
        <v>169</v>
      </c>
      <c r="E1614" s="24" t="s">
        <v>536</v>
      </c>
      <c r="F1614" s="150">
        <v>160</v>
      </c>
      <c r="G1614" s="873" t="s">
        <v>2937</v>
      </c>
      <c r="H1614" s="872">
        <v>50</v>
      </c>
      <c r="I1614" s="68">
        <v>1</v>
      </c>
      <c r="J1614" s="8">
        <f t="shared" si="77"/>
        <v>50</v>
      </c>
      <c r="K1614" s="25">
        <v>5</v>
      </c>
      <c r="L1614" s="46">
        <f t="shared" si="78"/>
        <v>250</v>
      </c>
      <c r="M1614" s="162" t="s">
        <v>2219</v>
      </c>
      <c r="N1614" s="39">
        <v>44776</v>
      </c>
      <c r="O1614" s="38">
        <v>4455</v>
      </c>
      <c r="P1614" s="46">
        <f t="shared" si="79"/>
        <v>4.6999999999999993</v>
      </c>
      <c r="Q1614" s="483">
        <v>4.7</v>
      </c>
      <c r="R1614" s="704">
        <f t="shared" si="80"/>
        <v>235</v>
      </c>
      <c r="S1614" s="532">
        <v>360</v>
      </c>
      <c r="T1614" s="567">
        <f t="shared" si="81"/>
        <v>18000</v>
      </c>
      <c r="U1614" s="501"/>
      <c r="V1614" s="494">
        <v>120</v>
      </c>
    </row>
    <row r="1615" spans="2:24" s="217" customFormat="1" ht="18" customHeight="1">
      <c r="B1615" s="539"/>
      <c r="C1615" s="216" t="s">
        <v>2938</v>
      </c>
      <c r="D1615" s="109" t="s">
        <v>169</v>
      </c>
      <c r="E1615" s="228"/>
      <c r="F1615" s="160"/>
      <c r="G1615" s="42" t="s">
        <v>1993</v>
      </c>
      <c r="H1615" s="214"/>
      <c r="I1615" s="215"/>
      <c r="J1615" s="43">
        <v>3</v>
      </c>
      <c r="K1615" s="229">
        <v>20</v>
      </c>
      <c r="L1615" s="229">
        <v>0</v>
      </c>
      <c r="M1615" s="969"/>
      <c r="N1615" s="39">
        <v>44797</v>
      </c>
      <c r="O1615" s="38">
        <v>4510</v>
      </c>
      <c r="P1615" s="692"/>
      <c r="Q1615" s="525">
        <v>0</v>
      </c>
      <c r="R1615" s="973">
        <v>0</v>
      </c>
      <c r="S1615" s="971">
        <v>1800</v>
      </c>
      <c r="T1615" s="972">
        <f t="shared" si="81"/>
        <v>5400</v>
      </c>
      <c r="U1615" s="667"/>
      <c r="V1615" s="547">
        <v>120</v>
      </c>
    </row>
    <row r="1616" spans="2:24" s="314" customFormat="1" ht="18" customHeight="1">
      <c r="B1616" s="313"/>
      <c r="C1616" s="302" t="s">
        <v>2938</v>
      </c>
      <c r="D1616" s="303" t="s">
        <v>169</v>
      </c>
      <c r="E1616" s="304"/>
      <c r="F1616" s="305"/>
      <c r="G1616" s="305" t="s">
        <v>1227</v>
      </c>
      <c r="H1616" s="307" t="s">
        <v>1228</v>
      </c>
      <c r="I1616" s="308"/>
      <c r="J1616" s="306"/>
      <c r="K1616" s="315">
        <v>0</v>
      </c>
      <c r="L1616" s="310"/>
      <c r="M1616" s="310"/>
      <c r="N1616" s="310"/>
      <c r="O1616" s="309"/>
      <c r="P1616" s="302"/>
      <c r="Q1616" s="485">
        <v>0</v>
      </c>
      <c r="S1616" s="535">
        <v>0</v>
      </c>
      <c r="T1616" s="322">
        <v>0</v>
      </c>
      <c r="U1616" s="515"/>
      <c r="V1616" s="494">
        <v>120</v>
      </c>
    </row>
    <row r="1617" spans="2:23" s="7" customFormat="1" ht="15" customHeight="1">
      <c r="B1617" s="12"/>
      <c r="C1617" s="6" t="s">
        <v>2957</v>
      </c>
      <c r="D1617" s="15" t="s">
        <v>958</v>
      </c>
      <c r="E1617" s="20" t="s">
        <v>628</v>
      </c>
      <c r="F1617" s="26"/>
      <c r="G1617" s="24"/>
      <c r="H1617" s="67"/>
      <c r="I1617" s="68"/>
      <c r="J1617" s="67"/>
      <c r="K1617" s="17" t="s">
        <v>134</v>
      </c>
      <c r="L1617" s="39"/>
      <c r="M1617" s="39"/>
      <c r="N1617" s="39">
        <v>44771</v>
      </c>
      <c r="O1617" s="38">
        <v>4391</v>
      </c>
      <c r="P1617" s="179" t="s">
        <v>23</v>
      </c>
      <c r="Q1617" s="438" t="s">
        <v>959</v>
      </c>
      <c r="S1617" s="489"/>
      <c r="T1617" s="113"/>
      <c r="U1617" s="510"/>
      <c r="V1617" s="494">
        <v>120</v>
      </c>
    </row>
    <row r="1618" spans="2:23" s="7" customFormat="1" ht="18" customHeight="1">
      <c r="B1618" s="12" t="s">
        <v>1856</v>
      </c>
      <c r="C1618" s="6" t="s">
        <v>2957</v>
      </c>
      <c r="D1618" s="15" t="s">
        <v>958</v>
      </c>
      <c r="E1618" s="24">
        <v>5291</v>
      </c>
      <c r="F1618" s="26">
        <v>8</v>
      </c>
      <c r="G1618" s="24" t="s">
        <v>499</v>
      </c>
      <c r="H1618" s="67">
        <v>50</v>
      </c>
      <c r="I1618" s="68">
        <v>13</v>
      </c>
      <c r="J1618" s="67">
        <f>H1618*I1618</f>
        <v>650</v>
      </c>
      <c r="K1618" s="46">
        <v>0.61</v>
      </c>
      <c r="L1618" s="46">
        <f>K1618*J1618</f>
        <v>396.5</v>
      </c>
      <c r="M1618" s="162" t="s">
        <v>2219</v>
      </c>
      <c r="N1618" s="39">
        <v>44771</v>
      </c>
      <c r="O1618" s="38">
        <v>4391</v>
      </c>
      <c r="P1618" s="180">
        <v>0.43</v>
      </c>
      <c r="Q1618" s="180">
        <v>0.43</v>
      </c>
      <c r="R1618" s="704">
        <f>Q1618*J1618</f>
        <v>279.5</v>
      </c>
      <c r="S1618" s="489">
        <v>26</v>
      </c>
      <c r="T1618" s="113">
        <f>S1618*J1618</f>
        <v>16900</v>
      </c>
      <c r="U1618" s="867"/>
      <c r="V1618" s="494">
        <v>120</v>
      </c>
    </row>
    <row r="1619" spans="2:23" s="7" customFormat="1" ht="18" customHeight="1">
      <c r="B1619" s="12" t="s">
        <v>1856</v>
      </c>
      <c r="C1619" s="6" t="s">
        <v>2957</v>
      </c>
      <c r="D1619" s="15" t="s">
        <v>958</v>
      </c>
      <c r="E1619" s="24">
        <v>5291</v>
      </c>
      <c r="F1619" s="26">
        <v>6</v>
      </c>
      <c r="G1619" s="24" t="s">
        <v>499</v>
      </c>
      <c r="H1619" s="67">
        <v>50</v>
      </c>
      <c r="I1619" s="68">
        <v>31</v>
      </c>
      <c r="J1619" s="67">
        <f>H1619*I1619</f>
        <v>1550</v>
      </c>
      <c r="K1619" s="46">
        <v>0.4</v>
      </c>
      <c r="L1619" s="46">
        <f>K1619*J1619</f>
        <v>620</v>
      </c>
      <c r="M1619" s="162" t="s">
        <v>2219</v>
      </c>
      <c r="N1619" s="39">
        <v>44771</v>
      </c>
      <c r="O1619" s="38">
        <v>4391</v>
      </c>
      <c r="P1619" s="180">
        <v>0.22</v>
      </c>
      <c r="Q1619" s="180">
        <v>0.22</v>
      </c>
      <c r="R1619" s="704">
        <f>Q1619*J1619</f>
        <v>341</v>
      </c>
      <c r="S1619" s="489">
        <v>13.2</v>
      </c>
      <c r="T1619" s="113">
        <f>S1619*J1619</f>
        <v>20460</v>
      </c>
      <c r="U1619" s="867"/>
      <c r="V1619" s="494">
        <v>120</v>
      </c>
    </row>
    <row r="1620" spans="2:23" s="7" customFormat="1" ht="18" customHeight="1">
      <c r="B1620" s="12" t="s">
        <v>1856</v>
      </c>
      <c r="C1620" s="6" t="s">
        <v>2957</v>
      </c>
      <c r="D1620" s="15" t="s">
        <v>958</v>
      </c>
      <c r="E1620" s="24">
        <v>5291</v>
      </c>
      <c r="F1620" s="26">
        <v>6</v>
      </c>
      <c r="G1620" s="24" t="s">
        <v>29</v>
      </c>
      <c r="H1620" s="67">
        <v>50</v>
      </c>
      <c r="I1620" s="68">
        <v>50</v>
      </c>
      <c r="J1620" s="67">
        <f>H1620*I1620</f>
        <v>2500</v>
      </c>
      <c r="K1620" s="46">
        <v>0.4</v>
      </c>
      <c r="L1620" s="46">
        <f>K1620*J1620</f>
        <v>1000</v>
      </c>
      <c r="M1620" s="162" t="s">
        <v>2219</v>
      </c>
      <c r="N1620" s="39">
        <v>44771</v>
      </c>
      <c r="O1620" s="38">
        <v>4391</v>
      </c>
      <c r="P1620" s="180">
        <v>0.22</v>
      </c>
      <c r="Q1620" s="180">
        <v>0.22</v>
      </c>
      <c r="R1620" s="704">
        <f>Q1620*J1620</f>
        <v>550</v>
      </c>
      <c r="S1620" s="489">
        <v>13.2</v>
      </c>
      <c r="T1620" s="113">
        <f>S1620*J1620</f>
        <v>33000</v>
      </c>
      <c r="U1620" s="867"/>
      <c r="V1620" s="494">
        <v>120</v>
      </c>
    </row>
    <row r="1621" spans="2:23" ht="15.95" customHeight="1">
      <c r="C1621" s="6" t="s">
        <v>2957</v>
      </c>
      <c r="D1621" s="15" t="s">
        <v>958</v>
      </c>
      <c r="E1621" s="24"/>
      <c r="F1621" s="138"/>
      <c r="G1621" s="44" t="s">
        <v>1993</v>
      </c>
      <c r="H1621" s="8"/>
      <c r="I1621" s="41"/>
      <c r="J1621" s="45">
        <v>1</v>
      </c>
      <c r="K1621" s="46">
        <v>0</v>
      </c>
      <c r="L1621" s="46">
        <f>K1621*J1621</f>
        <v>0</v>
      </c>
      <c r="M1621" s="112"/>
      <c r="N1621" s="39">
        <v>44771</v>
      </c>
      <c r="O1621" s="38">
        <v>4391</v>
      </c>
      <c r="P1621" s="179"/>
      <c r="Q1621" s="180">
        <v>12</v>
      </c>
      <c r="R1621" s="704">
        <v>0</v>
      </c>
      <c r="S1621" s="498">
        <v>0</v>
      </c>
      <c r="T1621" s="568">
        <f>S1621*J1621</f>
        <v>0</v>
      </c>
      <c r="U1621" s="511"/>
      <c r="V1621" s="494">
        <v>120</v>
      </c>
      <c r="W1621"/>
    </row>
    <row r="1622" spans="2:23" s="314" customFormat="1" ht="15">
      <c r="B1622" s="313"/>
      <c r="C1622" s="302" t="s">
        <v>2959</v>
      </c>
      <c r="D1622" s="303" t="s">
        <v>958</v>
      </c>
      <c r="E1622" s="371"/>
      <c r="F1622" s="305"/>
      <c r="G1622" s="305" t="s">
        <v>1227</v>
      </c>
      <c r="H1622" s="307"/>
      <c r="I1622" s="308" t="s">
        <v>2370</v>
      </c>
      <c r="J1622" s="410">
        <v>4700</v>
      </c>
      <c r="K1622" s="315">
        <v>685.5</v>
      </c>
      <c r="L1622" s="310"/>
      <c r="M1622" s="310"/>
      <c r="N1622" s="310">
        <v>44771</v>
      </c>
      <c r="O1622" s="309">
        <v>4391</v>
      </c>
      <c r="P1622" s="302"/>
      <c r="Q1622" s="315">
        <v>685.5</v>
      </c>
      <c r="R1622" s="315">
        <v>685.5</v>
      </c>
      <c r="S1622" s="1142">
        <f>38659+3350</f>
        <v>42009</v>
      </c>
      <c r="T1622" s="1142">
        <f>38659+3350</f>
        <v>42009</v>
      </c>
      <c r="U1622" s="1115"/>
      <c r="V1622" s="494">
        <v>120</v>
      </c>
    </row>
    <row r="1623" spans="2:23" s="7" customFormat="1" ht="18" customHeight="1">
      <c r="B1623" s="12"/>
      <c r="C1623" s="6" t="s">
        <v>2958</v>
      </c>
      <c r="D1623" s="15" t="s">
        <v>958</v>
      </c>
      <c r="E1623" s="7" t="s">
        <v>2306</v>
      </c>
      <c r="F1623" s="700"/>
      <c r="G1623" s="640"/>
      <c r="H1623" s="641"/>
      <c r="I1623" s="701"/>
      <c r="J1623" s="702"/>
      <c r="K1623" s="153" t="s">
        <v>10</v>
      </c>
      <c r="L1623" s="219"/>
      <c r="M1623" s="11"/>
      <c r="N1623" s="39">
        <v>44771</v>
      </c>
      <c r="O1623" s="38">
        <v>4402</v>
      </c>
      <c r="P1623" s="6"/>
      <c r="Q1623" s="703"/>
      <c r="U1623" s="46"/>
      <c r="V1623" s="494">
        <v>120</v>
      </c>
    </row>
    <row r="1624" spans="2:23" ht="18" customHeight="1">
      <c r="B1624" s="28" t="s">
        <v>1856</v>
      </c>
      <c r="C1624" s="6" t="s">
        <v>2958</v>
      </c>
      <c r="D1624" s="15" t="s">
        <v>958</v>
      </c>
      <c r="E1624" s="24" t="s">
        <v>18</v>
      </c>
      <c r="F1624" s="44">
        <v>30</v>
      </c>
      <c r="G1624" s="24" t="s">
        <v>137</v>
      </c>
      <c r="H1624" s="151">
        <v>30</v>
      </c>
      <c r="I1624" s="152">
        <v>10</v>
      </c>
      <c r="J1624" s="67">
        <f>H1624*I1624</f>
        <v>300</v>
      </c>
      <c r="K1624" s="46">
        <v>4.6100000000000003</v>
      </c>
      <c r="L1624" s="46">
        <f>K1624*J1624</f>
        <v>1383</v>
      </c>
      <c r="M1624" s="162" t="s">
        <v>2219</v>
      </c>
      <c r="N1624" s="39">
        <v>44771</v>
      </c>
      <c r="O1624" s="38">
        <v>4402</v>
      </c>
      <c r="P1624" s="180">
        <v>3.75</v>
      </c>
      <c r="Q1624" s="482">
        <v>3.75</v>
      </c>
      <c r="R1624" s="704">
        <f>Q1624*J1624</f>
        <v>1125</v>
      </c>
      <c r="S1624" s="489">
        <v>230</v>
      </c>
      <c r="T1624" s="113">
        <f>S1624*J1624</f>
        <v>69000</v>
      </c>
      <c r="U1624" s="507"/>
      <c r="V1624" s="494">
        <v>120</v>
      </c>
      <c r="W1624"/>
    </row>
    <row r="1625" spans="2:23" s="314" customFormat="1" ht="15">
      <c r="B1625" s="313"/>
      <c r="C1625" s="302" t="s">
        <v>2958</v>
      </c>
      <c r="D1625" s="303" t="s">
        <v>958</v>
      </c>
      <c r="E1625" s="304"/>
      <c r="F1625" s="305"/>
      <c r="G1625" s="305" t="s">
        <v>1227</v>
      </c>
      <c r="H1625" s="307"/>
      <c r="I1625" s="308" t="s">
        <v>2370</v>
      </c>
      <c r="J1625" s="410">
        <v>300</v>
      </c>
      <c r="K1625" s="315">
        <v>105</v>
      </c>
      <c r="L1625" s="310"/>
      <c r="M1625" s="310"/>
      <c r="N1625" s="310">
        <v>44771</v>
      </c>
      <c r="O1625" s="309">
        <v>4402</v>
      </c>
      <c r="P1625" s="302"/>
      <c r="Q1625" s="315">
        <v>105</v>
      </c>
      <c r="R1625" s="315">
        <v>105</v>
      </c>
      <c r="S1625" s="1143">
        <f>5449+3350</f>
        <v>8799</v>
      </c>
      <c r="T1625" s="1143">
        <f>5449+3350</f>
        <v>8799</v>
      </c>
      <c r="U1625" s="515"/>
      <c r="V1625" s="494">
        <v>120</v>
      </c>
    </row>
    <row r="1626" spans="2:23" s="7" customFormat="1" ht="18" customHeight="1">
      <c r="B1626" s="12"/>
      <c r="C1626" s="6" t="s">
        <v>2943</v>
      </c>
      <c r="D1626" s="15" t="s">
        <v>1214</v>
      </c>
      <c r="E1626" s="20" t="s">
        <v>2822</v>
      </c>
      <c r="F1626" s="24"/>
      <c r="G1626" s="44"/>
      <c r="H1626" s="151"/>
      <c r="I1626" s="151"/>
      <c r="J1626" s="151"/>
      <c r="K1626" s="153" t="s">
        <v>10</v>
      </c>
      <c r="L1626" s="39"/>
      <c r="M1626" s="39"/>
      <c r="N1626" s="39">
        <v>44757</v>
      </c>
      <c r="O1626" s="38">
        <v>4393</v>
      </c>
      <c r="P1626" s="6"/>
      <c r="Q1626" s="411"/>
      <c r="S1626" s="489"/>
      <c r="T1626" s="113"/>
      <c r="U1626" s="501"/>
      <c r="V1626" s="494">
        <v>120</v>
      </c>
    </row>
    <row r="1627" spans="2:23" s="7" customFormat="1" ht="15.95" customHeight="1">
      <c r="B1627" s="12" t="s">
        <v>1856</v>
      </c>
      <c r="C1627" s="6" t="s">
        <v>2943</v>
      </c>
      <c r="D1627" s="15" t="s">
        <v>1214</v>
      </c>
      <c r="E1627" s="24">
        <v>1515</v>
      </c>
      <c r="F1627" s="44">
        <v>6</v>
      </c>
      <c r="G1627" s="44" t="s">
        <v>2944</v>
      </c>
      <c r="H1627" s="151">
        <v>30</v>
      </c>
      <c r="I1627" s="152">
        <v>2</v>
      </c>
      <c r="J1627" s="8">
        <f>H1627*I1627</f>
        <v>60</v>
      </c>
      <c r="K1627" s="1007">
        <v>0.15</v>
      </c>
      <c r="L1627" s="46">
        <f>K1627*J1627</f>
        <v>9</v>
      </c>
      <c r="M1627" s="162" t="s">
        <v>2219</v>
      </c>
      <c r="N1627" s="39">
        <v>44757</v>
      </c>
      <c r="O1627" s="38">
        <v>4393</v>
      </c>
      <c r="P1627" s="180">
        <f>K1627*(VLOOKUP(B1627,$C$2:$F$6,3,FALSE))</f>
        <v>0.13200000000000001</v>
      </c>
      <c r="Q1627" s="483">
        <v>0.13</v>
      </c>
      <c r="R1627" s="704">
        <f>Q1627*J1627</f>
        <v>7.8000000000000007</v>
      </c>
      <c r="S1627" s="489">
        <v>7.9</v>
      </c>
      <c r="T1627" s="113">
        <f>S1627*J1627</f>
        <v>474</v>
      </c>
      <c r="U1627" s="1021"/>
      <c r="V1627" s="494">
        <v>120</v>
      </c>
    </row>
    <row r="1628" spans="2:23" ht="15.95" customHeight="1">
      <c r="B1628" s="12" t="s">
        <v>1862</v>
      </c>
      <c r="C1628" s="6" t="s">
        <v>2943</v>
      </c>
      <c r="D1628" s="15" t="s">
        <v>1214</v>
      </c>
      <c r="E1628" s="24"/>
      <c r="F1628" s="138"/>
      <c r="G1628" s="44" t="s">
        <v>1993</v>
      </c>
      <c r="H1628" s="8"/>
      <c r="I1628" s="41"/>
      <c r="J1628" s="45">
        <v>1</v>
      </c>
      <c r="K1628" s="46">
        <v>12</v>
      </c>
      <c r="L1628" s="46">
        <f>K1628*J1628</f>
        <v>12</v>
      </c>
      <c r="M1628" s="112"/>
      <c r="N1628" s="39">
        <v>44757</v>
      </c>
      <c r="O1628" s="38">
        <v>4393</v>
      </c>
      <c r="P1628" s="46">
        <f>K1628*(VLOOKUP(B1628,$C$2:$F$6,3,FALSE))</f>
        <v>12</v>
      </c>
      <c r="Q1628" s="483">
        <v>12</v>
      </c>
      <c r="R1628" s="704">
        <v>12</v>
      </c>
      <c r="S1628" s="489">
        <v>0</v>
      </c>
      <c r="T1628" s="113">
        <f>S1628*J1628</f>
        <v>0</v>
      </c>
      <c r="U1628" s="511"/>
      <c r="V1628" s="494">
        <v>120</v>
      </c>
      <c r="W1628"/>
    </row>
    <row r="1629" spans="2:23" s="314" customFormat="1" ht="15">
      <c r="B1629" s="313"/>
      <c r="C1629" s="302" t="s">
        <v>2943</v>
      </c>
      <c r="D1629" s="303" t="s">
        <v>1214</v>
      </c>
      <c r="E1629" s="304"/>
      <c r="F1629" s="305"/>
      <c r="G1629" s="305" t="s">
        <v>1227</v>
      </c>
      <c r="H1629" s="307" t="s">
        <v>1228</v>
      </c>
      <c r="I1629" s="308"/>
      <c r="J1629" s="306"/>
      <c r="K1629" s="315">
        <v>0</v>
      </c>
      <c r="L1629" s="310"/>
      <c r="M1629" s="310"/>
      <c r="N1629" s="310">
        <v>44757</v>
      </c>
      <c r="O1629" s="309">
        <v>4393</v>
      </c>
      <c r="P1629" s="302"/>
      <c r="Q1629" s="485">
        <v>0</v>
      </c>
      <c r="S1629" s="536">
        <v>0</v>
      </c>
      <c r="T1629" s="322">
        <v>0</v>
      </c>
      <c r="U1629" s="515"/>
      <c r="V1629" s="494">
        <v>120</v>
      </c>
    </row>
    <row r="1630" spans="2:23" ht="15">
      <c r="C1630" s="6" t="s">
        <v>2964</v>
      </c>
      <c r="D1630" s="15" t="s">
        <v>2309</v>
      </c>
      <c r="E1630" s="20" t="s">
        <v>79</v>
      </c>
      <c r="F1630" s="150"/>
      <c r="G1630" s="24"/>
      <c r="H1630" s="151"/>
      <c r="I1630" s="152"/>
      <c r="J1630" s="151"/>
      <c r="K1630" s="153" t="s">
        <v>10</v>
      </c>
      <c r="L1630" s="39"/>
      <c r="M1630" s="39"/>
      <c r="N1630" s="39">
        <v>44764</v>
      </c>
      <c r="O1630" s="38">
        <v>4415</v>
      </c>
      <c r="P1630" s="15"/>
      <c r="Q1630" s="483"/>
      <c r="S1630" s="496"/>
      <c r="T1630" s="113"/>
      <c r="V1630" s="494">
        <v>120</v>
      </c>
      <c r="W1630"/>
    </row>
    <row r="1631" spans="2:23" ht="15.75">
      <c r="B1631" s="12" t="s">
        <v>1858</v>
      </c>
      <c r="C1631" s="6" t="s">
        <v>2964</v>
      </c>
      <c r="D1631" s="15" t="s">
        <v>2309</v>
      </c>
      <c r="E1631" s="24">
        <v>5081</v>
      </c>
      <c r="F1631" s="150">
        <v>140</v>
      </c>
      <c r="G1631" s="24" t="s">
        <v>207</v>
      </c>
      <c r="H1631" s="67">
        <v>20</v>
      </c>
      <c r="I1631" s="68">
        <v>1</v>
      </c>
      <c r="J1631" s="67">
        <f>H1631*I1631</f>
        <v>20</v>
      </c>
      <c r="K1631" s="46">
        <v>10</v>
      </c>
      <c r="L1631" s="46">
        <f>K1631*J1631</f>
        <v>200</v>
      </c>
      <c r="M1631" s="162" t="s">
        <v>2219</v>
      </c>
      <c r="N1631" s="39">
        <v>44764</v>
      </c>
      <c r="O1631" s="38">
        <v>4415</v>
      </c>
      <c r="P1631" s="46">
        <f>K1631*(VLOOKUP(B1631,$C$2:$F$6,3,FALSE))</f>
        <v>9.3999999999999986</v>
      </c>
      <c r="Q1631" s="483">
        <v>9.4</v>
      </c>
      <c r="R1631" s="704">
        <f>Q1631*J1631</f>
        <v>188</v>
      </c>
      <c r="S1631" s="532">
        <v>770</v>
      </c>
      <c r="T1631" s="567">
        <f>S1631*J1631</f>
        <v>15400</v>
      </c>
      <c r="V1631" s="494">
        <v>120</v>
      </c>
      <c r="W1631"/>
    </row>
    <row r="1632" spans="2:23" ht="15.75">
      <c r="B1632" s="12" t="s">
        <v>1858</v>
      </c>
      <c r="C1632" s="6" t="s">
        <v>2964</v>
      </c>
      <c r="D1632" s="15" t="s">
        <v>2309</v>
      </c>
      <c r="E1632" s="24">
        <v>5081</v>
      </c>
      <c r="F1632" s="150">
        <v>140</v>
      </c>
      <c r="G1632" s="24" t="s">
        <v>1901</v>
      </c>
      <c r="H1632" s="67">
        <v>12</v>
      </c>
      <c r="I1632" s="68">
        <v>1</v>
      </c>
      <c r="J1632" s="67">
        <f>H1632*I1632</f>
        <v>12</v>
      </c>
      <c r="K1632" s="46">
        <v>10</v>
      </c>
      <c r="L1632" s="46">
        <f>K1632*J1632</f>
        <v>120</v>
      </c>
      <c r="M1632" s="162" t="s">
        <v>2219</v>
      </c>
      <c r="N1632" s="39">
        <v>44764</v>
      </c>
      <c r="O1632" s="38">
        <v>4415</v>
      </c>
      <c r="P1632" s="46">
        <f>K1632*(VLOOKUP(B1632,$C$2:$F$6,3,FALSE))</f>
        <v>9.3999999999999986</v>
      </c>
      <c r="Q1632" s="483">
        <v>9.4</v>
      </c>
      <c r="R1632" s="704">
        <f>Q1632*J1632</f>
        <v>112.80000000000001</v>
      </c>
      <c r="S1632" s="532">
        <v>770</v>
      </c>
      <c r="T1632" s="567">
        <f>S1632*J1632</f>
        <v>9240</v>
      </c>
      <c r="V1632" s="494">
        <v>120</v>
      </c>
      <c r="W1632"/>
    </row>
    <row r="1633" spans="2:23" ht="15.75">
      <c r="B1633" s="12" t="s">
        <v>1858</v>
      </c>
      <c r="C1633" s="6" t="s">
        <v>2964</v>
      </c>
      <c r="D1633" s="15" t="s">
        <v>2309</v>
      </c>
      <c r="E1633" s="24">
        <v>5081</v>
      </c>
      <c r="F1633" s="150">
        <v>140</v>
      </c>
      <c r="G1633" s="24" t="s">
        <v>437</v>
      </c>
      <c r="H1633" s="67">
        <v>12</v>
      </c>
      <c r="I1633" s="68">
        <v>1</v>
      </c>
      <c r="J1633" s="67">
        <f>H1633*I1633</f>
        <v>12</v>
      </c>
      <c r="K1633" s="46">
        <v>10</v>
      </c>
      <c r="L1633" s="46">
        <f>K1633*J1633</f>
        <v>120</v>
      </c>
      <c r="M1633" s="162" t="s">
        <v>2219</v>
      </c>
      <c r="N1633" s="39">
        <v>44764</v>
      </c>
      <c r="O1633" s="38">
        <v>4415</v>
      </c>
      <c r="P1633" s="46">
        <f>K1633*(VLOOKUP(B1633,$C$2:$F$6,3,FALSE))</f>
        <v>9.3999999999999986</v>
      </c>
      <c r="Q1633" s="483">
        <v>9.4</v>
      </c>
      <c r="R1633" s="704">
        <f>Q1633*J1633</f>
        <v>112.80000000000001</v>
      </c>
      <c r="S1633" s="532">
        <v>770</v>
      </c>
      <c r="T1633" s="567">
        <f>S1633*J1633</f>
        <v>9240</v>
      </c>
      <c r="V1633" s="494">
        <v>120</v>
      </c>
      <c r="W1633"/>
    </row>
    <row r="1634" spans="2:23" ht="15.75">
      <c r="B1634" s="12" t="s">
        <v>1858</v>
      </c>
      <c r="C1634" s="6" t="s">
        <v>2964</v>
      </c>
      <c r="D1634" s="15" t="s">
        <v>2309</v>
      </c>
      <c r="E1634" s="24">
        <v>5081</v>
      </c>
      <c r="F1634" s="150">
        <v>140</v>
      </c>
      <c r="G1634" s="24" t="s">
        <v>2965</v>
      </c>
      <c r="H1634" s="67">
        <v>12</v>
      </c>
      <c r="I1634" s="68">
        <v>1</v>
      </c>
      <c r="J1634" s="67">
        <f>H1634*I1634</f>
        <v>12</v>
      </c>
      <c r="K1634" s="46">
        <v>10</v>
      </c>
      <c r="L1634" s="46">
        <f>K1634*J1634</f>
        <v>120</v>
      </c>
      <c r="M1634" s="162" t="s">
        <v>2219</v>
      </c>
      <c r="N1634" s="39">
        <v>44764</v>
      </c>
      <c r="O1634" s="38">
        <v>4415</v>
      </c>
      <c r="P1634" s="46">
        <f>K1634*(VLOOKUP(B1634,$C$2:$F$6,3,FALSE))</f>
        <v>9.3999999999999986</v>
      </c>
      <c r="Q1634" s="483">
        <v>9.4</v>
      </c>
      <c r="R1634" s="704">
        <f>Q1634*J1634</f>
        <v>112.80000000000001</v>
      </c>
      <c r="S1634" s="532">
        <v>770</v>
      </c>
      <c r="T1634" s="567">
        <f>S1634*J1634</f>
        <v>9240</v>
      </c>
      <c r="V1634" s="494">
        <v>120</v>
      </c>
      <c r="W1634"/>
    </row>
    <row r="1635" spans="2:23" ht="15.75">
      <c r="B1635" s="12" t="s">
        <v>1858</v>
      </c>
      <c r="C1635" s="6" t="s">
        <v>2964</v>
      </c>
      <c r="D1635" s="15" t="s">
        <v>2309</v>
      </c>
      <c r="E1635" s="24">
        <v>5081</v>
      </c>
      <c r="F1635" s="150">
        <v>140</v>
      </c>
      <c r="G1635" s="24" t="s">
        <v>116</v>
      </c>
      <c r="H1635" s="67">
        <v>12</v>
      </c>
      <c r="I1635" s="68">
        <v>1</v>
      </c>
      <c r="J1635" s="67">
        <f>H1635*I1635</f>
        <v>12</v>
      </c>
      <c r="K1635" s="46">
        <v>10</v>
      </c>
      <c r="L1635" s="46">
        <f>K1635*J1635</f>
        <v>120</v>
      </c>
      <c r="M1635" s="162" t="s">
        <v>2219</v>
      </c>
      <c r="N1635" s="39">
        <v>44764</v>
      </c>
      <c r="O1635" s="38">
        <v>4415</v>
      </c>
      <c r="P1635" s="46">
        <f>K1635*(VLOOKUP(B1635,$C$2:$F$6,3,FALSE))</f>
        <v>9.3999999999999986</v>
      </c>
      <c r="Q1635" s="483">
        <v>9.4</v>
      </c>
      <c r="R1635" s="704">
        <f>Q1635*J1635</f>
        <v>112.80000000000001</v>
      </c>
      <c r="S1635" s="532">
        <v>770</v>
      </c>
      <c r="T1635" s="567">
        <f>S1635*J1635</f>
        <v>9240</v>
      </c>
      <c r="V1635" s="494">
        <v>120</v>
      </c>
      <c r="W1635"/>
    </row>
    <row r="1636" spans="2:23" s="7" customFormat="1" ht="17.25" customHeight="1">
      <c r="B1636" s="12"/>
      <c r="C1636" s="6" t="s">
        <v>2964</v>
      </c>
      <c r="D1636" s="15" t="s">
        <v>2309</v>
      </c>
      <c r="E1636" s="20" t="s">
        <v>1092</v>
      </c>
      <c r="F1636" s="150"/>
      <c r="G1636" s="24"/>
      <c r="H1636" s="151"/>
      <c r="I1636" s="152"/>
      <c r="J1636" s="151"/>
      <c r="K1636" s="34" t="s">
        <v>10</v>
      </c>
      <c r="L1636" s="213"/>
      <c r="M1636" s="39"/>
      <c r="N1636" s="39">
        <v>44764</v>
      </c>
      <c r="O1636" s="38">
        <v>4415</v>
      </c>
      <c r="P1636" s="15"/>
      <c r="Q1636" s="703"/>
      <c r="U1636" s="15"/>
      <c r="V1636" s="494">
        <v>120</v>
      </c>
    </row>
    <row r="1637" spans="2:23" s="7" customFormat="1" ht="18" customHeight="1">
      <c r="B1637" s="12" t="s">
        <v>1858</v>
      </c>
      <c r="C1637" s="6" t="s">
        <v>2964</v>
      </c>
      <c r="D1637" s="15" t="s">
        <v>2309</v>
      </c>
      <c r="E1637" s="24" t="s">
        <v>1093</v>
      </c>
      <c r="F1637" s="150">
        <v>150</v>
      </c>
      <c r="G1637" s="44" t="s">
        <v>334</v>
      </c>
      <c r="H1637" s="151"/>
      <c r="I1637" s="152"/>
      <c r="J1637" s="8">
        <v>1</v>
      </c>
      <c r="K1637" s="46">
        <v>7.09</v>
      </c>
      <c r="L1637" s="46">
        <f>K1637*J1637</f>
        <v>7.09</v>
      </c>
      <c r="M1637" s="162" t="s">
        <v>2607</v>
      </c>
      <c r="N1637" s="39">
        <v>44764</v>
      </c>
      <c r="O1637" s="38">
        <v>4415</v>
      </c>
      <c r="P1637" s="1127">
        <f>ROUNDUP(S1637/V1637/VLOOKUP(B1637,$C$2:$F$6,3,FALSE),2)</f>
        <v>4.5299999999999994</v>
      </c>
      <c r="Q1637" s="703">
        <v>6.44</v>
      </c>
      <c r="R1637" s="703">
        <f>Q1637*J1637</f>
        <v>6.44</v>
      </c>
      <c r="S1637" s="7">
        <v>510</v>
      </c>
      <c r="T1637" s="7">
        <f>S1637*J1637</f>
        <v>510</v>
      </c>
      <c r="U1637" s="23"/>
      <c r="V1637" s="494">
        <v>120</v>
      </c>
    </row>
    <row r="1638" spans="2:23" s="7" customFormat="1" ht="15.95" customHeight="1">
      <c r="B1638" s="12"/>
      <c r="C1638" s="6" t="s">
        <v>2964</v>
      </c>
      <c r="D1638" s="15" t="s">
        <v>2309</v>
      </c>
      <c r="E1638" s="24"/>
      <c r="F1638" s="138"/>
      <c r="G1638" s="44" t="s">
        <v>1075</v>
      </c>
      <c r="H1638" s="8"/>
      <c r="I1638" s="41"/>
      <c r="J1638" s="45">
        <v>6</v>
      </c>
      <c r="K1638" s="46">
        <v>12</v>
      </c>
      <c r="L1638" s="46">
        <f>K1638*J1638</f>
        <v>72</v>
      </c>
      <c r="M1638" s="39"/>
      <c r="N1638" s="39">
        <v>44764</v>
      </c>
      <c r="O1638" s="38">
        <v>4415</v>
      </c>
      <c r="P1638" s="6"/>
      <c r="Q1638" s="483">
        <v>12</v>
      </c>
      <c r="R1638" s="704">
        <f>Q1638*J1638</f>
        <v>72</v>
      </c>
      <c r="S1638" s="489">
        <v>1000</v>
      </c>
      <c r="T1638" s="113">
        <f>S1638*J1638</f>
        <v>6000</v>
      </c>
      <c r="U1638" s="501"/>
      <c r="V1638" s="494">
        <v>120</v>
      </c>
    </row>
    <row r="1639" spans="2:23" s="7" customFormat="1" ht="15.95" customHeight="1">
      <c r="B1639" s="12"/>
      <c r="C1639" s="6" t="s">
        <v>2964</v>
      </c>
      <c r="D1639" s="15" t="s">
        <v>2309</v>
      </c>
      <c r="E1639" s="24"/>
      <c r="F1639" s="138"/>
      <c r="G1639" s="44" t="s">
        <v>1993</v>
      </c>
      <c r="H1639" s="8"/>
      <c r="I1639" s="41"/>
      <c r="J1639" s="45">
        <v>1</v>
      </c>
      <c r="K1639" s="46">
        <v>20</v>
      </c>
      <c r="L1639" s="46">
        <f>K1639*J1639</f>
        <v>20</v>
      </c>
      <c r="M1639" s="39"/>
      <c r="N1639" s="39">
        <v>44764</v>
      </c>
      <c r="O1639" s="38">
        <v>4415</v>
      </c>
      <c r="P1639" s="6"/>
      <c r="Q1639" s="483">
        <v>20</v>
      </c>
      <c r="R1639" s="704">
        <f>Q1639*J1639</f>
        <v>20</v>
      </c>
      <c r="S1639" s="489">
        <v>1000</v>
      </c>
      <c r="T1639" s="113">
        <f>S1639*J1639</f>
        <v>1000</v>
      </c>
      <c r="U1639" s="501"/>
      <c r="V1639" s="494">
        <v>120</v>
      </c>
    </row>
    <row r="1640" spans="2:23" s="314" customFormat="1" ht="15">
      <c r="B1640" s="313"/>
      <c r="C1640" s="302" t="s">
        <v>2964</v>
      </c>
      <c r="D1640" s="303" t="s">
        <v>2309</v>
      </c>
      <c r="E1640" s="304"/>
      <c r="F1640" s="305"/>
      <c r="G1640" s="305" t="s">
        <v>1227</v>
      </c>
      <c r="H1640" s="307" t="s">
        <v>1243</v>
      </c>
      <c r="I1640" s="308"/>
      <c r="J1640" s="306"/>
      <c r="K1640" s="329">
        <v>77</v>
      </c>
      <c r="L1640" s="310"/>
      <c r="M1640" s="310"/>
      <c r="N1640" s="310">
        <v>44764</v>
      </c>
      <c r="O1640" s="309">
        <v>4415</v>
      </c>
      <c r="P1640" s="685"/>
      <c r="Q1640" s="686">
        <v>77</v>
      </c>
      <c r="R1640" s="929">
        <v>77</v>
      </c>
      <c r="S1640" s="718">
        <v>9236</v>
      </c>
      <c r="T1640" s="719">
        <v>9236</v>
      </c>
      <c r="U1640" s="688"/>
      <c r="V1640" s="494">
        <v>120</v>
      </c>
    </row>
    <row r="1641" spans="2:23" s="7" customFormat="1" ht="15">
      <c r="B1641" s="12"/>
      <c r="C1641" s="6" t="s">
        <v>2982</v>
      </c>
      <c r="D1641" s="15" t="s">
        <v>1214</v>
      </c>
      <c r="E1641" s="20" t="s">
        <v>177</v>
      </c>
      <c r="F1641" s="26"/>
      <c r="G1641" s="24"/>
      <c r="H1641" s="67"/>
      <c r="I1641" s="68"/>
      <c r="J1641" s="67"/>
      <c r="K1641" s="10" t="s">
        <v>10</v>
      </c>
      <c r="L1641" s="39"/>
      <c r="M1641" s="39"/>
      <c r="N1641" s="39">
        <v>44767</v>
      </c>
      <c r="O1641" s="38">
        <v>4417</v>
      </c>
      <c r="P1641" s="6" t="s">
        <v>3</v>
      </c>
      <c r="Q1641" s="481"/>
      <c r="S1641" s="489"/>
      <c r="T1641" s="113"/>
      <c r="U1641" s="500"/>
      <c r="V1641" s="494">
        <v>120</v>
      </c>
    </row>
    <row r="1642" spans="2:23" s="7" customFormat="1" ht="15" customHeight="1">
      <c r="B1642" s="12" t="s">
        <v>1856</v>
      </c>
      <c r="C1642" s="6" t="s">
        <v>2982</v>
      </c>
      <c r="D1642" s="15" t="s">
        <v>1214</v>
      </c>
      <c r="E1642" s="24">
        <v>12701</v>
      </c>
      <c r="F1642" s="26">
        <v>6</v>
      </c>
      <c r="G1642" s="24" t="s">
        <v>294</v>
      </c>
      <c r="H1642" s="67">
        <v>10</v>
      </c>
      <c r="I1642" s="68">
        <v>4</v>
      </c>
      <c r="J1642" s="8">
        <f>H1642*I1642</f>
        <v>40</v>
      </c>
      <c r="K1642" s="25">
        <v>0.7</v>
      </c>
      <c r="L1642" s="46">
        <f>K1642*J1642</f>
        <v>28</v>
      </c>
      <c r="M1642" s="162" t="s">
        <v>2219</v>
      </c>
      <c r="N1642" s="39">
        <v>44767</v>
      </c>
      <c r="O1642" s="38">
        <v>4417</v>
      </c>
      <c r="P1642" s="46">
        <f>K1642*(VLOOKUP(B1642,$C$2:$F$6,3,FALSE))</f>
        <v>0.61599999999999999</v>
      </c>
      <c r="Q1642" s="482">
        <v>0.62</v>
      </c>
      <c r="R1642" s="704">
        <f>Q1642*J1642</f>
        <v>24.8</v>
      </c>
      <c r="S1642" s="489">
        <v>37.1</v>
      </c>
      <c r="T1642" s="113">
        <f>S1642*J1642</f>
        <v>1484</v>
      </c>
      <c r="U1642" s="1597" t="s">
        <v>2983</v>
      </c>
      <c r="V1642" s="494">
        <v>120</v>
      </c>
    </row>
    <row r="1643" spans="2:23" s="7" customFormat="1" ht="15.95" customHeight="1">
      <c r="B1643" s="12"/>
      <c r="C1643" s="6" t="s">
        <v>2982</v>
      </c>
      <c r="D1643" s="15" t="s">
        <v>1214</v>
      </c>
      <c r="E1643" s="24"/>
      <c r="F1643" s="138"/>
      <c r="G1643" s="44" t="s">
        <v>1993</v>
      </c>
      <c r="H1643" s="8"/>
      <c r="I1643" s="41"/>
      <c r="J1643" s="45">
        <v>1</v>
      </c>
      <c r="K1643" s="46">
        <v>12</v>
      </c>
      <c r="L1643" s="46">
        <f>K1643*J1643</f>
        <v>12</v>
      </c>
      <c r="M1643" s="39"/>
      <c r="N1643" s="39">
        <v>44767</v>
      </c>
      <c r="O1643" s="38">
        <v>4417</v>
      </c>
      <c r="P1643" s="6"/>
      <c r="Q1643" s="483">
        <v>12</v>
      </c>
      <c r="R1643" s="704">
        <f>Q1643*J1643</f>
        <v>12</v>
      </c>
      <c r="S1643" s="489">
        <v>0</v>
      </c>
      <c r="T1643" s="113">
        <f>S1643*J1643</f>
        <v>0</v>
      </c>
      <c r="U1643" s="501"/>
      <c r="V1643" s="494">
        <v>120</v>
      </c>
    </row>
    <row r="1644" spans="2:23" s="314" customFormat="1" ht="15.6" customHeight="1">
      <c r="B1644" s="313"/>
      <c r="C1644" s="302" t="s">
        <v>2982</v>
      </c>
      <c r="D1644" s="303" t="s">
        <v>1214</v>
      </c>
      <c r="E1644" s="304"/>
      <c r="F1644" s="305"/>
      <c r="G1644" s="305" t="s">
        <v>1227</v>
      </c>
      <c r="H1644" s="307" t="s">
        <v>1228</v>
      </c>
      <c r="I1644" s="308"/>
      <c r="J1644" s="306"/>
      <c r="K1644" s="315">
        <v>0</v>
      </c>
      <c r="L1644" s="310"/>
      <c r="M1644" s="310"/>
      <c r="N1644" s="310">
        <v>44767</v>
      </c>
      <c r="O1644" s="309">
        <v>4417</v>
      </c>
      <c r="P1644" s="302"/>
      <c r="Q1644" s="485">
        <v>0</v>
      </c>
      <c r="S1644" s="535">
        <v>0</v>
      </c>
      <c r="T1644" s="322">
        <v>0</v>
      </c>
      <c r="U1644" s="515"/>
      <c r="V1644" s="494">
        <v>120</v>
      </c>
    </row>
    <row r="1645" spans="2:23" s="7" customFormat="1" ht="15">
      <c r="B1645" s="12"/>
      <c r="C1645" s="6" t="s">
        <v>2984</v>
      </c>
      <c r="D1645" s="15" t="s">
        <v>983</v>
      </c>
      <c r="E1645" s="20" t="s">
        <v>344</v>
      </c>
      <c r="F1645" s="26"/>
      <c r="G1645" s="24"/>
      <c r="H1645" s="67"/>
      <c r="I1645" s="68"/>
      <c r="J1645" s="67"/>
      <c r="K1645" s="17" t="s">
        <v>134</v>
      </c>
      <c r="L1645" s="39"/>
      <c r="M1645" s="39"/>
      <c r="N1645" s="39">
        <v>44767</v>
      </c>
      <c r="O1645" s="38">
        <v>4416</v>
      </c>
      <c r="P1645" s="6" t="s">
        <v>23</v>
      </c>
      <c r="Q1645" s="481"/>
      <c r="S1645" s="489"/>
      <c r="T1645" s="113"/>
      <c r="U1645" s="500"/>
      <c r="V1645" s="494">
        <v>120</v>
      </c>
    </row>
    <row r="1646" spans="2:23" s="7" customFormat="1" ht="15.75">
      <c r="B1646" s="12" t="s">
        <v>1856</v>
      </c>
      <c r="C1646" s="6" t="s">
        <v>2984</v>
      </c>
      <c r="D1646" s="15" t="s">
        <v>983</v>
      </c>
      <c r="E1646" s="24">
        <v>14552</v>
      </c>
      <c r="F1646" s="26">
        <v>10</v>
      </c>
      <c r="G1646" s="24" t="s">
        <v>2212</v>
      </c>
      <c r="H1646" s="151">
        <v>30</v>
      </c>
      <c r="I1646" s="152">
        <v>22</v>
      </c>
      <c r="J1646" s="67">
        <f>H1646*I1646</f>
        <v>660</v>
      </c>
      <c r="K1646" s="25">
        <v>0.69</v>
      </c>
      <c r="L1646" s="46">
        <f>K1646*J1646</f>
        <v>455.4</v>
      </c>
      <c r="M1646" s="162" t="s">
        <v>2219</v>
      </c>
      <c r="N1646" s="39">
        <v>44767</v>
      </c>
      <c r="O1646" s="38">
        <v>4416</v>
      </c>
      <c r="P1646" s="46">
        <f>K1646*(VLOOKUP(B1646,$C$2:$F$6,3,FALSE))</f>
        <v>0.60719999999999996</v>
      </c>
      <c r="Q1646" s="482">
        <v>0.61</v>
      </c>
      <c r="R1646" s="704">
        <f>Q1646*J1646</f>
        <v>402.59999999999997</v>
      </c>
      <c r="S1646" s="489">
        <v>37</v>
      </c>
      <c r="T1646" s="567">
        <f>S1646*J1646</f>
        <v>24420</v>
      </c>
      <c r="U1646" s="500"/>
      <c r="V1646" s="494">
        <v>120</v>
      </c>
    </row>
    <row r="1647" spans="2:23" s="7" customFormat="1" ht="15.95" customHeight="1">
      <c r="B1647" s="12"/>
      <c r="C1647" s="6" t="s">
        <v>2984</v>
      </c>
      <c r="D1647" s="15" t="s">
        <v>983</v>
      </c>
      <c r="E1647" s="24"/>
      <c r="F1647" s="138"/>
      <c r="G1647" s="44" t="s">
        <v>1993</v>
      </c>
      <c r="H1647" s="8"/>
      <c r="I1647" s="41"/>
      <c r="J1647" s="45">
        <v>1</v>
      </c>
      <c r="K1647" s="46">
        <v>12</v>
      </c>
      <c r="L1647" s="46">
        <f>K1647*J1647</f>
        <v>12</v>
      </c>
      <c r="M1647" s="39"/>
      <c r="N1647" s="39">
        <v>44767</v>
      </c>
      <c r="O1647" s="38">
        <v>4416</v>
      </c>
      <c r="P1647" s="6"/>
      <c r="Q1647" s="483">
        <v>12</v>
      </c>
      <c r="R1647" s="704">
        <f>Q1647*J1647</f>
        <v>12</v>
      </c>
      <c r="S1647" s="489">
        <v>1000</v>
      </c>
      <c r="T1647" s="113">
        <f>S1647*J1647</f>
        <v>1000</v>
      </c>
      <c r="U1647" s="501"/>
      <c r="V1647" s="494">
        <v>120</v>
      </c>
    </row>
    <row r="1648" spans="2:23" s="314" customFormat="1" ht="15.75">
      <c r="B1648" s="313"/>
      <c r="C1648" s="302" t="s">
        <v>2984</v>
      </c>
      <c r="D1648" s="303" t="s">
        <v>983</v>
      </c>
      <c r="E1648" s="304"/>
      <c r="F1648" s="305"/>
      <c r="G1648" s="682" t="s">
        <v>2238</v>
      </c>
      <c r="H1648" s="307" t="s">
        <v>1243</v>
      </c>
      <c r="I1648" s="308"/>
      <c r="J1648" s="306"/>
      <c r="K1648" s="329">
        <v>44</v>
      </c>
      <c r="L1648" s="310"/>
      <c r="M1648" s="310"/>
      <c r="N1648" s="310">
        <v>44767</v>
      </c>
      <c r="O1648" s="309">
        <v>4416</v>
      </c>
      <c r="P1648" s="685"/>
      <c r="Q1648" s="686">
        <v>44</v>
      </c>
      <c r="R1648" s="929">
        <v>44</v>
      </c>
      <c r="S1648" s="718">
        <v>5273</v>
      </c>
      <c r="T1648" s="719">
        <v>5273</v>
      </c>
      <c r="U1648" s="688"/>
      <c r="V1648" s="494">
        <v>120</v>
      </c>
    </row>
    <row r="1649" spans="2:23" ht="15">
      <c r="C1649" s="6" t="s">
        <v>2995</v>
      </c>
      <c r="D1649" s="15" t="s">
        <v>1178</v>
      </c>
      <c r="E1649" s="20" t="s">
        <v>2996</v>
      </c>
      <c r="F1649" s="150"/>
      <c r="G1649" s="24"/>
      <c r="H1649" s="151"/>
      <c r="I1649" s="152"/>
      <c r="J1649" s="151"/>
      <c r="K1649" s="153" t="s">
        <v>10</v>
      </c>
      <c r="L1649" s="39"/>
      <c r="M1649" s="39"/>
      <c r="N1649" s="39">
        <v>44774</v>
      </c>
      <c r="O1649" s="38">
        <v>4435</v>
      </c>
      <c r="P1649" s="15"/>
      <c r="Q1649" s="483"/>
      <c r="S1649" s="496"/>
      <c r="T1649" s="113"/>
      <c r="V1649" s="494">
        <v>120</v>
      </c>
      <c r="W1649"/>
    </row>
    <row r="1650" spans="2:23" ht="15.75">
      <c r="B1650" s="12" t="s">
        <v>1858</v>
      </c>
      <c r="C1650" s="6" t="s">
        <v>2995</v>
      </c>
      <c r="D1650" s="15" t="s">
        <v>1178</v>
      </c>
      <c r="E1650" s="24" t="s">
        <v>2989</v>
      </c>
      <c r="F1650" s="150">
        <v>148</v>
      </c>
      <c r="G1650" s="24" t="s">
        <v>2997</v>
      </c>
      <c r="H1650" s="67">
        <v>5</v>
      </c>
      <c r="I1650" s="68">
        <v>1</v>
      </c>
      <c r="J1650" s="67">
        <f>H1650*I1650</f>
        <v>5</v>
      </c>
      <c r="K1650" s="46">
        <v>18.55</v>
      </c>
      <c r="L1650" s="46">
        <f>K1650*J1650</f>
        <v>92.75</v>
      </c>
      <c r="M1650" s="162" t="s">
        <v>2219</v>
      </c>
      <c r="N1650" s="39">
        <v>44774</v>
      </c>
      <c r="O1650" s="38">
        <v>4435</v>
      </c>
      <c r="P1650" s="46">
        <f>K1650*(VLOOKUP(B1650,$C$2:$F$6,3,FALSE))</f>
        <v>17.437000000000001</v>
      </c>
      <c r="Q1650" s="483">
        <v>17.440000000000001</v>
      </c>
      <c r="R1650" s="704">
        <f>Q1650*J1650</f>
        <v>87.2</v>
      </c>
      <c r="S1650" s="532">
        <v>1760</v>
      </c>
      <c r="T1650" s="567">
        <f>S1650*J1650</f>
        <v>8800</v>
      </c>
      <c r="V1650" s="494">
        <v>120</v>
      </c>
      <c r="W1650"/>
    </row>
    <row r="1651" spans="2:23" ht="15.75">
      <c r="B1651" s="12" t="s">
        <v>1858</v>
      </c>
      <c r="C1651" s="6" t="s">
        <v>2995</v>
      </c>
      <c r="D1651" s="15" t="s">
        <v>1178</v>
      </c>
      <c r="E1651" s="24" t="s">
        <v>2989</v>
      </c>
      <c r="F1651" s="150">
        <v>148</v>
      </c>
      <c r="G1651" s="24" t="s">
        <v>3000</v>
      </c>
      <c r="H1651" s="67">
        <v>1</v>
      </c>
      <c r="I1651" s="68">
        <v>1</v>
      </c>
      <c r="J1651" s="67">
        <f>H1651*I1651</f>
        <v>1</v>
      </c>
      <c r="K1651" s="46">
        <v>18.55</v>
      </c>
      <c r="L1651" s="46">
        <f>K1651*J1651</f>
        <v>18.55</v>
      </c>
      <c r="M1651" s="162" t="s">
        <v>2219</v>
      </c>
      <c r="N1651" s="39">
        <v>44774</v>
      </c>
      <c r="O1651" s="38">
        <v>4435</v>
      </c>
      <c r="P1651" s="46">
        <f>K1651*(VLOOKUP(B1651,$C$2:$F$6,3,FALSE))</f>
        <v>17.437000000000001</v>
      </c>
      <c r="Q1651" s="483">
        <v>17.440000000000001</v>
      </c>
      <c r="R1651" s="704">
        <f>Q1651*J1651</f>
        <v>17.440000000000001</v>
      </c>
      <c r="S1651" s="532">
        <v>1760</v>
      </c>
      <c r="T1651" s="567">
        <f>S1651*J1651</f>
        <v>1760</v>
      </c>
      <c r="V1651" s="494">
        <v>120</v>
      </c>
      <c r="W1651"/>
    </row>
    <row r="1652" spans="2:23" ht="15.75">
      <c r="B1652" s="12" t="s">
        <v>1858</v>
      </c>
      <c r="C1652" s="6" t="s">
        <v>2995</v>
      </c>
      <c r="D1652" s="15" t="s">
        <v>1178</v>
      </c>
      <c r="E1652" s="24" t="s">
        <v>2989</v>
      </c>
      <c r="F1652" s="150">
        <v>148</v>
      </c>
      <c r="G1652" s="24" t="s">
        <v>3001</v>
      </c>
      <c r="H1652" s="67">
        <v>1</v>
      </c>
      <c r="I1652" s="68">
        <v>1</v>
      </c>
      <c r="J1652" s="67">
        <f>H1652*I1652</f>
        <v>1</v>
      </c>
      <c r="K1652" s="46">
        <v>18.55</v>
      </c>
      <c r="L1652" s="46">
        <f>K1652*J1652</f>
        <v>18.55</v>
      </c>
      <c r="M1652" s="162" t="s">
        <v>2219</v>
      </c>
      <c r="N1652" s="39">
        <v>44774</v>
      </c>
      <c r="O1652" s="38">
        <v>4435</v>
      </c>
      <c r="P1652" s="46">
        <f>K1652*(VLOOKUP(B1652,$C$2:$F$6,3,FALSE))</f>
        <v>17.437000000000001</v>
      </c>
      <c r="Q1652" s="483">
        <v>17.440000000000001</v>
      </c>
      <c r="R1652" s="704">
        <f>Q1652*J1652</f>
        <v>17.440000000000001</v>
      </c>
      <c r="S1652" s="532">
        <v>1760</v>
      </c>
      <c r="T1652" s="567">
        <f>S1652*J1652</f>
        <v>1760</v>
      </c>
      <c r="V1652" s="494">
        <v>120</v>
      </c>
      <c r="W1652"/>
    </row>
    <row r="1653" spans="2:23" s="7" customFormat="1" ht="15.95" customHeight="1">
      <c r="B1653" s="12"/>
      <c r="C1653" s="6" t="s">
        <v>2995</v>
      </c>
      <c r="D1653" s="15" t="s">
        <v>1178</v>
      </c>
      <c r="E1653" s="24"/>
      <c r="F1653" s="138"/>
      <c r="G1653" s="44" t="s">
        <v>1075</v>
      </c>
      <c r="H1653" s="8"/>
      <c r="I1653" s="41"/>
      <c r="J1653" s="45">
        <v>3</v>
      </c>
      <c r="K1653" s="46">
        <v>25</v>
      </c>
      <c r="L1653" s="46">
        <f>K1653*J1653</f>
        <v>75</v>
      </c>
      <c r="M1653" s="39"/>
      <c r="N1653" s="39">
        <v>44774</v>
      </c>
      <c r="O1653" s="38">
        <v>4435</v>
      </c>
      <c r="P1653" s="6"/>
      <c r="Q1653" s="483">
        <v>75</v>
      </c>
      <c r="R1653" s="704">
        <v>75</v>
      </c>
      <c r="S1653" s="489">
        <v>1500</v>
      </c>
      <c r="T1653" s="113">
        <f>S1653*J1653</f>
        <v>4500</v>
      </c>
      <c r="U1653" s="501"/>
      <c r="V1653" s="494">
        <v>120</v>
      </c>
    </row>
    <row r="1654" spans="2:23" s="7" customFormat="1" ht="15.95" customHeight="1">
      <c r="B1654" s="12"/>
      <c r="C1654" s="6" t="s">
        <v>2995</v>
      </c>
      <c r="D1654" s="15" t="s">
        <v>1178</v>
      </c>
      <c r="E1654" s="24"/>
      <c r="F1654" s="138"/>
      <c r="G1654" s="44" t="s">
        <v>1993</v>
      </c>
      <c r="H1654" s="8"/>
      <c r="I1654" s="41"/>
      <c r="J1654" s="45">
        <v>1</v>
      </c>
      <c r="K1654" s="46">
        <v>12</v>
      </c>
      <c r="L1654" s="46">
        <f>K1654*J1654</f>
        <v>12</v>
      </c>
      <c r="M1654" s="39"/>
      <c r="N1654" s="39">
        <v>44774</v>
      </c>
      <c r="O1654" s="38">
        <v>4435</v>
      </c>
      <c r="P1654" s="6"/>
      <c r="Q1654" s="483">
        <v>12</v>
      </c>
      <c r="R1654" s="704">
        <f>Q1654*J1654</f>
        <v>12</v>
      </c>
      <c r="S1654" s="489">
        <v>0</v>
      </c>
      <c r="T1654" s="113">
        <f>S1654*J1654</f>
        <v>0</v>
      </c>
      <c r="U1654" s="501"/>
      <c r="V1654" s="494">
        <v>120</v>
      </c>
    </row>
    <row r="1655" spans="2:23" s="314" customFormat="1" ht="15.6" customHeight="1">
      <c r="B1655" s="313"/>
      <c r="C1655" s="302" t="s">
        <v>2995</v>
      </c>
      <c r="D1655" s="303" t="s">
        <v>1178</v>
      </c>
      <c r="E1655" s="304"/>
      <c r="F1655" s="305"/>
      <c r="G1655" s="305" t="s">
        <v>1227</v>
      </c>
      <c r="H1655" s="307" t="s">
        <v>1228</v>
      </c>
      <c r="I1655" s="308"/>
      <c r="J1655" s="306"/>
      <c r="K1655" s="315">
        <v>0</v>
      </c>
      <c r="L1655" s="310"/>
      <c r="M1655" s="310"/>
      <c r="N1655" s="310">
        <v>44774</v>
      </c>
      <c r="O1655" s="309">
        <v>4435</v>
      </c>
      <c r="P1655" s="302"/>
      <c r="Q1655" s="485">
        <v>0</v>
      </c>
      <c r="S1655" s="535">
        <v>0</v>
      </c>
      <c r="T1655" s="322">
        <v>0</v>
      </c>
      <c r="U1655" s="515"/>
      <c r="V1655" s="494">
        <v>120</v>
      </c>
    </row>
    <row r="1656" spans="2:23" ht="15" customHeight="1">
      <c r="C1656" s="6" t="s">
        <v>3004</v>
      </c>
      <c r="D1656" s="15" t="s">
        <v>3005</v>
      </c>
      <c r="E1656" s="20" t="s">
        <v>1639</v>
      </c>
      <c r="F1656" s="26"/>
      <c r="G1656" s="24"/>
      <c r="H1656" s="16"/>
      <c r="I1656" s="68"/>
      <c r="J1656" s="67"/>
      <c r="K1656" s="153" t="s">
        <v>10</v>
      </c>
      <c r="L1656" s="39"/>
      <c r="M1656" s="39"/>
      <c r="N1656" s="39">
        <v>44778</v>
      </c>
      <c r="O1656" s="38">
        <v>4451</v>
      </c>
      <c r="P1656" s="6" t="s">
        <v>23</v>
      </c>
      <c r="Q1656" s="481"/>
      <c r="S1656" s="489"/>
      <c r="T1656" s="113"/>
      <c r="U1656" s="500"/>
      <c r="V1656" s="494">
        <v>120</v>
      </c>
      <c r="W1656"/>
    </row>
    <row r="1657" spans="2:23" ht="15.75">
      <c r="B1657" s="28" t="s">
        <v>1856</v>
      </c>
      <c r="C1657" s="6" t="s">
        <v>3004</v>
      </c>
      <c r="D1657" s="15" t="s">
        <v>3005</v>
      </c>
      <c r="E1657" s="24" t="s">
        <v>1264</v>
      </c>
      <c r="F1657" s="26" t="s">
        <v>19</v>
      </c>
      <c r="G1657" s="24" t="s">
        <v>2998</v>
      </c>
      <c r="H1657" s="67">
        <v>20</v>
      </c>
      <c r="I1657" s="68">
        <v>3</v>
      </c>
      <c r="J1657" s="67">
        <f>H1657*I1657</f>
        <v>60</v>
      </c>
      <c r="K1657" s="25">
        <v>1.71</v>
      </c>
      <c r="L1657" s="46">
        <f>K1657*J1657</f>
        <v>102.6</v>
      </c>
      <c r="M1657" s="162" t="s">
        <v>2219</v>
      </c>
      <c r="N1657" s="39">
        <v>44778</v>
      </c>
      <c r="O1657" s="38">
        <v>4451</v>
      </c>
      <c r="P1657" s="25">
        <f>K1657*0.88</f>
        <v>1.5047999999999999</v>
      </c>
      <c r="Q1657" s="483">
        <v>1.5</v>
      </c>
      <c r="R1657" s="704">
        <f>Q1657*J1657</f>
        <v>90</v>
      </c>
      <c r="S1657" s="489">
        <v>50</v>
      </c>
      <c r="T1657" s="567">
        <f>S1657*J1657</f>
        <v>3000</v>
      </c>
      <c r="U1657" s="1139" t="s">
        <v>2999</v>
      </c>
      <c r="V1657" s="494">
        <v>120</v>
      </c>
      <c r="W1657"/>
    </row>
    <row r="1658" spans="2:23" s="7" customFormat="1" ht="17.25" customHeight="1">
      <c r="B1658" s="12"/>
      <c r="C1658" s="6" t="s">
        <v>3004</v>
      </c>
      <c r="D1658" s="15" t="s">
        <v>3005</v>
      </c>
      <c r="E1658" s="238"/>
      <c r="F1658" s="44"/>
      <c r="G1658" s="44" t="s">
        <v>1993</v>
      </c>
      <c r="H1658" s="8"/>
      <c r="I1658" s="152" ph="1"/>
      <c r="J1658" s="45">
        <v>1</v>
      </c>
      <c r="K1658" s="46">
        <v>12</v>
      </c>
      <c r="L1658" s="46">
        <f>K1658*J1658</f>
        <v>12</v>
      </c>
      <c r="M1658" s="112"/>
      <c r="N1658" s="39">
        <v>44778</v>
      </c>
      <c r="O1658" s="38">
        <v>4451</v>
      </c>
      <c r="P1658" s="6"/>
      <c r="Q1658" s="483">
        <v>12</v>
      </c>
      <c r="R1658" s="704">
        <f>Q1658*J1658</f>
        <v>12</v>
      </c>
      <c r="S1658" s="489">
        <v>550</v>
      </c>
      <c r="T1658" s="567">
        <f>S1658*J1658</f>
        <v>550</v>
      </c>
      <c r="U1658" s="501"/>
      <c r="V1658" s="494">
        <v>120</v>
      </c>
    </row>
    <row r="1659" spans="2:23" s="314" customFormat="1" ht="15">
      <c r="B1659" s="313"/>
      <c r="C1659" s="302" t="s">
        <v>3004</v>
      </c>
      <c r="D1659" s="303" t="s">
        <v>3005</v>
      </c>
      <c r="E1659" s="304"/>
      <c r="F1659" s="305"/>
      <c r="G1659" s="305" t="s">
        <v>1227</v>
      </c>
      <c r="H1659" s="307" t="s">
        <v>1228</v>
      </c>
      <c r="I1659" s="308"/>
      <c r="J1659" s="306"/>
      <c r="K1659" s="315">
        <v>0</v>
      </c>
      <c r="L1659" s="310"/>
      <c r="M1659" s="310"/>
      <c r="N1659" s="310">
        <v>44778</v>
      </c>
      <c r="O1659" s="309">
        <v>4451</v>
      </c>
      <c r="P1659" s="302"/>
      <c r="Q1659" s="485">
        <v>0</v>
      </c>
      <c r="S1659" s="535">
        <v>0</v>
      </c>
      <c r="T1659" s="322">
        <v>0</v>
      </c>
      <c r="U1659" s="515"/>
      <c r="V1659" s="494">
        <v>120</v>
      </c>
    </row>
    <row r="1660" spans="2:23" s="7" customFormat="1" ht="15">
      <c r="B1660" s="12"/>
      <c r="C1660" s="6" t="s">
        <v>3002</v>
      </c>
      <c r="D1660" s="15" t="s">
        <v>1214</v>
      </c>
      <c r="E1660" s="20" t="s">
        <v>177</v>
      </c>
      <c r="F1660" s="26"/>
      <c r="G1660" s="24"/>
      <c r="H1660" s="67"/>
      <c r="I1660" s="68"/>
      <c r="J1660" s="67"/>
      <c r="K1660" s="10" t="s">
        <v>10</v>
      </c>
      <c r="L1660" s="39"/>
      <c r="M1660" s="39"/>
      <c r="N1660" s="39">
        <v>44771</v>
      </c>
      <c r="O1660" s="38">
        <v>4440</v>
      </c>
      <c r="P1660" s="6" t="s">
        <v>3</v>
      </c>
      <c r="Q1660" s="481"/>
      <c r="S1660" s="489"/>
      <c r="T1660" s="113"/>
      <c r="U1660" s="500"/>
      <c r="V1660" s="494">
        <v>120</v>
      </c>
    </row>
    <row r="1661" spans="2:23" s="7" customFormat="1" ht="15" customHeight="1">
      <c r="B1661" s="12" t="s">
        <v>1856</v>
      </c>
      <c r="C1661" s="6" t="s">
        <v>3002</v>
      </c>
      <c r="D1661" s="15" t="s">
        <v>1214</v>
      </c>
      <c r="E1661" s="24">
        <v>12701</v>
      </c>
      <c r="F1661" s="26">
        <v>9</v>
      </c>
      <c r="G1661" s="24" t="s">
        <v>294</v>
      </c>
      <c r="H1661" s="67">
        <v>10</v>
      </c>
      <c r="I1661" s="68">
        <v>40</v>
      </c>
      <c r="J1661" s="8">
        <f>H1661*I1661</f>
        <v>400</v>
      </c>
      <c r="K1661" s="25">
        <v>0.79</v>
      </c>
      <c r="L1661" s="46">
        <f>K1661*J1661</f>
        <v>316</v>
      </c>
      <c r="M1661" s="162" t="s">
        <v>2219</v>
      </c>
      <c r="N1661" s="39">
        <v>44771</v>
      </c>
      <c r="O1661" s="38">
        <v>4440</v>
      </c>
      <c r="P1661" s="46">
        <f>K1661*(VLOOKUP(B1661,$C$2:$F$6,3,FALSE))</f>
        <v>0.69520000000000004</v>
      </c>
      <c r="Q1661" s="482">
        <v>0.7</v>
      </c>
      <c r="R1661" s="704">
        <f>Q1661*J1661</f>
        <v>280</v>
      </c>
      <c r="S1661" s="489">
        <v>41.6</v>
      </c>
      <c r="T1661" s="113">
        <f>S1661*J1661</f>
        <v>16640</v>
      </c>
      <c r="U1661" s="1597" t="s">
        <v>3003</v>
      </c>
      <c r="V1661" s="494">
        <v>120</v>
      </c>
    </row>
    <row r="1662" spans="2:23" s="7" customFormat="1" ht="15.95" customHeight="1">
      <c r="B1662" s="12"/>
      <c r="C1662" s="6" t="s">
        <v>3002</v>
      </c>
      <c r="D1662" s="15" t="s">
        <v>1214</v>
      </c>
      <c r="E1662" s="24"/>
      <c r="F1662" s="138"/>
      <c r="G1662" s="44" t="s">
        <v>1993</v>
      </c>
      <c r="H1662" s="8"/>
      <c r="I1662" s="41"/>
      <c r="J1662" s="45">
        <v>1</v>
      </c>
      <c r="K1662" s="46">
        <v>12</v>
      </c>
      <c r="L1662" s="46">
        <f>K1662*J1662</f>
        <v>12</v>
      </c>
      <c r="M1662" s="39"/>
      <c r="N1662" s="39">
        <v>44771</v>
      </c>
      <c r="O1662" s="38">
        <v>4440</v>
      </c>
      <c r="P1662" s="6"/>
      <c r="Q1662" s="483">
        <v>12</v>
      </c>
      <c r="R1662" s="704">
        <f>Q1662*J1662</f>
        <v>12</v>
      </c>
      <c r="S1662" s="489">
        <v>0</v>
      </c>
      <c r="T1662" s="113">
        <f>S1662*J1662</f>
        <v>0</v>
      </c>
      <c r="U1662" s="501"/>
      <c r="V1662" s="494">
        <v>120</v>
      </c>
    </row>
    <row r="1663" spans="2:23" s="314" customFormat="1" ht="15.6" customHeight="1">
      <c r="B1663" s="313"/>
      <c r="C1663" s="302" t="s">
        <v>3002</v>
      </c>
      <c r="D1663" s="303" t="s">
        <v>1214</v>
      </c>
      <c r="E1663" s="304"/>
      <c r="F1663" s="305"/>
      <c r="G1663" s="305" t="s">
        <v>1227</v>
      </c>
      <c r="H1663" s="307" t="s">
        <v>1228</v>
      </c>
      <c r="I1663" s="308"/>
      <c r="J1663" s="306"/>
      <c r="K1663" s="315">
        <v>0</v>
      </c>
      <c r="L1663" s="310"/>
      <c r="M1663" s="310"/>
      <c r="N1663" s="310">
        <v>44771</v>
      </c>
      <c r="O1663" s="309">
        <v>4440</v>
      </c>
      <c r="P1663" s="302"/>
      <c r="Q1663" s="485">
        <v>0</v>
      </c>
      <c r="S1663" s="535">
        <v>0</v>
      </c>
      <c r="T1663" s="322">
        <v>0</v>
      </c>
      <c r="U1663" s="515"/>
      <c r="V1663" s="494">
        <v>120</v>
      </c>
    </row>
    <row r="1664" spans="2:23" s="7" customFormat="1" ht="18" customHeight="1">
      <c r="B1664" s="12"/>
      <c r="C1664" s="6" t="s">
        <v>3006</v>
      </c>
      <c r="D1664" s="15" t="s">
        <v>586</v>
      </c>
      <c r="E1664" s="20" t="s">
        <v>1003</v>
      </c>
      <c r="F1664" s="24"/>
      <c r="G1664" s="44"/>
      <c r="H1664" s="151"/>
      <c r="I1664" s="151"/>
      <c r="J1664" s="151"/>
      <c r="K1664" s="153" t="s">
        <v>10</v>
      </c>
      <c r="L1664" s="39"/>
      <c r="M1664" s="39"/>
      <c r="N1664" s="39">
        <v>44776</v>
      </c>
      <c r="O1664" s="38">
        <v>4456</v>
      </c>
      <c r="P1664" s="6"/>
      <c r="Q1664" s="411"/>
      <c r="S1664" s="489"/>
      <c r="T1664" s="113"/>
      <c r="U1664" s="501"/>
      <c r="V1664" s="494">
        <v>120</v>
      </c>
    </row>
    <row r="1665" spans="2:23" s="7" customFormat="1" ht="15.95" customHeight="1">
      <c r="B1665" s="12" t="s">
        <v>1856</v>
      </c>
      <c r="C1665" s="6" t="s">
        <v>3006</v>
      </c>
      <c r="D1665" s="15" t="s">
        <v>586</v>
      </c>
      <c r="E1665" s="24" t="s">
        <v>1801</v>
      </c>
      <c r="F1665" s="44"/>
      <c r="G1665" s="44" t="s">
        <v>78</v>
      </c>
      <c r="H1665" s="8">
        <v>14</v>
      </c>
      <c r="I1665" s="41">
        <v>17</v>
      </c>
      <c r="J1665" s="67">
        <f>H1665*I1665</f>
        <v>238</v>
      </c>
      <c r="K1665" s="46">
        <v>1.6</v>
      </c>
      <c r="L1665" s="46">
        <f>K1665*J1665</f>
        <v>380.8</v>
      </c>
      <c r="M1665" s="162" t="s">
        <v>2219</v>
      </c>
      <c r="N1665" s="39">
        <v>44776</v>
      </c>
      <c r="O1665" s="38">
        <v>4456</v>
      </c>
      <c r="P1665" s="180">
        <f>K1665*(VLOOKUP(B1665,$C$2:$F$6,3,FALSE))</f>
        <v>1.4080000000000001</v>
      </c>
      <c r="Q1665" s="483">
        <v>1.41</v>
      </c>
      <c r="R1665" s="704">
        <f>Q1665*J1665</f>
        <v>335.58</v>
      </c>
      <c r="S1665" s="489">
        <v>86</v>
      </c>
      <c r="T1665" s="113">
        <f>S1665*J1665</f>
        <v>20468</v>
      </c>
      <c r="U1665" s="517"/>
      <c r="V1665" s="494">
        <v>120</v>
      </c>
    </row>
    <row r="1666" spans="2:23" s="7" customFormat="1" ht="15.95" customHeight="1">
      <c r="B1666" s="12" t="s">
        <v>1856</v>
      </c>
      <c r="C1666" s="6" t="s">
        <v>3006</v>
      </c>
      <c r="D1666" s="15" t="s">
        <v>586</v>
      </c>
      <c r="E1666" s="24" t="s">
        <v>3007</v>
      </c>
      <c r="F1666" s="44"/>
      <c r="G1666" s="44" t="s">
        <v>56</v>
      </c>
      <c r="H1666" s="198">
        <v>13.5</v>
      </c>
      <c r="I1666" s="41">
        <v>4</v>
      </c>
      <c r="J1666" s="19">
        <f>I1666*H1666</f>
        <v>54</v>
      </c>
      <c r="K1666" s="46">
        <v>1.86</v>
      </c>
      <c r="L1666" s="46">
        <f>K1666*J1666</f>
        <v>100.44000000000001</v>
      </c>
      <c r="M1666" s="162" t="s">
        <v>2219</v>
      </c>
      <c r="N1666" s="39">
        <v>44776</v>
      </c>
      <c r="O1666" s="38">
        <v>4456</v>
      </c>
      <c r="P1666" s="46">
        <f>K1666*(VLOOKUP(B1666,$C$2:$F$6,3,FALSE))</f>
        <v>1.6368</v>
      </c>
      <c r="Q1666" s="483">
        <v>1.64</v>
      </c>
      <c r="R1666" s="704">
        <f>Q1666*J1666</f>
        <v>88.559999999999988</v>
      </c>
      <c r="S1666" s="489">
        <v>100</v>
      </c>
      <c r="T1666" s="567">
        <f>S1666*J1666</f>
        <v>5400</v>
      </c>
      <c r="U1666" s="517"/>
      <c r="V1666" s="494">
        <v>120</v>
      </c>
    </row>
    <row r="1667" spans="2:23" ht="15.95" customHeight="1">
      <c r="B1667" s="12" t="s">
        <v>1862</v>
      </c>
      <c r="C1667" s="6" t="s">
        <v>3006</v>
      </c>
      <c r="D1667" s="15" t="s">
        <v>586</v>
      </c>
      <c r="E1667" s="24"/>
      <c r="F1667" s="138"/>
      <c r="G1667" s="44" t="s">
        <v>1993</v>
      </c>
      <c r="H1667" s="8"/>
      <c r="I1667" s="41"/>
      <c r="J1667" s="45">
        <v>1</v>
      </c>
      <c r="K1667" s="46">
        <v>12</v>
      </c>
      <c r="L1667" s="46">
        <f>K1667*J1667</f>
        <v>12</v>
      </c>
      <c r="M1667" s="112"/>
      <c r="N1667" s="39">
        <v>44776</v>
      </c>
      <c r="O1667" s="38">
        <v>4456</v>
      </c>
      <c r="P1667" s="46">
        <f>K1667*(VLOOKUP(B1667,$C$2:$F$6,3,FALSE))</f>
        <v>12</v>
      </c>
      <c r="Q1667" s="483">
        <v>12</v>
      </c>
      <c r="R1667" s="704">
        <v>12</v>
      </c>
      <c r="S1667" s="489">
        <v>0</v>
      </c>
      <c r="T1667" s="113">
        <f>S1667*J1667</f>
        <v>0</v>
      </c>
      <c r="U1667" s="511"/>
      <c r="V1667" s="494">
        <v>120</v>
      </c>
      <c r="W1667"/>
    </row>
    <row r="1668" spans="2:23" s="7" customFormat="1" ht="15.95" customHeight="1">
      <c r="B1668" s="12" t="s">
        <v>1856</v>
      </c>
      <c r="C1668" s="6" t="s">
        <v>3006</v>
      </c>
      <c r="D1668" s="15" t="s">
        <v>586</v>
      </c>
      <c r="E1668" s="24" t="s">
        <v>1684</v>
      </c>
      <c r="F1668" s="44"/>
      <c r="G1668" s="44" t="s">
        <v>167</v>
      </c>
      <c r="H1668" s="8">
        <v>14</v>
      </c>
      <c r="I1668" s="41">
        <v>6</v>
      </c>
      <c r="J1668" s="67">
        <f>I1668*H1668</f>
        <v>84</v>
      </c>
      <c r="K1668" s="46">
        <v>1.02</v>
      </c>
      <c r="L1668" s="46">
        <f>K1668*J1668</f>
        <v>85.68</v>
      </c>
      <c r="M1668" s="162" t="s">
        <v>2219</v>
      </c>
      <c r="N1668" s="39">
        <v>44781</v>
      </c>
      <c r="O1668" s="38">
        <v>4469</v>
      </c>
      <c r="P1668" s="46">
        <f>K1668*(VLOOKUP(B1668,$C$2:$F$6,3,FALSE))</f>
        <v>0.89760000000000006</v>
      </c>
      <c r="Q1668" s="483">
        <v>0.9</v>
      </c>
      <c r="R1668" s="704">
        <f>Q1668*J1668</f>
        <v>75.600000000000009</v>
      </c>
      <c r="S1668" s="489">
        <v>55</v>
      </c>
      <c r="T1668" s="567">
        <f>S1668*J1668</f>
        <v>4620</v>
      </c>
      <c r="U1668" s="517"/>
      <c r="V1668" s="494">
        <v>120</v>
      </c>
    </row>
    <row r="1669" spans="2:23" ht="15.95" customHeight="1">
      <c r="B1669" s="12" t="s">
        <v>1862</v>
      </c>
      <c r="C1669" s="6" t="s">
        <v>3006</v>
      </c>
      <c r="D1669" s="15" t="s">
        <v>586</v>
      </c>
      <c r="E1669" s="24"/>
      <c r="F1669" s="138"/>
      <c r="G1669" s="44" t="s">
        <v>2124</v>
      </c>
      <c r="H1669" s="8"/>
      <c r="I1669" s="41"/>
      <c r="J1669" s="45">
        <v>1</v>
      </c>
      <c r="K1669" s="46">
        <v>125</v>
      </c>
      <c r="L1669" s="46">
        <f>K1669*J1669</f>
        <v>125</v>
      </c>
      <c r="M1669" s="112"/>
      <c r="N1669" s="39">
        <v>44781</v>
      </c>
      <c r="O1669" s="38">
        <v>4469</v>
      </c>
      <c r="P1669" s="46">
        <f>K1669*(VLOOKUP(B1669,$C$2:$F$6,3,FALSE))</f>
        <v>125</v>
      </c>
      <c r="Q1669" s="483">
        <v>125</v>
      </c>
      <c r="R1669" s="704">
        <v>125</v>
      </c>
      <c r="S1669" s="489">
        <v>9000</v>
      </c>
      <c r="T1669" s="113">
        <f>S1669*J1669</f>
        <v>9000</v>
      </c>
      <c r="U1669" s="511"/>
      <c r="V1669" s="494">
        <v>120</v>
      </c>
      <c r="W1669"/>
    </row>
    <row r="1670" spans="2:23" s="314" customFormat="1" ht="15">
      <c r="B1670" s="313"/>
      <c r="C1670" s="302" t="s">
        <v>3006</v>
      </c>
      <c r="D1670" s="303" t="s">
        <v>586</v>
      </c>
      <c r="E1670" s="304"/>
      <c r="F1670" s="305"/>
      <c r="G1670" s="305" t="s">
        <v>1227</v>
      </c>
      <c r="H1670" s="307" t="s">
        <v>1228</v>
      </c>
      <c r="I1670" s="308"/>
      <c r="J1670" s="306"/>
      <c r="K1670" s="315">
        <v>0</v>
      </c>
      <c r="L1670" s="310"/>
      <c r="M1670" s="310"/>
      <c r="N1670" s="310">
        <v>44781</v>
      </c>
      <c r="O1670" s="309">
        <v>4469</v>
      </c>
      <c r="P1670" s="302"/>
      <c r="Q1670" s="485">
        <v>0</v>
      </c>
      <c r="S1670" s="536">
        <v>0</v>
      </c>
      <c r="T1670" s="322">
        <v>0</v>
      </c>
      <c r="U1670" s="515"/>
      <c r="V1670" s="494">
        <v>120</v>
      </c>
    </row>
    <row r="1671" spans="2:23" s="7" customFormat="1" ht="18" customHeight="1">
      <c r="B1671" s="12"/>
      <c r="C1671" s="6" t="s">
        <v>3012</v>
      </c>
      <c r="D1671" s="15" t="s">
        <v>2899</v>
      </c>
      <c r="E1671" s="7" t="s">
        <v>2306</v>
      </c>
      <c r="F1671" s="700"/>
      <c r="G1671" s="640"/>
      <c r="H1671" s="641"/>
      <c r="I1671" s="701"/>
      <c r="J1671" s="702"/>
      <c r="K1671" s="153" t="s">
        <v>10</v>
      </c>
      <c r="L1671" s="219"/>
      <c r="M1671" s="11"/>
      <c r="N1671" s="39">
        <v>44776</v>
      </c>
      <c r="O1671" s="38">
        <v>4459</v>
      </c>
      <c r="P1671" s="6"/>
      <c r="Q1671" s="703"/>
      <c r="U1671" s="46"/>
      <c r="V1671" s="494">
        <v>120</v>
      </c>
    </row>
    <row r="1672" spans="2:23" ht="18" customHeight="1">
      <c r="B1672" s="28" t="s">
        <v>1856</v>
      </c>
      <c r="C1672" s="6" t="s">
        <v>3012</v>
      </c>
      <c r="D1672" s="15" t="s">
        <v>2899</v>
      </c>
      <c r="E1672" s="24" t="s">
        <v>18</v>
      </c>
      <c r="F1672" s="44">
        <v>30</v>
      </c>
      <c r="G1672" s="24" t="s">
        <v>137</v>
      </c>
      <c r="H1672" s="151">
        <v>30</v>
      </c>
      <c r="I1672" s="152">
        <v>1</v>
      </c>
      <c r="J1672" s="67">
        <f>H1672*I1672</f>
        <v>30</v>
      </c>
      <c r="K1672" s="46">
        <v>4.26</v>
      </c>
      <c r="L1672" s="46">
        <f>K1672*J1672</f>
        <v>127.8</v>
      </c>
      <c r="M1672" s="162" t="s">
        <v>2219</v>
      </c>
      <c r="N1672" s="39">
        <v>44776</v>
      </c>
      <c r="O1672" s="38">
        <v>4459</v>
      </c>
      <c r="P1672" s="46">
        <f>K1672*(VLOOKUP(B1672,$C$2:$F$6,3,FALSE))</f>
        <v>3.7487999999999997</v>
      </c>
      <c r="Q1672" s="482">
        <v>3.75</v>
      </c>
      <c r="R1672" s="704">
        <f>Q1672*J1672</f>
        <v>112.5</v>
      </c>
      <c r="S1672" s="489">
        <v>230</v>
      </c>
      <c r="T1672" s="113">
        <f>S1672*J1672</f>
        <v>6900</v>
      </c>
      <c r="U1672" s="507"/>
      <c r="V1672" s="494">
        <v>120</v>
      </c>
      <c r="W1672"/>
    </row>
    <row r="1673" spans="2:23" ht="18" customHeight="1">
      <c r="B1673" s="28" t="s">
        <v>1856</v>
      </c>
      <c r="C1673" s="6" t="s">
        <v>3012</v>
      </c>
      <c r="D1673" s="15" t="s">
        <v>2899</v>
      </c>
      <c r="E1673" s="24" t="s">
        <v>18</v>
      </c>
      <c r="F1673" s="44">
        <v>30</v>
      </c>
      <c r="G1673" s="24" t="s">
        <v>2727</v>
      </c>
      <c r="H1673" s="151">
        <v>30</v>
      </c>
      <c r="I1673" s="152">
        <v>1</v>
      </c>
      <c r="J1673" s="67">
        <f>H1673*I1673</f>
        <v>30</v>
      </c>
      <c r="K1673" s="46">
        <v>4.26</v>
      </c>
      <c r="L1673" s="46">
        <f>K1673*J1673</f>
        <v>127.8</v>
      </c>
      <c r="M1673" s="162" t="s">
        <v>2219</v>
      </c>
      <c r="N1673" s="39">
        <v>44776</v>
      </c>
      <c r="O1673" s="38">
        <v>4459</v>
      </c>
      <c r="P1673" s="46">
        <f>K1673*(VLOOKUP(B1673,$C$2:$F$6,3,FALSE))</f>
        <v>3.7487999999999997</v>
      </c>
      <c r="Q1673" s="482">
        <v>3.75</v>
      </c>
      <c r="R1673" s="704">
        <f>Q1673*J1673</f>
        <v>112.5</v>
      </c>
      <c r="S1673" s="489">
        <v>230</v>
      </c>
      <c r="T1673" s="113">
        <f>S1673*J1673</f>
        <v>6900</v>
      </c>
      <c r="U1673" s="507"/>
      <c r="V1673" s="494">
        <v>120</v>
      </c>
      <c r="W1673"/>
    </row>
    <row r="1674" spans="2:23" s="314" customFormat="1" ht="15">
      <c r="B1674" s="313"/>
      <c r="C1674" s="302" t="s">
        <v>3012</v>
      </c>
      <c r="D1674" s="303" t="s">
        <v>2899</v>
      </c>
      <c r="E1674" s="371"/>
      <c r="F1674" s="305"/>
      <c r="G1674" s="305" t="s">
        <v>1227</v>
      </c>
      <c r="H1674" s="307" t="s">
        <v>1228</v>
      </c>
      <c r="I1674" s="308"/>
      <c r="J1674" s="306"/>
      <c r="K1674" s="315">
        <v>0</v>
      </c>
      <c r="L1674" s="310"/>
      <c r="M1674" s="310"/>
      <c r="N1674" s="310">
        <v>44776</v>
      </c>
      <c r="O1674" s="309">
        <v>4459</v>
      </c>
      <c r="P1674" s="302"/>
      <c r="Q1674" s="485">
        <v>0</v>
      </c>
      <c r="R1674" s="704">
        <v>0</v>
      </c>
      <c r="S1674" s="536">
        <v>0</v>
      </c>
      <c r="T1674" s="322">
        <v>0</v>
      </c>
      <c r="U1674" s="515"/>
      <c r="V1674" s="494">
        <v>120</v>
      </c>
    </row>
    <row r="1675" spans="2:23" s="7" customFormat="1" ht="18" customHeight="1">
      <c r="B1675" s="12"/>
      <c r="C1675" s="6" t="s">
        <v>3013</v>
      </c>
      <c r="D1675" s="15" t="s">
        <v>2928</v>
      </c>
      <c r="E1675" s="7" t="s">
        <v>2306</v>
      </c>
      <c r="F1675" s="700"/>
      <c r="G1675" s="640"/>
      <c r="H1675" s="641"/>
      <c r="I1675" s="701"/>
      <c r="J1675" s="702"/>
      <c r="K1675" s="153" t="s">
        <v>10</v>
      </c>
      <c r="L1675" s="219"/>
      <c r="M1675" s="11"/>
      <c r="N1675" s="39">
        <v>44781</v>
      </c>
      <c r="O1675" s="38">
        <v>4453</v>
      </c>
      <c r="P1675" s="6"/>
      <c r="Q1675" s="703"/>
      <c r="U1675" s="46"/>
      <c r="V1675" s="494">
        <v>120</v>
      </c>
    </row>
    <row r="1676" spans="2:23" ht="18" customHeight="1">
      <c r="B1676" s="28" t="s">
        <v>1856</v>
      </c>
      <c r="C1676" s="6" t="s">
        <v>3013</v>
      </c>
      <c r="D1676" s="15" t="s">
        <v>2928</v>
      </c>
      <c r="E1676" s="24" t="s">
        <v>18</v>
      </c>
      <c r="F1676" s="44">
        <v>30</v>
      </c>
      <c r="G1676" s="24" t="s">
        <v>137</v>
      </c>
      <c r="H1676" s="151">
        <v>30</v>
      </c>
      <c r="I1676" s="152">
        <v>13</v>
      </c>
      <c r="J1676" s="67">
        <f>H1676*I1676</f>
        <v>390</v>
      </c>
      <c r="K1676" s="46">
        <v>4.26</v>
      </c>
      <c r="L1676" s="46">
        <f>K1676*J1676</f>
        <v>1661.3999999999999</v>
      </c>
      <c r="M1676" s="162" t="s">
        <v>2219</v>
      </c>
      <c r="N1676" s="39">
        <v>44781</v>
      </c>
      <c r="O1676" s="38">
        <v>4453</v>
      </c>
      <c r="P1676" s="46">
        <f>K1676*(VLOOKUP(B1676,$C$2:$F$6,3,FALSE))</f>
        <v>3.7487999999999997</v>
      </c>
      <c r="Q1676" s="482">
        <v>3.75</v>
      </c>
      <c r="R1676" s="704">
        <f>Q1676*J1676</f>
        <v>1462.5</v>
      </c>
      <c r="S1676" s="489">
        <v>230</v>
      </c>
      <c r="T1676" s="113">
        <f>S1676*J1676</f>
        <v>89700</v>
      </c>
      <c r="U1676" s="507"/>
      <c r="V1676" s="494">
        <v>120</v>
      </c>
      <c r="W1676"/>
    </row>
    <row r="1677" spans="2:23" s="314" customFormat="1" ht="18" customHeight="1">
      <c r="B1677" s="313"/>
      <c r="C1677" s="302" t="s">
        <v>3016</v>
      </c>
      <c r="D1677" s="303" t="s">
        <v>2928</v>
      </c>
      <c r="E1677" s="371"/>
      <c r="F1677" s="305"/>
      <c r="G1677" s="305" t="s">
        <v>1227</v>
      </c>
      <c r="H1677" s="307" t="s">
        <v>1228</v>
      </c>
      <c r="I1677" s="308"/>
      <c r="J1677" s="306"/>
      <c r="K1677" s="315">
        <v>0</v>
      </c>
      <c r="L1677" s="310"/>
      <c r="M1677" s="310"/>
      <c r="N1677" s="310">
        <v>44781</v>
      </c>
      <c r="O1677" s="309">
        <v>4453</v>
      </c>
      <c r="P1677" s="302"/>
      <c r="Q1677" s="531">
        <v>0</v>
      </c>
      <c r="R1677" s="704">
        <v>0</v>
      </c>
      <c r="S1677" s="536">
        <v>0</v>
      </c>
      <c r="T1677" s="322">
        <v>0</v>
      </c>
      <c r="U1677" s="1115"/>
      <c r="V1677" s="494">
        <v>120</v>
      </c>
    </row>
    <row r="1678" spans="2:23" s="7" customFormat="1" ht="15" customHeight="1">
      <c r="B1678" s="12"/>
      <c r="C1678" s="6" t="s">
        <v>3019</v>
      </c>
      <c r="D1678" s="15" t="s">
        <v>3017</v>
      </c>
      <c r="E1678" s="20" t="s">
        <v>628</v>
      </c>
      <c r="F1678" s="26"/>
      <c r="G1678" s="24"/>
      <c r="H1678" s="67"/>
      <c r="I1678" s="68"/>
      <c r="J1678" s="67"/>
      <c r="K1678" s="17" t="s">
        <v>134</v>
      </c>
      <c r="L1678" s="39"/>
      <c r="M1678" s="39"/>
      <c r="N1678" s="39">
        <v>44782</v>
      </c>
      <c r="O1678" s="38">
        <v>4473</v>
      </c>
      <c r="P1678" s="179" t="s">
        <v>23</v>
      </c>
      <c r="Q1678" s="438" t="s">
        <v>959</v>
      </c>
      <c r="S1678" s="489"/>
      <c r="T1678" s="113"/>
      <c r="U1678" s="510"/>
      <c r="V1678" s="494">
        <v>120</v>
      </c>
    </row>
    <row r="1679" spans="2:23" s="7" customFormat="1" ht="18" customHeight="1">
      <c r="B1679" s="12" t="s">
        <v>1856</v>
      </c>
      <c r="C1679" s="6" t="s">
        <v>3019</v>
      </c>
      <c r="D1679" s="15" t="s">
        <v>3017</v>
      </c>
      <c r="E1679" s="24">
        <v>5291</v>
      </c>
      <c r="F1679" s="26">
        <v>8</v>
      </c>
      <c r="G1679" s="24" t="s">
        <v>499</v>
      </c>
      <c r="H1679" s="67">
        <v>50</v>
      </c>
      <c r="I1679" s="68">
        <v>6</v>
      </c>
      <c r="J1679" s="67">
        <f>H1679*I1679</f>
        <v>300</v>
      </c>
      <c r="K1679" s="46">
        <v>0.76</v>
      </c>
      <c r="L1679" s="46">
        <f>K1679*J1679</f>
        <v>228</v>
      </c>
      <c r="M1679" s="162" t="s">
        <v>2219</v>
      </c>
      <c r="N1679" s="39">
        <v>44782</v>
      </c>
      <c r="O1679" s="38">
        <v>4473</v>
      </c>
      <c r="P1679" s="180">
        <v>0.43</v>
      </c>
      <c r="Q1679" s="180">
        <v>0.43</v>
      </c>
      <c r="R1679" s="704">
        <f>Q1679*J1679</f>
        <v>129</v>
      </c>
      <c r="S1679" s="489">
        <v>26</v>
      </c>
      <c r="T1679" s="113">
        <f>S1679*J1679</f>
        <v>7800</v>
      </c>
      <c r="U1679" s="867"/>
      <c r="V1679" s="494">
        <v>120</v>
      </c>
    </row>
    <row r="1680" spans="2:23" ht="15.95" customHeight="1">
      <c r="C1680" s="6" t="s">
        <v>3019</v>
      </c>
      <c r="D1680" s="15" t="s">
        <v>3017</v>
      </c>
      <c r="E1680" s="24"/>
      <c r="F1680" s="138"/>
      <c r="G1680" s="44" t="s">
        <v>1993</v>
      </c>
      <c r="H1680" s="8"/>
      <c r="I1680" s="41"/>
      <c r="J1680" s="45">
        <v>1</v>
      </c>
      <c r="K1680" s="46">
        <v>0</v>
      </c>
      <c r="L1680" s="46">
        <f>K1680*J1680</f>
        <v>0</v>
      </c>
      <c r="M1680" s="112"/>
      <c r="N1680" s="39">
        <v>44782</v>
      </c>
      <c r="O1680" s="38">
        <v>4473</v>
      </c>
      <c r="P1680" s="179"/>
      <c r="Q1680" s="46">
        <v>0</v>
      </c>
      <c r="R1680" s="704">
        <v>0</v>
      </c>
      <c r="S1680" s="498">
        <v>850</v>
      </c>
      <c r="T1680" s="568">
        <f>S1680*J1680</f>
        <v>850</v>
      </c>
      <c r="U1680" s="511"/>
      <c r="V1680" s="494">
        <v>120</v>
      </c>
      <c r="W1680"/>
    </row>
    <row r="1681" spans="2:23" s="314" customFormat="1" ht="15">
      <c r="B1681" s="313"/>
      <c r="C1681" s="302" t="s">
        <v>3019</v>
      </c>
      <c r="D1681" s="303" t="s">
        <v>3017</v>
      </c>
      <c r="E1681" s="371"/>
      <c r="F1681" s="305"/>
      <c r="G1681" s="305" t="s">
        <v>1227</v>
      </c>
      <c r="H1681" s="307"/>
      <c r="I1681" s="308" t="s">
        <v>3018</v>
      </c>
      <c r="J1681" s="410">
        <v>300</v>
      </c>
      <c r="K1681" s="315">
        <v>81</v>
      </c>
      <c r="L1681" s="310"/>
      <c r="M1681" s="310"/>
      <c r="N1681" s="310">
        <v>44782</v>
      </c>
      <c r="O1681" s="309">
        <v>4473</v>
      </c>
      <c r="P1681" s="302"/>
      <c r="Q1681" s="315">
        <v>81</v>
      </c>
      <c r="R1681" s="315">
        <v>81</v>
      </c>
      <c r="S1681" s="1142">
        <v>6323</v>
      </c>
      <c r="T1681" s="1142">
        <v>6323</v>
      </c>
      <c r="U1681" s="1115"/>
      <c r="V1681" s="494">
        <v>120</v>
      </c>
    </row>
    <row r="1682" spans="2:23" s="7" customFormat="1" ht="15">
      <c r="B1682" s="12"/>
      <c r="C1682" s="6" t="s">
        <v>3020</v>
      </c>
      <c r="D1682" s="15" t="s">
        <v>983</v>
      </c>
      <c r="E1682" s="20" t="s">
        <v>3021</v>
      </c>
      <c r="F1682" s="26"/>
      <c r="G1682" s="24"/>
      <c r="H1682" s="67"/>
      <c r="I1682" s="68"/>
      <c r="J1682" s="67"/>
      <c r="K1682" s="17" t="s">
        <v>134</v>
      </c>
      <c r="L1682" s="39"/>
      <c r="M1682" s="39"/>
      <c r="N1682" s="39">
        <v>44791</v>
      </c>
      <c r="O1682" s="38">
        <v>4492</v>
      </c>
      <c r="P1682" s="6" t="s">
        <v>23</v>
      </c>
      <c r="Q1682" s="481"/>
      <c r="S1682" s="489"/>
      <c r="T1682" s="113"/>
      <c r="U1682" s="500"/>
      <c r="V1682" s="494">
        <v>120</v>
      </c>
    </row>
    <row r="1683" spans="2:23" s="7" customFormat="1" ht="15.75">
      <c r="B1683" s="12" t="s">
        <v>1858</v>
      </c>
      <c r="C1683" s="6" t="s">
        <v>3020</v>
      </c>
      <c r="D1683" s="15" t="s">
        <v>983</v>
      </c>
      <c r="E1683" s="24" t="s">
        <v>3022</v>
      </c>
      <c r="F1683" s="26" t="s">
        <v>3023</v>
      </c>
      <c r="G1683" s="24" t="s">
        <v>3024</v>
      </c>
      <c r="H1683" s="151">
        <v>60</v>
      </c>
      <c r="I1683" s="152">
        <v>1</v>
      </c>
      <c r="J1683" s="67">
        <f>H1683*I1683</f>
        <v>60</v>
      </c>
      <c r="K1683" s="25">
        <v>6.88</v>
      </c>
      <c r="L1683" s="46">
        <f>K1683*J1683</f>
        <v>412.8</v>
      </c>
      <c r="M1683" s="162" t="s">
        <v>2219</v>
      </c>
      <c r="N1683" s="39">
        <v>44791</v>
      </c>
      <c r="O1683" s="38">
        <v>4492</v>
      </c>
      <c r="P1683" s="46">
        <f>K1683*(VLOOKUP(B1683,$C$2:$F$6,3,FALSE))</f>
        <v>6.4671999999999992</v>
      </c>
      <c r="Q1683" s="482">
        <v>6.47</v>
      </c>
      <c r="R1683" s="704">
        <f>Q1683*J1683</f>
        <v>388.2</v>
      </c>
      <c r="S1683" s="489">
        <v>640</v>
      </c>
      <c r="T1683" s="567">
        <f>S1683*J1683</f>
        <v>38400</v>
      </c>
      <c r="U1683" s="500"/>
      <c r="V1683" s="494">
        <v>120</v>
      </c>
    </row>
    <row r="1684" spans="2:23" s="7" customFormat="1" ht="15.95" customHeight="1">
      <c r="B1684" s="12"/>
      <c r="C1684" s="6" t="s">
        <v>3020</v>
      </c>
      <c r="D1684" s="15" t="s">
        <v>983</v>
      </c>
      <c r="E1684" s="24"/>
      <c r="F1684" s="138"/>
      <c r="G1684" s="44" t="s">
        <v>1993</v>
      </c>
      <c r="H1684" s="8"/>
      <c r="I1684" s="41"/>
      <c r="J1684" s="45">
        <v>1</v>
      </c>
      <c r="K1684" s="46">
        <v>12</v>
      </c>
      <c r="L1684" s="46">
        <f>K1684*J1684</f>
        <v>12</v>
      </c>
      <c r="M1684" s="39"/>
      <c r="N1684" s="39">
        <v>44791</v>
      </c>
      <c r="O1684" s="38">
        <v>4492</v>
      </c>
      <c r="P1684" s="6"/>
      <c r="Q1684" s="483">
        <v>12</v>
      </c>
      <c r="R1684" s="704">
        <f>Q1684*J1684</f>
        <v>12</v>
      </c>
      <c r="S1684" s="489">
        <v>0</v>
      </c>
      <c r="T1684" s="113">
        <f>S1684*J1684</f>
        <v>0</v>
      </c>
      <c r="U1684" s="501"/>
      <c r="V1684" s="494">
        <v>120</v>
      </c>
    </row>
    <row r="1685" spans="2:23" s="314" customFormat="1" ht="15.75">
      <c r="B1685" s="313"/>
      <c r="C1685" s="302" t="s">
        <v>3020</v>
      </c>
      <c r="D1685" s="303" t="s">
        <v>983</v>
      </c>
      <c r="E1685" s="304"/>
      <c r="F1685" s="305"/>
      <c r="G1685" s="682" t="s">
        <v>2238</v>
      </c>
      <c r="H1685" s="307" t="s">
        <v>1243</v>
      </c>
      <c r="I1685" s="308"/>
      <c r="J1685" s="306"/>
      <c r="K1685" s="329">
        <v>46</v>
      </c>
      <c r="L1685" s="329">
        <v>46</v>
      </c>
      <c r="M1685" s="310"/>
      <c r="N1685" s="310">
        <v>44791</v>
      </c>
      <c r="O1685" s="309">
        <v>4492</v>
      </c>
      <c r="P1685" s="685"/>
      <c r="Q1685" s="686">
        <v>46</v>
      </c>
      <c r="R1685" s="929">
        <v>46</v>
      </c>
      <c r="S1685" s="718">
        <v>5498</v>
      </c>
      <c r="T1685" s="719">
        <v>5498</v>
      </c>
      <c r="U1685" s="688"/>
      <c r="V1685" s="494">
        <v>120</v>
      </c>
    </row>
    <row r="1686" spans="2:23" s="7" customFormat="1" ht="15">
      <c r="B1686" s="12"/>
      <c r="C1686" s="6" t="s">
        <v>3025</v>
      </c>
      <c r="D1686" s="15" t="s">
        <v>3026</v>
      </c>
      <c r="E1686" s="20" t="s">
        <v>408</v>
      </c>
      <c r="F1686" s="26"/>
      <c r="G1686" s="24"/>
      <c r="H1686" s="67"/>
      <c r="I1686" s="68"/>
      <c r="J1686" s="67"/>
      <c r="K1686" s="10" t="s">
        <v>10</v>
      </c>
      <c r="L1686" s="39"/>
      <c r="M1686" s="39"/>
      <c r="N1686" s="39">
        <v>44791</v>
      </c>
      <c r="O1686" s="38">
        <v>4491</v>
      </c>
      <c r="P1686" s="6" t="s">
        <v>3</v>
      </c>
      <c r="Q1686" s="481"/>
      <c r="S1686" s="489"/>
      <c r="T1686" s="113"/>
      <c r="U1686" s="500"/>
      <c r="V1686" s="494">
        <v>120</v>
      </c>
    </row>
    <row r="1687" spans="2:23" s="7" customFormat="1" ht="15" customHeight="1">
      <c r="B1687" s="12" t="s">
        <v>1856</v>
      </c>
      <c r="C1687" s="6" t="s">
        <v>3025</v>
      </c>
      <c r="D1687" s="15" t="s">
        <v>3026</v>
      </c>
      <c r="E1687" s="24" t="s">
        <v>3027</v>
      </c>
      <c r="F1687" s="26"/>
      <c r="G1687" s="24" t="s">
        <v>17</v>
      </c>
      <c r="H1687" s="67">
        <v>50</v>
      </c>
      <c r="I1687" s="68">
        <v>1</v>
      </c>
      <c r="J1687" s="8">
        <f>H1687*I1687</f>
        <v>50</v>
      </c>
      <c r="K1687" s="25">
        <v>0.26</v>
      </c>
      <c r="L1687" s="46">
        <f>K1687*J1687</f>
        <v>13</v>
      </c>
      <c r="M1687" s="162" t="s">
        <v>2219</v>
      </c>
      <c r="N1687" s="39">
        <v>44791</v>
      </c>
      <c r="O1687" s="38">
        <v>4491</v>
      </c>
      <c r="P1687" s="46">
        <f>K1687*(VLOOKUP(B1687,$C$2:$F$6,3,FALSE))</f>
        <v>0.2288</v>
      </c>
      <c r="Q1687" s="482">
        <v>0.23</v>
      </c>
      <c r="R1687" s="704">
        <f>Q1687*J1687</f>
        <v>11.5</v>
      </c>
      <c r="S1687" s="489">
        <v>14</v>
      </c>
      <c r="T1687" s="113">
        <f>S1687*J1687</f>
        <v>700</v>
      </c>
      <c r="U1687" s="1597"/>
      <c r="V1687" s="494">
        <v>120</v>
      </c>
    </row>
    <row r="1688" spans="2:23" s="7" customFormat="1" ht="15" customHeight="1">
      <c r="B1688" s="12" t="s">
        <v>1856</v>
      </c>
      <c r="C1688" s="6" t="s">
        <v>3025</v>
      </c>
      <c r="D1688" s="15" t="s">
        <v>3026</v>
      </c>
      <c r="E1688" s="24" t="s">
        <v>765</v>
      </c>
      <c r="F1688" s="26"/>
      <c r="G1688" s="24" t="s">
        <v>17</v>
      </c>
      <c r="H1688" s="67">
        <v>50</v>
      </c>
      <c r="I1688" s="68">
        <v>1</v>
      </c>
      <c r="J1688" s="8">
        <f>H1688*I1688</f>
        <v>50</v>
      </c>
      <c r="K1688" s="25">
        <v>0.28000000000000003</v>
      </c>
      <c r="L1688" s="46">
        <f>K1688*J1688</f>
        <v>14.000000000000002</v>
      </c>
      <c r="M1688" s="162" t="s">
        <v>2219</v>
      </c>
      <c r="N1688" s="39">
        <v>44791</v>
      </c>
      <c r="O1688" s="38">
        <v>4491</v>
      </c>
      <c r="P1688" s="46">
        <f>K1688*(VLOOKUP(B1688,$C$2:$F$6,3,FALSE))</f>
        <v>0.24640000000000004</v>
      </c>
      <c r="Q1688" s="482">
        <v>0.25</v>
      </c>
      <c r="R1688" s="704">
        <f>Q1688*J1688</f>
        <v>12.5</v>
      </c>
      <c r="S1688" s="489">
        <v>15</v>
      </c>
      <c r="T1688" s="113">
        <f>S1688*J1688</f>
        <v>750</v>
      </c>
      <c r="U1688" s="1597"/>
      <c r="V1688" s="494">
        <v>120</v>
      </c>
    </row>
    <row r="1689" spans="2:23" s="7" customFormat="1" ht="15" customHeight="1">
      <c r="B1689" s="12" t="s">
        <v>1856</v>
      </c>
      <c r="C1689" s="6" t="s">
        <v>3025</v>
      </c>
      <c r="D1689" s="15" t="s">
        <v>3026</v>
      </c>
      <c r="E1689" s="24" t="s">
        <v>1219</v>
      </c>
      <c r="F1689" s="26"/>
      <c r="G1689" s="24" t="s">
        <v>17</v>
      </c>
      <c r="H1689" s="67">
        <v>50</v>
      </c>
      <c r="I1689" s="68">
        <v>1</v>
      </c>
      <c r="J1689" s="8">
        <f>H1689*I1689</f>
        <v>50</v>
      </c>
      <c r="K1689" s="25">
        <v>0.3</v>
      </c>
      <c r="L1689" s="46">
        <f>K1689*J1689</f>
        <v>15</v>
      </c>
      <c r="M1689" s="162" t="s">
        <v>2219</v>
      </c>
      <c r="N1689" s="39">
        <v>44791</v>
      </c>
      <c r="O1689" s="38">
        <v>4491</v>
      </c>
      <c r="P1689" s="46">
        <f>K1689*(VLOOKUP(B1689,$C$2:$F$6,3,FALSE))</f>
        <v>0.26400000000000001</v>
      </c>
      <c r="Q1689" s="482">
        <v>0.26</v>
      </c>
      <c r="R1689" s="704">
        <f>Q1689*J1689</f>
        <v>13</v>
      </c>
      <c r="S1689" s="489">
        <v>16.2</v>
      </c>
      <c r="T1689" s="113">
        <f>S1689*J1689</f>
        <v>810</v>
      </c>
      <c r="U1689" s="1597"/>
      <c r="V1689" s="494">
        <v>120</v>
      </c>
    </row>
    <row r="1690" spans="2:23" s="7" customFormat="1" ht="15.95" customHeight="1">
      <c r="B1690" s="12"/>
      <c r="C1690" s="6" t="s">
        <v>3025</v>
      </c>
      <c r="D1690" s="15" t="s">
        <v>3026</v>
      </c>
      <c r="E1690" s="24"/>
      <c r="F1690" s="138"/>
      <c r="G1690" s="44" t="s">
        <v>1993</v>
      </c>
      <c r="H1690" s="8"/>
      <c r="I1690" s="41"/>
      <c r="J1690" s="45">
        <v>1</v>
      </c>
      <c r="K1690" s="46">
        <v>12</v>
      </c>
      <c r="L1690" s="46">
        <f>K1690*J1690</f>
        <v>12</v>
      </c>
      <c r="M1690" s="39"/>
      <c r="N1690" s="39">
        <v>44791</v>
      </c>
      <c r="O1690" s="38">
        <v>4491</v>
      </c>
      <c r="P1690" s="6"/>
      <c r="Q1690" s="483">
        <v>12</v>
      </c>
      <c r="R1690" s="704">
        <f>Q1690*J1690</f>
        <v>12</v>
      </c>
      <c r="S1690" s="489">
        <v>1100</v>
      </c>
      <c r="T1690" s="113">
        <f>S1690*J1690</f>
        <v>1100</v>
      </c>
      <c r="U1690" s="501"/>
      <c r="V1690" s="494">
        <v>120</v>
      </c>
    </row>
    <row r="1691" spans="2:23" s="314" customFormat="1" ht="15.6" customHeight="1">
      <c r="B1691" s="313"/>
      <c r="C1691" s="302" t="s">
        <v>3025</v>
      </c>
      <c r="D1691" s="303" t="s">
        <v>3026</v>
      </c>
      <c r="E1691" s="304"/>
      <c r="F1691" s="305"/>
      <c r="G1691" s="305" t="s">
        <v>1227</v>
      </c>
      <c r="H1691" s="307" t="s">
        <v>1228</v>
      </c>
      <c r="I1691" s="308"/>
      <c r="J1691" s="306"/>
      <c r="K1691" s="315">
        <v>0</v>
      </c>
      <c r="L1691" s="310"/>
      <c r="M1691" s="310"/>
      <c r="N1691" s="310">
        <v>44791</v>
      </c>
      <c r="O1691" s="309">
        <v>4491</v>
      </c>
      <c r="P1691" s="302"/>
      <c r="Q1691" s="485">
        <v>0</v>
      </c>
      <c r="S1691" s="535">
        <v>0</v>
      </c>
      <c r="T1691" s="322">
        <v>0</v>
      </c>
      <c r="U1691" s="515"/>
      <c r="V1691" s="494">
        <v>120</v>
      </c>
    </row>
    <row r="1692" spans="2:23" s="7" customFormat="1" ht="18" customHeight="1">
      <c r="B1692" s="12"/>
      <c r="C1692" s="6" t="s">
        <v>3028</v>
      </c>
      <c r="D1692" s="15" t="s">
        <v>2855</v>
      </c>
      <c r="E1692" s="20" t="s">
        <v>2856</v>
      </c>
      <c r="F1692" s="24"/>
      <c r="G1692" s="44"/>
      <c r="H1692" s="151"/>
      <c r="I1692" s="151"/>
      <c r="J1692" s="151"/>
      <c r="K1692" s="153" t="s">
        <v>10</v>
      </c>
      <c r="L1692" s="39"/>
      <c r="M1692" s="39"/>
      <c r="N1692" s="39">
        <v>44810</v>
      </c>
      <c r="O1692" s="38">
        <v>4545</v>
      </c>
      <c r="P1692" s="6"/>
      <c r="Q1692" s="411"/>
      <c r="S1692" s="489"/>
      <c r="T1692" s="113"/>
      <c r="U1692" s="501"/>
      <c r="V1692" s="494">
        <v>120</v>
      </c>
    </row>
    <row r="1693" spans="2:23" s="7" customFormat="1" ht="15.95" customHeight="1">
      <c r="B1693" s="12" t="s">
        <v>1856</v>
      </c>
      <c r="C1693" s="6" t="s">
        <v>3028</v>
      </c>
      <c r="D1693" s="15" t="s">
        <v>2855</v>
      </c>
      <c r="E1693" s="24">
        <v>12720</v>
      </c>
      <c r="F1693" s="44">
        <v>6</v>
      </c>
      <c r="G1693" s="44" t="s">
        <v>3029</v>
      </c>
      <c r="H1693" s="67">
        <v>10</v>
      </c>
      <c r="I1693" s="68">
        <v>25</v>
      </c>
      <c r="J1693" s="67">
        <f>H1693*I1693</f>
        <v>250</v>
      </c>
      <c r="K1693" s="1007">
        <v>0.85</v>
      </c>
      <c r="L1693" s="46">
        <f>K1693*J1693</f>
        <v>212.5</v>
      </c>
      <c r="M1693" s="162" t="s">
        <v>2219</v>
      </c>
      <c r="N1693" s="39">
        <v>44810</v>
      </c>
      <c r="O1693" s="38">
        <v>4545</v>
      </c>
      <c r="P1693" s="180">
        <f>K1693*(VLOOKUP(B1693,$C$2:$F$6,3,FALSE))</f>
        <v>0.748</v>
      </c>
      <c r="Q1693" s="483">
        <v>0.75</v>
      </c>
      <c r="R1693" s="704">
        <f>Q1693*J1693</f>
        <v>187.5</v>
      </c>
      <c r="S1693" s="489">
        <v>45.7</v>
      </c>
      <c r="T1693" s="113">
        <f>S1693*J1693</f>
        <v>11425</v>
      </c>
      <c r="U1693" s="1021"/>
      <c r="V1693" s="494">
        <v>120</v>
      </c>
    </row>
    <row r="1694" spans="2:23" s="7" customFormat="1" ht="15.95" customHeight="1">
      <c r="B1694" s="12" t="s">
        <v>1856</v>
      </c>
      <c r="C1694" s="6" t="s">
        <v>3028</v>
      </c>
      <c r="D1694" s="15" t="s">
        <v>2855</v>
      </c>
      <c r="E1694" s="24">
        <v>12720</v>
      </c>
      <c r="F1694" s="44">
        <v>6</v>
      </c>
      <c r="G1694" s="44" t="s">
        <v>185</v>
      </c>
      <c r="H1694" s="67">
        <v>10</v>
      </c>
      <c r="I1694" s="68">
        <v>50</v>
      </c>
      <c r="J1694" s="67">
        <f>H1694*I1694</f>
        <v>500</v>
      </c>
      <c r="K1694" s="1007">
        <v>0.85</v>
      </c>
      <c r="L1694" s="46">
        <f>K1694*J1694</f>
        <v>425</v>
      </c>
      <c r="M1694" s="162" t="s">
        <v>2219</v>
      </c>
      <c r="N1694" s="39">
        <v>44810</v>
      </c>
      <c r="O1694" s="38">
        <v>4545</v>
      </c>
      <c r="P1694" s="180">
        <f>K1694*(VLOOKUP(B1694,$C$2:$F$6,3,FALSE))</f>
        <v>0.748</v>
      </c>
      <c r="Q1694" s="483">
        <v>0.75</v>
      </c>
      <c r="R1694" s="704">
        <f>Q1694*J1694</f>
        <v>375</v>
      </c>
      <c r="S1694" s="489">
        <v>45.7</v>
      </c>
      <c r="T1694" s="113">
        <f>S1694*J1694</f>
        <v>22850</v>
      </c>
      <c r="U1694" s="1021"/>
      <c r="V1694" s="494">
        <v>120</v>
      </c>
    </row>
    <row r="1695" spans="2:23" ht="15.95" customHeight="1">
      <c r="B1695" s="12" t="s">
        <v>1862</v>
      </c>
      <c r="C1695" s="6" t="s">
        <v>3028</v>
      </c>
      <c r="D1695" s="15" t="s">
        <v>2855</v>
      </c>
      <c r="E1695" s="24"/>
      <c r="F1695" s="138"/>
      <c r="G1695" s="44" t="s">
        <v>1993</v>
      </c>
      <c r="H1695" s="8"/>
      <c r="I1695" s="41"/>
      <c r="J1695" s="45">
        <v>1</v>
      </c>
      <c r="K1695" s="46">
        <v>12</v>
      </c>
      <c r="L1695" s="46">
        <f>K1695*J1695</f>
        <v>12</v>
      </c>
      <c r="M1695" s="112"/>
      <c r="N1695" s="39">
        <v>44810</v>
      </c>
      <c r="O1695" s="38">
        <v>4545</v>
      </c>
      <c r="P1695" s="46">
        <f>K1695*(VLOOKUP(B1695,$C$2:$F$6,3,FALSE))</f>
        <v>12</v>
      </c>
      <c r="Q1695" s="483">
        <v>12</v>
      </c>
      <c r="R1695" s="704">
        <v>12</v>
      </c>
      <c r="S1695" s="489">
        <v>0</v>
      </c>
      <c r="T1695" s="113">
        <f>S1695*J1695</f>
        <v>0</v>
      </c>
      <c r="U1695" s="511"/>
      <c r="V1695" s="494">
        <v>120</v>
      </c>
      <c r="W1695"/>
    </row>
    <row r="1696" spans="2:23" s="314" customFormat="1" ht="15">
      <c r="B1696" s="313"/>
      <c r="C1696" s="302" t="s">
        <v>3028</v>
      </c>
      <c r="D1696" s="303" t="s">
        <v>2855</v>
      </c>
      <c r="E1696" s="304"/>
      <c r="F1696" s="305"/>
      <c r="G1696" s="305" t="s">
        <v>1227</v>
      </c>
      <c r="H1696" s="307" t="s">
        <v>1228</v>
      </c>
      <c r="I1696" s="308"/>
      <c r="J1696" s="306"/>
      <c r="K1696" s="315">
        <v>0</v>
      </c>
      <c r="L1696" s="310"/>
      <c r="M1696" s="310"/>
      <c r="N1696" s="310">
        <v>44810</v>
      </c>
      <c r="O1696" s="309">
        <v>4545</v>
      </c>
      <c r="P1696" s="302"/>
      <c r="Q1696" s="485">
        <v>0</v>
      </c>
      <c r="S1696" s="536">
        <v>0</v>
      </c>
      <c r="T1696" s="322">
        <v>0</v>
      </c>
      <c r="U1696" s="515"/>
      <c r="V1696" s="494">
        <v>120</v>
      </c>
    </row>
    <row r="1697" spans="2:23" s="7" customFormat="1" ht="18" customHeight="1">
      <c r="B1697" s="12"/>
      <c r="C1697" s="6" t="s">
        <v>3065</v>
      </c>
      <c r="D1697" s="15" t="s">
        <v>3066</v>
      </c>
      <c r="E1697" s="20" t="s">
        <v>3053</v>
      </c>
      <c r="F1697" s="24"/>
      <c r="G1697" s="44"/>
      <c r="H1697" s="151"/>
      <c r="I1697" s="151"/>
      <c r="J1697" s="151"/>
      <c r="K1697" s="153" t="s">
        <v>10</v>
      </c>
      <c r="L1697" s="39"/>
      <c r="M1697" s="39"/>
      <c r="N1697" s="39">
        <v>44803</v>
      </c>
      <c r="O1697" s="38">
        <v>4531</v>
      </c>
      <c r="P1697" s="6"/>
      <c r="Q1697" s="411"/>
      <c r="S1697" s="489"/>
      <c r="T1697" s="113"/>
      <c r="U1697" s="501"/>
      <c r="V1697" s="494">
        <v>120</v>
      </c>
    </row>
    <row r="1698" spans="2:23" s="7" customFormat="1" ht="15.95" customHeight="1">
      <c r="B1698" s="12" t="s">
        <v>1858</v>
      </c>
      <c r="C1698" s="6" t="s">
        <v>3065</v>
      </c>
      <c r="D1698" s="15" t="s">
        <v>3066</v>
      </c>
      <c r="E1698" s="24" t="s">
        <v>3033</v>
      </c>
      <c r="F1698" s="155" t="s">
        <v>3034</v>
      </c>
      <c r="G1698" s="44" t="s">
        <v>3054</v>
      </c>
      <c r="H1698" s="67">
        <v>10</v>
      </c>
      <c r="I1698" s="68">
        <v>1</v>
      </c>
      <c r="J1698" s="67">
        <f>H1698*I1698</f>
        <v>10</v>
      </c>
      <c r="K1698" s="1007">
        <v>9.9</v>
      </c>
      <c r="L1698" s="46">
        <f>K1698*J1698</f>
        <v>99</v>
      </c>
      <c r="M1698" s="162" t="s">
        <v>2219</v>
      </c>
      <c r="N1698" s="39">
        <v>44803</v>
      </c>
      <c r="O1698" s="38">
        <v>4531</v>
      </c>
      <c r="P1698" s="180">
        <f>K1698*(VLOOKUP(B1698,$C$2:$F$6,3,FALSE))</f>
        <v>9.3059999999999992</v>
      </c>
      <c r="Q1698" s="483">
        <v>9.31</v>
      </c>
      <c r="R1698" s="704">
        <f>Q1698*J1698</f>
        <v>93.100000000000009</v>
      </c>
      <c r="S1698" s="489">
        <v>950</v>
      </c>
      <c r="T1698" s="113">
        <f>S1698*J1698</f>
        <v>9500</v>
      </c>
      <c r="U1698" s="1021"/>
      <c r="V1698" s="494">
        <v>120</v>
      </c>
    </row>
    <row r="1699" spans="2:23" s="7" customFormat="1" ht="15.95" customHeight="1">
      <c r="B1699" s="12" t="s">
        <v>1858</v>
      </c>
      <c r="C1699" s="6" t="s">
        <v>3065</v>
      </c>
      <c r="D1699" s="15" t="s">
        <v>3066</v>
      </c>
      <c r="E1699" s="24" t="s">
        <v>3033</v>
      </c>
      <c r="F1699" s="155" t="s">
        <v>3034</v>
      </c>
      <c r="G1699" s="44" t="s">
        <v>3055</v>
      </c>
      <c r="H1699" s="67">
        <v>10</v>
      </c>
      <c r="I1699" s="68">
        <v>1</v>
      </c>
      <c r="J1699" s="67">
        <f>H1699*I1699</f>
        <v>10</v>
      </c>
      <c r="K1699" s="1007">
        <v>9.9</v>
      </c>
      <c r="L1699" s="46">
        <f>K1699*J1699</f>
        <v>99</v>
      </c>
      <c r="M1699" s="162" t="s">
        <v>2219</v>
      </c>
      <c r="N1699" s="39">
        <v>44803</v>
      </c>
      <c r="O1699" s="38">
        <v>4531</v>
      </c>
      <c r="P1699" s="180">
        <f>K1699*(VLOOKUP(B1699,$C$2:$F$6,3,FALSE))</f>
        <v>9.3059999999999992</v>
      </c>
      <c r="Q1699" s="483">
        <v>9.31</v>
      </c>
      <c r="R1699" s="704">
        <f>Q1699*J1699</f>
        <v>93.100000000000009</v>
      </c>
      <c r="S1699" s="489">
        <v>950</v>
      </c>
      <c r="T1699" s="113">
        <f>S1699*J1699</f>
        <v>9500</v>
      </c>
      <c r="U1699" s="1021"/>
      <c r="V1699" s="494">
        <v>120</v>
      </c>
    </row>
    <row r="1700" spans="2:23" ht="15.95" customHeight="1">
      <c r="B1700" s="12" t="s">
        <v>1862</v>
      </c>
      <c r="C1700" s="6" t="s">
        <v>3065</v>
      </c>
      <c r="D1700" s="15" t="s">
        <v>3066</v>
      </c>
      <c r="E1700" s="24"/>
      <c r="F1700" s="138"/>
      <c r="G1700" s="44" t="s">
        <v>1075</v>
      </c>
      <c r="H1700" s="8"/>
      <c r="I1700" s="41"/>
      <c r="J1700" s="45">
        <v>2</v>
      </c>
      <c r="K1700" s="46">
        <v>12</v>
      </c>
      <c r="L1700" s="46">
        <f>K1700*J1700</f>
        <v>24</v>
      </c>
      <c r="M1700" s="112"/>
      <c r="N1700" s="39">
        <v>44803</v>
      </c>
      <c r="O1700" s="38">
        <v>4531</v>
      </c>
      <c r="P1700" s="46">
        <f>K1700*(VLOOKUP(B1700,$C$2:$F$6,3,FALSE))</f>
        <v>12</v>
      </c>
      <c r="Q1700" s="483">
        <v>24</v>
      </c>
      <c r="R1700" s="704">
        <v>24</v>
      </c>
      <c r="S1700" s="489">
        <v>1000</v>
      </c>
      <c r="T1700" s="113">
        <f>S1700*J1700</f>
        <v>2000</v>
      </c>
      <c r="U1700" s="511"/>
      <c r="V1700" s="494">
        <v>120</v>
      </c>
      <c r="W1700"/>
    </row>
    <row r="1701" spans="2:23" ht="15.95" customHeight="1">
      <c r="B1701" s="12" t="s">
        <v>1862</v>
      </c>
      <c r="C1701" s="6" t="s">
        <v>3065</v>
      </c>
      <c r="D1701" s="15" t="s">
        <v>3066</v>
      </c>
      <c r="E1701" s="24"/>
      <c r="F1701" s="138"/>
      <c r="G1701" s="44" t="s">
        <v>1993</v>
      </c>
      <c r="H1701" s="8"/>
      <c r="I1701" s="41"/>
      <c r="J1701" s="45">
        <v>1</v>
      </c>
      <c r="K1701" s="46">
        <v>12</v>
      </c>
      <c r="L1701" s="46">
        <f>K1701*J1701</f>
        <v>12</v>
      </c>
      <c r="M1701" s="112"/>
      <c r="N1701" s="39">
        <v>44803</v>
      </c>
      <c r="O1701" s="38">
        <v>4531</v>
      </c>
      <c r="P1701" s="46">
        <f>K1701*(VLOOKUP(B1701,$C$2:$F$6,3,FALSE))</f>
        <v>12</v>
      </c>
      <c r="Q1701" s="483">
        <v>12</v>
      </c>
      <c r="R1701" s="704">
        <v>12</v>
      </c>
      <c r="S1701" s="489">
        <v>1000</v>
      </c>
      <c r="T1701" s="113">
        <f>S1701*J1701</f>
        <v>1000</v>
      </c>
      <c r="U1701" s="511"/>
      <c r="V1701" s="494">
        <v>120</v>
      </c>
      <c r="W1701"/>
    </row>
    <row r="1702" spans="2:23" s="314" customFormat="1" ht="15">
      <c r="B1702" s="313"/>
      <c r="C1702" s="302" t="s">
        <v>3065</v>
      </c>
      <c r="D1702" s="303" t="s">
        <v>3066</v>
      </c>
      <c r="E1702" s="304"/>
      <c r="F1702" s="305"/>
      <c r="G1702" s="305" t="s">
        <v>1227</v>
      </c>
      <c r="H1702" s="307" t="s">
        <v>1243</v>
      </c>
      <c r="I1702" s="308"/>
      <c r="J1702" s="306"/>
      <c r="K1702" s="329">
        <v>82</v>
      </c>
      <c r="L1702" s="329">
        <v>82</v>
      </c>
      <c r="M1702" s="310"/>
      <c r="N1702" s="310">
        <v>44803</v>
      </c>
      <c r="O1702" s="309">
        <v>4531</v>
      </c>
      <c r="P1702" s="685"/>
      <c r="Q1702" s="686">
        <v>82</v>
      </c>
      <c r="R1702" s="929">
        <v>82</v>
      </c>
      <c r="S1702" s="718">
        <v>9822</v>
      </c>
      <c r="T1702" s="719">
        <v>9822</v>
      </c>
      <c r="U1702" s="688"/>
      <c r="V1702" s="494">
        <v>120</v>
      </c>
    </row>
    <row r="1703" spans="2:23" s="7" customFormat="1" ht="18" customHeight="1">
      <c r="B1703" s="12"/>
      <c r="C1703" s="6" t="s">
        <v>3064</v>
      </c>
      <c r="D1703" s="15" t="s">
        <v>1214</v>
      </c>
      <c r="E1703" s="18" t="s">
        <v>344</v>
      </c>
      <c r="F1703" s="700"/>
      <c r="G1703" s="640"/>
      <c r="H1703" s="641" t="s">
        <v>2690</v>
      </c>
      <c r="I1703" s="701"/>
      <c r="J1703" s="702"/>
      <c r="K1703" s="153" t="s">
        <v>134</v>
      </c>
      <c r="L1703" s="213"/>
      <c r="M1703" s="39"/>
      <c r="N1703" s="39">
        <v>44805</v>
      </c>
      <c r="O1703" s="38">
        <v>4535</v>
      </c>
      <c r="P1703" s="6"/>
      <c r="Q1703" s="703"/>
      <c r="U1703" s="46"/>
      <c r="V1703" s="494">
        <v>120</v>
      </c>
    </row>
    <row r="1704" spans="2:23" s="7" customFormat="1" ht="18" customHeight="1">
      <c r="B1704" s="12" t="s">
        <v>1856</v>
      </c>
      <c r="C1704" s="6" t="s">
        <v>3064</v>
      </c>
      <c r="D1704" s="15" t="s">
        <v>1214</v>
      </c>
      <c r="E1704" s="24">
        <v>14552</v>
      </c>
      <c r="F1704" s="26">
        <v>38</v>
      </c>
      <c r="G1704" s="24" t="s">
        <v>431</v>
      </c>
      <c r="H1704" s="151">
        <v>30</v>
      </c>
      <c r="I1704" s="152">
        <v>6</v>
      </c>
      <c r="J1704" s="8">
        <f>H1704*I1704</f>
        <v>180</v>
      </c>
      <c r="K1704" s="46">
        <v>1.78</v>
      </c>
      <c r="L1704" s="46">
        <f>K1704*J1704</f>
        <v>320.39999999999998</v>
      </c>
      <c r="M1704" s="162" t="s">
        <v>2607</v>
      </c>
      <c r="N1704" s="39">
        <v>44805</v>
      </c>
      <c r="O1704" s="38">
        <v>4535</v>
      </c>
      <c r="P1704" s="46">
        <f>K1704*(VLOOKUP(B1704,$C$2:$F$6,3,FALSE))</f>
        <v>1.5664</v>
      </c>
      <c r="Q1704" s="910">
        <v>1.57</v>
      </c>
      <c r="R1704" s="703">
        <f>Q1704*J1704</f>
        <v>282.60000000000002</v>
      </c>
      <c r="S1704" s="7">
        <v>96</v>
      </c>
      <c r="T1704" s="7">
        <f>S1704*J1704</f>
        <v>17280</v>
      </c>
      <c r="U1704" s="503"/>
      <c r="V1704" s="494">
        <v>120</v>
      </c>
    </row>
    <row r="1705" spans="2:23" s="7" customFormat="1" ht="15.75">
      <c r="B1705" s="12" t="s">
        <v>1856</v>
      </c>
      <c r="C1705" s="6" t="s">
        <v>3064</v>
      </c>
      <c r="D1705" s="15" t="s">
        <v>1214</v>
      </c>
      <c r="E1705" s="24">
        <v>14552</v>
      </c>
      <c r="F1705" s="26">
        <v>10</v>
      </c>
      <c r="G1705" s="24" t="s">
        <v>431</v>
      </c>
      <c r="H1705" s="151">
        <v>30</v>
      </c>
      <c r="I1705" s="152">
        <v>16</v>
      </c>
      <c r="J1705" s="67">
        <f>H1705*I1705</f>
        <v>480</v>
      </c>
      <c r="K1705" s="25">
        <v>0.69</v>
      </c>
      <c r="L1705" s="46">
        <f>K1705*J1705</f>
        <v>331.2</v>
      </c>
      <c r="M1705" s="162" t="s">
        <v>2219</v>
      </c>
      <c r="N1705" s="39">
        <v>44805</v>
      </c>
      <c r="O1705" s="38">
        <v>4535</v>
      </c>
      <c r="P1705" s="46">
        <f>K1705*(VLOOKUP(B1705,$C$2:$F$6,3,FALSE))</f>
        <v>0.60719999999999996</v>
      </c>
      <c r="Q1705" s="482">
        <v>0.61</v>
      </c>
      <c r="R1705" s="704">
        <f>Q1705*J1705</f>
        <v>292.8</v>
      </c>
      <c r="S1705" s="489">
        <v>37</v>
      </c>
      <c r="T1705" s="567">
        <f>S1705*J1705</f>
        <v>17760</v>
      </c>
      <c r="U1705" s="500"/>
      <c r="V1705" s="494">
        <v>120</v>
      </c>
    </row>
    <row r="1706" spans="2:23" ht="15.95" customHeight="1">
      <c r="B1706" s="12" t="s">
        <v>1862</v>
      </c>
      <c r="C1706" s="6" t="s">
        <v>3064</v>
      </c>
      <c r="D1706" s="15" t="s">
        <v>1214</v>
      </c>
      <c r="E1706" s="24"/>
      <c r="F1706" s="138"/>
      <c r="G1706" s="44" t="s">
        <v>1993</v>
      </c>
      <c r="H1706" s="8"/>
      <c r="I1706" s="41"/>
      <c r="J1706" s="45">
        <v>1</v>
      </c>
      <c r="K1706" s="46">
        <v>12</v>
      </c>
      <c r="L1706" s="46">
        <f>K1706*J1706</f>
        <v>12</v>
      </c>
      <c r="M1706" s="112"/>
      <c r="N1706" s="39">
        <v>44805</v>
      </c>
      <c r="O1706" s="38">
        <v>4535</v>
      </c>
      <c r="P1706" s="46">
        <f>K1706*(VLOOKUP(B1706,$C$2:$F$6,3,FALSE))</f>
        <v>12</v>
      </c>
      <c r="Q1706" s="483">
        <v>12</v>
      </c>
      <c r="R1706" s="704">
        <v>12</v>
      </c>
      <c r="S1706" s="489">
        <v>0</v>
      </c>
      <c r="T1706" s="113">
        <f>S1706*J1706</f>
        <v>0</v>
      </c>
      <c r="U1706" s="511"/>
      <c r="V1706" s="494">
        <v>120</v>
      </c>
      <c r="W1706"/>
    </row>
    <row r="1707" spans="2:23" s="314" customFormat="1" ht="15.6" customHeight="1">
      <c r="B1707" s="313"/>
      <c r="C1707" s="302" t="s">
        <v>3064</v>
      </c>
      <c r="D1707" s="303" t="s">
        <v>1214</v>
      </c>
      <c r="E1707" s="304"/>
      <c r="F1707" s="305"/>
      <c r="G1707" s="305" t="s">
        <v>1227</v>
      </c>
      <c r="H1707" s="307" t="s">
        <v>1228</v>
      </c>
      <c r="I1707" s="308"/>
      <c r="J1707" s="306"/>
      <c r="K1707" s="315">
        <v>0</v>
      </c>
      <c r="L1707" s="310"/>
      <c r="M1707" s="310"/>
      <c r="N1707" s="310">
        <v>44805</v>
      </c>
      <c r="O1707" s="309">
        <v>4535</v>
      </c>
      <c r="P1707" s="302"/>
      <c r="Q1707" s="485">
        <v>0</v>
      </c>
      <c r="S1707" s="535"/>
      <c r="T1707" s="322">
        <v>0</v>
      </c>
      <c r="U1707" s="515"/>
      <c r="V1707" s="494">
        <v>120</v>
      </c>
    </row>
    <row r="1708" spans="2:23" s="7" customFormat="1" ht="18" customHeight="1">
      <c r="B1708" s="12"/>
      <c r="C1708" s="6" t="s">
        <v>3074</v>
      </c>
      <c r="D1708" s="15" t="s">
        <v>1214</v>
      </c>
      <c r="E1708" s="20" t="s">
        <v>2822</v>
      </c>
      <c r="F1708" s="24"/>
      <c r="G1708" s="44"/>
      <c r="H1708" s="151"/>
      <c r="I1708" s="151"/>
      <c r="J1708" s="151"/>
      <c r="K1708" s="153" t="s">
        <v>10</v>
      </c>
      <c r="L1708" s="39"/>
      <c r="M1708" s="39"/>
      <c r="N1708" s="39">
        <v>44825</v>
      </c>
      <c r="O1708" s="38">
        <v>4586</v>
      </c>
      <c r="P1708" s="6"/>
      <c r="Q1708" s="411"/>
      <c r="S1708" s="489"/>
      <c r="T1708" s="113"/>
      <c r="U1708" s="501"/>
      <c r="V1708" s="494">
        <v>120</v>
      </c>
    </row>
    <row r="1709" spans="2:23" s="7" customFormat="1" ht="15.95" customHeight="1">
      <c r="B1709" s="12" t="s">
        <v>1856</v>
      </c>
      <c r="C1709" s="6" t="s">
        <v>3074</v>
      </c>
      <c r="D1709" s="15" t="s">
        <v>1214</v>
      </c>
      <c r="E1709" s="24">
        <v>1515</v>
      </c>
      <c r="F1709" s="44">
        <v>4</v>
      </c>
      <c r="G1709" s="44" t="s">
        <v>2944</v>
      </c>
      <c r="H1709" s="151">
        <v>30</v>
      </c>
      <c r="I1709" s="152">
        <v>1</v>
      </c>
      <c r="J1709" s="8">
        <f>H1709*I1709</f>
        <v>30</v>
      </c>
      <c r="K1709" s="1007">
        <v>0.13</v>
      </c>
      <c r="L1709" s="46">
        <f>K1709*J1709</f>
        <v>3.9000000000000004</v>
      </c>
      <c r="M1709" s="162" t="s">
        <v>2219</v>
      </c>
      <c r="N1709" s="39">
        <v>44825</v>
      </c>
      <c r="O1709" s="38">
        <v>4586</v>
      </c>
      <c r="P1709" s="180">
        <f>K1709*(VLOOKUP(B1709,$C$2:$F$6,3,FALSE))</f>
        <v>0.1144</v>
      </c>
      <c r="Q1709" s="483">
        <v>0.11</v>
      </c>
      <c r="R1709" s="704">
        <f>Q1709*J1709</f>
        <v>3.3</v>
      </c>
      <c r="S1709" s="489">
        <v>7.07</v>
      </c>
      <c r="T1709" s="113">
        <f>S1709*J1709</f>
        <v>212.10000000000002</v>
      </c>
      <c r="U1709" s="1021"/>
      <c r="V1709" s="494">
        <v>120</v>
      </c>
    </row>
    <row r="1710" spans="2:23" ht="15.95" customHeight="1">
      <c r="B1710" s="12" t="s">
        <v>1862</v>
      </c>
      <c r="C1710" s="6" t="s">
        <v>3074</v>
      </c>
      <c r="D1710" s="15" t="s">
        <v>1214</v>
      </c>
      <c r="E1710" s="24"/>
      <c r="F1710" s="138"/>
      <c r="G1710" s="44" t="s">
        <v>1993</v>
      </c>
      <c r="H1710" s="8"/>
      <c r="I1710" s="41"/>
      <c r="J1710" s="45">
        <v>1</v>
      </c>
      <c r="K1710" s="46">
        <v>12</v>
      </c>
      <c r="L1710" s="46">
        <f>K1710*J1710</f>
        <v>12</v>
      </c>
      <c r="M1710" s="112"/>
      <c r="N1710" s="39">
        <v>44825</v>
      </c>
      <c r="O1710" s="38">
        <v>4586</v>
      </c>
      <c r="P1710" s="46">
        <f>K1710*(VLOOKUP(B1710,$C$2:$F$6,3,FALSE))</f>
        <v>12</v>
      </c>
      <c r="Q1710" s="483">
        <v>12</v>
      </c>
      <c r="R1710" s="704">
        <v>12</v>
      </c>
      <c r="S1710" s="489">
        <v>0</v>
      </c>
      <c r="T1710" s="113">
        <f>S1710*J1710</f>
        <v>0</v>
      </c>
      <c r="U1710" s="511"/>
      <c r="V1710" s="494">
        <v>120</v>
      </c>
      <c r="W1710"/>
    </row>
    <row r="1711" spans="2:23" s="314" customFormat="1" ht="15">
      <c r="B1711" s="313"/>
      <c r="C1711" s="302" t="s">
        <v>3074</v>
      </c>
      <c r="D1711" s="303" t="s">
        <v>1214</v>
      </c>
      <c r="E1711" s="304"/>
      <c r="F1711" s="305"/>
      <c r="G1711" s="305" t="s">
        <v>1227</v>
      </c>
      <c r="H1711" s="307" t="s">
        <v>1228</v>
      </c>
      <c r="I1711" s="308"/>
      <c r="J1711" s="306"/>
      <c r="K1711" s="315">
        <v>0</v>
      </c>
      <c r="L1711" s="310"/>
      <c r="M1711" s="310"/>
      <c r="N1711" s="310">
        <v>44825</v>
      </c>
      <c r="O1711" s="309">
        <v>4586</v>
      </c>
      <c r="P1711" s="302"/>
      <c r="Q1711" s="485">
        <v>0</v>
      </c>
      <c r="S1711" s="536">
        <v>0</v>
      </c>
      <c r="T1711" s="322">
        <v>0</v>
      </c>
      <c r="U1711" s="515"/>
      <c r="V1711" s="494">
        <v>120</v>
      </c>
    </row>
    <row r="1712" spans="2:23" ht="15">
      <c r="C1712" s="6" t="s">
        <v>3100</v>
      </c>
      <c r="D1712" s="15" t="s">
        <v>3099</v>
      </c>
      <c r="E1712" s="20" t="s">
        <v>79</v>
      </c>
      <c r="F1712" s="150"/>
      <c r="G1712" s="24"/>
      <c r="H1712" s="151"/>
      <c r="I1712" s="152"/>
      <c r="J1712" s="151"/>
      <c r="K1712" s="153" t="s">
        <v>10</v>
      </c>
      <c r="L1712" s="11"/>
      <c r="M1712" s="11"/>
      <c r="N1712" s="39">
        <v>44834</v>
      </c>
      <c r="O1712" s="38">
        <v>4601</v>
      </c>
      <c r="P1712" s="15"/>
      <c r="Q1712" s="483"/>
      <c r="S1712" s="489"/>
      <c r="V1712" s="494">
        <v>120</v>
      </c>
      <c r="W1712"/>
    </row>
    <row r="1713" spans="2:23" ht="15.75">
      <c r="B1713" s="28" t="s">
        <v>1858</v>
      </c>
      <c r="C1713" s="6" t="s">
        <v>3100</v>
      </c>
      <c r="D1713" s="15" t="s">
        <v>3099</v>
      </c>
      <c r="E1713" s="24" t="s">
        <v>1157</v>
      </c>
      <c r="F1713" s="150">
        <v>148</v>
      </c>
      <c r="G1713" s="24" t="s">
        <v>2681</v>
      </c>
      <c r="H1713" s="8">
        <v>55</v>
      </c>
      <c r="I1713" s="41">
        <v>1</v>
      </c>
      <c r="J1713" s="8">
        <f>H1713*I1713</f>
        <v>55</v>
      </c>
      <c r="K1713" s="46">
        <v>12.92</v>
      </c>
      <c r="L1713" s="46">
        <f>K1713*J1713</f>
        <v>710.6</v>
      </c>
      <c r="M1713" s="162" t="s">
        <v>2219</v>
      </c>
      <c r="N1713" s="39">
        <v>44834</v>
      </c>
      <c r="O1713" s="38">
        <v>4601</v>
      </c>
      <c r="P1713" s="46">
        <f>K1713*(VLOOKUP(B1713,$C$2:$F$6,3,FALSE))</f>
        <v>12.1448</v>
      </c>
      <c r="Q1713" s="483">
        <v>12.14</v>
      </c>
      <c r="R1713" s="704">
        <f>Q1713*J1713</f>
        <v>667.7</v>
      </c>
      <c r="S1713" s="489">
        <v>750</v>
      </c>
      <c r="T1713" s="567">
        <f>S1713*J1713</f>
        <v>41250</v>
      </c>
      <c r="U1713" s="1598"/>
      <c r="V1713" s="494">
        <v>120</v>
      </c>
      <c r="W1713"/>
    </row>
    <row r="1714" spans="2:23" ht="15">
      <c r="C1714" s="6" t="s">
        <v>3100</v>
      </c>
      <c r="D1714" s="15" t="s">
        <v>3099</v>
      </c>
      <c r="E1714" s="24"/>
      <c r="F1714" s="138"/>
      <c r="G1714" s="44" t="s">
        <v>1993</v>
      </c>
      <c r="H1714" s="8"/>
      <c r="I1714" s="41"/>
      <c r="J1714" s="45">
        <v>1</v>
      </c>
      <c r="K1714" s="46">
        <v>20</v>
      </c>
      <c r="L1714" s="46">
        <f>K1714*J1714</f>
        <v>20</v>
      </c>
      <c r="M1714" s="112"/>
      <c r="N1714" s="39">
        <v>44834</v>
      </c>
      <c r="O1714" s="38">
        <v>4601</v>
      </c>
      <c r="P1714" s="46" t="e">
        <f>K1714*(VLOOKUP(B1714,$C$2:$F$6,3,FALSE))</f>
        <v>#N/A</v>
      </c>
      <c r="Q1714" s="483">
        <v>20</v>
      </c>
      <c r="R1714" s="704">
        <f>Q1714*J1714</f>
        <v>20</v>
      </c>
      <c r="S1714" s="489">
        <v>1800</v>
      </c>
      <c r="T1714" s="567">
        <f>S1714*J1714</f>
        <v>1800</v>
      </c>
      <c r="V1714" s="494">
        <v>120</v>
      </c>
      <c r="W1714"/>
    </row>
    <row r="1715" spans="2:23" s="314" customFormat="1" ht="15">
      <c r="B1715" s="313"/>
      <c r="C1715" s="302" t="s">
        <v>3100</v>
      </c>
      <c r="D1715" s="303" t="s">
        <v>3099</v>
      </c>
      <c r="E1715" s="304"/>
      <c r="F1715" s="305"/>
      <c r="G1715" s="305" t="s">
        <v>1227</v>
      </c>
      <c r="H1715" s="307" t="s">
        <v>1243</v>
      </c>
      <c r="I1715" s="308"/>
      <c r="J1715" s="306"/>
      <c r="K1715" s="329">
        <v>85</v>
      </c>
      <c r="L1715" s="329">
        <v>85</v>
      </c>
      <c r="M1715" s="310"/>
      <c r="N1715" s="310">
        <v>44834</v>
      </c>
      <c r="O1715" s="309">
        <v>4601</v>
      </c>
      <c r="P1715" s="302"/>
      <c r="Q1715" s="329">
        <v>85</v>
      </c>
      <c r="R1715" s="329">
        <v>85</v>
      </c>
      <c r="S1715" s="536">
        <v>10200</v>
      </c>
      <c r="T1715" s="536">
        <v>10200</v>
      </c>
      <c r="U1715" s="515"/>
      <c r="V1715" s="494">
        <v>120</v>
      </c>
    </row>
    <row r="1716" spans="2:23" ht="18" customHeight="1">
      <c r="C1716" s="6" t="s">
        <v>3094</v>
      </c>
      <c r="D1716" s="15" t="s">
        <v>3095</v>
      </c>
      <c r="E1716" s="20" t="s">
        <v>260</v>
      </c>
      <c r="F1716" s="44"/>
      <c r="G1716" s="44"/>
      <c r="H1716" s="151"/>
      <c r="I1716" s="151"/>
      <c r="J1716" s="151"/>
      <c r="K1716" s="34" t="s">
        <v>134</v>
      </c>
      <c r="L1716" s="39"/>
      <c r="M1716" s="39"/>
      <c r="N1716" s="39">
        <v>44831</v>
      </c>
      <c r="O1716" s="38">
        <v>4599</v>
      </c>
      <c r="P1716" s="6"/>
      <c r="Q1716" s="524"/>
      <c r="S1716" s="489"/>
      <c r="T1716" s="113"/>
      <c r="U1716" s="501"/>
      <c r="V1716" s="494">
        <v>120</v>
      </c>
      <c r="W1716"/>
    </row>
    <row r="1717" spans="2:23" ht="18" customHeight="1">
      <c r="B1717" s="28" t="s">
        <v>1856</v>
      </c>
      <c r="C1717" s="6" t="s">
        <v>3094</v>
      </c>
      <c r="D1717" s="15" t="s">
        <v>3095</v>
      </c>
      <c r="E1717" s="24">
        <v>4141</v>
      </c>
      <c r="F1717" s="44">
        <v>9</v>
      </c>
      <c r="G1717" s="24" t="s">
        <v>3096</v>
      </c>
      <c r="H1717" s="67">
        <v>20</v>
      </c>
      <c r="I1717" s="68">
        <v>1</v>
      </c>
      <c r="J1717" s="8">
        <f>H1717*I1717</f>
        <v>20</v>
      </c>
      <c r="K1717" s="46">
        <v>1.63</v>
      </c>
      <c r="L1717" s="46">
        <f>K1717*J1717</f>
        <v>32.599999999999994</v>
      </c>
      <c r="M1717" s="162" t="s">
        <v>2219</v>
      </c>
      <c r="N1717" s="39">
        <v>44831</v>
      </c>
      <c r="O1717" s="38">
        <v>4599</v>
      </c>
      <c r="P1717" s="46">
        <f>K1717*(VLOOKUP(B1717,$C$2:$F$6,3,FALSE))</f>
        <v>1.4343999999999999</v>
      </c>
      <c r="Q1717" s="482">
        <v>1.43</v>
      </c>
      <c r="R1717" s="704">
        <f>Q1717*J1717</f>
        <v>28.599999999999998</v>
      </c>
      <c r="S1717" s="489">
        <v>88</v>
      </c>
      <c r="T1717" s="113">
        <f>S1717*J1717</f>
        <v>1760</v>
      </c>
      <c r="U1717" s="1599"/>
      <c r="V1717" s="494">
        <v>120</v>
      </c>
      <c r="W1717"/>
    </row>
    <row r="1718" spans="2:23" ht="18" customHeight="1">
      <c r="B1718" s="28" t="s">
        <v>1856</v>
      </c>
      <c r="C1718" s="6" t="s">
        <v>3094</v>
      </c>
      <c r="D1718" s="15" t="s">
        <v>3095</v>
      </c>
      <c r="E1718" s="24">
        <v>4141</v>
      </c>
      <c r="F1718" s="44">
        <v>6</v>
      </c>
      <c r="G1718" s="24" t="s">
        <v>3096</v>
      </c>
      <c r="H1718" s="67">
        <v>20</v>
      </c>
      <c r="I1718" s="68">
        <v>1</v>
      </c>
      <c r="J1718" s="8">
        <f>H1718*I1718</f>
        <v>20</v>
      </c>
      <c r="K1718" s="46">
        <v>1.47</v>
      </c>
      <c r="L1718" s="46">
        <f>K1718*J1718</f>
        <v>29.4</v>
      </c>
      <c r="M1718" s="162" t="s">
        <v>2219</v>
      </c>
      <c r="N1718" s="39">
        <v>44831</v>
      </c>
      <c r="O1718" s="38">
        <v>4599</v>
      </c>
      <c r="P1718" s="46">
        <f>K1718*(VLOOKUP(B1718,$C$2:$F$6,3,FALSE))</f>
        <v>1.2936000000000001</v>
      </c>
      <c r="Q1718" s="482">
        <v>1.29</v>
      </c>
      <c r="R1718" s="704">
        <f>Q1718*J1718</f>
        <v>25.8</v>
      </c>
      <c r="S1718" s="489">
        <v>79</v>
      </c>
      <c r="T1718" s="113">
        <f>S1718*J1718</f>
        <v>1580</v>
      </c>
      <c r="U1718" s="1599"/>
      <c r="V1718" s="494">
        <v>120</v>
      </c>
      <c r="W1718"/>
    </row>
    <row r="1719" spans="2:23" s="7" customFormat="1" ht="15.95" customHeight="1">
      <c r="B1719" s="12"/>
      <c r="C1719" s="6" t="s">
        <v>3094</v>
      </c>
      <c r="D1719" s="15" t="s">
        <v>3095</v>
      </c>
      <c r="E1719" s="24"/>
      <c r="F1719" s="138"/>
      <c r="G1719" s="44" t="s">
        <v>1993</v>
      </c>
      <c r="H1719" s="8"/>
      <c r="I1719" s="41"/>
      <c r="J1719" s="45">
        <v>1</v>
      </c>
      <c r="K1719" s="46">
        <v>12</v>
      </c>
      <c r="L1719" s="46">
        <f>K1719*J1719</f>
        <v>12</v>
      </c>
      <c r="M1719" s="39"/>
      <c r="N1719" s="39">
        <v>44831</v>
      </c>
      <c r="O1719" s="38">
        <v>4599</v>
      </c>
      <c r="P1719" s="6"/>
      <c r="Q1719" s="483">
        <v>12</v>
      </c>
      <c r="R1719" s="704">
        <f>Q1719*J1719</f>
        <v>12</v>
      </c>
      <c r="S1719" s="489">
        <v>1000</v>
      </c>
      <c r="T1719" s="113">
        <f>S1719*J1719</f>
        <v>1000</v>
      </c>
      <c r="U1719" s="501"/>
      <c r="V1719" s="494">
        <v>120</v>
      </c>
    </row>
    <row r="1720" spans="2:23" s="314" customFormat="1" ht="15" customHeight="1">
      <c r="B1720" s="313"/>
      <c r="C1720" s="302" t="s">
        <v>3094</v>
      </c>
      <c r="D1720" s="303" t="s">
        <v>3095</v>
      </c>
      <c r="E1720" s="304"/>
      <c r="F1720" s="305"/>
      <c r="G1720" s="691" t="s">
        <v>3101</v>
      </c>
      <c r="H1720" s="307" t="s">
        <v>1243</v>
      </c>
      <c r="I1720" s="308"/>
      <c r="J1720" s="306"/>
      <c r="K1720" s="329">
        <v>25</v>
      </c>
      <c r="L1720" s="329">
        <v>25</v>
      </c>
      <c r="M1720" s="310"/>
      <c r="N1720" s="310">
        <v>44831</v>
      </c>
      <c r="O1720" s="309">
        <v>4599</v>
      </c>
      <c r="P1720" s="302"/>
      <c r="Q1720" s="527">
        <v>25</v>
      </c>
      <c r="R1720" s="704">
        <v>25</v>
      </c>
      <c r="S1720" s="536">
        <v>2971</v>
      </c>
      <c r="T1720" s="322">
        <v>2971</v>
      </c>
      <c r="U1720" s="515"/>
      <c r="V1720" s="494">
        <v>120</v>
      </c>
    </row>
    <row r="1721" spans="2:23" ht="15">
      <c r="C1721" s="6" t="s">
        <v>3102</v>
      </c>
      <c r="D1721" s="15" t="s">
        <v>1178</v>
      </c>
      <c r="E1721" s="20" t="s">
        <v>2996</v>
      </c>
      <c r="F1721" s="150"/>
      <c r="G1721" s="24"/>
      <c r="H1721" s="151"/>
      <c r="I1721" s="152"/>
      <c r="J1721" s="151"/>
      <c r="K1721" s="153" t="s">
        <v>10</v>
      </c>
      <c r="L1721" s="39"/>
      <c r="M1721" s="39"/>
      <c r="N1721" s="39">
        <v>44915</v>
      </c>
      <c r="O1721" s="38">
        <v>4846</v>
      </c>
      <c r="P1721" s="15"/>
      <c r="Q1721" s="483"/>
      <c r="S1721" s="496"/>
      <c r="T1721" s="113"/>
      <c r="V1721" s="494">
        <v>120</v>
      </c>
      <c r="W1721"/>
    </row>
    <row r="1722" spans="2:23" ht="15.75">
      <c r="B1722" s="12" t="s">
        <v>1858</v>
      </c>
      <c r="C1722" s="6" t="s">
        <v>3102</v>
      </c>
      <c r="D1722" s="15" t="s">
        <v>1178</v>
      </c>
      <c r="E1722" s="24" t="s">
        <v>2989</v>
      </c>
      <c r="F1722" s="150">
        <v>148</v>
      </c>
      <c r="G1722" s="24" t="s">
        <v>3001</v>
      </c>
      <c r="H1722" s="67"/>
      <c r="I1722" s="68"/>
      <c r="J1722" s="19">
        <v>594.6</v>
      </c>
      <c r="K1722" s="46">
        <v>15.82</v>
      </c>
      <c r="L1722" s="46">
        <f>K1722*J1722</f>
        <v>9406.5720000000001</v>
      </c>
      <c r="M1722" s="162" t="s">
        <v>2219</v>
      </c>
      <c r="N1722" s="39">
        <v>44915</v>
      </c>
      <c r="O1722" s="38">
        <v>4846</v>
      </c>
      <c r="P1722" s="46">
        <f>K1722*(VLOOKUP(B1722,$C$2:$F$6,3,FALSE))</f>
        <v>14.870799999999999</v>
      </c>
      <c r="Q1722" s="483">
        <v>14.87</v>
      </c>
      <c r="R1722" s="704">
        <f>Q1722*J1722</f>
        <v>8841.7019999999993</v>
      </c>
      <c r="S1722" s="532">
        <v>1650</v>
      </c>
      <c r="T1722" s="567">
        <f>S1722*J1722</f>
        <v>981090</v>
      </c>
      <c r="V1722" s="494">
        <v>120</v>
      </c>
      <c r="W1722"/>
    </row>
    <row r="1723" spans="2:23" ht="15.75">
      <c r="B1723" s="12" t="s">
        <v>1858</v>
      </c>
      <c r="C1723" s="6" t="s">
        <v>3102</v>
      </c>
      <c r="D1723" s="15" t="s">
        <v>1178</v>
      </c>
      <c r="E1723" s="24" t="s">
        <v>2989</v>
      </c>
      <c r="F1723" s="150">
        <v>148</v>
      </c>
      <c r="G1723" s="24" t="s">
        <v>2997</v>
      </c>
      <c r="H1723" s="67"/>
      <c r="I1723" s="68"/>
      <c r="J1723" s="19">
        <v>317.7</v>
      </c>
      <c r="K1723" s="46">
        <v>15.82</v>
      </c>
      <c r="L1723" s="46">
        <f>K1723*J1723</f>
        <v>5026.0140000000001</v>
      </c>
      <c r="M1723" s="162" t="s">
        <v>2219</v>
      </c>
      <c r="N1723" s="39">
        <v>44915</v>
      </c>
      <c r="O1723" s="38">
        <v>4846</v>
      </c>
      <c r="P1723" s="46">
        <f>K1723*(VLOOKUP(B1723,$C$2:$F$6,3,FALSE))</f>
        <v>14.870799999999999</v>
      </c>
      <c r="Q1723" s="483">
        <v>14.87</v>
      </c>
      <c r="R1723" s="704">
        <f>Q1723*J1723</f>
        <v>4724.1989999999996</v>
      </c>
      <c r="S1723" s="532">
        <v>1650</v>
      </c>
      <c r="T1723" s="567">
        <f>S1723*J1723</f>
        <v>524205</v>
      </c>
      <c r="V1723" s="494">
        <v>120</v>
      </c>
      <c r="W1723"/>
    </row>
    <row r="1724" spans="2:23" ht="15.75">
      <c r="B1724" s="12" t="s">
        <v>1858</v>
      </c>
      <c r="C1724" s="6" t="s">
        <v>3102</v>
      </c>
      <c r="D1724" s="15" t="s">
        <v>1178</v>
      </c>
      <c r="E1724" s="24" t="s">
        <v>2989</v>
      </c>
      <c r="F1724" s="150">
        <v>148</v>
      </c>
      <c r="G1724" s="24" t="s">
        <v>3000</v>
      </c>
      <c r="H1724" s="67"/>
      <c r="I1724" s="68"/>
      <c r="J1724" s="19">
        <v>317.89999999999998</v>
      </c>
      <c r="K1724" s="46">
        <v>15.82</v>
      </c>
      <c r="L1724" s="46">
        <f>K1724*J1724</f>
        <v>5029.1779999999999</v>
      </c>
      <c r="M1724" s="162" t="s">
        <v>2219</v>
      </c>
      <c r="N1724" s="39">
        <v>44915</v>
      </c>
      <c r="O1724" s="38">
        <v>4846</v>
      </c>
      <c r="P1724" s="46">
        <f>K1724*(VLOOKUP(B1724,$C$2:$F$6,3,FALSE))</f>
        <v>14.870799999999999</v>
      </c>
      <c r="Q1724" s="483">
        <v>14.87</v>
      </c>
      <c r="R1724" s="704">
        <f>Q1724*J1724</f>
        <v>4727.1729999999998</v>
      </c>
      <c r="S1724" s="532">
        <v>1650</v>
      </c>
      <c r="T1724" s="567">
        <f>S1724*J1724</f>
        <v>524535</v>
      </c>
      <c r="V1724" s="494">
        <v>120</v>
      </c>
      <c r="W1724"/>
    </row>
    <row r="1725" spans="2:23" s="314" customFormat="1" ht="15.6" customHeight="1">
      <c r="B1725" s="313"/>
      <c r="C1725" s="302" t="s">
        <v>3102</v>
      </c>
      <c r="D1725" s="303" t="s">
        <v>1178</v>
      </c>
      <c r="E1725" s="304"/>
      <c r="F1725" s="305"/>
      <c r="G1725" s="305" t="s">
        <v>1227</v>
      </c>
      <c r="H1725" s="307" t="s">
        <v>1228</v>
      </c>
      <c r="I1725" s="308"/>
      <c r="J1725" s="306"/>
      <c r="K1725" s="315">
        <v>0</v>
      </c>
      <c r="L1725" s="310"/>
      <c r="M1725" s="310"/>
      <c r="N1725" s="310">
        <v>44915</v>
      </c>
      <c r="O1725" s="309">
        <v>4846</v>
      </c>
      <c r="P1725" s="302"/>
      <c r="Q1725" s="485">
        <v>0</v>
      </c>
      <c r="S1725" s="535">
        <v>0</v>
      </c>
      <c r="T1725" s="322">
        <v>0</v>
      </c>
      <c r="U1725" s="515"/>
      <c r="V1725" s="494">
        <v>120</v>
      </c>
    </row>
    <row r="1726" spans="2:23" s="7" customFormat="1" ht="18" customHeight="1">
      <c r="B1726" s="12"/>
      <c r="C1726" s="6" t="s">
        <v>3207</v>
      </c>
      <c r="D1726" s="15" t="s">
        <v>2451</v>
      </c>
      <c r="E1726" s="20" t="s">
        <v>1647</v>
      </c>
      <c r="F1726" s="150"/>
      <c r="G1726" s="24"/>
      <c r="H1726" s="151"/>
      <c r="I1726" s="152"/>
      <c r="J1726" s="151"/>
      <c r="K1726" s="34" t="s">
        <v>10</v>
      </c>
      <c r="L1726" s="39"/>
      <c r="M1726" s="39"/>
      <c r="N1726" s="39">
        <v>44859</v>
      </c>
      <c r="O1726" s="38">
        <v>4673</v>
      </c>
      <c r="P1726" s="15"/>
      <c r="Q1726" s="483"/>
      <c r="S1726" s="489"/>
      <c r="T1726" s="113"/>
      <c r="U1726" s="506"/>
      <c r="V1726" s="494">
        <v>120</v>
      </c>
    </row>
    <row r="1727" spans="2:23" s="7" customFormat="1" ht="15" customHeight="1">
      <c r="B1727" s="12" t="s">
        <v>1858</v>
      </c>
      <c r="C1727" s="6" t="s">
        <v>3207</v>
      </c>
      <c r="D1727" s="15" t="s">
        <v>2451</v>
      </c>
      <c r="E1727" s="24" t="s">
        <v>2447</v>
      </c>
      <c r="F1727" s="150">
        <v>152</v>
      </c>
      <c r="G1727" s="24" t="s">
        <v>114</v>
      </c>
      <c r="H1727" s="8">
        <v>58</v>
      </c>
      <c r="I1727" s="41">
        <v>5</v>
      </c>
      <c r="J1727" s="67">
        <f>H1727*I1727</f>
        <v>290</v>
      </c>
      <c r="K1727" s="46">
        <v>5.84</v>
      </c>
      <c r="L1727" s="46">
        <f>K1727*J1727</f>
        <v>1693.6</v>
      </c>
      <c r="M1727" s="162" t="s">
        <v>2219</v>
      </c>
      <c r="N1727" s="39">
        <v>44859</v>
      </c>
      <c r="O1727" s="38">
        <v>4673</v>
      </c>
      <c r="P1727" s="46">
        <v>4.7</v>
      </c>
      <c r="Q1727" s="483">
        <v>4.7</v>
      </c>
      <c r="R1727" s="704">
        <f>Q1727*J1727</f>
        <v>1363</v>
      </c>
      <c r="S1727" s="489">
        <v>360</v>
      </c>
      <c r="T1727" s="567">
        <f>S1727*J1727</f>
        <v>104400</v>
      </c>
      <c r="U1727" s="882"/>
      <c r="V1727" s="494">
        <v>120</v>
      </c>
    </row>
    <row r="1728" spans="2:23" s="7" customFormat="1" ht="15" customHeight="1">
      <c r="B1728" s="12" t="s">
        <v>1862</v>
      </c>
      <c r="C1728" s="6" t="s">
        <v>3207</v>
      </c>
      <c r="D1728" s="15" t="s">
        <v>2451</v>
      </c>
      <c r="E1728" s="56"/>
      <c r="F1728" s="138"/>
      <c r="G1728" s="44" t="s">
        <v>1993</v>
      </c>
      <c r="H1728" s="45"/>
      <c r="I1728" s="41"/>
      <c r="J1728" s="45">
        <v>1</v>
      </c>
      <c r="K1728" s="46">
        <v>20</v>
      </c>
      <c r="L1728" s="46">
        <v>0</v>
      </c>
      <c r="M1728" s="112"/>
      <c r="N1728" s="39">
        <v>44859</v>
      </c>
      <c r="O1728" s="38">
        <v>4673</v>
      </c>
      <c r="P1728" s="46">
        <f>K1728*(VLOOKUP(B1728,$C$2:$F$6,3,FALSE))</f>
        <v>20</v>
      </c>
      <c r="Q1728" s="483">
        <v>20</v>
      </c>
      <c r="R1728" s="483">
        <v>20</v>
      </c>
      <c r="S1728" s="489">
        <v>1800</v>
      </c>
      <c r="T1728" s="113">
        <v>1800</v>
      </c>
      <c r="U1728" s="501"/>
      <c r="V1728" s="494">
        <v>120</v>
      </c>
    </row>
    <row r="1729" spans="2:22" s="378" customFormat="1" ht="15" customHeight="1">
      <c r="B1729" s="312"/>
      <c r="C1729" s="302" t="s">
        <v>3207</v>
      </c>
      <c r="D1729" s="303" t="s">
        <v>2451</v>
      </c>
      <c r="E1729" s="304"/>
      <c r="F1729" s="305"/>
      <c r="G1729" s="305" t="s">
        <v>2371</v>
      </c>
      <c r="H1729" s="307" t="s">
        <v>1442</v>
      </c>
      <c r="I1729" s="308"/>
      <c r="J1729" s="306">
        <v>290</v>
      </c>
      <c r="K1729" s="315">
        <f>0.84*290</f>
        <v>243.6</v>
      </c>
      <c r="L1729" s="310"/>
      <c r="M1729" s="310"/>
      <c r="N1729" s="310">
        <v>44859</v>
      </c>
      <c r="O1729" s="309">
        <v>4673</v>
      </c>
      <c r="P1729" s="302"/>
      <c r="Q1729" s="315">
        <f>(0.84*290)-20</f>
        <v>223.6</v>
      </c>
      <c r="R1729" s="315">
        <f>(0.84*290)-20</f>
        <v>223.6</v>
      </c>
      <c r="S1729" s="537">
        <v>10315</v>
      </c>
      <c r="T1729" s="348">
        <v>10315</v>
      </c>
      <c r="U1729" s="515"/>
      <c r="V1729" s="494">
        <v>120</v>
      </c>
    </row>
    <row r="1730" spans="2:22" s="7" customFormat="1" ht="18" customHeight="1">
      <c r="B1730" s="12"/>
      <c r="C1730" s="6" t="s">
        <v>3137</v>
      </c>
      <c r="D1730" s="15" t="s">
        <v>2451</v>
      </c>
      <c r="E1730" s="20" t="s">
        <v>79</v>
      </c>
      <c r="F1730" s="150"/>
      <c r="G1730" s="24"/>
      <c r="H1730" s="151"/>
      <c r="I1730" s="152"/>
      <c r="J1730" s="151"/>
      <c r="K1730" s="34" t="s">
        <v>10</v>
      </c>
      <c r="L1730" s="39"/>
      <c r="M1730" s="39"/>
      <c r="N1730" s="39">
        <v>44865</v>
      </c>
      <c r="O1730" s="38">
        <v>4683</v>
      </c>
      <c r="P1730" s="15"/>
      <c r="Q1730" s="483"/>
      <c r="S1730" s="489"/>
      <c r="T1730" s="113"/>
      <c r="U1730" s="506"/>
      <c r="V1730" s="494">
        <v>120</v>
      </c>
    </row>
    <row r="1731" spans="2:22" s="7" customFormat="1" ht="15" customHeight="1">
      <c r="B1731" s="12" t="s">
        <v>1858</v>
      </c>
      <c r="C1731" s="6" t="s">
        <v>3137</v>
      </c>
      <c r="D1731" s="15" t="s">
        <v>2451</v>
      </c>
      <c r="E1731" s="24">
        <v>2440</v>
      </c>
      <c r="F1731" s="150">
        <v>140</v>
      </c>
      <c r="G1731" s="24" t="s">
        <v>114</v>
      </c>
      <c r="H1731" s="8">
        <v>58</v>
      </c>
      <c r="I1731" s="41">
        <v>6</v>
      </c>
      <c r="J1731" s="67">
        <f t="shared" ref="J1731:J1739" si="82">H1731*I1731</f>
        <v>348</v>
      </c>
      <c r="K1731" s="46">
        <v>4.7300000000000004</v>
      </c>
      <c r="L1731" s="46">
        <f t="shared" ref="L1731:L1739" si="83">K1731*J1731</f>
        <v>1646.0400000000002</v>
      </c>
      <c r="M1731" s="162" t="s">
        <v>2219</v>
      </c>
      <c r="N1731" s="39">
        <v>44865</v>
      </c>
      <c r="O1731" s="38">
        <v>4683</v>
      </c>
      <c r="P1731" s="46">
        <v>3.86</v>
      </c>
      <c r="Q1731" s="483">
        <v>3.86</v>
      </c>
      <c r="R1731" s="704">
        <f t="shared" ref="R1731:R1739" si="84">Q1731*J1731</f>
        <v>1343.28</v>
      </c>
      <c r="S1731" s="489">
        <f t="shared" ref="S1731:S1737" si="85">280+15</f>
        <v>295</v>
      </c>
      <c r="T1731" s="567">
        <f t="shared" ref="T1731:T1739" si="86">S1731*J1731</f>
        <v>102660</v>
      </c>
      <c r="U1731" s="882"/>
      <c r="V1731" s="494">
        <v>120</v>
      </c>
    </row>
    <row r="1732" spans="2:22" s="7" customFormat="1" ht="15" customHeight="1">
      <c r="B1732" s="12" t="s">
        <v>1858</v>
      </c>
      <c r="C1732" s="6" t="s">
        <v>3137</v>
      </c>
      <c r="D1732" s="15" t="s">
        <v>2451</v>
      </c>
      <c r="E1732" s="24">
        <v>2440</v>
      </c>
      <c r="F1732" s="150">
        <v>140</v>
      </c>
      <c r="G1732" s="24" t="s">
        <v>114</v>
      </c>
      <c r="H1732" s="8">
        <v>57</v>
      </c>
      <c r="I1732" s="41">
        <v>1</v>
      </c>
      <c r="J1732" s="67">
        <f t="shared" si="82"/>
        <v>57</v>
      </c>
      <c r="K1732" s="46">
        <v>4.7300000000000004</v>
      </c>
      <c r="L1732" s="46">
        <f t="shared" si="83"/>
        <v>269.61</v>
      </c>
      <c r="M1732" s="162" t="s">
        <v>2219</v>
      </c>
      <c r="N1732" s="39">
        <v>44865</v>
      </c>
      <c r="O1732" s="38">
        <v>4683</v>
      </c>
      <c r="P1732" s="46">
        <v>3.86</v>
      </c>
      <c r="Q1732" s="483">
        <v>3.86</v>
      </c>
      <c r="R1732" s="704">
        <f t="shared" si="84"/>
        <v>220.01999999999998</v>
      </c>
      <c r="S1732" s="489">
        <f t="shared" si="85"/>
        <v>295</v>
      </c>
      <c r="T1732" s="567">
        <f t="shared" si="86"/>
        <v>16815</v>
      </c>
      <c r="U1732" s="882"/>
      <c r="V1732" s="494">
        <v>120</v>
      </c>
    </row>
    <row r="1733" spans="2:22" s="7" customFormat="1" ht="15" customHeight="1">
      <c r="B1733" s="12" t="s">
        <v>1858</v>
      </c>
      <c r="C1733" s="6" t="s">
        <v>3137</v>
      </c>
      <c r="D1733" s="15" t="s">
        <v>2451</v>
      </c>
      <c r="E1733" s="24">
        <v>2440</v>
      </c>
      <c r="F1733" s="150">
        <v>140</v>
      </c>
      <c r="G1733" s="24" t="s">
        <v>3138</v>
      </c>
      <c r="H1733" s="8">
        <v>58</v>
      </c>
      <c r="I1733" s="41">
        <v>3</v>
      </c>
      <c r="J1733" s="67">
        <f t="shared" si="82"/>
        <v>174</v>
      </c>
      <c r="K1733" s="46">
        <v>4.7300000000000004</v>
      </c>
      <c r="L1733" s="46">
        <f t="shared" si="83"/>
        <v>823.0200000000001</v>
      </c>
      <c r="M1733" s="162" t="s">
        <v>2219</v>
      </c>
      <c r="N1733" s="39">
        <v>44865</v>
      </c>
      <c r="O1733" s="38">
        <v>4683</v>
      </c>
      <c r="P1733" s="46">
        <v>3.86</v>
      </c>
      <c r="Q1733" s="483">
        <v>3.86</v>
      </c>
      <c r="R1733" s="704">
        <f t="shared" si="84"/>
        <v>671.64</v>
      </c>
      <c r="S1733" s="489">
        <f t="shared" si="85"/>
        <v>295</v>
      </c>
      <c r="T1733" s="567">
        <f t="shared" si="86"/>
        <v>51330</v>
      </c>
      <c r="U1733" s="882"/>
      <c r="V1733" s="494">
        <v>120</v>
      </c>
    </row>
    <row r="1734" spans="2:22" s="7" customFormat="1" ht="15" customHeight="1">
      <c r="B1734" s="12" t="s">
        <v>1858</v>
      </c>
      <c r="C1734" s="6" t="s">
        <v>3137</v>
      </c>
      <c r="D1734" s="15" t="s">
        <v>2451</v>
      </c>
      <c r="E1734" s="24">
        <v>2440</v>
      </c>
      <c r="F1734" s="150">
        <v>140</v>
      </c>
      <c r="G1734" s="24" t="s">
        <v>3138</v>
      </c>
      <c r="H1734" s="8">
        <v>57</v>
      </c>
      <c r="I1734" s="41">
        <v>1</v>
      </c>
      <c r="J1734" s="67">
        <f t="shared" si="82"/>
        <v>57</v>
      </c>
      <c r="K1734" s="46">
        <v>4.7300000000000004</v>
      </c>
      <c r="L1734" s="46">
        <f t="shared" si="83"/>
        <v>269.61</v>
      </c>
      <c r="M1734" s="162" t="s">
        <v>2219</v>
      </c>
      <c r="N1734" s="39">
        <v>44865</v>
      </c>
      <c r="O1734" s="38">
        <v>4683</v>
      </c>
      <c r="P1734" s="46">
        <v>3.86</v>
      </c>
      <c r="Q1734" s="483">
        <v>3.86</v>
      </c>
      <c r="R1734" s="704">
        <f t="shared" si="84"/>
        <v>220.01999999999998</v>
      </c>
      <c r="S1734" s="489">
        <f t="shared" si="85"/>
        <v>295</v>
      </c>
      <c r="T1734" s="567">
        <f t="shared" si="86"/>
        <v>16815</v>
      </c>
      <c r="U1734" s="882"/>
      <c r="V1734" s="494">
        <v>120</v>
      </c>
    </row>
    <row r="1735" spans="2:22" s="7" customFormat="1" ht="15" customHeight="1">
      <c r="B1735" s="12" t="s">
        <v>1858</v>
      </c>
      <c r="C1735" s="6" t="s">
        <v>3137</v>
      </c>
      <c r="D1735" s="15" t="s">
        <v>2451</v>
      </c>
      <c r="E1735" s="24">
        <v>2440</v>
      </c>
      <c r="F1735" s="150">
        <v>140</v>
      </c>
      <c r="G1735" s="24" t="s">
        <v>3139</v>
      </c>
      <c r="H1735" s="8">
        <v>58</v>
      </c>
      <c r="I1735" s="41">
        <v>5</v>
      </c>
      <c r="J1735" s="67">
        <f t="shared" si="82"/>
        <v>290</v>
      </c>
      <c r="K1735" s="46">
        <v>4.7300000000000004</v>
      </c>
      <c r="L1735" s="46">
        <f t="shared" si="83"/>
        <v>1371.7</v>
      </c>
      <c r="M1735" s="162" t="s">
        <v>2219</v>
      </c>
      <c r="N1735" s="39">
        <v>44865</v>
      </c>
      <c r="O1735" s="38">
        <v>4683</v>
      </c>
      <c r="P1735" s="46">
        <v>3.86</v>
      </c>
      <c r="Q1735" s="483">
        <v>3.86</v>
      </c>
      <c r="R1735" s="704">
        <f t="shared" si="84"/>
        <v>1119.3999999999999</v>
      </c>
      <c r="S1735" s="489">
        <f t="shared" si="85"/>
        <v>295</v>
      </c>
      <c r="T1735" s="567">
        <f t="shared" si="86"/>
        <v>85550</v>
      </c>
      <c r="U1735" s="882"/>
      <c r="V1735" s="494">
        <v>120</v>
      </c>
    </row>
    <row r="1736" spans="2:22" s="7" customFormat="1" ht="15" customHeight="1">
      <c r="B1736" s="12" t="s">
        <v>1858</v>
      </c>
      <c r="C1736" s="6" t="s">
        <v>3137</v>
      </c>
      <c r="D1736" s="15" t="s">
        <v>2451</v>
      </c>
      <c r="E1736" s="24">
        <v>2440</v>
      </c>
      <c r="F1736" s="150">
        <v>140</v>
      </c>
      <c r="G1736" s="24" t="s">
        <v>3139</v>
      </c>
      <c r="H1736" s="8">
        <v>61</v>
      </c>
      <c r="I1736" s="41">
        <v>1</v>
      </c>
      <c r="J1736" s="67">
        <f t="shared" si="82"/>
        <v>61</v>
      </c>
      <c r="K1736" s="46">
        <v>4.7300000000000004</v>
      </c>
      <c r="L1736" s="46">
        <f t="shared" si="83"/>
        <v>288.53000000000003</v>
      </c>
      <c r="M1736" s="162" t="s">
        <v>2219</v>
      </c>
      <c r="N1736" s="39">
        <v>44865</v>
      </c>
      <c r="O1736" s="38">
        <v>4683</v>
      </c>
      <c r="P1736" s="46">
        <v>3.86</v>
      </c>
      <c r="Q1736" s="483">
        <v>3.86</v>
      </c>
      <c r="R1736" s="704">
        <f t="shared" si="84"/>
        <v>235.45999999999998</v>
      </c>
      <c r="S1736" s="489">
        <f t="shared" si="85"/>
        <v>295</v>
      </c>
      <c r="T1736" s="567">
        <f t="shared" si="86"/>
        <v>17995</v>
      </c>
      <c r="U1736" s="882"/>
      <c r="V1736" s="494">
        <v>120</v>
      </c>
    </row>
    <row r="1737" spans="2:22" s="7" customFormat="1" ht="15" customHeight="1">
      <c r="B1737" s="12" t="s">
        <v>1858</v>
      </c>
      <c r="C1737" s="6" t="s">
        <v>3137</v>
      </c>
      <c r="D1737" s="15" t="s">
        <v>2451</v>
      </c>
      <c r="E1737" s="24">
        <v>2440</v>
      </c>
      <c r="F1737" s="150">
        <v>140</v>
      </c>
      <c r="G1737" s="24" t="s">
        <v>3139</v>
      </c>
      <c r="H1737" s="8">
        <v>57</v>
      </c>
      <c r="I1737" s="41">
        <v>1</v>
      </c>
      <c r="J1737" s="67">
        <f t="shared" si="82"/>
        <v>57</v>
      </c>
      <c r="K1737" s="46">
        <v>4.7300000000000004</v>
      </c>
      <c r="L1737" s="46">
        <f t="shared" si="83"/>
        <v>269.61</v>
      </c>
      <c r="M1737" s="162" t="s">
        <v>2219</v>
      </c>
      <c r="N1737" s="39">
        <v>44865</v>
      </c>
      <c r="O1737" s="38">
        <v>4683</v>
      </c>
      <c r="P1737" s="46">
        <v>3.86</v>
      </c>
      <c r="Q1737" s="483">
        <v>3.86</v>
      </c>
      <c r="R1737" s="704">
        <f t="shared" si="84"/>
        <v>220.01999999999998</v>
      </c>
      <c r="S1737" s="489">
        <f t="shared" si="85"/>
        <v>295</v>
      </c>
      <c r="T1737" s="567">
        <f t="shared" si="86"/>
        <v>16815</v>
      </c>
      <c r="U1737" s="882"/>
      <c r="V1737" s="494">
        <v>120</v>
      </c>
    </row>
    <row r="1738" spans="2:22" s="7" customFormat="1" ht="15" customHeight="1">
      <c r="B1738" s="12" t="s">
        <v>1858</v>
      </c>
      <c r="C1738" s="6" t="s">
        <v>3411</v>
      </c>
      <c r="D1738" s="15" t="s">
        <v>2451</v>
      </c>
      <c r="E1738" s="24">
        <v>2440</v>
      </c>
      <c r="F1738" s="150">
        <v>140</v>
      </c>
      <c r="G1738" s="24" t="s">
        <v>3407</v>
      </c>
      <c r="H1738" s="8">
        <v>58</v>
      </c>
      <c r="I1738" s="41">
        <v>3</v>
      </c>
      <c r="J1738" s="67">
        <f t="shared" si="82"/>
        <v>174</v>
      </c>
      <c r="K1738" s="46">
        <v>4.7300000000000004</v>
      </c>
      <c r="L1738" s="46">
        <f t="shared" si="83"/>
        <v>823.0200000000001</v>
      </c>
      <c r="M1738" s="162" t="s">
        <v>2219</v>
      </c>
      <c r="N1738" s="39">
        <v>44865</v>
      </c>
      <c r="O1738" s="38">
        <v>4683</v>
      </c>
      <c r="P1738" s="46">
        <v>3.86</v>
      </c>
      <c r="Q1738" s="483">
        <v>3.86</v>
      </c>
      <c r="R1738" s="704">
        <f t="shared" si="84"/>
        <v>671.64</v>
      </c>
      <c r="S1738" s="489">
        <v>280</v>
      </c>
      <c r="T1738" s="567">
        <f t="shared" si="86"/>
        <v>48720</v>
      </c>
      <c r="U1738" s="882"/>
      <c r="V1738" s="494">
        <v>120</v>
      </c>
    </row>
    <row r="1739" spans="2:22" s="7" customFormat="1" ht="15" customHeight="1">
      <c r="B1739" s="12" t="s">
        <v>1858</v>
      </c>
      <c r="C1739" s="6" t="s">
        <v>3411</v>
      </c>
      <c r="D1739" s="15" t="s">
        <v>2451</v>
      </c>
      <c r="E1739" s="24">
        <v>2440</v>
      </c>
      <c r="F1739" s="150">
        <v>140</v>
      </c>
      <c r="G1739" s="24" t="s">
        <v>3138</v>
      </c>
      <c r="H1739" s="8">
        <v>58</v>
      </c>
      <c r="I1739" s="41">
        <v>1</v>
      </c>
      <c r="J1739" s="67">
        <f t="shared" si="82"/>
        <v>58</v>
      </c>
      <c r="K1739" s="46">
        <v>4.7300000000000004</v>
      </c>
      <c r="L1739" s="46">
        <f t="shared" si="83"/>
        <v>274.34000000000003</v>
      </c>
      <c r="M1739" s="162" t="s">
        <v>2219</v>
      </c>
      <c r="N1739" s="39">
        <v>44865</v>
      </c>
      <c r="O1739" s="38">
        <v>4683</v>
      </c>
      <c r="P1739" s="46">
        <v>3.86</v>
      </c>
      <c r="Q1739" s="483">
        <v>3.86</v>
      </c>
      <c r="R1739" s="704">
        <f t="shared" si="84"/>
        <v>223.88</v>
      </c>
      <c r="S1739" s="489">
        <v>280</v>
      </c>
      <c r="T1739" s="567">
        <f t="shared" si="86"/>
        <v>16240</v>
      </c>
      <c r="U1739" s="882"/>
      <c r="V1739" s="494">
        <v>120</v>
      </c>
    </row>
    <row r="1740" spans="2:22" s="7" customFormat="1" ht="15" customHeight="1">
      <c r="B1740" s="12" t="s">
        <v>1862</v>
      </c>
      <c r="C1740" s="6" t="s">
        <v>3137</v>
      </c>
      <c r="D1740" s="15" t="s">
        <v>2451</v>
      </c>
      <c r="E1740" s="24"/>
      <c r="F1740" s="138"/>
      <c r="G1740" s="44" t="s">
        <v>1993</v>
      </c>
      <c r="H1740" s="45"/>
      <c r="I1740" s="41"/>
      <c r="J1740" s="45">
        <v>1</v>
      </c>
      <c r="K1740" s="46">
        <v>20</v>
      </c>
      <c r="L1740" s="46">
        <v>0</v>
      </c>
      <c r="M1740" s="112"/>
      <c r="N1740" s="39">
        <v>44865</v>
      </c>
      <c r="O1740" s="38">
        <v>4683</v>
      </c>
      <c r="P1740" s="46">
        <f>K1740*(VLOOKUP(B1740,$C$2:$F$6,3,FALSE))</f>
        <v>20</v>
      </c>
      <c r="Q1740" s="483">
        <v>20</v>
      </c>
      <c r="R1740" s="483">
        <v>20</v>
      </c>
      <c r="S1740" s="489">
        <v>1800</v>
      </c>
      <c r="T1740" s="113">
        <v>1800</v>
      </c>
      <c r="U1740" s="501"/>
      <c r="V1740" s="494">
        <v>120</v>
      </c>
    </row>
    <row r="1741" spans="2:22" s="7" customFormat="1" ht="15" customHeight="1">
      <c r="B1741" s="12" t="s">
        <v>1858</v>
      </c>
      <c r="C1741" s="6" t="s">
        <v>3137</v>
      </c>
      <c r="D1741" s="15" t="s">
        <v>2451</v>
      </c>
      <c r="E1741" s="24">
        <v>2440</v>
      </c>
      <c r="F1741" s="150">
        <v>140</v>
      </c>
      <c r="G1741" s="24" t="s">
        <v>114</v>
      </c>
      <c r="H1741" s="8"/>
      <c r="I1741" s="41"/>
      <c r="J1741" s="67">
        <v>1</v>
      </c>
      <c r="K1741" s="46">
        <v>4.7300000000000004</v>
      </c>
      <c r="L1741" s="46"/>
      <c r="M1741" s="162" t="s">
        <v>2219</v>
      </c>
      <c r="N1741" s="1086" t="s">
        <v>1422</v>
      </c>
      <c r="O1741" s="38"/>
      <c r="P1741" s="46"/>
      <c r="Q1741" s="483"/>
      <c r="R1741" s="483"/>
      <c r="S1741" s="489">
        <v>280</v>
      </c>
      <c r="T1741" s="567">
        <f>S1741*J1741</f>
        <v>280</v>
      </c>
      <c r="U1741" s="882"/>
      <c r="V1741" s="494">
        <v>120</v>
      </c>
    </row>
    <row r="1742" spans="2:22" s="7" customFormat="1" ht="15" customHeight="1">
      <c r="B1742" s="12" t="s">
        <v>1858</v>
      </c>
      <c r="C1742" s="6" t="s">
        <v>3137</v>
      </c>
      <c r="D1742" s="15" t="s">
        <v>2451</v>
      </c>
      <c r="E1742" s="24">
        <v>2440</v>
      </c>
      <c r="F1742" s="150">
        <v>140</v>
      </c>
      <c r="G1742" s="24" t="s">
        <v>3138</v>
      </c>
      <c r="H1742" s="8"/>
      <c r="I1742" s="41"/>
      <c r="J1742" s="67">
        <v>1</v>
      </c>
      <c r="K1742" s="46">
        <v>4.7300000000000004</v>
      </c>
      <c r="L1742" s="46"/>
      <c r="M1742" s="162" t="s">
        <v>2219</v>
      </c>
      <c r="N1742" s="1086" t="s">
        <v>1422</v>
      </c>
      <c r="O1742" s="38"/>
      <c r="P1742" s="46"/>
      <c r="Q1742" s="483"/>
      <c r="R1742" s="483"/>
      <c r="S1742" s="489">
        <v>280</v>
      </c>
      <c r="T1742" s="567">
        <f>S1742*J1742</f>
        <v>280</v>
      </c>
      <c r="U1742" s="882"/>
      <c r="V1742" s="494">
        <v>120</v>
      </c>
    </row>
    <row r="1743" spans="2:22" s="7" customFormat="1" ht="15" customHeight="1">
      <c r="B1743" s="12" t="s">
        <v>1858</v>
      </c>
      <c r="C1743" s="6" t="s">
        <v>3137</v>
      </c>
      <c r="D1743" s="15" t="s">
        <v>2451</v>
      </c>
      <c r="E1743" s="24">
        <v>2440</v>
      </c>
      <c r="F1743" s="150">
        <v>140</v>
      </c>
      <c r="G1743" s="24" t="s">
        <v>3139</v>
      </c>
      <c r="H1743" s="8"/>
      <c r="I1743" s="41"/>
      <c r="J1743" s="67">
        <v>1</v>
      </c>
      <c r="K1743" s="46">
        <v>4.7300000000000004</v>
      </c>
      <c r="L1743" s="46"/>
      <c r="M1743" s="162" t="s">
        <v>2219</v>
      </c>
      <c r="N1743" s="1086" t="s">
        <v>1422</v>
      </c>
      <c r="O1743" s="38"/>
      <c r="P1743" s="46"/>
      <c r="Q1743" s="483"/>
      <c r="R1743" s="483"/>
      <c r="S1743" s="489">
        <v>280</v>
      </c>
      <c r="T1743" s="567">
        <f>S1743*J1743</f>
        <v>280</v>
      </c>
      <c r="U1743" s="882"/>
      <c r="V1743" s="494">
        <v>120</v>
      </c>
    </row>
    <row r="1744" spans="2:22" s="378" customFormat="1" ht="15" customHeight="1">
      <c r="B1744" s="312"/>
      <c r="C1744" s="302" t="s">
        <v>3137</v>
      </c>
      <c r="D1744" s="303" t="s">
        <v>2451</v>
      </c>
      <c r="E1744" s="304"/>
      <c r="F1744" s="305"/>
      <c r="G1744" s="305" t="s">
        <v>2371</v>
      </c>
      <c r="H1744" s="307" t="s">
        <v>1442</v>
      </c>
      <c r="I1744" s="308"/>
      <c r="J1744" s="306">
        <v>1276</v>
      </c>
      <c r="K1744" s="315">
        <f>0.63*1276</f>
        <v>803.88</v>
      </c>
      <c r="L1744" s="310"/>
      <c r="M1744" s="310"/>
      <c r="N1744" s="310">
        <v>44865</v>
      </c>
      <c r="O1744" s="309">
        <v>4683</v>
      </c>
      <c r="P1744" s="302"/>
      <c r="Q1744" s="315">
        <f>(0.63*1276)-20</f>
        <v>783.88</v>
      </c>
      <c r="R1744" s="315">
        <f>(0.63*1276)-20</f>
        <v>783.88</v>
      </c>
      <c r="S1744" s="537">
        <v>46782</v>
      </c>
      <c r="T1744" s="348">
        <v>46782</v>
      </c>
      <c r="U1744" s="515"/>
      <c r="V1744" s="494">
        <v>120</v>
      </c>
    </row>
    <row r="1745" spans="2:23" s="7" customFormat="1" ht="18" customHeight="1">
      <c r="B1745" s="12"/>
      <c r="C1745" s="6" t="s">
        <v>3137</v>
      </c>
      <c r="D1745" s="15" t="s">
        <v>2451</v>
      </c>
      <c r="E1745" s="20" t="s">
        <v>79</v>
      </c>
      <c r="F1745" s="150"/>
      <c r="G1745" s="24"/>
      <c r="H1745" s="151"/>
      <c r="I1745" s="152"/>
      <c r="J1745" s="151"/>
      <c r="K1745" s="34" t="s">
        <v>10</v>
      </c>
      <c r="L1745" s="39"/>
      <c r="M1745" s="39"/>
      <c r="N1745" s="39">
        <v>44886</v>
      </c>
      <c r="O1745" s="38">
        <v>4750</v>
      </c>
      <c r="P1745" s="15"/>
      <c r="Q1745" s="483"/>
      <c r="S1745" s="489"/>
      <c r="T1745" s="113"/>
      <c r="U1745" s="506"/>
      <c r="V1745" s="494">
        <v>120</v>
      </c>
    </row>
    <row r="1746" spans="2:23" s="7" customFormat="1" ht="15" customHeight="1">
      <c r="B1746" s="12" t="s">
        <v>1858</v>
      </c>
      <c r="C1746" s="6" t="s">
        <v>3137</v>
      </c>
      <c r="D1746" s="15" t="s">
        <v>2451</v>
      </c>
      <c r="E1746" s="24">
        <v>2440</v>
      </c>
      <c r="F1746" s="150">
        <v>140</v>
      </c>
      <c r="G1746" s="24" t="s">
        <v>3139</v>
      </c>
      <c r="H1746" s="8">
        <v>58</v>
      </c>
      <c r="I1746" s="41">
        <v>4</v>
      </c>
      <c r="J1746" s="67">
        <f>H1746*I1746</f>
        <v>232</v>
      </c>
      <c r="K1746" s="46">
        <v>4.7300000000000004</v>
      </c>
      <c r="L1746" s="46">
        <f>K1746*J1746</f>
        <v>1097.3600000000001</v>
      </c>
      <c r="M1746" s="162" t="s">
        <v>2219</v>
      </c>
      <c r="N1746" s="39">
        <v>44886</v>
      </c>
      <c r="O1746" s="38">
        <v>4750</v>
      </c>
      <c r="P1746" s="46">
        <v>3.86</v>
      </c>
      <c r="Q1746" s="483">
        <v>3.86</v>
      </c>
      <c r="R1746" s="704">
        <f>Q1746*J1746</f>
        <v>895.52</v>
      </c>
      <c r="S1746" s="489">
        <v>280</v>
      </c>
      <c r="T1746" s="567">
        <f>S1746*J1746</f>
        <v>64960</v>
      </c>
      <c r="U1746" s="882"/>
      <c r="V1746" s="494">
        <v>120</v>
      </c>
    </row>
    <row r="1747" spans="2:23" s="7" customFormat="1" ht="15" customHeight="1">
      <c r="B1747" s="12" t="s">
        <v>1858</v>
      </c>
      <c r="C1747" s="6" t="s">
        <v>3137</v>
      </c>
      <c r="D1747" s="15" t="s">
        <v>2451</v>
      </c>
      <c r="E1747" s="24">
        <v>2440</v>
      </c>
      <c r="F1747" s="150">
        <v>140</v>
      </c>
      <c r="G1747" s="24" t="s">
        <v>3139</v>
      </c>
      <c r="H1747" s="8">
        <v>57</v>
      </c>
      <c r="I1747" s="41">
        <v>1</v>
      </c>
      <c r="J1747" s="67">
        <f>H1747*I1747</f>
        <v>57</v>
      </c>
      <c r="K1747" s="46">
        <v>4.7300000000000004</v>
      </c>
      <c r="L1747" s="46">
        <f>K1747*J1747</f>
        <v>269.61</v>
      </c>
      <c r="M1747" s="162" t="s">
        <v>2219</v>
      </c>
      <c r="N1747" s="39">
        <v>44886</v>
      </c>
      <c r="O1747" s="38">
        <v>4750</v>
      </c>
      <c r="P1747" s="46">
        <v>3.86</v>
      </c>
      <c r="Q1747" s="483">
        <v>3.86</v>
      </c>
      <c r="R1747" s="704">
        <f>Q1747*J1747</f>
        <v>220.01999999999998</v>
      </c>
      <c r="S1747" s="489">
        <v>280</v>
      </c>
      <c r="T1747" s="567">
        <f>S1747*J1747</f>
        <v>15960</v>
      </c>
      <c r="U1747" s="882"/>
      <c r="V1747" s="494">
        <v>120</v>
      </c>
    </row>
    <row r="1748" spans="2:23" s="7" customFormat="1" ht="15" customHeight="1">
      <c r="B1748" s="12" t="s">
        <v>1862</v>
      </c>
      <c r="C1748" s="6" t="s">
        <v>3137</v>
      </c>
      <c r="D1748" s="15" t="s">
        <v>2451</v>
      </c>
      <c r="E1748" s="56"/>
      <c r="F1748" s="138"/>
      <c r="G1748" s="44" t="s">
        <v>1993</v>
      </c>
      <c r="H1748" s="45"/>
      <c r="I1748" s="41"/>
      <c r="J1748" s="45">
        <v>1</v>
      </c>
      <c r="K1748" s="46">
        <v>20</v>
      </c>
      <c r="L1748" s="46">
        <v>0</v>
      </c>
      <c r="M1748" s="112"/>
      <c r="N1748" s="39">
        <v>44886</v>
      </c>
      <c r="O1748" s="38">
        <v>4750</v>
      </c>
      <c r="P1748" s="46">
        <f>K1748*(VLOOKUP(B1748,$C$2:$F$6,3,FALSE))</f>
        <v>20</v>
      </c>
      <c r="Q1748" s="483">
        <v>20</v>
      </c>
      <c r="R1748" s="483">
        <v>20</v>
      </c>
      <c r="S1748" s="489">
        <v>1800</v>
      </c>
      <c r="T1748" s="113">
        <v>1800</v>
      </c>
      <c r="U1748" s="501"/>
      <c r="V1748" s="494">
        <v>120</v>
      </c>
    </row>
    <row r="1749" spans="2:23" s="7" customFormat="1" ht="15" customHeight="1">
      <c r="B1749" s="12" t="s">
        <v>1858</v>
      </c>
      <c r="C1749" s="6" t="s">
        <v>3137</v>
      </c>
      <c r="D1749" s="15" t="s">
        <v>2451</v>
      </c>
      <c r="E1749" s="24">
        <v>2440</v>
      </c>
      <c r="F1749" s="150">
        <v>140</v>
      </c>
      <c r="G1749" s="24" t="s">
        <v>3139</v>
      </c>
      <c r="H1749" s="8"/>
      <c r="I1749" s="41"/>
      <c r="J1749" s="67">
        <v>1</v>
      </c>
      <c r="K1749" s="46">
        <v>4.7300000000000004</v>
      </c>
      <c r="L1749" s="46"/>
      <c r="M1749" s="162" t="s">
        <v>2219</v>
      </c>
      <c r="N1749" s="1086" t="s">
        <v>1422</v>
      </c>
      <c r="O1749" s="38"/>
      <c r="P1749" s="46"/>
      <c r="Q1749" s="483"/>
      <c r="R1749" s="483"/>
      <c r="S1749" s="489">
        <v>280</v>
      </c>
      <c r="T1749" s="567">
        <f>S1749*J1749</f>
        <v>280</v>
      </c>
      <c r="U1749" s="882"/>
      <c r="V1749" s="494">
        <v>120</v>
      </c>
    </row>
    <row r="1750" spans="2:23" s="378" customFormat="1" ht="15" customHeight="1">
      <c r="B1750" s="312"/>
      <c r="C1750" s="302" t="s">
        <v>3137</v>
      </c>
      <c r="D1750" s="303" t="s">
        <v>2451</v>
      </c>
      <c r="E1750" s="304"/>
      <c r="F1750" s="305"/>
      <c r="G1750" s="305" t="s">
        <v>2371</v>
      </c>
      <c r="H1750" s="307" t="s">
        <v>1442</v>
      </c>
      <c r="I1750" s="308"/>
      <c r="J1750" s="306">
        <v>290</v>
      </c>
      <c r="K1750" s="315">
        <f>0.63*290</f>
        <v>182.7</v>
      </c>
      <c r="L1750" s="310"/>
      <c r="M1750" s="310"/>
      <c r="N1750" s="310">
        <v>44886</v>
      </c>
      <c r="O1750" s="309">
        <v>4750</v>
      </c>
      <c r="P1750" s="302"/>
      <c r="Q1750" s="315">
        <f>(0.63*290)-20</f>
        <v>162.69999999999999</v>
      </c>
      <c r="R1750" s="315">
        <f>(0.63*290)-20</f>
        <v>162.69999999999999</v>
      </c>
      <c r="S1750" s="537">
        <v>9637</v>
      </c>
      <c r="T1750" s="348">
        <v>9637</v>
      </c>
      <c r="U1750" s="515"/>
      <c r="V1750" s="494">
        <v>120</v>
      </c>
    </row>
    <row r="1751" spans="2:23" ht="18" customHeight="1">
      <c r="C1751" s="6" t="s">
        <v>3111</v>
      </c>
      <c r="D1751" s="15" t="s">
        <v>298</v>
      </c>
      <c r="E1751" s="20" t="s">
        <v>3112</v>
      </c>
      <c r="F1751" s="44"/>
      <c r="G1751" s="44"/>
      <c r="H1751" s="151"/>
      <c r="I1751" s="151"/>
      <c r="J1751" s="151"/>
      <c r="K1751" s="34" t="s">
        <v>134</v>
      </c>
      <c r="L1751" s="39"/>
      <c r="M1751" s="39"/>
      <c r="N1751" s="39"/>
      <c r="O1751" s="38"/>
      <c r="P1751" s="6"/>
      <c r="Q1751" s="524"/>
      <c r="S1751" s="489"/>
      <c r="T1751" s="113"/>
      <c r="U1751" s="501"/>
      <c r="V1751" s="494">
        <v>120</v>
      </c>
      <c r="W1751"/>
    </row>
    <row r="1752" spans="2:23" ht="18" customHeight="1">
      <c r="B1752" s="28" t="s">
        <v>1856</v>
      </c>
      <c r="C1752" s="6" t="s">
        <v>3111</v>
      </c>
      <c r="D1752" s="15" t="s">
        <v>298</v>
      </c>
      <c r="E1752" s="95">
        <v>4145</v>
      </c>
      <c r="F1752" s="44">
        <v>12</v>
      </c>
      <c r="G1752" s="24" t="s">
        <v>3115</v>
      </c>
      <c r="H1752" s="67">
        <v>30</v>
      </c>
      <c r="I1752" s="68">
        <v>1</v>
      </c>
      <c r="J1752" s="8">
        <f>H1752*I1752</f>
        <v>30</v>
      </c>
      <c r="K1752" s="46">
        <v>1.62</v>
      </c>
      <c r="L1752" s="46">
        <f>K1752*J1752</f>
        <v>48.6</v>
      </c>
      <c r="M1752" s="1175" t="s">
        <v>2219</v>
      </c>
      <c r="N1752" s="39"/>
      <c r="O1752" s="38"/>
      <c r="P1752" s="46">
        <f>K1752*(VLOOKUP(B1752,$C$2:$F$6,3,FALSE))</f>
        <v>1.4256000000000002</v>
      </c>
      <c r="Q1752" s="482">
        <v>1.43</v>
      </c>
      <c r="R1752" s="704">
        <f>Q1752*J1752</f>
        <v>42.9</v>
      </c>
      <c r="S1752" s="489">
        <v>87</v>
      </c>
      <c r="T1752" s="113">
        <f>S1752*J1752</f>
        <v>2610</v>
      </c>
      <c r="U1752" s="1599"/>
      <c r="V1752" s="494">
        <v>120</v>
      </c>
      <c r="W1752"/>
    </row>
    <row r="1753" spans="2:23" s="7" customFormat="1" ht="15.95" customHeight="1">
      <c r="B1753" s="12"/>
      <c r="C1753" s="6" t="s">
        <v>3111</v>
      </c>
      <c r="D1753" s="15" t="s">
        <v>298</v>
      </c>
      <c r="E1753" s="24"/>
      <c r="F1753" s="138"/>
      <c r="G1753" s="44" t="s">
        <v>1993</v>
      </c>
      <c r="H1753" s="8"/>
      <c r="I1753" s="41"/>
      <c r="J1753" s="45">
        <v>1</v>
      </c>
      <c r="K1753" s="46">
        <v>12</v>
      </c>
      <c r="L1753" s="46">
        <f>K1753*J1753</f>
        <v>12</v>
      </c>
      <c r="M1753" s="39"/>
      <c r="N1753" s="39"/>
      <c r="O1753" s="38"/>
      <c r="P1753" s="6"/>
      <c r="Q1753" s="483">
        <v>12</v>
      </c>
      <c r="R1753" s="704">
        <f>Q1753*J1753</f>
        <v>12</v>
      </c>
      <c r="S1753" s="490">
        <v>1000</v>
      </c>
      <c r="T1753" s="1176">
        <f>S1753*J1753</f>
        <v>1000</v>
      </c>
      <c r="U1753" s="501"/>
      <c r="V1753" s="494">
        <v>120</v>
      </c>
    </row>
    <row r="1754" spans="2:23" s="314" customFormat="1" ht="15" customHeight="1">
      <c r="B1754" s="313"/>
      <c r="C1754" s="302" t="s">
        <v>3111</v>
      </c>
      <c r="D1754" s="303" t="s">
        <v>298</v>
      </c>
      <c r="E1754" s="304"/>
      <c r="F1754" s="305"/>
      <c r="G1754" s="691" t="s">
        <v>3101</v>
      </c>
      <c r="H1754" s="1177" t="s">
        <v>1243</v>
      </c>
      <c r="I1754" s="1080"/>
      <c r="J1754" s="1081"/>
      <c r="K1754" s="1178" t="s">
        <v>855</v>
      </c>
      <c r="L1754" s="1178" t="s">
        <v>855</v>
      </c>
      <c r="M1754" s="1082"/>
      <c r="N1754" s="1082"/>
      <c r="O1754" s="1179"/>
      <c r="P1754" s="1083"/>
      <c r="Q1754" s="1180" t="s">
        <v>855</v>
      </c>
      <c r="R1754" s="1085"/>
      <c r="S1754" s="1181" t="s">
        <v>855</v>
      </c>
      <c r="T1754" s="1182" t="s">
        <v>855</v>
      </c>
      <c r="U1754" s="1084"/>
      <c r="V1754" s="1183">
        <v>120</v>
      </c>
    </row>
    <row r="1755" spans="2:23" s="7" customFormat="1" ht="15">
      <c r="B1755" s="12"/>
      <c r="C1755" s="6" t="s">
        <v>3114</v>
      </c>
      <c r="D1755" s="15" t="s">
        <v>1214</v>
      </c>
      <c r="E1755" s="20" t="s">
        <v>177</v>
      </c>
      <c r="F1755" s="26"/>
      <c r="G1755" s="24"/>
      <c r="H1755" s="67"/>
      <c r="I1755" s="68"/>
      <c r="J1755" s="67"/>
      <c r="K1755" s="10" t="s">
        <v>10</v>
      </c>
      <c r="L1755" s="39"/>
      <c r="M1755" s="39"/>
      <c r="N1755" s="39">
        <v>44840</v>
      </c>
      <c r="O1755" s="38">
        <v>4622</v>
      </c>
      <c r="P1755" s="6" t="s">
        <v>3</v>
      </c>
      <c r="Q1755" s="481"/>
      <c r="S1755" s="489"/>
      <c r="T1755" s="113"/>
      <c r="U1755" s="500"/>
      <c r="V1755" s="494">
        <v>120</v>
      </c>
    </row>
    <row r="1756" spans="2:23" s="7" customFormat="1" ht="15" customHeight="1">
      <c r="B1756" s="12" t="s">
        <v>1856</v>
      </c>
      <c r="C1756" s="6" t="s">
        <v>3114</v>
      </c>
      <c r="D1756" s="15" t="s">
        <v>1214</v>
      </c>
      <c r="E1756" s="24">
        <v>12701</v>
      </c>
      <c r="F1756" s="26">
        <v>9</v>
      </c>
      <c r="G1756" s="24" t="s">
        <v>294</v>
      </c>
      <c r="H1756" s="67">
        <v>10</v>
      </c>
      <c r="I1756" s="68">
        <v>27</v>
      </c>
      <c r="J1756" s="8">
        <f>H1756*I1756</f>
        <v>270</v>
      </c>
      <c r="K1756" s="25">
        <v>0.79</v>
      </c>
      <c r="L1756" s="46">
        <f>K1756*J1756</f>
        <v>213.3</v>
      </c>
      <c r="M1756" s="162" t="s">
        <v>2219</v>
      </c>
      <c r="N1756" s="39">
        <v>44840</v>
      </c>
      <c r="O1756" s="38">
        <v>4622</v>
      </c>
      <c r="P1756" s="46">
        <f>K1756*(VLOOKUP(B1756,$C$2:$F$6,3,FALSE))</f>
        <v>0.69520000000000004</v>
      </c>
      <c r="Q1756" s="482">
        <v>0.7</v>
      </c>
      <c r="R1756" s="704">
        <f>Q1756*J1756</f>
        <v>189</v>
      </c>
      <c r="S1756" s="489">
        <v>41.6</v>
      </c>
      <c r="T1756" s="113">
        <f>S1756*J1756</f>
        <v>11232</v>
      </c>
      <c r="U1756" s="1597" t="s">
        <v>3003</v>
      </c>
      <c r="V1756" s="494">
        <v>120</v>
      </c>
    </row>
    <row r="1757" spans="2:23" s="7" customFormat="1" ht="15.95" customHeight="1">
      <c r="B1757" s="12"/>
      <c r="C1757" s="6" t="s">
        <v>3114</v>
      </c>
      <c r="D1757" s="15" t="s">
        <v>1214</v>
      </c>
      <c r="E1757" s="24"/>
      <c r="F1757" s="138"/>
      <c r="G1757" s="44" t="s">
        <v>1993</v>
      </c>
      <c r="H1757" s="8"/>
      <c r="I1757" s="41"/>
      <c r="J1757" s="45">
        <v>1</v>
      </c>
      <c r="K1757" s="46">
        <v>12</v>
      </c>
      <c r="L1757" s="46">
        <f>K1757*J1757</f>
        <v>12</v>
      </c>
      <c r="M1757" s="39"/>
      <c r="N1757" s="39">
        <v>44840</v>
      </c>
      <c r="O1757" s="38">
        <v>4622</v>
      </c>
      <c r="P1757" s="6"/>
      <c r="Q1757" s="483">
        <v>12</v>
      </c>
      <c r="R1757" s="704">
        <f>Q1757*J1757</f>
        <v>12</v>
      </c>
      <c r="S1757" s="489">
        <v>0</v>
      </c>
      <c r="T1757" s="113">
        <f>S1757*J1757</f>
        <v>0</v>
      </c>
      <c r="U1757" s="501"/>
      <c r="V1757" s="494">
        <v>120</v>
      </c>
    </row>
    <row r="1758" spans="2:23" s="314" customFormat="1" ht="15.6" customHeight="1">
      <c r="B1758" s="313"/>
      <c r="C1758" s="302" t="s">
        <v>3114</v>
      </c>
      <c r="D1758" s="303" t="s">
        <v>1214</v>
      </c>
      <c r="E1758" s="304"/>
      <c r="F1758" s="305"/>
      <c r="G1758" s="305" t="s">
        <v>1227</v>
      </c>
      <c r="H1758" s="307" t="s">
        <v>1228</v>
      </c>
      <c r="I1758" s="308"/>
      <c r="J1758" s="306"/>
      <c r="K1758" s="315">
        <v>0</v>
      </c>
      <c r="L1758" s="310"/>
      <c r="M1758" s="310"/>
      <c r="N1758" s="310">
        <v>44840</v>
      </c>
      <c r="O1758" s="309">
        <v>4622</v>
      </c>
      <c r="P1758" s="302"/>
      <c r="Q1758" s="485">
        <v>0</v>
      </c>
      <c r="S1758" s="535">
        <v>0</v>
      </c>
      <c r="T1758" s="322">
        <v>0</v>
      </c>
      <c r="U1758" s="515"/>
      <c r="V1758" s="494">
        <v>120</v>
      </c>
    </row>
    <row r="1759" spans="2:23" s="7" customFormat="1" ht="18" customHeight="1">
      <c r="B1759" s="12"/>
      <c r="C1759" s="6" t="s">
        <v>3119</v>
      </c>
      <c r="D1759" s="15" t="s">
        <v>2899</v>
      </c>
      <c r="E1759" s="7" t="s">
        <v>2306</v>
      </c>
      <c r="F1759" s="700"/>
      <c r="G1759" s="640"/>
      <c r="H1759" s="641"/>
      <c r="I1759" s="701"/>
      <c r="J1759" s="702"/>
      <c r="K1759" s="153" t="s">
        <v>10</v>
      </c>
      <c r="L1759" s="219"/>
      <c r="M1759" s="11"/>
      <c r="N1759" s="39">
        <v>44865</v>
      </c>
      <c r="O1759" s="38">
        <v>4662</v>
      </c>
      <c r="P1759" s="6"/>
      <c r="Q1759" s="703"/>
      <c r="U1759" s="46"/>
      <c r="V1759" s="494">
        <v>120</v>
      </c>
    </row>
    <row r="1760" spans="2:23" ht="18" customHeight="1">
      <c r="B1760" s="28" t="s">
        <v>1856</v>
      </c>
      <c r="C1760" s="6" t="s">
        <v>3119</v>
      </c>
      <c r="D1760" s="15" t="s">
        <v>2899</v>
      </c>
      <c r="E1760" s="24" t="s">
        <v>18</v>
      </c>
      <c r="F1760" s="44">
        <v>30</v>
      </c>
      <c r="G1760" s="24" t="s">
        <v>2727</v>
      </c>
      <c r="H1760" s="151">
        <v>30</v>
      </c>
      <c r="I1760" s="152">
        <v>19</v>
      </c>
      <c r="J1760" s="67">
        <f>H1760*I1760</f>
        <v>570</v>
      </c>
      <c r="K1760" s="46">
        <v>4.26</v>
      </c>
      <c r="L1760" s="46">
        <f>K1760*J1760</f>
        <v>2428.1999999999998</v>
      </c>
      <c r="M1760" s="162" t="s">
        <v>2219</v>
      </c>
      <c r="N1760" s="39">
        <v>44865</v>
      </c>
      <c r="O1760" s="38">
        <v>4662</v>
      </c>
      <c r="P1760" s="46">
        <f>K1760*(VLOOKUP(B1760,$C$2:$F$6,3,FALSE))</f>
        <v>3.7487999999999997</v>
      </c>
      <c r="Q1760" s="482">
        <v>3.75</v>
      </c>
      <c r="R1760" s="704">
        <f>Q1760*J1760</f>
        <v>2137.5</v>
      </c>
      <c r="S1760" s="489">
        <v>230</v>
      </c>
      <c r="T1760" s="113">
        <f>S1760*J1760</f>
        <v>131100</v>
      </c>
      <c r="U1760" s="507"/>
      <c r="V1760" s="494">
        <v>120</v>
      </c>
      <c r="W1760"/>
    </row>
    <row r="1761" spans="2:23" s="314" customFormat="1" ht="15">
      <c r="B1761" s="313"/>
      <c r="C1761" s="302" t="s">
        <v>3119</v>
      </c>
      <c r="D1761" s="303" t="s">
        <v>2899</v>
      </c>
      <c r="E1761" s="371"/>
      <c r="F1761" s="305"/>
      <c r="G1761" s="305" t="s">
        <v>1227</v>
      </c>
      <c r="H1761" s="307" t="s">
        <v>1243</v>
      </c>
      <c r="I1761" s="308"/>
      <c r="J1761" s="306"/>
      <c r="K1761" s="329">
        <v>140</v>
      </c>
      <c r="L1761" s="329">
        <v>140</v>
      </c>
      <c r="M1761" s="310"/>
      <c r="N1761" s="310">
        <v>44865</v>
      </c>
      <c r="O1761" s="309">
        <v>4662</v>
      </c>
      <c r="P1761" s="302"/>
      <c r="Q1761" s="529">
        <v>140</v>
      </c>
      <c r="R1761" s="704">
        <v>140</v>
      </c>
      <c r="S1761" s="536">
        <v>9287</v>
      </c>
      <c r="T1761" s="536">
        <v>9287</v>
      </c>
      <c r="U1761" s="1115"/>
      <c r="V1761" s="494">
        <v>120</v>
      </c>
    </row>
    <row r="1762" spans="2:23" s="7" customFormat="1" ht="18" customHeight="1">
      <c r="B1762" s="12"/>
      <c r="C1762" s="6" t="s">
        <v>3145</v>
      </c>
      <c r="D1762" s="15" t="s">
        <v>958</v>
      </c>
      <c r="E1762" s="20" t="s">
        <v>628</v>
      </c>
      <c r="F1762" s="26"/>
      <c r="G1762" s="24"/>
      <c r="H1762" s="67"/>
      <c r="I1762" s="68"/>
      <c r="J1762" s="67"/>
      <c r="K1762" s="17" t="s">
        <v>134</v>
      </c>
      <c r="L1762" s="39"/>
      <c r="M1762" s="39"/>
      <c r="N1762" s="39">
        <v>44860</v>
      </c>
      <c r="O1762" s="38">
        <v>4643</v>
      </c>
      <c r="P1762" s="179" t="s">
        <v>23</v>
      </c>
      <c r="Q1762" s="438" t="s">
        <v>959</v>
      </c>
      <c r="S1762" s="489"/>
      <c r="T1762" s="113"/>
      <c r="U1762" s="510"/>
      <c r="V1762" s="494">
        <v>120</v>
      </c>
    </row>
    <row r="1763" spans="2:23" s="7" customFormat="1" ht="18" customHeight="1">
      <c r="B1763" s="12" t="s">
        <v>1856</v>
      </c>
      <c r="C1763" s="6" t="s">
        <v>3145</v>
      </c>
      <c r="D1763" s="15" t="s">
        <v>958</v>
      </c>
      <c r="E1763" s="24">
        <v>5291</v>
      </c>
      <c r="F1763" s="26">
        <v>8</v>
      </c>
      <c r="G1763" s="24" t="s">
        <v>29</v>
      </c>
      <c r="H1763" s="67">
        <v>50</v>
      </c>
      <c r="I1763" s="68">
        <v>20</v>
      </c>
      <c r="J1763" s="67">
        <f>H1763*I1763</f>
        <v>1000</v>
      </c>
      <c r="K1763" s="46">
        <v>0.62</v>
      </c>
      <c r="L1763" s="46">
        <f>K1763*J1763</f>
        <v>620</v>
      </c>
      <c r="M1763" s="162" t="s">
        <v>2219</v>
      </c>
      <c r="N1763" s="39">
        <v>44860</v>
      </c>
      <c r="O1763" s="38">
        <v>4643</v>
      </c>
      <c r="P1763" s="180">
        <v>0.43</v>
      </c>
      <c r="Q1763" s="180">
        <v>0.43</v>
      </c>
      <c r="R1763" s="704">
        <f>Q1763*J1763</f>
        <v>430</v>
      </c>
      <c r="S1763" s="489">
        <v>26</v>
      </c>
      <c r="T1763" s="113">
        <f>S1763*J1763</f>
        <v>26000</v>
      </c>
      <c r="U1763" s="867"/>
      <c r="V1763" s="494">
        <v>120</v>
      </c>
    </row>
    <row r="1764" spans="2:23" s="7" customFormat="1" ht="18" customHeight="1">
      <c r="B1764" s="12" t="s">
        <v>1856</v>
      </c>
      <c r="C1764" s="6" t="s">
        <v>3145</v>
      </c>
      <c r="D1764" s="15" t="s">
        <v>958</v>
      </c>
      <c r="E1764" s="24">
        <v>5291</v>
      </c>
      <c r="F1764" s="26">
        <v>6</v>
      </c>
      <c r="G1764" s="24" t="s">
        <v>3473</v>
      </c>
      <c r="H1764" s="67">
        <v>50</v>
      </c>
      <c r="I1764" s="68">
        <v>7</v>
      </c>
      <c r="J1764" s="67">
        <f>H1764*I1764</f>
        <v>350</v>
      </c>
      <c r="K1764" s="46">
        <v>0.4</v>
      </c>
      <c r="L1764" s="46">
        <f>K1764*J1764</f>
        <v>140</v>
      </c>
      <c r="M1764" s="162" t="s">
        <v>2219</v>
      </c>
      <c r="N1764" s="39">
        <v>44860</v>
      </c>
      <c r="O1764" s="38">
        <v>4643</v>
      </c>
      <c r="P1764" s="180">
        <v>0.22</v>
      </c>
      <c r="Q1764" s="180">
        <v>0.22</v>
      </c>
      <c r="R1764" s="704">
        <f>Q1764*J1764</f>
        <v>77</v>
      </c>
      <c r="S1764" s="489">
        <v>13.2</v>
      </c>
      <c r="T1764" s="113">
        <f>S1764*J1764</f>
        <v>4620</v>
      </c>
      <c r="U1764" s="867"/>
      <c r="V1764" s="494">
        <v>120</v>
      </c>
    </row>
    <row r="1765" spans="2:23" ht="18" customHeight="1">
      <c r="C1765" s="6" t="s">
        <v>3145</v>
      </c>
      <c r="D1765" s="15" t="s">
        <v>958</v>
      </c>
      <c r="E1765" s="20" t="s">
        <v>2243</v>
      </c>
      <c r="F1765" s="44"/>
      <c r="G1765" s="44"/>
      <c r="H1765" s="151"/>
      <c r="I1765" s="151"/>
      <c r="J1765" s="151"/>
      <c r="K1765" s="34" t="s">
        <v>134</v>
      </c>
      <c r="L1765" s="39"/>
      <c r="M1765" s="39"/>
      <c r="N1765" s="39">
        <v>44860</v>
      </c>
      <c r="O1765" s="38">
        <v>4643</v>
      </c>
      <c r="P1765" s="6"/>
      <c r="Q1765" s="524"/>
      <c r="S1765" s="707" t="s">
        <v>2297</v>
      </c>
      <c r="T1765" s="113"/>
      <c r="U1765" s="706"/>
      <c r="V1765" s="494">
        <v>120</v>
      </c>
      <c r="W1765"/>
    </row>
    <row r="1766" spans="2:23" ht="18" customHeight="1">
      <c r="B1766" s="28" t="s">
        <v>1856</v>
      </c>
      <c r="C1766" s="6" t="s">
        <v>3145</v>
      </c>
      <c r="D1766" s="15" t="s">
        <v>958</v>
      </c>
      <c r="E1766" s="24">
        <v>3806</v>
      </c>
      <c r="F1766" s="44">
        <v>38</v>
      </c>
      <c r="G1766" s="24" t="s">
        <v>338</v>
      </c>
      <c r="H1766" s="151">
        <v>30</v>
      </c>
      <c r="I1766" s="152">
        <v>7</v>
      </c>
      <c r="J1766" s="67">
        <f>H1766*I1766</f>
        <v>210</v>
      </c>
      <c r="K1766" s="46">
        <v>0.92</v>
      </c>
      <c r="L1766" s="46">
        <f>K1766*J1766</f>
        <v>193.20000000000002</v>
      </c>
      <c r="M1766" s="162" t="s">
        <v>2219</v>
      </c>
      <c r="N1766" s="39">
        <v>44860</v>
      </c>
      <c r="O1766" s="38">
        <v>4643</v>
      </c>
      <c r="P1766" s="180">
        <v>0.7</v>
      </c>
      <c r="Q1766" s="482">
        <v>0.7</v>
      </c>
      <c r="R1766" s="704">
        <f>Q1766*J1766</f>
        <v>147</v>
      </c>
      <c r="S1766" s="489">
        <v>40.270000000000003</v>
      </c>
      <c r="T1766" s="113">
        <f>S1766*J1766</f>
        <v>8456.7000000000007</v>
      </c>
      <c r="U1766" s="1200" t="s">
        <v>3136</v>
      </c>
      <c r="V1766" s="494">
        <v>120</v>
      </c>
      <c r="W1766"/>
    </row>
    <row r="1767" spans="2:23" ht="15.95" customHeight="1">
      <c r="C1767" s="6" t="s">
        <v>3145</v>
      </c>
      <c r="D1767" s="15" t="s">
        <v>958</v>
      </c>
      <c r="E1767" s="24"/>
      <c r="F1767" s="138"/>
      <c r="G1767" s="44" t="s">
        <v>1993</v>
      </c>
      <c r="H1767" s="8"/>
      <c r="I1767" s="41"/>
      <c r="J1767" s="45">
        <v>2</v>
      </c>
      <c r="K1767" s="46">
        <v>0</v>
      </c>
      <c r="L1767" s="46">
        <f>K1767*J1767</f>
        <v>0</v>
      </c>
      <c r="M1767" s="112"/>
      <c r="N1767" s="39">
        <v>44860</v>
      </c>
      <c r="O1767" s="38">
        <v>4643</v>
      </c>
      <c r="P1767" s="179"/>
      <c r="Q1767" s="180">
        <v>24</v>
      </c>
      <c r="R1767" s="180">
        <v>24</v>
      </c>
      <c r="S1767" s="498">
        <v>0</v>
      </c>
      <c r="T1767" s="498">
        <v>0</v>
      </c>
      <c r="U1767" s="511"/>
      <c r="V1767" s="494">
        <v>120</v>
      </c>
      <c r="W1767"/>
    </row>
    <row r="1768" spans="2:23" s="314" customFormat="1" ht="15">
      <c r="B1768" s="313"/>
      <c r="C1768" s="302" t="s">
        <v>3145</v>
      </c>
      <c r="D1768" s="303" t="s">
        <v>958</v>
      </c>
      <c r="E1768" s="371"/>
      <c r="F1768" s="305"/>
      <c r="G1768" s="305" t="s">
        <v>1227</v>
      </c>
      <c r="H1768" s="307"/>
      <c r="I1768" s="308" t="s">
        <v>2370</v>
      </c>
      <c r="J1768" s="410">
        <f>SUM(J1763:J1766)</f>
        <v>1560</v>
      </c>
      <c r="K1768" s="315">
        <v>209.8</v>
      </c>
      <c r="L1768" s="310"/>
      <c r="M1768" s="310"/>
      <c r="N1768" s="310">
        <v>44860</v>
      </c>
      <c r="O1768" s="309">
        <v>4643</v>
      </c>
      <c r="P1768" s="302"/>
      <c r="Q1768" s="315">
        <f>209.8-24</f>
        <v>185.8</v>
      </c>
      <c r="R1768" s="315">
        <f>209.8-24</f>
        <v>185.8</v>
      </c>
      <c r="S1768" s="928">
        <v>17362</v>
      </c>
      <c r="T1768" s="928">
        <v>17362</v>
      </c>
      <c r="U1768" s="1115"/>
      <c r="V1768" s="494">
        <v>120</v>
      </c>
    </row>
    <row r="1769" spans="2:23" s="7" customFormat="1" ht="18" customHeight="1">
      <c r="B1769" s="12"/>
      <c r="C1769" s="6" t="s">
        <v>3205</v>
      </c>
      <c r="D1769" s="15" t="s">
        <v>3066</v>
      </c>
      <c r="E1769" s="20" t="s">
        <v>3053</v>
      </c>
      <c r="F1769" s="24"/>
      <c r="G1769" s="44"/>
      <c r="H1769" s="151"/>
      <c r="I1769" s="151"/>
      <c r="J1769" s="151"/>
      <c r="K1769" s="153" t="s">
        <v>10</v>
      </c>
      <c r="L1769" s="39"/>
      <c r="M1769" s="39"/>
      <c r="N1769" s="39">
        <v>44867</v>
      </c>
      <c r="O1769" s="38">
        <v>4670</v>
      </c>
      <c r="P1769" s="6"/>
      <c r="Q1769" s="411"/>
      <c r="S1769" s="489"/>
      <c r="T1769" s="113"/>
      <c r="U1769" s="501"/>
      <c r="V1769" s="494">
        <v>120</v>
      </c>
    </row>
    <row r="1770" spans="2:23" s="7" customFormat="1" ht="15.95" customHeight="1">
      <c r="B1770" s="12" t="s">
        <v>1858</v>
      </c>
      <c r="C1770" s="6" t="s">
        <v>3205</v>
      </c>
      <c r="D1770" s="15" t="s">
        <v>3066</v>
      </c>
      <c r="E1770" s="24" t="s">
        <v>3033</v>
      </c>
      <c r="F1770" s="155" t="s">
        <v>3034</v>
      </c>
      <c r="G1770" s="44" t="s">
        <v>3054</v>
      </c>
      <c r="H1770" s="19">
        <v>43.5</v>
      </c>
      <c r="I1770" s="68">
        <v>1</v>
      </c>
      <c r="J1770" s="19">
        <f>H1770*I1770</f>
        <v>43.5</v>
      </c>
      <c r="K1770" s="1007">
        <v>9.9</v>
      </c>
      <c r="L1770" s="46">
        <f>K1770*J1770</f>
        <v>430.65000000000003</v>
      </c>
      <c r="M1770" s="162" t="s">
        <v>2219</v>
      </c>
      <c r="N1770" s="39">
        <v>44867</v>
      </c>
      <c r="O1770" s="38">
        <v>4670</v>
      </c>
      <c r="P1770" s="180">
        <f>K1770*(VLOOKUP(B1770,$C$2:$F$6,3,FALSE))</f>
        <v>9.3059999999999992</v>
      </c>
      <c r="Q1770" s="483">
        <v>9.31</v>
      </c>
      <c r="R1770" s="704">
        <f>Q1770*J1770</f>
        <v>404.98500000000001</v>
      </c>
      <c r="S1770" s="489">
        <v>950</v>
      </c>
      <c r="T1770" s="113">
        <f>S1770*J1770</f>
        <v>41325</v>
      </c>
      <c r="U1770" s="1021"/>
      <c r="V1770" s="494">
        <v>120</v>
      </c>
    </row>
    <row r="1771" spans="2:23" s="7" customFormat="1" ht="15.95" customHeight="1">
      <c r="B1771" s="12" t="s">
        <v>1858</v>
      </c>
      <c r="C1771" s="6" t="s">
        <v>3205</v>
      </c>
      <c r="D1771" s="15" t="s">
        <v>3066</v>
      </c>
      <c r="E1771" s="24" t="s">
        <v>3033</v>
      </c>
      <c r="F1771" s="155" t="s">
        <v>3034</v>
      </c>
      <c r="G1771" s="44" t="s">
        <v>3054</v>
      </c>
      <c r="H1771" s="19">
        <v>44.5</v>
      </c>
      <c r="I1771" s="68">
        <v>1</v>
      </c>
      <c r="J1771" s="19">
        <f>H1771*I1771</f>
        <v>44.5</v>
      </c>
      <c r="K1771" s="1007">
        <v>9.9</v>
      </c>
      <c r="L1771" s="46">
        <f>K1771*J1771</f>
        <v>440.55</v>
      </c>
      <c r="M1771" s="162" t="s">
        <v>2219</v>
      </c>
      <c r="N1771" s="39">
        <v>44867</v>
      </c>
      <c r="O1771" s="38">
        <v>4670</v>
      </c>
      <c r="P1771" s="180">
        <f>K1771*(VLOOKUP(B1771,$C$2:$F$6,3,FALSE))</f>
        <v>9.3059999999999992</v>
      </c>
      <c r="Q1771" s="483">
        <v>9.31</v>
      </c>
      <c r="R1771" s="704">
        <f>Q1771*J1771</f>
        <v>414.29500000000002</v>
      </c>
      <c r="S1771" s="489">
        <v>950</v>
      </c>
      <c r="T1771" s="113">
        <f>S1771*J1771</f>
        <v>42275</v>
      </c>
      <c r="U1771" s="1021"/>
      <c r="V1771" s="494">
        <v>120</v>
      </c>
    </row>
    <row r="1772" spans="2:23" s="7" customFormat="1" ht="15.95" customHeight="1">
      <c r="B1772" s="12" t="s">
        <v>1858</v>
      </c>
      <c r="C1772" s="6" t="s">
        <v>3205</v>
      </c>
      <c r="D1772" s="15" t="s">
        <v>3066</v>
      </c>
      <c r="E1772" s="24" t="s">
        <v>3033</v>
      </c>
      <c r="F1772" s="155" t="s">
        <v>3034</v>
      </c>
      <c r="G1772" s="44" t="s">
        <v>3054</v>
      </c>
      <c r="H1772" s="19">
        <v>45</v>
      </c>
      <c r="I1772" s="68">
        <v>2</v>
      </c>
      <c r="J1772" s="19">
        <f>H1772*I1772</f>
        <v>90</v>
      </c>
      <c r="K1772" s="1007">
        <v>9.9</v>
      </c>
      <c r="L1772" s="46">
        <f>K1772*J1772</f>
        <v>891</v>
      </c>
      <c r="M1772" s="162" t="s">
        <v>2219</v>
      </c>
      <c r="N1772" s="39">
        <v>44867</v>
      </c>
      <c r="O1772" s="38">
        <v>4670</v>
      </c>
      <c r="P1772" s="180">
        <f>K1772*(VLOOKUP(B1772,$C$2:$F$6,3,FALSE))</f>
        <v>9.3059999999999992</v>
      </c>
      <c r="Q1772" s="483">
        <v>9.31</v>
      </c>
      <c r="R1772" s="704">
        <f>Q1772*J1772</f>
        <v>837.90000000000009</v>
      </c>
      <c r="S1772" s="489">
        <v>950</v>
      </c>
      <c r="T1772" s="113">
        <f>S1772*J1772</f>
        <v>85500</v>
      </c>
      <c r="U1772" s="1021"/>
      <c r="V1772" s="494">
        <v>120</v>
      </c>
    </row>
    <row r="1773" spans="2:23" s="7" customFormat="1" ht="15.95" customHeight="1">
      <c r="B1773" s="12" t="s">
        <v>1858</v>
      </c>
      <c r="C1773" s="6" t="s">
        <v>3205</v>
      </c>
      <c r="D1773" s="15" t="s">
        <v>3066</v>
      </c>
      <c r="E1773" s="24" t="s">
        <v>3033</v>
      </c>
      <c r="F1773" s="155" t="s">
        <v>3034</v>
      </c>
      <c r="G1773" s="44" t="s">
        <v>3054</v>
      </c>
      <c r="H1773" s="19">
        <v>47</v>
      </c>
      <c r="I1773" s="68">
        <v>1</v>
      </c>
      <c r="J1773" s="19">
        <f>H1773*I1773</f>
        <v>47</v>
      </c>
      <c r="K1773" s="1007">
        <v>9.9</v>
      </c>
      <c r="L1773" s="46">
        <f>K1773*J1773</f>
        <v>465.3</v>
      </c>
      <c r="M1773" s="162" t="s">
        <v>2219</v>
      </c>
      <c r="N1773" s="39">
        <v>44867</v>
      </c>
      <c r="O1773" s="38">
        <v>4670</v>
      </c>
      <c r="P1773" s="180">
        <f>K1773*(VLOOKUP(B1773,$C$2:$F$6,3,FALSE))</f>
        <v>9.3059999999999992</v>
      </c>
      <c r="Q1773" s="483">
        <v>9.31</v>
      </c>
      <c r="R1773" s="704">
        <f>Q1773*J1773</f>
        <v>437.57000000000005</v>
      </c>
      <c r="S1773" s="489">
        <v>950</v>
      </c>
      <c r="T1773" s="113">
        <f>S1773*J1773</f>
        <v>44650</v>
      </c>
      <c r="U1773" s="1021"/>
      <c r="V1773" s="494">
        <v>120</v>
      </c>
    </row>
    <row r="1774" spans="2:23" s="314" customFormat="1" ht="15">
      <c r="B1774" s="313"/>
      <c r="C1774" s="302" t="s">
        <v>3205</v>
      </c>
      <c r="D1774" s="303" t="s">
        <v>3066</v>
      </c>
      <c r="E1774" s="304"/>
      <c r="F1774" s="305"/>
      <c r="G1774" s="305" t="s">
        <v>1227</v>
      </c>
      <c r="H1774" s="307" t="s">
        <v>1243</v>
      </c>
      <c r="I1774" s="308"/>
      <c r="J1774" s="306"/>
      <c r="K1774" s="329">
        <v>1050</v>
      </c>
      <c r="L1774" s="329">
        <v>1050</v>
      </c>
      <c r="M1774" s="310"/>
      <c r="N1774" s="310">
        <v>44867</v>
      </c>
      <c r="O1774" s="309">
        <v>4670</v>
      </c>
      <c r="P1774" s="685"/>
      <c r="Q1774" s="686">
        <v>1050</v>
      </c>
      <c r="R1774" s="929">
        <v>1050</v>
      </c>
      <c r="S1774" s="718">
        <v>117684</v>
      </c>
      <c r="T1774" s="718">
        <v>117684</v>
      </c>
      <c r="U1774" s="688"/>
      <c r="V1774" s="494">
        <v>120</v>
      </c>
    </row>
    <row r="1775" spans="2:23" s="7" customFormat="1" ht="15">
      <c r="B1775" s="12"/>
      <c r="C1775" s="6" t="s">
        <v>3146</v>
      </c>
      <c r="D1775" s="15" t="s">
        <v>3026</v>
      </c>
      <c r="E1775" s="20" t="s">
        <v>408</v>
      </c>
      <c r="F1775" s="26"/>
      <c r="G1775" s="24"/>
      <c r="H1775" s="67"/>
      <c r="I1775" s="68"/>
      <c r="J1775" s="67"/>
      <c r="K1775" s="10" t="s">
        <v>10</v>
      </c>
      <c r="L1775" s="39"/>
      <c r="M1775" s="39"/>
      <c r="N1775" s="39">
        <v>44854</v>
      </c>
      <c r="O1775" s="38">
        <v>4648</v>
      </c>
      <c r="P1775" s="6" t="s">
        <v>3</v>
      </c>
      <c r="Q1775" s="481"/>
      <c r="S1775" s="489"/>
      <c r="T1775" s="113"/>
      <c r="U1775" s="500"/>
      <c r="V1775" s="494">
        <v>120</v>
      </c>
    </row>
    <row r="1776" spans="2:23" s="7" customFormat="1" ht="15" customHeight="1">
      <c r="B1776" s="12" t="s">
        <v>1856</v>
      </c>
      <c r="C1776" s="6" t="s">
        <v>3146</v>
      </c>
      <c r="D1776" s="15" t="s">
        <v>3026</v>
      </c>
      <c r="E1776" s="24" t="s">
        <v>1219</v>
      </c>
      <c r="F1776" s="26"/>
      <c r="G1776" s="24" t="s">
        <v>17</v>
      </c>
      <c r="H1776" s="67">
        <v>50</v>
      </c>
      <c r="I1776" s="68">
        <v>8</v>
      </c>
      <c r="J1776" s="8">
        <f>H1776*I1776</f>
        <v>400</v>
      </c>
      <c r="K1776" s="25">
        <v>0.3</v>
      </c>
      <c r="L1776" s="46">
        <f>K1776*J1776</f>
        <v>120</v>
      </c>
      <c r="M1776" s="162" t="s">
        <v>2219</v>
      </c>
      <c r="N1776" s="39">
        <v>44854</v>
      </c>
      <c r="O1776" s="38">
        <v>4648</v>
      </c>
      <c r="P1776" s="46">
        <f>K1776*(VLOOKUP(B1776,$C$2:$F$6,3,FALSE))</f>
        <v>0.26400000000000001</v>
      </c>
      <c r="Q1776" s="482">
        <v>0.26</v>
      </c>
      <c r="R1776" s="704">
        <f>Q1776*J1776</f>
        <v>104</v>
      </c>
      <c r="S1776" s="489">
        <v>16.2</v>
      </c>
      <c r="T1776" s="113">
        <f>S1776*J1776</f>
        <v>6480</v>
      </c>
      <c r="U1776" s="1597"/>
      <c r="V1776" s="494">
        <v>120</v>
      </c>
    </row>
    <row r="1777" spans="2:23" s="7" customFormat="1" ht="15.95" customHeight="1">
      <c r="B1777" s="12"/>
      <c r="C1777" s="6" t="s">
        <v>3146</v>
      </c>
      <c r="D1777" s="15" t="s">
        <v>3026</v>
      </c>
      <c r="E1777" s="24"/>
      <c r="F1777" s="138"/>
      <c r="G1777" s="44" t="s">
        <v>1993</v>
      </c>
      <c r="H1777" s="8"/>
      <c r="I1777" s="41"/>
      <c r="J1777" s="45">
        <v>1</v>
      </c>
      <c r="K1777" s="46">
        <v>12</v>
      </c>
      <c r="L1777" s="46">
        <f>K1777*J1777</f>
        <v>12</v>
      </c>
      <c r="M1777" s="39"/>
      <c r="N1777" s="39">
        <v>44854</v>
      </c>
      <c r="O1777" s="38">
        <v>4648</v>
      </c>
      <c r="P1777" s="6"/>
      <c r="Q1777" s="483">
        <v>12</v>
      </c>
      <c r="R1777" s="704">
        <f>Q1777*J1777</f>
        <v>12</v>
      </c>
      <c r="S1777" s="489">
        <v>1100</v>
      </c>
      <c r="T1777" s="113">
        <f>S1777*J1777</f>
        <v>1100</v>
      </c>
      <c r="U1777" s="501"/>
      <c r="V1777" s="494">
        <v>120</v>
      </c>
    </row>
    <row r="1778" spans="2:23" s="314" customFormat="1" ht="15.6" customHeight="1">
      <c r="B1778" s="313"/>
      <c r="C1778" s="302" t="s">
        <v>3146</v>
      </c>
      <c r="D1778" s="303" t="s">
        <v>3026</v>
      </c>
      <c r="E1778" s="304"/>
      <c r="F1778" s="305"/>
      <c r="G1778" s="305" t="s">
        <v>1227</v>
      </c>
      <c r="H1778" s="307" t="s">
        <v>1243</v>
      </c>
      <c r="I1778" s="308"/>
      <c r="J1778" s="306"/>
      <c r="K1778" s="329">
        <v>40</v>
      </c>
      <c r="L1778" s="329">
        <v>40</v>
      </c>
      <c r="M1778" s="310"/>
      <c r="N1778" s="310">
        <v>44854</v>
      </c>
      <c r="O1778" s="309">
        <v>4648</v>
      </c>
      <c r="P1778" s="685"/>
      <c r="Q1778" s="686">
        <v>40</v>
      </c>
      <c r="R1778" s="929">
        <v>40</v>
      </c>
      <c r="S1778" s="718">
        <v>5729</v>
      </c>
      <c r="T1778" s="719">
        <v>5729</v>
      </c>
      <c r="U1778" s="688"/>
      <c r="V1778" s="494">
        <v>120</v>
      </c>
    </row>
    <row r="1779" spans="2:23" s="7" customFormat="1" ht="18" customHeight="1">
      <c r="B1779" s="12"/>
      <c r="C1779" s="6" t="s">
        <v>3147</v>
      </c>
      <c r="D1779" s="15" t="s">
        <v>1666</v>
      </c>
      <c r="E1779" s="20" t="s">
        <v>2809</v>
      </c>
      <c r="F1779" s="24"/>
      <c r="G1779" s="44"/>
      <c r="H1779" s="151"/>
      <c r="I1779" s="151"/>
      <c r="J1779" s="151"/>
      <c r="K1779" s="153" t="s">
        <v>10</v>
      </c>
      <c r="L1779" s="39"/>
      <c r="M1779" s="39"/>
      <c r="N1779" s="39">
        <v>44854</v>
      </c>
      <c r="O1779" s="38">
        <v>4658</v>
      </c>
      <c r="P1779" s="6"/>
      <c r="Q1779" s="411"/>
      <c r="S1779" s="489"/>
      <c r="T1779" s="113"/>
      <c r="U1779" s="501"/>
      <c r="V1779" s="494">
        <v>120</v>
      </c>
    </row>
    <row r="1780" spans="2:23" s="7" customFormat="1" ht="15.95" customHeight="1">
      <c r="B1780" s="12" t="s">
        <v>1856</v>
      </c>
      <c r="C1780" s="6" t="s">
        <v>3147</v>
      </c>
      <c r="D1780" s="15" t="s">
        <v>1666</v>
      </c>
      <c r="E1780" s="24">
        <v>5650</v>
      </c>
      <c r="F1780" s="1013" t="s">
        <v>3148</v>
      </c>
      <c r="G1780" s="44" t="s">
        <v>2811</v>
      </c>
      <c r="H1780" s="8"/>
      <c r="I1780" s="41"/>
      <c r="J1780" s="67">
        <v>5</v>
      </c>
      <c r="K1780" s="46">
        <v>0.85</v>
      </c>
      <c r="L1780" s="46">
        <f>K1780*J1780</f>
        <v>4.25</v>
      </c>
      <c r="M1780" s="162" t="s">
        <v>2219</v>
      </c>
      <c r="N1780" s="39">
        <v>44854</v>
      </c>
      <c r="O1780" s="38">
        <v>4658</v>
      </c>
      <c r="P1780" s="180">
        <f>K1780*(VLOOKUP(B1780,$C$2:$F$6,3,FALSE))</f>
        <v>0.748</v>
      </c>
      <c r="Q1780" s="483">
        <v>0.75</v>
      </c>
      <c r="R1780" s="704">
        <f>Q1780*J1780</f>
        <v>3.75</v>
      </c>
      <c r="S1780" s="489">
        <v>45.5</v>
      </c>
      <c r="T1780" s="113">
        <f>S1780*J1780</f>
        <v>227.5</v>
      </c>
      <c r="U1780" s="517"/>
      <c r="V1780" s="494">
        <v>120</v>
      </c>
    </row>
    <row r="1781" spans="2:23" s="7" customFormat="1" ht="15.95" customHeight="1">
      <c r="B1781" s="12" t="s">
        <v>1856</v>
      </c>
      <c r="C1781" s="6" t="s">
        <v>3147</v>
      </c>
      <c r="D1781" s="15" t="s">
        <v>1666</v>
      </c>
      <c r="E1781" s="24">
        <v>5650</v>
      </c>
      <c r="F1781" s="1013" t="s">
        <v>502</v>
      </c>
      <c r="G1781" s="44" t="s">
        <v>3149</v>
      </c>
      <c r="H1781" s="8"/>
      <c r="I1781" s="41"/>
      <c r="J1781" s="67">
        <v>5</v>
      </c>
      <c r="K1781" s="46">
        <v>0.99</v>
      </c>
      <c r="L1781" s="46">
        <f>K1781*J1781</f>
        <v>4.95</v>
      </c>
      <c r="M1781" s="162" t="s">
        <v>2219</v>
      </c>
      <c r="N1781" s="39">
        <v>44854</v>
      </c>
      <c r="O1781" s="38">
        <v>4658</v>
      </c>
      <c r="P1781" s="180">
        <f>K1781*(VLOOKUP(B1781,$C$2:$F$6,3,FALSE))</f>
        <v>0.87119999999999997</v>
      </c>
      <c r="Q1781" s="483">
        <v>0.87</v>
      </c>
      <c r="R1781" s="704">
        <f>Q1781*J1781</f>
        <v>4.3499999999999996</v>
      </c>
      <c r="S1781" s="489">
        <v>53</v>
      </c>
      <c r="T1781" s="113">
        <f>S1781*J1781</f>
        <v>265</v>
      </c>
      <c r="U1781" s="517"/>
      <c r="V1781" s="494">
        <v>120</v>
      </c>
    </row>
    <row r="1782" spans="2:23" ht="18" customHeight="1">
      <c r="C1782" s="6" t="s">
        <v>3147</v>
      </c>
      <c r="D1782" s="15" t="s">
        <v>1666</v>
      </c>
      <c r="E1782" s="20" t="s">
        <v>3150</v>
      </c>
      <c r="F1782" s="44"/>
      <c r="G1782" s="44"/>
      <c r="H1782" s="151"/>
      <c r="I1782" s="151"/>
      <c r="J1782" s="151"/>
      <c r="K1782" s="34" t="s">
        <v>134</v>
      </c>
      <c r="L1782" s="39"/>
      <c r="M1782" s="39"/>
      <c r="N1782" s="39">
        <v>44854</v>
      </c>
      <c r="O1782" s="38">
        <v>4658</v>
      </c>
      <c r="P1782" s="6"/>
      <c r="Q1782" s="524"/>
      <c r="S1782" s="489"/>
      <c r="T1782" s="113"/>
      <c r="U1782" s="501"/>
      <c r="V1782" s="494">
        <v>120</v>
      </c>
      <c r="W1782"/>
    </row>
    <row r="1783" spans="2:23" ht="18" customHeight="1">
      <c r="B1783" s="28" t="s">
        <v>1856</v>
      </c>
      <c r="C1783" s="6" t="s">
        <v>3147</v>
      </c>
      <c r="D1783" s="15" t="s">
        <v>1666</v>
      </c>
      <c r="E1783" s="20" t="s">
        <v>3152</v>
      </c>
      <c r="F1783" s="44">
        <v>3</v>
      </c>
      <c r="G1783" s="24" t="s">
        <v>1473</v>
      </c>
      <c r="H1783" s="151">
        <v>25</v>
      </c>
      <c r="I1783" s="152">
        <v>1</v>
      </c>
      <c r="J1783" s="67">
        <f>H1783*I1783</f>
        <v>25</v>
      </c>
      <c r="K1783" s="46">
        <v>1.62</v>
      </c>
      <c r="L1783" s="46">
        <f t="shared" ref="L1783:L1788" si="87">K1783*J1783</f>
        <v>40.5</v>
      </c>
      <c r="M1783" s="162" t="s">
        <v>2219</v>
      </c>
      <c r="N1783" s="39">
        <v>44854</v>
      </c>
      <c r="O1783" s="38">
        <v>4658</v>
      </c>
      <c r="P1783" s="46">
        <f t="shared" ref="P1783:P1788" si="88">K1783*(VLOOKUP(B1783,$C$2:$F$6,3,FALSE))</f>
        <v>1.4256000000000002</v>
      </c>
      <c r="Q1783" s="482">
        <v>1.43</v>
      </c>
      <c r="R1783" s="704">
        <f>Q1783*J1783</f>
        <v>35.75</v>
      </c>
      <c r="S1783" s="489">
        <v>77</v>
      </c>
      <c r="T1783" s="113">
        <f t="shared" ref="T1783:T1788" si="89">S1783*J1783</f>
        <v>1925</v>
      </c>
      <c r="U1783" s="507" t="s">
        <v>3157</v>
      </c>
      <c r="V1783" s="494">
        <v>120</v>
      </c>
      <c r="W1783"/>
    </row>
    <row r="1784" spans="2:23" ht="18" customHeight="1">
      <c r="B1784" s="28" t="s">
        <v>1856</v>
      </c>
      <c r="C1784" s="6" t="s">
        <v>3147</v>
      </c>
      <c r="D1784" s="15" t="s">
        <v>1666</v>
      </c>
      <c r="E1784" s="20" t="s">
        <v>3179</v>
      </c>
      <c r="F1784" s="44">
        <v>10</v>
      </c>
      <c r="G1784" s="24" t="s">
        <v>3153</v>
      </c>
      <c r="H1784" s="151">
        <v>25</v>
      </c>
      <c r="I1784" s="152">
        <v>1</v>
      </c>
      <c r="J1784" s="67">
        <f>H1784*I1784</f>
        <v>25</v>
      </c>
      <c r="K1784" s="46">
        <v>1.1000000000000001</v>
      </c>
      <c r="L1784" s="46">
        <f t="shared" si="87"/>
        <v>27.500000000000004</v>
      </c>
      <c r="M1784" s="162" t="s">
        <v>2219</v>
      </c>
      <c r="N1784" s="39">
        <v>44854</v>
      </c>
      <c r="O1784" s="38">
        <v>4658</v>
      </c>
      <c r="P1784" s="46">
        <f t="shared" si="88"/>
        <v>0.96800000000000008</v>
      </c>
      <c r="Q1784" s="482">
        <v>0.97</v>
      </c>
      <c r="R1784" s="704">
        <f>Q1784*J1784</f>
        <v>24.25</v>
      </c>
      <c r="S1784" s="489">
        <v>54</v>
      </c>
      <c r="T1784" s="113">
        <f t="shared" si="89"/>
        <v>1350</v>
      </c>
      <c r="U1784" s="507" t="s">
        <v>3158</v>
      </c>
      <c r="V1784" s="494">
        <v>120</v>
      </c>
      <c r="W1784"/>
    </row>
    <row r="1785" spans="2:23" ht="18" customHeight="1">
      <c r="B1785" s="28" t="s">
        <v>1856</v>
      </c>
      <c r="C1785" s="6" t="s">
        <v>3147</v>
      </c>
      <c r="D1785" s="15" t="s">
        <v>1666</v>
      </c>
      <c r="E1785" s="20" t="s">
        <v>3154</v>
      </c>
      <c r="F1785" s="44">
        <v>7</v>
      </c>
      <c r="G1785" s="24" t="s">
        <v>3153</v>
      </c>
      <c r="H1785" s="151">
        <v>25</v>
      </c>
      <c r="I1785" s="152">
        <v>1</v>
      </c>
      <c r="J1785" s="67">
        <f>H1785*I1785</f>
        <v>25</v>
      </c>
      <c r="K1785" s="46">
        <v>2.8</v>
      </c>
      <c r="L1785" s="46">
        <f t="shared" si="87"/>
        <v>70</v>
      </c>
      <c r="M1785" s="162" t="s">
        <v>2219</v>
      </c>
      <c r="N1785" s="39">
        <v>44854</v>
      </c>
      <c r="O1785" s="38">
        <v>4658</v>
      </c>
      <c r="P1785" s="46">
        <f t="shared" si="88"/>
        <v>2.464</v>
      </c>
      <c r="Q1785" s="482">
        <v>2.46</v>
      </c>
      <c r="R1785" s="704">
        <f>Q1785*J1785</f>
        <v>61.5</v>
      </c>
      <c r="S1785" s="489">
        <v>146</v>
      </c>
      <c r="T1785" s="113">
        <f t="shared" si="89"/>
        <v>3650</v>
      </c>
      <c r="U1785" s="507" t="s">
        <v>3159</v>
      </c>
      <c r="V1785" s="494">
        <v>120</v>
      </c>
      <c r="W1785"/>
    </row>
    <row r="1786" spans="2:23" ht="18" customHeight="1">
      <c r="B1786" s="28" t="s">
        <v>1856</v>
      </c>
      <c r="C1786" s="6" t="s">
        <v>3147</v>
      </c>
      <c r="D1786" s="15" t="s">
        <v>1666</v>
      </c>
      <c r="E1786" s="20" t="s">
        <v>3155</v>
      </c>
      <c r="F1786" s="44">
        <v>7</v>
      </c>
      <c r="G1786" s="24" t="s">
        <v>1473</v>
      </c>
      <c r="H1786" s="151">
        <v>25</v>
      </c>
      <c r="I1786" s="152">
        <v>1</v>
      </c>
      <c r="J1786" s="67">
        <f>H1786*I1786</f>
        <v>25</v>
      </c>
      <c r="K1786" s="46">
        <v>3.45</v>
      </c>
      <c r="L1786" s="46">
        <f t="shared" si="87"/>
        <v>86.25</v>
      </c>
      <c r="M1786" s="162" t="s">
        <v>2219</v>
      </c>
      <c r="N1786" s="39">
        <v>44854</v>
      </c>
      <c r="O1786" s="38">
        <v>4658</v>
      </c>
      <c r="P1786" s="46">
        <f t="shared" si="88"/>
        <v>3.036</v>
      </c>
      <c r="Q1786" s="482">
        <v>3.04</v>
      </c>
      <c r="R1786" s="704">
        <f>Q1786*J1786</f>
        <v>76</v>
      </c>
      <c r="S1786" s="489">
        <v>171</v>
      </c>
      <c r="T1786" s="113">
        <f t="shared" si="89"/>
        <v>4275</v>
      </c>
      <c r="U1786" s="507" t="s">
        <v>3160</v>
      </c>
      <c r="V1786" s="494">
        <v>120</v>
      </c>
      <c r="W1786"/>
    </row>
    <row r="1787" spans="2:23" ht="18" customHeight="1">
      <c r="B1787" s="28" t="s">
        <v>1856</v>
      </c>
      <c r="C1787" s="6" t="s">
        <v>3147</v>
      </c>
      <c r="D1787" s="15" t="s">
        <v>1666</v>
      </c>
      <c r="E1787" s="20" t="s">
        <v>3156</v>
      </c>
      <c r="F1787" s="44">
        <v>10</v>
      </c>
      <c r="G1787" s="24" t="s">
        <v>1473</v>
      </c>
      <c r="H1787" s="151">
        <v>25</v>
      </c>
      <c r="I1787" s="152">
        <v>1</v>
      </c>
      <c r="J1787" s="67">
        <f>H1787*I1787</f>
        <v>25</v>
      </c>
      <c r="K1787" s="46">
        <v>3.82</v>
      </c>
      <c r="L1787" s="46">
        <f t="shared" si="87"/>
        <v>95.5</v>
      </c>
      <c r="M1787" s="162" t="s">
        <v>2219</v>
      </c>
      <c r="N1787" s="39">
        <v>44854</v>
      </c>
      <c r="O1787" s="38">
        <v>4658</v>
      </c>
      <c r="P1787" s="46">
        <f t="shared" si="88"/>
        <v>3.3615999999999997</v>
      </c>
      <c r="Q1787" s="482">
        <v>3.36</v>
      </c>
      <c r="R1787" s="704">
        <f>Q1787*J1787</f>
        <v>84</v>
      </c>
      <c r="S1787" s="489">
        <v>199</v>
      </c>
      <c r="T1787" s="113">
        <f t="shared" si="89"/>
        <v>4975</v>
      </c>
      <c r="U1787" s="507" t="s">
        <v>3161</v>
      </c>
      <c r="V1787" s="494">
        <v>120</v>
      </c>
      <c r="W1787"/>
    </row>
    <row r="1788" spans="2:23" ht="15.95" customHeight="1">
      <c r="B1788" s="12" t="s">
        <v>1862</v>
      </c>
      <c r="C1788" s="6" t="s">
        <v>3147</v>
      </c>
      <c r="D1788" s="15" t="s">
        <v>1666</v>
      </c>
      <c r="E1788" s="24"/>
      <c r="F1788" s="138"/>
      <c r="G1788" s="44" t="s">
        <v>1993</v>
      </c>
      <c r="H1788" s="8"/>
      <c r="I1788" s="41"/>
      <c r="J1788" s="45">
        <v>1</v>
      </c>
      <c r="K1788" s="46">
        <v>12</v>
      </c>
      <c r="L1788" s="46">
        <f t="shared" si="87"/>
        <v>12</v>
      </c>
      <c r="M1788" s="112"/>
      <c r="N1788" s="39">
        <v>44854</v>
      </c>
      <c r="O1788" s="38">
        <v>4658</v>
      </c>
      <c r="P1788" s="46">
        <f t="shared" si="88"/>
        <v>12</v>
      </c>
      <c r="Q1788" s="483">
        <v>12</v>
      </c>
      <c r="R1788" s="704">
        <v>12</v>
      </c>
      <c r="S1788" s="489">
        <v>550</v>
      </c>
      <c r="T1788" s="113">
        <f t="shared" si="89"/>
        <v>550</v>
      </c>
      <c r="U1788" s="511"/>
      <c r="V1788" s="494">
        <v>120</v>
      </c>
      <c r="W1788"/>
    </row>
    <row r="1789" spans="2:23" s="314" customFormat="1" ht="15">
      <c r="B1789" s="313"/>
      <c r="C1789" s="302" t="s">
        <v>3147</v>
      </c>
      <c r="D1789" s="303" t="s">
        <v>1666</v>
      </c>
      <c r="E1789" s="304"/>
      <c r="F1789" s="305"/>
      <c r="G1789" s="305" t="s">
        <v>1227</v>
      </c>
      <c r="H1789" s="307" t="s">
        <v>1228</v>
      </c>
      <c r="I1789" s="308"/>
      <c r="J1789" s="306"/>
      <c r="K1789" s="315">
        <v>0</v>
      </c>
      <c r="L1789" s="310"/>
      <c r="M1789" s="310"/>
      <c r="N1789" s="310">
        <v>44854</v>
      </c>
      <c r="O1789" s="309">
        <v>4658</v>
      </c>
      <c r="P1789" s="302"/>
      <c r="Q1789" s="485">
        <v>0</v>
      </c>
      <c r="S1789" s="536">
        <v>0</v>
      </c>
      <c r="T1789" s="322">
        <v>0</v>
      </c>
      <c r="U1789" s="515"/>
      <c r="V1789" s="494">
        <v>120</v>
      </c>
    </row>
    <row r="1790" spans="2:23" ht="18" customHeight="1">
      <c r="C1790" s="6" t="s">
        <v>3183</v>
      </c>
      <c r="D1790" s="15" t="s">
        <v>1666</v>
      </c>
      <c r="E1790" s="20" t="s">
        <v>2243</v>
      </c>
      <c r="F1790" s="44"/>
      <c r="G1790" s="44"/>
      <c r="H1790" s="151"/>
      <c r="I1790" s="151"/>
      <c r="J1790" s="151"/>
      <c r="K1790" s="34" t="s">
        <v>134</v>
      </c>
      <c r="L1790" s="39"/>
      <c r="M1790" s="39"/>
      <c r="N1790" s="39">
        <v>44854</v>
      </c>
      <c r="O1790" s="38">
        <v>4658</v>
      </c>
      <c r="P1790" s="6"/>
      <c r="Q1790" s="524"/>
      <c r="S1790" s="707" t="s">
        <v>2297</v>
      </c>
      <c r="T1790" s="113"/>
      <c r="U1790" s="706"/>
      <c r="V1790" s="494">
        <v>120</v>
      </c>
      <c r="W1790"/>
    </row>
    <row r="1791" spans="2:23" ht="18" customHeight="1">
      <c r="B1791" s="28" t="s">
        <v>1856</v>
      </c>
      <c r="C1791" s="6" t="s">
        <v>3183</v>
      </c>
      <c r="D1791" s="15" t="s">
        <v>1666</v>
      </c>
      <c r="E1791" s="24">
        <v>3806</v>
      </c>
      <c r="F1791" s="44">
        <v>6</v>
      </c>
      <c r="G1791" s="24" t="s">
        <v>338</v>
      </c>
      <c r="H1791" s="151">
        <v>30</v>
      </c>
      <c r="I1791" s="152">
        <v>1</v>
      </c>
      <c r="J1791" s="67">
        <f>H1791*I1791</f>
        <v>30</v>
      </c>
      <c r="K1791" s="46">
        <v>0.19</v>
      </c>
      <c r="L1791" s="46">
        <f>K1791*J1791</f>
        <v>5.7</v>
      </c>
      <c r="M1791" s="162" t="s">
        <v>2219</v>
      </c>
      <c r="N1791" s="39">
        <v>44854</v>
      </c>
      <c r="O1791" s="38">
        <v>4658</v>
      </c>
      <c r="P1791" s="46">
        <f>K1791*(VLOOKUP(B1791,$C$2:$F$6,3,FALSE))</f>
        <v>0.16720000000000002</v>
      </c>
      <c r="Q1791" s="482">
        <v>0.17</v>
      </c>
      <c r="R1791" s="704">
        <f>Q1791*J1791</f>
        <v>5.1000000000000005</v>
      </c>
      <c r="S1791" s="489">
        <v>9.27</v>
      </c>
      <c r="T1791" s="113">
        <f>S1791*J1791</f>
        <v>278.09999999999997</v>
      </c>
      <c r="U1791" s="1200" t="s">
        <v>3184</v>
      </c>
      <c r="V1791" s="494">
        <v>120</v>
      </c>
      <c r="W1791"/>
    </row>
    <row r="1792" spans="2:23" ht="18" customHeight="1">
      <c r="B1792" s="28" t="s">
        <v>1856</v>
      </c>
      <c r="C1792" s="6" t="s">
        <v>3183</v>
      </c>
      <c r="D1792" s="15" t="s">
        <v>1666</v>
      </c>
      <c r="E1792" s="24">
        <v>3806</v>
      </c>
      <c r="F1792" s="44">
        <v>9</v>
      </c>
      <c r="G1792" s="24" t="s">
        <v>349</v>
      </c>
      <c r="H1792" s="151">
        <v>30</v>
      </c>
      <c r="I1792" s="152">
        <v>1</v>
      </c>
      <c r="J1792" s="67">
        <f>H1792*I1792</f>
        <v>30</v>
      </c>
      <c r="K1792" s="46">
        <v>0.23</v>
      </c>
      <c r="L1792" s="46">
        <f>K1792*J1792</f>
        <v>6.9</v>
      </c>
      <c r="M1792" s="162" t="s">
        <v>2219</v>
      </c>
      <c r="N1792" s="39">
        <v>44854</v>
      </c>
      <c r="O1792" s="38">
        <v>4658</v>
      </c>
      <c r="P1792" s="46">
        <f>K1792*(VLOOKUP(B1792,$C$2:$F$6,3,FALSE))</f>
        <v>0.2024</v>
      </c>
      <c r="Q1792" s="482">
        <v>0.2</v>
      </c>
      <c r="R1792" s="704">
        <f>Q1792*J1792</f>
        <v>6</v>
      </c>
      <c r="S1792" s="489">
        <v>11.6</v>
      </c>
      <c r="T1792" s="113">
        <f>S1792*J1792</f>
        <v>348</v>
      </c>
      <c r="U1792" s="1200" t="s">
        <v>3185</v>
      </c>
      <c r="V1792" s="494">
        <v>120</v>
      </c>
      <c r="W1792"/>
    </row>
    <row r="1793" spans="2:23" ht="15.95" customHeight="1">
      <c r="B1793" s="12" t="s">
        <v>1862</v>
      </c>
      <c r="C1793" s="6" t="s">
        <v>3183</v>
      </c>
      <c r="D1793" s="15" t="s">
        <v>1666</v>
      </c>
      <c r="E1793" s="24"/>
      <c r="F1793" s="138"/>
      <c r="G1793" s="44" t="s">
        <v>1993</v>
      </c>
      <c r="H1793" s="8"/>
      <c r="I1793" s="41"/>
      <c r="J1793" s="45">
        <v>1</v>
      </c>
      <c r="K1793" s="46">
        <v>12</v>
      </c>
      <c r="L1793" s="46">
        <f>K1793*J1793</f>
        <v>12</v>
      </c>
      <c r="M1793" s="112"/>
      <c r="N1793" s="39">
        <v>44854</v>
      </c>
      <c r="O1793" s="38">
        <v>4658</v>
      </c>
      <c r="P1793" s="46">
        <f>K1793*(VLOOKUP(B1793,$C$2:$F$6,3,FALSE))</f>
        <v>12</v>
      </c>
      <c r="Q1793" s="483">
        <v>12</v>
      </c>
      <c r="R1793" s="704">
        <v>12</v>
      </c>
      <c r="S1793" s="489">
        <v>0</v>
      </c>
      <c r="T1793" s="113">
        <f>S1793*J1793</f>
        <v>0</v>
      </c>
      <c r="U1793" s="511"/>
      <c r="V1793" s="494">
        <v>120</v>
      </c>
      <c r="W1793"/>
    </row>
    <row r="1794" spans="2:23" s="314" customFormat="1" ht="15">
      <c r="B1794" s="313"/>
      <c r="C1794" s="302" t="s">
        <v>3183</v>
      </c>
      <c r="D1794" s="303" t="s">
        <v>1666</v>
      </c>
      <c r="E1794" s="304"/>
      <c r="F1794" s="305"/>
      <c r="G1794" s="305" t="s">
        <v>1227</v>
      </c>
      <c r="H1794" s="307" t="s">
        <v>1228</v>
      </c>
      <c r="I1794" s="308"/>
      <c r="J1794" s="306"/>
      <c r="K1794" s="315">
        <v>0</v>
      </c>
      <c r="L1794" s="310"/>
      <c r="M1794" s="310"/>
      <c r="N1794" s="310">
        <v>44854</v>
      </c>
      <c r="O1794" s="309">
        <v>4658</v>
      </c>
      <c r="P1794" s="302"/>
      <c r="Q1794" s="485">
        <v>0</v>
      </c>
      <c r="S1794" s="536">
        <v>0</v>
      </c>
      <c r="T1794" s="322">
        <v>0</v>
      </c>
      <c r="U1794" s="515"/>
      <c r="V1794" s="494">
        <v>120</v>
      </c>
    </row>
    <row r="1795" spans="2:23" ht="15" customHeight="1">
      <c r="C1795" s="6" t="s">
        <v>3206</v>
      </c>
      <c r="D1795" s="15" t="s">
        <v>3181</v>
      </c>
      <c r="E1795" s="20" t="s">
        <v>1639</v>
      </c>
      <c r="F1795" s="26"/>
      <c r="G1795" s="24"/>
      <c r="H1795" s="16"/>
      <c r="I1795" s="68"/>
      <c r="J1795" s="67"/>
      <c r="K1795" s="153" t="s">
        <v>10</v>
      </c>
      <c r="L1795" s="39"/>
      <c r="M1795" s="39"/>
      <c r="N1795" s="39">
        <v>44853</v>
      </c>
      <c r="O1795" s="38">
        <v>4655</v>
      </c>
      <c r="P1795" s="6" t="s">
        <v>23</v>
      </c>
      <c r="Q1795" s="481"/>
      <c r="S1795" s="489"/>
      <c r="T1795" s="113"/>
      <c r="U1795" s="500"/>
      <c r="V1795" s="494">
        <v>120</v>
      </c>
      <c r="W1795"/>
    </row>
    <row r="1796" spans="2:23" ht="15.75">
      <c r="C1796" s="6" t="s">
        <v>3194</v>
      </c>
      <c r="D1796" s="15" t="s">
        <v>3181</v>
      </c>
      <c r="E1796" s="24" t="s">
        <v>1264</v>
      </c>
      <c r="F1796" s="26" t="s">
        <v>3142</v>
      </c>
      <c r="G1796" s="24" t="s">
        <v>3182</v>
      </c>
      <c r="H1796" s="151">
        <v>25</v>
      </c>
      <c r="I1796" s="152">
        <v>1</v>
      </c>
      <c r="J1796" s="67">
        <f>H1796*I1796</f>
        <v>25</v>
      </c>
      <c r="K1796" s="25">
        <v>1.69</v>
      </c>
      <c r="L1796" s="46">
        <f>K1796*J1796</f>
        <v>42.25</v>
      </c>
      <c r="M1796" s="162" t="s">
        <v>2219</v>
      </c>
      <c r="N1796" s="39">
        <v>44853</v>
      </c>
      <c r="O1796" s="38">
        <v>4655</v>
      </c>
      <c r="P1796" s="25">
        <f>K1796*0.88</f>
        <v>1.4871999999999999</v>
      </c>
      <c r="Q1796" s="483">
        <v>1.49</v>
      </c>
      <c r="R1796" s="704">
        <f>Q1796*J1796</f>
        <v>37.25</v>
      </c>
      <c r="S1796" s="489">
        <v>81</v>
      </c>
      <c r="T1796" s="567">
        <f>S1796*J1796</f>
        <v>2025</v>
      </c>
      <c r="U1796" s="502"/>
      <c r="V1796" s="494">
        <v>120</v>
      </c>
      <c r="W1796"/>
    </row>
    <row r="1797" spans="2:23" ht="15.95" customHeight="1">
      <c r="B1797" s="12" t="s">
        <v>1862</v>
      </c>
      <c r="C1797" s="6" t="s">
        <v>3194</v>
      </c>
      <c r="D1797" s="15" t="s">
        <v>3181</v>
      </c>
      <c r="E1797" s="24"/>
      <c r="F1797" s="138"/>
      <c r="G1797" s="44" t="s">
        <v>1993</v>
      </c>
      <c r="H1797" s="8"/>
      <c r="I1797" s="41"/>
      <c r="J1797" s="45">
        <v>1</v>
      </c>
      <c r="K1797" s="46">
        <v>12</v>
      </c>
      <c r="L1797" s="46">
        <f>K1797*J1797</f>
        <v>12</v>
      </c>
      <c r="M1797" s="112"/>
      <c r="N1797" s="39">
        <v>44853</v>
      </c>
      <c r="O1797" s="38">
        <v>4655</v>
      </c>
      <c r="P1797" s="46">
        <f>K1797*(VLOOKUP(B1797,$C$2:$F$6,3,FALSE))</f>
        <v>12</v>
      </c>
      <c r="Q1797" s="483">
        <v>12</v>
      </c>
      <c r="R1797" s="704">
        <v>12</v>
      </c>
      <c r="S1797" s="489">
        <v>550</v>
      </c>
      <c r="T1797" s="113">
        <f>S1797*J1797</f>
        <v>550</v>
      </c>
      <c r="U1797" s="511"/>
      <c r="V1797" s="494">
        <v>120</v>
      </c>
      <c r="W1797"/>
    </row>
    <row r="1798" spans="2:23" s="314" customFormat="1" ht="15">
      <c r="B1798" s="313"/>
      <c r="C1798" s="302" t="s">
        <v>3194</v>
      </c>
      <c r="D1798" s="303" t="s">
        <v>3181</v>
      </c>
      <c r="E1798" s="371"/>
      <c r="F1798" s="305"/>
      <c r="G1798" s="305" t="s">
        <v>1227</v>
      </c>
      <c r="H1798" s="307" t="s">
        <v>1228</v>
      </c>
      <c r="I1798" s="308"/>
      <c r="J1798" s="306"/>
      <c r="K1798" s="315">
        <v>0</v>
      </c>
      <c r="L1798" s="310"/>
      <c r="M1798" s="310"/>
      <c r="N1798" s="310">
        <v>44853</v>
      </c>
      <c r="O1798" s="309">
        <v>4655</v>
      </c>
      <c r="P1798" s="302"/>
      <c r="Q1798" s="531">
        <v>0</v>
      </c>
      <c r="S1798" s="536">
        <v>0</v>
      </c>
      <c r="T1798" s="322">
        <v>0</v>
      </c>
      <c r="U1798" s="1115"/>
      <c r="V1798" s="494">
        <v>120</v>
      </c>
    </row>
    <row r="1799" spans="2:23" s="7" customFormat="1" ht="18" customHeight="1">
      <c r="B1799" s="12"/>
      <c r="C1799" s="6" t="s">
        <v>3193</v>
      </c>
      <c r="D1799" s="15" t="s">
        <v>586</v>
      </c>
      <c r="E1799" s="20" t="s">
        <v>1003</v>
      </c>
      <c r="F1799" s="24"/>
      <c r="G1799" s="44"/>
      <c r="H1799" s="151"/>
      <c r="I1799" s="151"/>
      <c r="J1799" s="151"/>
      <c r="K1799" s="153" t="s">
        <v>10</v>
      </c>
      <c r="L1799" s="39"/>
      <c r="M1799" s="39"/>
      <c r="N1799" s="39">
        <v>44860</v>
      </c>
      <c r="O1799" s="38">
        <v>4684</v>
      </c>
      <c r="P1799" s="6"/>
      <c r="Q1799" s="411"/>
      <c r="S1799" s="489"/>
      <c r="T1799" s="113"/>
      <c r="U1799" s="501"/>
      <c r="V1799" s="494">
        <v>120</v>
      </c>
    </row>
    <row r="1800" spans="2:23" s="7" customFormat="1" ht="15.95" customHeight="1">
      <c r="B1800" s="12" t="s">
        <v>1856</v>
      </c>
      <c r="C1800" s="6" t="s">
        <v>3193</v>
      </c>
      <c r="D1800" s="15" t="s">
        <v>586</v>
      </c>
      <c r="E1800" s="24" t="s">
        <v>1801</v>
      </c>
      <c r="F1800" s="44"/>
      <c r="G1800" s="44" t="s">
        <v>78</v>
      </c>
      <c r="H1800" s="8">
        <v>14</v>
      </c>
      <c r="I1800" s="41">
        <v>4</v>
      </c>
      <c r="J1800" s="67">
        <f>H1800*I1800</f>
        <v>56</v>
      </c>
      <c r="K1800" s="46">
        <v>1.6</v>
      </c>
      <c r="L1800" s="46">
        <f>K1800*J1800</f>
        <v>89.600000000000009</v>
      </c>
      <c r="M1800" s="162" t="s">
        <v>2219</v>
      </c>
      <c r="N1800" s="39">
        <v>44860</v>
      </c>
      <c r="O1800" s="38">
        <v>4684</v>
      </c>
      <c r="P1800" s="180">
        <f>K1800*(VLOOKUP(B1800,$C$2:$F$6,3,FALSE))</f>
        <v>1.4080000000000001</v>
      </c>
      <c r="Q1800" s="483">
        <v>1.41</v>
      </c>
      <c r="R1800" s="704">
        <f>Q1800*J1800</f>
        <v>78.959999999999994</v>
      </c>
      <c r="S1800" s="489">
        <v>86</v>
      </c>
      <c r="T1800" s="113">
        <f>S1800*J1800</f>
        <v>4816</v>
      </c>
      <c r="U1800" s="517"/>
      <c r="V1800" s="494">
        <v>120</v>
      </c>
    </row>
    <row r="1801" spans="2:23" s="7" customFormat="1" ht="15.95" customHeight="1">
      <c r="B1801" s="12" t="s">
        <v>1856</v>
      </c>
      <c r="C1801" s="6" t="s">
        <v>3193</v>
      </c>
      <c r="D1801" s="15" t="s">
        <v>586</v>
      </c>
      <c r="E1801" s="24" t="s">
        <v>1684</v>
      </c>
      <c r="F1801" s="44"/>
      <c r="G1801" s="44" t="s">
        <v>167</v>
      </c>
      <c r="H1801" s="8">
        <v>14</v>
      </c>
      <c r="I1801" s="41">
        <v>4</v>
      </c>
      <c r="J1801" s="67">
        <f>I1801*H1801</f>
        <v>56</v>
      </c>
      <c r="K1801" s="46">
        <v>1.02</v>
      </c>
      <c r="L1801" s="46">
        <f>K1801*J1801</f>
        <v>57.120000000000005</v>
      </c>
      <c r="M1801" s="162" t="s">
        <v>2219</v>
      </c>
      <c r="N1801" s="39">
        <v>44860</v>
      </c>
      <c r="O1801" s="38">
        <v>4684</v>
      </c>
      <c r="P1801" s="46">
        <f>K1801*(VLOOKUP(B1801,$C$2:$F$6,3,FALSE))</f>
        <v>0.89760000000000006</v>
      </c>
      <c r="Q1801" s="483">
        <v>0.9</v>
      </c>
      <c r="R1801" s="704">
        <f>Q1801*J1801</f>
        <v>50.4</v>
      </c>
      <c r="S1801" s="489">
        <v>55</v>
      </c>
      <c r="T1801" s="567">
        <f>S1801*J1801</f>
        <v>3080</v>
      </c>
      <c r="U1801" s="517"/>
      <c r="V1801" s="494">
        <v>120</v>
      </c>
    </row>
    <row r="1802" spans="2:23" ht="15.95" customHeight="1">
      <c r="B1802" s="12" t="s">
        <v>1862</v>
      </c>
      <c r="C1802" s="6" t="s">
        <v>3193</v>
      </c>
      <c r="D1802" s="15" t="s">
        <v>586</v>
      </c>
      <c r="E1802" s="24"/>
      <c r="F1802" s="138"/>
      <c r="G1802" s="44" t="s">
        <v>2124</v>
      </c>
      <c r="H1802" s="8"/>
      <c r="I1802" s="41"/>
      <c r="J1802" s="45">
        <v>1</v>
      </c>
      <c r="K1802" s="46">
        <v>125</v>
      </c>
      <c r="L1802" s="46">
        <f>K1802*J1802</f>
        <v>125</v>
      </c>
      <c r="M1802" s="112"/>
      <c r="N1802" s="39">
        <v>44860</v>
      </c>
      <c r="O1802" s="38">
        <v>4684</v>
      </c>
      <c r="P1802" s="46">
        <f>K1802*(VLOOKUP(B1802,$C$2:$F$6,3,FALSE))</f>
        <v>125</v>
      </c>
      <c r="Q1802" s="483">
        <v>125</v>
      </c>
      <c r="R1802" s="704">
        <v>125</v>
      </c>
      <c r="S1802" s="489">
        <v>9000</v>
      </c>
      <c r="T1802" s="113">
        <f>S1802*J1802</f>
        <v>9000</v>
      </c>
      <c r="U1802" s="511"/>
      <c r="V1802" s="494">
        <v>120</v>
      </c>
      <c r="W1802"/>
    </row>
    <row r="1803" spans="2:23" ht="15.95" customHeight="1">
      <c r="B1803" s="12" t="s">
        <v>1862</v>
      </c>
      <c r="C1803" s="6" t="s">
        <v>3193</v>
      </c>
      <c r="D1803" s="15" t="s">
        <v>586</v>
      </c>
      <c r="E1803" s="24"/>
      <c r="F1803" s="138"/>
      <c r="G1803" s="44" t="s">
        <v>1993</v>
      </c>
      <c r="H1803" s="8"/>
      <c r="I1803" s="41"/>
      <c r="J1803" s="45">
        <v>1</v>
      </c>
      <c r="K1803" s="46">
        <v>12</v>
      </c>
      <c r="L1803" s="46">
        <f>K1803*J1803</f>
        <v>12</v>
      </c>
      <c r="M1803" s="112"/>
      <c r="N1803" s="39">
        <v>44860</v>
      </c>
      <c r="O1803" s="38">
        <v>4684</v>
      </c>
      <c r="P1803" s="46">
        <f>K1803*(VLOOKUP(B1803,$C$2:$F$6,3,FALSE))</f>
        <v>12</v>
      </c>
      <c r="Q1803" s="483">
        <v>12</v>
      </c>
      <c r="R1803" s="704">
        <v>12</v>
      </c>
      <c r="S1803" s="489">
        <v>900</v>
      </c>
      <c r="T1803" s="113">
        <f>S1803*J1803</f>
        <v>900</v>
      </c>
      <c r="U1803" s="511"/>
      <c r="V1803" s="494">
        <v>120</v>
      </c>
      <c r="W1803"/>
    </row>
    <row r="1804" spans="2:23" s="314" customFormat="1" ht="15">
      <c r="B1804" s="313"/>
      <c r="C1804" s="302" t="s">
        <v>3193</v>
      </c>
      <c r="D1804" s="303" t="s">
        <v>586</v>
      </c>
      <c r="E1804" s="304"/>
      <c r="F1804" s="305"/>
      <c r="G1804" s="305" t="s">
        <v>1227</v>
      </c>
      <c r="H1804" s="307" t="s">
        <v>1228</v>
      </c>
      <c r="I1804" s="308"/>
      <c r="J1804" s="306"/>
      <c r="K1804" s="315">
        <v>0</v>
      </c>
      <c r="L1804" s="310"/>
      <c r="M1804" s="310"/>
      <c r="N1804" s="310">
        <v>44860</v>
      </c>
      <c r="O1804" s="309">
        <v>4684</v>
      </c>
      <c r="P1804" s="302"/>
      <c r="Q1804" s="485">
        <v>0</v>
      </c>
      <c r="S1804" s="536">
        <v>0</v>
      </c>
      <c r="T1804" s="322">
        <v>0</v>
      </c>
      <c r="U1804" s="515"/>
      <c r="V1804" s="494">
        <v>120</v>
      </c>
    </row>
    <row r="1805" spans="2:23" s="7" customFormat="1" ht="18" customHeight="1">
      <c r="B1805" s="12"/>
      <c r="C1805" s="6" t="s">
        <v>3121</v>
      </c>
      <c r="D1805" s="15" t="s">
        <v>3120</v>
      </c>
      <c r="E1805" s="7" t="s">
        <v>2306</v>
      </c>
      <c r="F1805" s="700"/>
      <c r="G1805" s="640"/>
      <c r="H1805" s="641"/>
      <c r="I1805" s="701"/>
      <c r="J1805" s="702"/>
      <c r="K1805" s="153" t="s">
        <v>10</v>
      </c>
      <c r="L1805" s="219"/>
      <c r="M1805" s="11"/>
      <c r="N1805" s="39">
        <v>44858</v>
      </c>
      <c r="O1805" s="38">
        <v>4644</v>
      </c>
      <c r="P1805" s="6"/>
      <c r="Q1805" s="703"/>
      <c r="U1805" s="46"/>
      <c r="V1805" s="494">
        <v>120</v>
      </c>
    </row>
    <row r="1806" spans="2:23" ht="18" customHeight="1">
      <c r="B1806" s="28" t="s">
        <v>1856</v>
      </c>
      <c r="C1806" s="6" t="s">
        <v>3121</v>
      </c>
      <c r="D1806" s="15" t="s">
        <v>3120</v>
      </c>
      <c r="E1806" s="24" t="s">
        <v>18</v>
      </c>
      <c r="F1806" s="44">
        <v>30</v>
      </c>
      <c r="G1806" s="24" t="s">
        <v>2727</v>
      </c>
      <c r="H1806" s="151">
        <v>30</v>
      </c>
      <c r="I1806" s="152">
        <v>11</v>
      </c>
      <c r="J1806" s="67">
        <f>H1806*I1806</f>
        <v>330</v>
      </c>
      <c r="K1806" s="46">
        <v>4.26</v>
      </c>
      <c r="L1806" s="46">
        <f>K1806*J1806</f>
        <v>1405.8</v>
      </c>
      <c r="M1806" s="162" t="s">
        <v>2219</v>
      </c>
      <c r="N1806" s="39">
        <v>44858</v>
      </c>
      <c r="O1806" s="38">
        <v>4644</v>
      </c>
      <c r="P1806" s="46">
        <f>K1806*(VLOOKUP(B1806,$C$2:$F$6,3,FALSE))</f>
        <v>3.7487999999999997</v>
      </c>
      <c r="Q1806" s="482">
        <v>3.75</v>
      </c>
      <c r="R1806" s="704">
        <f>Q1806*J1806</f>
        <v>1237.5</v>
      </c>
      <c r="S1806" s="489">
        <v>230</v>
      </c>
      <c r="T1806" s="113">
        <f>S1806*J1806</f>
        <v>75900</v>
      </c>
      <c r="U1806" s="507"/>
      <c r="V1806" s="494">
        <v>120</v>
      </c>
      <c r="W1806"/>
    </row>
    <row r="1807" spans="2:23" s="314" customFormat="1" ht="15">
      <c r="B1807" s="313"/>
      <c r="C1807" s="302" t="s">
        <v>3121</v>
      </c>
      <c r="D1807" s="303" t="s">
        <v>3120</v>
      </c>
      <c r="E1807" s="371"/>
      <c r="F1807" s="305"/>
      <c r="G1807" s="305" t="s">
        <v>1227</v>
      </c>
      <c r="H1807" s="307" t="s">
        <v>1228</v>
      </c>
      <c r="I1807" s="308"/>
      <c r="J1807" s="306"/>
      <c r="K1807" s="315">
        <v>0</v>
      </c>
      <c r="L1807" s="310"/>
      <c r="M1807" s="310"/>
      <c r="N1807" s="310">
        <v>44858</v>
      </c>
      <c r="O1807" s="309">
        <v>4644</v>
      </c>
      <c r="P1807" s="302"/>
      <c r="Q1807" s="485">
        <v>0</v>
      </c>
      <c r="R1807" s="704">
        <v>0</v>
      </c>
      <c r="S1807" s="536">
        <v>0</v>
      </c>
      <c r="T1807" s="322">
        <v>0</v>
      </c>
      <c r="U1807" s="515"/>
      <c r="V1807" s="494">
        <v>120</v>
      </c>
    </row>
    <row r="1808" spans="2:23" s="7" customFormat="1" ht="18" customHeight="1">
      <c r="B1808" s="12"/>
      <c r="C1808" s="6" t="s">
        <v>3188</v>
      </c>
      <c r="D1808" s="15" t="s">
        <v>3120</v>
      </c>
      <c r="E1808" s="20" t="s">
        <v>628</v>
      </c>
      <c r="F1808" s="26"/>
      <c r="G1808" s="24"/>
      <c r="H1808" s="67"/>
      <c r="I1808" s="68"/>
      <c r="J1808" s="67"/>
      <c r="K1808" s="17" t="s">
        <v>134</v>
      </c>
      <c r="L1808" s="39"/>
      <c r="M1808" s="39"/>
      <c r="N1808" s="39">
        <v>44858</v>
      </c>
      <c r="O1808" s="38">
        <v>4644</v>
      </c>
      <c r="P1808" s="179" t="s">
        <v>23</v>
      </c>
      <c r="Q1808" s="438" t="s">
        <v>959</v>
      </c>
      <c r="S1808" s="489"/>
      <c r="T1808" s="113"/>
      <c r="U1808" s="510"/>
      <c r="V1808" s="494">
        <v>120</v>
      </c>
    </row>
    <row r="1809" spans="2:23" s="7" customFormat="1" ht="18" customHeight="1">
      <c r="B1809" s="12" t="s">
        <v>1856</v>
      </c>
      <c r="C1809" s="6" t="s">
        <v>3188</v>
      </c>
      <c r="D1809" s="15" t="s">
        <v>3120</v>
      </c>
      <c r="E1809" s="24">
        <v>5291</v>
      </c>
      <c r="F1809" s="26">
        <v>6</v>
      </c>
      <c r="G1809" s="24" t="s">
        <v>29</v>
      </c>
      <c r="H1809" s="8">
        <v>50</v>
      </c>
      <c r="I1809" s="41">
        <v>10</v>
      </c>
      <c r="J1809" s="8">
        <f>H1809*I1809</f>
        <v>500</v>
      </c>
      <c r="K1809" s="46">
        <v>0.25</v>
      </c>
      <c r="L1809" s="46">
        <f>K1809*J1809</f>
        <v>125</v>
      </c>
      <c r="M1809" s="162" t="s">
        <v>2219</v>
      </c>
      <c r="N1809" s="39">
        <v>44858</v>
      </c>
      <c r="O1809" s="38">
        <v>4644</v>
      </c>
      <c r="P1809" s="46">
        <f>K1809*(VLOOKUP(B1809,$C$2:$F$6,3,FALSE))</f>
        <v>0.22</v>
      </c>
      <c r="Q1809" s="180">
        <v>0.22</v>
      </c>
      <c r="R1809" s="704">
        <f>Q1809*J1809</f>
        <v>110</v>
      </c>
      <c r="S1809" s="489">
        <v>13.2</v>
      </c>
      <c r="T1809" s="113">
        <f>S1809*J1809</f>
        <v>6600</v>
      </c>
      <c r="U1809" s="867"/>
      <c r="V1809" s="494">
        <v>120</v>
      </c>
    </row>
    <row r="1810" spans="2:23" ht="15.95" customHeight="1">
      <c r="C1810" s="6" t="s">
        <v>3188</v>
      </c>
      <c r="D1810" s="15" t="s">
        <v>3120</v>
      </c>
      <c r="E1810" s="228"/>
      <c r="F1810" s="160"/>
      <c r="G1810" s="42" t="s">
        <v>1993</v>
      </c>
      <c r="H1810" s="214"/>
      <c r="I1810" s="215"/>
      <c r="J1810" s="43">
        <v>1</v>
      </c>
      <c r="K1810" s="229">
        <v>12</v>
      </c>
      <c r="L1810" s="229">
        <v>0</v>
      </c>
      <c r="M1810" s="969"/>
      <c r="N1810" s="39">
        <v>44858</v>
      </c>
      <c r="O1810" s="38">
        <v>4644</v>
      </c>
      <c r="P1810" s="692"/>
      <c r="Q1810" s="970">
        <v>0</v>
      </c>
      <c r="R1810" s="970">
        <v>0</v>
      </c>
      <c r="S1810" s="971">
        <v>850</v>
      </c>
      <c r="T1810" s="564">
        <f>S1810*J1810</f>
        <v>850</v>
      </c>
      <c r="U1810" s="667"/>
      <c r="V1810" s="547">
        <v>120</v>
      </c>
      <c r="W1810"/>
    </row>
    <row r="1811" spans="2:23" s="314" customFormat="1" ht="15">
      <c r="B1811" s="313"/>
      <c r="C1811" s="302" t="s">
        <v>3188</v>
      </c>
      <c r="D1811" s="303" t="s">
        <v>3120</v>
      </c>
      <c r="E1811" s="371"/>
      <c r="F1811" s="305"/>
      <c r="G1811" s="305" t="s">
        <v>1227</v>
      </c>
      <c r="H1811" s="307" t="s">
        <v>1228</v>
      </c>
      <c r="I1811" s="308"/>
      <c r="J1811" s="306"/>
      <c r="K1811" s="315">
        <v>0</v>
      </c>
      <c r="L1811" s="310"/>
      <c r="M1811" s="310"/>
      <c r="N1811" s="310">
        <v>44858</v>
      </c>
      <c r="O1811" s="309">
        <v>4644</v>
      </c>
      <c r="P1811" s="302"/>
      <c r="Q1811" s="485">
        <v>0</v>
      </c>
      <c r="S1811" s="536">
        <v>0</v>
      </c>
      <c r="T1811" s="322">
        <v>0</v>
      </c>
      <c r="U1811" s="515"/>
      <c r="V1811" s="494">
        <v>120</v>
      </c>
    </row>
    <row r="1812" spans="2:23" s="7" customFormat="1" ht="18" customHeight="1">
      <c r="B1812" s="12"/>
      <c r="C1812" s="6" t="s">
        <v>3188</v>
      </c>
      <c r="D1812" s="15" t="s">
        <v>3120</v>
      </c>
      <c r="E1812" s="20" t="s">
        <v>628</v>
      </c>
      <c r="F1812" s="26"/>
      <c r="G1812" s="24"/>
      <c r="H1812" s="67"/>
      <c r="I1812" s="68"/>
      <c r="J1812" s="67"/>
      <c r="K1812" s="17" t="s">
        <v>134</v>
      </c>
      <c r="L1812" s="39"/>
      <c r="M1812" s="39"/>
      <c r="N1812" s="39">
        <v>44861</v>
      </c>
      <c r="O1812" s="38">
        <v>4659</v>
      </c>
      <c r="P1812" s="179" t="s">
        <v>23</v>
      </c>
      <c r="Q1812" s="438" t="s">
        <v>959</v>
      </c>
      <c r="S1812" s="489"/>
      <c r="T1812" s="113"/>
      <c r="U1812" s="510"/>
      <c r="V1812" s="494">
        <v>120</v>
      </c>
    </row>
    <row r="1813" spans="2:23" s="7" customFormat="1" ht="18" customHeight="1">
      <c r="B1813" s="12" t="s">
        <v>1856</v>
      </c>
      <c r="C1813" s="6" t="s">
        <v>3188</v>
      </c>
      <c r="D1813" s="15" t="s">
        <v>3120</v>
      </c>
      <c r="E1813" s="24">
        <v>5291</v>
      </c>
      <c r="F1813" s="26">
        <v>6</v>
      </c>
      <c r="G1813" s="24" t="s">
        <v>29</v>
      </c>
      <c r="H1813" s="8">
        <v>50</v>
      </c>
      <c r="I1813" s="41">
        <v>17</v>
      </c>
      <c r="J1813" s="8">
        <f>H1813*I1813</f>
        <v>850</v>
      </c>
      <c r="K1813" s="46">
        <v>0.25</v>
      </c>
      <c r="L1813" s="46">
        <f>K1813*J1813</f>
        <v>212.5</v>
      </c>
      <c r="M1813" s="162" t="s">
        <v>2219</v>
      </c>
      <c r="N1813" s="39">
        <v>44861</v>
      </c>
      <c r="O1813" s="38">
        <v>4659</v>
      </c>
      <c r="P1813" s="46">
        <f>K1813*(VLOOKUP(B1813,$C$2:$F$6,3,FALSE))</f>
        <v>0.22</v>
      </c>
      <c r="Q1813" s="180">
        <v>0.22</v>
      </c>
      <c r="R1813" s="704">
        <f>Q1813*J1813</f>
        <v>187</v>
      </c>
      <c r="S1813" s="489">
        <v>13.2</v>
      </c>
      <c r="T1813" s="113">
        <f>S1813*J1813</f>
        <v>11220</v>
      </c>
      <c r="U1813" s="867"/>
      <c r="V1813" s="494">
        <v>120</v>
      </c>
    </row>
    <row r="1814" spans="2:23" ht="15.95" customHeight="1">
      <c r="C1814" s="6" t="s">
        <v>3188</v>
      </c>
      <c r="D1814" s="15" t="s">
        <v>3120</v>
      </c>
      <c r="E1814" s="228"/>
      <c r="F1814" s="160"/>
      <c r="G1814" s="42" t="s">
        <v>1993</v>
      </c>
      <c r="H1814" s="214"/>
      <c r="I1814" s="215"/>
      <c r="J1814" s="43">
        <v>1</v>
      </c>
      <c r="K1814" s="229">
        <v>12</v>
      </c>
      <c r="L1814" s="229">
        <v>0</v>
      </c>
      <c r="M1814" s="969"/>
      <c r="N1814" s="39">
        <v>44861</v>
      </c>
      <c r="O1814" s="38">
        <v>4659</v>
      </c>
      <c r="P1814" s="692"/>
      <c r="Q1814" s="970">
        <v>0</v>
      </c>
      <c r="R1814" s="970">
        <v>0</v>
      </c>
      <c r="S1814" s="971">
        <v>1000</v>
      </c>
      <c r="T1814" s="564">
        <f>S1814*J1814</f>
        <v>1000</v>
      </c>
      <c r="U1814" s="667"/>
      <c r="V1814" s="547">
        <v>120</v>
      </c>
      <c r="W1814"/>
    </row>
    <row r="1815" spans="2:23" s="314" customFormat="1" ht="15">
      <c r="B1815" s="313"/>
      <c r="C1815" s="302" t="s">
        <v>3188</v>
      </c>
      <c r="D1815" s="303" t="s">
        <v>3120</v>
      </c>
      <c r="E1815" s="371"/>
      <c r="F1815" s="305"/>
      <c r="G1815" s="305" t="s">
        <v>1227</v>
      </c>
      <c r="H1815" s="307" t="s">
        <v>1228</v>
      </c>
      <c r="I1815" s="308"/>
      <c r="J1815" s="306"/>
      <c r="K1815" s="315">
        <v>0</v>
      </c>
      <c r="L1815" s="310"/>
      <c r="M1815" s="310"/>
      <c r="N1815" s="310">
        <v>44861</v>
      </c>
      <c r="O1815" s="309">
        <v>4659</v>
      </c>
      <c r="P1815" s="302"/>
      <c r="Q1815" s="485">
        <v>0</v>
      </c>
      <c r="S1815" s="536">
        <v>0</v>
      </c>
      <c r="T1815" s="322">
        <v>0</v>
      </c>
      <c r="U1815" s="515"/>
      <c r="V1815" s="494">
        <v>120</v>
      </c>
    </row>
    <row r="1816" spans="2:23" s="7" customFormat="1" ht="18" customHeight="1">
      <c r="B1816" s="12"/>
      <c r="C1816" s="6" t="s">
        <v>3189</v>
      </c>
      <c r="D1816" s="15" t="s">
        <v>3190</v>
      </c>
      <c r="E1816" s="20" t="s">
        <v>2680</v>
      </c>
      <c r="F1816" s="24"/>
      <c r="G1816" s="44"/>
      <c r="H1816" s="151"/>
      <c r="I1816" s="151"/>
      <c r="J1816" s="151"/>
      <c r="K1816" s="153" t="s">
        <v>10</v>
      </c>
      <c r="L1816" s="39"/>
      <c r="M1816" s="39"/>
      <c r="N1816" s="39">
        <v>44854</v>
      </c>
      <c r="O1816" s="38">
        <v>4653</v>
      </c>
      <c r="P1816" s="6"/>
      <c r="Q1816" s="411"/>
      <c r="S1816" s="489"/>
      <c r="T1816" s="113"/>
      <c r="U1816" s="501"/>
      <c r="V1816" s="494">
        <v>120</v>
      </c>
    </row>
    <row r="1817" spans="2:23" s="7" customFormat="1" ht="15.95" customHeight="1">
      <c r="B1817" s="12" t="s">
        <v>1858</v>
      </c>
      <c r="C1817" s="6" t="s">
        <v>3189</v>
      </c>
      <c r="D1817" s="15" t="s">
        <v>3190</v>
      </c>
      <c r="E1817" s="24" t="s">
        <v>3191</v>
      </c>
      <c r="F1817" s="155">
        <v>148</v>
      </c>
      <c r="G1817" s="44" t="s">
        <v>3192</v>
      </c>
      <c r="H1817" s="19">
        <v>8</v>
      </c>
      <c r="I1817" s="68">
        <v>1</v>
      </c>
      <c r="J1817" s="19">
        <f>H1817*I1817</f>
        <v>8</v>
      </c>
      <c r="K1817" s="1007">
        <v>37.5</v>
      </c>
      <c r="L1817" s="46">
        <f>K1817*J1817</f>
        <v>300</v>
      </c>
      <c r="M1817" s="162" t="s">
        <v>2219</v>
      </c>
      <c r="N1817" s="39">
        <v>44854</v>
      </c>
      <c r="O1817" s="38">
        <v>4653</v>
      </c>
      <c r="P1817" s="180">
        <f>K1817*(VLOOKUP(B1817,$C$2:$F$6,3,FALSE))</f>
        <v>35.25</v>
      </c>
      <c r="Q1817" s="483">
        <v>35.25</v>
      </c>
      <c r="R1817" s="704">
        <f>Q1817*J1817</f>
        <v>282</v>
      </c>
      <c r="S1817" s="489">
        <v>3600</v>
      </c>
      <c r="T1817" s="113">
        <f>S1817*J1817</f>
        <v>28800</v>
      </c>
      <c r="U1817" s="1021"/>
      <c r="V1817" s="494">
        <v>120</v>
      </c>
    </row>
    <row r="1818" spans="2:23" ht="15.95" customHeight="1">
      <c r="B1818" s="12" t="s">
        <v>1862</v>
      </c>
      <c r="C1818" s="6" t="s">
        <v>3189</v>
      </c>
      <c r="D1818" s="15" t="s">
        <v>3190</v>
      </c>
      <c r="E1818" s="24"/>
      <c r="F1818" s="138"/>
      <c r="G1818" s="44" t="s">
        <v>1993</v>
      </c>
      <c r="H1818" s="8"/>
      <c r="I1818" s="41"/>
      <c r="J1818" s="45">
        <v>1</v>
      </c>
      <c r="K1818" s="46">
        <v>20</v>
      </c>
      <c r="L1818" s="46">
        <f>K1818*J1818</f>
        <v>20</v>
      </c>
      <c r="M1818" s="112"/>
      <c r="N1818" s="39">
        <v>44854</v>
      </c>
      <c r="O1818" s="38">
        <v>4653</v>
      </c>
      <c r="P1818" s="46">
        <f>K1818*(VLOOKUP(B1818,$C$2:$F$6,3,FALSE))</f>
        <v>20</v>
      </c>
      <c r="Q1818" s="483">
        <v>20</v>
      </c>
      <c r="R1818" s="704">
        <v>20</v>
      </c>
      <c r="S1818" s="489">
        <v>1000</v>
      </c>
      <c r="T1818" s="113">
        <f>S1818*J1818</f>
        <v>1000</v>
      </c>
      <c r="U1818" s="511"/>
      <c r="V1818" s="494">
        <v>120</v>
      </c>
      <c r="W1818"/>
    </row>
    <row r="1819" spans="2:23" ht="15.95" customHeight="1">
      <c r="C1819" s="6" t="s">
        <v>3189</v>
      </c>
      <c r="D1819" s="15" t="s">
        <v>3190</v>
      </c>
      <c r="E1819" s="228"/>
      <c r="F1819" s="160"/>
      <c r="G1819" s="42" t="s">
        <v>1075</v>
      </c>
      <c r="H1819" s="214"/>
      <c r="I1819" s="215"/>
      <c r="J1819" s="43">
        <v>1</v>
      </c>
      <c r="K1819" s="229">
        <v>12</v>
      </c>
      <c r="L1819" s="229">
        <v>0</v>
      </c>
      <c r="M1819" s="969"/>
      <c r="N1819" s="39">
        <v>44854</v>
      </c>
      <c r="O1819" s="38">
        <v>4653</v>
      </c>
      <c r="P1819" s="692"/>
      <c r="Q1819" s="970">
        <v>0</v>
      </c>
      <c r="R1819" s="970">
        <v>0</v>
      </c>
      <c r="S1819" s="971">
        <v>1000</v>
      </c>
      <c r="T1819" s="564">
        <f>S1819*J1819</f>
        <v>1000</v>
      </c>
      <c r="U1819" s="667"/>
      <c r="V1819" s="547">
        <v>120</v>
      </c>
      <c r="W1819"/>
    </row>
    <row r="1820" spans="2:23" s="314" customFormat="1" ht="15">
      <c r="B1820" s="313"/>
      <c r="C1820" s="302" t="s">
        <v>3189</v>
      </c>
      <c r="D1820" s="303" t="s">
        <v>3190</v>
      </c>
      <c r="E1820" s="304"/>
      <c r="F1820" s="305"/>
      <c r="G1820" s="305" t="s">
        <v>1227</v>
      </c>
      <c r="H1820" s="307" t="s">
        <v>1243</v>
      </c>
      <c r="I1820" s="308"/>
      <c r="J1820" s="306"/>
      <c r="K1820" s="329">
        <v>33</v>
      </c>
      <c r="L1820" s="329">
        <v>33</v>
      </c>
      <c r="M1820" s="310"/>
      <c r="N1820" s="310">
        <v>44854</v>
      </c>
      <c r="O1820" s="309">
        <v>4653</v>
      </c>
      <c r="P1820" s="685"/>
      <c r="Q1820" s="686">
        <v>33</v>
      </c>
      <c r="R1820" s="686">
        <v>33</v>
      </c>
      <c r="S1820" s="718">
        <v>3930</v>
      </c>
      <c r="T1820" s="719">
        <v>3930</v>
      </c>
      <c r="U1820" s="688"/>
      <c r="V1820" s="494">
        <v>120</v>
      </c>
    </row>
    <row r="1821" spans="2:23" s="7" customFormat="1" ht="18" customHeight="1">
      <c r="B1821" s="12"/>
      <c r="C1821" s="6" t="s">
        <v>3189</v>
      </c>
      <c r="D1821" s="15" t="s">
        <v>3190</v>
      </c>
      <c r="E1821" s="20" t="s">
        <v>2680</v>
      </c>
      <c r="F1821" s="24"/>
      <c r="G1821" s="44"/>
      <c r="H1821" s="151"/>
      <c r="I1821" s="151"/>
      <c r="J1821" s="151"/>
      <c r="K1821" s="153" t="s">
        <v>10</v>
      </c>
      <c r="L1821" s="39"/>
      <c r="M1821" s="39"/>
      <c r="N1821" s="39">
        <v>44861</v>
      </c>
      <c r="O1821" s="38">
        <v>4674</v>
      </c>
      <c r="P1821" s="6"/>
      <c r="Q1821" s="411"/>
      <c r="S1821" s="489"/>
      <c r="T1821" s="113"/>
      <c r="U1821" s="501"/>
      <c r="V1821" s="494">
        <v>120</v>
      </c>
    </row>
    <row r="1822" spans="2:23" s="7" customFormat="1" ht="15.95" customHeight="1">
      <c r="B1822" s="12" t="s">
        <v>1858</v>
      </c>
      <c r="C1822" s="6" t="s">
        <v>3189</v>
      </c>
      <c r="D1822" s="15" t="s">
        <v>3190</v>
      </c>
      <c r="E1822" s="24" t="s">
        <v>3191</v>
      </c>
      <c r="F1822" s="155">
        <v>148</v>
      </c>
      <c r="G1822" s="44" t="s">
        <v>3192</v>
      </c>
      <c r="H1822" s="19">
        <v>12</v>
      </c>
      <c r="I1822" s="68">
        <v>1</v>
      </c>
      <c r="J1822" s="19">
        <f>H1822*I1822</f>
        <v>12</v>
      </c>
      <c r="K1822" s="1007">
        <v>37.5</v>
      </c>
      <c r="L1822" s="46">
        <f>K1822*J1822</f>
        <v>450</v>
      </c>
      <c r="M1822" s="162" t="s">
        <v>2219</v>
      </c>
      <c r="N1822" s="39">
        <v>44861</v>
      </c>
      <c r="O1822" s="38">
        <v>4674</v>
      </c>
      <c r="P1822" s="180">
        <f>K1822*(VLOOKUP(B1822,$C$2:$F$6,3,FALSE))</f>
        <v>35.25</v>
      </c>
      <c r="Q1822" s="483">
        <v>35.25</v>
      </c>
      <c r="R1822" s="704">
        <f>Q1822*J1822</f>
        <v>423</v>
      </c>
      <c r="S1822" s="489">
        <v>3600</v>
      </c>
      <c r="T1822" s="113">
        <f>S1822*J1822</f>
        <v>43200</v>
      </c>
      <c r="U1822" s="1021"/>
      <c r="V1822" s="494">
        <v>120</v>
      </c>
    </row>
    <row r="1823" spans="2:23" ht="15.95" customHeight="1">
      <c r="B1823" s="12" t="s">
        <v>1862</v>
      </c>
      <c r="C1823" s="6" t="s">
        <v>3189</v>
      </c>
      <c r="D1823" s="15" t="s">
        <v>3190</v>
      </c>
      <c r="E1823" s="24"/>
      <c r="F1823" s="138"/>
      <c r="G1823" s="44" t="s">
        <v>1993</v>
      </c>
      <c r="H1823" s="8"/>
      <c r="I1823" s="41"/>
      <c r="J1823" s="45">
        <v>1</v>
      </c>
      <c r="K1823" s="46">
        <v>20</v>
      </c>
      <c r="L1823" s="46">
        <f>K1823*J1823</f>
        <v>20</v>
      </c>
      <c r="M1823" s="112"/>
      <c r="N1823" s="39">
        <v>44861</v>
      </c>
      <c r="O1823" s="38">
        <v>4674</v>
      </c>
      <c r="P1823" s="46">
        <f>K1823*(VLOOKUP(B1823,$C$2:$F$6,3,FALSE))</f>
        <v>20</v>
      </c>
      <c r="Q1823" s="483">
        <v>20</v>
      </c>
      <c r="R1823" s="704">
        <v>20</v>
      </c>
      <c r="S1823" s="489">
        <v>1000</v>
      </c>
      <c r="T1823" s="113">
        <f>S1823*J1823</f>
        <v>1000</v>
      </c>
      <c r="U1823" s="511"/>
      <c r="V1823" s="494">
        <v>120</v>
      </c>
      <c r="W1823"/>
    </row>
    <row r="1824" spans="2:23" ht="15.95" customHeight="1">
      <c r="C1824" s="6" t="s">
        <v>3189</v>
      </c>
      <c r="D1824" s="15" t="s">
        <v>3190</v>
      </c>
      <c r="E1824" s="228"/>
      <c r="F1824" s="160"/>
      <c r="G1824" s="42" t="s">
        <v>1075</v>
      </c>
      <c r="H1824" s="214"/>
      <c r="I1824" s="215"/>
      <c r="J1824" s="43">
        <v>1</v>
      </c>
      <c r="K1824" s="229">
        <v>12</v>
      </c>
      <c r="L1824" s="229">
        <v>0</v>
      </c>
      <c r="M1824" s="969"/>
      <c r="N1824" s="39">
        <v>44861</v>
      </c>
      <c r="O1824" s="38">
        <v>4674</v>
      </c>
      <c r="P1824" s="692"/>
      <c r="Q1824" s="970">
        <v>0</v>
      </c>
      <c r="R1824" s="970">
        <v>0</v>
      </c>
      <c r="S1824" s="971">
        <v>1000</v>
      </c>
      <c r="T1824" s="564">
        <f>S1824*J1824</f>
        <v>1000</v>
      </c>
      <c r="U1824" s="667"/>
      <c r="V1824" s="547">
        <v>120</v>
      </c>
      <c r="W1824"/>
    </row>
    <row r="1825" spans="2:23" s="314" customFormat="1" ht="15">
      <c r="B1825" s="313"/>
      <c r="C1825" s="302" t="s">
        <v>3189</v>
      </c>
      <c r="D1825" s="303" t="s">
        <v>3190</v>
      </c>
      <c r="E1825" s="304"/>
      <c r="F1825" s="305"/>
      <c r="G1825" s="305" t="s">
        <v>1227</v>
      </c>
      <c r="H1825" s="307" t="s">
        <v>1243</v>
      </c>
      <c r="I1825" s="308"/>
      <c r="J1825" s="306"/>
      <c r="K1825" s="329">
        <v>34</v>
      </c>
      <c r="L1825" s="329">
        <v>34</v>
      </c>
      <c r="M1825" s="310"/>
      <c r="N1825" s="310">
        <v>44861</v>
      </c>
      <c r="O1825" s="309">
        <v>4674</v>
      </c>
      <c r="P1825" s="685"/>
      <c r="Q1825" s="329">
        <v>34</v>
      </c>
      <c r="R1825" s="329">
        <v>34</v>
      </c>
      <c r="S1825" s="718">
        <v>3977</v>
      </c>
      <c r="T1825" s="719">
        <v>3977</v>
      </c>
      <c r="U1825" s="688"/>
      <c r="V1825" s="494">
        <v>120</v>
      </c>
    </row>
    <row r="1826" spans="2:23" s="7" customFormat="1" ht="15">
      <c r="B1826" s="12"/>
      <c r="C1826" s="6" t="s">
        <v>3195</v>
      </c>
      <c r="D1826" s="15" t="s">
        <v>1214</v>
      </c>
      <c r="E1826" s="20" t="s">
        <v>177</v>
      </c>
      <c r="F1826" s="26"/>
      <c r="G1826" s="24"/>
      <c r="H1826" s="67"/>
      <c r="I1826" s="68"/>
      <c r="J1826" s="67"/>
      <c r="K1826" s="10" t="s">
        <v>10</v>
      </c>
      <c r="L1826" s="39"/>
      <c r="M1826" s="39"/>
      <c r="N1826" s="39">
        <v>44855</v>
      </c>
      <c r="O1826" s="38">
        <v>4661</v>
      </c>
      <c r="P1826" s="6" t="s">
        <v>3</v>
      </c>
      <c r="Q1826" s="481"/>
      <c r="S1826" s="489"/>
      <c r="T1826" s="113"/>
      <c r="U1826" s="500"/>
      <c r="V1826" s="494">
        <v>120</v>
      </c>
    </row>
    <row r="1827" spans="2:23" s="7" customFormat="1" ht="15" customHeight="1">
      <c r="B1827" s="12" t="s">
        <v>1856</v>
      </c>
      <c r="C1827" s="6" t="s">
        <v>3195</v>
      </c>
      <c r="D1827" s="15" t="s">
        <v>1214</v>
      </c>
      <c r="E1827" s="24">
        <v>12701</v>
      </c>
      <c r="F1827" s="26">
        <v>9</v>
      </c>
      <c r="G1827" s="24" t="s">
        <v>294</v>
      </c>
      <c r="H1827" s="67">
        <v>10</v>
      </c>
      <c r="I1827" s="68">
        <v>10</v>
      </c>
      <c r="J1827" s="8">
        <f>H1827*I1827</f>
        <v>100</v>
      </c>
      <c r="K1827" s="25">
        <v>0.79</v>
      </c>
      <c r="L1827" s="46">
        <f>K1827*J1827</f>
        <v>79</v>
      </c>
      <c r="M1827" s="162" t="s">
        <v>2219</v>
      </c>
      <c r="N1827" s="39">
        <v>44855</v>
      </c>
      <c r="O1827" s="38">
        <v>4661</v>
      </c>
      <c r="P1827" s="46">
        <f>K1827*(VLOOKUP(B1827,$C$2:$F$6,3,FALSE))</f>
        <v>0.69520000000000004</v>
      </c>
      <c r="Q1827" s="482">
        <v>0.7</v>
      </c>
      <c r="R1827" s="704">
        <f>Q1827*J1827</f>
        <v>70</v>
      </c>
      <c r="S1827" s="489">
        <v>41.6</v>
      </c>
      <c r="T1827" s="113">
        <f>S1827*J1827</f>
        <v>4160</v>
      </c>
      <c r="U1827" s="1597" t="s">
        <v>3003</v>
      </c>
      <c r="V1827" s="494">
        <v>120</v>
      </c>
    </row>
    <row r="1828" spans="2:23" s="7" customFormat="1" ht="15.95" customHeight="1">
      <c r="B1828" s="12"/>
      <c r="C1828" s="6" t="s">
        <v>3195</v>
      </c>
      <c r="D1828" s="15" t="s">
        <v>1214</v>
      </c>
      <c r="E1828" s="24"/>
      <c r="F1828" s="138"/>
      <c r="G1828" s="44" t="s">
        <v>1993</v>
      </c>
      <c r="H1828" s="8"/>
      <c r="I1828" s="41"/>
      <c r="J1828" s="45">
        <v>1</v>
      </c>
      <c r="K1828" s="46">
        <v>12</v>
      </c>
      <c r="L1828" s="46">
        <f>K1828*J1828</f>
        <v>12</v>
      </c>
      <c r="M1828" s="39"/>
      <c r="N1828" s="39">
        <v>44855</v>
      </c>
      <c r="O1828" s="38">
        <v>4661</v>
      </c>
      <c r="P1828" s="6"/>
      <c r="Q1828" s="483">
        <v>12</v>
      </c>
      <c r="R1828" s="704">
        <f>Q1828*J1828</f>
        <v>12</v>
      </c>
      <c r="S1828" s="489">
        <v>0</v>
      </c>
      <c r="T1828" s="113">
        <f>S1828*J1828</f>
        <v>0</v>
      </c>
      <c r="U1828" s="501"/>
      <c r="V1828" s="494">
        <v>120</v>
      </c>
    </row>
    <row r="1829" spans="2:23" s="314" customFormat="1" ht="15.6" customHeight="1">
      <c r="B1829" s="313"/>
      <c r="C1829" s="302" t="s">
        <v>3195</v>
      </c>
      <c r="D1829" s="303" t="s">
        <v>1214</v>
      </c>
      <c r="E1829" s="304"/>
      <c r="F1829" s="305"/>
      <c r="G1829" s="305" t="s">
        <v>1227</v>
      </c>
      <c r="H1829" s="307" t="s">
        <v>1228</v>
      </c>
      <c r="I1829" s="308"/>
      <c r="J1829" s="306"/>
      <c r="K1829" s="315">
        <v>0</v>
      </c>
      <c r="L1829" s="310"/>
      <c r="M1829" s="310"/>
      <c r="N1829" s="310">
        <v>44855</v>
      </c>
      <c r="O1829" s="309">
        <v>4661</v>
      </c>
      <c r="P1829" s="302"/>
      <c r="Q1829" s="485">
        <v>0</v>
      </c>
      <c r="S1829" s="535">
        <v>0</v>
      </c>
      <c r="T1829" s="322">
        <v>0</v>
      </c>
      <c r="U1829" s="515"/>
      <c r="V1829" s="494">
        <v>120</v>
      </c>
    </row>
    <row r="1830" spans="2:23" ht="18" customHeight="1">
      <c r="C1830" s="6" t="s">
        <v>3196</v>
      </c>
      <c r="D1830" s="15" t="s">
        <v>983</v>
      </c>
      <c r="E1830" s="20" t="s">
        <v>79</v>
      </c>
      <c r="F1830" s="150"/>
      <c r="G1830" s="24"/>
      <c r="H1830" s="151"/>
      <c r="I1830" s="152"/>
      <c r="J1830" s="151"/>
      <c r="K1830" s="153" t="s">
        <v>10</v>
      </c>
      <c r="L1830" s="39"/>
      <c r="M1830" s="39"/>
      <c r="N1830" s="39">
        <v>44859</v>
      </c>
      <c r="O1830" s="38">
        <v>4663</v>
      </c>
      <c r="P1830" s="15"/>
      <c r="Q1830" s="483"/>
      <c r="S1830" s="496"/>
      <c r="T1830" s="113"/>
      <c r="V1830" s="494">
        <v>120</v>
      </c>
      <c r="W1830"/>
    </row>
    <row r="1831" spans="2:23" ht="18" customHeight="1">
      <c r="B1831" s="12" t="s">
        <v>1858</v>
      </c>
      <c r="C1831" s="6" t="s">
        <v>3196</v>
      </c>
      <c r="D1831" s="15" t="s">
        <v>983</v>
      </c>
      <c r="E1831" s="24">
        <v>2440</v>
      </c>
      <c r="F1831" s="150">
        <v>140</v>
      </c>
      <c r="G1831" s="1207" t="s">
        <v>364</v>
      </c>
      <c r="H1831" s="67"/>
      <c r="I1831" s="68"/>
      <c r="J1831" s="67">
        <v>5</v>
      </c>
      <c r="K1831" s="46">
        <v>3.89</v>
      </c>
      <c r="L1831" s="46">
        <f>K1831*J1831</f>
        <v>19.45</v>
      </c>
      <c r="M1831" s="162" t="s">
        <v>2219</v>
      </c>
      <c r="N1831" s="39">
        <v>44859</v>
      </c>
      <c r="O1831" s="38">
        <v>4663</v>
      </c>
      <c r="P1831" s="46">
        <f>K1831*(VLOOKUP(B1831,$C$2:$F$6,3,FALSE))</f>
        <v>3.6566000000000001</v>
      </c>
      <c r="Q1831" s="483">
        <v>3.66</v>
      </c>
      <c r="R1831" s="704">
        <f>Q1831*J1831</f>
        <v>18.3</v>
      </c>
      <c r="S1831" s="532">
        <v>280</v>
      </c>
      <c r="T1831" s="567">
        <f>S1831*J1831</f>
        <v>1400</v>
      </c>
      <c r="V1831" s="494">
        <v>120</v>
      </c>
      <c r="W1831"/>
    </row>
    <row r="1832" spans="2:23" s="7" customFormat="1" ht="15.95" customHeight="1">
      <c r="B1832" s="12"/>
      <c r="C1832" s="6" t="s">
        <v>3196</v>
      </c>
      <c r="D1832" s="15" t="s">
        <v>983</v>
      </c>
      <c r="E1832" s="24"/>
      <c r="F1832" s="138"/>
      <c r="G1832" s="44" t="s">
        <v>1075</v>
      </c>
      <c r="H1832" s="8"/>
      <c r="I1832" s="41"/>
      <c r="J1832" s="45">
        <v>1</v>
      </c>
      <c r="K1832" s="46">
        <v>12</v>
      </c>
      <c r="L1832" s="46">
        <f>K1832*J1832</f>
        <v>12</v>
      </c>
      <c r="M1832" s="39"/>
      <c r="N1832" s="39">
        <v>44859</v>
      </c>
      <c r="O1832" s="38">
        <v>4663</v>
      </c>
      <c r="P1832" s="6"/>
      <c r="Q1832" s="483">
        <v>12</v>
      </c>
      <c r="R1832" s="704">
        <f>Q1832*J1832</f>
        <v>12</v>
      </c>
      <c r="S1832" s="489">
        <v>1000</v>
      </c>
      <c r="T1832" s="113">
        <f>S1832*J1832</f>
        <v>1000</v>
      </c>
      <c r="U1832" s="501"/>
      <c r="V1832" s="494">
        <v>120</v>
      </c>
    </row>
    <row r="1833" spans="2:23" s="7" customFormat="1" ht="15.95" customHeight="1">
      <c r="B1833" s="12"/>
      <c r="C1833" s="6" t="s">
        <v>3196</v>
      </c>
      <c r="D1833" s="15" t="s">
        <v>983</v>
      </c>
      <c r="E1833" s="24"/>
      <c r="F1833" s="138"/>
      <c r="G1833" s="44" t="s">
        <v>1993</v>
      </c>
      <c r="H1833" s="8"/>
      <c r="I1833" s="41"/>
      <c r="J1833" s="45">
        <v>1</v>
      </c>
      <c r="K1833" s="46">
        <v>12</v>
      </c>
      <c r="L1833" s="46">
        <f>K1833*J1833</f>
        <v>12</v>
      </c>
      <c r="M1833" s="39"/>
      <c r="N1833" s="39">
        <v>44859</v>
      </c>
      <c r="O1833" s="38">
        <v>4663</v>
      </c>
      <c r="P1833" s="6"/>
      <c r="Q1833" s="483">
        <v>12</v>
      </c>
      <c r="R1833" s="704">
        <f>Q1833*J1833</f>
        <v>12</v>
      </c>
      <c r="S1833" s="489">
        <v>1000</v>
      </c>
      <c r="T1833" s="113">
        <f>S1833*J1833</f>
        <v>1000</v>
      </c>
      <c r="U1833" s="501"/>
      <c r="V1833" s="494">
        <v>120</v>
      </c>
    </row>
    <row r="1834" spans="2:23" s="314" customFormat="1" ht="15">
      <c r="B1834" s="313"/>
      <c r="C1834" s="302" t="s">
        <v>3196</v>
      </c>
      <c r="D1834" s="303" t="s">
        <v>983</v>
      </c>
      <c r="E1834" s="304"/>
      <c r="F1834" s="305"/>
      <c r="G1834" s="305" t="s">
        <v>1227</v>
      </c>
      <c r="H1834" s="307" t="s">
        <v>1243</v>
      </c>
      <c r="I1834" s="308"/>
      <c r="J1834" s="306"/>
      <c r="K1834" s="329" t="s">
        <v>3435</v>
      </c>
      <c r="L1834" s="329"/>
      <c r="M1834" s="310"/>
      <c r="N1834" s="310">
        <v>44859</v>
      </c>
      <c r="O1834" s="309">
        <v>4663</v>
      </c>
      <c r="P1834" s="685"/>
      <c r="Q1834" s="329" t="s">
        <v>3435</v>
      </c>
      <c r="R1834" s="329" t="s">
        <v>3435</v>
      </c>
      <c r="S1834" s="1275" t="s">
        <v>3436</v>
      </c>
      <c r="T1834" s="1275" t="s">
        <v>3436</v>
      </c>
      <c r="U1834" s="688"/>
      <c r="V1834" s="494">
        <v>120</v>
      </c>
    </row>
    <row r="1835" spans="2:23" s="7" customFormat="1" ht="15">
      <c r="B1835" s="12"/>
      <c r="C1835" s="6" t="s">
        <v>3212</v>
      </c>
      <c r="D1835" s="15" t="s">
        <v>983</v>
      </c>
      <c r="E1835" s="20" t="s">
        <v>344</v>
      </c>
      <c r="F1835" s="26"/>
      <c r="G1835" s="24"/>
      <c r="H1835" s="67"/>
      <c r="I1835" s="68"/>
      <c r="J1835" s="67"/>
      <c r="K1835" s="17" t="s">
        <v>134</v>
      </c>
      <c r="L1835" s="39"/>
      <c r="M1835" s="39"/>
      <c r="N1835" s="39">
        <v>44859</v>
      </c>
      <c r="O1835" s="38">
        <v>4663</v>
      </c>
      <c r="P1835" s="6" t="s">
        <v>23</v>
      </c>
      <c r="Q1835" s="481"/>
      <c r="S1835" s="489"/>
      <c r="T1835" s="113"/>
      <c r="U1835" s="500"/>
      <c r="V1835" s="494">
        <v>120</v>
      </c>
    </row>
    <row r="1836" spans="2:23" s="7" customFormat="1" ht="15.75">
      <c r="B1836" s="12" t="s">
        <v>1856</v>
      </c>
      <c r="C1836" s="6" t="s">
        <v>3212</v>
      </c>
      <c r="D1836" s="15" t="s">
        <v>983</v>
      </c>
      <c r="E1836" s="24">
        <v>14552</v>
      </c>
      <c r="F1836" s="26">
        <v>10</v>
      </c>
      <c r="G1836" s="24" t="s">
        <v>2721</v>
      </c>
      <c r="H1836" s="151">
        <v>30</v>
      </c>
      <c r="I1836" s="152">
        <v>34</v>
      </c>
      <c r="J1836" s="67">
        <f>H1836*I1836</f>
        <v>1020</v>
      </c>
      <c r="K1836" s="25">
        <v>0.69</v>
      </c>
      <c r="L1836" s="46">
        <f>K1836*J1836</f>
        <v>703.8</v>
      </c>
      <c r="M1836" s="162" t="s">
        <v>2219</v>
      </c>
      <c r="N1836" s="39">
        <v>44859</v>
      </c>
      <c r="O1836" s="38">
        <v>4663</v>
      </c>
      <c r="P1836" s="46">
        <f>K1836*(VLOOKUP(B1836,$C$2:$F$6,3,FALSE))</f>
        <v>0.60719999999999996</v>
      </c>
      <c r="Q1836" s="482">
        <v>0.61</v>
      </c>
      <c r="R1836" s="704">
        <f>Q1836*J1836</f>
        <v>622.19999999999993</v>
      </c>
      <c r="S1836" s="489">
        <v>37</v>
      </c>
      <c r="T1836" s="567">
        <f>S1836*J1836</f>
        <v>37740</v>
      </c>
      <c r="U1836" s="500"/>
      <c r="V1836" s="494">
        <v>120</v>
      </c>
    </row>
    <row r="1837" spans="2:23" s="7" customFormat="1" ht="15.95" customHeight="1">
      <c r="B1837" s="12"/>
      <c r="C1837" s="6" t="s">
        <v>3212</v>
      </c>
      <c r="D1837" s="15" t="s">
        <v>983</v>
      </c>
      <c r="E1837" s="24"/>
      <c r="F1837" s="138"/>
      <c r="G1837" s="44" t="s">
        <v>1993</v>
      </c>
      <c r="H1837" s="8"/>
      <c r="I1837" s="41"/>
      <c r="J1837" s="45">
        <v>1</v>
      </c>
      <c r="K1837" s="46">
        <v>12</v>
      </c>
      <c r="L1837" s="46">
        <f>K1837*J1837</f>
        <v>12</v>
      </c>
      <c r="M1837" s="39"/>
      <c r="N1837" s="39">
        <v>44859</v>
      </c>
      <c r="O1837" s="38">
        <v>4663</v>
      </c>
      <c r="P1837" s="6"/>
      <c r="Q1837" s="483">
        <v>12</v>
      </c>
      <c r="R1837" s="704">
        <f>Q1837*J1837</f>
        <v>12</v>
      </c>
      <c r="S1837" s="489">
        <v>0</v>
      </c>
      <c r="T1837" s="113">
        <f>S1837*J1837</f>
        <v>0</v>
      </c>
      <c r="U1837" s="501"/>
      <c r="V1837" s="494">
        <v>120</v>
      </c>
    </row>
    <row r="1838" spans="2:23" s="314" customFormat="1" ht="15.75">
      <c r="B1838" s="313"/>
      <c r="C1838" s="302" t="s">
        <v>3212</v>
      </c>
      <c r="D1838" s="303" t="s">
        <v>983</v>
      </c>
      <c r="E1838" s="304"/>
      <c r="F1838" s="305"/>
      <c r="G1838" s="682" t="s">
        <v>2238</v>
      </c>
      <c r="H1838" s="307" t="s">
        <v>1243</v>
      </c>
      <c r="I1838" s="308"/>
      <c r="J1838" s="306"/>
      <c r="K1838" s="329">
        <v>58</v>
      </c>
      <c r="L1838" s="329">
        <v>58</v>
      </c>
      <c r="M1838" s="310"/>
      <c r="N1838" s="310">
        <v>44859</v>
      </c>
      <c r="O1838" s="309">
        <v>4663</v>
      </c>
      <c r="P1838" s="685"/>
      <c r="Q1838" s="686">
        <v>58</v>
      </c>
      <c r="R1838" s="929">
        <v>58</v>
      </c>
      <c r="S1838" s="718">
        <v>6842</v>
      </c>
      <c r="T1838" s="719">
        <v>6842</v>
      </c>
      <c r="U1838" s="688"/>
      <c r="V1838" s="494">
        <v>120</v>
      </c>
    </row>
    <row r="1839" spans="2:23" ht="18" customHeight="1">
      <c r="C1839" s="6" t="s">
        <v>3304</v>
      </c>
      <c r="D1839" s="15" t="s">
        <v>169</v>
      </c>
      <c r="E1839" s="20" t="s">
        <v>3305</v>
      </c>
      <c r="F1839" s="150"/>
      <c r="G1839" s="24"/>
      <c r="H1839" s="151"/>
      <c r="I1839" s="152"/>
      <c r="J1839" s="151"/>
      <c r="K1839" s="153" t="s">
        <v>10</v>
      </c>
      <c r="L1839" s="39"/>
      <c r="M1839" s="39"/>
      <c r="N1839" s="39">
        <v>44867</v>
      </c>
      <c r="O1839" s="38">
        <v>4717</v>
      </c>
      <c r="P1839" s="15"/>
      <c r="Q1839" s="483"/>
      <c r="S1839" s="496" t="s">
        <v>3316</v>
      </c>
      <c r="T1839" s="113"/>
      <c r="U1839" s="499" t="s">
        <v>3317</v>
      </c>
      <c r="V1839" s="494">
        <v>120</v>
      </c>
      <c r="W1839"/>
    </row>
    <row r="1840" spans="2:23" ht="18" customHeight="1">
      <c r="B1840" s="12" t="s">
        <v>1858</v>
      </c>
      <c r="C1840" s="6" t="s">
        <v>3304</v>
      </c>
      <c r="D1840" s="15" t="s">
        <v>169</v>
      </c>
      <c r="E1840" s="1278" t="s">
        <v>3306</v>
      </c>
      <c r="F1840" s="150"/>
      <c r="G1840" s="1207" t="s">
        <v>3307</v>
      </c>
      <c r="H1840" s="67"/>
      <c r="I1840" s="68"/>
      <c r="J1840" s="67">
        <v>12</v>
      </c>
      <c r="K1840" s="703">
        <f>20.32+3</f>
        <v>23.32</v>
      </c>
      <c r="L1840" s="46">
        <f t="shared" ref="L1840:L1846" si="90">K1840*J1840</f>
        <v>279.84000000000003</v>
      </c>
      <c r="M1840" s="162" t="s">
        <v>2219</v>
      </c>
      <c r="N1840" s="39">
        <v>44867</v>
      </c>
      <c r="O1840" s="38">
        <v>4717</v>
      </c>
      <c r="P1840" s="46">
        <f>20.32*0.94</f>
        <v>19.1008</v>
      </c>
      <c r="Q1840" s="483">
        <v>19.100000000000001</v>
      </c>
      <c r="R1840" s="704">
        <f t="shared" ref="R1840:R1846" si="91">Q1840*J1840</f>
        <v>229.20000000000002</v>
      </c>
      <c r="S1840" s="532">
        <f>1900</f>
        <v>1900</v>
      </c>
      <c r="T1840" s="567">
        <f t="shared" ref="T1840:T1846" si="92">S1840*J1840</f>
        <v>22800</v>
      </c>
      <c r="U1840" s="499">
        <v>1950</v>
      </c>
      <c r="V1840" s="494">
        <v>120</v>
      </c>
      <c r="W1840"/>
    </row>
    <row r="1841" spans="2:23" ht="18" customHeight="1">
      <c r="B1841" s="12" t="s">
        <v>1858</v>
      </c>
      <c r="C1841" s="6" t="s">
        <v>3304</v>
      </c>
      <c r="D1841" s="15" t="s">
        <v>169</v>
      </c>
      <c r="E1841" s="1278" t="s">
        <v>3308</v>
      </c>
      <c r="F1841" s="150"/>
      <c r="G1841" s="1207" t="s">
        <v>3309</v>
      </c>
      <c r="H1841" s="67"/>
      <c r="I1841" s="68"/>
      <c r="J1841" s="67">
        <v>12</v>
      </c>
      <c r="K1841" s="703">
        <f>19.38+3</f>
        <v>22.38</v>
      </c>
      <c r="L1841" s="46">
        <f t="shared" si="90"/>
        <v>268.56</v>
      </c>
      <c r="M1841" s="162" t="s">
        <v>2219</v>
      </c>
      <c r="N1841" s="39">
        <v>44867</v>
      </c>
      <c r="O1841" s="38">
        <v>4717</v>
      </c>
      <c r="P1841" s="46">
        <f>19.38*0.94</f>
        <v>18.217199999999998</v>
      </c>
      <c r="Q1841" s="483">
        <v>18.22</v>
      </c>
      <c r="R1841" s="704">
        <f t="shared" si="91"/>
        <v>218.64</v>
      </c>
      <c r="S1841" s="532">
        <v>1800</v>
      </c>
      <c r="T1841" s="567">
        <f t="shared" si="92"/>
        <v>21600</v>
      </c>
      <c r="U1841" s="499">
        <v>1860</v>
      </c>
      <c r="V1841" s="494">
        <v>120</v>
      </c>
      <c r="W1841"/>
    </row>
    <row r="1842" spans="2:23" ht="18" customHeight="1">
      <c r="B1842" s="12" t="s">
        <v>1858</v>
      </c>
      <c r="C1842" s="6" t="s">
        <v>3304</v>
      </c>
      <c r="D1842" s="15" t="s">
        <v>169</v>
      </c>
      <c r="E1842" s="1278" t="s">
        <v>3310</v>
      </c>
      <c r="F1842" s="150"/>
      <c r="G1842" s="1207" t="s">
        <v>3309</v>
      </c>
      <c r="H1842" s="67"/>
      <c r="I1842" s="68"/>
      <c r="J1842" s="67">
        <v>9</v>
      </c>
      <c r="K1842" s="703">
        <f>19.8+3</f>
        <v>22.8</v>
      </c>
      <c r="L1842" s="46">
        <f t="shared" si="90"/>
        <v>205.20000000000002</v>
      </c>
      <c r="M1842" s="162" t="s">
        <v>2219</v>
      </c>
      <c r="N1842" s="39">
        <v>44867</v>
      </c>
      <c r="O1842" s="38">
        <v>4717</v>
      </c>
      <c r="P1842" s="46">
        <f>19.8*0.94</f>
        <v>18.611999999999998</v>
      </c>
      <c r="Q1842" s="483">
        <v>18.61</v>
      </c>
      <c r="R1842" s="704">
        <f t="shared" si="91"/>
        <v>167.49</v>
      </c>
      <c r="S1842" s="532">
        <v>1870</v>
      </c>
      <c r="T1842" s="567">
        <f t="shared" si="92"/>
        <v>16830</v>
      </c>
      <c r="U1842" s="499">
        <v>1900</v>
      </c>
      <c r="V1842" s="494">
        <v>120</v>
      </c>
      <c r="W1842"/>
    </row>
    <row r="1843" spans="2:23" ht="18" customHeight="1">
      <c r="B1843" s="12" t="s">
        <v>1858</v>
      </c>
      <c r="C1843" s="6" t="s">
        <v>3304</v>
      </c>
      <c r="D1843" s="15" t="s">
        <v>169</v>
      </c>
      <c r="E1843" s="1278" t="s">
        <v>3311</v>
      </c>
      <c r="F1843" s="150"/>
      <c r="G1843" s="1207" t="s">
        <v>3312</v>
      </c>
      <c r="H1843" s="67"/>
      <c r="I1843" s="68"/>
      <c r="J1843" s="67">
        <v>12</v>
      </c>
      <c r="K1843" s="703">
        <f>15.63+3</f>
        <v>18.630000000000003</v>
      </c>
      <c r="L1843" s="46">
        <f t="shared" si="90"/>
        <v>223.56000000000003</v>
      </c>
      <c r="M1843" s="162" t="s">
        <v>2219</v>
      </c>
      <c r="N1843" s="39">
        <v>44867</v>
      </c>
      <c r="O1843" s="38">
        <v>4717</v>
      </c>
      <c r="P1843" s="46">
        <f>15.63*0.94</f>
        <v>14.6922</v>
      </c>
      <c r="Q1843" s="483">
        <v>14.69</v>
      </c>
      <c r="R1843" s="704">
        <f t="shared" si="91"/>
        <v>176.28</v>
      </c>
      <c r="S1843" s="532">
        <v>1380</v>
      </c>
      <c r="T1843" s="567">
        <f t="shared" si="92"/>
        <v>16560</v>
      </c>
      <c r="U1843" s="499">
        <v>1500</v>
      </c>
      <c r="V1843" s="494">
        <v>120</v>
      </c>
      <c r="W1843"/>
    </row>
    <row r="1844" spans="2:23" ht="18" customHeight="1">
      <c r="B1844" s="12" t="s">
        <v>1858</v>
      </c>
      <c r="C1844" s="6" t="s">
        <v>3304</v>
      </c>
      <c r="D1844" s="15" t="s">
        <v>169</v>
      </c>
      <c r="E1844" s="1278" t="s">
        <v>3313</v>
      </c>
      <c r="F1844" s="150"/>
      <c r="G1844" s="1207" t="s">
        <v>3314</v>
      </c>
      <c r="H1844" s="67"/>
      <c r="I1844" s="68"/>
      <c r="J1844" s="67">
        <v>10</v>
      </c>
      <c r="K1844" s="703">
        <f>18.55+3</f>
        <v>21.55</v>
      </c>
      <c r="L1844" s="46">
        <f t="shared" si="90"/>
        <v>215.5</v>
      </c>
      <c r="M1844" s="162" t="s">
        <v>2219</v>
      </c>
      <c r="N1844" s="39">
        <v>44867</v>
      </c>
      <c r="O1844" s="38">
        <v>4717</v>
      </c>
      <c r="P1844" s="46">
        <f>18.55*0.94</f>
        <v>17.437000000000001</v>
      </c>
      <c r="Q1844" s="483">
        <v>17.440000000000001</v>
      </c>
      <c r="R1844" s="704">
        <f t="shared" si="91"/>
        <v>174.4</v>
      </c>
      <c r="S1844" s="532">
        <v>1680</v>
      </c>
      <c r="T1844" s="567">
        <f t="shared" si="92"/>
        <v>16800</v>
      </c>
      <c r="U1844" s="499">
        <v>1780</v>
      </c>
      <c r="V1844" s="494">
        <v>120</v>
      </c>
      <c r="W1844"/>
    </row>
    <row r="1845" spans="2:23" ht="18" customHeight="1">
      <c r="B1845" s="12" t="s">
        <v>1858</v>
      </c>
      <c r="C1845" s="6" t="s">
        <v>3304</v>
      </c>
      <c r="D1845" s="15" t="s">
        <v>169</v>
      </c>
      <c r="E1845" s="1278" t="s">
        <v>3315</v>
      </c>
      <c r="F1845" s="150"/>
      <c r="G1845" s="1207" t="s">
        <v>3309</v>
      </c>
      <c r="H1845" s="67"/>
      <c r="I1845" s="68"/>
      <c r="J1845" s="67">
        <v>10</v>
      </c>
      <c r="K1845" s="703">
        <f>18.75+3</f>
        <v>21.75</v>
      </c>
      <c r="L1845" s="46">
        <f t="shared" si="90"/>
        <v>217.5</v>
      </c>
      <c r="M1845" s="162" t="s">
        <v>2219</v>
      </c>
      <c r="N1845" s="39">
        <v>44867</v>
      </c>
      <c r="O1845" s="38">
        <v>4717</v>
      </c>
      <c r="P1845" s="46">
        <f>18.75*0.94</f>
        <v>17.625</v>
      </c>
      <c r="Q1845" s="483">
        <v>17.63</v>
      </c>
      <c r="R1845" s="704">
        <f t="shared" si="91"/>
        <v>176.29999999999998</v>
      </c>
      <c r="S1845" s="532">
        <v>1700</v>
      </c>
      <c r="T1845" s="567">
        <f t="shared" si="92"/>
        <v>17000</v>
      </c>
      <c r="U1845" s="499">
        <v>1800</v>
      </c>
      <c r="V1845" s="494">
        <v>120</v>
      </c>
      <c r="W1845"/>
    </row>
    <row r="1846" spans="2:23" s="7" customFormat="1" ht="15.95" customHeight="1">
      <c r="B1846" s="12"/>
      <c r="C1846" s="6" t="s">
        <v>3304</v>
      </c>
      <c r="D1846" s="15" t="s">
        <v>169</v>
      </c>
      <c r="E1846" s="24"/>
      <c r="F1846" s="138"/>
      <c r="G1846" s="44" t="s">
        <v>1993</v>
      </c>
      <c r="H1846" s="8"/>
      <c r="I1846" s="41"/>
      <c r="J1846" s="45">
        <v>1</v>
      </c>
      <c r="K1846" s="46">
        <v>12</v>
      </c>
      <c r="L1846" s="46">
        <f t="shared" si="90"/>
        <v>12</v>
      </c>
      <c r="M1846" s="39"/>
      <c r="N1846" s="39">
        <v>44867</v>
      </c>
      <c r="O1846" s="38">
        <v>4717</v>
      </c>
      <c r="P1846" s="6"/>
      <c r="Q1846" s="483">
        <v>12</v>
      </c>
      <c r="R1846" s="704">
        <f t="shared" si="91"/>
        <v>12</v>
      </c>
      <c r="S1846" s="489">
        <v>0</v>
      </c>
      <c r="T1846" s="113">
        <f t="shared" si="92"/>
        <v>0</v>
      </c>
      <c r="U1846" s="501"/>
      <c r="V1846" s="494">
        <v>120</v>
      </c>
    </row>
    <row r="1847" spans="2:23" s="314" customFormat="1" ht="15.6" customHeight="1">
      <c r="B1847" s="313"/>
      <c r="C1847" s="302" t="s">
        <v>3304</v>
      </c>
      <c r="D1847" s="303" t="s">
        <v>169</v>
      </c>
      <c r="E1847" s="304"/>
      <c r="F1847" s="305"/>
      <c r="G1847" s="305" t="s">
        <v>1227</v>
      </c>
      <c r="H1847" s="307" t="s">
        <v>3438</v>
      </c>
      <c r="I1847" s="308"/>
      <c r="J1847" s="306"/>
      <c r="K1847" s="315">
        <v>525</v>
      </c>
      <c r="L1847" s="315">
        <v>525</v>
      </c>
      <c r="M1847" s="310"/>
      <c r="N1847" s="310">
        <v>44867</v>
      </c>
      <c r="O1847" s="309">
        <v>4717</v>
      </c>
      <c r="P1847" s="302"/>
      <c r="Q1847" s="485">
        <v>525</v>
      </c>
      <c r="R1847" s="704">
        <v>525</v>
      </c>
      <c r="S1847" s="536">
        <v>62822</v>
      </c>
      <c r="T1847" s="536">
        <v>62822</v>
      </c>
      <c r="U1847" s="515"/>
      <c r="V1847" s="494">
        <v>120</v>
      </c>
    </row>
    <row r="1848" spans="2:23" s="7" customFormat="1" ht="15">
      <c r="B1848" s="12"/>
      <c r="C1848" s="6" t="s">
        <v>3427</v>
      </c>
      <c r="D1848" s="15" t="s">
        <v>1171</v>
      </c>
      <c r="E1848" s="20" t="s">
        <v>3322</v>
      </c>
      <c r="F1848" s="44"/>
      <c r="G1848" s="44"/>
      <c r="H1848" s="151"/>
      <c r="I1848" s="151"/>
      <c r="J1848" s="151"/>
      <c r="K1848" s="34" t="s">
        <v>1027</v>
      </c>
      <c r="L1848" s="39"/>
      <c r="M1848" s="39"/>
      <c r="N1848" s="39">
        <v>44874</v>
      </c>
      <c r="O1848" s="38">
        <v>4732</v>
      </c>
      <c r="P1848" s="6"/>
      <c r="Q1848" s="524"/>
      <c r="S1848" s="489"/>
      <c r="T1848" s="113"/>
      <c r="U1848" s="501"/>
      <c r="V1848" s="494">
        <v>120</v>
      </c>
    </row>
    <row r="1849" spans="2:23" s="7" customFormat="1" ht="15" customHeight="1">
      <c r="B1849" s="12" t="s">
        <v>1856</v>
      </c>
      <c r="C1849" s="6" t="s">
        <v>3427</v>
      </c>
      <c r="D1849" s="15" t="s">
        <v>1171</v>
      </c>
      <c r="E1849" s="20" t="s">
        <v>3421</v>
      </c>
      <c r="F1849" s="44" t="s">
        <v>1413</v>
      </c>
      <c r="G1849" s="267" t="s">
        <v>3422</v>
      </c>
      <c r="H1849" s="261"/>
      <c r="I1849" s="261"/>
      <c r="J1849" s="664">
        <v>3</v>
      </c>
      <c r="K1849" s="46">
        <v>2.67</v>
      </c>
      <c r="L1849" s="46">
        <f>K1849*J1849</f>
        <v>8.01</v>
      </c>
      <c r="M1849" s="162" t="s">
        <v>2219</v>
      </c>
      <c r="N1849" s="39">
        <v>44874</v>
      </c>
      <c r="O1849" s="38">
        <v>4732</v>
      </c>
      <c r="P1849" s="46">
        <f>K1849*(VLOOKUP(B1849,$C$2:$F$6,3,FALSE))</f>
        <v>2.3496000000000001</v>
      </c>
      <c r="Q1849" s="483">
        <v>2.35</v>
      </c>
      <c r="R1849" s="704">
        <f>Q1849*J1849</f>
        <v>7.0500000000000007</v>
      </c>
      <c r="S1849" s="532">
        <v>144.19999999999999</v>
      </c>
      <c r="T1849" s="567">
        <f>S1849*J1849</f>
        <v>432.59999999999997</v>
      </c>
      <c r="U1849" s="507"/>
      <c r="V1849" s="494">
        <v>120</v>
      </c>
    </row>
    <row r="1850" spans="2:23" s="7" customFormat="1" ht="15">
      <c r="B1850" s="12"/>
      <c r="C1850" s="6" t="s">
        <v>3427</v>
      </c>
      <c r="D1850" s="15" t="s">
        <v>1171</v>
      </c>
      <c r="E1850" s="20" t="s">
        <v>3323</v>
      </c>
      <c r="F1850" s="44"/>
      <c r="G1850" s="44"/>
      <c r="H1850" s="151"/>
      <c r="I1850" s="151"/>
      <c r="J1850" s="151"/>
      <c r="K1850" s="34" t="s">
        <v>1027</v>
      </c>
      <c r="L1850" s="39"/>
      <c r="M1850" s="39"/>
      <c r="N1850" s="39">
        <v>44874</v>
      </c>
      <c r="O1850" s="38">
        <v>4732</v>
      </c>
      <c r="P1850" s="6"/>
      <c r="Q1850" s="524"/>
      <c r="S1850" s="489"/>
      <c r="T1850" s="113"/>
      <c r="U1850" s="501"/>
      <c r="V1850" s="494">
        <v>120</v>
      </c>
    </row>
    <row r="1851" spans="2:23" s="7" customFormat="1" ht="15" customHeight="1">
      <c r="B1851" s="12" t="s">
        <v>1856</v>
      </c>
      <c r="C1851" s="6" t="s">
        <v>3427</v>
      </c>
      <c r="D1851" s="15" t="s">
        <v>1171</v>
      </c>
      <c r="E1851" s="20" t="s">
        <v>3324</v>
      </c>
      <c r="F1851" s="44" t="s">
        <v>1413</v>
      </c>
      <c r="G1851" s="267" t="s">
        <v>3325</v>
      </c>
      <c r="H1851" s="261"/>
      <c r="I1851" s="261"/>
      <c r="J1851" s="664">
        <v>2</v>
      </c>
      <c r="K1851" s="46">
        <v>2.4</v>
      </c>
      <c r="L1851" s="46">
        <f>K1851*J1851</f>
        <v>4.8</v>
      </c>
      <c r="M1851" s="162" t="s">
        <v>2219</v>
      </c>
      <c r="N1851" s="39">
        <v>44874</v>
      </c>
      <c r="O1851" s="38">
        <v>4732</v>
      </c>
      <c r="P1851" s="46">
        <f>K1851*(VLOOKUP(B1851,$C$2:$F$6,3,FALSE))</f>
        <v>2.1120000000000001</v>
      </c>
      <c r="Q1851" s="483">
        <v>2.11</v>
      </c>
      <c r="R1851" s="704">
        <f>Q1851*J1851</f>
        <v>4.22</v>
      </c>
      <c r="S1851" s="489">
        <v>129.19999999999999</v>
      </c>
      <c r="T1851" s="567">
        <f>S1851*J1851</f>
        <v>258.39999999999998</v>
      </c>
      <c r="U1851" s="507"/>
      <c r="V1851" s="494">
        <v>120</v>
      </c>
    </row>
    <row r="1852" spans="2:23" s="7" customFormat="1" ht="15" customHeight="1">
      <c r="B1852" s="12" t="s">
        <v>1856</v>
      </c>
      <c r="C1852" s="6" t="s">
        <v>3427</v>
      </c>
      <c r="D1852" s="15" t="s">
        <v>1171</v>
      </c>
      <c r="E1852" s="20" t="s">
        <v>3324</v>
      </c>
      <c r="F1852" s="44" t="s">
        <v>1413</v>
      </c>
      <c r="G1852" s="267" t="s">
        <v>3326</v>
      </c>
      <c r="H1852" s="261"/>
      <c r="I1852" s="261"/>
      <c r="J1852" s="664">
        <v>2</v>
      </c>
      <c r="K1852" s="46">
        <v>2.4</v>
      </c>
      <c r="L1852" s="46">
        <f>K1852*J1852</f>
        <v>4.8</v>
      </c>
      <c r="M1852" s="162" t="s">
        <v>2219</v>
      </c>
      <c r="N1852" s="39">
        <v>44874</v>
      </c>
      <c r="O1852" s="38">
        <v>4732</v>
      </c>
      <c r="P1852" s="46">
        <f>K1852*(VLOOKUP(B1852,$C$2:$F$6,3,FALSE))</f>
        <v>2.1120000000000001</v>
      </c>
      <c r="Q1852" s="483">
        <v>2.11</v>
      </c>
      <c r="R1852" s="704">
        <f>Q1852*J1852</f>
        <v>4.22</v>
      </c>
      <c r="S1852" s="489">
        <v>129.19999999999999</v>
      </c>
      <c r="T1852" s="567">
        <f>S1852*J1852</f>
        <v>258.39999999999998</v>
      </c>
      <c r="U1852" s="507"/>
      <c r="V1852" s="494">
        <v>120</v>
      </c>
    </row>
    <row r="1853" spans="2:23" s="7" customFormat="1" ht="15" customHeight="1">
      <c r="B1853" s="12" t="s">
        <v>1862</v>
      </c>
      <c r="C1853" s="6" t="s">
        <v>3427</v>
      </c>
      <c r="D1853" s="15" t="s">
        <v>1171</v>
      </c>
      <c r="E1853" s="56"/>
      <c r="F1853" s="138"/>
      <c r="G1853" s="44" t="s">
        <v>2014</v>
      </c>
      <c r="H1853" s="8"/>
      <c r="I1853" s="41"/>
      <c r="J1853" s="45">
        <v>3</v>
      </c>
      <c r="K1853" s="46">
        <v>7</v>
      </c>
      <c r="L1853" s="46">
        <f>K1853*J1853</f>
        <v>21</v>
      </c>
      <c r="M1853" s="162" t="s">
        <v>2219</v>
      </c>
      <c r="N1853" s="39">
        <v>44874</v>
      </c>
      <c r="O1853" s="38">
        <v>4732</v>
      </c>
      <c r="P1853" s="46">
        <f>K1853*(VLOOKUP(B1853,$C$2:$F$6,3,FALSE))</f>
        <v>7</v>
      </c>
      <c r="Q1853" s="483">
        <f>P1853*J1853</f>
        <v>21</v>
      </c>
      <c r="R1853" s="704">
        <v>21</v>
      </c>
      <c r="S1853" s="489">
        <v>500</v>
      </c>
      <c r="T1853" s="567">
        <f>S1853*J1853</f>
        <v>1500</v>
      </c>
      <c r="U1853" s="501"/>
      <c r="V1853" s="494">
        <v>120</v>
      </c>
    </row>
    <row r="1854" spans="2:23" s="7" customFormat="1" ht="15.95" customHeight="1">
      <c r="B1854" s="12"/>
      <c r="C1854" s="6" t="s">
        <v>3427</v>
      </c>
      <c r="D1854" s="15" t="s">
        <v>1171</v>
      </c>
      <c r="E1854" s="24"/>
      <c r="F1854" s="138"/>
      <c r="G1854" s="44" t="s">
        <v>1993</v>
      </c>
      <c r="H1854" s="8"/>
      <c r="I1854" s="41"/>
      <c r="J1854" s="45">
        <v>1</v>
      </c>
      <c r="K1854" s="46">
        <v>12</v>
      </c>
      <c r="L1854" s="46">
        <f>K1854*J1854</f>
        <v>12</v>
      </c>
      <c r="M1854" s="39"/>
      <c r="N1854" s="39">
        <v>44874</v>
      </c>
      <c r="O1854" s="38">
        <v>4732</v>
      </c>
      <c r="P1854" s="6"/>
      <c r="Q1854" s="483">
        <v>12</v>
      </c>
      <c r="R1854" s="704">
        <f>Q1854*J1854</f>
        <v>12</v>
      </c>
      <c r="S1854" s="489">
        <v>1100</v>
      </c>
      <c r="T1854" s="113">
        <f>S1854*J1854</f>
        <v>1100</v>
      </c>
      <c r="U1854" s="501"/>
      <c r="V1854" s="494">
        <v>120</v>
      </c>
    </row>
    <row r="1855" spans="2:23" s="314" customFormat="1" ht="15.6" customHeight="1">
      <c r="B1855" s="313"/>
      <c r="C1855" s="302" t="s">
        <v>3427</v>
      </c>
      <c r="D1855" s="303" t="s">
        <v>1171</v>
      </c>
      <c r="E1855" s="304"/>
      <c r="F1855" s="305"/>
      <c r="G1855" s="305" t="s">
        <v>1227</v>
      </c>
      <c r="H1855" s="307" t="s">
        <v>1228</v>
      </c>
      <c r="I1855" s="308"/>
      <c r="J1855" s="306"/>
      <c r="K1855" s="315">
        <v>0</v>
      </c>
      <c r="L1855" s="310"/>
      <c r="M1855" s="310"/>
      <c r="N1855" s="310">
        <v>44874</v>
      </c>
      <c r="O1855" s="309">
        <v>4732</v>
      </c>
      <c r="P1855" s="302"/>
      <c r="Q1855" s="485">
        <v>0</v>
      </c>
      <c r="S1855" s="535">
        <v>0</v>
      </c>
      <c r="T1855" s="322">
        <v>0</v>
      </c>
      <c r="U1855" s="515"/>
      <c r="V1855" s="494">
        <v>120</v>
      </c>
    </row>
    <row r="1856" spans="2:23" s="7" customFormat="1" ht="15">
      <c r="B1856" s="12"/>
      <c r="C1856" s="6" t="s">
        <v>3328</v>
      </c>
      <c r="D1856" s="15" t="s">
        <v>3329</v>
      </c>
      <c r="E1856" s="20" t="s">
        <v>3327</v>
      </c>
      <c r="F1856" s="26"/>
      <c r="G1856" s="24"/>
      <c r="H1856" s="67"/>
      <c r="I1856" s="68"/>
      <c r="J1856" s="67"/>
      <c r="K1856" s="17" t="s">
        <v>134</v>
      </c>
      <c r="L1856" s="39"/>
      <c r="M1856" s="39"/>
      <c r="N1856" s="39">
        <v>44872</v>
      </c>
      <c r="O1856" s="38">
        <v>4725</v>
      </c>
      <c r="P1856" s="6" t="s">
        <v>23</v>
      </c>
      <c r="Q1856" s="481"/>
      <c r="S1856" s="489"/>
      <c r="T1856" s="113"/>
      <c r="U1856" s="500"/>
      <c r="V1856" s="494">
        <v>120</v>
      </c>
    </row>
    <row r="1857" spans="2:23" s="7" customFormat="1" ht="15.75">
      <c r="B1857" s="12" t="s">
        <v>1856</v>
      </c>
      <c r="C1857" s="6" t="s">
        <v>3328</v>
      </c>
      <c r="D1857" s="15" t="s">
        <v>3329</v>
      </c>
      <c r="E1857" s="24" t="s">
        <v>3330</v>
      </c>
      <c r="F1857" s="26"/>
      <c r="G1857" s="24" t="s">
        <v>3331</v>
      </c>
      <c r="H1857" s="151"/>
      <c r="I1857" s="152"/>
      <c r="J1857" s="67">
        <v>30</v>
      </c>
      <c r="K1857" s="46">
        <v>0.91</v>
      </c>
      <c r="L1857" s="46">
        <f>K1857*J1857</f>
        <v>27.3</v>
      </c>
      <c r="M1857" s="162" t="s">
        <v>2219</v>
      </c>
      <c r="N1857" s="39">
        <v>44872</v>
      </c>
      <c r="O1857" s="38">
        <v>4725</v>
      </c>
      <c r="P1857" s="46">
        <f>K1857*(VLOOKUP(B1857,$C$2:$F$6,3,FALSE))</f>
        <v>0.80080000000000007</v>
      </c>
      <c r="Q1857" s="482">
        <v>0.8</v>
      </c>
      <c r="R1857" s="704">
        <f>Q1857*J1857</f>
        <v>24</v>
      </c>
      <c r="S1857" s="489">
        <v>49</v>
      </c>
      <c r="T1857" s="567">
        <f>S1857*J1857</f>
        <v>1470</v>
      </c>
      <c r="U1857" s="500"/>
      <c r="V1857" s="494">
        <v>120</v>
      </c>
    </row>
    <row r="1858" spans="2:23" s="7" customFormat="1" ht="15.75">
      <c r="B1858" s="12" t="s">
        <v>1856</v>
      </c>
      <c r="C1858" s="6" t="s">
        <v>3328</v>
      </c>
      <c r="D1858" s="15" t="s">
        <v>3329</v>
      </c>
      <c r="E1858" s="24" t="s">
        <v>3330</v>
      </c>
      <c r="F1858" s="26"/>
      <c r="G1858" s="24" t="s">
        <v>3332</v>
      </c>
      <c r="H1858" s="151"/>
      <c r="I1858" s="152"/>
      <c r="J1858" s="67">
        <v>30</v>
      </c>
      <c r="K1858" s="46">
        <v>0.91</v>
      </c>
      <c r="L1858" s="46">
        <f>K1858*J1858</f>
        <v>27.3</v>
      </c>
      <c r="M1858" s="162" t="s">
        <v>2219</v>
      </c>
      <c r="N1858" s="39">
        <v>44872</v>
      </c>
      <c r="O1858" s="38">
        <v>4725</v>
      </c>
      <c r="P1858" s="46">
        <f>K1858*(VLOOKUP(B1858,$C$2:$F$6,3,FALSE))</f>
        <v>0.80080000000000007</v>
      </c>
      <c r="Q1858" s="482">
        <v>0.8</v>
      </c>
      <c r="R1858" s="704">
        <f>Q1858*J1858</f>
        <v>24</v>
      </c>
      <c r="S1858" s="489">
        <v>49</v>
      </c>
      <c r="T1858" s="567">
        <f>S1858*J1858</f>
        <v>1470</v>
      </c>
      <c r="U1858" s="500"/>
      <c r="V1858" s="494">
        <v>120</v>
      </c>
    </row>
    <row r="1859" spans="2:23" s="7" customFormat="1" ht="15.75">
      <c r="B1859" s="12" t="s">
        <v>1856</v>
      </c>
      <c r="C1859" s="6" t="s">
        <v>3328</v>
      </c>
      <c r="D1859" s="15" t="s">
        <v>3329</v>
      </c>
      <c r="E1859" s="24" t="s">
        <v>3330</v>
      </c>
      <c r="F1859" s="26"/>
      <c r="G1859" s="24" t="s">
        <v>3333</v>
      </c>
      <c r="H1859" s="151"/>
      <c r="I1859" s="152"/>
      <c r="J1859" s="67">
        <v>30</v>
      </c>
      <c r="K1859" s="46">
        <v>0.91</v>
      </c>
      <c r="L1859" s="46">
        <f>K1859*J1859</f>
        <v>27.3</v>
      </c>
      <c r="M1859" s="162" t="s">
        <v>2219</v>
      </c>
      <c r="N1859" s="39">
        <v>44872</v>
      </c>
      <c r="O1859" s="38">
        <v>4725</v>
      </c>
      <c r="P1859" s="46">
        <f>K1859*(VLOOKUP(B1859,$C$2:$F$6,3,FALSE))</f>
        <v>0.80080000000000007</v>
      </c>
      <c r="Q1859" s="482">
        <v>0.8</v>
      </c>
      <c r="R1859" s="704">
        <f>Q1859*J1859</f>
        <v>24</v>
      </c>
      <c r="S1859" s="489">
        <v>49</v>
      </c>
      <c r="T1859" s="567">
        <f>S1859*J1859</f>
        <v>1470</v>
      </c>
      <c r="U1859" s="500"/>
      <c r="V1859" s="494">
        <v>120</v>
      </c>
    </row>
    <row r="1860" spans="2:23" s="7" customFormat="1" ht="15.95" customHeight="1">
      <c r="B1860" s="12" t="s">
        <v>1862</v>
      </c>
      <c r="C1860" s="6" t="s">
        <v>3328</v>
      </c>
      <c r="D1860" s="15" t="s">
        <v>3329</v>
      </c>
      <c r="E1860" s="24"/>
      <c r="F1860" s="138"/>
      <c r="G1860" s="44" t="s">
        <v>3334</v>
      </c>
      <c r="H1860" s="8"/>
      <c r="I1860" s="41"/>
      <c r="J1860" s="45">
        <v>3</v>
      </c>
      <c r="K1860" s="46">
        <v>75</v>
      </c>
      <c r="L1860" s="46">
        <f>K1860*J1860</f>
        <v>225</v>
      </c>
      <c r="M1860" s="39"/>
      <c r="N1860" s="39">
        <v>44872</v>
      </c>
      <c r="O1860" s="38">
        <v>4725</v>
      </c>
      <c r="P1860" s="46">
        <f>K1860*(VLOOKUP(B1860,$C$2:$F$6,3,FALSE))</f>
        <v>75</v>
      </c>
      <c r="Q1860" s="483">
        <v>75</v>
      </c>
      <c r="R1860" s="704">
        <f>Q1860*J1860</f>
        <v>225</v>
      </c>
      <c r="S1860" s="489">
        <v>7000</v>
      </c>
      <c r="T1860" s="567">
        <f>S1860*J1860</f>
        <v>21000</v>
      </c>
      <c r="U1860" s="501"/>
      <c r="V1860" s="494">
        <v>120</v>
      </c>
    </row>
    <row r="1861" spans="2:23" s="7" customFormat="1" ht="15.95" customHeight="1">
      <c r="B1861" s="12"/>
      <c r="C1861" s="6" t="s">
        <v>3328</v>
      </c>
      <c r="D1861" s="15" t="s">
        <v>3329</v>
      </c>
      <c r="E1861" s="24"/>
      <c r="F1861" s="138"/>
      <c r="G1861" s="44" t="s">
        <v>1993</v>
      </c>
      <c r="H1861" s="8"/>
      <c r="I1861" s="41"/>
      <c r="J1861" s="45">
        <v>1</v>
      </c>
      <c r="K1861" s="46">
        <v>12</v>
      </c>
      <c r="L1861" s="46">
        <f>K1861*J1861</f>
        <v>12</v>
      </c>
      <c r="M1861" s="39"/>
      <c r="N1861" s="39">
        <v>44872</v>
      </c>
      <c r="O1861" s="38">
        <v>4725</v>
      </c>
      <c r="P1861" s="6"/>
      <c r="Q1861" s="483">
        <v>12</v>
      </c>
      <c r="R1861" s="704">
        <f>Q1861*J1861</f>
        <v>12</v>
      </c>
      <c r="S1861" s="489">
        <v>0</v>
      </c>
      <c r="T1861" s="113">
        <f>S1861*J1861</f>
        <v>0</v>
      </c>
      <c r="U1861" s="501"/>
      <c r="V1861" s="494">
        <v>120</v>
      </c>
    </row>
    <row r="1862" spans="2:23" s="314" customFormat="1" ht="15.6" customHeight="1">
      <c r="B1862" s="313"/>
      <c r="C1862" s="302" t="s">
        <v>3328</v>
      </c>
      <c r="D1862" s="303" t="s">
        <v>3329</v>
      </c>
      <c r="E1862" s="304"/>
      <c r="F1862" s="305"/>
      <c r="G1862" s="305" t="s">
        <v>1227</v>
      </c>
      <c r="H1862" s="307" t="s">
        <v>1228</v>
      </c>
      <c r="I1862" s="308"/>
      <c r="J1862" s="306"/>
      <c r="K1862" s="315">
        <v>0</v>
      </c>
      <c r="L1862" s="310"/>
      <c r="M1862" s="310"/>
      <c r="N1862" s="310">
        <v>44872</v>
      </c>
      <c r="O1862" s="309">
        <v>4725</v>
      </c>
      <c r="P1862" s="302"/>
      <c r="Q1862" s="485">
        <v>0</v>
      </c>
      <c r="S1862" s="535">
        <v>0</v>
      </c>
      <c r="T1862" s="322">
        <v>0</v>
      </c>
      <c r="U1862" s="515"/>
      <c r="V1862" s="494">
        <v>120</v>
      </c>
    </row>
    <row r="1863" spans="2:23" s="7" customFormat="1" ht="15">
      <c r="B1863" s="12"/>
      <c r="C1863" s="6" t="s">
        <v>3353</v>
      </c>
      <c r="D1863" s="15" t="s">
        <v>3026</v>
      </c>
      <c r="E1863" s="20" t="s">
        <v>408</v>
      </c>
      <c r="F1863" s="26"/>
      <c r="G1863" s="24"/>
      <c r="H1863" s="67"/>
      <c r="I1863" s="68"/>
      <c r="J1863" s="67"/>
      <c r="K1863" s="10" t="s">
        <v>10</v>
      </c>
      <c r="L1863" s="39"/>
      <c r="M1863" s="39"/>
      <c r="N1863" s="39">
        <v>44867</v>
      </c>
      <c r="O1863" s="38">
        <v>4704</v>
      </c>
      <c r="P1863" s="6" t="s">
        <v>3</v>
      </c>
      <c r="Q1863" s="481"/>
      <c r="S1863" s="489"/>
      <c r="T1863" s="113"/>
      <c r="U1863" s="500"/>
      <c r="V1863" s="494">
        <v>120</v>
      </c>
    </row>
    <row r="1864" spans="2:23" s="7" customFormat="1" ht="15" customHeight="1">
      <c r="B1864" s="12" t="s">
        <v>1856</v>
      </c>
      <c r="C1864" s="6" t="s">
        <v>3353</v>
      </c>
      <c r="D1864" s="15" t="s">
        <v>3026</v>
      </c>
      <c r="E1864" s="24" t="s">
        <v>1219</v>
      </c>
      <c r="F1864" s="26"/>
      <c r="G1864" s="24" t="s">
        <v>17</v>
      </c>
      <c r="H1864" s="67">
        <v>50</v>
      </c>
      <c r="I1864" s="68">
        <v>20</v>
      </c>
      <c r="J1864" s="8">
        <f>H1864*I1864</f>
        <v>1000</v>
      </c>
      <c r="K1864" s="25">
        <v>0.3</v>
      </c>
      <c r="L1864" s="46">
        <f>K1864*J1864</f>
        <v>300</v>
      </c>
      <c r="M1864" s="162" t="s">
        <v>2219</v>
      </c>
      <c r="N1864" s="39">
        <v>44867</v>
      </c>
      <c r="O1864" s="38">
        <v>4704</v>
      </c>
      <c r="P1864" s="46">
        <f>K1864*(VLOOKUP(B1864,$C$2:$F$6,3,FALSE))</f>
        <v>0.26400000000000001</v>
      </c>
      <c r="Q1864" s="482">
        <v>0.26</v>
      </c>
      <c r="R1864" s="704">
        <f>Q1864*J1864</f>
        <v>260</v>
      </c>
      <c r="S1864" s="489">
        <v>16.2</v>
      </c>
      <c r="T1864" s="113">
        <f>S1864*J1864</f>
        <v>16200</v>
      </c>
      <c r="U1864" s="1597"/>
      <c r="V1864" s="494">
        <v>120</v>
      </c>
    </row>
    <row r="1865" spans="2:23" s="7" customFormat="1" ht="15.95" customHeight="1">
      <c r="B1865" s="12"/>
      <c r="C1865" s="6" t="s">
        <v>3353</v>
      </c>
      <c r="D1865" s="15" t="s">
        <v>3026</v>
      </c>
      <c r="E1865" s="24"/>
      <c r="F1865" s="138"/>
      <c r="G1865" s="44" t="s">
        <v>1993</v>
      </c>
      <c r="H1865" s="8"/>
      <c r="I1865" s="41"/>
      <c r="J1865" s="45">
        <v>1</v>
      </c>
      <c r="K1865" s="46">
        <v>12</v>
      </c>
      <c r="L1865" s="46">
        <f>K1865*J1865</f>
        <v>12</v>
      </c>
      <c r="M1865" s="39"/>
      <c r="N1865" s="39">
        <v>44867</v>
      </c>
      <c r="O1865" s="38">
        <v>4704</v>
      </c>
      <c r="P1865" s="6"/>
      <c r="Q1865" s="483">
        <v>12</v>
      </c>
      <c r="R1865" s="704">
        <f>Q1865*J1865</f>
        <v>12</v>
      </c>
      <c r="S1865" s="489">
        <v>1100</v>
      </c>
      <c r="T1865" s="113">
        <f>S1865*J1865</f>
        <v>1100</v>
      </c>
      <c r="U1865" s="501"/>
      <c r="V1865" s="494">
        <v>120</v>
      </c>
    </row>
    <row r="1866" spans="2:23" s="314" customFormat="1" ht="15.6" customHeight="1">
      <c r="B1866" s="313"/>
      <c r="C1866" s="302" t="s">
        <v>3353</v>
      </c>
      <c r="D1866" s="303" t="s">
        <v>3026</v>
      </c>
      <c r="E1866" s="304"/>
      <c r="F1866" s="305"/>
      <c r="G1866" s="305" t="s">
        <v>1227</v>
      </c>
      <c r="H1866" s="307" t="s">
        <v>1243</v>
      </c>
      <c r="I1866" s="308"/>
      <c r="J1866" s="306"/>
      <c r="K1866" s="329">
        <v>61</v>
      </c>
      <c r="L1866" s="329">
        <v>61</v>
      </c>
      <c r="M1866" s="310"/>
      <c r="N1866" s="310">
        <v>44867</v>
      </c>
      <c r="O1866" s="309">
        <v>4704</v>
      </c>
      <c r="P1866" s="685"/>
      <c r="Q1866" s="686">
        <v>61</v>
      </c>
      <c r="R1866" s="929">
        <v>61</v>
      </c>
      <c r="S1866" s="718">
        <v>7308</v>
      </c>
      <c r="T1866" s="719">
        <v>7308</v>
      </c>
      <c r="U1866" s="688"/>
      <c r="V1866" s="494">
        <v>120</v>
      </c>
    </row>
    <row r="1867" spans="2:23" s="7" customFormat="1" ht="18" customHeight="1">
      <c r="B1867" s="12"/>
      <c r="C1867" s="6" t="s">
        <v>3356</v>
      </c>
      <c r="D1867" s="15" t="s">
        <v>11</v>
      </c>
      <c r="E1867" s="20" t="s">
        <v>27</v>
      </c>
      <c r="F1867" s="150"/>
      <c r="G1867" s="24"/>
      <c r="H1867" s="151"/>
      <c r="I1867" s="152"/>
      <c r="J1867" s="151"/>
      <c r="K1867" s="34" t="s">
        <v>10</v>
      </c>
      <c r="L1867" s="39"/>
      <c r="M1867" s="39"/>
      <c r="N1867" s="39">
        <v>44867</v>
      </c>
      <c r="O1867" s="38">
        <v>4703</v>
      </c>
      <c r="P1867" s="15"/>
      <c r="Q1867" s="483"/>
      <c r="S1867" s="489"/>
      <c r="T1867" s="113"/>
      <c r="U1867" s="506"/>
      <c r="V1867" s="494">
        <v>120</v>
      </c>
    </row>
    <row r="1868" spans="2:23" s="7" customFormat="1" ht="18" customHeight="1">
      <c r="B1868" s="12" t="s">
        <v>1858</v>
      </c>
      <c r="C1868" s="6" t="s">
        <v>3354</v>
      </c>
      <c r="D1868" s="15" t="s">
        <v>11</v>
      </c>
      <c r="E1868" s="24" t="s">
        <v>536</v>
      </c>
      <c r="F1868" s="150">
        <v>160</v>
      </c>
      <c r="G1868" s="873" t="s">
        <v>859</v>
      </c>
      <c r="H1868" s="67">
        <v>50</v>
      </c>
      <c r="I1868" s="68">
        <v>2</v>
      </c>
      <c r="J1868" s="8">
        <f>H1868*I1868</f>
        <v>100</v>
      </c>
      <c r="K1868" s="25">
        <v>5</v>
      </c>
      <c r="L1868" s="46">
        <f>K1868*J1868</f>
        <v>500</v>
      </c>
      <c r="M1868" s="162" t="s">
        <v>2218</v>
      </c>
      <c r="N1868" s="39">
        <v>44867</v>
      </c>
      <c r="O1868" s="38">
        <v>4703</v>
      </c>
      <c r="P1868" s="46">
        <f>K1868*(VLOOKUP(B1868,$C$2:$F$6,3,FALSE))</f>
        <v>4.6999999999999993</v>
      </c>
      <c r="Q1868" s="483">
        <v>4.7</v>
      </c>
      <c r="R1868" s="704">
        <f>Q1868*J1868</f>
        <v>470</v>
      </c>
      <c r="S1868" s="532">
        <f>360+15</f>
        <v>375</v>
      </c>
      <c r="T1868" s="567">
        <f>S1868*J1868</f>
        <v>37500</v>
      </c>
      <c r="U1868" s="501"/>
      <c r="V1868" s="494">
        <v>120</v>
      </c>
    </row>
    <row r="1869" spans="2:23" s="7" customFormat="1" ht="18" customHeight="1">
      <c r="B1869" s="12" t="s">
        <v>1858</v>
      </c>
      <c r="C1869" s="6" t="s">
        <v>3354</v>
      </c>
      <c r="D1869" s="15" t="s">
        <v>11</v>
      </c>
      <c r="E1869" s="24" t="s">
        <v>536</v>
      </c>
      <c r="F1869" s="150">
        <v>160</v>
      </c>
      <c r="G1869" s="873" t="s">
        <v>3358</v>
      </c>
      <c r="H1869" s="67">
        <v>50</v>
      </c>
      <c r="I1869" s="68">
        <v>1</v>
      </c>
      <c r="J1869" s="8">
        <f>H1869*I1869</f>
        <v>50</v>
      </c>
      <c r="K1869" s="25">
        <v>5</v>
      </c>
      <c r="L1869" s="46">
        <f>K1869*J1869</f>
        <v>250</v>
      </c>
      <c r="M1869" s="162" t="s">
        <v>2218</v>
      </c>
      <c r="N1869" s="39">
        <v>44867</v>
      </c>
      <c r="O1869" s="38">
        <v>4703</v>
      </c>
      <c r="P1869" s="46">
        <f>K1869*(VLOOKUP(B1869,$C$2:$F$6,3,FALSE))</f>
        <v>4.6999999999999993</v>
      </c>
      <c r="Q1869" s="483">
        <v>4.7</v>
      </c>
      <c r="R1869" s="704">
        <f>Q1869*J1869</f>
        <v>235</v>
      </c>
      <c r="S1869" s="532">
        <f>360+15</f>
        <v>375</v>
      </c>
      <c r="T1869" s="567">
        <f>S1869*J1869</f>
        <v>18750</v>
      </c>
      <c r="U1869" s="501"/>
      <c r="V1869" s="494">
        <v>120</v>
      </c>
    </row>
    <row r="1870" spans="2:23" s="7" customFormat="1" ht="18" customHeight="1">
      <c r="B1870" s="12" t="s">
        <v>1858</v>
      </c>
      <c r="C1870" s="6" t="s">
        <v>3354</v>
      </c>
      <c r="D1870" s="15" t="s">
        <v>11</v>
      </c>
      <c r="E1870" s="24" t="s">
        <v>536</v>
      </c>
      <c r="F1870" s="150">
        <v>160</v>
      </c>
      <c r="G1870" s="873" t="s">
        <v>735</v>
      </c>
      <c r="H1870" s="67">
        <v>50</v>
      </c>
      <c r="I1870" s="68">
        <v>2</v>
      </c>
      <c r="J1870" s="8">
        <f>H1870*I1870</f>
        <v>100</v>
      </c>
      <c r="K1870" s="25">
        <v>5</v>
      </c>
      <c r="L1870" s="46">
        <f>K1870*J1870</f>
        <v>500</v>
      </c>
      <c r="M1870" s="162" t="s">
        <v>2218</v>
      </c>
      <c r="N1870" s="39">
        <v>44931</v>
      </c>
      <c r="O1870" s="38">
        <v>4868</v>
      </c>
      <c r="P1870" s="46">
        <f>K1870*(VLOOKUP(B1870,$C$2:$F$6,3,FALSE))</f>
        <v>4.6999999999999993</v>
      </c>
      <c r="Q1870" s="483">
        <v>4.7</v>
      </c>
      <c r="R1870" s="704">
        <f>Q1870*J1870</f>
        <v>470</v>
      </c>
      <c r="S1870" s="532">
        <v>360</v>
      </c>
      <c r="T1870" s="567">
        <f>S1870*J1870</f>
        <v>36000</v>
      </c>
      <c r="U1870" s="501"/>
      <c r="V1870" s="494">
        <v>120</v>
      </c>
    </row>
    <row r="1871" spans="2:23" ht="15">
      <c r="C1871" s="6" t="s">
        <v>3354</v>
      </c>
      <c r="D1871" s="15" t="s">
        <v>11</v>
      </c>
      <c r="E1871" s="20" t="s">
        <v>79</v>
      </c>
      <c r="F1871" s="150"/>
      <c r="G1871" s="24"/>
      <c r="H1871" s="151"/>
      <c r="I1871" s="152"/>
      <c r="J1871" s="151"/>
      <c r="K1871" s="153" t="s">
        <v>10</v>
      </c>
      <c r="L1871" s="39"/>
      <c r="M1871" s="39"/>
      <c r="N1871" s="39">
        <v>44867</v>
      </c>
      <c r="O1871" s="38">
        <v>4703</v>
      </c>
      <c r="P1871" s="15"/>
      <c r="Q1871" s="483"/>
      <c r="S1871" s="496"/>
      <c r="T1871" s="113"/>
      <c r="V1871" s="494">
        <v>120</v>
      </c>
      <c r="W1871"/>
    </row>
    <row r="1872" spans="2:23" ht="15.75">
      <c r="B1872" s="12" t="s">
        <v>1858</v>
      </c>
      <c r="C1872" s="6" t="s">
        <v>3354</v>
      </c>
      <c r="D1872" s="15" t="s">
        <v>11</v>
      </c>
      <c r="E1872" s="24">
        <v>2440</v>
      </c>
      <c r="F1872" s="150">
        <v>140</v>
      </c>
      <c r="G1872" s="24" t="s">
        <v>3361</v>
      </c>
      <c r="H1872" s="67">
        <v>58</v>
      </c>
      <c r="I1872" s="68">
        <v>2</v>
      </c>
      <c r="J1872" s="67">
        <f t="shared" ref="J1872:J1881" si="93">H1872*I1872</f>
        <v>116</v>
      </c>
      <c r="K1872" s="46">
        <v>3.89</v>
      </c>
      <c r="L1872" s="46">
        <f t="shared" ref="L1872:L1881" si="94">K1872*J1872</f>
        <v>451.24</v>
      </c>
      <c r="M1872" s="162" t="s">
        <v>2219</v>
      </c>
      <c r="N1872" s="39">
        <v>44867</v>
      </c>
      <c r="O1872" s="38">
        <v>4703</v>
      </c>
      <c r="P1872" s="46">
        <f t="shared" ref="P1872:P1881" si="95">K1872*(VLOOKUP(B1872,$C$2:$F$6,3,FALSE))</f>
        <v>3.6566000000000001</v>
      </c>
      <c r="Q1872" s="483">
        <v>3.66</v>
      </c>
      <c r="R1872" s="704">
        <f t="shared" ref="R1872:R1882" si="96">Q1872*J1872</f>
        <v>424.56</v>
      </c>
      <c r="S1872" s="532">
        <f t="shared" ref="S1872:S1881" si="97">280+15</f>
        <v>295</v>
      </c>
      <c r="T1872" s="567">
        <f t="shared" ref="T1872:T1882" si="98">S1872*J1872</f>
        <v>34220</v>
      </c>
      <c r="V1872" s="494">
        <v>120</v>
      </c>
      <c r="W1872"/>
    </row>
    <row r="1873" spans="2:23" ht="15.75">
      <c r="B1873" s="12" t="s">
        <v>1858</v>
      </c>
      <c r="C1873" s="6" t="s">
        <v>3354</v>
      </c>
      <c r="D1873" s="15" t="s">
        <v>11</v>
      </c>
      <c r="E1873" s="24">
        <v>2440</v>
      </c>
      <c r="F1873" s="150">
        <v>140</v>
      </c>
      <c r="G1873" s="24" t="s">
        <v>3363</v>
      </c>
      <c r="H1873" s="67">
        <v>58</v>
      </c>
      <c r="I1873" s="68">
        <v>1</v>
      </c>
      <c r="J1873" s="67">
        <f t="shared" si="93"/>
        <v>58</v>
      </c>
      <c r="K1873" s="46">
        <v>3.89</v>
      </c>
      <c r="L1873" s="46">
        <f t="shared" si="94"/>
        <v>225.62</v>
      </c>
      <c r="M1873" s="162" t="s">
        <v>2219</v>
      </c>
      <c r="N1873" s="39">
        <v>44867</v>
      </c>
      <c r="O1873" s="38">
        <v>4703</v>
      </c>
      <c r="P1873" s="46">
        <f t="shared" si="95"/>
        <v>3.6566000000000001</v>
      </c>
      <c r="Q1873" s="483">
        <v>3.66</v>
      </c>
      <c r="R1873" s="704">
        <f t="shared" si="96"/>
        <v>212.28</v>
      </c>
      <c r="S1873" s="532">
        <f t="shared" si="97"/>
        <v>295</v>
      </c>
      <c r="T1873" s="567">
        <f t="shared" si="98"/>
        <v>17110</v>
      </c>
      <c r="V1873" s="494">
        <v>120</v>
      </c>
      <c r="W1873"/>
    </row>
    <row r="1874" spans="2:23" ht="15.75">
      <c r="B1874" s="12" t="s">
        <v>1858</v>
      </c>
      <c r="C1874" s="6" t="s">
        <v>3354</v>
      </c>
      <c r="D1874" s="15" t="s">
        <v>11</v>
      </c>
      <c r="E1874" s="24">
        <v>2440</v>
      </c>
      <c r="F1874" s="150">
        <v>140</v>
      </c>
      <c r="G1874" s="24" t="s">
        <v>1547</v>
      </c>
      <c r="H1874" s="67">
        <v>58</v>
      </c>
      <c r="I1874" s="68">
        <v>2</v>
      </c>
      <c r="J1874" s="67">
        <f t="shared" si="93"/>
        <v>116</v>
      </c>
      <c r="K1874" s="46">
        <v>3.89</v>
      </c>
      <c r="L1874" s="46">
        <f t="shared" si="94"/>
        <v>451.24</v>
      </c>
      <c r="M1874" s="162" t="s">
        <v>2219</v>
      </c>
      <c r="N1874" s="39">
        <v>44867</v>
      </c>
      <c r="O1874" s="38">
        <v>4703</v>
      </c>
      <c r="P1874" s="46">
        <f t="shared" si="95"/>
        <v>3.6566000000000001</v>
      </c>
      <c r="Q1874" s="483">
        <v>3.66</v>
      </c>
      <c r="R1874" s="704">
        <f t="shared" si="96"/>
        <v>424.56</v>
      </c>
      <c r="S1874" s="532">
        <f t="shared" si="97"/>
        <v>295</v>
      </c>
      <c r="T1874" s="567">
        <f t="shared" si="98"/>
        <v>34220</v>
      </c>
      <c r="V1874" s="494">
        <v>120</v>
      </c>
      <c r="W1874"/>
    </row>
    <row r="1875" spans="2:23" ht="15.75">
      <c r="B1875" s="12" t="s">
        <v>1858</v>
      </c>
      <c r="C1875" s="6" t="s">
        <v>3354</v>
      </c>
      <c r="D1875" s="15" t="s">
        <v>11</v>
      </c>
      <c r="E1875" s="24">
        <v>2440</v>
      </c>
      <c r="F1875" s="150">
        <v>140</v>
      </c>
      <c r="G1875" s="24" t="s">
        <v>2010</v>
      </c>
      <c r="H1875" s="67">
        <v>58</v>
      </c>
      <c r="I1875" s="68">
        <v>5</v>
      </c>
      <c r="J1875" s="67">
        <f t="shared" si="93"/>
        <v>290</v>
      </c>
      <c r="K1875" s="46">
        <v>3.89</v>
      </c>
      <c r="L1875" s="46">
        <f t="shared" si="94"/>
        <v>1128.1000000000001</v>
      </c>
      <c r="M1875" s="162" t="s">
        <v>2219</v>
      </c>
      <c r="N1875" s="39">
        <v>44867</v>
      </c>
      <c r="O1875" s="38">
        <v>4703</v>
      </c>
      <c r="P1875" s="46">
        <f t="shared" si="95"/>
        <v>3.6566000000000001</v>
      </c>
      <c r="Q1875" s="483">
        <v>3.66</v>
      </c>
      <c r="R1875" s="704">
        <f t="shared" si="96"/>
        <v>1061.4000000000001</v>
      </c>
      <c r="S1875" s="532">
        <f t="shared" si="97"/>
        <v>295</v>
      </c>
      <c r="T1875" s="567">
        <f t="shared" si="98"/>
        <v>85550</v>
      </c>
      <c r="V1875" s="494">
        <v>120</v>
      </c>
      <c r="W1875"/>
    </row>
    <row r="1876" spans="2:23" ht="15.75">
      <c r="B1876" s="12" t="s">
        <v>1858</v>
      </c>
      <c r="C1876" s="6" t="s">
        <v>3354</v>
      </c>
      <c r="D1876" s="15" t="s">
        <v>11</v>
      </c>
      <c r="E1876" s="24">
        <v>2440</v>
      </c>
      <c r="F1876" s="150">
        <v>140</v>
      </c>
      <c r="G1876" s="24" t="s">
        <v>733</v>
      </c>
      <c r="H1876" s="67">
        <v>58</v>
      </c>
      <c r="I1876" s="68">
        <v>3</v>
      </c>
      <c r="J1876" s="67">
        <f t="shared" si="93"/>
        <v>174</v>
      </c>
      <c r="K1876" s="46">
        <v>3.89</v>
      </c>
      <c r="L1876" s="46">
        <f t="shared" si="94"/>
        <v>676.86</v>
      </c>
      <c r="M1876" s="162" t="s">
        <v>2219</v>
      </c>
      <c r="N1876" s="39">
        <v>44867</v>
      </c>
      <c r="O1876" s="38">
        <v>4703</v>
      </c>
      <c r="P1876" s="46">
        <f t="shared" si="95"/>
        <v>3.6566000000000001</v>
      </c>
      <c r="Q1876" s="483">
        <v>3.66</v>
      </c>
      <c r="R1876" s="704">
        <f t="shared" si="96"/>
        <v>636.84</v>
      </c>
      <c r="S1876" s="532">
        <f t="shared" si="97"/>
        <v>295</v>
      </c>
      <c r="T1876" s="567">
        <f t="shared" si="98"/>
        <v>51330</v>
      </c>
      <c r="V1876" s="494">
        <v>120</v>
      </c>
      <c r="W1876"/>
    </row>
    <row r="1877" spans="2:23" ht="15.75">
      <c r="B1877" s="12" t="s">
        <v>1858</v>
      </c>
      <c r="C1877" s="6" t="s">
        <v>3354</v>
      </c>
      <c r="D1877" s="15" t="s">
        <v>11</v>
      </c>
      <c r="E1877" s="24">
        <v>2440</v>
      </c>
      <c r="F1877" s="150">
        <v>140</v>
      </c>
      <c r="G1877" s="24" t="s">
        <v>3367</v>
      </c>
      <c r="H1877" s="67">
        <v>58</v>
      </c>
      <c r="I1877" s="68">
        <v>1</v>
      </c>
      <c r="J1877" s="67">
        <f t="shared" si="93"/>
        <v>58</v>
      </c>
      <c r="K1877" s="46">
        <v>3.89</v>
      </c>
      <c r="L1877" s="46">
        <f t="shared" si="94"/>
        <v>225.62</v>
      </c>
      <c r="M1877" s="162" t="s">
        <v>2219</v>
      </c>
      <c r="N1877" s="39">
        <v>44867</v>
      </c>
      <c r="O1877" s="38">
        <v>4703</v>
      </c>
      <c r="P1877" s="46">
        <f t="shared" si="95"/>
        <v>3.6566000000000001</v>
      </c>
      <c r="Q1877" s="483">
        <v>3.66</v>
      </c>
      <c r="R1877" s="704">
        <f t="shared" si="96"/>
        <v>212.28</v>
      </c>
      <c r="S1877" s="532">
        <f t="shared" si="97"/>
        <v>295</v>
      </c>
      <c r="T1877" s="567">
        <f t="shared" si="98"/>
        <v>17110</v>
      </c>
      <c r="V1877" s="494">
        <v>120</v>
      </c>
      <c r="W1877"/>
    </row>
    <row r="1878" spans="2:23" ht="15.75">
      <c r="B1878" s="12" t="s">
        <v>1858</v>
      </c>
      <c r="C1878" s="6" t="s">
        <v>3354</v>
      </c>
      <c r="D1878" s="15" t="s">
        <v>11</v>
      </c>
      <c r="E1878" s="24">
        <v>2440</v>
      </c>
      <c r="F1878" s="150">
        <v>140</v>
      </c>
      <c r="G1878" s="24" t="s">
        <v>3369</v>
      </c>
      <c r="H1878" s="67">
        <v>58</v>
      </c>
      <c r="I1878" s="68">
        <v>4</v>
      </c>
      <c r="J1878" s="67">
        <f t="shared" si="93"/>
        <v>232</v>
      </c>
      <c r="K1878" s="46">
        <v>3.89</v>
      </c>
      <c r="L1878" s="46">
        <f t="shared" si="94"/>
        <v>902.48</v>
      </c>
      <c r="M1878" s="162" t="s">
        <v>2219</v>
      </c>
      <c r="N1878" s="39">
        <v>44867</v>
      </c>
      <c r="O1878" s="38">
        <v>4703</v>
      </c>
      <c r="P1878" s="46">
        <f t="shared" si="95"/>
        <v>3.6566000000000001</v>
      </c>
      <c r="Q1878" s="483">
        <v>3.66</v>
      </c>
      <c r="R1878" s="704">
        <f t="shared" si="96"/>
        <v>849.12</v>
      </c>
      <c r="S1878" s="532">
        <f t="shared" si="97"/>
        <v>295</v>
      </c>
      <c r="T1878" s="567">
        <f t="shared" si="98"/>
        <v>68440</v>
      </c>
      <c r="V1878" s="494">
        <v>120</v>
      </c>
      <c r="W1878"/>
    </row>
    <row r="1879" spans="2:23" ht="15.75">
      <c r="B1879" s="12" t="s">
        <v>1858</v>
      </c>
      <c r="C1879" s="6" t="s">
        <v>3354</v>
      </c>
      <c r="D1879" s="15" t="s">
        <v>11</v>
      </c>
      <c r="E1879" s="24">
        <v>2440</v>
      </c>
      <c r="F1879" s="150">
        <v>140</v>
      </c>
      <c r="G1879" s="24" t="s">
        <v>3371</v>
      </c>
      <c r="H1879" s="67">
        <v>58</v>
      </c>
      <c r="I1879" s="68">
        <v>5</v>
      </c>
      <c r="J1879" s="67">
        <f t="shared" si="93"/>
        <v>290</v>
      </c>
      <c r="K1879" s="46">
        <v>3.89</v>
      </c>
      <c r="L1879" s="46">
        <f t="shared" si="94"/>
        <v>1128.1000000000001</v>
      </c>
      <c r="M1879" s="162" t="s">
        <v>2219</v>
      </c>
      <c r="N1879" s="39">
        <v>44867</v>
      </c>
      <c r="O1879" s="38">
        <v>4703</v>
      </c>
      <c r="P1879" s="46">
        <f t="shared" si="95"/>
        <v>3.6566000000000001</v>
      </c>
      <c r="Q1879" s="483">
        <v>3.66</v>
      </c>
      <c r="R1879" s="704">
        <f t="shared" si="96"/>
        <v>1061.4000000000001</v>
      </c>
      <c r="S1879" s="532">
        <f t="shared" si="97"/>
        <v>295</v>
      </c>
      <c r="T1879" s="567">
        <f t="shared" si="98"/>
        <v>85550</v>
      </c>
      <c r="V1879" s="494">
        <v>120</v>
      </c>
      <c r="W1879"/>
    </row>
    <row r="1880" spans="2:23" ht="15.75">
      <c r="B1880" s="12" t="s">
        <v>1858</v>
      </c>
      <c r="C1880" s="6" t="s">
        <v>3354</v>
      </c>
      <c r="D1880" s="15" t="s">
        <v>11</v>
      </c>
      <c r="E1880" s="24">
        <v>2440</v>
      </c>
      <c r="F1880" s="150">
        <v>140</v>
      </c>
      <c r="G1880" s="24" t="s">
        <v>2008</v>
      </c>
      <c r="H1880" s="67">
        <v>58</v>
      </c>
      <c r="I1880" s="68">
        <v>3</v>
      </c>
      <c r="J1880" s="67">
        <f t="shared" si="93"/>
        <v>174</v>
      </c>
      <c r="K1880" s="46">
        <v>3.89</v>
      </c>
      <c r="L1880" s="46">
        <f t="shared" si="94"/>
        <v>676.86</v>
      </c>
      <c r="M1880" s="162" t="s">
        <v>2219</v>
      </c>
      <c r="N1880" s="39">
        <v>44867</v>
      </c>
      <c r="O1880" s="38">
        <v>4703</v>
      </c>
      <c r="P1880" s="46">
        <f t="shared" si="95"/>
        <v>3.6566000000000001</v>
      </c>
      <c r="Q1880" s="483">
        <v>3.66</v>
      </c>
      <c r="R1880" s="704">
        <f t="shared" si="96"/>
        <v>636.84</v>
      </c>
      <c r="S1880" s="532">
        <f t="shared" si="97"/>
        <v>295</v>
      </c>
      <c r="T1880" s="567">
        <f t="shared" si="98"/>
        <v>51330</v>
      </c>
      <c r="V1880" s="494">
        <v>120</v>
      </c>
      <c r="W1880"/>
    </row>
    <row r="1881" spans="2:23" ht="15.75">
      <c r="B1881" s="12" t="s">
        <v>1858</v>
      </c>
      <c r="C1881" s="6" t="s">
        <v>3354</v>
      </c>
      <c r="D1881" s="15" t="s">
        <v>11</v>
      </c>
      <c r="E1881" s="24">
        <v>2440</v>
      </c>
      <c r="F1881" s="150">
        <v>140</v>
      </c>
      <c r="G1881" s="24" t="s">
        <v>3374</v>
      </c>
      <c r="H1881" s="67">
        <v>58</v>
      </c>
      <c r="I1881" s="68">
        <v>1</v>
      </c>
      <c r="J1881" s="67">
        <f t="shared" si="93"/>
        <v>58</v>
      </c>
      <c r="K1881" s="46">
        <v>3.89</v>
      </c>
      <c r="L1881" s="46">
        <f t="shared" si="94"/>
        <v>225.62</v>
      </c>
      <c r="M1881" s="162" t="s">
        <v>2219</v>
      </c>
      <c r="N1881" s="39">
        <v>44867</v>
      </c>
      <c r="O1881" s="38">
        <v>4703</v>
      </c>
      <c r="P1881" s="46">
        <f t="shared" si="95"/>
        <v>3.6566000000000001</v>
      </c>
      <c r="Q1881" s="483">
        <v>3.66</v>
      </c>
      <c r="R1881" s="704">
        <f t="shared" si="96"/>
        <v>212.28</v>
      </c>
      <c r="S1881" s="532">
        <f t="shared" si="97"/>
        <v>295</v>
      </c>
      <c r="T1881" s="567">
        <f t="shared" si="98"/>
        <v>17110</v>
      </c>
      <c r="V1881" s="494">
        <v>120</v>
      </c>
      <c r="W1881"/>
    </row>
    <row r="1882" spans="2:23" ht="15">
      <c r="C1882" s="6" t="s">
        <v>3354</v>
      </c>
      <c r="D1882" s="15" t="s">
        <v>11</v>
      </c>
      <c r="E1882" s="56"/>
      <c r="F1882" s="160"/>
      <c r="G1882" s="228" t="s">
        <v>481</v>
      </c>
      <c r="H1882" s="214"/>
      <c r="I1882" s="215"/>
      <c r="J1882" s="43">
        <v>1</v>
      </c>
      <c r="K1882" s="229">
        <v>20</v>
      </c>
      <c r="L1882" s="417" t="s">
        <v>1676</v>
      </c>
      <c r="M1882" s="417"/>
      <c r="N1882" s="39">
        <v>44867</v>
      </c>
      <c r="O1882" s="38">
        <v>4703</v>
      </c>
      <c r="P1882" s="216"/>
      <c r="Q1882" s="525">
        <v>0</v>
      </c>
      <c r="R1882" s="704">
        <f t="shared" si="96"/>
        <v>0</v>
      </c>
      <c r="S1882" s="532">
        <v>1800</v>
      </c>
      <c r="T1882" s="113">
        <f t="shared" si="98"/>
        <v>1800</v>
      </c>
      <c r="V1882" s="494">
        <v>120</v>
      </c>
    </row>
    <row r="1883" spans="2:23" s="314" customFormat="1" ht="15.6" customHeight="1">
      <c r="B1883" s="313"/>
      <c r="C1883" s="302" t="s">
        <v>3354</v>
      </c>
      <c r="D1883" s="303" t="s">
        <v>11</v>
      </c>
      <c r="E1883" s="304"/>
      <c r="F1883" s="305"/>
      <c r="G1883" s="305" t="s">
        <v>1227</v>
      </c>
      <c r="H1883" s="307" t="s">
        <v>1228</v>
      </c>
      <c r="I1883" s="308"/>
      <c r="J1883" s="306"/>
      <c r="K1883" s="315">
        <v>0</v>
      </c>
      <c r="L1883" s="310"/>
      <c r="M1883" s="310"/>
      <c r="N1883" s="310">
        <v>44867</v>
      </c>
      <c r="O1883" s="309">
        <v>4703</v>
      </c>
      <c r="P1883" s="302"/>
      <c r="Q1883" s="485">
        <v>0</v>
      </c>
      <c r="S1883" s="535">
        <v>0</v>
      </c>
      <c r="T1883" s="322">
        <v>0</v>
      </c>
      <c r="U1883" s="515"/>
      <c r="V1883" s="494">
        <v>120</v>
      </c>
    </row>
    <row r="1884" spans="2:23" s="7" customFormat="1" ht="15">
      <c r="B1884" s="12"/>
      <c r="C1884" s="6" t="s">
        <v>3408</v>
      </c>
      <c r="D1884" s="15" t="s">
        <v>298</v>
      </c>
      <c r="E1884" s="20" t="s">
        <v>3409</v>
      </c>
      <c r="F1884" s="26"/>
      <c r="G1884" s="24"/>
      <c r="H1884" s="67"/>
      <c r="I1884" s="68"/>
      <c r="J1884" s="67"/>
      <c r="K1884" s="10" t="s">
        <v>10</v>
      </c>
      <c r="L1884" s="39"/>
      <c r="M1884" s="39"/>
      <c r="N1884" s="39">
        <v>44866</v>
      </c>
      <c r="O1884" s="38">
        <v>4701</v>
      </c>
      <c r="P1884" s="6" t="s">
        <v>3</v>
      </c>
      <c r="Q1884" s="481"/>
      <c r="S1884" s="489"/>
      <c r="T1884" s="113"/>
      <c r="U1884" s="500"/>
      <c r="V1884" s="494">
        <v>120</v>
      </c>
    </row>
    <row r="1885" spans="2:23" s="7" customFormat="1" ht="15" customHeight="1">
      <c r="B1885" s="12" t="s">
        <v>1856</v>
      </c>
      <c r="C1885" s="6" t="s">
        <v>3408</v>
      </c>
      <c r="D1885" s="15" t="s">
        <v>298</v>
      </c>
      <c r="E1885" s="24">
        <v>3911</v>
      </c>
      <c r="F1885" s="26">
        <v>19</v>
      </c>
      <c r="G1885" s="24" t="s">
        <v>185</v>
      </c>
      <c r="H1885" s="67">
        <v>30</v>
      </c>
      <c r="I1885" s="68">
        <v>1</v>
      </c>
      <c r="J1885" s="8">
        <f>H1885*I1885</f>
        <v>30</v>
      </c>
      <c r="K1885" s="46">
        <v>0.78</v>
      </c>
      <c r="L1885" s="46">
        <f>K1885*J1885</f>
        <v>23.400000000000002</v>
      </c>
      <c r="M1885" s="162" t="s">
        <v>2219</v>
      </c>
      <c r="N1885" s="39">
        <v>44866</v>
      </c>
      <c r="O1885" s="38">
        <v>4701</v>
      </c>
      <c r="P1885" s="46">
        <f>K1885*(VLOOKUP(B1885,$C$2:$F$6,3,FALSE))</f>
        <v>0.68640000000000001</v>
      </c>
      <c r="Q1885" s="482">
        <v>0.69</v>
      </c>
      <c r="R1885" s="704">
        <f>Q1885*J1885</f>
        <v>20.7</v>
      </c>
      <c r="S1885" s="489">
        <v>42</v>
      </c>
      <c r="T1885" s="113">
        <f>S1885*J1885</f>
        <v>1260</v>
      </c>
      <c r="U1885" s="1597"/>
      <c r="V1885" s="494">
        <v>120</v>
      </c>
    </row>
    <row r="1886" spans="2:23" s="7" customFormat="1" ht="15">
      <c r="B1886" s="12"/>
      <c r="C1886" s="6" t="s">
        <v>3408</v>
      </c>
      <c r="D1886" s="15" t="s">
        <v>298</v>
      </c>
      <c r="E1886" s="20" t="s">
        <v>3413</v>
      </c>
      <c r="F1886" s="26"/>
      <c r="G1886" s="24"/>
      <c r="H1886" s="67"/>
      <c r="I1886" s="68"/>
      <c r="J1886" s="67"/>
      <c r="K1886" s="10" t="s">
        <v>10</v>
      </c>
      <c r="L1886" s="39"/>
      <c r="M1886" s="39"/>
      <c r="N1886" s="39">
        <v>44866</v>
      </c>
      <c r="O1886" s="38">
        <v>4701</v>
      </c>
      <c r="P1886" s="6" t="s">
        <v>3</v>
      </c>
      <c r="Q1886" s="481"/>
      <c r="S1886" s="489"/>
      <c r="T1886" s="113"/>
      <c r="U1886" s="500"/>
      <c r="V1886" s="494">
        <v>120</v>
      </c>
    </row>
    <row r="1887" spans="2:23" s="7" customFormat="1" ht="15" customHeight="1">
      <c r="B1887" s="12" t="s">
        <v>1856</v>
      </c>
      <c r="C1887" s="6" t="s">
        <v>3408</v>
      </c>
      <c r="D1887" s="15" t="s">
        <v>298</v>
      </c>
      <c r="E1887" s="24" t="s">
        <v>3414</v>
      </c>
      <c r="F1887" s="26"/>
      <c r="G1887" s="67" t="s">
        <v>78</v>
      </c>
      <c r="H1887" s="67"/>
      <c r="I1887" s="68"/>
      <c r="J1887" s="8">
        <v>25</v>
      </c>
      <c r="K1887" s="25">
        <v>2.92</v>
      </c>
      <c r="L1887" s="46">
        <f>K1887*J1887</f>
        <v>73</v>
      </c>
      <c r="M1887" s="162" t="s">
        <v>2219</v>
      </c>
      <c r="N1887" s="39">
        <v>44866</v>
      </c>
      <c r="O1887" s="38">
        <v>4701</v>
      </c>
      <c r="P1887" s="46">
        <f>K1887*(VLOOKUP(B1887,$C$2:$F$6,3,FALSE))</f>
        <v>2.5695999999999999</v>
      </c>
      <c r="Q1887" s="482">
        <v>2.57</v>
      </c>
      <c r="R1887" s="704">
        <f>Q1887*J1887</f>
        <v>64.25</v>
      </c>
      <c r="S1887" s="489">
        <v>0</v>
      </c>
      <c r="T1887" s="113">
        <f>S1887*J1887</f>
        <v>0</v>
      </c>
      <c r="U1887" s="1597"/>
      <c r="V1887" s="494">
        <v>120</v>
      </c>
    </row>
    <row r="1888" spans="2:23" s="7" customFormat="1" ht="15" customHeight="1">
      <c r="B1888" s="12" t="s">
        <v>1856</v>
      </c>
      <c r="C1888" s="6" t="s">
        <v>3408</v>
      </c>
      <c r="D1888" s="15" t="s">
        <v>298</v>
      </c>
      <c r="E1888" s="24" t="s">
        <v>3414</v>
      </c>
      <c r="F1888" s="26"/>
      <c r="G1888" s="67" t="s">
        <v>56</v>
      </c>
      <c r="H1888" s="67"/>
      <c r="I1888" s="68"/>
      <c r="J1888" s="8">
        <v>25</v>
      </c>
      <c r="K1888" s="25">
        <v>3.89</v>
      </c>
      <c r="L1888" s="46">
        <f>K1888*J1888</f>
        <v>97.25</v>
      </c>
      <c r="M1888" s="162" t="s">
        <v>2219</v>
      </c>
      <c r="N1888" s="39">
        <v>44866</v>
      </c>
      <c r="O1888" s="38">
        <v>4701</v>
      </c>
      <c r="P1888" s="46">
        <f>K1888*(VLOOKUP(B1888,$C$2:$F$6,3,FALSE))</f>
        <v>3.4232</v>
      </c>
      <c r="Q1888" s="482">
        <v>3.42</v>
      </c>
      <c r="R1888" s="704">
        <f>Q1888*J1888</f>
        <v>85.5</v>
      </c>
      <c r="S1888" s="489">
        <v>0</v>
      </c>
      <c r="T1888" s="113">
        <f>S1888*J1888</f>
        <v>0</v>
      </c>
      <c r="U1888" s="1597"/>
      <c r="V1888" s="494">
        <v>120</v>
      </c>
    </row>
    <row r="1889" spans="2:23" s="7" customFormat="1" ht="15">
      <c r="B1889" s="12"/>
      <c r="C1889" s="6" t="s">
        <v>3408</v>
      </c>
      <c r="D1889" s="15" t="s">
        <v>298</v>
      </c>
      <c r="E1889" s="20" t="s">
        <v>3410</v>
      </c>
      <c r="F1889" s="26"/>
      <c r="G1889" s="24"/>
      <c r="H1889" s="67"/>
      <c r="I1889" s="68"/>
      <c r="J1889" s="67"/>
      <c r="K1889" s="10" t="s">
        <v>10</v>
      </c>
      <c r="L1889" s="39"/>
      <c r="M1889" s="39"/>
      <c r="N1889" s="39">
        <v>44866</v>
      </c>
      <c r="O1889" s="38">
        <v>4701</v>
      </c>
      <c r="P1889" s="6" t="s">
        <v>3</v>
      </c>
      <c r="Q1889" s="481"/>
      <c r="S1889" s="489"/>
      <c r="T1889" s="113"/>
      <c r="U1889" s="500"/>
      <c r="V1889" s="494">
        <v>120</v>
      </c>
    </row>
    <row r="1890" spans="2:23" s="7" customFormat="1" ht="15" customHeight="1">
      <c r="B1890" s="12" t="s">
        <v>1856</v>
      </c>
      <c r="C1890" s="6" t="s">
        <v>3408</v>
      </c>
      <c r="D1890" s="15" t="s">
        <v>298</v>
      </c>
      <c r="E1890" s="24">
        <v>1095</v>
      </c>
      <c r="F1890" s="26">
        <v>150</v>
      </c>
      <c r="G1890" s="24" t="s">
        <v>3412</v>
      </c>
      <c r="H1890" s="67">
        <v>10</v>
      </c>
      <c r="I1890" s="68">
        <v>2</v>
      </c>
      <c r="J1890" s="8">
        <f>H1890*I1890</f>
        <v>20</v>
      </c>
      <c r="K1890" s="25">
        <v>4.67</v>
      </c>
      <c r="L1890" s="46">
        <f>K1890*J1890</f>
        <v>93.4</v>
      </c>
      <c r="M1890" s="162" t="s">
        <v>2219</v>
      </c>
      <c r="N1890" s="39">
        <v>44866</v>
      </c>
      <c r="O1890" s="38">
        <v>4701</v>
      </c>
      <c r="P1890" s="46">
        <f>K1890*(VLOOKUP(B1890,$C$2:$F$6,3,FALSE))</f>
        <v>4.1096000000000004</v>
      </c>
      <c r="Q1890" s="482">
        <v>4.1100000000000003</v>
      </c>
      <c r="R1890" s="704">
        <f>Q1890*J1890</f>
        <v>82.2</v>
      </c>
      <c r="S1890" s="489">
        <v>210</v>
      </c>
      <c r="T1890" s="113">
        <f>S1890*J1890</f>
        <v>4200</v>
      </c>
      <c r="U1890" s="1597"/>
      <c r="V1890" s="494">
        <v>120</v>
      </c>
    </row>
    <row r="1891" spans="2:23" s="7" customFormat="1" ht="15" customHeight="1">
      <c r="B1891" s="12" t="s">
        <v>1856</v>
      </c>
      <c r="C1891" s="6" t="s">
        <v>3408</v>
      </c>
      <c r="D1891" s="15" t="s">
        <v>298</v>
      </c>
      <c r="E1891" s="24">
        <v>1095</v>
      </c>
      <c r="F1891" s="26">
        <v>220</v>
      </c>
      <c r="G1891" s="24" t="s">
        <v>3412</v>
      </c>
      <c r="H1891" s="67">
        <v>10</v>
      </c>
      <c r="I1891" s="68">
        <v>2</v>
      </c>
      <c r="J1891" s="8">
        <f>H1891*I1891</f>
        <v>20</v>
      </c>
      <c r="K1891" s="25">
        <v>6.44</v>
      </c>
      <c r="L1891" s="46">
        <f>K1891*J1891</f>
        <v>128.80000000000001</v>
      </c>
      <c r="M1891" s="162" t="s">
        <v>2219</v>
      </c>
      <c r="N1891" s="39">
        <v>44866</v>
      </c>
      <c r="O1891" s="38">
        <v>4701</v>
      </c>
      <c r="P1891" s="46">
        <f>K1891*(VLOOKUP(B1891,$C$2:$F$6,3,FALSE))</f>
        <v>5.6672000000000002</v>
      </c>
      <c r="Q1891" s="482">
        <v>5.67</v>
      </c>
      <c r="R1891" s="704">
        <f>Q1891*J1891</f>
        <v>113.4</v>
      </c>
      <c r="S1891" s="489">
        <v>290</v>
      </c>
      <c r="T1891" s="113">
        <f>S1891*J1891</f>
        <v>5800</v>
      </c>
      <c r="U1891" s="1597"/>
      <c r="V1891" s="494">
        <v>120</v>
      </c>
    </row>
    <row r="1892" spans="2:23" s="7" customFormat="1" ht="15.95" customHeight="1">
      <c r="B1892" s="12"/>
      <c r="C1892" s="6" t="s">
        <v>3408</v>
      </c>
      <c r="D1892" s="15" t="s">
        <v>298</v>
      </c>
      <c r="E1892" s="24"/>
      <c r="F1892" s="138"/>
      <c r="G1892" s="44" t="s">
        <v>1993</v>
      </c>
      <c r="H1892" s="8"/>
      <c r="I1892" s="41"/>
      <c r="J1892" s="45">
        <v>1</v>
      </c>
      <c r="K1892" s="46">
        <v>12</v>
      </c>
      <c r="L1892" s="46">
        <f>K1892*J1892</f>
        <v>12</v>
      </c>
      <c r="M1892" s="39"/>
      <c r="N1892" s="39">
        <v>44866</v>
      </c>
      <c r="O1892" s="38">
        <v>4701</v>
      </c>
      <c r="P1892" s="6"/>
      <c r="Q1892" s="483">
        <v>12</v>
      </c>
      <c r="R1892" s="704">
        <f>Q1892*J1892</f>
        <v>12</v>
      </c>
      <c r="S1892" s="489">
        <v>0</v>
      </c>
      <c r="T1892" s="113">
        <f>S1892*J1892</f>
        <v>0</v>
      </c>
      <c r="U1892" s="501"/>
      <c r="V1892" s="494">
        <v>120</v>
      </c>
    </row>
    <row r="1893" spans="2:23" s="314" customFormat="1" ht="15.6" customHeight="1">
      <c r="B1893" s="313"/>
      <c r="C1893" s="302" t="s">
        <v>3408</v>
      </c>
      <c r="D1893" s="303" t="s">
        <v>298</v>
      </c>
      <c r="E1893" s="371"/>
      <c r="F1893" s="305"/>
      <c r="G1893" s="305" t="s">
        <v>1227</v>
      </c>
      <c r="H1893" s="307" t="s">
        <v>1228</v>
      </c>
      <c r="I1893" s="308"/>
      <c r="J1893" s="306"/>
      <c r="K1893" s="315">
        <v>0</v>
      </c>
      <c r="L1893" s="310"/>
      <c r="M1893" s="310"/>
      <c r="N1893" s="310">
        <v>44866</v>
      </c>
      <c r="O1893" s="309">
        <v>4701</v>
      </c>
      <c r="P1893" s="302"/>
      <c r="Q1893" s="531">
        <v>0</v>
      </c>
      <c r="S1893" s="535">
        <v>0</v>
      </c>
      <c r="T1893" s="322">
        <v>0</v>
      </c>
      <c r="U1893" s="1115"/>
      <c r="V1893" s="494">
        <v>120</v>
      </c>
    </row>
    <row r="1894" spans="2:23" s="7" customFormat="1" ht="15">
      <c r="B1894" s="12"/>
      <c r="C1894" s="6" t="s">
        <v>3417</v>
      </c>
      <c r="D1894" s="15" t="s">
        <v>298</v>
      </c>
      <c r="E1894" s="20" t="s">
        <v>3418</v>
      </c>
      <c r="F1894" s="26"/>
      <c r="G1894" s="24"/>
      <c r="H1894" s="67"/>
      <c r="I1894" s="68"/>
      <c r="J1894" s="67"/>
      <c r="K1894" s="10" t="s">
        <v>10</v>
      </c>
      <c r="L1894" s="39"/>
      <c r="M1894" s="39"/>
      <c r="N1894" s="39">
        <v>44866</v>
      </c>
      <c r="O1894" s="38">
        <v>4701</v>
      </c>
      <c r="P1894" s="6" t="s">
        <v>3</v>
      </c>
      <c r="Q1894" s="481"/>
      <c r="S1894" s="489"/>
      <c r="T1894" s="113"/>
      <c r="U1894" s="500"/>
      <c r="V1894" s="494">
        <v>120</v>
      </c>
    </row>
    <row r="1895" spans="2:23" s="7" customFormat="1" ht="15" customHeight="1">
      <c r="B1895" s="12" t="s">
        <v>1856</v>
      </c>
      <c r="C1895" s="6" t="s">
        <v>3417</v>
      </c>
      <c r="D1895" s="15" t="s">
        <v>298</v>
      </c>
      <c r="E1895" s="24" t="s">
        <v>3419</v>
      </c>
      <c r="F1895" s="26">
        <v>18</v>
      </c>
      <c r="G1895" s="24" t="s">
        <v>3420</v>
      </c>
      <c r="H1895" s="67">
        <v>30</v>
      </c>
      <c r="I1895" s="68">
        <v>1</v>
      </c>
      <c r="J1895" s="8">
        <f>H1895*I1895</f>
        <v>30</v>
      </c>
      <c r="K1895" s="46">
        <v>1.76</v>
      </c>
      <c r="L1895" s="46">
        <f>K1895*J1895</f>
        <v>52.8</v>
      </c>
      <c r="M1895" s="162" t="s">
        <v>2219</v>
      </c>
      <c r="N1895" s="39">
        <v>44866</v>
      </c>
      <c r="O1895" s="38">
        <v>4701</v>
      </c>
      <c r="P1895" s="46">
        <f>K1895*(VLOOKUP(B1895,$C$2:$F$6,3,FALSE))</f>
        <v>1.5488</v>
      </c>
      <c r="Q1895" s="482">
        <v>1.55</v>
      </c>
      <c r="R1895" s="704">
        <f>Q1895*J1895</f>
        <v>46.5</v>
      </c>
      <c r="S1895" s="489">
        <v>95</v>
      </c>
      <c r="T1895" s="113">
        <f>S1895*J1895</f>
        <v>2850</v>
      </c>
      <c r="U1895" s="1597"/>
      <c r="V1895" s="494">
        <v>120</v>
      </c>
    </row>
    <row r="1896" spans="2:23" s="7" customFormat="1" ht="15.95" customHeight="1">
      <c r="B1896" s="12"/>
      <c r="C1896" s="6" t="s">
        <v>3417</v>
      </c>
      <c r="D1896" s="15" t="s">
        <v>298</v>
      </c>
      <c r="E1896" s="24"/>
      <c r="F1896" s="138"/>
      <c r="G1896" s="44" t="s">
        <v>1993</v>
      </c>
      <c r="H1896" s="8"/>
      <c r="I1896" s="41"/>
      <c r="J1896" s="45">
        <v>1</v>
      </c>
      <c r="K1896" s="46">
        <v>12</v>
      </c>
      <c r="L1896" s="46">
        <f>K1896*J1896</f>
        <v>12</v>
      </c>
      <c r="M1896" s="39"/>
      <c r="N1896" s="39">
        <v>44866</v>
      </c>
      <c r="O1896" s="38">
        <v>4701</v>
      </c>
      <c r="P1896" s="6"/>
      <c r="Q1896" s="483">
        <v>12</v>
      </c>
      <c r="R1896" s="704">
        <f>Q1896*J1896</f>
        <v>12</v>
      </c>
      <c r="S1896" s="489">
        <v>550</v>
      </c>
      <c r="T1896" s="113">
        <f>S1896*J1896</f>
        <v>550</v>
      </c>
      <c r="U1896" s="501"/>
      <c r="V1896" s="494">
        <v>120</v>
      </c>
    </row>
    <row r="1897" spans="2:23" s="314" customFormat="1" ht="15.6" customHeight="1">
      <c r="B1897" s="313"/>
      <c r="C1897" s="302" t="s">
        <v>3417</v>
      </c>
      <c r="D1897" s="303" t="s">
        <v>298</v>
      </c>
      <c r="E1897" s="371"/>
      <c r="F1897" s="305"/>
      <c r="G1897" s="305" t="s">
        <v>1227</v>
      </c>
      <c r="H1897" s="307" t="s">
        <v>1228</v>
      </c>
      <c r="I1897" s="308"/>
      <c r="J1897" s="306"/>
      <c r="K1897" s="315">
        <v>0</v>
      </c>
      <c r="L1897" s="310"/>
      <c r="M1897" s="310"/>
      <c r="N1897" s="310">
        <v>44866</v>
      </c>
      <c r="O1897" s="309">
        <v>4701</v>
      </c>
      <c r="P1897" s="302"/>
      <c r="Q1897" s="531">
        <v>0</v>
      </c>
      <c r="S1897" s="535">
        <v>0</v>
      </c>
      <c r="T1897" s="322">
        <v>0</v>
      </c>
      <c r="U1897" s="1115"/>
      <c r="V1897" s="494">
        <v>120</v>
      </c>
    </row>
    <row r="1898" spans="2:23" ht="15" customHeight="1">
      <c r="C1898" s="6" t="s">
        <v>3426</v>
      </c>
      <c r="D1898" s="15" t="s">
        <v>3005</v>
      </c>
      <c r="E1898" s="20" t="s">
        <v>1639</v>
      </c>
      <c r="F1898" s="26"/>
      <c r="G1898" s="24"/>
      <c r="H1898" s="16"/>
      <c r="I1898" s="68"/>
      <c r="J1898" s="67"/>
      <c r="K1898" s="153" t="s">
        <v>10</v>
      </c>
      <c r="L1898" s="39"/>
      <c r="M1898" s="39"/>
      <c r="N1898" s="39">
        <v>44867</v>
      </c>
      <c r="O1898" s="38">
        <v>4711</v>
      </c>
      <c r="P1898" s="6" t="s">
        <v>23</v>
      </c>
      <c r="Q1898" s="481"/>
      <c r="S1898" s="489"/>
      <c r="T1898" s="113"/>
      <c r="U1898" s="500"/>
      <c r="V1898" s="494">
        <v>120</v>
      </c>
      <c r="W1898"/>
    </row>
    <row r="1899" spans="2:23" ht="15.75">
      <c r="B1899" s="28" t="s">
        <v>1856</v>
      </c>
      <c r="C1899" s="6" t="s">
        <v>3426</v>
      </c>
      <c r="D1899" s="15" t="s">
        <v>3005</v>
      </c>
      <c r="E1899" s="24" t="s">
        <v>1264</v>
      </c>
      <c r="F1899" s="26" t="s">
        <v>19</v>
      </c>
      <c r="G1899" s="24" t="s">
        <v>2998</v>
      </c>
      <c r="H1899" s="67">
        <v>20</v>
      </c>
      <c r="I1899" s="68">
        <v>4</v>
      </c>
      <c r="J1899" s="67">
        <f>H1899*I1899</f>
        <v>80</v>
      </c>
      <c r="K1899" s="25">
        <v>1.71</v>
      </c>
      <c r="L1899" s="46">
        <f>K1899*J1899</f>
        <v>136.80000000000001</v>
      </c>
      <c r="M1899" s="162" t="s">
        <v>2219</v>
      </c>
      <c r="N1899" s="39">
        <v>44867</v>
      </c>
      <c r="O1899" s="38">
        <v>4711</v>
      </c>
      <c r="P1899" s="25">
        <f>K1899*0.88</f>
        <v>1.5047999999999999</v>
      </c>
      <c r="Q1899" s="483">
        <v>1.5</v>
      </c>
      <c r="R1899" s="704">
        <f>Q1899*J1899</f>
        <v>120</v>
      </c>
      <c r="S1899" s="489">
        <v>83</v>
      </c>
      <c r="T1899" s="567">
        <f>S1899*J1899</f>
        <v>6640</v>
      </c>
      <c r="U1899" s="1139"/>
      <c r="V1899" s="494">
        <v>120</v>
      </c>
      <c r="W1899"/>
    </row>
    <row r="1900" spans="2:23" s="7" customFormat="1" ht="17.25" customHeight="1">
      <c r="B1900" s="12"/>
      <c r="C1900" s="6" t="s">
        <v>3426</v>
      </c>
      <c r="D1900" s="15" t="s">
        <v>3005</v>
      </c>
      <c r="E1900" s="238"/>
      <c r="F1900" s="44"/>
      <c r="G1900" s="44" t="s">
        <v>1993</v>
      </c>
      <c r="H1900" s="8"/>
      <c r="I1900" s="152" ph="1"/>
      <c r="J1900" s="45">
        <v>1</v>
      </c>
      <c r="K1900" s="46">
        <v>12</v>
      </c>
      <c r="L1900" s="46">
        <f>K1900*J1900</f>
        <v>12</v>
      </c>
      <c r="M1900" s="112"/>
      <c r="N1900" s="39">
        <v>44867</v>
      </c>
      <c r="O1900" s="38">
        <v>4711</v>
      </c>
      <c r="P1900" s="6"/>
      <c r="Q1900" s="483">
        <v>12</v>
      </c>
      <c r="R1900" s="704">
        <f>Q1900*J1900</f>
        <v>12</v>
      </c>
      <c r="S1900" s="489">
        <v>550</v>
      </c>
      <c r="T1900" s="567">
        <f>S1900*J1900</f>
        <v>550</v>
      </c>
      <c r="U1900" s="501"/>
      <c r="V1900" s="494">
        <v>120</v>
      </c>
    </row>
    <row r="1901" spans="2:23" s="314" customFormat="1" ht="15">
      <c r="B1901" s="313"/>
      <c r="C1901" s="302" t="s">
        <v>3426</v>
      </c>
      <c r="D1901" s="303" t="s">
        <v>3005</v>
      </c>
      <c r="E1901" s="304"/>
      <c r="F1901" s="305"/>
      <c r="G1901" s="305" t="s">
        <v>1227</v>
      </c>
      <c r="H1901" s="307" t="s">
        <v>1228</v>
      </c>
      <c r="I1901" s="308"/>
      <c r="J1901" s="306"/>
      <c r="K1901" s="315">
        <v>0</v>
      </c>
      <c r="L1901" s="310"/>
      <c r="M1901" s="310"/>
      <c r="N1901" s="310">
        <v>44867</v>
      </c>
      <c r="O1901" s="309">
        <v>4711</v>
      </c>
      <c r="P1901" s="302"/>
      <c r="Q1901" s="485">
        <v>0</v>
      </c>
      <c r="S1901" s="535">
        <v>0</v>
      </c>
      <c r="T1901" s="322">
        <v>0</v>
      </c>
      <c r="U1901" s="515"/>
      <c r="V1901" s="494">
        <v>120</v>
      </c>
    </row>
    <row r="1902" spans="2:23" s="7" customFormat="1" ht="15" customHeight="1">
      <c r="B1902" s="12"/>
      <c r="C1902" s="6" t="s">
        <v>3428</v>
      </c>
      <c r="D1902" s="15" t="s">
        <v>958</v>
      </c>
      <c r="E1902" s="20" t="s">
        <v>628</v>
      </c>
      <c r="F1902" s="26"/>
      <c r="G1902" s="24"/>
      <c r="H1902" s="67"/>
      <c r="I1902" s="68"/>
      <c r="J1902" s="67"/>
      <c r="K1902" s="17" t="s">
        <v>134</v>
      </c>
      <c r="L1902" s="39"/>
      <c r="M1902" s="39"/>
      <c r="N1902" s="39">
        <v>44872</v>
      </c>
      <c r="O1902" s="38">
        <v>4708</v>
      </c>
      <c r="P1902" s="179" t="s">
        <v>23</v>
      </c>
      <c r="Q1902" s="438" t="s">
        <v>959</v>
      </c>
      <c r="R1902" s="704"/>
      <c r="S1902" s="489"/>
      <c r="T1902" s="113"/>
      <c r="U1902" s="510"/>
      <c r="V1902" s="494">
        <v>120</v>
      </c>
    </row>
    <row r="1903" spans="2:23" s="7" customFormat="1" ht="18" customHeight="1">
      <c r="B1903" s="12" t="s">
        <v>1856</v>
      </c>
      <c r="C1903" s="6" t="s">
        <v>3428</v>
      </c>
      <c r="D1903" s="15" t="s">
        <v>958</v>
      </c>
      <c r="E1903" s="24">
        <v>5291</v>
      </c>
      <c r="F1903" s="26">
        <v>8</v>
      </c>
      <c r="G1903" s="24" t="s">
        <v>499</v>
      </c>
      <c r="H1903" s="67">
        <v>50</v>
      </c>
      <c r="I1903" s="68">
        <v>6</v>
      </c>
      <c r="J1903" s="67">
        <f>H1903*I1903</f>
        <v>300</v>
      </c>
      <c r="K1903" s="46">
        <v>0.74</v>
      </c>
      <c r="L1903" s="46">
        <f>K1903*J1903</f>
        <v>222</v>
      </c>
      <c r="M1903" s="162" t="s">
        <v>2219</v>
      </c>
      <c r="N1903" s="39">
        <v>44872</v>
      </c>
      <c r="O1903" s="38">
        <v>4708</v>
      </c>
      <c r="P1903" s="180">
        <v>0.43</v>
      </c>
      <c r="Q1903" s="180">
        <v>0.43</v>
      </c>
      <c r="R1903" s="704">
        <f>Q1903*J1903</f>
        <v>129</v>
      </c>
      <c r="S1903" s="489">
        <v>26</v>
      </c>
      <c r="T1903" s="113">
        <f>S1903*J1903</f>
        <v>7800</v>
      </c>
      <c r="U1903" s="867"/>
      <c r="V1903" s="494">
        <v>120</v>
      </c>
    </row>
    <row r="1904" spans="2:23" ht="15.95" customHeight="1">
      <c r="C1904" s="6" t="s">
        <v>3428</v>
      </c>
      <c r="D1904" s="15" t="s">
        <v>958</v>
      </c>
      <c r="E1904" s="24"/>
      <c r="F1904" s="138"/>
      <c r="G1904" s="44" t="s">
        <v>1993</v>
      </c>
      <c r="H1904" s="8"/>
      <c r="I1904" s="41"/>
      <c r="J1904" s="45">
        <v>1</v>
      </c>
      <c r="K1904" s="46">
        <v>0</v>
      </c>
      <c r="L1904" s="46">
        <f>K1904*J1904</f>
        <v>0</v>
      </c>
      <c r="M1904" s="112"/>
      <c r="N1904" s="39">
        <v>44872</v>
      </c>
      <c r="O1904" s="38">
        <v>4708</v>
      </c>
      <c r="P1904" s="179"/>
      <c r="Q1904" s="180">
        <v>12</v>
      </c>
      <c r="R1904" s="180">
        <v>12</v>
      </c>
      <c r="S1904" s="498">
        <v>850</v>
      </c>
      <c r="T1904" s="568">
        <f>S1904*J1904</f>
        <v>850</v>
      </c>
      <c r="U1904" s="511"/>
      <c r="V1904" s="494">
        <v>120</v>
      </c>
      <c r="W1904"/>
    </row>
    <row r="1905" spans="2:23" s="314" customFormat="1" ht="15" customHeight="1">
      <c r="B1905" s="313"/>
      <c r="C1905" s="302" t="s">
        <v>3428</v>
      </c>
      <c r="D1905" s="303" t="s">
        <v>958</v>
      </c>
      <c r="E1905" s="304"/>
      <c r="F1905" s="305"/>
      <c r="G1905" s="305" t="s">
        <v>1227</v>
      </c>
      <c r="H1905" s="410"/>
      <c r="I1905" s="308"/>
      <c r="J1905" s="410">
        <f>SUM(J1903)</f>
        <v>300</v>
      </c>
      <c r="K1905" s="315">
        <f>0.25*J1905</f>
        <v>75</v>
      </c>
      <c r="L1905" s="315"/>
      <c r="M1905" s="784"/>
      <c r="N1905" s="310">
        <v>44872</v>
      </c>
      <c r="O1905" s="309">
        <v>4708</v>
      </c>
      <c r="P1905" s="302"/>
      <c r="Q1905" s="485">
        <v>63</v>
      </c>
      <c r="R1905" s="485">
        <v>63</v>
      </c>
      <c r="S1905" s="537">
        <v>5586</v>
      </c>
      <c r="T1905" s="537">
        <v>5586</v>
      </c>
      <c r="U1905" s="515"/>
      <c r="V1905" s="494">
        <v>120</v>
      </c>
    </row>
    <row r="1906" spans="2:23" s="7" customFormat="1" ht="18" customHeight="1">
      <c r="B1906" s="12"/>
      <c r="C1906" s="6" t="s">
        <v>3434</v>
      </c>
      <c r="D1906" s="15" t="s">
        <v>500</v>
      </c>
      <c r="E1906" s="20" t="s">
        <v>503</v>
      </c>
      <c r="F1906" s="26"/>
      <c r="G1906" s="24"/>
      <c r="H1906" s="67"/>
      <c r="I1906" s="68"/>
      <c r="J1906" s="67"/>
      <c r="K1906" s="17" t="s">
        <v>134</v>
      </c>
      <c r="L1906" s="39"/>
      <c r="M1906" s="39"/>
      <c r="N1906" s="39">
        <v>44869</v>
      </c>
      <c r="O1906" s="38">
        <v>4718</v>
      </c>
      <c r="P1906" s="179" t="s">
        <v>23</v>
      </c>
      <c r="Q1906" s="435"/>
      <c r="S1906" s="489"/>
      <c r="T1906" s="113"/>
      <c r="U1906" s="510"/>
      <c r="V1906" s="494">
        <v>120</v>
      </c>
    </row>
    <row r="1907" spans="2:23" s="7" customFormat="1" ht="18" customHeight="1">
      <c r="B1907" s="12" t="s">
        <v>1856</v>
      </c>
      <c r="C1907" s="6" t="s">
        <v>3434</v>
      </c>
      <c r="D1907" s="15" t="s">
        <v>500</v>
      </c>
      <c r="E1907" s="24">
        <v>5356</v>
      </c>
      <c r="F1907" s="26">
        <v>3</v>
      </c>
      <c r="G1907" s="24" t="s">
        <v>2006</v>
      </c>
      <c r="H1907" s="67">
        <v>30</v>
      </c>
      <c r="I1907" s="68">
        <v>3</v>
      </c>
      <c r="J1907" s="67">
        <f>H1907*I1907</f>
        <v>90</v>
      </c>
      <c r="K1907" s="46">
        <v>0.73</v>
      </c>
      <c r="L1907" s="46">
        <f>K1907*J1907</f>
        <v>65.7</v>
      </c>
      <c r="M1907" s="162" t="s">
        <v>2219</v>
      </c>
      <c r="N1907" s="39">
        <v>44869</v>
      </c>
      <c r="O1907" s="38">
        <v>4718</v>
      </c>
      <c r="P1907" s="46">
        <f>K1907*(VLOOKUP(B1907,$C$2:$F$6,3,FALSE))</f>
        <v>0.64239999999999997</v>
      </c>
      <c r="Q1907" s="180">
        <v>0.64</v>
      </c>
      <c r="R1907" s="704">
        <f>Q1907*J1907</f>
        <v>57.6</v>
      </c>
      <c r="S1907" s="489">
        <v>32</v>
      </c>
      <c r="T1907" s="113">
        <f>S1907*J1907</f>
        <v>2880</v>
      </c>
      <c r="U1907" s="511" t="s">
        <v>3454</v>
      </c>
      <c r="V1907" s="494">
        <v>120</v>
      </c>
    </row>
    <row r="1908" spans="2:23" s="7" customFormat="1" ht="18" customHeight="1">
      <c r="B1908" s="12"/>
      <c r="C1908" s="6" t="s">
        <v>3434</v>
      </c>
      <c r="D1908" s="15" t="s">
        <v>500</v>
      </c>
      <c r="E1908" s="20" t="s">
        <v>2846</v>
      </c>
      <c r="F1908" s="24"/>
      <c r="G1908" s="44"/>
      <c r="H1908" s="151"/>
      <c r="I1908" s="151"/>
      <c r="J1908" s="151"/>
      <c r="K1908" s="153" t="s">
        <v>10</v>
      </c>
      <c r="L1908" s="39"/>
      <c r="M1908" s="39"/>
      <c r="N1908" s="39">
        <v>44869</v>
      </c>
      <c r="O1908" s="38">
        <v>4718</v>
      </c>
      <c r="P1908" s="6"/>
      <c r="Q1908" s="411"/>
      <c r="S1908" s="489"/>
      <c r="T1908" s="113"/>
      <c r="U1908" s="501"/>
      <c r="V1908" s="1051">
        <v>120</v>
      </c>
    </row>
    <row r="1909" spans="2:23" s="7" customFormat="1" ht="18" customHeight="1">
      <c r="B1909" s="12" t="s">
        <v>1856</v>
      </c>
      <c r="C1909" s="6" t="s">
        <v>3434</v>
      </c>
      <c r="D1909" s="15" t="s">
        <v>500</v>
      </c>
      <c r="E1909" s="24">
        <v>4114</v>
      </c>
      <c r="F1909" s="44">
        <v>24</v>
      </c>
      <c r="G1909" s="44" t="s">
        <v>29</v>
      </c>
      <c r="H1909" s="67">
        <v>30</v>
      </c>
      <c r="I1909" s="68">
        <v>6</v>
      </c>
      <c r="J1909" s="67">
        <f>H1909*I1909</f>
        <v>180</v>
      </c>
      <c r="K1909" s="46">
        <v>1.1599999999999999</v>
      </c>
      <c r="L1909" s="46">
        <f>K1909*J1909</f>
        <v>208.79999999999998</v>
      </c>
      <c r="M1909" s="162" t="s">
        <v>2219</v>
      </c>
      <c r="N1909" s="39">
        <v>44869</v>
      </c>
      <c r="O1909" s="38">
        <v>4718</v>
      </c>
      <c r="P1909" s="180">
        <f>K1909*(VLOOKUP(B1909,$C$2:$F$6,3,FALSE))</f>
        <v>1.0207999999999999</v>
      </c>
      <c r="Q1909" s="483">
        <v>1.02</v>
      </c>
      <c r="R1909" s="704">
        <f>Q1909*J1909</f>
        <v>183.6</v>
      </c>
      <c r="S1909" s="489">
        <v>62.3</v>
      </c>
      <c r="T1909" s="113">
        <f>S1909*J1909</f>
        <v>11214</v>
      </c>
      <c r="U1909" s="517"/>
      <c r="V1909" s="494">
        <v>120</v>
      </c>
    </row>
    <row r="1910" spans="2:23" ht="18" customHeight="1">
      <c r="C1910" s="6" t="s">
        <v>3434</v>
      </c>
      <c r="D1910" s="15" t="s">
        <v>500</v>
      </c>
      <c r="E1910" s="24"/>
      <c r="F1910" s="138"/>
      <c r="G1910" s="44" t="s">
        <v>1993</v>
      </c>
      <c r="H1910" s="8"/>
      <c r="I1910" s="41"/>
      <c r="J1910" s="45">
        <v>1</v>
      </c>
      <c r="K1910" s="46">
        <v>24</v>
      </c>
      <c r="L1910" s="46">
        <f>K1910*J1910</f>
        <v>24</v>
      </c>
      <c r="M1910" s="112"/>
      <c r="N1910" s="39">
        <v>44869</v>
      </c>
      <c r="O1910" s="38">
        <v>4718</v>
      </c>
      <c r="P1910" s="179"/>
      <c r="Q1910" s="180">
        <v>24</v>
      </c>
      <c r="R1910" s="180">
        <v>24</v>
      </c>
      <c r="S1910" s="498">
        <f>1000</f>
        <v>1000</v>
      </c>
      <c r="T1910" s="113">
        <f>S1910*J1910</f>
        <v>1000</v>
      </c>
      <c r="U1910" s="511"/>
      <c r="V1910" s="494">
        <v>120</v>
      </c>
      <c r="W1910"/>
    </row>
    <row r="1911" spans="2:23" s="314" customFormat="1" ht="18" customHeight="1">
      <c r="B1911" s="313"/>
      <c r="C1911" s="302" t="s">
        <v>3434</v>
      </c>
      <c r="D1911" s="303" t="s">
        <v>500</v>
      </c>
      <c r="E1911" s="304"/>
      <c r="F1911" s="305"/>
      <c r="G1911" s="305" t="s">
        <v>1227</v>
      </c>
      <c r="H1911" s="307" t="s">
        <v>1228</v>
      </c>
      <c r="I1911" s="308"/>
      <c r="J1911" s="306"/>
      <c r="K1911" s="315">
        <v>0</v>
      </c>
      <c r="L1911" s="310"/>
      <c r="M1911" s="310"/>
      <c r="N1911" s="310">
        <v>44869</v>
      </c>
      <c r="O1911" s="309">
        <v>4718</v>
      </c>
      <c r="P1911" s="302"/>
      <c r="Q1911" s="485">
        <v>0</v>
      </c>
      <c r="S1911" s="536">
        <v>0</v>
      </c>
      <c r="T1911" s="322">
        <v>0</v>
      </c>
      <c r="U1911" s="515"/>
      <c r="V1911" s="494">
        <v>120</v>
      </c>
    </row>
    <row r="1912" spans="2:23" s="7" customFormat="1" ht="18" customHeight="1">
      <c r="B1912" s="12"/>
      <c r="C1912" s="6" t="s">
        <v>3439</v>
      </c>
      <c r="D1912" s="15" t="s">
        <v>3120</v>
      </c>
      <c r="E1912" s="20" t="s">
        <v>628</v>
      </c>
      <c r="F1912" s="26"/>
      <c r="G1912" s="24"/>
      <c r="H1912" s="67"/>
      <c r="I1912" s="68"/>
      <c r="J1912" s="67"/>
      <c r="K1912" s="17" t="s">
        <v>134</v>
      </c>
      <c r="L1912" s="39"/>
      <c r="M1912" s="39"/>
      <c r="N1912" s="39">
        <v>44872</v>
      </c>
      <c r="O1912" s="38">
        <v>4723</v>
      </c>
      <c r="P1912" s="179" t="s">
        <v>23</v>
      </c>
      <c r="Q1912" s="438" t="s">
        <v>959</v>
      </c>
      <c r="S1912" s="489"/>
      <c r="T1912" s="113"/>
      <c r="U1912" s="510"/>
      <c r="V1912" s="494">
        <v>120</v>
      </c>
    </row>
    <row r="1913" spans="2:23" s="7" customFormat="1" ht="18" customHeight="1">
      <c r="B1913" s="12" t="s">
        <v>1856</v>
      </c>
      <c r="C1913" s="6" t="s">
        <v>3439</v>
      </c>
      <c r="D1913" s="15" t="s">
        <v>3120</v>
      </c>
      <c r="E1913" s="24">
        <v>5291</v>
      </c>
      <c r="F1913" s="26">
        <v>6</v>
      </c>
      <c r="G1913" s="24" t="s">
        <v>29</v>
      </c>
      <c r="H1913" s="8">
        <v>50</v>
      </c>
      <c r="I1913" s="41">
        <v>2</v>
      </c>
      <c r="J1913" s="8">
        <f>H1913*I1913</f>
        <v>100</v>
      </c>
      <c r="K1913" s="46">
        <v>0.25</v>
      </c>
      <c r="L1913" s="46">
        <f>K1913*J1913</f>
        <v>25</v>
      </c>
      <c r="M1913" s="162" t="s">
        <v>2219</v>
      </c>
      <c r="N1913" s="39">
        <v>44872</v>
      </c>
      <c r="O1913" s="38">
        <v>4723</v>
      </c>
      <c r="P1913" s="46">
        <f>K1913*(VLOOKUP(B1913,$C$2:$F$6,3,FALSE))</f>
        <v>0.22</v>
      </c>
      <c r="Q1913" s="180">
        <v>0.22</v>
      </c>
      <c r="R1913" s="704">
        <f>Q1913*J1913</f>
        <v>22</v>
      </c>
      <c r="S1913" s="489">
        <v>13.2</v>
      </c>
      <c r="T1913" s="113">
        <f>S1913*J1913</f>
        <v>1320</v>
      </c>
      <c r="U1913" s="867"/>
      <c r="V1913" s="494">
        <v>120</v>
      </c>
    </row>
    <row r="1914" spans="2:23" ht="18" customHeight="1">
      <c r="C1914" s="6" t="s">
        <v>3439</v>
      </c>
      <c r="D1914" s="15" t="s">
        <v>3120</v>
      </c>
      <c r="E1914" s="24"/>
      <c r="F1914" s="138"/>
      <c r="G1914" s="44" t="s">
        <v>1993</v>
      </c>
      <c r="H1914" s="8"/>
      <c r="I1914" s="41"/>
      <c r="J1914" s="45">
        <v>1</v>
      </c>
      <c r="K1914" s="46">
        <v>12</v>
      </c>
      <c r="L1914" s="46">
        <f>K1914*J1914</f>
        <v>12</v>
      </c>
      <c r="M1914" s="112"/>
      <c r="N1914" s="39">
        <v>44872</v>
      </c>
      <c r="O1914" s="38">
        <v>4723</v>
      </c>
      <c r="P1914" s="179"/>
      <c r="Q1914" s="180">
        <v>12</v>
      </c>
      <c r="R1914" s="180">
        <v>12</v>
      </c>
      <c r="S1914" s="498">
        <v>850</v>
      </c>
      <c r="T1914" s="113">
        <f>S1914*J1914</f>
        <v>850</v>
      </c>
      <c r="U1914" s="511"/>
      <c r="V1914" s="494">
        <v>120</v>
      </c>
      <c r="W1914"/>
    </row>
    <row r="1915" spans="2:23" s="314" customFormat="1" ht="15">
      <c r="B1915" s="313"/>
      <c r="C1915" s="302" t="s">
        <v>3439</v>
      </c>
      <c r="D1915" s="303" t="s">
        <v>3120</v>
      </c>
      <c r="E1915" s="371"/>
      <c r="F1915" s="305"/>
      <c r="G1915" s="305" t="s">
        <v>1227</v>
      </c>
      <c r="H1915" s="307" t="s">
        <v>1228</v>
      </c>
      <c r="I1915" s="308"/>
      <c r="J1915" s="306"/>
      <c r="K1915" s="315">
        <v>0</v>
      </c>
      <c r="L1915" s="310"/>
      <c r="M1915" s="310"/>
      <c r="N1915" s="310">
        <v>44872</v>
      </c>
      <c r="O1915" s="309">
        <v>4723</v>
      </c>
      <c r="P1915" s="302"/>
      <c r="Q1915" s="485">
        <v>0</v>
      </c>
      <c r="S1915" s="536">
        <v>0</v>
      </c>
      <c r="T1915" s="322">
        <v>0</v>
      </c>
      <c r="U1915" s="515"/>
      <c r="V1915" s="494">
        <v>120</v>
      </c>
    </row>
    <row r="1916" spans="2:23" s="7" customFormat="1" ht="15">
      <c r="B1916" s="12"/>
      <c r="C1916" s="6" t="s">
        <v>3610</v>
      </c>
      <c r="D1916" s="15" t="s">
        <v>3329</v>
      </c>
      <c r="E1916" s="20" t="s">
        <v>3441</v>
      </c>
      <c r="F1916" s="26"/>
      <c r="G1916" s="24"/>
      <c r="H1916" s="67"/>
      <c r="I1916" s="68"/>
      <c r="J1916" s="67"/>
      <c r="K1916" s="17" t="s">
        <v>134</v>
      </c>
      <c r="L1916" s="39"/>
      <c r="M1916" s="39"/>
      <c r="N1916" s="39">
        <v>44889</v>
      </c>
      <c r="O1916" s="38">
        <v>4774</v>
      </c>
      <c r="P1916" s="6" t="s">
        <v>23</v>
      </c>
      <c r="Q1916" s="481"/>
      <c r="S1916" s="489"/>
      <c r="T1916" s="113"/>
      <c r="U1916" s="500"/>
      <c r="V1916" s="494">
        <v>120</v>
      </c>
    </row>
    <row r="1917" spans="2:23" s="7" customFormat="1" ht="15.75">
      <c r="B1917" s="12" t="s">
        <v>1856</v>
      </c>
      <c r="C1917" s="6" t="s">
        <v>3603</v>
      </c>
      <c r="D1917" s="15" t="s">
        <v>3329</v>
      </c>
      <c r="E1917" s="24" t="s">
        <v>3442</v>
      </c>
      <c r="F1917" s="26"/>
      <c r="G1917" s="24" t="s">
        <v>3443</v>
      </c>
      <c r="H1917" s="151"/>
      <c r="I1917" s="152"/>
      <c r="J1917" s="67">
        <v>10</v>
      </c>
      <c r="K1917" s="46">
        <v>0.87</v>
      </c>
      <c r="L1917" s="46">
        <f>K1917*J1917</f>
        <v>8.6999999999999993</v>
      </c>
      <c r="M1917" s="162" t="s">
        <v>2219</v>
      </c>
      <c r="N1917" s="39">
        <v>44889</v>
      </c>
      <c r="O1917" s="38">
        <v>4774</v>
      </c>
      <c r="P1917" s="46">
        <f>K1917*(VLOOKUP(B1917,$C$2:$F$6,3,FALSE))</f>
        <v>0.76559999999999995</v>
      </c>
      <c r="Q1917" s="482">
        <v>0.77</v>
      </c>
      <c r="R1917" s="704">
        <f>Q1917*J1917</f>
        <v>7.7</v>
      </c>
      <c r="S1917" s="489">
        <v>47</v>
      </c>
      <c r="T1917" s="567">
        <f>S1917*J1917</f>
        <v>470</v>
      </c>
      <c r="U1917" s="500"/>
      <c r="V1917" s="494">
        <v>120</v>
      </c>
    </row>
    <row r="1918" spans="2:23" s="7" customFormat="1" ht="15.75">
      <c r="B1918" s="12" t="s">
        <v>1856</v>
      </c>
      <c r="C1918" s="6" t="s">
        <v>3603</v>
      </c>
      <c r="D1918" s="15" t="s">
        <v>3329</v>
      </c>
      <c r="E1918" s="24" t="s">
        <v>3442</v>
      </c>
      <c r="F1918" s="26"/>
      <c r="G1918" s="24" t="s">
        <v>3444</v>
      </c>
      <c r="H1918" s="151"/>
      <c r="I1918" s="152"/>
      <c r="J1918" s="67">
        <v>10</v>
      </c>
      <c r="K1918" s="46">
        <v>0.87</v>
      </c>
      <c r="L1918" s="46">
        <f>K1918*J1918</f>
        <v>8.6999999999999993</v>
      </c>
      <c r="M1918" s="162" t="s">
        <v>2219</v>
      </c>
      <c r="N1918" s="39">
        <v>44889</v>
      </c>
      <c r="O1918" s="38">
        <v>4774</v>
      </c>
      <c r="P1918" s="46">
        <f>K1918*(VLOOKUP(B1918,$C$2:$F$6,3,FALSE))</f>
        <v>0.76559999999999995</v>
      </c>
      <c r="Q1918" s="482">
        <v>0.77</v>
      </c>
      <c r="R1918" s="704">
        <f>Q1918*J1918</f>
        <v>7.7</v>
      </c>
      <c r="S1918" s="489">
        <v>47</v>
      </c>
      <c r="T1918" s="567">
        <f>S1918*J1918</f>
        <v>470</v>
      </c>
      <c r="U1918" s="500"/>
      <c r="V1918" s="494">
        <v>120</v>
      </c>
    </row>
    <row r="1919" spans="2:23" s="7" customFormat="1" ht="15.75">
      <c r="B1919" s="12" t="s">
        <v>1856</v>
      </c>
      <c r="C1919" s="6" t="s">
        <v>3603</v>
      </c>
      <c r="D1919" s="15" t="s">
        <v>3329</v>
      </c>
      <c r="E1919" s="24" t="s">
        <v>3442</v>
      </c>
      <c r="F1919" s="26"/>
      <c r="G1919" s="24" t="s">
        <v>3333</v>
      </c>
      <c r="H1919" s="151"/>
      <c r="I1919" s="152"/>
      <c r="J1919" s="67">
        <v>10</v>
      </c>
      <c r="K1919" s="46">
        <v>0.87</v>
      </c>
      <c r="L1919" s="46">
        <f>K1919*J1919</f>
        <v>8.6999999999999993</v>
      </c>
      <c r="M1919" s="162" t="s">
        <v>2219</v>
      </c>
      <c r="N1919" s="39">
        <v>44889</v>
      </c>
      <c r="O1919" s="38">
        <v>4774</v>
      </c>
      <c r="P1919" s="46">
        <f>K1919*(VLOOKUP(B1919,$C$2:$F$6,3,FALSE))</f>
        <v>0.76559999999999995</v>
      </c>
      <c r="Q1919" s="482">
        <v>0.77</v>
      </c>
      <c r="R1919" s="704">
        <f>Q1919*J1919</f>
        <v>7.7</v>
      </c>
      <c r="S1919" s="489">
        <v>47</v>
      </c>
      <c r="T1919" s="567">
        <f>S1919*J1919</f>
        <v>470</v>
      </c>
      <c r="U1919" s="500"/>
      <c r="V1919" s="494">
        <v>120</v>
      </c>
    </row>
    <row r="1920" spans="2:23" s="7" customFormat="1" ht="15.95" customHeight="1">
      <c r="B1920" s="12" t="s">
        <v>1862</v>
      </c>
      <c r="C1920" s="6" t="s">
        <v>3603</v>
      </c>
      <c r="D1920" s="15" t="s">
        <v>3329</v>
      </c>
      <c r="E1920" s="24"/>
      <c r="F1920" s="138"/>
      <c r="G1920" s="44" t="s">
        <v>3334</v>
      </c>
      <c r="H1920" s="8"/>
      <c r="I1920" s="41"/>
      <c r="J1920" s="45">
        <v>3</v>
      </c>
      <c r="K1920" s="46">
        <v>65</v>
      </c>
      <c r="L1920" s="46">
        <f>K1920*J1920</f>
        <v>195</v>
      </c>
      <c r="M1920" s="39"/>
      <c r="N1920" s="39">
        <v>44889</v>
      </c>
      <c r="O1920" s="38">
        <v>4774</v>
      </c>
      <c r="P1920" s="46">
        <f>K1920*(VLOOKUP(B1920,$C$2:$F$6,3,FALSE))</f>
        <v>65</v>
      </c>
      <c r="Q1920" s="483">
        <v>65</v>
      </c>
      <c r="R1920" s="704">
        <f>Q1920*J1920</f>
        <v>195</v>
      </c>
      <c r="S1920" s="489">
        <v>6000</v>
      </c>
      <c r="T1920" s="567">
        <f>S1920*J1920</f>
        <v>18000</v>
      </c>
      <c r="U1920" s="501"/>
      <c r="V1920" s="494">
        <v>120</v>
      </c>
    </row>
    <row r="1921" spans="2:23" s="7" customFormat="1" ht="15.95" customHeight="1">
      <c r="B1921" s="12"/>
      <c r="C1921" s="6" t="s">
        <v>3603</v>
      </c>
      <c r="D1921" s="15" t="s">
        <v>3329</v>
      </c>
      <c r="E1921" s="24"/>
      <c r="F1921" s="138"/>
      <c r="G1921" s="44" t="s">
        <v>1993</v>
      </c>
      <c r="H1921" s="8"/>
      <c r="I1921" s="41"/>
      <c r="J1921" s="45">
        <v>1</v>
      </c>
      <c r="K1921" s="46">
        <v>12</v>
      </c>
      <c r="L1921" s="46">
        <f>K1921*J1921</f>
        <v>12</v>
      </c>
      <c r="M1921" s="39"/>
      <c r="N1921" s="39">
        <v>44889</v>
      </c>
      <c r="O1921" s="38">
        <v>4774</v>
      </c>
      <c r="P1921" s="6"/>
      <c r="Q1921" s="483">
        <v>12</v>
      </c>
      <c r="R1921" s="704">
        <f>Q1921*J1921</f>
        <v>12</v>
      </c>
      <c r="S1921" s="489">
        <v>0</v>
      </c>
      <c r="T1921" s="113">
        <f>S1921*J1921</f>
        <v>0</v>
      </c>
      <c r="U1921" s="501"/>
      <c r="V1921" s="494">
        <v>120</v>
      </c>
    </row>
    <row r="1922" spans="2:23" s="7" customFormat="1" ht="15">
      <c r="B1922" s="12"/>
      <c r="C1922" s="6" t="s">
        <v>3604</v>
      </c>
      <c r="D1922" s="15" t="s">
        <v>3329</v>
      </c>
      <c r="E1922" s="20" t="s">
        <v>3441</v>
      </c>
      <c r="F1922" s="26"/>
      <c r="G1922" s="24"/>
      <c r="H1922" s="67"/>
      <c r="I1922" s="68"/>
      <c r="J1922" s="67"/>
      <c r="K1922" s="17" t="s">
        <v>134</v>
      </c>
      <c r="L1922" s="39"/>
      <c r="M1922" s="39"/>
      <c r="N1922" s="39">
        <v>44889</v>
      </c>
      <c r="O1922" s="38">
        <v>4773</v>
      </c>
      <c r="P1922" s="6" t="s">
        <v>23</v>
      </c>
      <c r="Q1922" s="481"/>
      <c r="S1922" s="489"/>
      <c r="T1922" s="113"/>
      <c r="U1922" s="500"/>
      <c r="V1922" s="494">
        <v>120</v>
      </c>
    </row>
    <row r="1923" spans="2:23" s="7" customFormat="1" ht="15.75">
      <c r="B1923" s="12" t="s">
        <v>1856</v>
      </c>
      <c r="C1923" s="6" t="s">
        <v>3604</v>
      </c>
      <c r="D1923" s="15" t="s">
        <v>3329</v>
      </c>
      <c r="E1923" s="24" t="s">
        <v>3442</v>
      </c>
      <c r="F1923" s="26"/>
      <c r="G1923" s="24" t="s">
        <v>3443</v>
      </c>
      <c r="H1923" s="151"/>
      <c r="I1923" s="152"/>
      <c r="J1923" s="67">
        <v>20</v>
      </c>
      <c r="K1923" s="46">
        <v>0.87</v>
      </c>
      <c r="L1923" s="46">
        <f>K1923*J1923</f>
        <v>17.399999999999999</v>
      </c>
      <c r="M1923" s="162" t="s">
        <v>2219</v>
      </c>
      <c r="N1923" s="39">
        <v>44889</v>
      </c>
      <c r="O1923" s="38">
        <v>4773</v>
      </c>
      <c r="P1923" s="46">
        <f>K1923*(VLOOKUP(B1923,$C$2:$F$6,3,FALSE))</f>
        <v>0.76559999999999995</v>
      </c>
      <c r="Q1923" s="482">
        <v>0.77</v>
      </c>
      <c r="R1923" s="704">
        <f>Q1923*J1923</f>
        <v>15.4</v>
      </c>
      <c r="S1923" s="489">
        <v>47</v>
      </c>
      <c r="T1923" s="567">
        <f>S1923*J1923</f>
        <v>940</v>
      </c>
      <c r="U1923" s="500"/>
      <c r="V1923" s="494">
        <v>120</v>
      </c>
    </row>
    <row r="1924" spans="2:23" s="7" customFormat="1" ht="15.75">
      <c r="B1924" s="12" t="s">
        <v>1856</v>
      </c>
      <c r="C1924" s="6" t="s">
        <v>3604</v>
      </c>
      <c r="D1924" s="15" t="s">
        <v>3329</v>
      </c>
      <c r="E1924" s="24" t="s">
        <v>3442</v>
      </c>
      <c r="F1924" s="26"/>
      <c r="G1924" s="24" t="s">
        <v>3444</v>
      </c>
      <c r="H1924" s="151"/>
      <c r="I1924" s="152"/>
      <c r="J1924" s="67">
        <v>20</v>
      </c>
      <c r="K1924" s="46">
        <v>0.87</v>
      </c>
      <c r="L1924" s="46">
        <f>K1924*J1924</f>
        <v>17.399999999999999</v>
      </c>
      <c r="M1924" s="162" t="s">
        <v>2219</v>
      </c>
      <c r="N1924" s="39">
        <v>44889</v>
      </c>
      <c r="O1924" s="38">
        <v>4773</v>
      </c>
      <c r="P1924" s="46">
        <f>K1924*(VLOOKUP(B1924,$C$2:$F$6,3,FALSE))</f>
        <v>0.76559999999999995</v>
      </c>
      <c r="Q1924" s="482">
        <v>0.77</v>
      </c>
      <c r="R1924" s="704">
        <f>Q1924*J1924</f>
        <v>15.4</v>
      </c>
      <c r="S1924" s="489">
        <v>47</v>
      </c>
      <c r="T1924" s="567">
        <f>S1924*J1924</f>
        <v>940</v>
      </c>
      <c r="U1924" s="500"/>
      <c r="V1924" s="494">
        <v>120</v>
      </c>
    </row>
    <row r="1925" spans="2:23" s="7" customFormat="1" ht="15.75">
      <c r="B1925" s="12" t="s">
        <v>1856</v>
      </c>
      <c r="C1925" s="6" t="s">
        <v>3604</v>
      </c>
      <c r="D1925" s="15" t="s">
        <v>3329</v>
      </c>
      <c r="E1925" s="24" t="s">
        <v>3442</v>
      </c>
      <c r="F1925" s="26"/>
      <c r="G1925" s="24" t="s">
        <v>3333</v>
      </c>
      <c r="H1925" s="151"/>
      <c r="I1925" s="152"/>
      <c r="J1925" s="67">
        <v>20</v>
      </c>
      <c r="K1925" s="46">
        <v>0.87</v>
      </c>
      <c r="L1925" s="46">
        <f>K1925*J1925</f>
        <v>17.399999999999999</v>
      </c>
      <c r="M1925" s="162" t="s">
        <v>2219</v>
      </c>
      <c r="N1925" s="39">
        <v>44889</v>
      </c>
      <c r="O1925" s="38">
        <v>4773</v>
      </c>
      <c r="P1925" s="46">
        <f>K1925*(VLOOKUP(B1925,$C$2:$F$6,3,FALSE))</f>
        <v>0.76559999999999995</v>
      </c>
      <c r="Q1925" s="482">
        <v>0.77</v>
      </c>
      <c r="R1925" s="704">
        <f>Q1925*J1925</f>
        <v>15.4</v>
      </c>
      <c r="S1925" s="489">
        <v>47</v>
      </c>
      <c r="T1925" s="567">
        <f>S1925*J1925</f>
        <v>940</v>
      </c>
      <c r="U1925" s="500"/>
      <c r="V1925" s="494">
        <v>120</v>
      </c>
    </row>
    <row r="1926" spans="2:23" s="314" customFormat="1" ht="15.6" customHeight="1">
      <c r="B1926" s="313"/>
      <c r="C1926" s="302" t="s">
        <v>3440</v>
      </c>
      <c r="D1926" s="303" t="s">
        <v>3329</v>
      </c>
      <c r="E1926" s="304"/>
      <c r="F1926" s="305"/>
      <c r="G1926" s="305" t="s">
        <v>1227</v>
      </c>
      <c r="H1926" s="307" t="s">
        <v>1228</v>
      </c>
      <c r="I1926" s="308"/>
      <c r="J1926" s="306"/>
      <c r="K1926" s="315">
        <v>0</v>
      </c>
      <c r="L1926" s="310"/>
      <c r="M1926" s="310"/>
      <c r="N1926" s="310">
        <v>44889</v>
      </c>
      <c r="O1926" s="309">
        <v>4773</v>
      </c>
      <c r="P1926" s="302"/>
      <c r="Q1926" s="485">
        <v>0</v>
      </c>
      <c r="S1926" s="535">
        <v>0</v>
      </c>
      <c r="T1926" s="322">
        <v>0</v>
      </c>
      <c r="U1926" s="515"/>
      <c r="V1926" s="494">
        <v>120</v>
      </c>
    </row>
    <row r="1927" spans="2:23" ht="15">
      <c r="C1927" s="6" t="s">
        <v>3447</v>
      </c>
      <c r="D1927" s="15" t="s">
        <v>3329</v>
      </c>
      <c r="E1927" s="20" t="s">
        <v>79</v>
      </c>
      <c r="F1927" s="150"/>
      <c r="G1927" s="24"/>
      <c r="H1927" s="151"/>
      <c r="I1927" s="152"/>
      <c r="J1927" s="151"/>
      <c r="K1927" s="153" t="s">
        <v>10</v>
      </c>
      <c r="L1927" s="39"/>
      <c r="M1927" s="39"/>
      <c r="N1927" s="39">
        <v>44874</v>
      </c>
      <c r="O1927" s="38">
        <v>4730</v>
      </c>
      <c r="P1927" s="15"/>
      <c r="Q1927" s="483"/>
      <c r="S1927" s="496"/>
      <c r="T1927" s="113"/>
      <c r="V1927" s="494">
        <v>120</v>
      </c>
      <c r="W1927"/>
    </row>
    <row r="1928" spans="2:23" ht="15.75">
      <c r="B1928" s="12" t="s">
        <v>1858</v>
      </c>
      <c r="C1928" s="6" t="s">
        <v>3447</v>
      </c>
      <c r="D1928" s="15" t="s">
        <v>3329</v>
      </c>
      <c r="E1928" s="24">
        <v>2440</v>
      </c>
      <c r="F1928" s="150">
        <v>140</v>
      </c>
      <c r="G1928" s="47" t="s">
        <v>3448</v>
      </c>
      <c r="H1928" s="67">
        <v>30</v>
      </c>
      <c r="I1928" s="68">
        <v>1</v>
      </c>
      <c r="J1928" s="67">
        <f>H1928*I1928</f>
        <v>30</v>
      </c>
      <c r="K1928" s="46">
        <v>3.89</v>
      </c>
      <c r="L1928" s="46">
        <f>K1928*J1928</f>
        <v>116.7</v>
      </c>
      <c r="M1928" s="162" t="s">
        <v>2219</v>
      </c>
      <c r="N1928" s="39">
        <v>44874</v>
      </c>
      <c r="O1928" s="38">
        <v>4730</v>
      </c>
      <c r="P1928" s="46">
        <f>K1928*(VLOOKUP(B1928,$C$2:$F$6,3,FALSE))</f>
        <v>3.6566000000000001</v>
      </c>
      <c r="Q1928" s="483">
        <v>3.66</v>
      </c>
      <c r="R1928" s="704">
        <f>Q1928*J1928</f>
        <v>109.80000000000001</v>
      </c>
      <c r="S1928" s="489">
        <v>280</v>
      </c>
      <c r="T1928" s="567">
        <f>S1928*J1928</f>
        <v>8400</v>
      </c>
      <c r="V1928" s="494">
        <v>120</v>
      </c>
      <c r="W1928"/>
    </row>
    <row r="1929" spans="2:23" ht="15.75">
      <c r="B1929" s="12" t="s">
        <v>1858</v>
      </c>
      <c r="C1929" s="6" t="s">
        <v>3447</v>
      </c>
      <c r="D1929" s="15" t="s">
        <v>3329</v>
      </c>
      <c r="E1929" s="24">
        <v>2440</v>
      </c>
      <c r="F1929" s="150">
        <v>140</v>
      </c>
      <c r="G1929" s="47" t="s">
        <v>3449</v>
      </c>
      <c r="H1929" s="67">
        <v>30</v>
      </c>
      <c r="I1929" s="68">
        <v>1</v>
      </c>
      <c r="J1929" s="67">
        <f>H1929*I1929</f>
        <v>30</v>
      </c>
      <c r="K1929" s="46">
        <v>3.89</v>
      </c>
      <c r="L1929" s="46">
        <f>K1929*J1929</f>
        <v>116.7</v>
      </c>
      <c r="M1929" s="162" t="s">
        <v>2219</v>
      </c>
      <c r="N1929" s="39">
        <v>44874</v>
      </c>
      <c r="O1929" s="38">
        <v>4730</v>
      </c>
      <c r="P1929" s="46">
        <f>K1929*(VLOOKUP(B1929,$C$2:$F$6,3,FALSE))</f>
        <v>3.6566000000000001</v>
      </c>
      <c r="Q1929" s="483">
        <v>3.66</v>
      </c>
      <c r="R1929" s="704">
        <f>Q1929*J1929</f>
        <v>109.80000000000001</v>
      </c>
      <c r="S1929" s="489">
        <v>280</v>
      </c>
      <c r="T1929" s="567">
        <f>S1929*J1929</f>
        <v>8400</v>
      </c>
      <c r="V1929" s="494">
        <v>120</v>
      </c>
      <c r="W1929"/>
    </row>
    <row r="1930" spans="2:23" ht="15.75">
      <c r="B1930" s="12" t="s">
        <v>1858</v>
      </c>
      <c r="C1930" s="6" t="s">
        <v>3447</v>
      </c>
      <c r="D1930" s="15" t="s">
        <v>3329</v>
      </c>
      <c r="E1930" s="24">
        <v>2440</v>
      </c>
      <c r="F1930" s="150">
        <v>140</v>
      </c>
      <c r="G1930" s="47" t="s">
        <v>3450</v>
      </c>
      <c r="H1930" s="67">
        <v>30</v>
      </c>
      <c r="I1930" s="68">
        <v>1</v>
      </c>
      <c r="J1930" s="67">
        <f>H1930*I1930</f>
        <v>30</v>
      </c>
      <c r="K1930" s="46">
        <v>3.89</v>
      </c>
      <c r="L1930" s="46">
        <f>K1930*J1930</f>
        <v>116.7</v>
      </c>
      <c r="M1930" s="162" t="s">
        <v>2219</v>
      </c>
      <c r="N1930" s="39">
        <v>44874</v>
      </c>
      <c r="O1930" s="38">
        <v>4730</v>
      </c>
      <c r="P1930" s="46">
        <f>K1930*(VLOOKUP(B1930,$C$2:$F$6,3,FALSE))</f>
        <v>3.6566000000000001</v>
      </c>
      <c r="Q1930" s="483">
        <v>3.66</v>
      </c>
      <c r="R1930" s="704">
        <f>Q1930*J1930</f>
        <v>109.80000000000001</v>
      </c>
      <c r="S1930" s="489">
        <v>280</v>
      </c>
      <c r="T1930" s="567">
        <f>S1930*J1930</f>
        <v>8400</v>
      </c>
      <c r="V1930" s="494">
        <v>120</v>
      </c>
      <c r="W1930"/>
    </row>
    <row r="1931" spans="2:23" s="7" customFormat="1" ht="15.95" customHeight="1">
      <c r="B1931" s="12" t="s">
        <v>1862</v>
      </c>
      <c r="C1931" s="6" t="s">
        <v>3447</v>
      </c>
      <c r="D1931" s="15" t="s">
        <v>3329</v>
      </c>
      <c r="E1931" s="24"/>
      <c r="F1931" s="138"/>
      <c r="G1931" s="44" t="s">
        <v>1075</v>
      </c>
      <c r="H1931" s="8"/>
      <c r="I1931" s="41"/>
      <c r="J1931" s="45">
        <v>3</v>
      </c>
      <c r="K1931" s="46">
        <v>12</v>
      </c>
      <c r="L1931" s="46">
        <f>K1931*J1931</f>
        <v>36</v>
      </c>
      <c r="M1931" s="39"/>
      <c r="N1931" s="39">
        <v>44874</v>
      </c>
      <c r="O1931" s="38">
        <v>4730</v>
      </c>
      <c r="P1931" s="46">
        <f>K1931*(VLOOKUP(B1931,$C$2:$F$6,3,FALSE))</f>
        <v>12</v>
      </c>
      <c r="Q1931" s="483">
        <v>36</v>
      </c>
      <c r="R1931" s="704">
        <v>36</v>
      </c>
      <c r="S1931" s="489">
        <v>1000</v>
      </c>
      <c r="T1931" s="567">
        <f>S1931*J1931</f>
        <v>3000</v>
      </c>
      <c r="U1931" s="501"/>
      <c r="V1931" s="494">
        <v>120</v>
      </c>
    </row>
    <row r="1932" spans="2:23" s="7" customFormat="1" ht="15.95" customHeight="1">
      <c r="B1932" s="12"/>
      <c r="C1932" s="6" t="s">
        <v>3447</v>
      </c>
      <c r="D1932" s="15" t="s">
        <v>3329</v>
      </c>
      <c r="E1932" s="24"/>
      <c r="F1932" s="138"/>
      <c r="G1932" s="44" t="s">
        <v>1993</v>
      </c>
      <c r="H1932" s="8"/>
      <c r="I1932" s="41"/>
      <c r="J1932" s="45">
        <v>1</v>
      </c>
      <c r="K1932" s="46">
        <v>20</v>
      </c>
      <c r="L1932" s="46">
        <f>K1932*J1932</f>
        <v>20</v>
      </c>
      <c r="M1932" s="39"/>
      <c r="N1932" s="39">
        <v>44874</v>
      </c>
      <c r="O1932" s="38">
        <v>4730</v>
      </c>
      <c r="P1932" s="6"/>
      <c r="Q1932" s="483">
        <v>20</v>
      </c>
      <c r="R1932" s="704">
        <f>Q1932*J1932</f>
        <v>20</v>
      </c>
      <c r="S1932" s="489">
        <v>1000</v>
      </c>
      <c r="T1932" s="113">
        <f>S1932*J1932</f>
        <v>1000</v>
      </c>
      <c r="U1932" s="501"/>
      <c r="V1932" s="494">
        <v>120</v>
      </c>
    </row>
    <row r="1933" spans="2:23" s="314" customFormat="1" ht="15.6" customHeight="1">
      <c r="B1933" s="313"/>
      <c r="C1933" s="302" t="s">
        <v>3447</v>
      </c>
      <c r="D1933" s="303" t="s">
        <v>3329</v>
      </c>
      <c r="E1933" s="304"/>
      <c r="F1933" s="305"/>
      <c r="G1933" s="305" t="s">
        <v>1227</v>
      </c>
      <c r="H1933" s="307" t="s">
        <v>1228</v>
      </c>
      <c r="I1933" s="308"/>
      <c r="J1933" s="306"/>
      <c r="K1933" s="315">
        <v>0</v>
      </c>
      <c r="L1933" s="310"/>
      <c r="M1933" s="310"/>
      <c r="N1933" s="310">
        <v>44874</v>
      </c>
      <c r="O1933" s="309">
        <v>4730</v>
      </c>
      <c r="P1933" s="302"/>
      <c r="Q1933" s="485">
        <v>0</v>
      </c>
      <c r="S1933" s="535">
        <v>0</v>
      </c>
      <c r="T1933" s="322">
        <v>0</v>
      </c>
      <c r="U1933" s="515"/>
      <c r="V1933" s="494">
        <v>120</v>
      </c>
    </row>
    <row r="1934" spans="2:23" s="7" customFormat="1" ht="15">
      <c r="B1934" s="12"/>
      <c r="C1934" s="6" t="s">
        <v>3551</v>
      </c>
      <c r="D1934" s="15" t="s">
        <v>1666</v>
      </c>
      <c r="E1934" s="20" t="s">
        <v>3497</v>
      </c>
      <c r="F1934" s="26"/>
      <c r="G1934" s="24"/>
      <c r="H1934" s="67"/>
      <c r="I1934" s="68"/>
      <c r="J1934" s="67"/>
      <c r="K1934" s="10" t="s">
        <v>10</v>
      </c>
      <c r="L1934" s="39"/>
      <c r="M1934" s="39"/>
      <c r="N1934" s="39">
        <v>44883</v>
      </c>
      <c r="O1934" s="38">
        <v>4758</v>
      </c>
      <c r="P1934" s="6" t="s">
        <v>3</v>
      </c>
      <c r="Q1934" s="481"/>
      <c r="S1934" s="489"/>
      <c r="T1934" s="113"/>
      <c r="U1934" s="500"/>
      <c r="V1934" s="494">
        <v>120</v>
      </c>
    </row>
    <row r="1935" spans="2:23" s="7" customFormat="1" ht="15" customHeight="1">
      <c r="B1935" s="12" t="s">
        <v>1856</v>
      </c>
      <c r="C1935" s="6" t="s">
        <v>3551</v>
      </c>
      <c r="D1935" s="15" t="s">
        <v>1666</v>
      </c>
      <c r="E1935" s="24" t="s">
        <v>3488</v>
      </c>
      <c r="F1935" s="26"/>
      <c r="G1935" s="24" t="s">
        <v>78</v>
      </c>
      <c r="H1935" s="19">
        <v>13.7</v>
      </c>
      <c r="I1935" s="68">
        <v>2</v>
      </c>
      <c r="J1935" s="198">
        <f>H1935*I1935</f>
        <v>27.4</v>
      </c>
      <c r="K1935" s="46">
        <v>1.53</v>
      </c>
      <c r="L1935" s="46">
        <f>K1935*J1935</f>
        <v>41.921999999999997</v>
      </c>
      <c r="M1935" s="162" t="s">
        <v>2219</v>
      </c>
      <c r="N1935" s="39">
        <v>44883</v>
      </c>
      <c r="O1935" s="38">
        <v>4758</v>
      </c>
      <c r="P1935" s="46">
        <f>K1935*(VLOOKUP(B1935,$C$2:$F$6,3,FALSE))</f>
        <v>1.3464</v>
      </c>
      <c r="Q1935" s="482">
        <v>1.35</v>
      </c>
      <c r="R1935" s="704">
        <f>Q1935*J1935</f>
        <v>36.99</v>
      </c>
      <c r="S1935" s="489">
        <v>110</v>
      </c>
      <c r="T1935" s="113">
        <f>S1935*J1935</f>
        <v>3014</v>
      </c>
      <c r="U1935" s="1597"/>
      <c r="V1935" s="494">
        <v>120</v>
      </c>
    </row>
    <row r="1936" spans="2:23" s="7" customFormat="1" ht="15">
      <c r="B1936" s="12"/>
      <c r="C1936" s="6" t="s">
        <v>3551</v>
      </c>
      <c r="D1936" s="15" t="s">
        <v>1666</v>
      </c>
      <c r="E1936" s="20" t="s">
        <v>3496</v>
      </c>
      <c r="F1936" s="26"/>
      <c r="G1936" s="24"/>
      <c r="H1936" s="67"/>
      <c r="I1936" s="68"/>
      <c r="J1936" s="67"/>
      <c r="K1936" s="10" t="s">
        <v>10</v>
      </c>
      <c r="L1936" s="39"/>
      <c r="M1936" s="39"/>
      <c r="N1936" s="39">
        <v>44883</v>
      </c>
      <c r="O1936" s="38">
        <v>4758</v>
      </c>
      <c r="P1936" s="6" t="s">
        <v>3</v>
      </c>
      <c r="Q1936" s="481"/>
      <c r="S1936" s="489"/>
      <c r="T1936" s="113"/>
      <c r="U1936" s="500"/>
      <c r="V1936" s="494">
        <v>120</v>
      </c>
    </row>
    <row r="1937" spans="2:22" s="7" customFormat="1" ht="15" customHeight="1">
      <c r="B1937" s="12" t="s">
        <v>1856</v>
      </c>
      <c r="C1937" s="6" t="s">
        <v>3551</v>
      </c>
      <c r="D1937" s="15" t="s">
        <v>1666</v>
      </c>
      <c r="E1937" s="24" t="s">
        <v>1882</v>
      </c>
      <c r="F1937" s="26"/>
      <c r="G1937" s="24" t="s">
        <v>78</v>
      </c>
      <c r="H1937" s="67">
        <v>14</v>
      </c>
      <c r="I1937" s="68">
        <v>2</v>
      </c>
      <c r="J1937" s="8">
        <f>H1937*I1937</f>
        <v>28</v>
      </c>
      <c r="K1937" s="46">
        <v>2.02</v>
      </c>
      <c r="L1937" s="46">
        <f>K1937*J1937</f>
        <v>56.56</v>
      </c>
      <c r="M1937" s="162" t="s">
        <v>2219</v>
      </c>
      <c r="N1937" s="39">
        <v>44883</v>
      </c>
      <c r="O1937" s="38">
        <v>4758</v>
      </c>
      <c r="P1937" s="46">
        <f>K1937*(VLOOKUP(B1937,$C$2:$F$6,3,FALSE))</f>
        <v>1.7776000000000001</v>
      </c>
      <c r="Q1937" s="482">
        <v>1.78</v>
      </c>
      <c r="R1937" s="704">
        <f>Q1937*J1937</f>
        <v>49.84</v>
      </c>
      <c r="S1937" s="489">
        <v>145</v>
      </c>
      <c r="T1937" s="113">
        <f>S1937*J1937</f>
        <v>4060</v>
      </c>
      <c r="U1937" s="1597"/>
      <c r="V1937" s="494">
        <v>120</v>
      </c>
    </row>
    <row r="1938" spans="2:22" s="7" customFormat="1" ht="15" customHeight="1">
      <c r="B1938" s="12" t="s">
        <v>1856</v>
      </c>
      <c r="C1938" s="6" t="s">
        <v>3551</v>
      </c>
      <c r="D1938" s="15" t="s">
        <v>1666</v>
      </c>
      <c r="E1938" s="24" t="s">
        <v>3485</v>
      </c>
      <c r="F1938" s="26"/>
      <c r="G1938" s="24" t="s">
        <v>78</v>
      </c>
      <c r="H1938" s="67">
        <v>14</v>
      </c>
      <c r="I1938" s="68">
        <v>2</v>
      </c>
      <c r="J1938" s="8">
        <f>H1938*I1938</f>
        <v>28</v>
      </c>
      <c r="K1938" s="46">
        <v>1.19</v>
      </c>
      <c r="L1938" s="46">
        <f>K1938*J1938</f>
        <v>33.32</v>
      </c>
      <c r="M1938" s="162" t="s">
        <v>2219</v>
      </c>
      <c r="N1938" s="39">
        <v>44883</v>
      </c>
      <c r="O1938" s="38">
        <v>4758</v>
      </c>
      <c r="P1938" s="46">
        <f>K1938*(VLOOKUP(B1938,$C$2:$F$6,3,FALSE))</f>
        <v>1.0471999999999999</v>
      </c>
      <c r="Q1938" s="482">
        <v>1.05</v>
      </c>
      <c r="R1938" s="704">
        <f>Q1938*J1938</f>
        <v>29.400000000000002</v>
      </c>
      <c r="S1938" s="489">
        <v>85</v>
      </c>
      <c r="T1938" s="113">
        <f>S1938*J1938</f>
        <v>2380</v>
      </c>
      <c r="U1938" s="1597"/>
      <c r="V1938" s="494">
        <v>120</v>
      </c>
    </row>
    <row r="1939" spans="2:22" s="7" customFormat="1" ht="15" customHeight="1">
      <c r="B1939" s="12" t="s">
        <v>1856</v>
      </c>
      <c r="C1939" s="6" t="s">
        <v>3551</v>
      </c>
      <c r="D1939" s="15" t="s">
        <v>1666</v>
      </c>
      <c r="E1939" s="24" t="s">
        <v>3486</v>
      </c>
      <c r="F1939" s="26"/>
      <c r="G1939" s="24" t="s">
        <v>78</v>
      </c>
      <c r="H1939" s="67">
        <v>14</v>
      </c>
      <c r="I1939" s="68">
        <v>2</v>
      </c>
      <c r="J1939" s="8">
        <f>H1939*I1939</f>
        <v>28</v>
      </c>
      <c r="K1939" s="46">
        <v>0.98</v>
      </c>
      <c r="L1939" s="46">
        <f>K1939*J1939</f>
        <v>27.439999999999998</v>
      </c>
      <c r="M1939" s="162" t="s">
        <v>2219</v>
      </c>
      <c r="N1939" s="39">
        <v>44883</v>
      </c>
      <c r="O1939" s="38">
        <v>4758</v>
      </c>
      <c r="P1939" s="46">
        <f>K1939*(VLOOKUP(B1939,$C$2:$F$6,3,FALSE))</f>
        <v>0.86239999999999994</v>
      </c>
      <c r="Q1939" s="482">
        <v>0.86</v>
      </c>
      <c r="R1939" s="704">
        <f>Q1939*J1939</f>
        <v>24.08</v>
      </c>
      <c r="S1939" s="489">
        <v>70</v>
      </c>
      <c r="T1939" s="113">
        <f>S1939*J1939</f>
        <v>1960</v>
      </c>
      <c r="U1939" s="1597"/>
      <c r="V1939" s="494">
        <v>120</v>
      </c>
    </row>
    <row r="1940" spans="2:22" s="7" customFormat="1" ht="15.95" customHeight="1">
      <c r="B1940" s="12"/>
      <c r="C1940" s="6" t="s">
        <v>3551</v>
      </c>
      <c r="D1940" s="15" t="s">
        <v>1666</v>
      </c>
      <c r="E1940" s="24"/>
      <c r="F1940" s="138"/>
      <c r="G1940" s="44" t="s">
        <v>1993</v>
      </c>
      <c r="H1940" s="8"/>
      <c r="I1940" s="41"/>
      <c r="J1940" s="45">
        <v>1</v>
      </c>
      <c r="K1940" s="46">
        <v>12</v>
      </c>
      <c r="L1940" s="46">
        <f>K1940*J1940</f>
        <v>12</v>
      </c>
      <c r="M1940" s="39"/>
      <c r="N1940" s="39">
        <v>44883</v>
      </c>
      <c r="O1940" s="38">
        <v>4758</v>
      </c>
      <c r="P1940" s="6"/>
      <c r="Q1940" s="483">
        <v>12</v>
      </c>
      <c r="R1940" s="704">
        <f>Q1940*J1940</f>
        <v>12</v>
      </c>
      <c r="S1940" s="489">
        <f>900+800</f>
        <v>1700</v>
      </c>
      <c r="T1940" s="113">
        <f>S1940*J1940</f>
        <v>1700</v>
      </c>
      <c r="U1940" s="501"/>
      <c r="V1940" s="494">
        <v>120</v>
      </c>
    </row>
    <row r="1941" spans="2:22" s="314" customFormat="1" ht="15.6" customHeight="1">
      <c r="B1941" s="313"/>
      <c r="C1941" s="302" t="s">
        <v>3551</v>
      </c>
      <c r="D1941" s="303" t="s">
        <v>1666</v>
      </c>
      <c r="E1941" s="371"/>
      <c r="F1941" s="305"/>
      <c r="G1941" s="305" t="s">
        <v>1227</v>
      </c>
      <c r="H1941" s="307" t="s">
        <v>1228</v>
      </c>
      <c r="I1941" s="308"/>
      <c r="J1941" s="306"/>
      <c r="K1941" s="315">
        <v>0</v>
      </c>
      <c r="L1941" s="310"/>
      <c r="M1941" s="310"/>
      <c r="N1941" s="310">
        <v>44883</v>
      </c>
      <c r="O1941" s="309">
        <v>4758</v>
      </c>
      <c r="P1941" s="302"/>
      <c r="Q1941" s="531">
        <v>0</v>
      </c>
      <c r="S1941" s="535">
        <v>0</v>
      </c>
      <c r="T1941" s="322">
        <v>0</v>
      </c>
      <c r="U1941" s="1115"/>
      <c r="V1941" s="494">
        <v>120</v>
      </c>
    </row>
    <row r="1942" spans="2:22" s="7" customFormat="1" ht="15">
      <c r="B1942" s="12"/>
      <c r="C1942" s="6" t="s">
        <v>3507</v>
      </c>
      <c r="D1942" s="15" t="s">
        <v>1666</v>
      </c>
      <c r="E1942" s="20" t="s">
        <v>3490</v>
      </c>
      <c r="F1942" s="26"/>
      <c r="G1942" s="24"/>
      <c r="H1942" s="67"/>
      <c r="I1942" s="68"/>
      <c r="J1942" s="67"/>
      <c r="K1942" s="17" t="s">
        <v>10</v>
      </c>
      <c r="L1942" s="213"/>
      <c r="M1942" s="39"/>
      <c r="N1942" s="39">
        <v>44880</v>
      </c>
      <c r="O1942" s="38">
        <v>4752</v>
      </c>
      <c r="P1942" s="6" t="s">
        <v>3</v>
      </c>
      <c r="Q1942" s="703"/>
      <c r="S1942" s="46"/>
      <c r="U1942" s="23"/>
      <c r="V1942" s="494">
        <v>120</v>
      </c>
    </row>
    <row r="1943" spans="2:22" s="7" customFormat="1" ht="15.95" customHeight="1">
      <c r="B1943" s="12"/>
      <c r="C1943" s="6" t="s">
        <v>3507</v>
      </c>
      <c r="D1943" s="15" t="s">
        <v>1666</v>
      </c>
      <c r="E1943" s="24" t="s">
        <v>3491</v>
      </c>
      <c r="F1943" s="44"/>
      <c r="G1943" s="44" t="s">
        <v>3492</v>
      </c>
      <c r="H1943" s="8"/>
      <c r="I1943" s="8"/>
      <c r="J1943" s="8">
        <v>25</v>
      </c>
      <c r="K1943" s="46">
        <v>4.93</v>
      </c>
      <c r="L1943" s="46">
        <f>K1943*J1943</f>
        <v>123.25</v>
      </c>
      <c r="M1943" s="1175" t="s">
        <v>3493</v>
      </c>
      <c r="N1943" s="39">
        <v>44880</v>
      </c>
      <c r="O1943" s="38">
        <v>4752</v>
      </c>
      <c r="P1943" s="46">
        <f>K1943*0.92</f>
        <v>4.5355999999999996</v>
      </c>
      <c r="Q1943" s="703">
        <v>4.54</v>
      </c>
      <c r="R1943" s="704">
        <f>Q1943*J1943</f>
        <v>113.5</v>
      </c>
      <c r="S1943" s="46">
        <f>K1943*0.84</f>
        <v>4.1411999999999995</v>
      </c>
      <c r="T1943" s="1308">
        <f>S1943*J1943</f>
        <v>103.52999999999999</v>
      </c>
      <c r="U1943" s="46"/>
      <c r="V1943" s="494">
        <v>120</v>
      </c>
    </row>
    <row r="1944" spans="2:22" s="314" customFormat="1" ht="15.6" customHeight="1">
      <c r="B1944" s="313"/>
      <c r="C1944" s="302" t="s">
        <v>3506</v>
      </c>
      <c r="D1944" s="303" t="s">
        <v>1666</v>
      </c>
      <c r="E1944" s="371"/>
      <c r="F1944" s="305"/>
      <c r="G1944" s="305" t="s">
        <v>1227</v>
      </c>
      <c r="H1944" s="307" t="s">
        <v>1228</v>
      </c>
      <c r="I1944" s="308"/>
      <c r="J1944" s="306"/>
      <c r="K1944" s="315">
        <v>0</v>
      </c>
      <c r="L1944" s="310"/>
      <c r="M1944" s="310"/>
      <c r="N1944" s="310">
        <v>44880</v>
      </c>
      <c r="O1944" s="309">
        <v>4752</v>
      </c>
      <c r="P1944" s="302"/>
      <c r="Q1944" s="531">
        <v>0</v>
      </c>
      <c r="S1944" s="535">
        <v>0</v>
      </c>
      <c r="T1944" s="322">
        <v>0</v>
      </c>
      <c r="U1944" s="1115"/>
      <c r="V1944" s="494">
        <v>120</v>
      </c>
    </row>
    <row r="1945" spans="2:22" s="7" customFormat="1" ht="15">
      <c r="B1945" s="12"/>
      <c r="C1945" s="6" t="s">
        <v>3552</v>
      </c>
      <c r="D1945" s="15" t="s">
        <v>1666</v>
      </c>
      <c r="E1945" s="20" t="s">
        <v>3490</v>
      </c>
      <c r="F1945" s="26"/>
      <c r="G1945" s="24"/>
      <c r="H1945" s="67"/>
      <c r="I1945" s="68"/>
      <c r="J1945" s="67"/>
      <c r="K1945" s="17" t="s">
        <v>10</v>
      </c>
      <c r="L1945" s="213"/>
      <c r="M1945" s="39"/>
      <c r="N1945" s="39">
        <v>44911</v>
      </c>
      <c r="O1945" s="38">
        <v>4841</v>
      </c>
      <c r="P1945" s="6" t="s">
        <v>3</v>
      </c>
      <c r="Q1945" s="703"/>
      <c r="S1945" s="46"/>
      <c r="U1945" s="23"/>
      <c r="V1945" s="494">
        <v>120</v>
      </c>
    </row>
    <row r="1946" spans="2:22" s="7" customFormat="1" ht="15.95" customHeight="1">
      <c r="B1946" s="12"/>
      <c r="C1946" s="6" t="s">
        <v>3552</v>
      </c>
      <c r="D1946" s="15" t="s">
        <v>1666</v>
      </c>
      <c r="E1946" s="24" t="s">
        <v>3491</v>
      </c>
      <c r="F1946" s="44"/>
      <c r="G1946" s="44" t="s">
        <v>3508</v>
      </c>
      <c r="H1946" s="8"/>
      <c r="I1946" s="8"/>
      <c r="J1946" s="198">
        <v>62.4</v>
      </c>
      <c r="K1946" s="46">
        <v>3.93</v>
      </c>
      <c r="L1946" s="46">
        <f t="shared" ref="L1946:L1952" si="99">K1946*J1946</f>
        <v>245.232</v>
      </c>
      <c r="M1946" s="162" t="s">
        <v>3736</v>
      </c>
      <c r="N1946" s="39">
        <v>44911</v>
      </c>
      <c r="O1946" s="38">
        <v>4841</v>
      </c>
      <c r="P1946" s="46">
        <f t="shared" ref="P1946:P1952" si="100">K1946*0.92</f>
        <v>3.6156000000000001</v>
      </c>
      <c r="Q1946" s="703">
        <v>3.62</v>
      </c>
      <c r="R1946" s="704">
        <f t="shared" ref="R1946:R1952" si="101">Q1946*J1946</f>
        <v>225.88800000000001</v>
      </c>
      <c r="S1946" s="46">
        <f t="shared" ref="S1946:S1952" si="102">K1946*0.84</f>
        <v>3.3012000000000001</v>
      </c>
      <c r="T1946" s="1308">
        <f t="shared" ref="T1946:T1952" si="103">S1946*J1946</f>
        <v>205.99487999999999</v>
      </c>
      <c r="U1946" s="46"/>
      <c r="V1946" s="494">
        <v>120</v>
      </c>
    </row>
    <row r="1947" spans="2:22" s="7" customFormat="1" ht="15.95" customHeight="1">
      <c r="B1947" s="12"/>
      <c r="C1947" s="6" t="s">
        <v>3552</v>
      </c>
      <c r="D1947" s="15" t="s">
        <v>1666</v>
      </c>
      <c r="E1947" s="24" t="s">
        <v>3491</v>
      </c>
      <c r="F1947" s="44"/>
      <c r="G1947" s="44" t="s">
        <v>3509</v>
      </c>
      <c r="H1947" s="8"/>
      <c r="I1947" s="8"/>
      <c r="J1947" s="198">
        <v>64.8</v>
      </c>
      <c r="K1947" s="46">
        <v>3.93</v>
      </c>
      <c r="L1947" s="46">
        <f t="shared" si="99"/>
        <v>254.66399999999999</v>
      </c>
      <c r="M1947" s="162" t="s">
        <v>3736</v>
      </c>
      <c r="N1947" s="39">
        <v>44911</v>
      </c>
      <c r="O1947" s="38">
        <v>4841</v>
      </c>
      <c r="P1947" s="46">
        <f t="shared" si="100"/>
        <v>3.6156000000000001</v>
      </c>
      <c r="Q1947" s="703">
        <v>3.62</v>
      </c>
      <c r="R1947" s="704">
        <f t="shared" si="101"/>
        <v>234.57599999999999</v>
      </c>
      <c r="S1947" s="46">
        <f t="shared" si="102"/>
        <v>3.3012000000000001</v>
      </c>
      <c r="T1947" s="1308">
        <f t="shared" si="103"/>
        <v>213.91775999999999</v>
      </c>
      <c r="U1947" s="46"/>
      <c r="V1947" s="494">
        <v>120</v>
      </c>
    </row>
    <row r="1948" spans="2:22" s="7" customFormat="1" ht="15.95" customHeight="1">
      <c r="B1948" s="12"/>
      <c r="C1948" s="6" t="s">
        <v>3552</v>
      </c>
      <c r="D1948" s="15" t="s">
        <v>1666</v>
      </c>
      <c r="E1948" s="24" t="s">
        <v>3491</v>
      </c>
      <c r="F1948" s="44"/>
      <c r="G1948" s="44" t="s">
        <v>3510</v>
      </c>
      <c r="H1948" s="8"/>
      <c r="I1948" s="8"/>
      <c r="J1948" s="198">
        <v>60.5</v>
      </c>
      <c r="K1948" s="46">
        <v>3.93</v>
      </c>
      <c r="L1948" s="46">
        <f t="shared" si="99"/>
        <v>237.76500000000001</v>
      </c>
      <c r="M1948" s="162" t="s">
        <v>3736</v>
      </c>
      <c r="N1948" s="39">
        <v>44911</v>
      </c>
      <c r="O1948" s="38">
        <v>4841</v>
      </c>
      <c r="P1948" s="46">
        <f t="shared" si="100"/>
        <v>3.6156000000000001</v>
      </c>
      <c r="Q1948" s="703">
        <v>3.62</v>
      </c>
      <c r="R1948" s="704">
        <f t="shared" si="101"/>
        <v>219.01000000000002</v>
      </c>
      <c r="S1948" s="46">
        <f t="shared" si="102"/>
        <v>3.3012000000000001</v>
      </c>
      <c r="T1948" s="1308">
        <f t="shared" si="103"/>
        <v>199.7226</v>
      </c>
      <c r="U1948" s="46"/>
      <c r="V1948" s="494">
        <v>120</v>
      </c>
    </row>
    <row r="1949" spans="2:22" s="7" customFormat="1" ht="15.95" customHeight="1">
      <c r="B1949" s="12"/>
      <c r="C1949" s="6" t="s">
        <v>3552</v>
      </c>
      <c r="D1949" s="15" t="s">
        <v>1666</v>
      </c>
      <c r="E1949" s="24" t="s">
        <v>3491</v>
      </c>
      <c r="F1949" s="44"/>
      <c r="G1949" s="44" t="s">
        <v>3511</v>
      </c>
      <c r="H1949" s="8"/>
      <c r="I1949" s="8"/>
      <c r="J1949" s="198">
        <v>60.5</v>
      </c>
      <c r="K1949" s="46">
        <v>3.93</v>
      </c>
      <c r="L1949" s="46">
        <f t="shared" si="99"/>
        <v>237.76500000000001</v>
      </c>
      <c r="M1949" s="162" t="s">
        <v>3736</v>
      </c>
      <c r="N1949" s="39">
        <v>44911</v>
      </c>
      <c r="O1949" s="38">
        <v>4841</v>
      </c>
      <c r="P1949" s="46">
        <f t="shared" si="100"/>
        <v>3.6156000000000001</v>
      </c>
      <c r="Q1949" s="703">
        <v>3.62</v>
      </c>
      <c r="R1949" s="704">
        <f t="shared" si="101"/>
        <v>219.01000000000002</v>
      </c>
      <c r="S1949" s="46">
        <f t="shared" si="102"/>
        <v>3.3012000000000001</v>
      </c>
      <c r="T1949" s="1308">
        <f t="shared" si="103"/>
        <v>199.7226</v>
      </c>
      <c r="U1949" s="46"/>
      <c r="V1949" s="494">
        <v>120</v>
      </c>
    </row>
    <row r="1950" spans="2:22" s="7" customFormat="1" ht="15.95" customHeight="1">
      <c r="B1950" s="12"/>
      <c r="C1950" s="6" t="s">
        <v>3552</v>
      </c>
      <c r="D1950" s="15" t="s">
        <v>1666</v>
      </c>
      <c r="E1950" s="24"/>
      <c r="F1950" s="138"/>
      <c r="G1950" s="44" t="s">
        <v>3512</v>
      </c>
      <c r="H1950" s="8"/>
      <c r="I1950" s="41"/>
      <c r="J1950" s="45">
        <v>4</v>
      </c>
      <c r="K1950" s="46">
        <v>40</v>
      </c>
      <c r="L1950" s="46">
        <f t="shared" si="99"/>
        <v>160</v>
      </c>
      <c r="M1950" s="39"/>
      <c r="N1950" s="39">
        <v>44911</v>
      </c>
      <c r="O1950" s="38">
        <v>4841</v>
      </c>
      <c r="P1950" s="46">
        <f t="shared" si="100"/>
        <v>36.800000000000004</v>
      </c>
      <c r="Q1950" s="483">
        <v>36.799999999999997</v>
      </c>
      <c r="R1950" s="704">
        <f t="shared" si="101"/>
        <v>147.19999999999999</v>
      </c>
      <c r="S1950" s="46">
        <f t="shared" si="102"/>
        <v>33.6</v>
      </c>
      <c r="T1950" s="1308">
        <f t="shared" si="103"/>
        <v>134.4</v>
      </c>
      <c r="U1950" s="501"/>
      <c r="V1950" s="494">
        <v>120</v>
      </c>
    </row>
    <row r="1951" spans="2:22" s="7" customFormat="1" ht="15.95" customHeight="1">
      <c r="B1951" s="12"/>
      <c r="C1951" s="6" t="s">
        <v>3552</v>
      </c>
      <c r="D1951" s="15" t="s">
        <v>1666</v>
      </c>
      <c r="E1951" s="24" t="s">
        <v>3491</v>
      </c>
      <c r="F1951" s="44"/>
      <c r="G1951" s="44" t="s">
        <v>3492</v>
      </c>
      <c r="H1951" s="8"/>
      <c r="I1951" s="8"/>
      <c r="J1951" s="198">
        <v>15.6</v>
      </c>
      <c r="K1951" s="46">
        <v>3.93</v>
      </c>
      <c r="L1951" s="46">
        <f t="shared" si="99"/>
        <v>61.308</v>
      </c>
      <c r="M1951" s="1175" t="s">
        <v>3553</v>
      </c>
      <c r="N1951" s="39">
        <v>44883</v>
      </c>
      <c r="O1951" s="38">
        <v>4765</v>
      </c>
      <c r="P1951" s="46">
        <f t="shared" si="100"/>
        <v>3.6156000000000001</v>
      </c>
      <c r="Q1951" s="703">
        <v>3.62</v>
      </c>
      <c r="R1951" s="704">
        <f t="shared" si="101"/>
        <v>56.472000000000001</v>
      </c>
      <c r="S1951" s="46">
        <f t="shared" si="102"/>
        <v>3.3012000000000001</v>
      </c>
      <c r="T1951" s="1308">
        <f t="shared" si="103"/>
        <v>51.498719999999999</v>
      </c>
      <c r="U1951" s="46"/>
      <c r="V1951" s="494">
        <v>120</v>
      </c>
    </row>
    <row r="1952" spans="2:22" s="7" customFormat="1" ht="15.95" customHeight="1">
      <c r="B1952" s="12"/>
      <c r="C1952" s="6" t="s">
        <v>3552</v>
      </c>
      <c r="D1952" s="15" t="s">
        <v>1666</v>
      </c>
      <c r="E1952" s="24" t="s">
        <v>3491</v>
      </c>
      <c r="F1952" s="44"/>
      <c r="G1952" s="44" t="s">
        <v>3492</v>
      </c>
      <c r="H1952" s="8"/>
      <c r="I1952" s="8"/>
      <c r="J1952" s="198">
        <v>10.4</v>
      </c>
      <c r="K1952" s="46">
        <v>3.93</v>
      </c>
      <c r="L1952" s="46">
        <f t="shared" si="99"/>
        <v>40.872</v>
      </c>
      <c r="M1952" s="1175" t="s">
        <v>3554</v>
      </c>
      <c r="N1952" s="39">
        <v>44883</v>
      </c>
      <c r="O1952" s="38">
        <v>4766</v>
      </c>
      <c r="P1952" s="46">
        <f t="shared" si="100"/>
        <v>3.6156000000000001</v>
      </c>
      <c r="Q1952" s="703">
        <v>3.62</v>
      </c>
      <c r="R1952" s="704">
        <f t="shared" si="101"/>
        <v>37.648000000000003</v>
      </c>
      <c r="S1952" s="46">
        <f t="shared" si="102"/>
        <v>3.3012000000000001</v>
      </c>
      <c r="T1952" s="1308">
        <f t="shared" si="103"/>
        <v>34.332480000000004</v>
      </c>
      <c r="U1952" s="46"/>
      <c r="V1952" s="494">
        <v>120</v>
      </c>
    </row>
    <row r="1953" spans="2:23" s="314" customFormat="1" ht="15.6" customHeight="1">
      <c r="B1953" s="313"/>
      <c r="C1953" s="302" t="s">
        <v>3552</v>
      </c>
      <c r="D1953" s="303" t="s">
        <v>1666</v>
      </c>
      <c r="E1953" s="371"/>
      <c r="F1953" s="305"/>
      <c r="G1953" s="305" t="s">
        <v>1227</v>
      </c>
      <c r="H1953" s="307" t="s">
        <v>1228</v>
      </c>
      <c r="I1953" s="308"/>
      <c r="J1953" s="306"/>
      <c r="K1953" s="315">
        <v>0</v>
      </c>
      <c r="L1953" s="310"/>
      <c r="M1953" s="310"/>
      <c r="N1953" s="310"/>
      <c r="O1953" s="309"/>
      <c r="P1953" s="302"/>
      <c r="Q1953" s="531">
        <v>0</v>
      </c>
      <c r="S1953" s="535">
        <v>0</v>
      </c>
      <c r="T1953" s="322">
        <v>0</v>
      </c>
      <c r="U1953" s="1115"/>
      <c r="V1953" s="494">
        <v>120</v>
      </c>
    </row>
    <row r="1954" spans="2:23" s="7" customFormat="1" ht="15">
      <c r="B1954" s="12"/>
      <c r="C1954" s="6" t="s">
        <v>3717</v>
      </c>
      <c r="D1954" s="15" t="s">
        <v>1666</v>
      </c>
      <c r="E1954" s="20" t="s">
        <v>3490</v>
      </c>
      <c r="F1954" s="26"/>
      <c r="G1954" s="24"/>
      <c r="H1954" s="67"/>
      <c r="I1954" s="68"/>
      <c r="J1954" s="67"/>
      <c r="K1954" s="17" t="s">
        <v>10</v>
      </c>
      <c r="L1954" s="213"/>
      <c r="M1954" s="39"/>
      <c r="N1954" s="39">
        <v>44932</v>
      </c>
      <c r="O1954" s="38">
        <v>4888</v>
      </c>
      <c r="P1954" s="6" t="s">
        <v>3</v>
      </c>
      <c r="Q1954" s="703"/>
      <c r="S1954" s="46"/>
      <c r="U1954" s="23"/>
      <c r="V1954" s="494">
        <v>120</v>
      </c>
    </row>
    <row r="1955" spans="2:23" s="7" customFormat="1" ht="15.95" customHeight="1">
      <c r="B1955" s="12"/>
      <c r="C1955" s="6" t="s">
        <v>3717</v>
      </c>
      <c r="D1955" s="15" t="s">
        <v>1666</v>
      </c>
      <c r="E1955" s="24" t="s">
        <v>3491</v>
      </c>
      <c r="F1955" s="44"/>
      <c r="G1955" s="44" t="s">
        <v>3718</v>
      </c>
      <c r="H1955" s="8"/>
      <c r="I1955" s="8"/>
      <c r="J1955" s="198">
        <v>61.6</v>
      </c>
      <c r="K1955" s="46">
        <v>3.93</v>
      </c>
      <c r="L1955" s="46">
        <f>K1955*J1955</f>
        <v>242.08800000000002</v>
      </c>
      <c r="M1955" s="162" t="s">
        <v>3736</v>
      </c>
      <c r="N1955" s="39">
        <v>44932</v>
      </c>
      <c r="O1955" s="38">
        <v>4888</v>
      </c>
      <c r="P1955" s="46">
        <f>K1955*0.92</f>
        <v>3.6156000000000001</v>
      </c>
      <c r="Q1955" s="703">
        <v>3.62</v>
      </c>
      <c r="R1955" s="704">
        <f>Q1955*J1955</f>
        <v>222.99200000000002</v>
      </c>
      <c r="S1955" s="46">
        <f>K1955*0.84</f>
        <v>3.3012000000000001</v>
      </c>
      <c r="T1955" s="1308">
        <f>S1955*J1955</f>
        <v>203.35392000000002</v>
      </c>
      <c r="U1955" s="46"/>
      <c r="V1955" s="494">
        <v>120</v>
      </c>
    </row>
    <row r="1956" spans="2:23" s="7" customFormat="1" ht="15.95" customHeight="1">
      <c r="B1956" s="12"/>
      <c r="C1956" s="6" t="s">
        <v>3717</v>
      </c>
      <c r="D1956" s="15" t="s">
        <v>1666</v>
      </c>
      <c r="E1956" s="24"/>
      <c r="F1956" s="138"/>
      <c r="G1956" s="44" t="s">
        <v>3512</v>
      </c>
      <c r="H1956" s="8"/>
      <c r="I1956" s="41"/>
      <c r="J1956" s="45">
        <v>1</v>
      </c>
      <c r="K1956" s="46">
        <v>40</v>
      </c>
      <c r="L1956" s="46">
        <f>K1956*J1956</f>
        <v>40</v>
      </c>
      <c r="M1956" s="39"/>
      <c r="N1956" s="39">
        <v>44932</v>
      </c>
      <c r="O1956" s="38">
        <v>4888</v>
      </c>
      <c r="P1956" s="46">
        <f>K1956*0.92</f>
        <v>36.800000000000004</v>
      </c>
      <c r="Q1956" s="483">
        <v>36.799999999999997</v>
      </c>
      <c r="R1956" s="704">
        <f>Q1956*J1956</f>
        <v>36.799999999999997</v>
      </c>
      <c r="S1956" s="46">
        <f>K1956*0.84</f>
        <v>33.6</v>
      </c>
      <c r="T1956" s="1308">
        <f>S1956*J1956</f>
        <v>33.6</v>
      </c>
      <c r="U1956" s="501"/>
      <c r="V1956" s="494">
        <v>120</v>
      </c>
    </row>
    <row r="1957" spans="2:23" s="7" customFormat="1" ht="15.95" customHeight="1">
      <c r="B1957" s="12"/>
      <c r="C1957" s="6" t="s">
        <v>3717</v>
      </c>
      <c r="D1957" s="15" t="s">
        <v>1666</v>
      </c>
      <c r="E1957" s="24" t="s">
        <v>3491</v>
      </c>
      <c r="F1957" s="44"/>
      <c r="G1957" s="44" t="s">
        <v>3492</v>
      </c>
      <c r="H1957" s="8"/>
      <c r="I1957" s="8"/>
      <c r="J1957" s="198">
        <v>30.5</v>
      </c>
      <c r="K1957" s="46">
        <v>3.93</v>
      </c>
      <c r="L1957" s="46">
        <f>K1957*J1957</f>
        <v>119.86500000000001</v>
      </c>
      <c r="M1957" s="162" t="s">
        <v>3736</v>
      </c>
      <c r="N1957" s="39">
        <v>44932</v>
      </c>
      <c r="O1957" s="38">
        <v>4888</v>
      </c>
      <c r="P1957" s="46">
        <f>K1957*0.92</f>
        <v>3.6156000000000001</v>
      </c>
      <c r="Q1957" s="703">
        <v>3.62</v>
      </c>
      <c r="R1957" s="704">
        <f>Q1957*J1957</f>
        <v>110.41</v>
      </c>
      <c r="S1957" s="46">
        <f>K1957*0.84</f>
        <v>3.3012000000000001</v>
      </c>
      <c r="T1957" s="1308">
        <f>S1957*J1957</f>
        <v>100.6866</v>
      </c>
      <c r="U1957" s="46"/>
      <c r="V1957" s="494">
        <v>120</v>
      </c>
    </row>
    <row r="1958" spans="2:23" s="314" customFormat="1" ht="15.6" customHeight="1">
      <c r="B1958" s="313"/>
      <c r="C1958" s="302" t="s">
        <v>3717</v>
      </c>
      <c r="D1958" s="303" t="s">
        <v>1666</v>
      </c>
      <c r="E1958" s="371"/>
      <c r="F1958" s="305"/>
      <c r="G1958" s="305" t="s">
        <v>1227</v>
      </c>
      <c r="H1958" s="307" t="s">
        <v>1228</v>
      </c>
      <c r="I1958" s="308"/>
      <c r="J1958" s="306"/>
      <c r="K1958" s="315">
        <v>0</v>
      </c>
      <c r="L1958" s="310"/>
      <c r="M1958" s="310"/>
      <c r="N1958" s="310">
        <v>44932</v>
      </c>
      <c r="O1958" s="309">
        <v>4888</v>
      </c>
      <c r="P1958" s="302"/>
      <c r="Q1958" s="531">
        <v>0</v>
      </c>
      <c r="S1958" s="535">
        <v>0</v>
      </c>
      <c r="T1958" s="322">
        <v>0</v>
      </c>
      <c r="U1958" s="1115"/>
      <c r="V1958" s="494">
        <v>120</v>
      </c>
    </row>
    <row r="1959" spans="2:23" s="7" customFormat="1" ht="18" customHeight="1">
      <c r="B1959" s="12"/>
      <c r="C1959" s="6" t="s">
        <v>3555</v>
      </c>
      <c r="D1959" s="15" t="s">
        <v>990</v>
      </c>
      <c r="E1959" s="20" t="s">
        <v>1003</v>
      </c>
      <c r="F1959" s="24"/>
      <c r="G1959" s="44"/>
      <c r="H1959" s="151"/>
      <c r="I1959" s="151"/>
      <c r="J1959" s="151"/>
      <c r="K1959" s="153" t="s">
        <v>10</v>
      </c>
      <c r="L1959" s="39"/>
      <c r="M1959" s="39"/>
      <c r="N1959" s="39">
        <v>44887</v>
      </c>
      <c r="O1959" s="38">
        <v>4767</v>
      </c>
      <c r="P1959" s="6"/>
      <c r="Q1959" s="411"/>
      <c r="S1959" s="489"/>
      <c r="T1959" s="113"/>
      <c r="U1959" s="501"/>
      <c r="V1959" s="494">
        <v>120</v>
      </c>
    </row>
    <row r="1960" spans="2:23" s="7" customFormat="1" ht="15.95" customHeight="1">
      <c r="B1960" s="12" t="s">
        <v>1856</v>
      </c>
      <c r="C1960" s="6" t="s">
        <v>3555</v>
      </c>
      <c r="D1960" s="15" t="s">
        <v>990</v>
      </c>
      <c r="E1960" s="24" t="s">
        <v>1006</v>
      </c>
      <c r="F1960" s="44"/>
      <c r="G1960" s="44" t="s">
        <v>78</v>
      </c>
      <c r="H1960" s="8">
        <v>14</v>
      </c>
      <c r="I1960" s="41">
        <v>1</v>
      </c>
      <c r="J1960" s="67">
        <f>I1960*H1960</f>
        <v>14</v>
      </c>
      <c r="K1960" s="46">
        <v>3.45</v>
      </c>
      <c r="L1960" s="46">
        <f>K1960*J1960</f>
        <v>48.300000000000004</v>
      </c>
      <c r="M1960" s="162" t="s">
        <v>2219</v>
      </c>
      <c r="N1960" s="39">
        <v>44887</v>
      </c>
      <c r="O1960" s="38">
        <v>4767</v>
      </c>
      <c r="P1960" s="46">
        <f>K1960*(VLOOKUP(B1960,$C$2:$F$6,3,FALSE))</f>
        <v>3.036</v>
      </c>
      <c r="Q1960" s="483">
        <v>3.04</v>
      </c>
      <c r="R1960" s="704">
        <f>Q1960*J1960</f>
        <v>42.56</v>
      </c>
      <c r="S1960" s="489">
        <v>190</v>
      </c>
      <c r="T1960" s="567">
        <f>S1960*J1960</f>
        <v>2660</v>
      </c>
      <c r="U1960" s="517"/>
      <c r="V1960" s="494">
        <v>120</v>
      </c>
    </row>
    <row r="1961" spans="2:23" ht="15.95" customHeight="1">
      <c r="B1961" s="12" t="s">
        <v>1862</v>
      </c>
      <c r="C1961" s="6" t="s">
        <v>3555</v>
      </c>
      <c r="D1961" s="15" t="s">
        <v>990</v>
      </c>
      <c r="E1961" s="24"/>
      <c r="F1961" s="138"/>
      <c r="G1961" s="44" t="s">
        <v>1993</v>
      </c>
      <c r="H1961" s="8"/>
      <c r="I1961" s="41"/>
      <c r="J1961" s="45">
        <v>1</v>
      </c>
      <c r="K1961" s="46">
        <v>12</v>
      </c>
      <c r="L1961" s="46">
        <f>K1961*J1961</f>
        <v>12</v>
      </c>
      <c r="M1961" s="112"/>
      <c r="N1961" s="39">
        <v>44887</v>
      </c>
      <c r="O1961" s="38">
        <v>4767</v>
      </c>
      <c r="P1961" s="46">
        <f>K1961*(VLOOKUP(B1961,$C$2:$F$6,3,FALSE))</f>
        <v>12</v>
      </c>
      <c r="Q1961" s="483">
        <v>12</v>
      </c>
      <c r="R1961" s="704">
        <f>Q1961*J1961</f>
        <v>12</v>
      </c>
      <c r="S1961" s="489">
        <v>900</v>
      </c>
      <c r="T1961" s="567">
        <f>S1961*J1961</f>
        <v>900</v>
      </c>
      <c r="U1961" s="511"/>
      <c r="V1961" s="494">
        <v>120</v>
      </c>
      <c r="W1961"/>
    </row>
    <row r="1962" spans="2:23" s="314" customFormat="1" ht="15">
      <c r="B1962" s="313"/>
      <c r="C1962" s="302" t="s">
        <v>3555</v>
      </c>
      <c r="D1962" s="303" t="s">
        <v>990</v>
      </c>
      <c r="E1962" s="304"/>
      <c r="F1962" s="305"/>
      <c r="G1962" s="305" t="s">
        <v>1227</v>
      </c>
      <c r="H1962" s="307" t="s">
        <v>1228</v>
      </c>
      <c r="I1962" s="308"/>
      <c r="J1962" s="306"/>
      <c r="K1962" s="315">
        <v>0</v>
      </c>
      <c r="L1962" s="310"/>
      <c r="M1962" s="310"/>
      <c r="N1962" s="310">
        <v>44887</v>
      </c>
      <c r="O1962" s="309">
        <v>4767</v>
      </c>
      <c r="P1962" s="302"/>
      <c r="Q1962" s="485">
        <v>0</v>
      </c>
      <c r="S1962" s="536">
        <v>0</v>
      </c>
      <c r="T1962" s="567">
        <f>S1962*J1962</f>
        <v>0</v>
      </c>
      <c r="U1962" s="515"/>
      <c r="V1962" s="494">
        <v>120</v>
      </c>
    </row>
    <row r="1963" spans="2:23" ht="18" customHeight="1">
      <c r="C1963" s="6" t="s">
        <v>3565</v>
      </c>
      <c r="D1963" s="15" t="s">
        <v>169</v>
      </c>
      <c r="E1963" s="20" t="s">
        <v>3566</v>
      </c>
      <c r="F1963" s="150"/>
      <c r="G1963" s="24"/>
      <c r="H1963" s="151"/>
      <c r="I1963" s="152"/>
      <c r="J1963" s="151"/>
      <c r="K1963" s="153" t="s">
        <v>10</v>
      </c>
      <c r="L1963" s="39"/>
      <c r="M1963" s="39"/>
      <c r="N1963" s="39">
        <v>44897</v>
      </c>
      <c r="O1963" s="38">
        <v>4772</v>
      </c>
      <c r="P1963" s="15"/>
      <c r="Q1963" s="483"/>
      <c r="S1963" s="1600"/>
      <c r="T1963" s="113"/>
      <c r="V1963" s="494">
        <v>120</v>
      </c>
      <c r="W1963"/>
    </row>
    <row r="1964" spans="2:23" ht="18" customHeight="1">
      <c r="B1964" s="12" t="s">
        <v>1858</v>
      </c>
      <c r="C1964" s="6" t="s">
        <v>3565</v>
      </c>
      <c r="D1964" s="15" t="s">
        <v>169</v>
      </c>
      <c r="E1964" s="407" t="s">
        <v>3567</v>
      </c>
      <c r="F1964" s="155" t="s">
        <v>3568</v>
      </c>
      <c r="G1964" s="1207" t="s">
        <v>207</v>
      </c>
      <c r="H1964" s="198">
        <v>53</v>
      </c>
      <c r="I1964" s="41">
        <v>1</v>
      </c>
      <c r="J1964" s="19">
        <f>I1964*H1964</f>
        <v>53</v>
      </c>
      <c r="K1964" s="703">
        <v>8.5500000000000007</v>
      </c>
      <c r="L1964" s="46">
        <f>K1964*J1964</f>
        <v>453.15000000000003</v>
      </c>
      <c r="M1964" s="162" t="s">
        <v>2219</v>
      </c>
      <c r="N1964" s="39">
        <v>44897</v>
      </c>
      <c r="O1964" s="38">
        <v>4772</v>
      </c>
      <c r="P1964" s="46">
        <f>K1964*(VLOOKUP(B1964,$C$2:$F$6,3,FALSE))</f>
        <v>8.0370000000000008</v>
      </c>
      <c r="Q1964" s="483">
        <v>8.0399999999999991</v>
      </c>
      <c r="R1964" s="704">
        <f>Q1964*J1964</f>
        <v>426.11999999999995</v>
      </c>
      <c r="S1964" s="532">
        <v>800</v>
      </c>
      <c r="T1964" s="567">
        <f>S1964*J1964</f>
        <v>42400</v>
      </c>
      <c r="V1964" s="494">
        <v>120</v>
      </c>
      <c r="W1964"/>
    </row>
    <row r="1965" spans="2:23" ht="18" customHeight="1">
      <c r="C1965" s="6" t="s">
        <v>3565</v>
      </c>
      <c r="D1965" s="15" t="s">
        <v>169</v>
      </c>
      <c r="E1965" s="20" t="s">
        <v>3569</v>
      </c>
      <c r="F1965" s="150"/>
      <c r="G1965" s="24"/>
      <c r="H1965" s="1348"/>
      <c r="I1965" s="152"/>
      <c r="J1965" s="1348"/>
      <c r="K1965" s="153" t="s">
        <v>10</v>
      </c>
      <c r="L1965" s="39"/>
      <c r="M1965" s="39"/>
      <c r="N1965" s="39">
        <v>44897</v>
      </c>
      <c r="O1965" s="38">
        <v>4772</v>
      </c>
      <c r="P1965" s="15"/>
      <c r="Q1965" s="483"/>
      <c r="S1965" s="1600"/>
      <c r="T1965" s="113"/>
      <c r="V1965" s="494">
        <v>120</v>
      </c>
      <c r="W1965"/>
    </row>
    <row r="1966" spans="2:23" ht="18" customHeight="1">
      <c r="B1966" s="12" t="s">
        <v>1858</v>
      </c>
      <c r="C1966" s="6" t="s">
        <v>3565</v>
      </c>
      <c r="D1966" s="15" t="s">
        <v>169</v>
      </c>
      <c r="E1966" s="407" t="s">
        <v>3570</v>
      </c>
      <c r="F1966" s="155" t="s">
        <v>3034</v>
      </c>
      <c r="G1966" s="1207" t="s">
        <v>211</v>
      </c>
      <c r="H1966" s="198">
        <v>50</v>
      </c>
      <c r="I1966" s="41">
        <v>1</v>
      </c>
      <c r="J1966" s="19">
        <f>I1966*H1966</f>
        <v>50</v>
      </c>
      <c r="K1966" s="703">
        <v>9.2799999999999994</v>
      </c>
      <c r="L1966" s="46">
        <f>K1966*J1966</f>
        <v>463.99999999999994</v>
      </c>
      <c r="M1966" s="162" t="s">
        <v>2219</v>
      </c>
      <c r="N1966" s="39">
        <v>44897</v>
      </c>
      <c r="O1966" s="38">
        <v>4772</v>
      </c>
      <c r="P1966" s="46">
        <f>K1966*(VLOOKUP(B1966,$C$2:$F$6,3,FALSE))</f>
        <v>8.7231999999999985</v>
      </c>
      <c r="Q1966" s="483">
        <v>8.7200000000000006</v>
      </c>
      <c r="R1966" s="704">
        <f>Q1966*J1966</f>
        <v>436.00000000000006</v>
      </c>
      <c r="S1966" s="532">
        <v>870</v>
      </c>
      <c r="T1966" s="567">
        <f>S1966*J1966</f>
        <v>43500</v>
      </c>
      <c r="V1966" s="494">
        <v>120</v>
      </c>
      <c r="W1966"/>
    </row>
    <row r="1967" spans="2:23" ht="18" customHeight="1">
      <c r="B1967" s="12" t="s">
        <v>1858</v>
      </c>
      <c r="C1967" s="6" t="s">
        <v>3565</v>
      </c>
      <c r="D1967" s="15" t="s">
        <v>169</v>
      </c>
      <c r="E1967" s="407" t="s">
        <v>3570</v>
      </c>
      <c r="F1967" s="155" t="s">
        <v>3034</v>
      </c>
      <c r="G1967" s="1207" t="s">
        <v>45</v>
      </c>
      <c r="H1967" s="198">
        <v>51</v>
      </c>
      <c r="I1967" s="41">
        <v>1</v>
      </c>
      <c r="J1967" s="19">
        <f>I1967*H1967</f>
        <v>51</v>
      </c>
      <c r="K1967" s="703">
        <v>9.2799999999999994</v>
      </c>
      <c r="L1967" s="46">
        <f>K1967*J1967</f>
        <v>473.28</v>
      </c>
      <c r="M1967" s="162" t="s">
        <v>2219</v>
      </c>
      <c r="N1967" s="39">
        <v>44897</v>
      </c>
      <c r="O1967" s="38">
        <v>4772</v>
      </c>
      <c r="P1967" s="46">
        <f>K1967*(VLOOKUP(B1967,$C$2:$F$6,3,FALSE))</f>
        <v>8.7231999999999985</v>
      </c>
      <c r="Q1967" s="483">
        <v>8.7200000000000006</v>
      </c>
      <c r="R1967" s="704">
        <f>Q1967*J1967</f>
        <v>444.72</v>
      </c>
      <c r="S1967" s="532">
        <v>870</v>
      </c>
      <c r="T1967" s="567">
        <f>S1967*J1967</f>
        <v>44370</v>
      </c>
      <c r="V1967" s="494">
        <v>120</v>
      </c>
      <c r="W1967"/>
    </row>
    <row r="1968" spans="2:23" ht="18" customHeight="1">
      <c r="B1968" s="12" t="s">
        <v>1858</v>
      </c>
      <c r="C1968" s="6" t="s">
        <v>3565</v>
      </c>
      <c r="D1968" s="15" t="s">
        <v>169</v>
      </c>
      <c r="E1968" s="407" t="s">
        <v>3570</v>
      </c>
      <c r="F1968" s="155" t="s">
        <v>3034</v>
      </c>
      <c r="G1968" s="1207" t="s">
        <v>46</v>
      </c>
      <c r="H1968" s="198">
        <v>50.8</v>
      </c>
      <c r="I1968" s="41">
        <v>1</v>
      </c>
      <c r="J1968" s="19">
        <f>I1968*H1968</f>
        <v>50.8</v>
      </c>
      <c r="K1968" s="703">
        <v>9.2799999999999994</v>
      </c>
      <c r="L1968" s="46">
        <f>K1968*J1968</f>
        <v>471.42399999999992</v>
      </c>
      <c r="M1968" s="162" t="s">
        <v>2219</v>
      </c>
      <c r="N1968" s="39">
        <v>44897</v>
      </c>
      <c r="O1968" s="38">
        <v>4772</v>
      </c>
      <c r="P1968" s="46">
        <f>K1968*(VLOOKUP(B1968,$C$2:$F$6,3,FALSE))</f>
        <v>8.7231999999999985</v>
      </c>
      <c r="Q1968" s="483">
        <v>8.7200000000000006</v>
      </c>
      <c r="R1968" s="704">
        <f>Q1968*J1968</f>
        <v>442.976</v>
      </c>
      <c r="S1968" s="532">
        <v>870</v>
      </c>
      <c r="T1968" s="567">
        <f>S1968*J1968</f>
        <v>44196</v>
      </c>
      <c r="V1968" s="494">
        <v>120</v>
      </c>
      <c r="W1968"/>
    </row>
    <row r="1969" spans="2:23" ht="18" customHeight="1">
      <c r="C1969" s="6" t="s">
        <v>3565</v>
      </c>
      <c r="D1969" s="15" t="s">
        <v>169</v>
      </c>
      <c r="E1969" s="20" t="s">
        <v>3571</v>
      </c>
      <c r="F1969" s="150"/>
      <c r="G1969" s="24"/>
      <c r="H1969" s="1348"/>
      <c r="I1969" s="152"/>
      <c r="J1969" s="1348"/>
      <c r="K1969" s="153" t="s">
        <v>10</v>
      </c>
      <c r="L1969" s="39"/>
      <c r="M1969" s="39"/>
      <c r="N1969" s="39">
        <v>44897</v>
      </c>
      <c r="O1969" s="38">
        <v>4772</v>
      </c>
      <c r="P1969" s="15"/>
      <c r="Q1969" s="483"/>
      <c r="S1969" s="1600"/>
      <c r="T1969" s="113"/>
      <c r="V1969" s="494">
        <v>120</v>
      </c>
      <c r="W1969"/>
    </row>
    <row r="1970" spans="2:23" ht="18" customHeight="1">
      <c r="B1970" s="12" t="s">
        <v>1858</v>
      </c>
      <c r="C1970" s="6" t="s">
        <v>3565</v>
      </c>
      <c r="D1970" s="15" t="s">
        <v>169</v>
      </c>
      <c r="E1970" s="407" t="s">
        <v>3572</v>
      </c>
      <c r="F1970" s="155" t="s">
        <v>3573</v>
      </c>
      <c r="G1970" s="1207" t="s">
        <v>101</v>
      </c>
      <c r="H1970" s="198">
        <v>50.5</v>
      </c>
      <c r="I1970" s="41">
        <v>1</v>
      </c>
      <c r="J1970" s="19">
        <f>I1970*H1970</f>
        <v>50.5</v>
      </c>
      <c r="K1970" s="703">
        <v>6.88</v>
      </c>
      <c r="L1970" s="46">
        <f>K1970*J1970</f>
        <v>347.44</v>
      </c>
      <c r="M1970" s="162" t="s">
        <v>2219</v>
      </c>
      <c r="N1970" s="39">
        <v>44897</v>
      </c>
      <c r="O1970" s="38">
        <v>4772</v>
      </c>
      <c r="P1970" s="46">
        <f>K1970*(VLOOKUP(B1970,$C$2:$F$6,3,FALSE))</f>
        <v>6.4671999999999992</v>
      </c>
      <c r="Q1970" s="483">
        <v>6.47</v>
      </c>
      <c r="R1970" s="704">
        <f>Q1970*J1970</f>
        <v>326.73500000000001</v>
      </c>
      <c r="S1970" s="532">
        <v>640</v>
      </c>
      <c r="T1970" s="567">
        <f>S1970*J1970</f>
        <v>32320</v>
      </c>
      <c r="V1970" s="494">
        <v>120</v>
      </c>
      <c r="W1970"/>
    </row>
    <row r="1971" spans="2:23" ht="18" customHeight="1">
      <c r="C1971" s="6" t="s">
        <v>3565</v>
      </c>
      <c r="D1971" s="15" t="s">
        <v>169</v>
      </c>
      <c r="E1971" s="20" t="s">
        <v>3574</v>
      </c>
      <c r="F1971" s="150"/>
      <c r="G1971" s="24"/>
      <c r="H1971" s="1348"/>
      <c r="I1971" s="152"/>
      <c r="J1971" s="1348"/>
      <c r="K1971" s="153" t="s">
        <v>10</v>
      </c>
      <c r="L1971" s="39"/>
      <c r="M1971" s="39"/>
      <c r="N1971" s="39">
        <v>44897</v>
      </c>
      <c r="O1971" s="38">
        <v>4772</v>
      </c>
      <c r="P1971" s="15"/>
      <c r="Q1971" s="483"/>
      <c r="S1971" s="1600"/>
      <c r="T1971" s="113"/>
      <c r="V1971" s="494">
        <v>120</v>
      </c>
      <c r="W1971"/>
    </row>
    <row r="1972" spans="2:23" ht="18" customHeight="1">
      <c r="B1972" s="12" t="s">
        <v>1858</v>
      </c>
      <c r="C1972" s="6" t="s">
        <v>3565</v>
      </c>
      <c r="D1972" s="15" t="s">
        <v>169</v>
      </c>
      <c r="E1972" s="407" t="s">
        <v>3575</v>
      </c>
      <c r="F1972" s="155" t="s">
        <v>3573</v>
      </c>
      <c r="G1972" s="1207" t="s">
        <v>46</v>
      </c>
      <c r="H1972" s="198">
        <v>50.1</v>
      </c>
      <c r="I1972" s="41">
        <v>1</v>
      </c>
      <c r="J1972" s="19">
        <f>I1972*H1972</f>
        <v>50.1</v>
      </c>
      <c r="K1972" s="703">
        <v>6.88</v>
      </c>
      <c r="L1972" s="46">
        <f>K1972*J1972</f>
        <v>344.68799999999999</v>
      </c>
      <c r="M1972" s="162" t="s">
        <v>2219</v>
      </c>
      <c r="N1972" s="39">
        <v>44897</v>
      </c>
      <c r="O1972" s="38">
        <v>4772</v>
      </c>
      <c r="P1972" s="46">
        <f>K1972*(VLOOKUP(B1972,$C$2:$F$6,3,FALSE))</f>
        <v>6.4671999999999992</v>
      </c>
      <c r="Q1972" s="483">
        <v>6.47</v>
      </c>
      <c r="R1972" s="704">
        <f>Q1972*J1972</f>
        <v>324.14699999999999</v>
      </c>
      <c r="S1972" s="532">
        <v>640</v>
      </c>
      <c r="T1972" s="567">
        <f>S1972*J1972</f>
        <v>32064</v>
      </c>
      <c r="V1972" s="494">
        <v>120</v>
      </c>
      <c r="W1972"/>
    </row>
    <row r="1973" spans="2:23" ht="18" customHeight="1">
      <c r="B1973" s="12" t="s">
        <v>1858</v>
      </c>
      <c r="C1973" s="6" t="s">
        <v>3565</v>
      </c>
      <c r="D1973" s="15" t="s">
        <v>169</v>
      </c>
      <c r="E1973" s="407" t="s">
        <v>3580</v>
      </c>
      <c r="F1973" s="155" t="s">
        <v>3573</v>
      </c>
      <c r="G1973" s="1207" t="s">
        <v>46</v>
      </c>
      <c r="H1973" s="198">
        <v>50</v>
      </c>
      <c r="I1973" s="41">
        <v>1</v>
      </c>
      <c r="J1973" s="19">
        <f>I1973*H1973</f>
        <v>50</v>
      </c>
      <c r="K1973" s="703">
        <v>6.88</v>
      </c>
      <c r="L1973" s="46">
        <f>K1973*J1973</f>
        <v>344</v>
      </c>
      <c r="M1973" s="162" t="s">
        <v>2219</v>
      </c>
      <c r="N1973" s="39">
        <v>44897</v>
      </c>
      <c r="O1973" s="38">
        <v>4772</v>
      </c>
      <c r="P1973" s="46">
        <f>K1973*(VLOOKUP(B1973,$C$2:$F$6,3,FALSE))</f>
        <v>6.4671999999999992</v>
      </c>
      <c r="Q1973" s="483">
        <v>6.47</v>
      </c>
      <c r="R1973" s="704">
        <f>Q1973*J1973</f>
        <v>323.5</v>
      </c>
      <c r="S1973" s="532">
        <v>640</v>
      </c>
      <c r="T1973" s="567">
        <f>S1973*J1973</f>
        <v>32000</v>
      </c>
      <c r="V1973" s="494">
        <v>120</v>
      </c>
      <c r="W1973"/>
    </row>
    <row r="1974" spans="2:23" ht="18" customHeight="1">
      <c r="B1974" s="12" t="s">
        <v>1858</v>
      </c>
      <c r="C1974" s="6" t="s">
        <v>3565</v>
      </c>
      <c r="D1974" s="15" t="s">
        <v>169</v>
      </c>
      <c r="E1974" s="407" t="s">
        <v>3580</v>
      </c>
      <c r="F1974" s="155" t="s">
        <v>3573</v>
      </c>
      <c r="G1974" s="1207" t="s">
        <v>211</v>
      </c>
      <c r="H1974" s="198">
        <v>52</v>
      </c>
      <c r="I1974" s="41">
        <v>1</v>
      </c>
      <c r="J1974" s="19">
        <f>I1974*H1974</f>
        <v>52</v>
      </c>
      <c r="K1974" s="703">
        <v>6.88</v>
      </c>
      <c r="L1974" s="46">
        <f>K1974*J1974</f>
        <v>357.76</v>
      </c>
      <c r="M1974" s="162" t="s">
        <v>2219</v>
      </c>
      <c r="N1974" s="39">
        <v>44897</v>
      </c>
      <c r="O1974" s="38">
        <v>4772</v>
      </c>
      <c r="P1974" s="46">
        <f>K1974*(VLOOKUP(B1974,$C$2:$F$6,3,FALSE))</f>
        <v>6.4671999999999992</v>
      </c>
      <c r="Q1974" s="483">
        <v>6.47</v>
      </c>
      <c r="R1974" s="704">
        <f>Q1974*J1974</f>
        <v>336.44</v>
      </c>
      <c r="S1974" s="532">
        <v>640</v>
      </c>
      <c r="T1974" s="567">
        <f>S1974*J1974</f>
        <v>33280</v>
      </c>
      <c r="V1974" s="494">
        <v>120</v>
      </c>
      <c r="W1974"/>
    </row>
    <row r="1975" spans="2:23" s="314" customFormat="1" ht="18" customHeight="1">
      <c r="B1975" s="313"/>
      <c r="C1975" s="302" t="s">
        <v>3565</v>
      </c>
      <c r="D1975" s="303" t="s">
        <v>169</v>
      </c>
      <c r="E1975" s="304"/>
      <c r="F1975" s="305"/>
      <c r="G1975" s="305" t="s">
        <v>1227</v>
      </c>
      <c r="H1975" s="307" t="s">
        <v>3438</v>
      </c>
      <c r="I1975" s="308"/>
      <c r="J1975" s="306"/>
      <c r="K1975" s="329">
        <v>1375</v>
      </c>
      <c r="L1975" s="329">
        <v>1375</v>
      </c>
      <c r="M1975" s="1327"/>
      <c r="N1975" s="310">
        <v>44897</v>
      </c>
      <c r="O1975" s="309">
        <v>4772</v>
      </c>
      <c r="P1975" s="1328"/>
      <c r="Q1975" s="527">
        <v>1375</v>
      </c>
      <c r="R1975" s="929">
        <v>1375</v>
      </c>
      <c r="S1975" s="536">
        <v>158416</v>
      </c>
      <c r="T1975" s="536">
        <v>158416</v>
      </c>
      <c r="U1975" s="1329"/>
      <c r="V1975" s="494">
        <v>120</v>
      </c>
    </row>
    <row r="1976" spans="2:23" s="7" customFormat="1" ht="18" customHeight="1">
      <c r="B1976" s="12"/>
      <c r="C1976" s="6" t="s">
        <v>3612</v>
      </c>
      <c r="D1976" s="15" t="s">
        <v>169</v>
      </c>
      <c r="E1976" s="20" t="s">
        <v>27</v>
      </c>
      <c r="F1976" s="150"/>
      <c r="G1976" s="24"/>
      <c r="H1976" s="151"/>
      <c r="I1976" s="152"/>
      <c r="J1976" s="151"/>
      <c r="K1976" s="34" t="s">
        <v>10</v>
      </c>
      <c r="L1976" s="39"/>
      <c r="M1976" s="39"/>
      <c r="N1976" s="39">
        <v>44921</v>
      </c>
      <c r="O1976" s="38">
        <v>4863</v>
      </c>
      <c r="P1976" s="15"/>
      <c r="Q1976" s="483"/>
      <c r="S1976" s="489"/>
      <c r="T1976" s="113"/>
      <c r="U1976" s="506"/>
      <c r="V1976" s="494">
        <v>120</v>
      </c>
    </row>
    <row r="1977" spans="2:23" s="7" customFormat="1" ht="18" customHeight="1">
      <c r="B1977" s="12" t="s">
        <v>1858</v>
      </c>
      <c r="C1977" s="6" t="s">
        <v>3693</v>
      </c>
      <c r="D1977" s="15" t="s">
        <v>169</v>
      </c>
      <c r="E1977" s="24" t="s">
        <v>536</v>
      </c>
      <c r="F1977" s="150">
        <v>160</v>
      </c>
      <c r="G1977" s="407" t="s">
        <v>82</v>
      </c>
      <c r="H1977" s="67">
        <v>50</v>
      </c>
      <c r="I1977" s="68">
        <v>1</v>
      </c>
      <c r="J1977" s="8">
        <f t="shared" ref="J1977:J1986" si="104">H1977*I1977</f>
        <v>50</v>
      </c>
      <c r="K1977" s="25">
        <v>5</v>
      </c>
      <c r="L1977" s="46">
        <f t="shared" ref="L1977:L1986" si="105">K1977*J1977</f>
        <v>250</v>
      </c>
      <c r="M1977" s="162" t="s">
        <v>2218</v>
      </c>
      <c r="N1977" s="39">
        <v>44921</v>
      </c>
      <c r="O1977" s="38">
        <v>4863</v>
      </c>
      <c r="P1977" s="46">
        <f t="shared" ref="P1977:P1986" si="106">K1977*(VLOOKUP(B1977,$C$2:$F$6,3,FALSE))</f>
        <v>4.6999999999999993</v>
      </c>
      <c r="Q1977" s="483">
        <v>4.7</v>
      </c>
      <c r="R1977" s="704">
        <f t="shared" ref="R1977:R1986" si="107">Q1977*J1977</f>
        <v>235</v>
      </c>
      <c r="S1977" s="532">
        <v>360</v>
      </c>
      <c r="T1977" s="567">
        <f t="shared" ref="T1977:T1986" si="108">S1977*J1977</f>
        <v>18000</v>
      </c>
      <c r="U1977" s="501"/>
      <c r="V1977" s="494">
        <v>120</v>
      </c>
    </row>
    <row r="1978" spans="2:23" s="7" customFormat="1" ht="18" customHeight="1">
      <c r="B1978" s="12" t="s">
        <v>1858</v>
      </c>
      <c r="C1978" s="6" t="s">
        <v>3612</v>
      </c>
      <c r="D1978" s="15" t="s">
        <v>169</v>
      </c>
      <c r="E1978" s="24" t="s">
        <v>536</v>
      </c>
      <c r="F1978" s="150">
        <v>160</v>
      </c>
      <c r="G1978" s="407" t="s">
        <v>3599</v>
      </c>
      <c r="H1978" s="67">
        <v>50</v>
      </c>
      <c r="I1978" s="68">
        <v>1</v>
      </c>
      <c r="J1978" s="8">
        <f t="shared" si="104"/>
        <v>50</v>
      </c>
      <c r="K1978" s="25">
        <v>5</v>
      </c>
      <c r="L1978" s="46">
        <f t="shared" si="105"/>
        <v>250</v>
      </c>
      <c r="M1978" s="162" t="s">
        <v>2218</v>
      </c>
      <c r="N1978" s="39">
        <v>44897</v>
      </c>
      <c r="O1978" s="38">
        <v>4772</v>
      </c>
      <c r="P1978" s="46">
        <f t="shared" si="106"/>
        <v>4.6999999999999993</v>
      </c>
      <c r="Q1978" s="483">
        <v>4.7</v>
      </c>
      <c r="R1978" s="704">
        <f t="shared" si="107"/>
        <v>235</v>
      </c>
      <c r="S1978" s="532">
        <v>360</v>
      </c>
      <c r="T1978" s="567">
        <f t="shared" si="108"/>
        <v>18000</v>
      </c>
      <c r="U1978" s="501"/>
      <c r="V1978" s="494">
        <v>120</v>
      </c>
    </row>
    <row r="1979" spans="2:23" s="7" customFormat="1" ht="18" customHeight="1">
      <c r="B1979" s="12" t="s">
        <v>1858</v>
      </c>
      <c r="C1979" s="6" t="s">
        <v>3612</v>
      </c>
      <c r="D1979" s="15" t="s">
        <v>169</v>
      </c>
      <c r="E1979" s="24" t="s">
        <v>536</v>
      </c>
      <c r="F1979" s="150">
        <v>160</v>
      </c>
      <c r="G1979" s="407" t="s">
        <v>629</v>
      </c>
      <c r="H1979" s="67">
        <v>50</v>
      </c>
      <c r="I1979" s="68">
        <v>1</v>
      </c>
      <c r="J1979" s="8">
        <f t="shared" si="104"/>
        <v>50</v>
      </c>
      <c r="K1979" s="25">
        <v>5</v>
      </c>
      <c r="L1979" s="46">
        <f t="shared" si="105"/>
        <v>250</v>
      </c>
      <c r="M1979" s="162" t="s">
        <v>2218</v>
      </c>
      <c r="N1979" s="39">
        <v>44897</v>
      </c>
      <c r="O1979" s="38">
        <v>4772</v>
      </c>
      <c r="P1979" s="46">
        <f t="shared" si="106"/>
        <v>4.6999999999999993</v>
      </c>
      <c r="Q1979" s="483">
        <v>4.7</v>
      </c>
      <c r="R1979" s="704">
        <f t="shared" si="107"/>
        <v>235</v>
      </c>
      <c r="S1979" s="532">
        <v>360</v>
      </c>
      <c r="T1979" s="567">
        <f t="shared" si="108"/>
        <v>18000</v>
      </c>
      <c r="U1979" s="501"/>
      <c r="V1979" s="494">
        <v>120</v>
      </c>
    </row>
    <row r="1980" spans="2:23" s="7" customFormat="1" ht="18" customHeight="1">
      <c r="B1980" s="12" t="s">
        <v>1858</v>
      </c>
      <c r="C1980" s="6" t="s">
        <v>3612</v>
      </c>
      <c r="D1980" s="15" t="s">
        <v>169</v>
      </c>
      <c r="E1980" s="24" t="s">
        <v>536</v>
      </c>
      <c r="F1980" s="150">
        <v>160</v>
      </c>
      <c r="G1980" s="407" t="s">
        <v>2937</v>
      </c>
      <c r="H1980" s="67">
        <v>50</v>
      </c>
      <c r="I1980" s="68">
        <v>1</v>
      </c>
      <c r="J1980" s="8">
        <f t="shared" si="104"/>
        <v>50</v>
      </c>
      <c r="K1980" s="25">
        <v>5</v>
      </c>
      <c r="L1980" s="46">
        <f t="shared" si="105"/>
        <v>250</v>
      </c>
      <c r="M1980" s="162" t="s">
        <v>2219</v>
      </c>
      <c r="N1980" s="39">
        <v>44921</v>
      </c>
      <c r="O1980" s="38">
        <v>4863</v>
      </c>
      <c r="P1980" s="46">
        <f t="shared" si="106"/>
        <v>4.6999999999999993</v>
      </c>
      <c r="Q1980" s="483">
        <v>4.7</v>
      </c>
      <c r="R1980" s="704">
        <f t="shared" si="107"/>
        <v>235</v>
      </c>
      <c r="S1980" s="532">
        <v>360</v>
      </c>
      <c r="T1980" s="567">
        <f t="shared" si="108"/>
        <v>18000</v>
      </c>
      <c r="U1980" s="501"/>
      <c r="V1980" s="494">
        <v>120</v>
      </c>
    </row>
    <row r="1981" spans="2:23" s="7" customFormat="1" ht="18" customHeight="1">
      <c r="B1981" s="12" t="s">
        <v>1858</v>
      </c>
      <c r="C1981" s="6" t="s">
        <v>3693</v>
      </c>
      <c r="D1981" s="15" t="s">
        <v>169</v>
      </c>
      <c r="E1981" s="24" t="s">
        <v>536</v>
      </c>
      <c r="F1981" s="150">
        <v>160</v>
      </c>
      <c r="G1981" s="407" t="s">
        <v>3600</v>
      </c>
      <c r="H1981" s="67">
        <v>50</v>
      </c>
      <c r="I1981" s="68">
        <v>1</v>
      </c>
      <c r="J1981" s="8">
        <f t="shared" si="104"/>
        <v>50</v>
      </c>
      <c r="K1981" s="25">
        <v>5</v>
      </c>
      <c r="L1981" s="46">
        <f t="shared" si="105"/>
        <v>250</v>
      </c>
      <c r="M1981" s="162" t="s">
        <v>2218</v>
      </c>
      <c r="N1981" s="39">
        <v>44921</v>
      </c>
      <c r="O1981" s="38">
        <v>4863</v>
      </c>
      <c r="P1981" s="46">
        <f t="shared" si="106"/>
        <v>4.6999999999999993</v>
      </c>
      <c r="Q1981" s="483">
        <v>4.7</v>
      </c>
      <c r="R1981" s="704">
        <f t="shared" si="107"/>
        <v>235</v>
      </c>
      <c r="S1981" s="532">
        <v>360</v>
      </c>
      <c r="T1981" s="567">
        <f t="shared" si="108"/>
        <v>18000</v>
      </c>
      <c r="U1981" s="501"/>
      <c r="V1981" s="494">
        <v>120</v>
      </c>
    </row>
    <row r="1982" spans="2:23" s="7" customFormat="1" ht="18" customHeight="1">
      <c r="B1982" s="12" t="s">
        <v>1858</v>
      </c>
      <c r="C1982" s="6" t="s">
        <v>3693</v>
      </c>
      <c r="D1982" s="15" t="s">
        <v>169</v>
      </c>
      <c r="E1982" s="24" t="s">
        <v>536</v>
      </c>
      <c r="F1982" s="150">
        <v>160</v>
      </c>
      <c r="G1982" s="407" t="s">
        <v>3601</v>
      </c>
      <c r="H1982" s="67">
        <v>50</v>
      </c>
      <c r="I1982" s="68">
        <v>1</v>
      </c>
      <c r="J1982" s="8">
        <f t="shared" si="104"/>
        <v>50</v>
      </c>
      <c r="K1982" s="25">
        <v>5</v>
      </c>
      <c r="L1982" s="46">
        <f t="shared" si="105"/>
        <v>250</v>
      </c>
      <c r="M1982" s="162" t="s">
        <v>2218</v>
      </c>
      <c r="N1982" s="39">
        <v>44921</v>
      </c>
      <c r="O1982" s="38">
        <v>4863</v>
      </c>
      <c r="P1982" s="46">
        <f t="shared" si="106"/>
        <v>4.6999999999999993</v>
      </c>
      <c r="Q1982" s="483">
        <v>4.7</v>
      </c>
      <c r="R1982" s="704">
        <f t="shared" si="107"/>
        <v>235</v>
      </c>
      <c r="S1982" s="532">
        <v>360</v>
      </c>
      <c r="T1982" s="567">
        <f t="shared" si="108"/>
        <v>18000</v>
      </c>
      <c r="U1982" s="501"/>
      <c r="V1982" s="494">
        <v>120</v>
      </c>
    </row>
    <row r="1983" spans="2:23" s="7" customFormat="1" ht="18" customHeight="1">
      <c r="B1983" s="12" t="s">
        <v>1858</v>
      </c>
      <c r="C1983" s="6" t="s">
        <v>3612</v>
      </c>
      <c r="D1983" s="15" t="s">
        <v>169</v>
      </c>
      <c r="E1983" s="24" t="s">
        <v>536</v>
      </c>
      <c r="F1983" s="150">
        <v>160</v>
      </c>
      <c r="G1983" s="407" t="s">
        <v>2231</v>
      </c>
      <c r="H1983" s="67">
        <v>50</v>
      </c>
      <c r="I1983" s="68">
        <v>1</v>
      </c>
      <c r="J1983" s="8">
        <f t="shared" si="104"/>
        <v>50</v>
      </c>
      <c r="K1983" s="25">
        <v>5</v>
      </c>
      <c r="L1983" s="46">
        <f t="shared" si="105"/>
        <v>250</v>
      </c>
      <c r="M1983" s="162" t="s">
        <v>2218</v>
      </c>
      <c r="N1983" s="39">
        <v>44897</v>
      </c>
      <c r="O1983" s="38">
        <v>4772</v>
      </c>
      <c r="P1983" s="46">
        <f t="shared" si="106"/>
        <v>4.6999999999999993</v>
      </c>
      <c r="Q1983" s="483">
        <v>4.7</v>
      </c>
      <c r="R1983" s="704">
        <f t="shared" si="107"/>
        <v>235</v>
      </c>
      <c r="S1983" s="532">
        <v>360</v>
      </c>
      <c r="T1983" s="567">
        <f t="shared" si="108"/>
        <v>18000</v>
      </c>
      <c r="U1983" s="501"/>
      <c r="V1983" s="494">
        <v>120</v>
      </c>
    </row>
    <row r="1984" spans="2:23" s="7" customFormat="1" ht="18" customHeight="1">
      <c r="B1984" s="12" t="s">
        <v>1858</v>
      </c>
      <c r="C1984" s="6" t="s">
        <v>3612</v>
      </c>
      <c r="D1984" s="15" t="s">
        <v>169</v>
      </c>
      <c r="E1984" s="24" t="s">
        <v>536</v>
      </c>
      <c r="F1984" s="150">
        <v>160</v>
      </c>
      <c r="G1984" s="407" t="s">
        <v>3602</v>
      </c>
      <c r="H1984" s="67">
        <v>50</v>
      </c>
      <c r="I1984" s="68">
        <v>1</v>
      </c>
      <c r="J1984" s="8">
        <f t="shared" si="104"/>
        <v>50</v>
      </c>
      <c r="K1984" s="25">
        <v>5</v>
      </c>
      <c r="L1984" s="46">
        <f t="shared" si="105"/>
        <v>250</v>
      </c>
      <c r="M1984" s="162" t="s">
        <v>2218</v>
      </c>
      <c r="N1984" s="39">
        <v>44897</v>
      </c>
      <c r="O1984" s="38">
        <v>4772</v>
      </c>
      <c r="P1984" s="46">
        <f t="shared" si="106"/>
        <v>4.6999999999999993</v>
      </c>
      <c r="Q1984" s="483">
        <v>4.7</v>
      </c>
      <c r="R1984" s="704">
        <f t="shared" si="107"/>
        <v>235</v>
      </c>
      <c r="S1984" s="532">
        <v>360</v>
      </c>
      <c r="T1984" s="567">
        <f t="shared" si="108"/>
        <v>18000</v>
      </c>
      <c r="U1984" s="501"/>
      <c r="V1984" s="494">
        <v>120</v>
      </c>
    </row>
    <row r="1985" spans="2:23" s="7" customFormat="1" ht="18" customHeight="1">
      <c r="B1985" s="12" t="s">
        <v>1858</v>
      </c>
      <c r="C1985" s="6" t="s">
        <v>3612</v>
      </c>
      <c r="D1985" s="15" t="s">
        <v>169</v>
      </c>
      <c r="E1985" s="24" t="s">
        <v>536</v>
      </c>
      <c r="F1985" s="150">
        <v>160</v>
      </c>
      <c r="G1985" s="407" t="s">
        <v>114</v>
      </c>
      <c r="H1985" s="67">
        <v>50</v>
      </c>
      <c r="I1985" s="68">
        <v>2</v>
      </c>
      <c r="J1985" s="8">
        <f t="shared" si="104"/>
        <v>100</v>
      </c>
      <c r="K1985" s="25">
        <v>5</v>
      </c>
      <c r="L1985" s="46">
        <f t="shared" si="105"/>
        <v>500</v>
      </c>
      <c r="M1985" s="162" t="s">
        <v>2218</v>
      </c>
      <c r="N1985" s="39">
        <v>44897</v>
      </c>
      <c r="O1985" s="38">
        <v>4772</v>
      </c>
      <c r="P1985" s="46">
        <f t="shared" si="106"/>
        <v>4.6999999999999993</v>
      </c>
      <c r="Q1985" s="483">
        <v>4.7</v>
      </c>
      <c r="R1985" s="704">
        <f t="shared" si="107"/>
        <v>470</v>
      </c>
      <c r="S1985" s="532">
        <v>360</v>
      </c>
      <c r="T1985" s="567">
        <f t="shared" si="108"/>
        <v>36000</v>
      </c>
      <c r="U1985" s="501"/>
      <c r="V1985" s="494">
        <v>120</v>
      </c>
    </row>
    <row r="1986" spans="2:23" s="7" customFormat="1" ht="18" customHeight="1">
      <c r="B1986" s="12" t="s">
        <v>1858</v>
      </c>
      <c r="C1986" s="6" t="s">
        <v>3612</v>
      </c>
      <c r="D1986" s="15" t="s">
        <v>169</v>
      </c>
      <c r="E1986" s="24" t="s">
        <v>536</v>
      </c>
      <c r="F1986" s="150">
        <v>160</v>
      </c>
      <c r="G1986" s="407" t="s">
        <v>3608</v>
      </c>
      <c r="H1986" s="67">
        <v>50</v>
      </c>
      <c r="I1986" s="68">
        <v>1</v>
      </c>
      <c r="J1986" s="8">
        <f t="shared" si="104"/>
        <v>50</v>
      </c>
      <c r="K1986" s="25">
        <v>5</v>
      </c>
      <c r="L1986" s="46">
        <f t="shared" si="105"/>
        <v>250</v>
      </c>
      <c r="M1986" s="162" t="s">
        <v>2218</v>
      </c>
      <c r="N1986" s="39">
        <v>44897</v>
      </c>
      <c r="O1986" s="38">
        <v>4772</v>
      </c>
      <c r="P1986" s="46">
        <f t="shared" si="106"/>
        <v>4.6999999999999993</v>
      </c>
      <c r="Q1986" s="483">
        <v>4.7</v>
      </c>
      <c r="R1986" s="704">
        <f t="shared" si="107"/>
        <v>235</v>
      </c>
      <c r="S1986" s="532">
        <v>360</v>
      </c>
      <c r="T1986" s="567">
        <f t="shared" si="108"/>
        <v>18000</v>
      </c>
      <c r="U1986" s="501"/>
      <c r="V1986" s="494">
        <v>120</v>
      </c>
    </row>
    <row r="1987" spans="2:23" s="7" customFormat="1" ht="18" customHeight="1">
      <c r="B1987" s="12"/>
      <c r="C1987" s="6" t="s">
        <v>3612</v>
      </c>
      <c r="D1987" s="15" t="s">
        <v>169</v>
      </c>
      <c r="E1987" s="20" t="s">
        <v>27</v>
      </c>
      <c r="F1987" s="150"/>
      <c r="G1987" s="24"/>
      <c r="H1987" s="151"/>
      <c r="I1987" s="152"/>
      <c r="J1987" s="151"/>
      <c r="K1987" s="34" t="s">
        <v>10</v>
      </c>
      <c r="L1987" s="39"/>
      <c r="M1987" s="39"/>
      <c r="N1987" s="39">
        <v>44897</v>
      </c>
      <c r="O1987" s="38">
        <v>4772</v>
      </c>
      <c r="P1987" s="15"/>
      <c r="Q1987" s="483"/>
      <c r="S1987" s="489"/>
      <c r="T1987" s="113"/>
      <c r="U1987" s="506"/>
      <c r="V1987" s="494">
        <v>120</v>
      </c>
    </row>
    <row r="1988" spans="2:23" s="7" customFormat="1" ht="18" customHeight="1">
      <c r="B1988" s="12" t="s">
        <v>1858</v>
      </c>
      <c r="C1988" s="6" t="s">
        <v>3612</v>
      </c>
      <c r="D1988" s="15" t="s">
        <v>169</v>
      </c>
      <c r="E1988" s="24" t="s">
        <v>738</v>
      </c>
      <c r="F1988" s="150">
        <v>152</v>
      </c>
      <c r="G1988" s="407" t="s">
        <v>82</v>
      </c>
      <c r="H1988" s="151">
        <v>50</v>
      </c>
      <c r="I1988" s="152">
        <v>1</v>
      </c>
      <c r="J1988" s="8">
        <f>I1988*H1988</f>
        <v>50</v>
      </c>
      <c r="K1988" s="46">
        <v>4.45</v>
      </c>
      <c r="L1988" s="46">
        <f>K1988*J1988</f>
        <v>222.5</v>
      </c>
      <c r="M1988" s="1336" t="s">
        <v>2218</v>
      </c>
      <c r="N1988" s="39">
        <v>44897</v>
      </c>
      <c r="O1988" s="38">
        <v>4772</v>
      </c>
      <c r="P1988" s="46">
        <f>K1988*(VLOOKUP(B1988,$C$2:$F$6,3,FALSE))</f>
        <v>4.1829999999999998</v>
      </c>
      <c r="Q1988" s="703">
        <v>4.18</v>
      </c>
      <c r="R1988" s="703">
        <f>Q1988*J1988</f>
        <v>209</v>
      </c>
      <c r="S1988" s="7">
        <v>320</v>
      </c>
      <c r="T1988" s="7">
        <f>S1988*J1988</f>
        <v>16000</v>
      </c>
      <c r="U1988" s="23"/>
      <c r="V1988" s="494">
        <v>120</v>
      </c>
    </row>
    <row r="1989" spans="2:23" s="7" customFormat="1" ht="18" customHeight="1">
      <c r="B1989" s="12" t="s">
        <v>1858</v>
      </c>
      <c r="C1989" s="6" t="s">
        <v>3612</v>
      </c>
      <c r="D1989" s="15" t="s">
        <v>169</v>
      </c>
      <c r="E1989" s="24" t="s">
        <v>738</v>
      </c>
      <c r="F1989" s="150">
        <v>152</v>
      </c>
      <c r="G1989" s="407" t="s">
        <v>1768</v>
      </c>
      <c r="H1989" s="151">
        <v>50</v>
      </c>
      <c r="I1989" s="152">
        <v>1</v>
      </c>
      <c r="J1989" s="8">
        <f>I1989*H1989</f>
        <v>50</v>
      </c>
      <c r="K1989" s="46">
        <v>4.45</v>
      </c>
      <c r="L1989" s="46">
        <f>K1989*J1989</f>
        <v>222.5</v>
      </c>
      <c r="M1989" s="1336" t="s">
        <v>2218</v>
      </c>
      <c r="N1989" s="39">
        <v>44897</v>
      </c>
      <c r="O1989" s="38">
        <v>4772</v>
      </c>
      <c r="P1989" s="46">
        <f>K1989*(VLOOKUP(B1989,$C$2:$F$6,3,FALSE))</f>
        <v>4.1829999999999998</v>
      </c>
      <c r="Q1989" s="703">
        <v>4.18</v>
      </c>
      <c r="R1989" s="703">
        <f>Q1989*J1989</f>
        <v>209</v>
      </c>
      <c r="S1989" s="7">
        <v>320</v>
      </c>
      <c r="T1989" s="7">
        <f>S1989*J1989</f>
        <v>16000</v>
      </c>
      <c r="U1989" s="23"/>
      <c r="V1989" s="494">
        <v>120</v>
      </c>
    </row>
    <row r="1990" spans="2:23" s="7" customFormat="1" ht="18" customHeight="1">
      <c r="B1990" s="12" t="s">
        <v>1858</v>
      </c>
      <c r="C1990" s="6" t="s">
        <v>3612</v>
      </c>
      <c r="D1990" s="15" t="s">
        <v>169</v>
      </c>
      <c r="E1990" s="24" t="s">
        <v>738</v>
      </c>
      <c r="F1990" s="150">
        <v>152</v>
      </c>
      <c r="G1990" s="407" t="s">
        <v>114</v>
      </c>
      <c r="H1990" s="151">
        <v>50</v>
      </c>
      <c r="I1990" s="152">
        <v>1</v>
      </c>
      <c r="J1990" s="8">
        <f>I1990*H1990</f>
        <v>50</v>
      </c>
      <c r="K1990" s="46">
        <v>4.45</v>
      </c>
      <c r="L1990" s="46">
        <f>K1990*J1990</f>
        <v>222.5</v>
      </c>
      <c r="M1990" s="1336" t="s">
        <v>2218</v>
      </c>
      <c r="N1990" s="39">
        <v>44897</v>
      </c>
      <c r="O1990" s="38">
        <v>4772</v>
      </c>
      <c r="P1990" s="46">
        <f>K1990*(VLOOKUP(B1990,$C$2:$F$6,3,FALSE))</f>
        <v>4.1829999999999998</v>
      </c>
      <c r="Q1990" s="703">
        <v>4.18</v>
      </c>
      <c r="R1990" s="703">
        <f>Q1990*J1990</f>
        <v>209</v>
      </c>
      <c r="S1990" s="7">
        <v>320</v>
      </c>
      <c r="T1990" s="7">
        <f>S1990*J1990</f>
        <v>16000</v>
      </c>
      <c r="U1990" s="23"/>
      <c r="V1990" s="494">
        <v>120</v>
      </c>
    </row>
    <row r="1991" spans="2:23" ht="15.95" customHeight="1">
      <c r="C1991" s="6" t="s">
        <v>3612</v>
      </c>
      <c r="D1991" s="15" t="s">
        <v>169</v>
      </c>
      <c r="E1991" s="228"/>
      <c r="F1991" s="160"/>
      <c r="G1991" s="42" t="s">
        <v>1993</v>
      </c>
      <c r="H1991" s="214"/>
      <c r="I1991" s="215"/>
      <c r="J1991" s="43">
        <v>1</v>
      </c>
      <c r="K1991" s="229">
        <v>12</v>
      </c>
      <c r="L1991" s="229">
        <v>0</v>
      </c>
      <c r="M1991" s="969"/>
      <c r="N1991" s="39">
        <v>44897</v>
      </c>
      <c r="O1991" s="38">
        <v>4772</v>
      </c>
      <c r="P1991" s="692"/>
      <c r="Q1991" s="970">
        <v>0</v>
      </c>
      <c r="R1991" s="970">
        <v>0</v>
      </c>
      <c r="S1991" s="971">
        <v>1800</v>
      </c>
      <c r="T1991" s="564">
        <f>S1991*J1991</f>
        <v>1800</v>
      </c>
      <c r="U1991" s="667"/>
      <c r="V1991" s="547">
        <v>120</v>
      </c>
      <c r="W1991"/>
    </row>
    <row r="1992" spans="2:23" s="314" customFormat="1" ht="18" customHeight="1">
      <c r="B1992" s="313"/>
      <c r="C1992" s="302" t="s">
        <v>3612</v>
      </c>
      <c r="D1992" s="303" t="s">
        <v>169</v>
      </c>
      <c r="E1992" s="304"/>
      <c r="F1992" s="305"/>
      <c r="G1992" s="305" t="s">
        <v>1227</v>
      </c>
      <c r="H1992" s="307" t="s">
        <v>3438</v>
      </c>
      <c r="I1992" s="308"/>
      <c r="J1992" s="306"/>
      <c r="K1992" s="329">
        <v>220</v>
      </c>
      <c r="L1992" s="329">
        <v>220</v>
      </c>
      <c r="M1992" s="1327"/>
      <c r="N1992" s="310">
        <v>44921</v>
      </c>
      <c r="O1992" s="309">
        <v>4863</v>
      </c>
      <c r="P1992" s="1328"/>
      <c r="Q1992" s="527">
        <v>220</v>
      </c>
      <c r="R1992" s="929">
        <v>220</v>
      </c>
      <c r="S1992" s="536">
        <v>23251</v>
      </c>
      <c r="T1992" s="536">
        <v>23251</v>
      </c>
      <c r="U1992" s="1329"/>
      <c r="V1992" s="494">
        <v>120</v>
      </c>
    </row>
    <row r="1993" spans="2:23" s="7" customFormat="1" ht="18" customHeight="1">
      <c r="B1993" s="12"/>
      <c r="C1993" s="6" t="s">
        <v>3611</v>
      </c>
      <c r="D1993" s="15" t="s">
        <v>3120</v>
      </c>
      <c r="E1993" s="7" t="s">
        <v>2306</v>
      </c>
      <c r="F1993" s="700"/>
      <c r="G1993" s="640"/>
      <c r="H1993" s="641"/>
      <c r="I1993" s="701"/>
      <c r="J1993" s="702"/>
      <c r="K1993" s="153" t="s">
        <v>10</v>
      </c>
      <c r="L1993" s="219"/>
      <c r="M1993" s="11"/>
      <c r="N1993" s="39">
        <v>44896</v>
      </c>
      <c r="O1993" s="38">
        <v>4796</v>
      </c>
      <c r="P1993" s="6"/>
      <c r="Q1993" s="703"/>
      <c r="U1993" s="46"/>
      <c r="V1993" s="494">
        <v>120</v>
      </c>
    </row>
    <row r="1994" spans="2:23" ht="18" customHeight="1">
      <c r="B1994" s="28" t="s">
        <v>1856</v>
      </c>
      <c r="C1994" s="6" t="s">
        <v>3611</v>
      </c>
      <c r="D1994" s="15" t="s">
        <v>3120</v>
      </c>
      <c r="E1994" s="24" t="s">
        <v>18</v>
      </c>
      <c r="F1994" s="44">
        <v>30</v>
      </c>
      <c r="G1994" s="24" t="s">
        <v>2727</v>
      </c>
      <c r="H1994" s="151">
        <v>30</v>
      </c>
      <c r="I1994" s="152">
        <v>1</v>
      </c>
      <c r="J1994" s="67">
        <f>H1994*I1994</f>
        <v>30</v>
      </c>
      <c r="K1994" s="46">
        <v>4.26</v>
      </c>
      <c r="L1994" s="46">
        <f>K1994*J1994</f>
        <v>127.8</v>
      </c>
      <c r="M1994" s="162" t="s">
        <v>2219</v>
      </c>
      <c r="N1994" s="39">
        <v>44896</v>
      </c>
      <c r="O1994" s="38">
        <v>4796</v>
      </c>
      <c r="P1994" s="46">
        <f>K1994*(VLOOKUP(B1994,$C$2:$F$6,3,FALSE))</f>
        <v>3.7487999999999997</v>
      </c>
      <c r="Q1994" s="482">
        <v>3.75</v>
      </c>
      <c r="R1994" s="704">
        <f>Q1994*J1994</f>
        <v>112.5</v>
      </c>
      <c r="S1994" s="489">
        <v>230</v>
      </c>
      <c r="T1994" s="113">
        <f>S1994*J1994</f>
        <v>6900</v>
      </c>
      <c r="U1994" s="507"/>
      <c r="V1994" s="494">
        <v>120</v>
      </c>
      <c r="W1994"/>
    </row>
    <row r="1995" spans="2:23" ht="15.95" customHeight="1">
      <c r="B1995" s="12" t="s">
        <v>1862</v>
      </c>
      <c r="C1995" s="6" t="s">
        <v>3611</v>
      </c>
      <c r="D1995" s="15" t="s">
        <v>3120</v>
      </c>
      <c r="E1995" s="24"/>
      <c r="F1995" s="138"/>
      <c r="G1995" s="44" t="s">
        <v>1993</v>
      </c>
      <c r="H1995" s="8"/>
      <c r="I1995" s="41"/>
      <c r="J1995" s="45">
        <v>1</v>
      </c>
      <c r="K1995" s="46">
        <v>12</v>
      </c>
      <c r="L1995" s="46">
        <f>K1995*J1995</f>
        <v>12</v>
      </c>
      <c r="M1995" s="112"/>
      <c r="N1995" s="39">
        <v>44896</v>
      </c>
      <c r="O1995" s="38">
        <v>4796</v>
      </c>
      <c r="P1995" s="46">
        <f>K1995*(VLOOKUP(B1995,$C$2:$F$6,3,FALSE))</f>
        <v>12</v>
      </c>
      <c r="Q1995" s="483">
        <v>12</v>
      </c>
      <c r="R1995" s="704">
        <f>Q1995*J1995</f>
        <v>12</v>
      </c>
      <c r="S1995" s="489">
        <v>1000</v>
      </c>
      <c r="T1995" s="567">
        <f>S1995*J1995</f>
        <v>1000</v>
      </c>
      <c r="U1995" s="511"/>
      <c r="V1995" s="494">
        <v>120</v>
      </c>
      <c r="W1995"/>
    </row>
    <row r="1996" spans="2:23" s="314" customFormat="1" ht="15">
      <c r="B1996" s="313"/>
      <c r="C1996" s="302" t="s">
        <v>3611</v>
      </c>
      <c r="D1996" s="303" t="s">
        <v>3120</v>
      </c>
      <c r="E1996" s="371"/>
      <c r="F1996" s="305"/>
      <c r="G1996" s="305" t="s">
        <v>1227</v>
      </c>
      <c r="H1996" s="307" t="s">
        <v>1228</v>
      </c>
      <c r="I1996" s="308"/>
      <c r="J1996" s="306"/>
      <c r="K1996" s="315">
        <v>0</v>
      </c>
      <c r="L1996" s="310"/>
      <c r="M1996" s="310"/>
      <c r="N1996" s="310">
        <v>44896</v>
      </c>
      <c r="O1996" s="309">
        <v>4796</v>
      </c>
      <c r="P1996" s="302"/>
      <c r="Q1996" s="485">
        <v>0</v>
      </c>
      <c r="R1996" s="704">
        <v>0</v>
      </c>
      <c r="S1996" s="536">
        <v>0</v>
      </c>
      <c r="T1996" s="322">
        <v>0</v>
      </c>
      <c r="U1996" s="515"/>
      <c r="V1996" s="494">
        <v>120</v>
      </c>
    </row>
    <row r="1997" spans="2:23" ht="15">
      <c r="C1997" s="6" t="s">
        <v>3634</v>
      </c>
      <c r="D1997" s="15" t="s">
        <v>2251</v>
      </c>
      <c r="E1997" s="20" t="s">
        <v>79</v>
      </c>
      <c r="F1997" s="150"/>
      <c r="G1997" s="24"/>
      <c r="H1997" s="151"/>
      <c r="I1997" s="152"/>
      <c r="J1997" s="151"/>
      <c r="K1997" s="153" t="s">
        <v>10</v>
      </c>
      <c r="L1997" s="11"/>
      <c r="M1997" s="11"/>
      <c r="N1997" s="39">
        <v>44904</v>
      </c>
      <c r="O1997" s="38">
        <v>4821</v>
      </c>
      <c r="P1997" s="15"/>
      <c r="Q1997" s="483"/>
      <c r="S1997" s="489"/>
      <c r="V1997" s="494">
        <v>120</v>
      </c>
      <c r="W1997"/>
    </row>
    <row r="1998" spans="2:23" ht="15.75">
      <c r="B1998" s="28" t="s">
        <v>1858</v>
      </c>
      <c r="C1998" s="6" t="s">
        <v>3634</v>
      </c>
      <c r="D1998" s="15" t="s">
        <v>2251</v>
      </c>
      <c r="E1998" s="24" t="s">
        <v>1157</v>
      </c>
      <c r="F1998" s="150">
        <v>148</v>
      </c>
      <c r="G1998" s="24" t="s">
        <v>3635</v>
      </c>
      <c r="H1998" s="8">
        <v>10</v>
      </c>
      <c r="I1998" s="41">
        <v>1</v>
      </c>
      <c r="J1998" s="8">
        <f>H1998*I1998</f>
        <v>10</v>
      </c>
      <c r="K1998" s="46">
        <v>17.940000000000001</v>
      </c>
      <c r="L1998" s="46">
        <f>K1998*J1998</f>
        <v>179.4</v>
      </c>
      <c r="M1998" s="162" t="s">
        <v>2219</v>
      </c>
      <c r="N1998" s="39">
        <v>44904</v>
      </c>
      <c r="O1998" s="38">
        <v>4821</v>
      </c>
      <c r="P1998" s="46">
        <f>K1998*(VLOOKUP(B1998,$C$2:$F$6,3,FALSE))</f>
        <v>16.863600000000002</v>
      </c>
      <c r="Q1998" s="483">
        <v>16.86</v>
      </c>
      <c r="R1998" s="704">
        <f>Q1998*J1998</f>
        <v>168.6</v>
      </c>
      <c r="S1998" s="1368">
        <v>1650</v>
      </c>
      <c r="T1998" s="567">
        <f>S1998*J1998</f>
        <v>16500</v>
      </c>
      <c r="U1998" s="1598"/>
      <c r="V1998" s="494">
        <v>120</v>
      </c>
      <c r="W1998"/>
    </row>
    <row r="1999" spans="2:23" ht="15">
      <c r="C1999" s="6" t="s">
        <v>3634</v>
      </c>
      <c r="D1999" s="15" t="s">
        <v>2251</v>
      </c>
      <c r="E1999" s="24"/>
      <c r="F1999" s="138"/>
      <c r="G1999" s="44" t="s">
        <v>1075</v>
      </c>
      <c r="H1999" s="8"/>
      <c r="I1999" s="41"/>
      <c r="J1999" s="45">
        <v>1</v>
      </c>
      <c r="K1999" s="46">
        <v>12</v>
      </c>
      <c r="L1999" s="46">
        <f>K1999*J1999</f>
        <v>12</v>
      </c>
      <c r="M1999" s="112"/>
      <c r="N1999" s="39">
        <v>44904</v>
      </c>
      <c r="O1999" s="38">
        <v>4821</v>
      </c>
      <c r="P1999" s="46" t="e">
        <f>K1999*(VLOOKUP(B1999,$C$2:$F$6,3,FALSE))</f>
        <v>#N/A</v>
      </c>
      <c r="Q1999" s="483">
        <v>12</v>
      </c>
      <c r="R1999" s="704">
        <f>Q1999*J1999</f>
        <v>12</v>
      </c>
      <c r="S1999" s="489">
        <v>1000</v>
      </c>
      <c r="T1999" s="567">
        <f>S1999*J1999</f>
        <v>1000</v>
      </c>
      <c r="V1999" s="494">
        <v>120</v>
      </c>
      <c r="W1999"/>
    </row>
    <row r="2000" spans="2:23" ht="15">
      <c r="C2000" s="6" t="s">
        <v>3634</v>
      </c>
      <c r="D2000" s="15" t="s">
        <v>2251</v>
      </c>
      <c r="E2000" s="24"/>
      <c r="F2000" s="138"/>
      <c r="G2000" s="44" t="s">
        <v>1993</v>
      </c>
      <c r="H2000" s="8"/>
      <c r="I2000" s="41"/>
      <c r="J2000" s="45">
        <v>1</v>
      </c>
      <c r="K2000" s="46">
        <v>20</v>
      </c>
      <c r="L2000" s="46">
        <f>K2000*J2000</f>
        <v>20</v>
      </c>
      <c r="M2000" s="112"/>
      <c r="N2000" s="39">
        <v>44904</v>
      </c>
      <c r="O2000" s="38">
        <v>4821</v>
      </c>
      <c r="P2000" s="46" t="e">
        <f>K2000*(VLOOKUP(B2000,$C$2:$F$6,3,FALSE))</f>
        <v>#N/A</v>
      </c>
      <c r="Q2000" s="483">
        <v>20</v>
      </c>
      <c r="R2000" s="704">
        <f>Q2000*J2000</f>
        <v>20</v>
      </c>
      <c r="S2000" s="489">
        <v>1000</v>
      </c>
      <c r="T2000" s="567">
        <f>S2000*J2000</f>
        <v>1000</v>
      </c>
      <c r="V2000" s="494">
        <v>120</v>
      </c>
      <c r="W2000"/>
    </row>
    <row r="2001" spans="2:23" s="314" customFormat="1" ht="15">
      <c r="B2001" s="313"/>
      <c r="C2001" s="302" t="s">
        <v>3634</v>
      </c>
      <c r="D2001" s="303" t="s">
        <v>2251</v>
      </c>
      <c r="E2001" s="304"/>
      <c r="F2001" s="305"/>
      <c r="G2001" s="305" t="s">
        <v>1227</v>
      </c>
      <c r="H2001" s="307" t="s">
        <v>1243</v>
      </c>
      <c r="I2001" s="308"/>
      <c r="J2001" s="306"/>
      <c r="K2001" s="329">
        <v>41</v>
      </c>
      <c r="L2001" s="329">
        <v>41</v>
      </c>
      <c r="M2001" s="310"/>
      <c r="N2001" s="310">
        <v>44904</v>
      </c>
      <c r="O2001" s="309">
        <v>4821</v>
      </c>
      <c r="P2001" s="302"/>
      <c r="Q2001" s="329">
        <v>41</v>
      </c>
      <c r="R2001" s="329">
        <v>41</v>
      </c>
      <c r="S2001" s="536">
        <v>4918</v>
      </c>
      <c r="T2001" s="536">
        <v>4918</v>
      </c>
      <c r="U2001" s="515"/>
      <c r="V2001" s="494">
        <v>120</v>
      </c>
    </row>
    <row r="2002" spans="2:23" ht="15">
      <c r="C2002" s="6" t="s">
        <v>3649</v>
      </c>
      <c r="D2002" s="15" t="s">
        <v>11</v>
      </c>
      <c r="E2002" s="20" t="s">
        <v>79</v>
      </c>
      <c r="F2002" s="150"/>
      <c r="G2002" s="24"/>
      <c r="H2002" s="151"/>
      <c r="I2002" s="152"/>
      <c r="J2002" s="151"/>
      <c r="K2002" s="153" t="s">
        <v>10</v>
      </c>
      <c r="L2002" s="39"/>
      <c r="M2002" s="39"/>
      <c r="N2002" s="39">
        <v>44931</v>
      </c>
      <c r="O2002" s="38">
        <v>4868</v>
      </c>
      <c r="P2002" s="15"/>
      <c r="Q2002" s="483"/>
      <c r="S2002" s="496"/>
      <c r="T2002" s="113"/>
      <c r="V2002" s="494">
        <v>120</v>
      </c>
      <c r="W2002"/>
    </row>
    <row r="2003" spans="2:23" ht="15.75">
      <c r="B2003" s="12" t="s">
        <v>1858</v>
      </c>
      <c r="C2003" s="6" t="s">
        <v>3649</v>
      </c>
      <c r="D2003" s="15" t="s">
        <v>11</v>
      </c>
      <c r="E2003" s="24">
        <v>2440</v>
      </c>
      <c r="F2003" s="150">
        <v>140</v>
      </c>
      <c r="G2003" s="24" t="s">
        <v>859</v>
      </c>
      <c r="H2003" s="67">
        <v>58</v>
      </c>
      <c r="I2003" s="68">
        <v>6</v>
      </c>
      <c r="J2003" s="67">
        <f>H2003*I2003</f>
        <v>348</v>
      </c>
      <c r="K2003" s="46">
        <v>3.89</v>
      </c>
      <c r="L2003" s="46">
        <f>K2003*J2003</f>
        <v>1353.72</v>
      </c>
      <c r="M2003" s="162" t="s">
        <v>2219</v>
      </c>
      <c r="N2003" s="39">
        <v>44931</v>
      </c>
      <c r="O2003" s="38">
        <v>4868</v>
      </c>
      <c r="P2003" s="46">
        <f>K2003*(VLOOKUP(B2003,$C$2:$F$6,3,FALSE))</f>
        <v>3.6566000000000001</v>
      </c>
      <c r="Q2003" s="483">
        <v>3.66</v>
      </c>
      <c r="R2003" s="704">
        <f>Q2003*J2003</f>
        <v>1273.68</v>
      </c>
      <c r="S2003" s="532">
        <v>280</v>
      </c>
      <c r="T2003" s="567">
        <f>S2003*J2003</f>
        <v>97440</v>
      </c>
      <c r="V2003" s="494">
        <v>120</v>
      </c>
      <c r="W2003"/>
    </row>
    <row r="2004" spans="2:23" ht="15.75">
      <c r="B2004" s="12" t="s">
        <v>1858</v>
      </c>
      <c r="C2004" s="6" t="s">
        <v>3649</v>
      </c>
      <c r="D2004" s="15" t="s">
        <v>11</v>
      </c>
      <c r="E2004" s="24">
        <v>2440</v>
      </c>
      <c r="F2004" s="150">
        <v>140</v>
      </c>
      <c r="G2004" s="24" t="s">
        <v>859</v>
      </c>
      <c r="H2004" s="67">
        <v>68</v>
      </c>
      <c r="I2004" s="68">
        <v>12</v>
      </c>
      <c r="J2004" s="67">
        <f>H2004*I2004</f>
        <v>816</v>
      </c>
      <c r="K2004" s="46">
        <v>3.89</v>
      </c>
      <c r="L2004" s="46">
        <f>K2004*J2004</f>
        <v>3174.2400000000002</v>
      </c>
      <c r="M2004" s="162" t="s">
        <v>2219</v>
      </c>
      <c r="N2004" s="39">
        <v>44931</v>
      </c>
      <c r="O2004" s="38">
        <v>4868</v>
      </c>
      <c r="P2004" s="46">
        <f>K2004*(VLOOKUP(B2004,$C$2:$F$6,3,FALSE))</f>
        <v>3.6566000000000001</v>
      </c>
      <c r="Q2004" s="483">
        <v>3.66</v>
      </c>
      <c r="R2004" s="704">
        <f>Q2004*J2004</f>
        <v>2986.56</v>
      </c>
      <c r="S2004" s="532">
        <v>280</v>
      </c>
      <c r="T2004" s="567">
        <f>S2004*J2004</f>
        <v>228480</v>
      </c>
      <c r="V2004" s="494">
        <v>120</v>
      </c>
      <c r="W2004"/>
    </row>
    <row r="2005" spans="2:23" ht="15">
      <c r="C2005" s="6" t="s">
        <v>3649</v>
      </c>
      <c r="D2005" s="15" t="s">
        <v>11</v>
      </c>
      <c r="E2005" s="24"/>
      <c r="F2005" s="160"/>
      <c r="G2005" s="228" t="s">
        <v>481</v>
      </c>
      <c r="H2005" s="214"/>
      <c r="I2005" s="215"/>
      <c r="J2005" s="43">
        <v>1</v>
      </c>
      <c r="K2005" s="229">
        <v>20</v>
      </c>
      <c r="L2005" s="417" t="s">
        <v>1676</v>
      </c>
      <c r="M2005" s="417"/>
      <c r="N2005" s="39">
        <v>44931</v>
      </c>
      <c r="O2005" s="38">
        <v>4868</v>
      </c>
      <c r="P2005" s="216"/>
      <c r="Q2005" s="525">
        <v>0</v>
      </c>
      <c r="R2005" s="704">
        <f>Q2005*J2005</f>
        <v>0</v>
      </c>
      <c r="S2005" s="532">
        <v>1800</v>
      </c>
      <c r="T2005" s="113">
        <f>S2005*J2005</f>
        <v>1800</v>
      </c>
      <c r="V2005" s="494">
        <v>120</v>
      </c>
    </row>
    <row r="2006" spans="2:23" s="314" customFormat="1" ht="15">
      <c r="B2006" s="313"/>
      <c r="C2006" s="302" t="s">
        <v>3649</v>
      </c>
      <c r="D2006" s="303" t="s">
        <v>11</v>
      </c>
      <c r="E2006" s="304"/>
      <c r="F2006" s="305"/>
      <c r="G2006" s="305" t="s">
        <v>1227</v>
      </c>
      <c r="H2006" s="307" t="s">
        <v>1228</v>
      </c>
      <c r="I2006" s="308"/>
      <c r="J2006" s="306"/>
      <c r="K2006" s="315">
        <v>0</v>
      </c>
      <c r="L2006" s="310"/>
      <c r="M2006" s="310"/>
      <c r="N2006" s="310">
        <v>44931</v>
      </c>
      <c r="O2006" s="309">
        <v>4868</v>
      </c>
      <c r="P2006" s="302"/>
      <c r="Q2006" s="485">
        <v>0</v>
      </c>
      <c r="S2006" s="535">
        <v>0</v>
      </c>
      <c r="T2006" s="322">
        <v>0</v>
      </c>
      <c r="U2006" s="515"/>
      <c r="V2006" s="494">
        <v>120</v>
      </c>
    </row>
    <row r="2007" spans="2:23" ht="15">
      <c r="C2007" s="6" t="s">
        <v>3651</v>
      </c>
      <c r="D2007" s="15" t="s">
        <v>11</v>
      </c>
      <c r="E2007" s="20" t="s">
        <v>79</v>
      </c>
      <c r="F2007" s="150"/>
      <c r="G2007" s="24"/>
      <c r="H2007" s="151"/>
      <c r="I2007" s="152"/>
      <c r="J2007" s="151"/>
      <c r="K2007" s="153" t="s">
        <v>10</v>
      </c>
      <c r="L2007" s="39"/>
      <c r="M2007" s="39"/>
      <c r="N2007" s="39">
        <v>44965</v>
      </c>
      <c r="O2007" s="38">
        <v>4966</v>
      </c>
      <c r="P2007" s="15"/>
      <c r="Q2007" s="483"/>
      <c r="S2007" s="496"/>
      <c r="T2007" s="113"/>
      <c r="V2007" s="494">
        <v>120</v>
      </c>
      <c r="W2007"/>
    </row>
    <row r="2008" spans="2:23" ht="15.75">
      <c r="B2008" s="12" t="s">
        <v>1858</v>
      </c>
      <c r="C2008" s="6" t="s">
        <v>3651</v>
      </c>
      <c r="D2008" s="15" t="s">
        <v>11</v>
      </c>
      <c r="E2008" s="24" t="s">
        <v>3067</v>
      </c>
      <c r="F2008" s="150">
        <v>152</v>
      </c>
      <c r="G2008" s="24" t="s">
        <v>859</v>
      </c>
      <c r="H2008" s="67">
        <v>58</v>
      </c>
      <c r="I2008" s="68">
        <v>16</v>
      </c>
      <c r="J2008" s="67">
        <f>H2008*I2008</f>
        <v>928</v>
      </c>
      <c r="K2008" s="46">
        <v>3.89</v>
      </c>
      <c r="L2008" s="46">
        <f>K2008*J2008</f>
        <v>3609.92</v>
      </c>
      <c r="M2008" s="162" t="s">
        <v>2219</v>
      </c>
      <c r="N2008" s="39">
        <v>44965</v>
      </c>
      <c r="O2008" s="38">
        <v>4966</v>
      </c>
      <c r="P2008" s="46">
        <f>K2008*(VLOOKUP(B2008,$C$2:$F$6,3,FALSE))</f>
        <v>3.6566000000000001</v>
      </c>
      <c r="Q2008" s="483">
        <v>3.66</v>
      </c>
      <c r="R2008" s="704">
        <f>Q2008*J2008</f>
        <v>3396.48</v>
      </c>
      <c r="S2008" s="532">
        <v>220</v>
      </c>
      <c r="T2008" s="567">
        <f>S2008*J2008</f>
        <v>204160</v>
      </c>
      <c r="V2008" s="494">
        <v>120</v>
      </c>
      <c r="W2008"/>
    </row>
    <row r="2009" spans="2:23" ht="15.75">
      <c r="B2009" s="12" t="s">
        <v>1858</v>
      </c>
      <c r="C2009" s="6" t="s">
        <v>3651</v>
      </c>
      <c r="D2009" s="15" t="s">
        <v>11</v>
      </c>
      <c r="E2009" s="24" t="s">
        <v>3067</v>
      </c>
      <c r="F2009" s="150">
        <v>152</v>
      </c>
      <c r="G2009" s="24" t="s">
        <v>859</v>
      </c>
      <c r="H2009" s="67">
        <v>65</v>
      </c>
      <c r="I2009" s="68">
        <v>2</v>
      </c>
      <c r="J2009" s="67">
        <f>H2009*I2009</f>
        <v>130</v>
      </c>
      <c r="K2009" s="46">
        <v>3.89</v>
      </c>
      <c r="L2009" s="46">
        <f>K2009*J2009</f>
        <v>505.7</v>
      </c>
      <c r="M2009" s="162" t="s">
        <v>2219</v>
      </c>
      <c r="N2009" s="39">
        <v>44965</v>
      </c>
      <c r="O2009" s="38">
        <v>4966</v>
      </c>
      <c r="P2009" s="46">
        <f>K2009*(VLOOKUP(B2009,$C$2:$F$6,3,FALSE))</f>
        <v>3.6566000000000001</v>
      </c>
      <c r="Q2009" s="483">
        <v>3.66</v>
      </c>
      <c r="R2009" s="704">
        <f>Q2009*J2009</f>
        <v>475.8</v>
      </c>
      <c r="S2009" s="532">
        <v>220</v>
      </c>
      <c r="T2009" s="567">
        <f>S2009*J2009</f>
        <v>28600</v>
      </c>
      <c r="V2009" s="494">
        <v>120</v>
      </c>
      <c r="W2009"/>
    </row>
    <row r="2010" spans="2:23" ht="15.75">
      <c r="B2010" s="12" t="s">
        <v>1858</v>
      </c>
      <c r="C2010" s="6" t="s">
        <v>3651</v>
      </c>
      <c r="D2010" s="15" t="s">
        <v>11</v>
      </c>
      <c r="E2010" s="24" t="s">
        <v>3067</v>
      </c>
      <c r="F2010" s="150">
        <v>152</v>
      </c>
      <c r="G2010" s="24" t="s">
        <v>859</v>
      </c>
      <c r="H2010" s="67">
        <v>68</v>
      </c>
      <c r="I2010" s="68">
        <v>2</v>
      </c>
      <c r="J2010" s="67">
        <f>H2010*I2010</f>
        <v>136</v>
      </c>
      <c r="K2010" s="46">
        <v>3.89</v>
      </c>
      <c r="L2010" s="46">
        <f>K2010*J2010</f>
        <v>529.04</v>
      </c>
      <c r="M2010" s="162" t="s">
        <v>2219</v>
      </c>
      <c r="N2010" s="39">
        <v>44965</v>
      </c>
      <c r="O2010" s="38">
        <v>4966</v>
      </c>
      <c r="P2010" s="46">
        <f>K2010*(VLOOKUP(B2010,$C$2:$F$6,3,FALSE))</f>
        <v>3.6566000000000001</v>
      </c>
      <c r="Q2010" s="483">
        <v>3.66</v>
      </c>
      <c r="R2010" s="704">
        <f>Q2010*J2010</f>
        <v>497.76</v>
      </c>
      <c r="S2010" s="532">
        <v>220</v>
      </c>
      <c r="T2010" s="567">
        <f>S2010*J2010</f>
        <v>29920</v>
      </c>
      <c r="V2010" s="494">
        <v>120</v>
      </c>
      <c r="W2010"/>
    </row>
    <row r="2011" spans="2:23" ht="15">
      <c r="C2011" s="6" t="s">
        <v>3651</v>
      </c>
      <c r="D2011" s="15" t="s">
        <v>11</v>
      </c>
      <c r="E2011" s="24"/>
      <c r="F2011" s="160"/>
      <c r="G2011" s="228" t="s">
        <v>31</v>
      </c>
      <c r="H2011" s="214"/>
      <c r="I2011" s="215"/>
      <c r="J2011" s="43">
        <v>1</v>
      </c>
      <c r="K2011" s="229">
        <v>20</v>
      </c>
      <c r="L2011" s="417" t="s">
        <v>1676</v>
      </c>
      <c r="M2011" s="417"/>
      <c r="N2011" s="39">
        <v>44965</v>
      </c>
      <c r="O2011" s="38">
        <v>4966</v>
      </c>
      <c r="P2011" s="216"/>
      <c r="Q2011" s="525">
        <v>0</v>
      </c>
      <c r="R2011" s="704">
        <f>Q2011*J2011</f>
        <v>0</v>
      </c>
      <c r="S2011" s="532">
        <v>0</v>
      </c>
      <c r="T2011" s="113">
        <f>S2011*J2011</f>
        <v>0</v>
      </c>
      <c r="V2011" s="494">
        <v>120</v>
      </c>
    </row>
    <row r="2012" spans="2:23" s="314" customFormat="1" ht="15">
      <c r="B2012" s="313"/>
      <c r="C2012" s="302" t="s">
        <v>3651</v>
      </c>
      <c r="D2012" s="303" t="s">
        <v>11</v>
      </c>
      <c r="E2012" s="304"/>
      <c r="F2012" s="305"/>
      <c r="G2012" s="305" t="s">
        <v>1227</v>
      </c>
      <c r="H2012" s="307" t="s">
        <v>1228</v>
      </c>
      <c r="I2012" s="308"/>
      <c r="J2012" s="306"/>
      <c r="K2012" s="315">
        <v>0</v>
      </c>
      <c r="L2012" s="310"/>
      <c r="M2012" s="310"/>
      <c r="N2012" s="310">
        <v>44965</v>
      </c>
      <c r="O2012" s="309">
        <v>4966</v>
      </c>
      <c r="P2012" s="302"/>
      <c r="Q2012" s="485">
        <v>0</v>
      </c>
      <c r="S2012" s="535">
        <v>0</v>
      </c>
      <c r="T2012" s="322">
        <v>0</v>
      </c>
      <c r="U2012" s="515"/>
      <c r="V2012" s="494">
        <v>120</v>
      </c>
    </row>
    <row r="2013" spans="2:23" ht="15">
      <c r="C2013" s="6" t="s">
        <v>3652</v>
      </c>
      <c r="D2013" s="15" t="s">
        <v>11</v>
      </c>
      <c r="E2013" s="20" t="s">
        <v>79</v>
      </c>
      <c r="F2013" s="150"/>
      <c r="G2013" s="24"/>
      <c r="H2013" s="151"/>
      <c r="I2013" s="152"/>
      <c r="J2013" s="151"/>
      <c r="K2013" s="153" t="s">
        <v>10</v>
      </c>
      <c r="L2013" s="39"/>
      <c r="M2013" s="39"/>
      <c r="N2013" s="39">
        <v>44992</v>
      </c>
      <c r="O2013" s="38">
        <v>5044</v>
      </c>
      <c r="P2013" s="15"/>
      <c r="Q2013" s="483"/>
      <c r="S2013" s="496"/>
      <c r="T2013" s="113"/>
      <c r="V2013" s="494">
        <v>120</v>
      </c>
      <c r="W2013"/>
    </row>
    <row r="2014" spans="2:23" ht="15.75">
      <c r="B2014" s="12" t="s">
        <v>1858</v>
      </c>
      <c r="C2014" s="6" t="s">
        <v>3652</v>
      </c>
      <c r="D2014" s="15" t="s">
        <v>11</v>
      </c>
      <c r="E2014" s="24" t="s">
        <v>3067</v>
      </c>
      <c r="F2014" s="150">
        <v>152</v>
      </c>
      <c r="G2014" s="24" t="s">
        <v>859</v>
      </c>
      <c r="H2014" s="67">
        <v>58</v>
      </c>
      <c r="I2014" s="68">
        <v>15</v>
      </c>
      <c r="J2014" s="67">
        <f>H2014*I2014</f>
        <v>870</v>
      </c>
      <c r="K2014" s="46">
        <v>3.89</v>
      </c>
      <c r="L2014" s="46">
        <f>K2014*J2014</f>
        <v>3384.3</v>
      </c>
      <c r="M2014" s="162" t="s">
        <v>2219</v>
      </c>
      <c r="N2014" s="39">
        <v>44992</v>
      </c>
      <c r="O2014" s="38">
        <v>5044</v>
      </c>
      <c r="P2014" s="46">
        <f>K2014*(VLOOKUP(B2014,$C$2:$F$6,3,FALSE))</f>
        <v>3.6566000000000001</v>
      </c>
      <c r="Q2014" s="483">
        <v>3.66</v>
      </c>
      <c r="R2014" s="704">
        <f>Q2014*J2014</f>
        <v>3184.2000000000003</v>
      </c>
      <c r="S2014" s="532">
        <v>220</v>
      </c>
      <c r="T2014" s="567">
        <f>S2014*J2014</f>
        <v>191400</v>
      </c>
      <c r="V2014" s="494">
        <v>120</v>
      </c>
      <c r="W2014"/>
    </row>
    <row r="2015" spans="2:23" ht="15.75">
      <c r="B2015" s="12" t="s">
        <v>1858</v>
      </c>
      <c r="C2015" s="6" t="s">
        <v>3652</v>
      </c>
      <c r="D2015" s="15" t="s">
        <v>11</v>
      </c>
      <c r="E2015" s="24" t="s">
        <v>3067</v>
      </c>
      <c r="F2015" s="150">
        <v>152</v>
      </c>
      <c r="G2015" s="24" t="s">
        <v>859</v>
      </c>
      <c r="H2015" s="67">
        <v>66</v>
      </c>
      <c r="I2015" s="68">
        <v>3</v>
      </c>
      <c r="J2015" s="67">
        <f>H2015*I2015</f>
        <v>198</v>
      </c>
      <c r="K2015" s="46">
        <v>3.89</v>
      </c>
      <c r="L2015" s="46">
        <f>K2015*J2015</f>
        <v>770.22</v>
      </c>
      <c r="M2015" s="162" t="s">
        <v>2219</v>
      </c>
      <c r="N2015" s="39">
        <v>44992</v>
      </c>
      <c r="O2015" s="38">
        <v>5044</v>
      </c>
      <c r="P2015" s="46">
        <f>K2015*(VLOOKUP(B2015,$C$2:$F$6,3,FALSE))</f>
        <v>3.6566000000000001</v>
      </c>
      <c r="Q2015" s="483">
        <v>3.66</v>
      </c>
      <c r="R2015" s="704">
        <f>Q2015*J2015</f>
        <v>724.68000000000006</v>
      </c>
      <c r="S2015" s="532">
        <v>220</v>
      </c>
      <c r="T2015" s="567">
        <f>S2015*J2015</f>
        <v>43560</v>
      </c>
      <c r="V2015" s="494">
        <v>120</v>
      </c>
      <c r="W2015"/>
    </row>
    <row r="2016" spans="2:23" ht="15.75">
      <c r="B2016" s="12" t="s">
        <v>1858</v>
      </c>
      <c r="C2016" s="6" t="s">
        <v>3652</v>
      </c>
      <c r="D2016" s="15" t="s">
        <v>11</v>
      </c>
      <c r="E2016" s="24" t="s">
        <v>3067</v>
      </c>
      <c r="F2016" s="150">
        <v>152</v>
      </c>
      <c r="G2016" s="24" t="s">
        <v>859</v>
      </c>
      <c r="H2016" s="67">
        <v>68</v>
      </c>
      <c r="I2016" s="68">
        <v>2</v>
      </c>
      <c r="J2016" s="67">
        <f>H2016*I2016</f>
        <v>136</v>
      </c>
      <c r="K2016" s="46">
        <v>3.89</v>
      </c>
      <c r="L2016" s="46">
        <f>K2016*J2016</f>
        <v>529.04</v>
      </c>
      <c r="M2016" s="162" t="s">
        <v>2219</v>
      </c>
      <c r="N2016" s="39">
        <v>44992</v>
      </c>
      <c r="O2016" s="38">
        <v>5044</v>
      </c>
      <c r="P2016" s="46">
        <f>K2016*(VLOOKUP(B2016,$C$2:$F$6,3,FALSE))</f>
        <v>3.6566000000000001</v>
      </c>
      <c r="Q2016" s="483">
        <v>3.66</v>
      </c>
      <c r="R2016" s="704">
        <f>Q2016*J2016</f>
        <v>497.76</v>
      </c>
      <c r="S2016" s="532">
        <v>220</v>
      </c>
      <c r="T2016" s="567">
        <f>S2016*J2016</f>
        <v>29920</v>
      </c>
      <c r="V2016" s="494">
        <v>120</v>
      </c>
      <c r="W2016"/>
    </row>
    <row r="2017" spans="2:23" ht="15">
      <c r="C2017" s="6" t="s">
        <v>3652</v>
      </c>
      <c r="D2017" s="15" t="s">
        <v>11</v>
      </c>
      <c r="E2017" s="24"/>
      <c r="F2017" s="160"/>
      <c r="G2017" s="228" t="s">
        <v>31</v>
      </c>
      <c r="H2017" s="214"/>
      <c r="I2017" s="215"/>
      <c r="J2017" s="43">
        <v>1</v>
      </c>
      <c r="K2017" s="229">
        <v>20</v>
      </c>
      <c r="L2017" s="417" t="s">
        <v>1676</v>
      </c>
      <c r="M2017" s="417"/>
      <c r="N2017" s="39">
        <v>44992</v>
      </c>
      <c r="O2017" s="38">
        <v>5044</v>
      </c>
      <c r="P2017" s="216"/>
      <c r="Q2017" s="525">
        <v>0</v>
      </c>
      <c r="R2017" s="704">
        <f>Q2017*J2017</f>
        <v>0</v>
      </c>
      <c r="S2017" s="532">
        <v>0</v>
      </c>
      <c r="T2017" s="113">
        <f>S2017*J2017</f>
        <v>0</v>
      </c>
      <c r="V2017" s="494">
        <v>120</v>
      </c>
    </row>
    <row r="2018" spans="2:23" s="314" customFormat="1" ht="15">
      <c r="B2018" s="313"/>
      <c r="C2018" s="302" t="s">
        <v>3652</v>
      </c>
      <c r="D2018" s="303" t="s">
        <v>11</v>
      </c>
      <c r="E2018" s="304"/>
      <c r="F2018" s="305"/>
      <c r="G2018" s="305" t="s">
        <v>1227</v>
      </c>
      <c r="H2018" s="307" t="s">
        <v>1228</v>
      </c>
      <c r="I2018" s="308"/>
      <c r="J2018" s="306"/>
      <c r="K2018" s="315">
        <v>0</v>
      </c>
      <c r="L2018" s="310"/>
      <c r="M2018" s="310"/>
      <c r="N2018" s="310">
        <v>44992</v>
      </c>
      <c r="O2018" s="309">
        <v>5044</v>
      </c>
      <c r="P2018" s="302"/>
      <c r="Q2018" s="485">
        <v>0</v>
      </c>
      <c r="S2018" s="535">
        <v>0</v>
      </c>
      <c r="T2018" s="322">
        <v>0</v>
      </c>
      <c r="U2018" s="515"/>
      <c r="V2018" s="494">
        <v>120</v>
      </c>
    </row>
    <row r="2019" spans="2:23" ht="15">
      <c r="C2019" s="6" t="s">
        <v>3653</v>
      </c>
      <c r="D2019" s="15" t="s">
        <v>11</v>
      </c>
      <c r="E2019" s="20" t="s">
        <v>79</v>
      </c>
      <c r="F2019" s="150"/>
      <c r="G2019" s="24"/>
      <c r="H2019" s="151"/>
      <c r="I2019" s="152"/>
      <c r="J2019" s="151"/>
      <c r="K2019" s="153" t="s">
        <v>10</v>
      </c>
      <c r="L2019" s="39"/>
      <c r="M2019" s="39"/>
      <c r="N2019" s="39">
        <v>45022</v>
      </c>
      <c r="O2019" s="38">
        <v>5133</v>
      </c>
      <c r="P2019" s="15"/>
      <c r="Q2019" s="483"/>
      <c r="S2019" s="496"/>
      <c r="T2019" s="113"/>
      <c r="V2019" s="494">
        <v>120</v>
      </c>
      <c r="W2019"/>
    </row>
    <row r="2020" spans="2:23" ht="15.75">
      <c r="B2020" s="12" t="s">
        <v>1858</v>
      </c>
      <c r="C2020" s="6" t="s">
        <v>3653</v>
      </c>
      <c r="D2020" s="15" t="s">
        <v>11</v>
      </c>
      <c r="E2020" s="24" t="s">
        <v>3067</v>
      </c>
      <c r="F2020" s="150">
        <v>152</v>
      </c>
      <c r="G2020" s="24" t="s">
        <v>859</v>
      </c>
      <c r="H2020" s="67">
        <v>58</v>
      </c>
      <c r="I2020" s="68">
        <v>15</v>
      </c>
      <c r="J2020" s="67">
        <f>H2020*I2020</f>
        <v>870</v>
      </c>
      <c r="K2020" s="46">
        <v>3.89</v>
      </c>
      <c r="L2020" s="46">
        <f>K2020*J2020</f>
        <v>3384.3</v>
      </c>
      <c r="M2020" s="162" t="s">
        <v>2219</v>
      </c>
      <c r="N2020" s="39">
        <v>45022</v>
      </c>
      <c r="O2020" s="38">
        <v>5133</v>
      </c>
      <c r="P2020" s="46">
        <f>K2020*(VLOOKUP(B2020,$C$2:$F$6,3,FALSE))</f>
        <v>3.6566000000000001</v>
      </c>
      <c r="Q2020" s="483">
        <v>3.66</v>
      </c>
      <c r="R2020" s="704">
        <f>Q2020*J2020</f>
        <v>3184.2000000000003</v>
      </c>
      <c r="S2020" s="532">
        <v>220</v>
      </c>
      <c r="T2020" s="567">
        <f>S2020*J2020</f>
        <v>191400</v>
      </c>
      <c r="V2020" s="494">
        <v>120</v>
      </c>
      <c r="W2020"/>
    </row>
    <row r="2021" spans="2:23" ht="15.75">
      <c r="B2021" s="12" t="s">
        <v>1858</v>
      </c>
      <c r="C2021" s="6" t="s">
        <v>3653</v>
      </c>
      <c r="D2021" s="15" t="s">
        <v>11</v>
      </c>
      <c r="E2021" s="24" t="s">
        <v>3067</v>
      </c>
      <c r="F2021" s="150">
        <v>152</v>
      </c>
      <c r="G2021" s="24" t="s">
        <v>859</v>
      </c>
      <c r="H2021" s="67">
        <v>66</v>
      </c>
      <c r="I2021" s="68">
        <v>3</v>
      </c>
      <c r="J2021" s="67">
        <f>H2021*I2021</f>
        <v>198</v>
      </c>
      <c r="K2021" s="46">
        <v>3.89</v>
      </c>
      <c r="L2021" s="46">
        <f>K2021*J2021</f>
        <v>770.22</v>
      </c>
      <c r="M2021" s="162" t="s">
        <v>2219</v>
      </c>
      <c r="N2021" s="39">
        <v>45022</v>
      </c>
      <c r="O2021" s="38">
        <v>5133</v>
      </c>
      <c r="P2021" s="46">
        <f>K2021*(VLOOKUP(B2021,$C$2:$F$6,3,FALSE))</f>
        <v>3.6566000000000001</v>
      </c>
      <c r="Q2021" s="483">
        <v>3.66</v>
      </c>
      <c r="R2021" s="704">
        <f>Q2021*J2021</f>
        <v>724.68000000000006</v>
      </c>
      <c r="S2021" s="532">
        <v>220</v>
      </c>
      <c r="T2021" s="567">
        <f>S2021*J2021</f>
        <v>43560</v>
      </c>
      <c r="V2021" s="494">
        <v>120</v>
      </c>
      <c r="W2021"/>
    </row>
    <row r="2022" spans="2:23" ht="15.75">
      <c r="B2022" s="12" t="s">
        <v>1858</v>
      </c>
      <c r="C2022" s="6" t="s">
        <v>3653</v>
      </c>
      <c r="D2022" s="15" t="s">
        <v>11</v>
      </c>
      <c r="E2022" s="24" t="s">
        <v>3067</v>
      </c>
      <c r="F2022" s="150">
        <v>152</v>
      </c>
      <c r="G2022" s="24" t="s">
        <v>859</v>
      </c>
      <c r="H2022" s="67">
        <v>68</v>
      </c>
      <c r="I2022" s="68">
        <v>2</v>
      </c>
      <c r="J2022" s="67">
        <f>H2022*I2022</f>
        <v>136</v>
      </c>
      <c r="K2022" s="46">
        <v>3.89</v>
      </c>
      <c r="L2022" s="46">
        <f>K2022*J2022</f>
        <v>529.04</v>
      </c>
      <c r="M2022" s="162" t="s">
        <v>2219</v>
      </c>
      <c r="N2022" s="39">
        <v>45022</v>
      </c>
      <c r="O2022" s="38">
        <v>5133</v>
      </c>
      <c r="P2022" s="46">
        <f>K2022*(VLOOKUP(B2022,$C$2:$F$6,3,FALSE))</f>
        <v>3.6566000000000001</v>
      </c>
      <c r="Q2022" s="483">
        <v>3.66</v>
      </c>
      <c r="R2022" s="704">
        <f>Q2022*J2022</f>
        <v>497.76</v>
      </c>
      <c r="S2022" s="532">
        <v>220</v>
      </c>
      <c r="T2022" s="567">
        <f>S2022*J2022</f>
        <v>29920</v>
      </c>
      <c r="V2022" s="494">
        <v>120</v>
      </c>
      <c r="W2022"/>
    </row>
    <row r="2023" spans="2:23" ht="15">
      <c r="C2023" s="6" t="s">
        <v>3653</v>
      </c>
      <c r="D2023" s="15" t="s">
        <v>11</v>
      </c>
      <c r="E2023" s="24"/>
      <c r="F2023" s="160"/>
      <c r="G2023" s="228" t="s">
        <v>31</v>
      </c>
      <c r="H2023" s="214"/>
      <c r="I2023" s="215"/>
      <c r="J2023" s="43">
        <v>1</v>
      </c>
      <c r="K2023" s="229">
        <v>20</v>
      </c>
      <c r="L2023" s="417" t="s">
        <v>1676</v>
      </c>
      <c r="M2023" s="417"/>
      <c r="N2023" s="39">
        <v>45022</v>
      </c>
      <c r="O2023" s="38">
        <v>5133</v>
      </c>
      <c r="P2023" s="216"/>
      <c r="Q2023" s="525">
        <v>0</v>
      </c>
      <c r="R2023" s="704">
        <f>Q2023*J2023</f>
        <v>0</v>
      </c>
      <c r="S2023" s="532">
        <v>0</v>
      </c>
      <c r="T2023" s="113">
        <f>S2023*J2023</f>
        <v>0</v>
      </c>
      <c r="V2023" s="494">
        <v>120</v>
      </c>
    </row>
    <row r="2024" spans="2:23" s="314" customFormat="1" ht="15">
      <c r="B2024" s="313"/>
      <c r="C2024" s="302" t="s">
        <v>3653</v>
      </c>
      <c r="D2024" s="303" t="s">
        <v>11</v>
      </c>
      <c r="E2024" s="304"/>
      <c r="F2024" s="305"/>
      <c r="G2024" s="305" t="s">
        <v>1227</v>
      </c>
      <c r="H2024" s="307" t="s">
        <v>1228</v>
      </c>
      <c r="I2024" s="308"/>
      <c r="J2024" s="306"/>
      <c r="K2024" s="315">
        <v>0</v>
      </c>
      <c r="L2024" s="310"/>
      <c r="M2024" s="310"/>
      <c r="N2024" s="310">
        <v>45022</v>
      </c>
      <c r="O2024" s="309">
        <v>5133</v>
      </c>
      <c r="P2024" s="302"/>
      <c r="Q2024" s="485">
        <v>0</v>
      </c>
      <c r="S2024" s="535">
        <v>0</v>
      </c>
      <c r="T2024" s="322">
        <v>0</v>
      </c>
      <c r="U2024" s="515"/>
      <c r="V2024" s="494">
        <v>120</v>
      </c>
    </row>
    <row r="2025" spans="2:23" ht="15">
      <c r="C2025" s="6" t="s">
        <v>3654</v>
      </c>
      <c r="D2025" s="15" t="s">
        <v>11</v>
      </c>
      <c r="E2025" s="20" t="s">
        <v>79</v>
      </c>
      <c r="F2025" s="150"/>
      <c r="G2025" s="24"/>
      <c r="H2025" s="151"/>
      <c r="I2025" s="152"/>
      <c r="J2025" s="151"/>
      <c r="K2025" s="153" t="s">
        <v>10</v>
      </c>
      <c r="L2025" s="39"/>
      <c r="M2025" s="39"/>
      <c r="N2025" s="39">
        <v>45048</v>
      </c>
      <c r="O2025" s="38">
        <v>5195</v>
      </c>
      <c r="P2025" s="15"/>
      <c r="Q2025" s="483"/>
      <c r="S2025" s="496"/>
      <c r="T2025" s="113"/>
      <c r="V2025" s="494">
        <v>120</v>
      </c>
      <c r="W2025"/>
    </row>
    <row r="2026" spans="2:23" ht="15.75">
      <c r="B2026" s="12" t="s">
        <v>1858</v>
      </c>
      <c r="C2026" s="6" t="s">
        <v>3654</v>
      </c>
      <c r="D2026" s="15" t="s">
        <v>11</v>
      </c>
      <c r="E2026" s="24" t="s">
        <v>3067</v>
      </c>
      <c r="F2026" s="150">
        <v>152</v>
      </c>
      <c r="G2026" s="24" t="s">
        <v>859</v>
      </c>
      <c r="H2026" s="67">
        <v>57</v>
      </c>
      <c r="I2026" s="68">
        <v>1</v>
      </c>
      <c r="J2026" s="67">
        <f>H2026*I2026</f>
        <v>57</v>
      </c>
      <c r="K2026" s="46">
        <v>3.89</v>
      </c>
      <c r="L2026" s="46">
        <f>K2026*J2026</f>
        <v>221.73000000000002</v>
      </c>
      <c r="M2026" s="162" t="s">
        <v>2219</v>
      </c>
      <c r="N2026" s="39">
        <v>45048</v>
      </c>
      <c r="O2026" s="38">
        <v>5195</v>
      </c>
      <c r="P2026" s="46">
        <f>K2026*(VLOOKUP(B2026,$C$2:$F$6,3,FALSE))</f>
        <v>3.6566000000000001</v>
      </c>
      <c r="Q2026" s="483">
        <v>3.66</v>
      </c>
      <c r="R2026" s="704">
        <f t="shared" ref="R2026:R2031" si="109">Q2026*J2026</f>
        <v>208.62</v>
      </c>
      <c r="S2026" s="532">
        <v>220</v>
      </c>
      <c r="T2026" s="567">
        <f t="shared" ref="T2026:T2031" si="110">S2026*J2026</f>
        <v>12540</v>
      </c>
      <c r="V2026" s="494">
        <v>120</v>
      </c>
      <c r="W2026"/>
    </row>
    <row r="2027" spans="2:23" ht="15.75">
      <c r="B2027" s="12" t="s">
        <v>1858</v>
      </c>
      <c r="C2027" s="6" t="s">
        <v>3654</v>
      </c>
      <c r="D2027" s="15" t="s">
        <v>11</v>
      </c>
      <c r="E2027" s="24" t="s">
        <v>3067</v>
      </c>
      <c r="F2027" s="150">
        <v>152</v>
      </c>
      <c r="G2027" s="24" t="s">
        <v>859</v>
      </c>
      <c r="H2027" s="67">
        <v>58</v>
      </c>
      <c r="I2027" s="68">
        <v>15</v>
      </c>
      <c r="J2027" s="67">
        <f>H2027*I2027</f>
        <v>870</v>
      </c>
      <c r="K2027" s="46">
        <v>3.89</v>
      </c>
      <c r="L2027" s="46">
        <f>K2027*J2027</f>
        <v>3384.3</v>
      </c>
      <c r="M2027" s="162" t="s">
        <v>2219</v>
      </c>
      <c r="N2027" s="39">
        <v>45048</v>
      </c>
      <c r="O2027" s="38">
        <v>5195</v>
      </c>
      <c r="P2027" s="46">
        <f>K2027*(VLOOKUP(B2027,$C$2:$F$6,3,FALSE))</f>
        <v>3.6566000000000001</v>
      </c>
      <c r="Q2027" s="483">
        <v>3.66</v>
      </c>
      <c r="R2027" s="704">
        <f t="shared" si="109"/>
        <v>3184.2000000000003</v>
      </c>
      <c r="S2027" s="532">
        <v>220</v>
      </c>
      <c r="T2027" s="567">
        <f t="shared" si="110"/>
        <v>191400</v>
      </c>
      <c r="V2027" s="494">
        <v>120</v>
      </c>
      <c r="W2027"/>
    </row>
    <row r="2028" spans="2:23" ht="15.75">
      <c r="B2028" s="12" t="s">
        <v>1858</v>
      </c>
      <c r="C2028" s="6" t="s">
        <v>3654</v>
      </c>
      <c r="D2028" s="15" t="s">
        <v>11</v>
      </c>
      <c r="E2028" s="24" t="s">
        <v>3067</v>
      </c>
      <c r="F2028" s="150">
        <v>152</v>
      </c>
      <c r="G2028" s="24" t="s">
        <v>859</v>
      </c>
      <c r="H2028" s="67">
        <v>64</v>
      </c>
      <c r="I2028" s="68">
        <v>1</v>
      </c>
      <c r="J2028" s="67">
        <f>H2028*I2028</f>
        <v>64</v>
      </c>
      <c r="K2028" s="46">
        <v>3.89</v>
      </c>
      <c r="L2028" s="46">
        <f>K2028*J2028</f>
        <v>248.96</v>
      </c>
      <c r="M2028" s="162" t="s">
        <v>2219</v>
      </c>
      <c r="N2028" s="39">
        <v>45048</v>
      </c>
      <c r="O2028" s="38">
        <v>5195</v>
      </c>
      <c r="P2028" s="46">
        <f>K2028*(VLOOKUP(B2028,$C$2:$F$6,3,FALSE))</f>
        <v>3.6566000000000001</v>
      </c>
      <c r="Q2028" s="483">
        <v>3.66</v>
      </c>
      <c r="R2028" s="704">
        <f t="shared" si="109"/>
        <v>234.24</v>
      </c>
      <c r="S2028" s="532">
        <v>220</v>
      </c>
      <c r="T2028" s="567">
        <f t="shared" si="110"/>
        <v>14080</v>
      </c>
      <c r="V2028" s="494">
        <v>120</v>
      </c>
      <c r="W2028"/>
    </row>
    <row r="2029" spans="2:23" ht="15.75">
      <c r="B2029" s="12" t="s">
        <v>1858</v>
      </c>
      <c r="C2029" s="6" t="s">
        <v>3654</v>
      </c>
      <c r="D2029" s="15" t="s">
        <v>11</v>
      </c>
      <c r="E2029" s="24" t="s">
        <v>3067</v>
      </c>
      <c r="F2029" s="150">
        <v>152</v>
      </c>
      <c r="G2029" s="24" t="s">
        <v>859</v>
      </c>
      <c r="H2029" s="67">
        <v>67</v>
      </c>
      <c r="I2029" s="68">
        <v>1</v>
      </c>
      <c r="J2029" s="67">
        <f>H2029*I2029</f>
        <v>67</v>
      </c>
      <c r="K2029" s="46">
        <v>3.89</v>
      </c>
      <c r="L2029" s="46">
        <f>K2029*J2029</f>
        <v>260.63</v>
      </c>
      <c r="M2029" s="162" t="s">
        <v>2219</v>
      </c>
      <c r="N2029" s="39">
        <v>45048</v>
      </c>
      <c r="O2029" s="38">
        <v>5195</v>
      </c>
      <c r="P2029" s="46">
        <f>K2029*(VLOOKUP(B2029,$C$2:$F$6,3,FALSE))</f>
        <v>3.6566000000000001</v>
      </c>
      <c r="Q2029" s="483">
        <v>3.66</v>
      </c>
      <c r="R2029" s="704">
        <f t="shared" si="109"/>
        <v>245.22</v>
      </c>
      <c r="S2029" s="532">
        <v>220</v>
      </c>
      <c r="T2029" s="567">
        <f t="shared" si="110"/>
        <v>14740</v>
      </c>
      <c r="V2029" s="494">
        <v>120</v>
      </c>
      <c r="W2029"/>
    </row>
    <row r="2030" spans="2:23" ht="15.75">
      <c r="B2030" s="12" t="s">
        <v>1858</v>
      </c>
      <c r="C2030" s="6" t="s">
        <v>3654</v>
      </c>
      <c r="D2030" s="15" t="s">
        <v>11</v>
      </c>
      <c r="E2030" s="24" t="s">
        <v>3067</v>
      </c>
      <c r="F2030" s="150">
        <v>152</v>
      </c>
      <c r="G2030" s="24" t="s">
        <v>859</v>
      </c>
      <c r="H2030" s="67">
        <v>68</v>
      </c>
      <c r="I2030" s="68">
        <v>2</v>
      </c>
      <c r="J2030" s="67">
        <f>H2030*I2030</f>
        <v>136</v>
      </c>
      <c r="K2030" s="46">
        <v>3.89</v>
      </c>
      <c r="L2030" s="46">
        <f>K2030*J2030</f>
        <v>529.04</v>
      </c>
      <c r="M2030" s="162" t="s">
        <v>2219</v>
      </c>
      <c r="N2030" s="39">
        <v>45048</v>
      </c>
      <c r="O2030" s="38">
        <v>5195</v>
      </c>
      <c r="P2030" s="46">
        <f>K2030*(VLOOKUP(B2030,$C$2:$F$6,3,FALSE))</f>
        <v>3.6566000000000001</v>
      </c>
      <c r="Q2030" s="483">
        <v>3.66</v>
      </c>
      <c r="R2030" s="704">
        <f t="shared" si="109"/>
        <v>497.76</v>
      </c>
      <c r="S2030" s="532">
        <v>220</v>
      </c>
      <c r="T2030" s="567">
        <f t="shared" si="110"/>
        <v>29920</v>
      </c>
      <c r="V2030" s="494">
        <v>120</v>
      </c>
      <c r="W2030"/>
    </row>
    <row r="2031" spans="2:23" ht="15">
      <c r="C2031" s="6" t="s">
        <v>3654</v>
      </c>
      <c r="D2031" s="15" t="s">
        <v>11</v>
      </c>
      <c r="E2031" s="24"/>
      <c r="F2031" s="160"/>
      <c r="G2031" s="228" t="s">
        <v>31</v>
      </c>
      <c r="H2031" s="214"/>
      <c r="I2031" s="215"/>
      <c r="J2031" s="43">
        <v>1</v>
      </c>
      <c r="K2031" s="229">
        <v>20</v>
      </c>
      <c r="L2031" s="417" t="s">
        <v>1676</v>
      </c>
      <c r="M2031" s="417"/>
      <c r="N2031" s="39">
        <v>45048</v>
      </c>
      <c r="O2031" s="38">
        <v>5195</v>
      </c>
      <c r="P2031" s="216"/>
      <c r="Q2031" s="525">
        <v>0</v>
      </c>
      <c r="R2031" s="704">
        <f t="shared" si="109"/>
        <v>0</v>
      </c>
      <c r="S2031" s="532">
        <v>0</v>
      </c>
      <c r="T2031" s="113">
        <f t="shared" si="110"/>
        <v>0</v>
      </c>
      <c r="V2031" s="494">
        <v>120</v>
      </c>
    </row>
    <row r="2032" spans="2:23" s="314" customFormat="1" ht="15">
      <c r="B2032" s="313"/>
      <c r="C2032" s="302" t="s">
        <v>3654</v>
      </c>
      <c r="D2032" s="303" t="s">
        <v>11</v>
      </c>
      <c r="E2032" s="304"/>
      <c r="F2032" s="305"/>
      <c r="G2032" s="305" t="s">
        <v>1227</v>
      </c>
      <c r="H2032" s="307" t="s">
        <v>1228</v>
      </c>
      <c r="I2032" s="308"/>
      <c r="J2032" s="306"/>
      <c r="K2032" s="315">
        <v>0</v>
      </c>
      <c r="L2032" s="310"/>
      <c r="M2032" s="310"/>
      <c r="N2032" s="310">
        <v>45048</v>
      </c>
      <c r="O2032" s="309">
        <v>5195</v>
      </c>
      <c r="P2032" s="302"/>
      <c r="Q2032" s="485">
        <v>0</v>
      </c>
      <c r="S2032" s="535">
        <v>0</v>
      </c>
      <c r="T2032" s="322">
        <v>0</v>
      </c>
      <c r="U2032" s="515"/>
      <c r="V2032" s="494">
        <v>120</v>
      </c>
    </row>
    <row r="2033" spans="2:23" ht="15">
      <c r="C2033" s="6" t="s">
        <v>3655</v>
      </c>
      <c r="D2033" s="15" t="s">
        <v>11</v>
      </c>
      <c r="E2033" s="20" t="s">
        <v>79</v>
      </c>
      <c r="F2033" s="150"/>
      <c r="G2033" s="24"/>
      <c r="H2033" s="151"/>
      <c r="I2033" s="152"/>
      <c r="J2033" s="151"/>
      <c r="K2033" s="153" t="s">
        <v>10</v>
      </c>
      <c r="L2033" s="39"/>
      <c r="M2033" s="39"/>
      <c r="N2033" s="39">
        <v>45076</v>
      </c>
      <c r="O2033" s="38">
        <v>5273</v>
      </c>
      <c r="P2033" s="15"/>
      <c r="Q2033" s="483"/>
      <c r="S2033" s="496"/>
      <c r="T2033" s="113"/>
      <c r="V2033" s="494">
        <v>120</v>
      </c>
      <c r="W2033"/>
    </row>
    <row r="2034" spans="2:23" ht="15.75">
      <c r="B2034" s="12" t="s">
        <v>1858</v>
      </c>
      <c r="C2034" s="6" t="s">
        <v>3655</v>
      </c>
      <c r="D2034" s="15" t="s">
        <v>11</v>
      </c>
      <c r="E2034" s="24" t="s">
        <v>3067</v>
      </c>
      <c r="F2034" s="150">
        <v>152</v>
      </c>
      <c r="G2034" s="24" t="s">
        <v>859</v>
      </c>
      <c r="H2034" s="67">
        <v>58</v>
      </c>
      <c r="I2034" s="68">
        <v>15</v>
      </c>
      <c r="J2034" s="67">
        <f>H2034*I2034</f>
        <v>870</v>
      </c>
      <c r="K2034" s="46">
        <v>3.89</v>
      </c>
      <c r="L2034" s="46">
        <f>K2034*J2034</f>
        <v>3384.3</v>
      </c>
      <c r="M2034" s="162" t="s">
        <v>2219</v>
      </c>
      <c r="N2034" s="39">
        <v>45076</v>
      </c>
      <c r="O2034" s="38">
        <v>5273</v>
      </c>
      <c r="P2034" s="46">
        <f>K2034*(VLOOKUP(B2034,$C$2:$F$6,3,FALSE))</f>
        <v>3.6566000000000001</v>
      </c>
      <c r="Q2034" s="483">
        <v>3.66</v>
      </c>
      <c r="R2034" s="704">
        <f>Q2034*J2034</f>
        <v>3184.2000000000003</v>
      </c>
      <c r="S2034" s="532">
        <v>220</v>
      </c>
      <c r="T2034" s="567">
        <f>S2034*J2034</f>
        <v>191400</v>
      </c>
      <c r="V2034" s="494">
        <v>120</v>
      </c>
      <c r="W2034"/>
    </row>
    <row r="2035" spans="2:23" ht="15.75">
      <c r="B2035" s="12" t="s">
        <v>1858</v>
      </c>
      <c r="C2035" s="6" t="s">
        <v>3655</v>
      </c>
      <c r="D2035" s="15" t="s">
        <v>11</v>
      </c>
      <c r="E2035" s="24" t="s">
        <v>3067</v>
      </c>
      <c r="F2035" s="150">
        <v>152</v>
      </c>
      <c r="G2035" s="24" t="s">
        <v>859</v>
      </c>
      <c r="H2035" s="67">
        <v>60</v>
      </c>
      <c r="I2035" s="68">
        <v>1</v>
      </c>
      <c r="J2035" s="67">
        <f>H2035*I2035</f>
        <v>60</v>
      </c>
      <c r="K2035" s="46">
        <v>3.89</v>
      </c>
      <c r="L2035" s="46">
        <f>K2035*J2035</f>
        <v>233.4</v>
      </c>
      <c r="M2035" s="162" t="s">
        <v>2219</v>
      </c>
      <c r="N2035" s="39">
        <v>45076</v>
      </c>
      <c r="O2035" s="38">
        <v>5273</v>
      </c>
      <c r="P2035" s="46">
        <f>K2035*(VLOOKUP(B2035,$C$2:$F$6,3,FALSE))</f>
        <v>3.6566000000000001</v>
      </c>
      <c r="Q2035" s="483">
        <v>3.66</v>
      </c>
      <c r="R2035" s="704">
        <f>Q2035*J2035</f>
        <v>219.60000000000002</v>
      </c>
      <c r="S2035" s="532">
        <v>220</v>
      </c>
      <c r="T2035" s="567">
        <f>S2035*J2035</f>
        <v>13200</v>
      </c>
      <c r="V2035" s="494">
        <v>120</v>
      </c>
      <c r="W2035"/>
    </row>
    <row r="2036" spans="2:23" ht="15.75">
      <c r="B2036" s="12" t="s">
        <v>1858</v>
      </c>
      <c r="C2036" s="6" t="s">
        <v>3655</v>
      </c>
      <c r="D2036" s="15" t="s">
        <v>11</v>
      </c>
      <c r="E2036" s="24" t="s">
        <v>3067</v>
      </c>
      <c r="F2036" s="150">
        <v>152</v>
      </c>
      <c r="G2036" s="24" t="s">
        <v>859</v>
      </c>
      <c r="H2036" s="67">
        <v>61</v>
      </c>
      <c r="I2036" s="68">
        <v>1</v>
      </c>
      <c r="J2036" s="67">
        <f>H2036*I2036</f>
        <v>61</v>
      </c>
      <c r="K2036" s="46">
        <v>3.89</v>
      </c>
      <c r="L2036" s="46">
        <f>K2036*J2036</f>
        <v>237.29000000000002</v>
      </c>
      <c r="M2036" s="162" t="s">
        <v>2219</v>
      </c>
      <c r="N2036" s="39">
        <v>45076</v>
      </c>
      <c r="O2036" s="38">
        <v>5273</v>
      </c>
      <c r="P2036" s="46">
        <f>K2036*(VLOOKUP(B2036,$C$2:$F$6,3,FALSE))</f>
        <v>3.6566000000000001</v>
      </c>
      <c r="Q2036" s="483">
        <v>3.66</v>
      </c>
      <c r="R2036" s="704">
        <f>Q2036*J2036</f>
        <v>223.26000000000002</v>
      </c>
      <c r="S2036" s="532">
        <v>220</v>
      </c>
      <c r="T2036" s="567">
        <f>S2036*J2036</f>
        <v>13420</v>
      </c>
      <c r="V2036" s="494">
        <v>120</v>
      </c>
      <c r="W2036"/>
    </row>
    <row r="2037" spans="2:23" ht="15.75">
      <c r="B2037" s="12" t="s">
        <v>1858</v>
      </c>
      <c r="C2037" s="6" t="s">
        <v>3655</v>
      </c>
      <c r="D2037" s="15" t="s">
        <v>11</v>
      </c>
      <c r="E2037" s="24" t="s">
        <v>3067</v>
      </c>
      <c r="F2037" s="150">
        <v>152</v>
      </c>
      <c r="G2037" s="24" t="s">
        <v>859</v>
      </c>
      <c r="H2037" s="67">
        <v>68</v>
      </c>
      <c r="I2037" s="68">
        <v>3</v>
      </c>
      <c r="J2037" s="67">
        <f>H2037*I2037</f>
        <v>204</v>
      </c>
      <c r="K2037" s="46">
        <v>3.89</v>
      </c>
      <c r="L2037" s="46">
        <f>K2037*J2037</f>
        <v>793.56000000000006</v>
      </c>
      <c r="M2037" s="162" t="s">
        <v>2219</v>
      </c>
      <c r="N2037" s="39">
        <v>45076</v>
      </c>
      <c r="O2037" s="38">
        <v>5273</v>
      </c>
      <c r="P2037" s="46">
        <f>K2037*(VLOOKUP(B2037,$C$2:$F$6,3,FALSE))</f>
        <v>3.6566000000000001</v>
      </c>
      <c r="Q2037" s="483">
        <v>3.66</v>
      </c>
      <c r="R2037" s="704">
        <f>Q2037*J2037</f>
        <v>746.64</v>
      </c>
      <c r="S2037" s="532">
        <v>220</v>
      </c>
      <c r="T2037" s="567">
        <f>S2037*J2037</f>
        <v>44880</v>
      </c>
      <c r="V2037" s="494">
        <v>120</v>
      </c>
      <c r="W2037"/>
    </row>
    <row r="2038" spans="2:23" ht="15">
      <c r="C2038" s="6" t="s">
        <v>3655</v>
      </c>
      <c r="D2038" s="15" t="s">
        <v>11</v>
      </c>
      <c r="E2038" s="24"/>
      <c r="F2038" s="160"/>
      <c r="G2038" s="228" t="s">
        <v>31</v>
      </c>
      <c r="H2038" s="214"/>
      <c r="I2038" s="215"/>
      <c r="J2038" s="43">
        <v>1</v>
      </c>
      <c r="K2038" s="229">
        <v>20</v>
      </c>
      <c r="L2038" s="417" t="s">
        <v>1676</v>
      </c>
      <c r="M2038" s="417"/>
      <c r="N2038" s="39">
        <v>45076</v>
      </c>
      <c r="O2038" s="38">
        <v>5273</v>
      </c>
      <c r="P2038" s="216"/>
      <c r="Q2038" s="525">
        <v>0</v>
      </c>
      <c r="R2038" s="704">
        <f>Q2038*J2038</f>
        <v>0</v>
      </c>
      <c r="S2038" s="532">
        <v>0</v>
      </c>
      <c r="T2038" s="113">
        <f>S2038*J2038</f>
        <v>0</v>
      </c>
      <c r="V2038" s="494">
        <v>120</v>
      </c>
    </row>
    <row r="2039" spans="2:23" s="314" customFormat="1" ht="15">
      <c r="B2039" s="313"/>
      <c r="C2039" s="302" t="s">
        <v>3655</v>
      </c>
      <c r="D2039" s="303" t="s">
        <v>11</v>
      </c>
      <c r="E2039" s="371"/>
      <c r="F2039" s="305"/>
      <c r="G2039" s="305" t="s">
        <v>1227</v>
      </c>
      <c r="H2039" s="307" t="s">
        <v>1228</v>
      </c>
      <c r="I2039" s="308"/>
      <c r="J2039" s="306"/>
      <c r="K2039" s="315">
        <v>0</v>
      </c>
      <c r="L2039" s="310"/>
      <c r="M2039" s="310"/>
      <c r="N2039" s="310">
        <v>45076</v>
      </c>
      <c r="O2039" s="309">
        <v>5273</v>
      </c>
      <c r="P2039" s="302"/>
      <c r="Q2039" s="485">
        <v>0</v>
      </c>
      <c r="S2039" s="535">
        <v>0</v>
      </c>
      <c r="T2039" s="322">
        <v>0</v>
      </c>
      <c r="U2039" s="515"/>
      <c r="V2039" s="494">
        <v>120</v>
      </c>
    </row>
    <row r="2040" spans="2:23" s="7" customFormat="1" ht="18" customHeight="1">
      <c r="B2040" s="12"/>
      <c r="C2040" s="6" t="s">
        <v>3661</v>
      </c>
      <c r="D2040" s="15" t="s">
        <v>11</v>
      </c>
      <c r="E2040" s="20" t="s">
        <v>27</v>
      </c>
      <c r="F2040" s="150"/>
      <c r="G2040" s="24"/>
      <c r="H2040" s="151"/>
      <c r="I2040" s="152"/>
      <c r="J2040" s="151"/>
      <c r="K2040" s="34" t="s">
        <v>10</v>
      </c>
      <c r="L2040" s="39"/>
      <c r="M2040" s="39"/>
      <c r="N2040" s="39">
        <v>44916</v>
      </c>
      <c r="O2040" s="38">
        <v>4851</v>
      </c>
      <c r="P2040" s="15"/>
      <c r="Q2040" s="483"/>
      <c r="S2040" s="489"/>
      <c r="T2040" s="113"/>
      <c r="U2040" s="506"/>
      <c r="V2040" s="494">
        <v>120</v>
      </c>
    </row>
    <row r="2041" spans="2:23" s="7" customFormat="1" ht="18" customHeight="1">
      <c r="B2041" s="12" t="s">
        <v>1858</v>
      </c>
      <c r="C2041" s="6" t="s">
        <v>3661</v>
      </c>
      <c r="D2041" s="15" t="s">
        <v>11</v>
      </c>
      <c r="E2041" s="24" t="s">
        <v>536</v>
      </c>
      <c r="F2041" s="150">
        <v>160</v>
      </c>
      <c r="G2041" s="407" t="s">
        <v>735</v>
      </c>
      <c r="H2041" s="67">
        <v>50</v>
      </c>
      <c r="I2041" s="68">
        <v>2</v>
      </c>
      <c r="J2041" s="8">
        <f>H2041*I2041</f>
        <v>100</v>
      </c>
      <c r="K2041" s="25">
        <v>5</v>
      </c>
      <c r="L2041" s="46">
        <f>K2041*J2041</f>
        <v>500</v>
      </c>
      <c r="M2041" s="162" t="s">
        <v>2218</v>
      </c>
      <c r="N2041" s="39">
        <v>44916</v>
      </c>
      <c r="O2041" s="38">
        <v>4851</v>
      </c>
      <c r="P2041" s="46">
        <f>K2041*(VLOOKUP(B2041,$C$2:$F$6,3,FALSE))</f>
        <v>4.6999999999999993</v>
      </c>
      <c r="Q2041" s="483">
        <v>4.7</v>
      </c>
      <c r="R2041" s="704">
        <f>Q2041*J2041</f>
        <v>470</v>
      </c>
      <c r="S2041" s="532">
        <v>360</v>
      </c>
      <c r="T2041" s="567">
        <f>S2041*J2041</f>
        <v>36000</v>
      </c>
      <c r="U2041" s="501"/>
      <c r="V2041" s="494">
        <v>120</v>
      </c>
    </row>
    <row r="2042" spans="2:23" s="7" customFormat="1" ht="18" customHeight="1">
      <c r="B2042" s="12" t="s">
        <v>1858</v>
      </c>
      <c r="C2042" s="6" t="s">
        <v>3661</v>
      </c>
      <c r="D2042" s="15" t="s">
        <v>11</v>
      </c>
      <c r="E2042" s="24" t="s">
        <v>536</v>
      </c>
      <c r="F2042" s="150">
        <v>160</v>
      </c>
      <c r="G2042" s="407" t="s">
        <v>859</v>
      </c>
      <c r="H2042" s="67">
        <v>50</v>
      </c>
      <c r="I2042" s="68">
        <v>2</v>
      </c>
      <c r="J2042" s="8">
        <f>H2042*I2042</f>
        <v>100</v>
      </c>
      <c r="K2042" s="25">
        <v>5</v>
      </c>
      <c r="L2042" s="46">
        <f>K2042*J2042</f>
        <v>500</v>
      </c>
      <c r="M2042" s="162" t="s">
        <v>2218</v>
      </c>
      <c r="N2042" s="39">
        <v>44916</v>
      </c>
      <c r="O2042" s="38">
        <v>4851</v>
      </c>
      <c r="P2042" s="46">
        <f>K2042*(VLOOKUP(B2042,$C$2:$F$6,3,FALSE))</f>
        <v>4.6999999999999993</v>
      </c>
      <c r="Q2042" s="483">
        <v>4.7</v>
      </c>
      <c r="R2042" s="704">
        <f>Q2042*J2042</f>
        <v>470</v>
      </c>
      <c r="S2042" s="532">
        <v>360</v>
      </c>
      <c r="T2042" s="567">
        <f>S2042*J2042</f>
        <v>36000</v>
      </c>
      <c r="U2042" s="501"/>
      <c r="V2042" s="494">
        <v>120</v>
      </c>
    </row>
    <row r="2043" spans="2:23" ht="15">
      <c r="C2043" s="6" t="s">
        <v>3661</v>
      </c>
      <c r="D2043" s="15" t="s">
        <v>11</v>
      </c>
      <c r="E2043" s="20" t="s">
        <v>79</v>
      </c>
      <c r="F2043" s="150"/>
      <c r="G2043" s="24"/>
      <c r="H2043" s="151"/>
      <c r="I2043" s="152"/>
      <c r="J2043" s="151"/>
      <c r="K2043" s="153" t="s">
        <v>10</v>
      </c>
      <c r="L2043" s="39"/>
      <c r="M2043" s="39"/>
      <c r="N2043" s="39">
        <v>45019</v>
      </c>
      <c r="O2043" s="38">
        <v>5119</v>
      </c>
      <c r="P2043" s="15"/>
      <c r="Q2043" s="483"/>
      <c r="S2043" s="496"/>
      <c r="T2043" s="113"/>
      <c r="V2043" s="494">
        <v>120</v>
      </c>
      <c r="W2043"/>
    </row>
    <row r="2044" spans="2:23" s="7" customFormat="1" ht="15.75">
      <c r="B2044" s="12" t="s">
        <v>1858</v>
      </c>
      <c r="C2044" s="6" t="s">
        <v>3661</v>
      </c>
      <c r="D2044" s="15" t="s">
        <v>11</v>
      </c>
      <c r="E2044" s="24" t="s">
        <v>731</v>
      </c>
      <c r="F2044" s="150">
        <v>140</v>
      </c>
      <c r="G2044" s="24" t="s">
        <v>734</v>
      </c>
      <c r="H2044" s="67">
        <v>58</v>
      </c>
      <c r="I2044" s="68">
        <v>4</v>
      </c>
      <c r="J2044" s="67">
        <f>H2044*I2044</f>
        <v>232</v>
      </c>
      <c r="K2044" s="46">
        <v>10</v>
      </c>
      <c r="L2044" s="46">
        <f>K2044*J2044</f>
        <v>2320</v>
      </c>
      <c r="M2044" s="162" t="s">
        <v>2219</v>
      </c>
      <c r="N2044" s="39">
        <v>45019</v>
      </c>
      <c r="O2044" s="38">
        <v>5119</v>
      </c>
      <c r="P2044" s="46">
        <f>K2044*(VLOOKUP(B2044,$C$2:$F$6,3,FALSE))</f>
        <v>9.3999999999999986</v>
      </c>
      <c r="Q2044" s="483">
        <v>9.4</v>
      </c>
      <c r="R2044" s="704">
        <f>Q2044*J2044</f>
        <v>2180.8000000000002</v>
      </c>
      <c r="S2044" s="532">
        <v>720</v>
      </c>
      <c r="T2044" s="113">
        <f>S2044*J2044</f>
        <v>167040</v>
      </c>
      <c r="U2044" s="501"/>
      <c r="V2044" s="494">
        <v>120</v>
      </c>
    </row>
    <row r="2045" spans="2:23" s="7" customFormat="1" ht="15.75">
      <c r="B2045" s="12" t="s">
        <v>1858</v>
      </c>
      <c r="C2045" s="6" t="s">
        <v>3661</v>
      </c>
      <c r="D2045" s="15" t="s">
        <v>11</v>
      </c>
      <c r="E2045" s="24" t="s">
        <v>731</v>
      </c>
      <c r="F2045" s="150">
        <v>140</v>
      </c>
      <c r="G2045" s="24" t="s">
        <v>874</v>
      </c>
      <c r="H2045" s="67">
        <v>56</v>
      </c>
      <c r="I2045" s="68">
        <v>4</v>
      </c>
      <c r="J2045" s="67">
        <f>H2045*I2045</f>
        <v>224</v>
      </c>
      <c r="K2045" s="46">
        <v>10</v>
      </c>
      <c r="L2045" s="46">
        <f>K2045*J2045</f>
        <v>2240</v>
      </c>
      <c r="M2045" s="162" t="s">
        <v>2219</v>
      </c>
      <c r="N2045" s="39">
        <v>45019</v>
      </c>
      <c r="O2045" s="38">
        <v>5119</v>
      </c>
      <c r="P2045" s="46">
        <f>K2045*(VLOOKUP(B2045,$C$2:$F$6,3,FALSE))</f>
        <v>9.3999999999999986</v>
      </c>
      <c r="Q2045" s="483">
        <v>9.4</v>
      </c>
      <c r="R2045" s="704">
        <f>Q2045*J2045</f>
        <v>2105.6</v>
      </c>
      <c r="S2045" s="532">
        <v>720</v>
      </c>
      <c r="T2045" s="113">
        <f>S2045*J2045</f>
        <v>161280</v>
      </c>
      <c r="U2045" s="501"/>
      <c r="V2045" s="494">
        <v>120</v>
      </c>
    </row>
    <row r="2046" spans="2:23" ht="15">
      <c r="C2046" s="6" t="s">
        <v>3661</v>
      </c>
      <c r="D2046" s="15" t="s">
        <v>11</v>
      </c>
      <c r="E2046" s="20" t="s">
        <v>79</v>
      </c>
      <c r="F2046" s="150"/>
      <c r="G2046" s="24"/>
      <c r="H2046" s="151"/>
      <c r="I2046" s="152"/>
      <c r="J2046" s="151"/>
      <c r="K2046" s="153" t="s">
        <v>10</v>
      </c>
      <c r="L2046" s="39"/>
      <c r="M2046" s="39"/>
      <c r="N2046" s="39">
        <v>44916</v>
      </c>
      <c r="O2046" s="38">
        <v>4851</v>
      </c>
      <c r="P2046" s="15"/>
      <c r="Q2046" s="483"/>
      <c r="S2046" s="496"/>
      <c r="T2046" s="113"/>
      <c r="V2046" s="494">
        <v>120</v>
      </c>
      <c r="W2046"/>
    </row>
    <row r="2047" spans="2:23" ht="15.75">
      <c r="B2047" s="12" t="s">
        <v>1858</v>
      </c>
      <c r="C2047" s="6" t="s">
        <v>3661</v>
      </c>
      <c r="D2047" s="15" t="s">
        <v>11</v>
      </c>
      <c r="E2047" s="24">
        <v>2440</v>
      </c>
      <c r="F2047" s="150">
        <v>140</v>
      </c>
      <c r="G2047" s="24" t="s">
        <v>733</v>
      </c>
      <c r="H2047" s="67">
        <v>58</v>
      </c>
      <c r="I2047" s="68">
        <v>4</v>
      </c>
      <c r="J2047" s="67">
        <f>H2047*I2047</f>
        <v>232</v>
      </c>
      <c r="K2047" s="46">
        <v>3.89</v>
      </c>
      <c r="L2047" s="46">
        <f>K2047*J2047</f>
        <v>902.48</v>
      </c>
      <c r="M2047" s="162" t="s">
        <v>2219</v>
      </c>
      <c r="N2047" s="39">
        <v>44916</v>
      </c>
      <c r="O2047" s="38">
        <v>4851</v>
      </c>
      <c r="P2047" s="46">
        <f>K2047*(VLOOKUP(B2047,$C$2:$F$6,3,FALSE))</f>
        <v>3.6566000000000001</v>
      </c>
      <c r="Q2047" s="483">
        <v>3.66</v>
      </c>
      <c r="R2047" s="704">
        <f>Q2047*J2047</f>
        <v>849.12</v>
      </c>
      <c r="S2047" s="532">
        <v>280</v>
      </c>
      <c r="T2047" s="567">
        <f>S2047*J2047</f>
        <v>64960</v>
      </c>
      <c r="V2047" s="494">
        <v>120</v>
      </c>
      <c r="W2047"/>
    </row>
    <row r="2048" spans="2:23" ht="15.75">
      <c r="B2048" s="12" t="s">
        <v>1858</v>
      </c>
      <c r="C2048" s="6" t="s">
        <v>3661</v>
      </c>
      <c r="D2048" s="15" t="s">
        <v>11</v>
      </c>
      <c r="E2048" s="24">
        <v>2440</v>
      </c>
      <c r="F2048" s="150">
        <v>140</v>
      </c>
      <c r="G2048" s="24" t="s">
        <v>859</v>
      </c>
      <c r="H2048" s="67">
        <v>58</v>
      </c>
      <c r="I2048" s="68">
        <v>4</v>
      </c>
      <c r="J2048" s="67">
        <f>H2048*I2048</f>
        <v>232</v>
      </c>
      <c r="K2048" s="46">
        <v>3.89</v>
      </c>
      <c r="L2048" s="46">
        <f>K2048*J2048</f>
        <v>902.48</v>
      </c>
      <c r="M2048" s="162" t="s">
        <v>2219</v>
      </c>
      <c r="N2048" s="39">
        <v>44916</v>
      </c>
      <c r="O2048" s="38">
        <v>4851</v>
      </c>
      <c r="P2048" s="46">
        <f>K2048*(VLOOKUP(B2048,$C$2:$F$6,3,FALSE))</f>
        <v>3.6566000000000001</v>
      </c>
      <c r="Q2048" s="483">
        <v>3.66</v>
      </c>
      <c r="R2048" s="704">
        <f>Q2048*J2048</f>
        <v>849.12</v>
      </c>
      <c r="S2048" s="532">
        <v>280</v>
      </c>
      <c r="T2048" s="567">
        <f>S2048*J2048</f>
        <v>64960</v>
      </c>
      <c r="V2048" s="494">
        <v>120</v>
      </c>
      <c r="W2048"/>
    </row>
    <row r="2049" spans="2:23" ht="15">
      <c r="C2049" s="6" t="s">
        <v>3661</v>
      </c>
      <c r="D2049" s="15" t="s">
        <v>11</v>
      </c>
      <c r="E2049" s="24"/>
      <c r="F2049" s="160"/>
      <c r="G2049" s="228" t="s">
        <v>481</v>
      </c>
      <c r="H2049" s="214"/>
      <c r="I2049" s="215"/>
      <c r="J2049" s="43">
        <v>1</v>
      </c>
      <c r="K2049" s="229">
        <v>20</v>
      </c>
      <c r="L2049" s="417" t="s">
        <v>1676</v>
      </c>
      <c r="M2049" s="417"/>
      <c r="N2049" s="39">
        <v>44916</v>
      </c>
      <c r="O2049" s="38">
        <v>4851</v>
      </c>
      <c r="P2049" s="216"/>
      <c r="Q2049" s="525">
        <v>0</v>
      </c>
      <c r="R2049" s="704">
        <f>Q2049*J2049</f>
        <v>0</v>
      </c>
      <c r="S2049" s="532">
        <v>1800</v>
      </c>
      <c r="T2049" s="113">
        <f>S2049*J2049</f>
        <v>1800</v>
      </c>
      <c r="V2049" s="494">
        <v>120</v>
      </c>
    </row>
    <row r="2050" spans="2:23" s="314" customFormat="1" ht="15">
      <c r="B2050" s="313"/>
      <c r="C2050" s="302" t="s">
        <v>3661</v>
      </c>
      <c r="D2050" s="303" t="s">
        <v>11</v>
      </c>
      <c r="E2050" s="304"/>
      <c r="F2050" s="305"/>
      <c r="G2050" s="305" t="s">
        <v>1227</v>
      </c>
      <c r="H2050" s="307" t="s">
        <v>1228</v>
      </c>
      <c r="I2050" s="308"/>
      <c r="J2050" s="306"/>
      <c r="K2050" s="315">
        <v>0</v>
      </c>
      <c r="L2050" s="310"/>
      <c r="M2050" s="310"/>
      <c r="N2050" s="310">
        <v>44916</v>
      </c>
      <c r="O2050" s="309">
        <v>4851</v>
      </c>
      <c r="P2050" s="302"/>
      <c r="Q2050" s="485">
        <v>0</v>
      </c>
      <c r="S2050" s="535">
        <v>0</v>
      </c>
      <c r="T2050" s="322">
        <v>0</v>
      </c>
      <c r="U2050" s="515"/>
      <c r="V2050" s="494">
        <v>120</v>
      </c>
    </row>
    <row r="2051" spans="2:23" s="7" customFormat="1" ht="18" customHeight="1">
      <c r="B2051" s="12"/>
      <c r="C2051" s="6" t="s">
        <v>3662</v>
      </c>
      <c r="D2051" s="15" t="s">
        <v>11</v>
      </c>
      <c r="E2051" s="20" t="s">
        <v>27</v>
      </c>
      <c r="F2051" s="150"/>
      <c r="G2051" s="24"/>
      <c r="H2051" s="151"/>
      <c r="I2051" s="152"/>
      <c r="J2051" s="151"/>
      <c r="K2051" s="34" t="s">
        <v>10</v>
      </c>
      <c r="L2051" s="39"/>
      <c r="M2051" s="39"/>
      <c r="N2051" s="39">
        <v>44938</v>
      </c>
      <c r="O2051" s="38">
        <v>4902</v>
      </c>
      <c r="P2051" s="15"/>
      <c r="Q2051" s="483"/>
      <c r="S2051" s="489"/>
      <c r="T2051" s="113"/>
      <c r="U2051" s="506"/>
      <c r="V2051" s="494">
        <v>120</v>
      </c>
    </row>
    <row r="2052" spans="2:23" s="7" customFormat="1" ht="18" customHeight="1">
      <c r="B2052" s="12" t="s">
        <v>1858</v>
      </c>
      <c r="C2052" s="6" t="s">
        <v>3662</v>
      </c>
      <c r="D2052" s="15" t="s">
        <v>11</v>
      </c>
      <c r="E2052" s="24" t="s">
        <v>536</v>
      </c>
      <c r="F2052" s="150">
        <v>160</v>
      </c>
      <c r="G2052" s="407" t="s">
        <v>735</v>
      </c>
      <c r="H2052" s="67">
        <v>50</v>
      </c>
      <c r="I2052" s="68">
        <v>2</v>
      </c>
      <c r="J2052" s="8">
        <f>H2052*I2052</f>
        <v>100</v>
      </c>
      <c r="K2052" s="25">
        <v>5</v>
      </c>
      <c r="L2052" s="46">
        <f>K2052*J2052</f>
        <v>500</v>
      </c>
      <c r="M2052" s="162" t="s">
        <v>2218</v>
      </c>
      <c r="N2052" s="39">
        <v>44938</v>
      </c>
      <c r="O2052" s="38">
        <v>4902</v>
      </c>
      <c r="P2052" s="46">
        <f>K2052*(VLOOKUP(B2052,$C$2:$F$6,3,FALSE))</f>
        <v>4.6999999999999993</v>
      </c>
      <c r="Q2052" s="483">
        <v>4.7</v>
      </c>
      <c r="R2052" s="704">
        <f>Q2052*J2052</f>
        <v>470</v>
      </c>
      <c r="S2052" s="532">
        <v>360</v>
      </c>
      <c r="T2052" s="567">
        <f>S2052*J2052</f>
        <v>36000</v>
      </c>
      <c r="U2052" s="501"/>
      <c r="V2052" s="494">
        <v>120</v>
      </c>
    </row>
    <row r="2053" spans="2:23" s="7" customFormat="1" ht="18" customHeight="1">
      <c r="B2053" s="12" t="s">
        <v>1858</v>
      </c>
      <c r="C2053" s="6" t="s">
        <v>3662</v>
      </c>
      <c r="D2053" s="15" t="s">
        <v>11</v>
      </c>
      <c r="E2053" s="24" t="s">
        <v>536</v>
      </c>
      <c r="F2053" s="150">
        <v>160</v>
      </c>
      <c r="G2053" s="407" t="s">
        <v>859</v>
      </c>
      <c r="H2053" s="67">
        <v>50</v>
      </c>
      <c r="I2053" s="68">
        <v>2</v>
      </c>
      <c r="J2053" s="8">
        <f>H2053*I2053</f>
        <v>100</v>
      </c>
      <c r="K2053" s="25">
        <v>5</v>
      </c>
      <c r="L2053" s="46">
        <f>K2053*J2053</f>
        <v>500</v>
      </c>
      <c r="M2053" s="162" t="s">
        <v>2218</v>
      </c>
      <c r="N2053" s="39">
        <v>44938</v>
      </c>
      <c r="O2053" s="38">
        <v>4902</v>
      </c>
      <c r="P2053" s="46">
        <f>K2053*(VLOOKUP(B2053,$C$2:$F$6,3,FALSE))</f>
        <v>4.6999999999999993</v>
      </c>
      <c r="Q2053" s="483">
        <v>4.7</v>
      </c>
      <c r="R2053" s="704">
        <f>Q2053*J2053</f>
        <v>470</v>
      </c>
      <c r="S2053" s="532">
        <v>360</v>
      </c>
      <c r="T2053" s="567">
        <f>S2053*J2053</f>
        <v>36000</v>
      </c>
      <c r="U2053" s="501"/>
      <c r="V2053" s="494">
        <v>120</v>
      </c>
    </row>
    <row r="2054" spans="2:23" ht="15">
      <c r="C2054" s="6" t="s">
        <v>3662</v>
      </c>
      <c r="D2054" s="15" t="s">
        <v>11</v>
      </c>
      <c r="E2054" s="20" t="s">
        <v>79</v>
      </c>
      <c r="F2054" s="150"/>
      <c r="G2054" s="24"/>
      <c r="H2054" s="151"/>
      <c r="I2054" s="152"/>
      <c r="J2054" s="151"/>
      <c r="K2054" s="153" t="s">
        <v>10</v>
      </c>
      <c r="L2054" s="39"/>
      <c r="M2054" s="39"/>
      <c r="N2054" s="39">
        <v>45019</v>
      </c>
      <c r="O2054" s="38">
        <v>5119</v>
      </c>
      <c r="P2054" s="15"/>
      <c r="Q2054" s="483"/>
      <c r="S2054" s="496"/>
      <c r="T2054" s="113"/>
      <c r="V2054" s="494">
        <v>120</v>
      </c>
      <c r="W2054"/>
    </row>
    <row r="2055" spans="2:23" s="7" customFormat="1" ht="15.75">
      <c r="B2055" s="12" t="s">
        <v>1858</v>
      </c>
      <c r="C2055" s="6" t="s">
        <v>3662</v>
      </c>
      <c r="D2055" s="15" t="s">
        <v>11</v>
      </c>
      <c r="E2055" s="24" t="s">
        <v>731</v>
      </c>
      <c r="F2055" s="150">
        <v>140</v>
      </c>
      <c r="G2055" s="24" t="s">
        <v>734</v>
      </c>
      <c r="H2055" s="67">
        <v>58</v>
      </c>
      <c r="I2055" s="68">
        <v>4</v>
      </c>
      <c r="J2055" s="67">
        <f>H2055*I2055</f>
        <v>232</v>
      </c>
      <c r="K2055" s="46">
        <v>10</v>
      </c>
      <c r="L2055" s="46">
        <f>K2055*J2055</f>
        <v>2320</v>
      </c>
      <c r="M2055" s="162" t="s">
        <v>2219</v>
      </c>
      <c r="N2055" s="39">
        <v>45019</v>
      </c>
      <c r="O2055" s="38">
        <v>5119</v>
      </c>
      <c r="P2055" s="46">
        <f>K2055*(VLOOKUP(B2055,$C$2:$F$6,3,FALSE))</f>
        <v>9.3999999999999986</v>
      </c>
      <c r="Q2055" s="483">
        <v>9.4</v>
      </c>
      <c r="R2055" s="704">
        <f>Q2055*J2055</f>
        <v>2180.8000000000002</v>
      </c>
      <c r="S2055" s="532">
        <v>720</v>
      </c>
      <c r="T2055" s="113">
        <f>S2055*J2055</f>
        <v>167040</v>
      </c>
      <c r="U2055" s="501"/>
      <c r="V2055" s="494">
        <v>120</v>
      </c>
    </row>
    <row r="2056" spans="2:23" s="7" customFormat="1" ht="15.75">
      <c r="B2056" s="12" t="s">
        <v>1858</v>
      </c>
      <c r="C2056" s="6" t="s">
        <v>3662</v>
      </c>
      <c r="D2056" s="15" t="s">
        <v>11</v>
      </c>
      <c r="E2056" s="24" t="s">
        <v>731</v>
      </c>
      <c r="F2056" s="150">
        <v>140</v>
      </c>
      <c r="G2056" s="24" t="s">
        <v>874</v>
      </c>
      <c r="H2056" s="67">
        <v>58</v>
      </c>
      <c r="I2056" s="68">
        <v>4</v>
      </c>
      <c r="J2056" s="67">
        <f>H2056*I2056</f>
        <v>232</v>
      </c>
      <c r="K2056" s="46">
        <v>10</v>
      </c>
      <c r="L2056" s="46">
        <f>K2056*J2056</f>
        <v>2320</v>
      </c>
      <c r="M2056" s="162" t="s">
        <v>2219</v>
      </c>
      <c r="N2056" s="39">
        <v>45035</v>
      </c>
      <c r="O2056" s="38">
        <v>5163</v>
      </c>
      <c r="P2056" s="46">
        <f>K2056*(VLOOKUP(B2056,$C$2:$F$6,3,FALSE))</f>
        <v>9.3999999999999986</v>
      </c>
      <c r="Q2056" s="483">
        <v>9.4</v>
      </c>
      <c r="R2056" s="704">
        <f>Q2056*J2056</f>
        <v>2180.8000000000002</v>
      </c>
      <c r="S2056" s="532">
        <v>720</v>
      </c>
      <c r="T2056" s="113">
        <f>S2056*J2056</f>
        <v>167040</v>
      </c>
      <c r="U2056" s="501"/>
      <c r="V2056" s="494">
        <v>120</v>
      </c>
    </row>
    <row r="2057" spans="2:23" ht="15">
      <c r="C2057" s="6" t="s">
        <v>3662</v>
      </c>
      <c r="D2057" s="15" t="s">
        <v>11</v>
      </c>
      <c r="E2057" s="20" t="s">
        <v>79</v>
      </c>
      <c r="F2057" s="150"/>
      <c r="G2057" s="24"/>
      <c r="H2057" s="151"/>
      <c r="I2057" s="152"/>
      <c r="J2057" s="151"/>
      <c r="K2057" s="153" t="s">
        <v>10</v>
      </c>
      <c r="L2057" s="39"/>
      <c r="M2057" s="39"/>
      <c r="N2057" s="39">
        <v>44938</v>
      </c>
      <c r="O2057" s="38">
        <v>4902</v>
      </c>
      <c r="P2057" s="15"/>
      <c r="Q2057" s="483"/>
      <c r="S2057" s="496"/>
      <c r="T2057" s="113"/>
      <c r="V2057" s="494">
        <v>120</v>
      </c>
      <c r="W2057"/>
    </row>
    <row r="2058" spans="2:23" ht="15.75">
      <c r="B2058" s="12" t="s">
        <v>1858</v>
      </c>
      <c r="C2058" s="6" t="s">
        <v>3662</v>
      </c>
      <c r="D2058" s="15" t="s">
        <v>11</v>
      </c>
      <c r="E2058" s="24">
        <v>2440</v>
      </c>
      <c r="F2058" s="150">
        <v>140</v>
      </c>
      <c r="G2058" s="24" t="s">
        <v>733</v>
      </c>
      <c r="H2058" s="67">
        <v>58</v>
      </c>
      <c r="I2058" s="68">
        <v>3</v>
      </c>
      <c r="J2058" s="67">
        <f>H2058*I2058</f>
        <v>174</v>
      </c>
      <c r="K2058" s="46">
        <v>3.89</v>
      </c>
      <c r="L2058" s="46">
        <f>K2058*J2058</f>
        <v>676.86</v>
      </c>
      <c r="M2058" s="162" t="s">
        <v>2219</v>
      </c>
      <c r="N2058" s="39">
        <v>44938</v>
      </c>
      <c r="O2058" s="38">
        <v>4902</v>
      </c>
      <c r="P2058" s="46">
        <f>K2058*(VLOOKUP(B2058,$C$2:$F$6,3,FALSE))</f>
        <v>3.6566000000000001</v>
      </c>
      <c r="Q2058" s="483">
        <v>3.66</v>
      </c>
      <c r="R2058" s="704">
        <f>Q2058*J2058</f>
        <v>636.84</v>
      </c>
      <c r="S2058" s="532">
        <v>280</v>
      </c>
      <c r="T2058" s="567">
        <f>S2058*J2058</f>
        <v>48720</v>
      </c>
      <c r="V2058" s="494">
        <v>120</v>
      </c>
      <c r="W2058"/>
    </row>
    <row r="2059" spans="2:23" ht="15.75">
      <c r="B2059" s="12" t="s">
        <v>1858</v>
      </c>
      <c r="C2059" s="6" t="s">
        <v>3662</v>
      </c>
      <c r="D2059" s="15" t="s">
        <v>11</v>
      </c>
      <c r="E2059" s="24">
        <v>2440</v>
      </c>
      <c r="F2059" s="150">
        <v>140</v>
      </c>
      <c r="G2059" s="24" t="s">
        <v>733</v>
      </c>
      <c r="H2059" s="67">
        <v>66</v>
      </c>
      <c r="I2059" s="68">
        <v>1</v>
      </c>
      <c r="J2059" s="67">
        <f>H2059*I2059</f>
        <v>66</v>
      </c>
      <c r="K2059" s="46">
        <v>3.89</v>
      </c>
      <c r="L2059" s="46">
        <f>K2059*J2059</f>
        <v>256.74</v>
      </c>
      <c r="M2059" s="162" t="s">
        <v>2219</v>
      </c>
      <c r="N2059" s="39">
        <v>44938</v>
      </c>
      <c r="O2059" s="38">
        <v>4902</v>
      </c>
      <c r="P2059" s="46">
        <f>K2059*(VLOOKUP(B2059,$C$2:$F$6,3,FALSE))</f>
        <v>3.6566000000000001</v>
      </c>
      <c r="Q2059" s="483">
        <v>3.66</v>
      </c>
      <c r="R2059" s="704">
        <f>Q2059*J2059</f>
        <v>241.56</v>
      </c>
      <c r="S2059" s="532">
        <v>280</v>
      </c>
      <c r="T2059" s="567">
        <f>S2059*J2059</f>
        <v>18480</v>
      </c>
      <c r="V2059" s="494">
        <v>120</v>
      </c>
      <c r="W2059"/>
    </row>
    <row r="2060" spans="2:23" ht="15.75">
      <c r="B2060" s="12" t="s">
        <v>1858</v>
      </c>
      <c r="C2060" s="6" t="s">
        <v>3662</v>
      </c>
      <c r="D2060" s="15" t="s">
        <v>11</v>
      </c>
      <c r="E2060" s="24">
        <v>2440</v>
      </c>
      <c r="F2060" s="150">
        <v>140</v>
      </c>
      <c r="G2060" s="24" t="s">
        <v>859</v>
      </c>
      <c r="H2060" s="67">
        <v>58</v>
      </c>
      <c r="I2060" s="68">
        <v>4</v>
      </c>
      <c r="J2060" s="67">
        <f>H2060*I2060</f>
        <v>232</v>
      </c>
      <c r="K2060" s="46">
        <v>3.89</v>
      </c>
      <c r="L2060" s="46">
        <f>K2060*J2060</f>
        <v>902.48</v>
      </c>
      <c r="M2060" s="162" t="s">
        <v>2219</v>
      </c>
      <c r="N2060" s="39">
        <v>44957</v>
      </c>
      <c r="O2060" s="38">
        <v>4938</v>
      </c>
      <c r="P2060" s="46">
        <f>K2060*(VLOOKUP(B2060,$C$2:$F$6,3,FALSE))</f>
        <v>3.6566000000000001</v>
      </c>
      <c r="Q2060" s="483">
        <v>3.66</v>
      </c>
      <c r="R2060" s="704">
        <f>Q2060*J2060</f>
        <v>849.12</v>
      </c>
      <c r="S2060" s="532">
        <v>280</v>
      </c>
      <c r="T2060" s="567">
        <f>S2060*J2060</f>
        <v>64960</v>
      </c>
      <c r="V2060" s="494">
        <v>120</v>
      </c>
      <c r="W2060"/>
    </row>
    <row r="2061" spans="2:23" ht="15">
      <c r="C2061" s="6" t="s">
        <v>3662</v>
      </c>
      <c r="D2061" s="15" t="s">
        <v>11</v>
      </c>
      <c r="E2061" s="24"/>
      <c r="F2061" s="160"/>
      <c r="G2061" s="228" t="s">
        <v>481</v>
      </c>
      <c r="H2061" s="214"/>
      <c r="I2061" s="215"/>
      <c r="J2061" s="43">
        <v>1</v>
      </c>
      <c r="K2061" s="229">
        <v>20</v>
      </c>
      <c r="L2061" s="417" t="s">
        <v>1676</v>
      </c>
      <c r="M2061" s="417"/>
      <c r="N2061" s="39">
        <v>44957</v>
      </c>
      <c r="O2061" s="38">
        <v>4938</v>
      </c>
      <c r="P2061" s="216"/>
      <c r="Q2061" s="525">
        <v>0</v>
      </c>
      <c r="R2061" s="704">
        <f>Q2061*J2061</f>
        <v>0</v>
      </c>
      <c r="S2061" s="532">
        <v>1800</v>
      </c>
      <c r="T2061" s="113">
        <f>S2061*J2061</f>
        <v>1800</v>
      </c>
      <c r="V2061" s="494">
        <v>120</v>
      </c>
    </row>
    <row r="2062" spans="2:23" s="314" customFormat="1" ht="15">
      <c r="B2062" s="313"/>
      <c r="C2062" s="302" t="s">
        <v>3662</v>
      </c>
      <c r="D2062" s="303" t="s">
        <v>11</v>
      </c>
      <c r="E2062" s="371"/>
      <c r="F2062" s="305"/>
      <c r="G2062" s="305" t="s">
        <v>1227</v>
      </c>
      <c r="H2062" s="307" t="s">
        <v>1228</v>
      </c>
      <c r="I2062" s="308"/>
      <c r="J2062" s="306"/>
      <c r="K2062" s="315">
        <v>0</v>
      </c>
      <c r="L2062" s="310"/>
      <c r="M2062" s="310"/>
      <c r="N2062" s="310"/>
      <c r="O2062" s="309"/>
      <c r="P2062" s="302"/>
      <c r="Q2062" s="485">
        <v>0</v>
      </c>
      <c r="S2062" s="535">
        <v>0</v>
      </c>
      <c r="T2062" s="322">
        <v>0</v>
      </c>
      <c r="U2062" s="515"/>
      <c r="V2062" s="494">
        <v>120</v>
      </c>
    </row>
    <row r="2063" spans="2:23" s="7" customFormat="1" ht="18" customHeight="1">
      <c r="B2063" s="12"/>
      <c r="C2063" s="6" t="s">
        <v>3663</v>
      </c>
      <c r="D2063" s="15" t="s">
        <v>11</v>
      </c>
      <c r="E2063" s="20" t="s">
        <v>27</v>
      </c>
      <c r="F2063" s="150"/>
      <c r="G2063" s="24"/>
      <c r="H2063" s="151"/>
      <c r="I2063" s="152"/>
      <c r="J2063" s="151"/>
      <c r="K2063" s="34" t="s">
        <v>10</v>
      </c>
      <c r="L2063" s="39"/>
      <c r="M2063" s="39"/>
      <c r="N2063" s="39">
        <v>44957</v>
      </c>
      <c r="O2063" s="38">
        <v>4938</v>
      </c>
      <c r="P2063" s="15"/>
      <c r="Q2063" s="483"/>
      <c r="S2063" s="489"/>
      <c r="T2063" s="113"/>
      <c r="U2063" s="506"/>
      <c r="V2063" s="494">
        <v>120</v>
      </c>
    </row>
    <row r="2064" spans="2:23" s="7" customFormat="1" ht="18" customHeight="1">
      <c r="B2064" s="12" t="s">
        <v>1858</v>
      </c>
      <c r="C2064" s="6" t="s">
        <v>3663</v>
      </c>
      <c r="D2064" s="15" t="s">
        <v>11</v>
      </c>
      <c r="E2064" s="24" t="s">
        <v>536</v>
      </c>
      <c r="F2064" s="150">
        <v>160</v>
      </c>
      <c r="G2064" s="407" t="s">
        <v>735</v>
      </c>
      <c r="H2064" s="67">
        <v>50</v>
      </c>
      <c r="I2064" s="68">
        <v>1</v>
      </c>
      <c r="J2064" s="8">
        <f>H2064*I2064</f>
        <v>50</v>
      </c>
      <c r="K2064" s="25">
        <v>5</v>
      </c>
      <c r="L2064" s="46">
        <f>K2064*J2064</f>
        <v>250</v>
      </c>
      <c r="M2064" s="162" t="s">
        <v>2218</v>
      </c>
      <c r="N2064" s="39">
        <v>44957</v>
      </c>
      <c r="O2064" s="38">
        <v>4938</v>
      </c>
      <c r="P2064" s="46">
        <f>K2064*(VLOOKUP(B2064,$C$2:$F$6,3,FALSE))</f>
        <v>4.6999999999999993</v>
      </c>
      <c r="Q2064" s="483">
        <v>4.7</v>
      </c>
      <c r="R2064" s="704">
        <f>Q2064*J2064</f>
        <v>235</v>
      </c>
      <c r="S2064" s="532">
        <v>360</v>
      </c>
      <c r="T2064" s="567">
        <f>S2064*J2064</f>
        <v>18000</v>
      </c>
      <c r="U2064" s="501"/>
      <c r="V2064" s="494">
        <v>120</v>
      </c>
    </row>
    <row r="2065" spans="2:23" s="7" customFormat="1" ht="18" customHeight="1">
      <c r="B2065" s="12" t="s">
        <v>1858</v>
      </c>
      <c r="C2065" s="6" t="s">
        <v>3663</v>
      </c>
      <c r="D2065" s="15" t="s">
        <v>11</v>
      </c>
      <c r="E2065" s="24" t="s">
        <v>536</v>
      </c>
      <c r="F2065" s="150">
        <v>160</v>
      </c>
      <c r="G2065" s="407" t="s">
        <v>859</v>
      </c>
      <c r="H2065" s="67">
        <v>50</v>
      </c>
      <c r="I2065" s="68">
        <v>1</v>
      </c>
      <c r="J2065" s="8">
        <f>H2065*I2065</f>
        <v>50</v>
      </c>
      <c r="K2065" s="25">
        <v>5</v>
      </c>
      <c r="L2065" s="46">
        <f>K2065*J2065</f>
        <v>250</v>
      </c>
      <c r="M2065" s="162" t="s">
        <v>2218</v>
      </c>
      <c r="N2065" s="39">
        <v>44957</v>
      </c>
      <c r="O2065" s="38">
        <v>4938</v>
      </c>
      <c r="P2065" s="46">
        <f>K2065*(VLOOKUP(B2065,$C$2:$F$6,3,FALSE))</f>
        <v>4.6999999999999993</v>
      </c>
      <c r="Q2065" s="483">
        <v>4.7</v>
      </c>
      <c r="R2065" s="704">
        <f>Q2065*J2065</f>
        <v>235</v>
      </c>
      <c r="S2065" s="532">
        <v>360</v>
      </c>
      <c r="T2065" s="567">
        <f>S2065*J2065</f>
        <v>18000</v>
      </c>
      <c r="U2065" s="501"/>
      <c r="V2065" s="494">
        <v>120</v>
      </c>
    </row>
    <row r="2066" spans="2:23" ht="15">
      <c r="C2066" s="6" t="s">
        <v>3663</v>
      </c>
      <c r="D2066" s="15" t="s">
        <v>11</v>
      </c>
      <c r="E2066" s="20" t="s">
        <v>79</v>
      </c>
      <c r="F2066" s="150"/>
      <c r="G2066" s="24"/>
      <c r="H2066" s="151"/>
      <c r="I2066" s="152"/>
      <c r="J2066" s="151"/>
      <c r="K2066" s="153" t="s">
        <v>10</v>
      </c>
      <c r="L2066" s="39"/>
      <c r="M2066" s="39"/>
      <c r="N2066" s="39">
        <v>45035</v>
      </c>
      <c r="O2066" s="38">
        <v>5163</v>
      </c>
      <c r="P2066" s="15"/>
      <c r="Q2066" s="483"/>
      <c r="S2066" s="496"/>
      <c r="T2066" s="113"/>
      <c r="V2066" s="494">
        <v>120</v>
      </c>
      <c r="W2066"/>
    </row>
    <row r="2067" spans="2:23" s="7" customFormat="1" ht="15.75">
      <c r="B2067" s="12" t="s">
        <v>1858</v>
      </c>
      <c r="C2067" s="6" t="s">
        <v>3663</v>
      </c>
      <c r="D2067" s="15" t="s">
        <v>11</v>
      </c>
      <c r="E2067" s="24" t="s">
        <v>731</v>
      </c>
      <c r="F2067" s="150">
        <v>140</v>
      </c>
      <c r="G2067" s="24" t="s">
        <v>734</v>
      </c>
      <c r="H2067" s="67">
        <v>58</v>
      </c>
      <c r="I2067" s="68">
        <v>5</v>
      </c>
      <c r="J2067" s="67">
        <f>H2067*I2067</f>
        <v>290</v>
      </c>
      <c r="K2067" s="46">
        <v>10</v>
      </c>
      <c r="L2067" s="46">
        <f>K2067*J2067</f>
        <v>2900</v>
      </c>
      <c r="M2067" s="162" t="s">
        <v>2219</v>
      </c>
      <c r="N2067" s="39">
        <v>45035</v>
      </c>
      <c r="O2067" s="38">
        <v>5163</v>
      </c>
      <c r="P2067" s="46">
        <f>K2067*(VLOOKUP(B2067,$C$2:$F$6,3,FALSE))</f>
        <v>9.3999999999999986</v>
      </c>
      <c r="Q2067" s="483">
        <v>9.4</v>
      </c>
      <c r="R2067" s="704">
        <f>Q2067*J2067</f>
        <v>2726</v>
      </c>
      <c r="S2067" s="532">
        <v>720</v>
      </c>
      <c r="T2067" s="113">
        <f>S2067*J2067</f>
        <v>208800</v>
      </c>
      <c r="U2067" s="501"/>
      <c r="V2067" s="494">
        <v>120</v>
      </c>
    </row>
    <row r="2068" spans="2:23" s="7" customFormat="1" ht="15.75">
      <c r="B2068" s="12" t="s">
        <v>1858</v>
      </c>
      <c r="C2068" s="6" t="s">
        <v>3663</v>
      </c>
      <c r="D2068" s="15" t="s">
        <v>11</v>
      </c>
      <c r="E2068" s="24" t="s">
        <v>731</v>
      </c>
      <c r="F2068" s="150">
        <v>140</v>
      </c>
      <c r="G2068" s="24" t="s">
        <v>874</v>
      </c>
      <c r="H2068" s="67">
        <v>58</v>
      </c>
      <c r="I2068" s="68">
        <v>2</v>
      </c>
      <c r="J2068" s="67">
        <f>H2068*I2068</f>
        <v>116</v>
      </c>
      <c r="K2068" s="46">
        <v>10</v>
      </c>
      <c r="L2068" s="46">
        <f>K2068*J2068</f>
        <v>1160</v>
      </c>
      <c r="M2068" s="162" t="s">
        <v>2219</v>
      </c>
      <c r="N2068" s="39">
        <v>45035</v>
      </c>
      <c r="O2068" s="38">
        <v>5163</v>
      </c>
      <c r="P2068" s="46">
        <f>K2068*(VLOOKUP(B2068,$C$2:$F$6,3,FALSE))</f>
        <v>9.3999999999999986</v>
      </c>
      <c r="Q2068" s="483">
        <v>9.4</v>
      </c>
      <c r="R2068" s="704">
        <f>Q2068*J2068</f>
        <v>1090.4000000000001</v>
      </c>
      <c r="S2068" s="532">
        <v>720</v>
      </c>
      <c r="T2068" s="113">
        <f>S2068*J2068</f>
        <v>83520</v>
      </c>
      <c r="U2068" s="501"/>
      <c r="V2068" s="494">
        <v>120</v>
      </c>
    </row>
    <row r="2069" spans="2:23" ht="15">
      <c r="C2069" s="6" t="s">
        <v>3663</v>
      </c>
      <c r="D2069" s="15" t="s">
        <v>11</v>
      </c>
      <c r="E2069" s="20" t="s">
        <v>79</v>
      </c>
      <c r="F2069" s="150"/>
      <c r="G2069" s="24"/>
      <c r="H2069" s="151"/>
      <c r="I2069" s="152"/>
      <c r="J2069" s="151"/>
      <c r="K2069" s="153" t="s">
        <v>10</v>
      </c>
      <c r="L2069" s="39"/>
      <c r="M2069" s="39"/>
      <c r="N2069" s="39">
        <v>44957</v>
      </c>
      <c r="O2069" s="38">
        <v>4938</v>
      </c>
      <c r="P2069" s="15"/>
      <c r="Q2069" s="483"/>
      <c r="S2069" s="496"/>
      <c r="T2069" s="113"/>
      <c r="V2069" s="494">
        <v>120</v>
      </c>
      <c r="W2069"/>
    </row>
    <row r="2070" spans="2:23" ht="15.75">
      <c r="B2070" s="12" t="s">
        <v>1858</v>
      </c>
      <c r="C2070" s="6" t="s">
        <v>3663</v>
      </c>
      <c r="D2070" s="15" t="s">
        <v>11</v>
      </c>
      <c r="E2070" s="24">
        <v>2440</v>
      </c>
      <c r="F2070" s="150">
        <v>140</v>
      </c>
      <c r="G2070" s="24" t="s">
        <v>733</v>
      </c>
      <c r="H2070" s="67">
        <v>58</v>
      </c>
      <c r="I2070" s="68">
        <v>5</v>
      </c>
      <c r="J2070" s="67">
        <f>H2070*I2070</f>
        <v>290</v>
      </c>
      <c r="K2070" s="46">
        <v>3.89</v>
      </c>
      <c r="L2070" s="46">
        <f>K2070*J2070</f>
        <v>1128.1000000000001</v>
      </c>
      <c r="M2070" s="162" t="s">
        <v>2219</v>
      </c>
      <c r="N2070" s="39">
        <v>44957</v>
      </c>
      <c r="O2070" s="38">
        <v>4938</v>
      </c>
      <c r="P2070" s="46">
        <f>K2070*(VLOOKUP(B2070,$C$2:$F$6,3,FALSE))</f>
        <v>3.6566000000000001</v>
      </c>
      <c r="Q2070" s="483">
        <v>3.66</v>
      </c>
      <c r="R2070" s="704">
        <f>Q2070*J2070</f>
        <v>1061.4000000000001</v>
      </c>
      <c r="S2070" s="532">
        <v>280</v>
      </c>
      <c r="T2070" s="567">
        <f>S2070*J2070</f>
        <v>81200</v>
      </c>
      <c r="V2070" s="494">
        <v>120</v>
      </c>
      <c r="W2070"/>
    </row>
    <row r="2071" spans="2:23" ht="15.75">
      <c r="B2071" s="12" t="s">
        <v>1858</v>
      </c>
      <c r="C2071" s="6" t="s">
        <v>3663</v>
      </c>
      <c r="D2071" s="15" t="s">
        <v>11</v>
      </c>
      <c r="E2071" s="24">
        <v>2440</v>
      </c>
      <c r="F2071" s="150">
        <v>140</v>
      </c>
      <c r="G2071" s="24" t="s">
        <v>859</v>
      </c>
      <c r="H2071" s="67">
        <v>58</v>
      </c>
      <c r="I2071" s="68">
        <v>2</v>
      </c>
      <c r="J2071" s="67">
        <f>H2071*I2071</f>
        <v>116</v>
      </c>
      <c r="K2071" s="46">
        <v>3.89</v>
      </c>
      <c r="L2071" s="46">
        <f>K2071*J2071</f>
        <v>451.24</v>
      </c>
      <c r="M2071" s="162" t="s">
        <v>2219</v>
      </c>
      <c r="N2071" s="39">
        <v>44957</v>
      </c>
      <c r="O2071" s="38">
        <v>4938</v>
      </c>
      <c r="P2071" s="46">
        <f>K2071*(VLOOKUP(B2071,$C$2:$F$6,3,FALSE))</f>
        <v>3.6566000000000001</v>
      </c>
      <c r="Q2071" s="483">
        <v>3.66</v>
      </c>
      <c r="R2071" s="704">
        <f>Q2071*J2071</f>
        <v>424.56</v>
      </c>
      <c r="S2071" s="532">
        <v>280</v>
      </c>
      <c r="T2071" s="567">
        <f>S2071*J2071</f>
        <v>32480</v>
      </c>
      <c r="V2071" s="494">
        <v>120</v>
      </c>
      <c r="W2071"/>
    </row>
    <row r="2072" spans="2:23" ht="15">
      <c r="C2072" s="6" t="s">
        <v>3663</v>
      </c>
      <c r="D2072" s="15" t="s">
        <v>11</v>
      </c>
      <c r="E2072" s="24"/>
      <c r="F2072" s="160"/>
      <c r="G2072" s="228" t="s">
        <v>481</v>
      </c>
      <c r="H2072" s="214"/>
      <c r="I2072" s="215"/>
      <c r="J2072" s="43">
        <v>1</v>
      </c>
      <c r="K2072" s="229">
        <v>20</v>
      </c>
      <c r="L2072" s="417" t="s">
        <v>1676</v>
      </c>
      <c r="M2072" s="417"/>
      <c r="N2072" s="39"/>
      <c r="O2072" s="38">
        <v>4938</v>
      </c>
      <c r="P2072" s="216"/>
      <c r="Q2072" s="525">
        <v>0</v>
      </c>
      <c r="R2072" s="704">
        <f>Q2072*J2072</f>
        <v>0</v>
      </c>
      <c r="S2072" s="1369">
        <v>1800</v>
      </c>
      <c r="T2072" s="1176">
        <f>S2072*J2072</f>
        <v>1800</v>
      </c>
      <c r="V2072" s="494">
        <v>120</v>
      </c>
    </row>
    <row r="2073" spans="2:23" s="314" customFormat="1" ht="15">
      <c r="B2073" s="313"/>
      <c r="C2073" s="302" t="s">
        <v>3663</v>
      </c>
      <c r="D2073" s="303" t="s">
        <v>11</v>
      </c>
      <c r="E2073" s="304"/>
      <c r="F2073" s="305"/>
      <c r="G2073" s="305" t="s">
        <v>1227</v>
      </c>
      <c r="H2073" s="307" t="s">
        <v>1228</v>
      </c>
      <c r="I2073" s="308"/>
      <c r="J2073" s="306"/>
      <c r="K2073" s="315">
        <v>0</v>
      </c>
      <c r="L2073" s="310"/>
      <c r="M2073" s="310"/>
      <c r="N2073" s="310"/>
      <c r="O2073" s="309"/>
      <c r="P2073" s="302"/>
      <c r="Q2073" s="485">
        <v>0</v>
      </c>
      <c r="S2073" s="535">
        <v>0</v>
      </c>
      <c r="T2073" s="322">
        <v>0</v>
      </c>
      <c r="U2073" s="515"/>
      <c r="V2073" s="494">
        <v>120</v>
      </c>
    </row>
    <row r="2074" spans="2:23" s="7" customFormat="1" ht="18" customHeight="1">
      <c r="B2074" s="12"/>
      <c r="C2074" s="6" t="s">
        <v>3664</v>
      </c>
      <c r="D2074" s="15" t="s">
        <v>11</v>
      </c>
      <c r="E2074" s="20" t="s">
        <v>27</v>
      </c>
      <c r="F2074" s="150"/>
      <c r="G2074" s="24"/>
      <c r="H2074" s="151"/>
      <c r="I2074" s="152"/>
      <c r="J2074" s="151"/>
      <c r="K2074" s="34" t="s">
        <v>10</v>
      </c>
      <c r="L2074" s="39"/>
      <c r="M2074" s="39"/>
      <c r="N2074" s="39">
        <v>44931</v>
      </c>
      <c r="O2074" s="38">
        <v>4868</v>
      </c>
      <c r="P2074" s="15"/>
      <c r="Q2074" s="483"/>
      <c r="S2074" s="489"/>
      <c r="T2074" s="113"/>
      <c r="U2074" s="506"/>
      <c r="V2074" s="494">
        <v>120</v>
      </c>
    </row>
    <row r="2075" spans="2:23" s="7" customFormat="1" ht="18" customHeight="1">
      <c r="B2075" s="12" t="s">
        <v>1858</v>
      </c>
      <c r="C2075" s="6" t="s">
        <v>3664</v>
      </c>
      <c r="D2075" s="15" t="s">
        <v>11</v>
      </c>
      <c r="E2075" s="24" t="s">
        <v>536</v>
      </c>
      <c r="F2075" s="150">
        <v>160</v>
      </c>
      <c r="G2075" s="407" t="s">
        <v>2601</v>
      </c>
      <c r="H2075" s="67">
        <v>50</v>
      </c>
      <c r="I2075" s="68">
        <v>2</v>
      </c>
      <c r="J2075" s="8">
        <f>H2075*I2075</f>
        <v>100</v>
      </c>
      <c r="K2075" s="25">
        <v>5</v>
      </c>
      <c r="L2075" s="46">
        <f>K2075*J2075</f>
        <v>500</v>
      </c>
      <c r="M2075" s="162" t="s">
        <v>2218</v>
      </c>
      <c r="N2075" s="39">
        <v>44931</v>
      </c>
      <c r="O2075" s="38">
        <v>4868</v>
      </c>
      <c r="P2075" s="46">
        <f>K2075*(VLOOKUP(B2075,$C$2:$F$6,3,FALSE))</f>
        <v>4.6999999999999993</v>
      </c>
      <c r="Q2075" s="483">
        <v>4.7</v>
      </c>
      <c r="R2075" s="704">
        <f>Q2075*J2075</f>
        <v>470</v>
      </c>
      <c r="S2075" s="532">
        <v>360</v>
      </c>
      <c r="T2075" s="567">
        <f>S2075*J2075</f>
        <v>36000</v>
      </c>
      <c r="U2075" s="501"/>
      <c r="V2075" s="494">
        <v>120</v>
      </c>
    </row>
    <row r="2076" spans="2:23" ht="15">
      <c r="C2076" s="6" t="s">
        <v>3664</v>
      </c>
      <c r="D2076" s="15" t="s">
        <v>11</v>
      </c>
      <c r="E2076" s="20" t="s">
        <v>79</v>
      </c>
      <c r="F2076" s="150"/>
      <c r="G2076" s="24"/>
      <c r="H2076" s="151"/>
      <c r="I2076" s="152"/>
      <c r="J2076" s="151"/>
      <c r="K2076" s="153" t="s">
        <v>10</v>
      </c>
      <c r="L2076" s="39"/>
      <c r="M2076" s="39"/>
      <c r="N2076" s="39">
        <v>45022</v>
      </c>
      <c r="O2076" s="38">
        <v>5133</v>
      </c>
      <c r="P2076" s="15"/>
      <c r="Q2076" s="483"/>
      <c r="S2076" s="496"/>
      <c r="T2076" s="113"/>
      <c r="V2076" s="494">
        <v>120</v>
      </c>
      <c r="W2076"/>
    </row>
    <row r="2077" spans="2:23" s="7" customFormat="1" ht="15.75">
      <c r="B2077" s="12" t="s">
        <v>1858</v>
      </c>
      <c r="C2077" s="6" t="s">
        <v>3664</v>
      </c>
      <c r="D2077" s="15" t="s">
        <v>11</v>
      </c>
      <c r="E2077" s="24" t="s">
        <v>731</v>
      </c>
      <c r="F2077" s="150">
        <v>140</v>
      </c>
      <c r="G2077" s="24" t="s">
        <v>734</v>
      </c>
      <c r="H2077" s="67">
        <v>58</v>
      </c>
      <c r="I2077" s="68">
        <v>1</v>
      </c>
      <c r="J2077" s="67">
        <f t="shared" ref="J2077:J2082" si="111">H2077*I2077</f>
        <v>58</v>
      </c>
      <c r="K2077" s="46">
        <v>10</v>
      </c>
      <c r="L2077" s="46">
        <f t="shared" ref="L2077:L2082" si="112">K2077*J2077</f>
        <v>580</v>
      </c>
      <c r="M2077" s="162" t="s">
        <v>2219</v>
      </c>
      <c r="N2077" s="39">
        <v>45022</v>
      </c>
      <c r="O2077" s="38">
        <v>5133</v>
      </c>
      <c r="P2077" s="46">
        <f t="shared" ref="P2077:P2082" si="113">K2077*(VLOOKUP(B2077,$C$2:$F$6,3,FALSE))</f>
        <v>9.3999999999999986</v>
      </c>
      <c r="Q2077" s="483">
        <v>9.4</v>
      </c>
      <c r="R2077" s="704">
        <f t="shared" ref="R2077:R2083" si="114">Q2077*J2077</f>
        <v>545.20000000000005</v>
      </c>
      <c r="S2077" s="532">
        <v>720</v>
      </c>
      <c r="T2077" s="113">
        <f t="shared" ref="T2077:T2083" si="115">S2077*J2077</f>
        <v>41760</v>
      </c>
      <c r="U2077" s="501"/>
      <c r="V2077" s="494">
        <v>120</v>
      </c>
    </row>
    <row r="2078" spans="2:23" s="7" customFormat="1" ht="15.75">
      <c r="B2078" s="12" t="s">
        <v>1858</v>
      </c>
      <c r="C2078" s="6" t="s">
        <v>3664</v>
      </c>
      <c r="D2078" s="15" t="s">
        <v>11</v>
      </c>
      <c r="E2078" s="24" t="s">
        <v>731</v>
      </c>
      <c r="F2078" s="150">
        <v>140</v>
      </c>
      <c r="G2078" s="24" t="s">
        <v>734</v>
      </c>
      <c r="H2078" s="67">
        <v>68</v>
      </c>
      <c r="I2078" s="68">
        <v>3</v>
      </c>
      <c r="J2078" s="67">
        <f t="shared" si="111"/>
        <v>204</v>
      </c>
      <c r="K2078" s="46">
        <v>10</v>
      </c>
      <c r="L2078" s="46">
        <f t="shared" si="112"/>
        <v>2040</v>
      </c>
      <c r="M2078" s="162" t="s">
        <v>2219</v>
      </c>
      <c r="N2078" s="39">
        <v>45022</v>
      </c>
      <c r="O2078" s="38">
        <v>5133</v>
      </c>
      <c r="P2078" s="46">
        <f t="shared" si="113"/>
        <v>9.3999999999999986</v>
      </c>
      <c r="Q2078" s="483">
        <v>9.4</v>
      </c>
      <c r="R2078" s="704">
        <f t="shared" si="114"/>
        <v>1917.6000000000001</v>
      </c>
      <c r="S2078" s="532">
        <v>720</v>
      </c>
      <c r="T2078" s="113">
        <f t="shared" si="115"/>
        <v>146880</v>
      </c>
      <c r="U2078" s="501"/>
      <c r="V2078" s="494">
        <v>120</v>
      </c>
    </row>
    <row r="2079" spans="2:23" s="7" customFormat="1" ht="15.75">
      <c r="B2079" s="12" t="s">
        <v>1858</v>
      </c>
      <c r="C2079" s="6" t="s">
        <v>3664</v>
      </c>
      <c r="D2079" s="15" t="s">
        <v>11</v>
      </c>
      <c r="E2079" s="24" t="s">
        <v>731</v>
      </c>
      <c r="F2079" s="150">
        <v>140</v>
      </c>
      <c r="G2079" s="24" t="s">
        <v>874</v>
      </c>
      <c r="H2079" s="67">
        <v>52</v>
      </c>
      <c r="I2079" s="68">
        <v>1</v>
      </c>
      <c r="J2079" s="67">
        <f t="shared" si="111"/>
        <v>52</v>
      </c>
      <c r="K2079" s="46">
        <v>10</v>
      </c>
      <c r="L2079" s="46">
        <f t="shared" si="112"/>
        <v>520</v>
      </c>
      <c r="M2079" s="162" t="s">
        <v>2219</v>
      </c>
      <c r="N2079" s="39">
        <v>45022</v>
      </c>
      <c r="O2079" s="38">
        <v>5133</v>
      </c>
      <c r="P2079" s="46">
        <f t="shared" si="113"/>
        <v>9.3999999999999986</v>
      </c>
      <c r="Q2079" s="483">
        <v>9.4</v>
      </c>
      <c r="R2079" s="704">
        <f t="shared" si="114"/>
        <v>488.8</v>
      </c>
      <c r="S2079" s="532">
        <v>720</v>
      </c>
      <c r="T2079" s="113">
        <f t="shared" si="115"/>
        <v>37440</v>
      </c>
      <c r="U2079" s="501"/>
      <c r="V2079" s="494">
        <v>120</v>
      </c>
    </row>
    <row r="2080" spans="2:23" s="7" customFormat="1" ht="15.75">
      <c r="B2080" s="12" t="s">
        <v>1858</v>
      </c>
      <c r="C2080" s="6" t="s">
        <v>3664</v>
      </c>
      <c r="D2080" s="15" t="s">
        <v>11</v>
      </c>
      <c r="E2080" s="24" t="s">
        <v>731</v>
      </c>
      <c r="F2080" s="150">
        <v>140</v>
      </c>
      <c r="G2080" s="24" t="s">
        <v>874</v>
      </c>
      <c r="H2080" s="67">
        <v>53</v>
      </c>
      <c r="I2080" s="68">
        <v>1</v>
      </c>
      <c r="J2080" s="67">
        <f t="shared" si="111"/>
        <v>53</v>
      </c>
      <c r="K2080" s="46">
        <v>10</v>
      </c>
      <c r="L2080" s="46">
        <f t="shared" si="112"/>
        <v>530</v>
      </c>
      <c r="M2080" s="162" t="s">
        <v>2219</v>
      </c>
      <c r="N2080" s="39">
        <v>45022</v>
      </c>
      <c r="O2080" s="38">
        <v>5133</v>
      </c>
      <c r="P2080" s="46">
        <f t="shared" si="113"/>
        <v>9.3999999999999986</v>
      </c>
      <c r="Q2080" s="483">
        <v>9.4</v>
      </c>
      <c r="R2080" s="704">
        <f t="shared" si="114"/>
        <v>498.20000000000005</v>
      </c>
      <c r="S2080" s="532">
        <v>720</v>
      </c>
      <c r="T2080" s="113">
        <f t="shared" si="115"/>
        <v>38160</v>
      </c>
      <c r="U2080" s="501"/>
      <c r="V2080" s="494">
        <v>120</v>
      </c>
    </row>
    <row r="2081" spans="2:23" s="7" customFormat="1" ht="15.75">
      <c r="B2081" s="12" t="s">
        <v>1858</v>
      </c>
      <c r="C2081" s="6" t="s">
        <v>3664</v>
      </c>
      <c r="D2081" s="15" t="s">
        <v>11</v>
      </c>
      <c r="E2081" s="24" t="s">
        <v>731</v>
      </c>
      <c r="F2081" s="150">
        <v>140</v>
      </c>
      <c r="G2081" s="24" t="s">
        <v>874</v>
      </c>
      <c r="H2081" s="67">
        <v>55</v>
      </c>
      <c r="I2081" s="68">
        <v>1</v>
      </c>
      <c r="J2081" s="67">
        <f t="shared" si="111"/>
        <v>55</v>
      </c>
      <c r="K2081" s="46">
        <v>10</v>
      </c>
      <c r="L2081" s="46">
        <f t="shared" si="112"/>
        <v>550</v>
      </c>
      <c r="M2081" s="162" t="s">
        <v>2219</v>
      </c>
      <c r="N2081" s="39">
        <v>45022</v>
      </c>
      <c r="O2081" s="38">
        <v>5133</v>
      </c>
      <c r="P2081" s="46">
        <f t="shared" si="113"/>
        <v>9.3999999999999986</v>
      </c>
      <c r="Q2081" s="483">
        <v>9.4</v>
      </c>
      <c r="R2081" s="704">
        <f t="shared" si="114"/>
        <v>517</v>
      </c>
      <c r="S2081" s="532">
        <v>720</v>
      </c>
      <c r="T2081" s="113">
        <f t="shared" si="115"/>
        <v>39600</v>
      </c>
      <c r="U2081" s="501"/>
      <c r="V2081" s="494">
        <v>120</v>
      </c>
    </row>
    <row r="2082" spans="2:23" s="7" customFormat="1" ht="15.75">
      <c r="B2082" s="12" t="s">
        <v>1858</v>
      </c>
      <c r="C2082" s="6" t="s">
        <v>3664</v>
      </c>
      <c r="D2082" s="15" t="s">
        <v>11</v>
      </c>
      <c r="E2082" s="24" t="s">
        <v>731</v>
      </c>
      <c r="F2082" s="150">
        <v>140</v>
      </c>
      <c r="G2082" s="24" t="s">
        <v>874</v>
      </c>
      <c r="H2082" s="67">
        <v>58</v>
      </c>
      <c r="I2082" s="68">
        <v>1</v>
      </c>
      <c r="J2082" s="67">
        <f t="shared" si="111"/>
        <v>58</v>
      </c>
      <c r="K2082" s="46">
        <v>10</v>
      </c>
      <c r="L2082" s="46">
        <f t="shared" si="112"/>
        <v>580</v>
      </c>
      <c r="M2082" s="162" t="s">
        <v>2219</v>
      </c>
      <c r="N2082" s="39">
        <v>45022</v>
      </c>
      <c r="O2082" s="38">
        <v>5133</v>
      </c>
      <c r="P2082" s="46">
        <f t="shared" si="113"/>
        <v>9.3999999999999986</v>
      </c>
      <c r="Q2082" s="483">
        <v>9.4</v>
      </c>
      <c r="R2082" s="704">
        <f t="shared" si="114"/>
        <v>545.20000000000005</v>
      </c>
      <c r="S2082" s="532">
        <v>720</v>
      </c>
      <c r="T2082" s="113">
        <f t="shared" si="115"/>
        <v>41760</v>
      </c>
      <c r="U2082" s="501"/>
      <c r="V2082" s="494">
        <v>120</v>
      </c>
    </row>
    <row r="2083" spans="2:23" ht="15">
      <c r="C2083" s="6" t="s">
        <v>3664</v>
      </c>
      <c r="D2083" s="15" t="s">
        <v>11</v>
      </c>
      <c r="E2083" s="24"/>
      <c r="F2083" s="160"/>
      <c r="G2083" s="228" t="s">
        <v>481</v>
      </c>
      <c r="H2083" s="214"/>
      <c r="I2083" s="215"/>
      <c r="J2083" s="43">
        <v>1</v>
      </c>
      <c r="K2083" s="229">
        <v>20</v>
      </c>
      <c r="L2083" s="417" t="s">
        <v>1676</v>
      </c>
      <c r="M2083" s="417"/>
      <c r="N2083" s="39">
        <v>45022</v>
      </c>
      <c r="O2083" s="38">
        <v>5133</v>
      </c>
      <c r="P2083" s="216"/>
      <c r="Q2083" s="525">
        <v>0</v>
      </c>
      <c r="R2083" s="704">
        <f t="shared" si="114"/>
        <v>0</v>
      </c>
      <c r="S2083" s="532">
        <v>0</v>
      </c>
      <c r="T2083" s="113">
        <f t="shared" si="115"/>
        <v>0</v>
      </c>
      <c r="V2083" s="494">
        <v>120</v>
      </c>
    </row>
    <row r="2084" spans="2:23" s="314" customFormat="1" ht="15">
      <c r="B2084" s="313"/>
      <c r="C2084" s="302" t="s">
        <v>3664</v>
      </c>
      <c r="D2084" s="303" t="s">
        <v>11</v>
      </c>
      <c r="E2084" s="304"/>
      <c r="F2084" s="305"/>
      <c r="G2084" s="305" t="s">
        <v>1227</v>
      </c>
      <c r="H2084" s="307" t="s">
        <v>1228</v>
      </c>
      <c r="I2084" s="308"/>
      <c r="J2084" s="306"/>
      <c r="K2084" s="315">
        <v>0</v>
      </c>
      <c r="L2084" s="310"/>
      <c r="M2084" s="310"/>
      <c r="N2084" s="310">
        <v>45022</v>
      </c>
      <c r="O2084" s="309">
        <v>5133</v>
      </c>
      <c r="P2084" s="302"/>
      <c r="Q2084" s="485">
        <v>0</v>
      </c>
      <c r="S2084" s="535">
        <v>0</v>
      </c>
      <c r="T2084" s="322">
        <v>0</v>
      </c>
      <c r="U2084" s="515"/>
      <c r="V2084" s="494">
        <v>120</v>
      </c>
    </row>
    <row r="2085" spans="2:23" ht="18" customHeight="1">
      <c r="C2085" s="6" t="s">
        <v>3694</v>
      </c>
      <c r="D2085" s="15" t="s">
        <v>169</v>
      </c>
      <c r="E2085" s="20" t="s">
        <v>3305</v>
      </c>
      <c r="F2085" s="150"/>
      <c r="G2085" s="24"/>
      <c r="H2085" s="151"/>
      <c r="I2085" s="152"/>
      <c r="J2085" s="151"/>
      <c r="K2085" s="153" t="s">
        <v>10</v>
      </c>
      <c r="L2085" s="39"/>
      <c r="M2085" s="39"/>
      <c r="N2085" s="39">
        <v>44915</v>
      </c>
      <c r="O2085" s="38">
        <v>4847</v>
      </c>
      <c r="P2085" s="15"/>
      <c r="Q2085" s="483"/>
      <c r="S2085" s="496" t="s">
        <v>3316</v>
      </c>
      <c r="T2085" s="113"/>
      <c r="U2085" s="499" t="s">
        <v>3317</v>
      </c>
      <c r="V2085" s="494">
        <v>120</v>
      </c>
      <c r="W2085"/>
    </row>
    <row r="2086" spans="2:23" ht="18" customHeight="1">
      <c r="B2086" s="12" t="s">
        <v>1858</v>
      </c>
      <c r="C2086" s="6" t="s">
        <v>3694</v>
      </c>
      <c r="D2086" s="15" t="s">
        <v>169</v>
      </c>
      <c r="E2086" s="1278" t="s">
        <v>3306</v>
      </c>
      <c r="F2086" s="150"/>
      <c r="G2086" s="1207" t="s">
        <v>3307</v>
      </c>
      <c r="H2086" s="67"/>
      <c r="I2086" s="68"/>
      <c r="J2086" s="19">
        <v>25.3</v>
      </c>
      <c r="K2086" s="703">
        <v>20.32</v>
      </c>
      <c r="L2086" s="46">
        <f t="shared" ref="L2086:L2091" si="116">K2086*J2086</f>
        <v>514.096</v>
      </c>
      <c r="M2086" s="162" t="s">
        <v>2219</v>
      </c>
      <c r="N2086" s="39">
        <v>44915</v>
      </c>
      <c r="O2086" s="38">
        <v>4847</v>
      </c>
      <c r="P2086" s="46">
        <f>20.32*0.94</f>
        <v>19.1008</v>
      </c>
      <c r="Q2086" s="483">
        <v>19.100000000000001</v>
      </c>
      <c r="R2086" s="704">
        <f t="shared" ref="R2086:R2091" si="117">Q2086*J2086</f>
        <v>483.23000000000008</v>
      </c>
      <c r="S2086" s="532">
        <f>1900</f>
        <v>1900</v>
      </c>
      <c r="T2086" s="567">
        <f t="shared" ref="T2086:T2091" si="118">S2086*J2086</f>
        <v>48070</v>
      </c>
      <c r="U2086" s="499">
        <v>1950</v>
      </c>
      <c r="V2086" s="494">
        <v>120</v>
      </c>
      <c r="W2086"/>
    </row>
    <row r="2087" spans="2:23" ht="18" customHeight="1">
      <c r="B2087" s="12" t="s">
        <v>1858</v>
      </c>
      <c r="C2087" s="6" t="s">
        <v>3694</v>
      </c>
      <c r="D2087" s="15" t="s">
        <v>169</v>
      </c>
      <c r="E2087" s="1278" t="s">
        <v>3308</v>
      </c>
      <c r="F2087" s="150"/>
      <c r="G2087" s="1207" t="s">
        <v>3309</v>
      </c>
      <c r="H2087" s="67"/>
      <c r="I2087" s="68"/>
      <c r="J2087" s="67">
        <v>10</v>
      </c>
      <c r="K2087" s="703">
        <f>19.38+3</f>
        <v>22.38</v>
      </c>
      <c r="L2087" s="46">
        <f t="shared" si="116"/>
        <v>223.79999999999998</v>
      </c>
      <c r="M2087" s="162" t="s">
        <v>2219</v>
      </c>
      <c r="N2087" s="39">
        <v>44915</v>
      </c>
      <c r="O2087" s="38">
        <v>4847</v>
      </c>
      <c r="P2087" s="46">
        <f>19.38*0.94</f>
        <v>18.217199999999998</v>
      </c>
      <c r="Q2087" s="483">
        <v>18.22</v>
      </c>
      <c r="R2087" s="704">
        <f t="shared" si="117"/>
        <v>182.2</v>
      </c>
      <c r="S2087" s="532">
        <f>1800+300</f>
        <v>2100</v>
      </c>
      <c r="T2087" s="567">
        <f t="shared" si="118"/>
        <v>21000</v>
      </c>
      <c r="U2087" s="499">
        <v>1860</v>
      </c>
      <c r="V2087" s="494">
        <v>120</v>
      </c>
      <c r="W2087"/>
    </row>
    <row r="2088" spans="2:23" ht="18" customHeight="1">
      <c r="B2088" s="12" t="s">
        <v>1858</v>
      </c>
      <c r="C2088" s="6" t="s">
        <v>3694</v>
      </c>
      <c r="D2088" s="15" t="s">
        <v>169</v>
      </c>
      <c r="E2088" s="1278" t="s">
        <v>3311</v>
      </c>
      <c r="F2088" s="150"/>
      <c r="G2088" s="1207" t="s">
        <v>3312</v>
      </c>
      <c r="H2088" s="67"/>
      <c r="I2088" s="68"/>
      <c r="J2088" s="67">
        <v>20</v>
      </c>
      <c r="K2088" s="703">
        <f>15.63+3</f>
        <v>18.630000000000003</v>
      </c>
      <c r="L2088" s="46">
        <f t="shared" si="116"/>
        <v>372.6</v>
      </c>
      <c r="M2088" s="162" t="s">
        <v>2219</v>
      </c>
      <c r="N2088" s="39">
        <v>44915</v>
      </c>
      <c r="O2088" s="38">
        <v>4847</v>
      </c>
      <c r="P2088" s="46">
        <f>15.63*0.94</f>
        <v>14.6922</v>
      </c>
      <c r="Q2088" s="483">
        <v>14.69</v>
      </c>
      <c r="R2088" s="704">
        <f t="shared" si="117"/>
        <v>293.8</v>
      </c>
      <c r="S2088" s="532">
        <f>1380+300</f>
        <v>1680</v>
      </c>
      <c r="T2088" s="567">
        <f t="shared" si="118"/>
        <v>33600</v>
      </c>
      <c r="U2088" s="499">
        <v>1500</v>
      </c>
      <c r="V2088" s="494">
        <v>120</v>
      </c>
      <c r="W2088"/>
    </row>
    <row r="2089" spans="2:23" ht="18" customHeight="1">
      <c r="B2089" s="12" t="s">
        <v>1858</v>
      </c>
      <c r="C2089" s="6" t="s">
        <v>3694</v>
      </c>
      <c r="D2089" s="15" t="s">
        <v>169</v>
      </c>
      <c r="E2089" s="1278" t="s">
        <v>3313</v>
      </c>
      <c r="F2089" s="150"/>
      <c r="G2089" s="1207" t="s">
        <v>3314</v>
      </c>
      <c r="H2089" s="67"/>
      <c r="I2089" s="68"/>
      <c r="J2089" s="67">
        <v>15</v>
      </c>
      <c r="K2089" s="703">
        <f>18.55+3</f>
        <v>21.55</v>
      </c>
      <c r="L2089" s="46">
        <f t="shared" si="116"/>
        <v>323.25</v>
      </c>
      <c r="M2089" s="162" t="s">
        <v>2219</v>
      </c>
      <c r="N2089" s="39">
        <v>44915</v>
      </c>
      <c r="O2089" s="38">
        <v>4847</v>
      </c>
      <c r="P2089" s="46">
        <f>18.55*0.94</f>
        <v>17.437000000000001</v>
      </c>
      <c r="Q2089" s="483">
        <v>17.440000000000001</v>
      </c>
      <c r="R2089" s="704">
        <f t="shared" si="117"/>
        <v>261.60000000000002</v>
      </c>
      <c r="S2089" s="532">
        <f>1680+300</f>
        <v>1980</v>
      </c>
      <c r="T2089" s="567">
        <f t="shared" si="118"/>
        <v>29700</v>
      </c>
      <c r="U2089" s="499">
        <v>1780</v>
      </c>
      <c r="V2089" s="494">
        <v>120</v>
      </c>
      <c r="W2089"/>
    </row>
    <row r="2090" spans="2:23" ht="18" customHeight="1">
      <c r="B2090" s="12" t="s">
        <v>1858</v>
      </c>
      <c r="C2090" s="6" t="s">
        <v>3694</v>
      </c>
      <c r="D2090" s="15" t="s">
        <v>169</v>
      </c>
      <c r="E2090" s="1278" t="s">
        <v>3315</v>
      </c>
      <c r="F2090" s="150"/>
      <c r="G2090" s="1207" t="s">
        <v>3309</v>
      </c>
      <c r="H2090" s="67"/>
      <c r="I2090" s="68"/>
      <c r="J2090" s="67">
        <v>20</v>
      </c>
      <c r="K2090" s="703">
        <f>18.75+3</f>
        <v>21.75</v>
      </c>
      <c r="L2090" s="46">
        <f t="shared" si="116"/>
        <v>435</v>
      </c>
      <c r="M2090" s="162" t="s">
        <v>2219</v>
      </c>
      <c r="N2090" s="39">
        <v>44915</v>
      </c>
      <c r="O2090" s="38">
        <v>4847</v>
      </c>
      <c r="P2090" s="46">
        <f>18.75*0.94</f>
        <v>17.625</v>
      </c>
      <c r="Q2090" s="483">
        <v>17.63</v>
      </c>
      <c r="R2090" s="704">
        <f t="shared" si="117"/>
        <v>352.59999999999997</v>
      </c>
      <c r="S2090" s="532">
        <f>1700+300</f>
        <v>2000</v>
      </c>
      <c r="T2090" s="567">
        <f t="shared" si="118"/>
        <v>40000</v>
      </c>
      <c r="U2090" s="499">
        <v>1800</v>
      </c>
      <c r="V2090" s="494">
        <v>120</v>
      </c>
      <c r="W2090"/>
    </row>
    <row r="2091" spans="2:23" s="7" customFormat="1" ht="15.95" customHeight="1">
      <c r="B2091" s="12"/>
      <c r="C2091" s="6" t="s">
        <v>3694</v>
      </c>
      <c r="D2091" s="15" t="s">
        <v>169</v>
      </c>
      <c r="E2091" s="24"/>
      <c r="F2091" s="138"/>
      <c r="G2091" s="44" t="s">
        <v>1993</v>
      </c>
      <c r="H2091" s="8"/>
      <c r="I2091" s="41"/>
      <c r="J2091" s="45">
        <v>1</v>
      </c>
      <c r="K2091" s="46">
        <v>12</v>
      </c>
      <c r="L2091" s="46">
        <f t="shared" si="116"/>
        <v>12</v>
      </c>
      <c r="M2091" s="39"/>
      <c r="N2091" s="39">
        <v>44915</v>
      </c>
      <c r="O2091" s="38">
        <v>4847</v>
      </c>
      <c r="P2091" s="6"/>
      <c r="Q2091" s="483">
        <v>12</v>
      </c>
      <c r="R2091" s="704">
        <f t="shared" si="117"/>
        <v>12</v>
      </c>
      <c r="S2091" s="489">
        <v>0</v>
      </c>
      <c r="T2091" s="113">
        <f t="shared" si="118"/>
        <v>0</v>
      </c>
      <c r="U2091" s="501"/>
      <c r="V2091" s="494">
        <v>120</v>
      </c>
    </row>
    <row r="2092" spans="2:23" s="314" customFormat="1" ht="15.6" customHeight="1">
      <c r="B2092" s="313"/>
      <c r="C2092" s="302" t="s">
        <v>3694</v>
      </c>
      <c r="D2092" s="303" t="s">
        <v>169</v>
      </c>
      <c r="E2092" s="304"/>
      <c r="F2092" s="305"/>
      <c r="G2092" s="305" t="s">
        <v>1227</v>
      </c>
      <c r="H2092" s="307" t="s">
        <v>3438</v>
      </c>
      <c r="I2092" s="308"/>
      <c r="J2092" s="306"/>
      <c r="K2092" s="329">
        <v>670</v>
      </c>
      <c r="L2092" s="329">
        <v>670</v>
      </c>
      <c r="M2092" s="310"/>
      <c r="N2092" s="310">
        <v>44915</v>
      </c>
      <c r="O2092" s="309">
        <v>4847</v>
      </c>
      <c r="P2092" s="302"/>
      <c r="Q2092" s="329">
        <v>670</v>
      </c>
      <c r="R2092" s="329">
        <v>670</v>
      </c>
      <c r="S2092" s="661">
        <v>76796</v>
      </c>
      <c r="T2092" s="661">
        <v>76796</v>
      </c>
      <c r="U2092" s="515"/>
      <c r="V2092" s="494">
        <v>120</v>
      </c>
    </row>
    <row r="2093" spans="2:23" ht="18" customHeight="1">
      <c r="C2093" s="6" t="s">
        <v>3744</v>
      </c>
      <c r="D2093" s="15" t="s">
        <v>1126</v>
      </c>
      <c r="E2093" s="20" t="s">
        <v>3723</v>
      </c>
      <c r="F2093" s="150"/>
      <c r="G2093" s="24"/>
      <c r="H2093" s="151"/>
      <c r="I2093" s="152"/>
      <c r="J2093" s="151"/>
      <c r="K2093" s="153" t="s">
        <v>10</v>
      </c>
      <c r="L2093" s="39"/>
      <c r="M2093" s="39"/>
      <c r="N2093" s="39">
        <v>44916</v>
      </c>
      <c r="O2093" s="38">
        <v>4844</v>
      </c>
      <c r="P2093" s="15"/>
      <c r="Q2093" s="483"/>
      <c r="S2093" s="496"/>
      <c r="T2093" s="113"/>
      <c r="V2093" s="494">
        <v>120</v>
      </c>
      <c r="W2093"/>
    </row>
    <row r="2094" spans="2:23" ht="18" customHeight="1">
      <c r="B2094" s="12" t="s">
        <v>1858</v>
      </c>
      <c r="C2094" s="6" t="s">
        <v>3744</v>
      </c>
      <c r="D2094" s="15" t="s">
        <v>1126</v>
      </c>
      <c r="E2094" s="1278" t="s">
        <v>3722</v>
      </c>
      <c r="F2094" s="155" t="s">
        <v>3725</v>
      </c>
      <c r="G2094" s="1207" t="s">
        <v>3724</v>
      </c>
      <c r="H2094" s="67"/>
      <c r="I2094" s="68"/>
      <c r="J2094" s="67">
        <v>20</v>
      </c>
      <c r="K2094" s="703">
        <v>10.56</v>
      </c>
      <c r="L2094" s="46">
        <f>K2094*J2094</f>
        <v>211.20000000000002</v>
      </c>
      <c r="M2094" s="162" t="s">
        <v>2219</v>
      </c>
      <c r="N2094" s="39">
        <v>44916</v>
      </c>
      <c r="O2094" s="38">
        <v>4844</v>
      </c>
      <c r="P2094" s="46">
        <f>K2094*(VLOOKUP(B2094,$C$2:$F$6,3,FALSE))</f>
        <v>9.9263999999999992</v>
      </c>
      <c r="Q2094" s="483">
        <v>9.93</v>
      </c>
      <c r="R2094" s="704">
        <f>Q2094*J2094</f>
        <v>198.6</v>
      </c>
      <c r="S2094" s="532">
        <v>950</v>
      </c>
      <c r="T2094" s="567">
        <f>S2094*J2094</f>
        <v>19000</v>
      </c>
      <c r="V2094" s="494">
        <v>120</v>
      </c>
      <c r="W2094"/>
    </row>
    <row r="2095" spans="2:23" ht="18" customHeight="1">
      <c r="C2095" s="6" t="s">
        <v>3744</v>
      </c>
      <c r="D2095" s="15" t="s">
        <v>1126</v>
      </c>
      <c r="E2095" s="20" t="s">
        <v>3727</v>
      </c>
      <c r="F2095" s="150"/>
      <c r="G2095" s="24"/>
      <c r="H2095" s="151"/>
      <c r="I2095" s="152"/>
      <c r="J2095" s="151"/>
      <c r="K2095" s="153" t="s">
        <v>10</v>
      </c>
      <c r="L2095" s="39"/>
      <c r="M2095" s="39"/>
      <c r="N2095" s="39">
        <v>44916</v>
      </c>
      <c r="O2095" s="38">
        <v>4844</v>
      </c>
      <c r="P2095" s="15"/>
      <c r="Q2095" s="483"/>
      <c r="S2095" s="496"/>
      <c r="T2095" s="113"/>
      <c r="V2095" s="494">
        <v>120</v>
      </c>
      <c r="W2095"/>
    </row>
    <row r="2096" spans="2:23" ht="18" customHeight="1">
      <c r="B2096" s="12" t="s">
        <v>1858</v>
      </c>
      <c r="C2096" s="6" t="s">
        <v>3744</v>
      </c>
      <c r="D2096" s="15" t="s">
        <v>1126</v>
      </c>
      <c r="E2096" s="1278" t="s">
        <v>3726</v>
      </c>
      <c r="F2096" s="155" t="s">
        <v>3725</v>
      </c>
      <c r="G2096" s="1207" t="s">
        <v>3724</v>
      </c>
      <c r="H2096" s="67"/>
      <c r="I2096" s="68"/>
      <c r="J2096" s="67">
        <v>20</v>
      </c>
      <c r="K2096" s="703">
        <v>10.56</v>
      </c>
      <c r="L2096" s="46">
        <f>K2096*J2096</f>
        <v>211.20000000000002</v>
      </c>
      <c r="M2096" s="162" t="s">
        <v>2219</v>
      </c>
      <c r="N2096" s="39">
        <v>44916</v>
      </c>
      <c r="O2096" s="38">
        <v>4844</v>
      </c>
      <c r="P2096" s="46">
        <f>K2096*(VLOOKUP(B2096,$C$2:$F$6,3,FALSE))</f>
        <v>9.9263999999999992</v>
      </c>
      <c r="Q2096" s="483">
        <v>9.93</v>
      </c>
      <c r="R2096" s="704">
        <f>Q2096*J2096</f>
        <v>198.6</v>
      </c>
      <c r="S2096" s="532">
        <v>950</v>
      </c>
      <c r="T2096" s="567">
        <f>S2096*J2096</f>
        <v>19000</v>
      </c>
      <c r="V2096" s="494">
        <v>120</v>
      </c>
      <c r="W2096"/>
    </row>
    <row r="2097" spans="2:23" s="7" customFormat="1" ht="15.95" customHeight="1">
      <c r="B2097" s="12"/>
      <c r="C2097" s="6" t="s">
        <v>3744</v>
      </c>
      <c r="D2097" s="15" t="s">
        <v>1126</v>
      </c>
      <c r="E2097" s="24"/>
      <c r="F2097" s="138"/>
      <c r="G2097" s="44" t="s">
        <v>3728</v>
      </c>
      <c r="H2097" s="8"/>
      <c r="I2097" s="41"/>
      <c r="J2097" s="67">
        <v>40</v>
      </c>
      <c r="K2097" s="46">
        <v>1</v>
      </c>
      <c r="L2097" s="46">
        <f>K2097*J2097</f>
        <v>40</v>
      </c>
      <c r="M2097" s="39"/>
      <c r="N2097" s="39">
        <v>44916</v>
      </c>
      <c r="O2097" s="38">
        <v>4844</v>
      </c>
      <c r="P2097" s="6"/>
      <c r="Q2097" s="483">
        <v>1</v>
      </c>
      <c r="R2097" s="704">
        <f>Q2097*J2097</f>
        <v>40</v>
      </c>
      <c r="S2097" s="489">
        <v>100</v>
      </c>
      <c r="T2097" s="113">
        <f>S2097*J2097</f>
        <v>4000</v>
      </c>
      <c r="U2097" s="501"/>
      <c r="V2097" s="494">
        <v>120</v>
      </c>
    </row>
    <row r="2098" spans="2:23" s="7" customFormat="1" ht="15.95" customHeight="1">
      <c r="B2098" s="12"/>
      <c r="C2098" s="6" t="s">
        <v>3744</v>
      </c>
      <c r="D2098" s="15" t="s">
        <v>1126</v>
      </c>
      <c r="E2098" s="24"/>
      <c r="F2098" s="138"/>
      <c r="G2098" s="44" t="s">
        <v>1993</v>
      </c>
      <c r="H2098" s="8"/>
      <c r="I2098" s="41"/>
      <c r="J2098" s="45">
        <v>1</v>
      </c>
      <c r="K2098" s="46">
        <v>12</v>
      </c>
      <c r="L2098" s="46">
        <f>K2098*J2098</f>
        <v>12</v>
      </c>
      <c r="M2098" s="39"/>
      <c r="N2098" s="39">
        <v>44916</v>
      </c>
      <c r="O2098" s="38">
        <v>4844</v>
      </c>
      <c r="P2098" s="6"/>
      <c r="Q2098" s="483">
        <v>12</v>
      </c>
      <c r="R2098" s="704">
        <f>Q2098*J2098</f>
        <v>12</v>
      </c>
      <c r="S2098" s="489">
        <v>1000</v>
      </c>
      <c r="T2098" s="113">
        <f>S2098*J2098</f>
        <v>1000</v>
      </c>
      <c r="U2098" s="501"/>
      <c r="V2098" s="494">
        <v>120</v>
      </c>
    </row>
    <row r="2099" spans="2:23" s="314" customFormat="1" ht="15.6" customHeight="1">
      <c r="B2099" s="313"/>
      <c r="C2099" s="302" t="s">
        <v>3744</v>
      </c>
      <c r="D2099" s="303" t="s">
        <v>1126</v>
      </c>
      <c r="E2099" s="304"/>
      <c r="F2099" s="305"/>
      <c r="G2099" s="305" t="s">
        <v>1227</v>
      </c>
      <c r="H2099" s="307" t="s">
        <v>1228</v>
      </c>
      <c r="I2099" s="308"/>
      <c r="J2099" s="306"/>
      <c r="K2099" s="315">
        <v>0</v>
      </c>
      <c r="L2099" s="310"/>
      <c r="M2099" s="310"/>
      <c r="N2099" s="310">
        <v>44916</v>
      </c>
      <c r="O2099" s="309">
        <v>4844</v>
      </c>
      <c r="P2099" s="302"/>
      <c r="Q2099" s="485">
        <v>0</v>
      </c>
      <c r="S2099" s="535">
        <v>0</v>
      </c>
      <c r="T2099" s="322">
        <v>0</v>
      </c>
      <c r="U2099" s="515"/>
      <c r="V2099" s="494">
        <v>120</v>
      </c>
    </row>
    <row r="2100" spans="2:23" s="7" customFormat="1" ht="15">
      <c r="B2100" s="12"/>
      <c r="C2100" s="6" t="s">
        <v>3731</v>
      </c>
      <c r="D2100" s="15" t="s">
        <v>3329</v>
      </c>
      <c r="E2100" s="20" t="s">
        <v>3441</v>
      </c>
      <c r="F2100" s="26"/>
      <c r="G2100" s="24"/>
      <c r="H2100" s="67"/>
      <c r="I2100" s="68"/>
      <c r="J2100" s="67"/>
      <c r="K2100" s="17" t="s">
        <v>134</v>
      </c>
      <c r="L2100" s="39"/>
      <c r="M2100" s="39"/>
      <c r="N2100" s="39">
        <v>44914</v>
      </c>
      <c r="O2100" s="38">
        <v>4843</v>
      </c>
      <c r="P2100" s="6" t="s">
        <v>23</v>
      </c>
      <c r="Q2100" s="481"/>
      <c r="S2100" s="489"/>
      <c r="T2100" s="113"/>
      <c r="U2100" s="500"/>
      <c r="V2100" s="494">
        <v>120</v>
      </c>
    </row>
    <row r="2101" spans="2:23" s="7" customFormat="1" ht="15.75">
      <c r="B2101" s="12" t="s">
        <v>1856</v>
      </c>
      <c r="C2101" s="6" t="s">
        <v>3731</v>
      </c>
      <c r="D2101" s="15" t="s">
        <v>3329</v>
      </c>
      <c r="E2101" s="24" t="s">
        <v>3442</v>
      </c>
      <c r="F2101" s="26"/>
      <c r="G2101" s="24" t="s">
        <v>78</v>
      </c>
      <c r="H2101" s="151"/>
      <c r="I2101" s="152"/>
      <c r="J2101" s="67">
        <v>30</v>
      </c>
      <c r="K2101" s="46">
        <v>0.87</v>
      </c>
      <c r="L2101" s="46">
        <f>K2101*J2101</f>
        <v>26.1</v>
      </c>
      <c r="M2101" s="162" t="s">
        <v>2219</v>
      </c>
      <c r="N2101" s="39">
        <v>44914</v>
      </c>
      <c r="O2101" s="38">
        <v>4843</v>
      </c>
      <c r="P2101" s="46">
        <f>K2101*(VLOOKUP(B2101,$C$2:$F$6,3,FALSE))</f>
        <v>0.76559999999999995</v>
      </c>
      <c r="Q2101" s="482">
        <v>0.77</v>
      </c>
      <c r="R2101" s="704">
        <f>Q2101*J2101</f>
        <v>23.1</v>
      </c>
      <c r="S2101" s="489">
        <v>47</v>
      </c>
      <c r="T2101" s="567">
        <f>S2101*J2101</f>
        <v>1410</v>
      </c>
      <c r="U2101" s="500"/>
      <c r="V2101" s="494">
        <v>120</v>
      </c>
    </row>
    <row r="2102" spans="2:23" s="7" customFormat="1" ht="15.95" customHeight="1">
      <c r="B2102" s="12"/>
      <c r="C2102" s="6" t="s">
        <v>3731</v>
      </c>
      <c r="D2102" s="15" t="s">
        <v>3329</v>
      </c>
      <c r="E2102" s="24"/>
      <c r="F2102" s="138"/>
      <c r="G2102" s="44" t="s">
        <v>1993</v>
      </c>
      <c r="H2102" s="8"/>
      <c r="I2102" s="41"/>
      <c r="J2102" s="45">
        <v>1</v>
      </c>
      <c r="K2102" s="46">
        <v>12</v>
      </c>
      <c r="L2102" s="46">
        <f>K2102*J2102</f>
        <v>12</v>
      </c>
      <c r="M2102" s="39"/>
      <c r="N2102" s="39">
        <v>44914</v>
      </c>
      <c r="O2102" s="38">
        <v>4843</v>
      </c>
      <c r="P2102" s="6"/>
      <c r="Q2102" s="483">
        <v>12</v>
      </c>
      <c r="R2102" s="704">
        <f>Q2102*J2102</f>
        <v>12</v>
      </c>
      <c r="S2102" s="489">
        <v>900</v>
      </c>
      <c r="T2102" s="113">
        <f>S2102*J2102</f>
        <v>900</v>
      </c>
      <c r="U2102" s="501"/>
      <c r="V2102" s="494">
        <v>120</v>
      </c>
    </row>
    <row r="2103" spans="2:23" s="314" customFormat="1" ht="15.6" customHeight="1">
      <c r="B2103" s="313"/>
      <c r="C2103" s="302" t="s">
        <v>3731</v>
      </c>
      <c r="D2103" s="303" t="s">
        <v>3329</v>
      </c>
      <c r="E2103" s="304"/>
      <c r="F2103" s="305"/>
      <c r="G2103" s="305" t="s">
        <v>1227</v>
      </c>
      <c r="H2103" s="307" t="s">
        <v>1228</v>
      </c>
      <c r="I2103" s="308"/>
      <c r="J2103" s="306"/>
      <c r="K2103" s="315">
        <v>0</v>
      </c>
      <c r="L2103" s="310"/>
      <c r="M2103" s="310"/>
      <c r="N2103" s="310">
        <v>44914</v>
      </c>
      <c r="O2103" s="309">
        <v>4843</v>
      </c>
      <c r="P2103" s="302"/>
      <c r="Q2103" s="485">
        <v>0</v>
      </c>
      <c r="S2103" s="535">
        <v>0</v>
      </c>
      <c r="T2103" s="322">
        <v>0</v>
      </c>
      <c r="U2103" s="515"/>
      <c r="V2103" s="494">
        <v>120</v>
      </c>
    </row>
    <row r="2104" spans="2:23" s="7" customFormat="1" ht="15">
      <c r="B2104" s="12"/>
      <c r="C2104" s="6" t="s">
        <v>3732</v>
      </c>
      <c r="D2104" s="15" t="s">
        <v>1214</v>
      </c>
      <c r="E2104" s="20" t="s">
        <v>3737</v>
      </c>
      <c r="F2104" s="26"/>
      <c r="G2104" s="24"/>
      <c r="H2104" s="67"/>
      <c r="I2104" s="68"/>
      <c r="J2104" s="67"/>
      <c r="K2104" s="17" t="s">
        <v>134</v>
      </c>
      <c r="L2104" s="39"/>
      <c r="M2104" s="39"/>
      <c r="N2104" s="39">
        <v>44914</v>
      </c>
      <c r="O2104" s="38">
        <v>4842</v>
      </c>
      <c r="P2104" s="6" t="s">
        <v>23</v>
      </c>
      <c r="Q2104" s="481"/>
      <c r="S2104" s="489"/>
      <c r="T2104" s="113"/>
      <c r="U2104" s="500"/>
      <c r="V2104" s="494">
        <v>120</v>
      </c>
    </row>
    <row r="2105" spans="2:23" s="7" customFormat="1" ht="15.75">
      <c r="B2105" s="12" t="s">
        <v>1856</v>
      </c>
      <c r="C2105" s="6" t="s">
        <v>3732</v>
      </c>
      <c r="D2105" s="15" t="s">
        <v>1214</v>
      </c>
      <c r="E2105" s="24">
        <v>3745</v>
      </c>
      <c r="F2105" s="26">
        <v>6</v>
      </c>
      <c r="G2105" s="24" t="s">
        <v>3733</v>
      </c>
      <c r="H2105" s="67">
        <v>20</v>
      </c>
      <c r="I2105" s="68">
        <v>14</v>
      </c>
      <c r="J2105" s="67">
        <f>H2105*I2105</f>
        <v>280</v>
      </c>
      <c r="K2105" s="46">
        <v>0.67</v>
      </c>
      <c r="L2105" s="46">
        <f>K2105*J2105</f>
        <v>187.60000000000002</v>
      </c>
      <c r="M2105" s="162" t="s">
        <v>2219</v>
      </c>
      <c r="N2105" s="39">
        <v>44914</v>
      </c>
      <c r="O2105" s="38">
        <v>4842</v>
      </c>
      <c r="P2105" s="46">
        <f>K2105*(VLOOKUP(B2105,$C$2:$F$6,3,FALSE))</f>
        <v>0.58960000000000001</v>
      </c>
      <c r="Q2105" s="482">
        <v>0.59</v>
      </c>
      <c r="R2105" s="704">
        <f>Q2105*J2105</f>
        <v>165.2</v>
      </c>
      <c r="S2105" s="489">
        <v>36</v>
      </c>
      <c r="T2105" s="567">
        <f>S2105*J2105</f>
        <v>10080</v>
      </c>
      <c r="U2105" s="500"/>
      <c r="V2105" s="494">
        <v>120</v>
      </c>
    </row>
    <row r="2106" spans="2:23" s="7" customFormat="1" ht="15.95" customHeight="1">
      <c r="B2106" s="12"/>
      <c r="C2106" s="6" t="s">
        <v>3732</v>
      </c>
      <c r="D2106" s="15" t="s">
        <v>1214</v>
      </c>
      <c r="E2106" s="24"/>
      <c r="F2106" s="138"/>
      <c r="G2106" s="44" t="s">
        <v>1993</v>
      </c>
      <c r="H2106" s="8"/>
      <c r="I2106" s="41"/>
      <c r="J2106" s="45">
        <v>1</v>
      </c>
      <c r="K2106" s="46">
        <v>12</v>
      </c>
      <c r="L2106" s="46">
        <f>K2106*J2106</f>
        <v>12</v>
      </c>
      <c r="M2106" s="39"/>
      <c r="N2106" s="39">
        <v>44914</v>
      </c>
      <c r="O2106" s="38">
        <v>4842</v>
      </c>
      <c r="P2106" s="6"/>
      <c r="Q2106" s="483">
        <v>12</v>
      </c>
      <c r="R2106" s="704">
        <f>Q2106*J2106</f>
        <v>12</v>
      </c>
      <c r="S2106" s="489">
        <v>1000</v>
      </c>
      <c r="T2106" s="113">
        <f>S2106*J2106</f>
        <v>1000</v>
      </c>
      <c r="U2106" s="501"/>
      <c r="V2106" s="494">
        <v>120</v>
      </c>
    </row>
    <row r="2107" spans="2:23" s="314" customFormat="1" ht="15.6" customHeight="1">
      <c r="B2107" s="313"/>
      <c r="C2107" s="302" t="s">
        <v>3732</v>
      </c>
      <c r="D2107" s="303" t="s">
        <v>1214</v>
      </c>
      <c r="E2107" s="304"/>
      <c r="F2107" s="305"/>
      <c r="G2107" s="305" t="s">
        <v>1227</v>
      </c>
      <c r="H2107" s="307" t="s">
        <v>1228</v>
      </c>
      <c r="I2107" s="308"/>
      <c r="J2107" s="306"/>
      <c r="K2107" s="315">
        <v>0</v>
      </c>
      <c r="L2107" s="310"/>
      <c r="M2107" s="310"/>
      <c r="N2107" s="310">
        <v>44914</v>
      </c>
      <c r="O2107" s="309">
        <v>4842</v>
      </c>
      <c r="P2107" s="302"/>
      <c r="Q2107" s="485">
        <v>0</v>
      </c>
      <c r="S2107" s="535">
        <v>0</v>
      </c>
      <c r="T2107" s="322">
        <v>0</v>
      </c>
      <c r="U2107" s="515"/>
      <c r="V2107" s="494">
        <v>120</v>
      </c>
    </row>
    <row r="2108" spans="2:23" s="7" customFormat="1" ht="18" customHeight="1">
      <c r="B2108" s="12"/>
      <c r="C2108" s="6" t="s">
        <v>3734</v>
      </c>
      <c r="D2108" s="15" t="s">
        <v>500</v>
      </c>
      <c r="E2108" s="20" t="s">
        <v>503</v>
      </c>
      <c r="F2108" s="26"/>
      <c r="G2108" s="24"/>
      <c r="H2108" s="67"/>
      <c r="I2108" s="68"/>
      <c r="J2108" s="67"/>
      <c r="K2108" s="17" t="s">
        <v>134</v>
      </c>
      <c r="L2108" s="39"/>
      <c r="M2108" s="39"/>
      <c r="N2108" s="39">
        <v>44915</v>
      </c>
      <c r="O2108" s="38">
        <v>4845</v>
      </c>
      <c r="P2108" s="179" t="s">
        <v>23</v>
      </c>
      <c r="Q2108" s="435"/>
      <c r="S2108" s="489"/>
      <c r="T2108" s="113"/>
      <c r="U2108" s="510"/>
      <c r="V2108" s="494">
        <v>120</v>
      </c>
    </row>
    <row r="2109" spans="2:23" s="7" customFormat="1" ht="18" customHeight="1">
      <c r="B2109" s="12" t="s">
        <v>1856</v>
      </c>
      <c r="C2109" s="6" t="s">
        <v>3734</v>
      </c>
      <c r="D2109" s="15" t="s">
        <v>500</v>
      </c>
      <c r="E2109" s="24">
        <v>5356</v>
      </c>
      <c r="F2109" s="26">
        <v>3</v>
      </c>
      <c r="G2109" s="24" t="s">
        <v>100</v>
      </c>
      <c r="H2109" s="67">
        <v>30</v>
      </c>
      <c r="I2109" s="68">
        <v>3</v>
      </c>
      <c r="J2109" s="67">
        <f>H2109*I2109</f>
        <v>90</v>
      </c>
      <c r="K2109" s="46">
        <v>0.73</v>
      </c>
      <c r="L2109" s="46">
        <f>K2109*J2109</f>
        <v>65.7</v>
      </c>
      <c r="M2109" s="162" t="s">
        <v>2219</v>
      </c>
      <c r="N2109" s="39">
        <v>44915</v>
      </c>
      <c r="O2109" s="38">
        <v>4845</v>
      </c>
      <c r="P2109" s="46">
        <f>K2109*(VLOOKUP(B2109,$C$2:$F$6,3,FALSE))</f>
        <v>0.64239999999999997</v>
      </c>
      <c r="Q2109" s="180">
        <v>0.64</v>
      </c>
      <c r="R2109" s="704">
        <f>Q2109*J2109</f>
        <v>57.6</v>
      </c>
      <c r="S2109" s="489">
        <v>32</v>
      </c>
      <c r="T2109" s="113">
        <f>S2109*J2109</f>
        <v>2880</v>
      </c>
      <c r="U2109" s="511" t="s">
        <v>3454</v>
      </c>
      <c r="V2109" s="494">
        <v>120</v>
      </c>
    </row>
    <row r="2110" spans="2:23" ht="18" customHeight="1">
      <c r="C2110" s="6" t="s">
        <v>3734</v>
      </c>
      <c r="D2110" s="15" t="s">
        <v>500</v>
      </c>
      <c r="E2110" s="24"/>
      <c r="F2110" s="138"/>
      <c r="G2110" s="44" t="s">
        <v>1993</v>
      </c>
      <c r="H2110" s="8"/>
      <c r="I2110" s="41"/>
      <c r="J2110" s="45">
        <v>1</v>
      </c>
      <c r="K2110" s="46">
        <v>12</v>
      </c>
      <c r="L2110" s="46">
        <f>K2110*J2110</f>
        <v>12</v>
      </c>
      <c r="M2110" s="112"/>
      <c r="N2110" s="39">
        <v>44915</v>
      </c>
      <c r="O2110" s="38">
        <v>4845</v>
      </c>
      <c r="P2110" s="179"/>
      <c r="Q2110" s="180">
        <v>12</v>
      </c>
      <c r="R2110" s="180">
        <v>12</v>
      </c>
      <c r="S2110" s="498">
        <v>900</v>
      </c>
      <c r="T2110" s="113">
        <f>S2110*J2110</f>
        <v>900</v>
      </c>
      <c r="U2110" s="511"/>
      <c r="V2110" s="494">
        <v>120</v>
      </c>
      <c r="W2110"/>
    </row>
    <row r="2111" spans="2:23" s="314" customFormat="1" ht="18" customHeight="1">
      <c r="B2111" s="313"/>
      <c r="C2111" s="302" t="s">
        <v>3734</v>
      </c>
      <c r="D2111" s="303" t="s">
        <v>500</v>
      </c>
      <c r="E2111" s="304"/>
      <c r="F2111" s="305"/>
      <c r="G2111" s="305" t="s">
        <v>1227</v>
      </c>
      <c r="H2111" s="307" t="s">
        <v>1228</v>
      </c>
      <c r="I2111" s="308"/>
      <c r="J2111" s="306"/>
      <c r="K2111" s="315">
        <v>0</v>
      </c>
      <c r="L2111" s="310"/>
      <c r="M2111" s="310"/>
      <c r="N2111" s="310">
        <v>44915</v>
      </c>
      <c r="O2111" s="309">
        <v>4845</v>
      </c>
      <c r="P2111" s="302"/>
      <c r="Q2111" s="485">
        <v>0</v>
      </c>
      <c r="S2111" s="536">
        <v>0</v>
      </c>
      <c r="T2111" s="322">
        <v>0</v>
      </c>
      <c r="U2111" s="515"/>
      <c r="V2111" s="494">
        <v>120</v>
      </c>
    </row>
    <row r="2112" spans="2:23" s="7" customFormat="1" ht="18" customHeight="1">
      <c r="B2112" s="12"/>
      <c r="C2112" s="6" t="s">
        <v>3742</v>
      </c>
      <c r="D2112" s="15" t="s">
        <v>1214</v>
      </c>
      <c r="E2112" s="20" t="s">
        <v>2801</v>
      </c>
      <c r="F2112" s="24"/>
      <c r="G2112" s="44"/>
      <c r="H2112" s="151"/>
      <c r="I2112" s="151"/>
      <c r="J2112" s="151"/>
      <c r="K2112" s="153" t="s">
        <v>10</v>
      </c>
      <c r="L2112" s="39"/>
      <c r="M2112" s="39"/>
      <c r="N2112" s="39">
        <v>44918</v>
      </c>
      <c r="O2112" s="38">
        <v>4853</v>
      </c>
      <c r="P2112" s="6"/>
      <c r="Q2112" s="411"/>
      <c r="S2112" s="489"/>
      <c r="T2112" s="113"/>
      <c r="U2112" s="501"/>
      <c r="V2112" s="494">
        <v>120</v>
      </c>
    </row>
    <row r="2113" spans="2:23" s="7" customFormat="1" ht="15.95" customHeight="1">
      <c r="B2113" s="12" t="s">
        <v>1856</v>
      </c>
      <c r="C2113" s="6" t="s">
        <v>3742</v>
      </c>
      <c r="D2113" s="15" t="s">
        <v>1214</v>
      </c>
      <c r="E2113" s="1010" t="s">
        <v>3743</v>
      </c>
      <c r="F2113" s="44"/>
      <c r="G2113" s="44" t="s">
        <v>78</v>
      </c>
      <c r="H2113" s="181"/>
      <c r="I2113" s="1388"/>
      <c r="J2113" s="8">
        <v>40</v>
      </c>
      <c r="K2113" s="1007">
        <v>1.39</v>
      </c>
      <c r="L2113" s="46">
        <f>K2113*J2113</f>
        <v>55.599999999999994</v>
      </c>
      <c r="M2113" s="162" t="s">
        <v>2219</v>
      </c>
      <c r="N2113" s="39">
        <v>44918</v>
      </c>
      <c r="O2113" s="38">
        <v>4853</v>
      </c>
      <c r="P2113" s="180">
        <f>K2113*(VLOOKUP(B2113,$C$2:$F$6,3,FALSE))</f>
        <v>1.2231999999999998</v>
      </c>
      <c r="Q2113" s="483">
        <v>1.22</v>
      </c>
      <c r="R2113" s="704">
        <f>Q2113*J2113</f>
        <v>48.8</v>
      </c>
      <c r="S2113" s="489">
        <v>100</v>
      </c>
      <c r="T2113" s="113">
        <f>S2113*J2113</f>
        <v>4000</v>
      </c>
      <c r="U2113" s="517"/>
      <c r="V2113" s="494">
        <v>120</v>
      </c>
    </row>
    <row r="2114" spans="2:23" s="7" customFormat="1" ht="15.95" customHeight="1">
      <c r="B2114" s="12" t="s">
        <v>1856</v>
      </c>
      <c r="C2114" s="6" t="s">
        <v>3742</v>
      </c>
      <c r="D2114" s="15" t="s">
        <v>1214</v>
      </c>
      <c r="E2114" s="1010" t="s">
        <v>2786</v>
      </c>
      <c r="F2114" s="44"/>
      <c r="G2114" s="44" t="s">
        <v>78</v>
      </c>
      <c r="H2114" s="151">
        <v>14</v>
      </c>
      <c r="I2114" s="152">
        <v>3</v>
      </c>
      <c r="J2114" s="8">
        <f>H2114*I2114</f>
        <v>42</v>
      </c>
      <c r="K2114" s="1007">
        <v>1.17</v>
      </c>
      <c r="L2114" s="46">
        <f>K2114*J2114</f>
        <v>49.14</v>
      </c>
      <c r="M2114" s="162" t="s">
        <v>2219</v>
      </c>
      <c r="N2114" s="39">
        <v>44918</v>
      </c>
      <c r="O2114" s="38">
        <v>4853</v>
      </c>
      <c r="P2114" s="180">
        <f>K2114*(VLOOKUP(B2114,$C$2:$F$6,3,FALSE))</f>
        <v>1.0295999999999998</v>
      </c>
      <c r="Q2114" s="483">
        <v>1.03</v>
      </c>
      <c r="R2114" s="704">
        <f>Q2114*J2114</f>
        <v>43.26</v>
      </c>
      <c r="S2114" s="489">
        <v>63</v>
      </c>
      <c r="T2114" s="113">
        <f>S2114*J2114</f>
        <v>2646</v>
      </c>
      <c r="U2114" s="517"/>
      <c r="V2114" s="494">
        <v>120</v>
      </c>
    </row>
    <row r="2115" spans="2:23" s="7" customFormat="1" ht="15.95" customHeight="1">
      <c r="B2115" s="12" t="s">
        <v>1856</v>
      </c>
      <c r="C2115" s="6" t="s">
        <v>3742</v>
      </c>
      <c r="D2115" s="15" t="s">
        <v>1214</v>
      </c>
      <c r="E2115" s="1601" t="s">
        <v>5249</v>
      </c>
      <c r="F2115" s="44"/>
      <c r="G2115" s="44" t="s">
        <v>78</v>
      </c>
      <c r="H2115" s="181"/>
      <c r="I2115" s="1388"/>
      <c r="J2115" s="8">
        <v>40</v>
      </c>
      <c r="K2115" s="1007">
        <v>4.74</v>
      </c>
      <c r="L2115" s="46">
        <f>K2115*J2115</f>
        <v>189.60000000000002</v>
      </c>
      <c r="M2115" s="162" t="s">
        <v>2219</v>
      </c>
      <c r="N2115" s="39">
        <v>44918</v>
      </c>
      <c r="O2115" s="38">
        <v>4853</v>
      </c>
      <c r="P2115" s="180">
        <f>K2115*(VLOOKUP(B2115,$C$2:$F$6,3,FALSE))</f>
        <v>4.1711999999999998</v>
      </c>
      <c r="Q2115" s="483">
        <v>4.17</v>
      </c>
      <c r="R2115" s="704">
        <f>Q2115*J2115</f>
        <v>166.8</v>
      </c>
      <c r="S2115" s="489">
        <v>256</v>
      </c>
      <c r="T2115" s="113">
        <f>S2115*J2115</f>
        <v>10240</v>
      </c>
      <c r="U2115" s="517"/>
      <c r="V2115" s="494">
        <v>120</v>
      </c>
    </row>
    <row r="2116" spans="2:23" s="7" customFormat="1" ht="18" customHeight="1">
      <c r="B2116" s="12"/>
      <c r="C2116" s="6" t="s">
        <v>3742</v>
      </c>
      <c r="D2116" s="15" t="s">
        <v>1214</v>
      </c>
      <c r="E2116" s="20" t="s">
        <v>2802</v>
      </c>
      <c r="F2116" s="24"/>
      <c r="G2116" s="44"/>
      <c r="H2116" s="151"/>
      <c r="I2116" s="151"/>
      <c r="J2116" s="151"/>
      <c r="K2116" s="153" t="s">
        <v>10</v>
      </c>
      <c r="L2116" s="39"/>
      <c r="M2116" s="39"/>
      <c r="N2116" s="39">
        <v>44918</v>
      </c>
      <c r="O2116" s="38">
        <v>4853</v>
      </c>
      <c r="P2116" s="6"/>
      <c r="Q2116" s="411"/>
      <c r="S2116" s="489"/>
      <c r="T2116" s="113"/>
      <c r="U2116" s="501"/>
      <c r="V2116" s="494">
        <v>120</v>
      </c>
    </row>
    <row r="2117" spans="2:23" s="7" customFormat="1" ht="15.95" customHeight="1">
      <c r="B2117" s="12" t="s">
        <v>1856</v>
      </c>
      <c r="C2117" s="6" t="s">
        <v>3742</v>
      </c>
      <c r="D2117" s="15" t="s">
        <v>1214</v>
      </c>
      <c r="E2117" s="1010" t="s">
        <v>2783</v>
      </c>
      <c r="F2117" s="44"/>
      <c r="G2117" s="44" t="s">
        <v>78</v>
      </c>
      <c r="H2117" s="151">
        <v>13.7</v>
      </c>
      <c r="I2117" s="152">
        <v>3</v>
      </c>
      <c r="J2117" s="198">
        <f>H2117*I2117</f>
        <v>41.099999999999994</v>
      </c>
      <c r="K2117" s="1007">
        <v>1.67</v>
      </c>
      <c r="L2117" s="46">
        <f>K2117*J2117</f>
        <v>68.636999999999986</v>
      </c>
      <c r="M2117" s="162" t="s">
        <v>2219</v>
      </c>
      <c r="N2117" s="39">
        <v>44918</v>
      </c>
      <c r="O2117" s="38">
        <v>4853</v>
      </c>
      <c r="P2117" s="180">
        <f>K2117*(VLOOKUP(B2117,$C$2:$F$6,3,FALSE))</f>
        <v>1.4696</v>
      </c>
      <c r="Q2117" s="483">
        <v>1.47</v>
      </c>
      <c r="R2117" s="704">
        <f>Q2117*J2117</f>
        <v>60.416999999999987</v>
      </c>
      <c r="S2117" s="489">
        <v>90</v>
      </c>
      <c r="T2117" s="113">
        <f>S2117*J2117</f>
        <v>3698.9999999999995</v>
      </c>
      <c r="U2117" s="517"/>
      <c r="V2117" s="494">
        <v>120</v>
      </c>
    </row>
    <row r="2118" spans="2:23" ht="15.95" customHeight="1">
      <c r="B2118" s="12" t="s">
        <v>1862</v>
      </c>
      <c r="C2118" s="6" t="s">
        <v>3742</v>
      </c>
      <c r="D2118" s="15" t="s">
        <v>1214</v>
      </c>
      <c r="E2118" s="24"/>
      <c r="F2118" s="138"/>
      <c r="G2118" s="44" t="s">
        <v>1993</v>
      </c>
      <c r="H2118" s="8"/>
      <c r="I2118" s="41"/>
      <c r="J2118" s="45">
        <v>1</v>
      </c>
      <c r="K2118" s="46">
        <v>24</v>
      </c>
      <c r="L2118" s="46">
        <f>K2118*J2118</f>
        <v>24</v>
      </c>
      <c r="M2118" s="112"/>
      <c r="N2118" s="39">
        <v>44918</v>
      </c>
      <c r="O2118" s="38">
        <v>4853</v>
      </c>
      <c r="P2118" s="46">
        <f>K2118*(VLOOKUP(B2118,$C$2:$F$6,3,FALSE))</f>
        <v>24</v>
      </c>
      <c r="Q2118" s="483">
        <v>24</v>
      </c>
      <c r="R2118" s="704">
        <v>24</v>
      </c>
      <c r="S2118" s="489">
        <v>900</v>
      </c>
      <c r="T2118" s="113">
        <f>S2118*J2118</f>
        <v>900</v>
      </c>
      <c r="U2118" s="511"/>
      <c r="V2118" s="494">
        <v>120</v>
      </c>
      <c r="W2118"/>
    </row>
    <row r="2119" spans="2:23" s="314" customFormat="1" ht="15">
      <c r="B2119" s="313"/>
      <c r="C2119" s="302" t="s">
        <v>3742</v>
      </c>
      <c r="D2119" s="303" t="s">
        <v>1214</v>
      </c>
      <c r="E2119" s="304"/>
      <c r="F2119" s="305"/>
      <c r="G2119" s="305" t="s">
        <v>1227</v>
      </c>
      <c r="H2119" s="307" t="s">
        <v>1228</v>
      </c>
      <c r="I2119" s="308"/>
      <c r="J2119" s="306"/>
      <c r="K2119" s="315">
        <v>0</v>
      </c>
      <c r="L2119" s="310"/>
      <c r="M2119" s="310"/>
      <c r="N2119" s="310">
        <v>44918</v>
      </c>
      <c r="O2119" s="309">
        <v>4853</v>
      </c>
      <c r="P2119" s="302"/>
      <c r="Q2119" s="485">
        <v>0</v>
      </c>
      <c r="S2119" s="536">
        <v>0</v>
      </c>
      <c r="T2119" s="322">
        <v>0</v>
      </c>
      <c r="U2119" s="515"/>
      <c r="V2119" s="494">
        <v>120</v>
      </c>
    </row>
    <row r="2120" spans="2:23" s="7" customFormat="1" ht="15">
      <c r="B2120" s="12"/>
      <c r="C2120" s="6" t="s">
        <v>5250</v>
      </c>
      <c r="D2120" s="15" t="s">
        <v>5251</v>
      </c>
      <c r="E2120" s="20" t="s">
        <v>2801</v>
      </c>
      <c r="F2120" s="24"/>
      <c r="G2120" s="44"/>
      <c r="H2120" s="151"/>
      <c r="I2120" s="151"/>
      <c r="J2120" s="151"/>
      <c r="K2120" s="153" t="s">
        <v>10</v>
      </c>
      <c r="L2120" s="39"/>
      <c r="M2120" s="39"/>
      <c r="N2120" s="39">
        <v>44931</v>
      </c>
      <c r="O2120" s="38">
        <v>4866</v>
      </c>
      <c r="P2120" s="6"/>
      <c r="Q2120" s="411"/>
      <c r="S2120" s="489"/>
      <c r="T2120" s="113"/>
      <c r="U2120" s="501"/>
      <c r="V2120" s="494">
        <v>120</v>
      </c>
    </row>
    <row r="2121" spans="2:23" s="7" customFormat="1" ht="15.75">
      <c r="B2121" s="12" t="s">
        <v>1856</v>
      </c>
      <c r="C2121" s="6" t="s">
        <v>5250</v>
      </c>
      <c r="D2121" s="15" t="s">
        <v>5251</v>
      </c>
      <c r="E2121" s="1010" t="s">
        <v>5252</v>
      </c>
      <c r="F2121" s="44"/>
      <c r="G2121" s="44" t="s">
        <v>78</v>
      </c>
      <c r="H2121" s="181"/>
      <c r="I2121" s="1388"/>
      <c r="J2121" s="8">
        <v>2</v>
      </c>
      <c r="K2121" s="1602">
        <v>1.25</v>
      </c>
      <c r="L2121" s="46">
        <f>K2121*J2121</f>
        <v>2.5</v>
      </c>
      <c r="M2121" s="162" t="s">
        <v>2219</v>
      </c>
      <c r="N2121" s="39">
        <v>44931</v>
      </c>
      <c r="O2121" s="38">
        <v>4866</v>
      </c>
      <c r="P2121" s="46">
        <f>K2121*(VLOOKUP(B2121,$C$2:$F$6,3,FALSE))</f>
        <v>1.1000000000000001</v>
      </c>
      <c r="Q2121" s="483">
        <v>1.1000000000000001</v>
      </c>
      <c r="R2121" s="704">
        <f>Q2121*J2121</f>
        <v>2.2000000000000002</v>
      </c>
      <c r="S2121" s="489">
        <v>82</v>
      </c>
      <c r="T2121" s="113">
        <f>S2121*J2121</f>
        <v>164</v>
      </c>
      <c r="U2121" s="517"/>
      <c r="V2121" s="494">
        <v>120</v>
      </c>
    </row>
    <row r="2122" spans="2:23" s="7" customFormat="1" ht="15.75">
      <c r="B2122" s="12" t="s">
        <v>1856</v>
      </c>
      <c r="C2122" s="6" t="s">
        <v>5250</v>
      </c>
      <c r="D2122" s="15" t="s">
        <v>5251</v>
      </c>
      <c r="E2122" s="1010" t="s">
        <v>5253</v>
      </c>
      <c r="F2122" s="44"/>
      <c r="G2122" s="44" t="s">
        <v>78</v>
      </c>
      <c r="H2122" s="151"/>
      <c r="I2122" s="152"/>
      <c r="J2122" s="8">
        <v>2</v>
      </c>
      <c r="K2122" s="1602">
        <v>1.49</v>
      </c>
      <c r="L2122" s="46">
        <f>K2122*J2122</f>
        <v>2.98</v>
      </c>
      <c r="M2122" s="162" t="s">
        <v>2219</v>
      </c>
      <c r="N2122" s="39">
        <v>44931</v>
      </c>
      <c r="O2122" s="38">
        <v>4866</v>
      </c>
      <c r="P2122" s="46">
        <f>K2122*(VLOOKUP(B2122,$C$2:$F$6,3,FALSE))</f>
        <v>1.3111999999999999</v>
      </c>
      <c r="Q2122" s="483">
        <v>1.31</v>
      </c>
      <c r="R2122" s="704">
        <f>Q2122*J2122</f>
        <v>2.62</v>
      </c>
      <c r="S2122" s="489">
        <v>98</v>
      </c>
      <c r="T2122" s="113">
        <f>S2122*J2122</f>
        <v>196</v>
      </c>
      <c r="U2122" s="517"/>
      <c r="V2122" s="494">
        <v>120</v>
      </c>
    </row>
    <row r="2123" spans="2:23" s="7" customFormat="1" ht="15.75">
      <c r="B2123" s="12" t="s">
        <v>1856</v>
      </c>
      <c r="C2123" s="6" t="s">
        <v>5250</v>
      </c>
      <c r="D2123" s="15" t="s">
        <v>5251</v>
      </c>
      <c r="E2123" s="1010" t="s">
        <v>5254</v>
      </c>
      <c r="F2123" s="44"/>
      <c r="G2123" s="44" t="s">
        <v>78</v>
      </c>
      <c r="H2123" s="151"/>
      <c r="I2123" s="152"/>
      <c r="J2123" s="8">
        <v>2</v>
      </c>
      <c r="K2123" s="1602">
        <v>1.59</v>
      </c>
      <c r="L2123" s="46">
        <f>K2123*J2123</f>
        <v>3.18</v>
      </c>
      <c r="M2123" s="162" t="s">
        <v>2219</v>
      </c>
      <c r="N2123" s="39">
        <v>44931</v>
      </c>
      <c r="O2123" s="38">
        <v>4866</v>
      </c>
      <c r="P2123" s="46">
        <f>K2123*(VLOOKUP(B2123,$C$2:$F$6,3,FALSE))</f>
        <v>1.3992</v>
      </c>
      <c r="Q2123" s="483">
        <v>1.4</v>
      </c>
      <c r="R2123" s="704">
        <f>Q2123*J2123</f>
        <v>2.8</v>
      </c>
      <c r="S2123" s="489">
        <v>105</v>
      </c>
      <c r="T2123" s="113">
        <f>S2123*J2123</f>
        <v>210</v>
      </c>
      <c r="U2123" s="517"/>
      <c r="V2123" s="494">
        <v>120</v>
      </c>
    </row>
    <row r="2124" spans="2:23" ht="15">
      <c r="C2124" s="6" t="s">
        <v>5250</v>
      </c>
      <c r="D2124" s="15" t="s">
        <v>5251</v>
      </c>
      <c r="E2124" s="20" t="s">
        <v>3112</v>
      </c>
      <c r="F2124" s="44"/>
      <c r="G2124" s="44"/>
      <c r="H2124" s="151"/>
      <c r="I2124" s="151"/>
      <c r="J2124" s="151"/>
      <c r="K2124" s="34" t="s">
        <v>134</v>
      </c>
      <c r="L2124" s="39"/>
      <c r="M2124" s="39"/>
      <c r="N2124" s="39">
        <v>44931</v>
      </c>
      <c r="O2124" s="38">
        <v>4866</v>
      </c>
      <c r="P2124" s="6"/>
      <c r="Q2124" s="524"/>
      <c r="S2124" s="489"/>
      <c r="T2124" s="113"/>
      <c r="U2124" s="501"/>
      <c r="V2124" s="494">
        <v>120</v>
      </c>
      <c r="W2124"/>
    </row>
    <row r="2125" spans="2:23" ht="15.75">
      <c r="B2125" s="28" t="s">
        <v>1856</v>
      </c>
      <c r="C2125" s="6" t="s">
        <v>5250</v>
      </c>
      <c r="D2125" s="15" t="s">
        <v>5251</v>
      </c>
      <c r="E2125" s="24">
        <v>4145</v>
      </c>
      <c r="F2125" s="44">
        <v>6</v>
      </c>
      <c r="G2125" s="24" t="s">
        <v>1680</v>
      </c>
      <c r="H2125" s="67"/>
      <c r="I2125" s="68"/>
      <c r="J2125" s="8">
        <v>5</v>
      </c>
      <c r="K2125" s="46">
        <v>2.2999999999999998</v>
      </c>
      <c r="L2125" s="46">
        <f>K2125*J2125</f>
        <v>11.5</v>
      </c>
      <c r="M2125" s="162" t="s">
        <v>2219</v>
      </c>
      <c r="N2125" s="39">
        <v>44931</v>
      </c>
      <c r="O2125" s="38">
        <v>4866</v>
      </c>
      <c r="P2125" s="46">
        <f>K2125*(VLOOKUP(B2125,$C$2:$F$6,3,FALSE))</f>
        <v>2.024</v>
      </c>
      <c r="Q2125" s="482">
        <v>2.02</v>
      </c>
      <c r="R2125" s="704">
        <f>Q2125*J2125</f>
        <v>10.1</v>
      </c>
      <c r="S2125" s="489">
        <v>93</v>
      </c>
      <c r="T2125" s="113">
        <f>S2125*J2125</f>
        <v>465</v>
      </c>
      <c r="U2125" s="1603" t="s">
        <v>5255</v>
      </c>
      <c r="V2125" s="494">
        <v>120</v>
      </c>
      <c r="W2125"/>
    </row>
    <row r="2126" spans="2:23" ht="15">
      <c r="C2126" s="6" t="s">
        <v>5250</v>
      </c>
      <c r="D2126" s="15" t="s">
        <v>5251</v>
      </c>
      <c r="E2126" s="20" t="s">
        <v>260</v>
      </c>
      <c r="F2126" s="44"/>
      <c r="G2126" s="44"/>
      <c r="H2126" s="151"/>
      <c r="I2126" s="151"/>
      <c r="J2126" s="151"/>
      <c r="K2126" s="34" t="s">
        <v>134</v>
      </c>
      <c r="L2126" s="39"/>
      <c r="M2126" s="39"/>
      <c r="N2126" s="39">
        <v>44931</v>
      </c>
      <c r="O2126" s="38">
        <v>4866</v>
      </c>
      <c r="P2126" s="6"/>
      <c r="Q2126" s="524"/>
      <c r="S2126" s="489"/>
      <c r="T2126" s="113"/>
      <c r="U2126" s="501"/>
      <c r="V2126" s="494">
        <v>120</v>
      </c>
      <c r="W2126"/>
    </row>
    <row r="2127" spans="2:23" ht="15.75">
      <c r="B2127" s="28" t="s">
        <v>1856</v>
      </c>
      <c r="C2127" s="6" t="s">
        <v>5250</v>
      </c>
      <c r="D2127" s="15" t="s">
        <v>5251</v>
      </c>
      <c r="E2127" s="24">
        <v>4141</v>
      </c>
      <c r="F2127" s="698">
        <v>7</v>
      </c>
      <c r="G2127" s="24" t="s">
        <v>2270</v>
      </c>
      <c r="H2127" s="151"/>
      <c r="I2127" s="152"/>
      <c r="J2127" s="67">
        <v>5</v>
      </c>
      <c r="K2127" s="46">
        <v>3.78</v>
      </c>
      <c r="L2127" s="46">
        <f>K2127*J2127</f>
        <v>18.899999999999999</v>
      </c>
      <c r="M2127" s="162" t="s">
        <v>2219</v>
      </c>
      <c r="N2127" s="39">
        <v>44931</v>
      </c>
      <c r="O2127" s="38">
        <v>4866</v>
      </c>
      <c r="P2127" s="46">
        <f>K2127*(VLOOKUP(B2127,$C$2:$F$6,3,FALSE))</f>
        <v>3.3264</v>
      </c>
      <c r="Q2127" s="482">
        <v>3.33</v>
      </c>
      <c r="R2127" s="704">
        <f>Q2127*J2127</f>
        <v>16.649999999999999</v>
      </c>
      <c r="S2127" s="489">
        <v>153</v>
      </c>
      <c r="T2127" s="113">
        <f>S2127*J2127</f>
        <v>765</v>
      </c>
      <c r="U2127" s="1603" t="s">
        <v>5256</v>
      </c>
      <c r="V2127" s="494">
        <v>120</v>
      </c>
      <c r="W2127"/>
    </row>
    <row r="2128" spans="2:23" ht="15">
      <c r="B2128" s="12" t="s">
        <v>1862</v>
      </c>
      <c r="C2128" s="6" t="s">
        <v>5250</v>
      </c>
      <c r="D2128" s="15" t="s">
        <v>5251</v>
      </c>
      <c r="E2128" s="24"/>
      <c r="F2128" s="138"/>
      <c r="G2128" s="44" t="s">
        <v>1993</v>
      </c>
      <c r="H2128" s="8"/>
      <c r="I2128" s="41"/>
      <c r="J2128" s="45">
        <v>1</v>
      </c>
      <c r="K2128" s="46">
        <v>24</v>
      </c>
      <c r="L2128" s="46">
        <f>K2128*J2128</f>
        <v>24</v>
      </c>
      <c r="M2128" s="112"/>
      <c r="N2128" s="39">
        <v>44931</v>
      </c>
      <c r="O2128" s="38">
        <v>4866</v>
      </c>
      <c r="P2128" s="46">
        <f>K2128*(VLOOKUP(B2128,$C$2:$F$6,3,FALSE))</f>
        <v>24</v>
      </c>
      <c r="Q2128" s="483">
        <v>24</v>
      </c>
      <c r="R2128" s="704">
        <v>24</v>
      </c>
      <c r="S2128" s="489">
        <f>900</f>
        <v>900</v>
      </c>
      <c r="T2128" s="113">
        <f>S2128*J2128</f>
        <v>900</v>
      </c>
      <c r="U2128" s="511"/>
      <c r="V2128" s="494">
        <v>120</v>
      </c>
      <c r="W2128"/>
    </row>
    <row r="2129" spans="1:23" s="314" customFormat="1" ht="15">
      <c r="B2129" s="313"/>
      <c r="C2129" s="302" t="s">
        <v>5250</v>
      </c>
      <c r="D2129" s="303" t="s">
        <v>5251</v>
      </c>
      <c r="E2129" s="304"/>
      <c r="F2129" s="305"/>
      <c r="G2129" s="305" t="s">
        <v>1227</v>
      </c>
      <c r="H2129" s="307" t="s">
        <v>1228</v>
      </c>
      <c r="I2129" s="308"/>
      <c r="J2129" s="306"/>
      <c r="K2129" s="315">
        <v>0</v>
      </c>
      <c r="L2129" s="310"/>
      <c r="M2129" s="310"/>
      <c r="N2129" s="310">
        <v>44931</v>
      </c>
      <c r="O2129" s="309">
        <v>4866</v>
      </c>
      <c r="P2129" s="302"/>
      <c r="Q2129" s="485">
        <v>0</v>
      </c>
      <c r="S2129" s="536">
        <v>0</v>
      </c>
      <c r="T2129" s="322">
        <v>0</v>
      </c>
      <c r="U2129" s="515"/>
      <c r="V2129" s="494">
        <v>120</v>
      </c>
    </row>
    <row r="2130" spans="1:23" s="7" customFormat="1" ht="18" customHeight="1">
      <c r="B2130" s="12"/>
      <c r="C2130" s="6" t="s">
        <v>5347</v>
      </c>
      <c r="D2130" s="15" t="s">
        <v>3120</v>
      </c>
      <c r="E2130" s="7" t="s">
        <v>2306</v>
      </c>
      <c r="F2130" s="700"/>
      <c r="G2130" s="640"/>
      <c r="H2130" s="641"/>
      <c r="I2130" s="701"/>
      <c r="J2130" s="702"/>
      <c r="K2130" s="153" t="s">
        <v>10</v>
      </c>
      <c r="L2130" s="219"/>
      <c r="M2130" s="11"/>
      <c r="N2130" s="39">
        <v>44932</v>
      </c>
      <c r="O2130" s="38">
        <v>4873</v>
      </c>
      <c r="P2130" s="6"/>
      <c r="Q2130" s="703"/>
      <c r="U2130" s="46"/>
      <c r="V2130" s="494">
        <v>120</v>
      </c>
    </row>
    <row r="2131" spans="1:23" ht="18" customHeight="1">
      <c r="B2131" s="28" t="s">
        <v>1856</v>
      </c>
      <c r="C2131" s="6" t="s">
        <v>5347</v>
      </c>
      <c r="D2131" s="15" t="s">
        <v>3120</v>
      </c>
      <c r="E2131" s="24" t="s">
        <v>18</v>
      </c>
      <c r="F2131" s="44">
        <v>30</v>
      </c>
      <c r="G2131" s="24" t="s">
        <v>2727</v>
      </c>
      <c r="H2131" s="151">
        <v>30</v>
      </c>
      <c r="I2131" s="152">
        <v>1</v>
      </c>
      <c r="J2131" s="67">
        <f>H2131*I2131</f>
        <v>30</v>
      </c>
      <c r="K2131" s="46">
        <v>4.26</v>
      </c>
      <c r="L2131" s="46">
        <f>K2131*J2131</f>
        <v>127.8</v>
      </c>
      <c r="M2131" s="162" t="s">
        <v>2219</v>
      </c>
      <c r="N2131" s="39">
        <v>44932</v>
      </c>
      <c r="O2131" s="38">
        <v>4873</v>
      </c>
      <c r="P2131" s="46">
        <f>K2131*(VLOOKUP(B2131,$C$2:$F$6,3,FALSE))</f>
        <v>3.7487999999999997</v>
      </c>
      <c r="Q2131" s="482">
        <v>3.75</v>
      </c>
      <c r="R2131" s="704">
        <f>Q2131*J2131</f>
        <v>112.5</v>
      </c>
      <c r="S2131" s="489">
        <v>230</v>
      </c>
      <c r="T2131" s="113">
        <f>S2131*J2131</f>
        <v>6900</v>
      </c>
      <c r="U2131" s="507"/>
      <c r="V2131" s="494">
        <v>120</v>
      </c>
      <c r="W2131"/>
    </row>
    <row r="2132" spans="1:23" ht="15.95" customHeight="1">
      <c r="B2132" s="12" t="s">
        <v>1862</v>
      </c>
      <c r="C2132" s="6" t="s">
        <v>5347</v>
      </c>
      <c r="D2132" s="15" t="s">
        <v>3120</v>
      </c>
      <c r="E2132" s="24"/>
      <c r="F2132" s="138"/>
      <c r="G2132" s="44" t="s">
        <v>1993</v>
      </c>
      <c r="H2132" s="8"/>
      <c r="I2132" s="41"/>
      <c r="J2132" s="45">
        <v>1</v>
      </c>
      <c r="K2132" s="46">
        <v>12</v>
      </c>
      <c r="L2132" s="46">
        <f>K2132*J2132</f>
        <v>12</v>
      </c>
      <c r="M2132" s="112"/>
      <c r="N2132" s="39">
        <v>44932</v>
      </c>
      <c r="O2132" s="38">
        <v>4873</v>
      </c>
      <c r="P2132" s="46">
        <f>K2132*(VLOOKUP(B2132,$C$2:$F$6,3,FALSE))</f>
        <v>12</v>
      </c>
      <c r="Q2132" s="483">
        <v>12</v>
      </c>
      <c r="R2132" s="704">
        <f>Q2132*J2132</f>
        <v>12</v>
      </c>
      <c r="S2132" s="489">
        <v>0</v>
      </c>
      <c r="T2132" s="567">
        <f>S2132*J2132</f>
        <v>0</v>
      </c>
      <c r="U2132" s="511"/>
      <c r="V2132" s="494">
        <v>120</v>
      </c>
      <c r="W2132"/>
    </row>
    <row r="2133" spans="1:23" s="314" customFormat="1" ht="15">
      <c r="B2133" s="313"/>
      <c r="C2133" s="302" t="s">
        <v>5347</v>
      </c>
      <c r="D2133" s="303" t="s">
        <v>3120</v>
      </c>
      <c r="E2133" s="371"/>
      <c r="F2133" s="305"/>
      <c r="G2133" s="305" t="s">
        <v>1227</v>
      </c>
      <c r="H2133" s="307" t="s">
        <v>1228</v>
      </c>
      <c r="I2133" s="308"/>
      <c r="J2133" s="306"/>
      <c r="K2133" s="315">
        <v>0</v>
      </c>
      <c r="L2133" s="310"/>
      <c r="M2133" s="310"/>
      <c r="N2133" s="310">
        <v>44932</v>
      </c>
      <c r="O2133" s="309">
        <v>4873</v>
      </c>
      <c r="P2133" s="302"/>
      <c r="Q2133" s="485">
        <v>0</v>
      </c>
      <c r="R2133" s="704">
        <v>0</v>
      </c>
      <c r="S2133" s="536">
        <v>0</v>
      </c>
      <c r="T2133" s="322">
        <v>0</v>
      </c>
      <c r="U2133" s="515"/>
      <c r="V2133" s="494">
        <v>120</v>
      </c>
    </row>
    <row r="2134" spans="1:23" s="7" customFormat="1" ht="15">
      <c r="B2134" s="12"/>
      <c r="C2134" s="6" t="s">
        <v>5348</v>
      </c>
      <c r="D2134" s="15" t="s">
        <v>3026</v>
      </c>
      <c r="E2134" s="20" t="s">
        <v>408</v>
      </c>
      <c r="F2134" s="26"/>
      <c r="G2134" s="24"/>
      <c r="H2134" s="67"/>
      <c r="I2134" s="68"/>
      <c r="J2134" s="67"/>
      <c r="K2134" s="10" t="s">
        <v>10</v>
      </c>
      <c r="L2134" s="39"/>
      <c r="M2134" s="39"/>
      <c r="N2134" s="39">
        <v>44942</v>
      </c>
      <c r="O2134" s="38">
        <v>4907</v>
      </c>
      <c r="P2134" s="6" t="s">
        <v>3</v>
      </c>
      <c r="Q2134" s="481"/>
      <c r="S2134" s="489"/>
      <c r="T2134" s="113"/>
      <c r="U2134" s="500"/>
      <c r="V2134" s="494">
        <v>120</v>
      </c>
    </row>
    <row r="2135" spans="1:23" s="7" customFormat="1" ht="15" customHeight="1">
      <c r="B2135" s="12" t="s">
        <v>1856</v>
      </c>
      <c r="C2135" s="6" t="s">
        <v>5348</v>
      </c>
      <c r="D2135" s="15" t="s">
        <v>3026</v>
      </c>
      <c r="E2135" s="24" t="s">
        <v>1219</v>
      </c>
      <c r="F2135" s="26"/>
      <c r="G2135" s="24" t="s">
        <v>17</v>
      </c>
      <c r="H2135" s="67">
        <v>50</v>
      </c>
      <c r="I2135" s="68">
        <v>40</v>
      </c>
      <c r="J2135" s="8">
        <f>H2135*I2135</f>
        <v>2000</v>
      </c>
      <c r="K2135" s="25">
        <v>0.3</v>
      </c>
      <c r="L2135" s="46">
        <f>K2135*J2135</f>
        <v>600</v>
      </c>
      <c r="M2135" s="162" t="s">
        <v>2219</v>
      </c>
      <c r="N2135" s="39">
        <v>44942</v>
      </c>
      <c r="O2135" s="38">
        <v>4907</v>
      </c>
      <c r="P2135" s="46">
        <f>K2135*(VLOOKUP(B2135,$C$2:$F$6,3,FALSE))</f>
        <v>0.26400000000000001</v>
      </c>
      <c r="Q2135" s="482">
        <v>0.26</v>
      </c>
      <c r="R2135" s="704">
        <f>Q2135*J2135</f>
        <v>520</v>
      </c>
      <c r="S2135" s="489">
        <v>16.2</v>
      </c>
      <c r="T2135" s="113">
        <f>S2135*J2135</f>
        <v>32400</v>
      </c>
      <c r="U2135" s="1603" t="s">
        <v>5349</v>
      </c>
      <c r="V2135" s="494">
        <v>120</v>
      </c>
    </row>
    <row r="2136" spans="1:23" s="7" customFormat="1" ht="15.95" customHeight="1">
      <c r="B2136" s="12"/>
      <c r="C2136" s="6" t="s">
        <v>5348</v>
      </c>
      <c r="D2136" s="15" t="s">
        <v>3026</v>
      </c>
      <c r="E2136" s="24"/>
      <c r="F2136" s="138"/>
      <c r="G2136" s="44" t="s">
        <v>1993</v>
      </c>
      <c r="H2136" s="8"/>
      <c r="I2136" s="41"/>
      <c r="J2136" s="45">
        <v>1</v>
      </c>
      <c r="K2136" s="46">
        <v>12</v>
      </c>
      <c r="L2136" s="46">
        <f>K2136*J2136</f>
        <v>12</v>
      </c>
      <c r="M2136" s="39"/>
      <c r="N2136" s="39">
        <v>44942</v>
      </c>
      <c r="O2136" s="38">
        <v>4907</v>
      </c>
      <c r="P2136" s="6"/>
      <c r="Q2136" s="483">
        <v>12</v>
      </c>
      <c r="R2136" s="704">
        <f>Q2136*J2136</f>
        <v>12</v>
      </c>
      <c r="S2136" s="489">
        <v>1100</v>
      </c>
      <c r="T2136" s="113">
        <f>S2136*J2136</f>
        <v>1100</v>
      </c>
      <c r="U2136" s="501"/>
      <c r="V2136" s="494">
        <v>120</v>
      </c>
    </row>
    <row r="2137" spans="1:23" s="314" customFormat="1" ht="15.6" customHeight="1">
      <c r="B2137" s="313"/>
      <c r="C2137" s="302" t="s">
        <v>5348</v>
      </c>
      <c r="D2137" s="303" t="s">
        <v>3026</v>
      </c>
      <c r="E2137" s="304"/>
      <c r="F2137" s="305"/>
      <c r="G2137" s="305" t="s">
        <v>1227</v>
      </c>
      <c r="H2137" s="307" t="s">
        <v>1243</v>
      </c>
      <c r="I2137" s="308"/>
      <c r="J2137" s="306"/>
      <c r="K2137" s="329">
        <v>193</v>
      </c>
      <c r="L2137" s="329">
        <v>193</v>
      </c>
      <c r="M2137" s="310"/>
      <c r="N2137" s="310">
        <v>44942</v>
      </c>
      <c r="O2137" s="309">
        <v>4907</v>
      </c>
      <c r="P2137" s="685"/>
      <c r="Q2137" s="329">
        <v>193</v>
      </c>
      <c r="R2137" s="329">
        <v>193</v>
      </c>
      <c r="S2137" s="718">
        <v>22092</v>
      </c>
      <c r="T2137" s="718">
        <v>22092</v>
      </c>
      <c r="U2137" s="688"/>
      <c r="V2137" s="494">
        <v>120</v>
      </c>
    </row>
    <row r="2138" spans="1:23" s="7" customFormat="1" ht="15" customHeight="1">
      <c r="A2138" s="1"/>
      <c r="B2138" s="12"/>
      <c r="C2138" s="6" t="s">
        <v>5350</v>
      </c>
      <c r="D2138" s="15" t="s">
        <v>3099</v>
      </c>
      <c r="E2138" s="20" t="s">
        <v>337</v>
      </c>
      <c r="F2138" s="26"/>
      <c r="G2138" s="24"/>
      <c r="H2138" s="45"/>
      <c r="I2138" s="68"/>
      <c r="J2138" s="67"/>
      <c r="K2138" s="17" t="s">
        <v>10</v>
      </c>
      <c r="L2138" s="39"/>
      <c r="M2138" s="39"/>
      <c r="N2138" s="39">
        <v>44932</v>
      </c>
      <c r="O2138" s="38">
        <v>4876</v>
      </c>
      <c r="P2138" s="6"/>
      <c r="Q2138" s="482"/>
      <c r="S2138" s="489"/>
      <c r="T2138" s="113"/>
      <c r="U2138" s="500"/>
      <c r="V2138" s="494">
        <v>120</v>
      </c>
    </row>
    <row r="2139" spans="1:23" s="7" customFormat="1" ht="15.75">
      <c r="A2139" s="1"/>
      <c r="B2139" s="12" t="s">
        <v>1856</v>
      </c>
      <c r="C2139" s="6" t="s">
        <v>5350</v>
      </c>
      <c r="D2139" s="15" t="s">
        <v>3099</v>
      </c>
      <c r="E2139" s="24">
        <v>3705</v>
      </c>
      <c r="F2139" s="26">
        <v>12</v>
      </c>
      <c r="G2139" s="24" t="s">
        <v>29</v>
      </c>
      <c r="H2139" s="151">
        <v>30</v>
      </c>
      <c r="I2139" s="152">
        <v>6</v>
      </c>
      <c r="J2139" s="67">
        <f>H2139*I2139</f>
        <v>180</v>
      </c>
      <c r="K2139" s="46">
        <v>0.38</v>
      </c>
      <c r="L2139" s="46">
        <f>K2139*J2139</f>
        <v>68.400000000000006</v>
      </c>
      <c r="M2139" s="162" t="s">
        <v>2219</v>
      </c>
      <c r="N2139" s="39">
        <v>44932</v>
      </c>
      <c r="O2139" s="38">
        <v>4876</v>
      </c>
      <c r="P2139" s="46">
        <f>K2139*(VLOOKUP(B2139,$C$2:$F$6,3,FALSE))</f>
        <v>0.33440000000000003</v>
      </c>
      <c r="Q2139" s="482">
        <v>0.33</v>
      </c>
      <c r="R2139" s="704">
        <f>Q2139*J2139</f>
        <v>59.400000000000006</v>
      </c>
      <c r="S2139" s="489">
        <v>17.170000000000002</v>
      </c>
      <c r="T2139" s="567">
        <f>S2139*J2139</f>
        <v>3090.6000000000004</v>
      </c>
      <c r="U2139" s="1625" t="s">
        <v>5351</v>
      </c>
      <c r="V2139" s="494">
        <v>120</v>
      </c>
    </row>
    <row r="2140" spans="1:23" ht="15.95" customHeight="1">
      <c r="B2140" s="28" t="s">
        <v>1862</v>
      </c>
      <c r="C2140" s="6" t="s">
        <v>5350</v>
      </c>
      <c r="D2140" s="15" t="s">
        <v>3099</v>
      </c>
      <c r="E2140" s="24"/>
      <c r="F2140" s="138"/>
      <c r="G2140" s="44" t="s">
        <v>1993</v>
      </c>
      <c r="H2140" s="8"/>
      <c r="I2140" s="41"/>
      <c r="J2140" s="45">
        <v>1</v>
      </c>
      <c r="K2140" s="46">
        <v>12</v>
      </c>
      <c r="L2140" s="46">
        <f>K2140*J2140</f>
        <v>12</v>
      </c>
      <c r="M2140" s="112"/>
      <c r="N2140" s="39">
        <v>44932</v>
      </c>
      <c r="O2140" s="38">
        <v>4876</v>
      </c>
      <c r="P2140" s="46">
        <f>K2140*(VLOOKUP(B2140,$C$2:$F$6,3,FALSE))</f>
        <v>12</v>
      </c>
      <c r="Q2140" s="180">
        <v>12</v>
      </c>
      <c r="R2140" s="704">
        <f>Q2140*J2140</f>
        <v>12</v>
      </c>
      <c r="S2140" s="498">
        <v>0</v>
      </c>
      <c r="T2140" s="567">
        <f>S2140*J2140</f>
        <v>0</v>
      </c>
      <c r="U2140" s="511"/>
      <c r="V2140" s="494">
        <v>120</v>
      </c>
    </row>
    <row r="2141" spans="1:23" s="314" customFormat="1" ht="15" customHeight="1">
      <c r="A2141" s="1"/>
      <c r="B2141" s="313"/>
      <c r="C2141" s="302" t="s">
        <v>5350</v>
      </c>
      <c r="D2141" s="303" t="s">
        <v>3099</v>
      </c>
      <c r="E2141" s="304"/>
      <c r="F2141" s="305"/>
      <c r="G2141" s="305" t="s">
        <v>1227</v>
      </c>
      <c r="H2141" s="307" t="s">
        <v>1228</v>
      </c>
      <c r="I2141" s="308"/>
      <c r="J2141" s="306"/>
      <c r="K2141" s="485">
        <v>24</v>
      </c>
      <c r="L2141" s="485">
        <v>24</v>
      </c>
      <c r="M2141" s="310"/>
      <c r="N2141" s="310">
        <v>44932</v>
      </c>
      <c r="O2141" s="309">
        <v>4876</v>
      </c>
      <c r="P2141" s="302"/>
      <c r="Q2141" s="485">
        <v>24</v>
      </c>
      <c r="R2141" s="485">
        <v>24</v>
      </c>
      <c r="S2141" s="489">
        <v>2672</v>
      </c>
      <c r="T2141" s="489">
        <v>2672</v>
      </c>
      <c r="U2141" s="515"/>
      <c r="V2141" s="494">
        <v>120</v>
      </c>
    </row>
    <row r="2142" spans="1:23" s="7" customFormat="1" ht="18" customHeight="1">
      <c r="B2142" s="12"/>
      <c r="C2142" s="6" t="s">
        <v>5352</v>
      </c>
      <c r="D2142" s="15" t="s">
        <v>5353</v>
      </c>
      <c r="E2142" s="20" t="s">
        <v>27</v>
      </c>
      <c r="F2142" s="150"/>
      <c r="G2142" s="24"/>
      <c r="H2142" s="151"/>
      <c r="I2142" s="152"/>
      <c r="J2142" s="151"/>
      <c r="K2142" s="153" t="s">
        <v>10</v>
      </c>
      <c r="L2142" s="213"/>
      <c r="M2142" s="39"/>
      <c r="N2142" s="39">
        <v>44936</v>
      </c>
      <c r="O2142" s="38">
        <v>4884</v>
      </c>
      <c r="P2142" s="15"/>
      <c r="Q2142" s="703"/>
      <c r="U2142" s="15"/>
      <c r="V2142" s="494">
        <v>120</v>
      </c>
    </row>
    <row r="2143" spans="1:23" s="7" customFormat="1" ht="18" customHeight="1">
      <c r="B2143" s="12" t="s">
        <v>1858</v>
      </c>
      <c r="C2143" s="6" t="s">
        <v>5352</v>
      </c>
      <c r="D2143" s="15" t="s">
        <v>5353</v>
      </c>
      <c r="E2143" s="24" t="s">
        <v>736</v>
      </c>
      <c r="F2143" s="150">
        <v>162</v>
      </c>
      <c r="G2143" s="24" t="s">
        <v>5354</v>
      </c>
      <c r="H2143" s="151">
        <v>50</v>
      </c>
      <c r="I2143" s="152">
        <v>1</v>
      </c>
      <c r="J2143" s="8">
        <f>H2143*I2143</f>
        <v>50</v>
      </c>
      <c r="K2143" s="46">
        <v>4.59</v>
      </c>
      <c r="L2143" s="46">
        <f>K2143*J2143</f>
        <v>229.5</v>
      </c>
      <c r="M2143" s="162" t="s">
        <v>2218</v>
      </c>
      <c r="N2143" s="39">
        <v>44936</v>
      </c>
      <c r="O2143" s="38">
        <v>4884</v>
      </c>
      <c r="P2143" s="46">
        <f>K2143*(VLOOKUP(B2143,$C$2:$F$6,3,FALSE))</f>
        <v>4.3145999999999995</v>
      </c>
      <c r="Q2143" s="703">
        <v>4.3099999999999996</v>
      </c>
      <c r="R2143" s="703">
        <f>Q2143*J2143</f>
        <v>215.49999999999997</v>
      </c>
      <c r="S2143" s="7">
        <v>330</v>
      </c>
      <c r="T2143" s="7">
        <f>S2143*J2143</f>
        <v>16500</v>
      </c>
      <c r="U2143" s="23"/>
      <c r="V2143" s="494">
        <v>120</v>
      </c>
    </row>
    <row r="2144" spans="1:23" s="7" customFormat="1" ht="18" customHeight="1">
      <c r="B2144" s="12" t="s">
        <v>1858</v>
      </c>
      <c r="C2144" s="6" t="s">
        <v>5352</v>
      </c>
      <c r="D2144" s="15" t="s">
        <v>5353</v>
      </c>
      <c r="E2144" s="24" t="s">
        <v>738</v>
      </c>
      <c r="F2144" s="150">
        <v>152</v>
      </c>
      <c r="G2144" s="24" t="s">
        <v>5354</v>
      </c>
      <c r="H2144" s="151">
        <v>25</v>
      </c>
      <c r="I2144" s="152">
        <v>1</v>
      </c>
      <c r="J2144" s="8">
        <f>I2144*H2144</f>
        <v>25</v>
      </c>
      <c r="K2144" s="46">
        <v>4.45</v>
      </c>
      <c r="L2144" s="46">
        <f>K2144*J2144</f>
        <v>111.25</v>
      </c>
      <c r="M2144" s="1336" t="s">
        <v>2218</v>
      </c>
      <c r="N2144" s="39">
        <v>44936</v>
      </c>
      <c r="O2144" s="38">
        <v>4884</v>
      </c>
      <c r="P2144" s="46">
        <f>K2144*(VLOOKUP(B2144,$C$2:$F$6,3,FALSE))</f>
        <v>4.1829999999999998</v>
      </c>
      <c r="Q2144" s="703">
        <v>4.18</v>
      </c>
      <c r="R2144" s="703">
        <f>Q2144*J2144</f>
        <v>104.5</v>
      </c>
      <c r="S2144" s="7">
        <v>320</v>
      </c>
      <c r="T2144" s="7">
        <f>S2144*J2144</f>
        <v>8000</v>
      </c>
      <c r="U2144" s="23"/>
      <c r="V2144" s="494">
        <v>120</v>
      </c>
    </row>
    <row r="2145" spans="2:23" s="7" customFormat="1" ht="18" customHeight="1">
      <c r="B2145" s="12"/>
      <c r="C2145" s="6" t="s">
        <v>5352</v>
      </c>
      <c r="D2145" s="15" t="s">
        <v>5353</v>
      </c>
      <c r="E2145" s="238"/>
      <c r="F2145" s="44"/>
      <c r="G2145" s="24" t="s">
        <v>5355</v>
      </c>
      <c r="H2145" s="8"/>
      <c r="I2145" s="152" ph="1"/>
      <c r="J2145" s="45">
        <v>1</v>
      </c>
      <c r="K2145" s="46">
        <v>12</v>
      </c>
      <c r="L2145" s="46">
        <f>K2145*J2145</f>
        <v>12</v>
      </c>
      <c r="M2145" s="112"/>
      <c r="N2145" s="39">
        <v>44936</v>
      </c>
      <c r="O2145" s="38">
        <v>4884</v>
      </c>
      <c r="P2145" s="46"/>
      <c r="Q2145" s="703">
        <v>12</v>
      </c>
      <c r="R2145" s="703">
        <f>Q2145*J2145</f>
        <v>12</v>
      </c>
      <c r="S2145" s="7">
        <v>1000</v>
      </c>
      <c r="T2145" s="7">
        <f>S2145*J2145</f>
        <v>1000</v>
      </c>
      <c r="U2145" s="23"/>
      <c r="V2145" s="494">
        <v>120</v>
      </c>
    </row>
    <row r="2146" spans="2:23" s="7" customFormat="1" ht="18" customHeight="1">
      <c r="B2146" s="12"/>
      <c r="C2146" s="6" t="s">
        <v>5352</v>
      </c>
      <c r="D2146" s="15" t="s">
        <v>5353</v>
      </c>
      <c r="E2146" s="238"/>
      <c r="F2146" s="44"/>
      <c r="G2146" s="24" t="s">
        <v>2975</v>
      </c>
      <c r="H2146" s="8"/>
      <c r="I2146" s="152" ph="1"/>
      <c r="J2146" s="45">
        <v>1</v>
      </c>
      <c r="K2146" s="46">
        <v>20</v>
      </c>
      <c r="L2146" s="46">
        <f>K2146*J2146</f>
        <v>20</v>
      </c>
      <c r="M2146" s="112"/>
      <c r="N2146" s="39">
        <v>44936</v>
      </c>
      <c r="O2146" s="38">
        <v>4884</v>
      </c>
      <c r="P2146" s="6"/>
      <c r="Q2146" s="703">
        <v>20</v>
      </c>
      <c r="R2146" s="703">
        <f>Q2146*J2146</f>
        <v>20</v>
      </c>
      <c r="S2146" s="7">
        <v>1800</v>
      </c>
      <c r="T2146" s="7">
        <f>S2146*J2146</f>
        <v>1800</v>
      </c>
      <c r="U2146" s="23"/>
      <c r="V2146" s="494">
        <v>120</v>
      </c>
    </row>
    <row r="2147" spans="2:23" s="314" customFormat="1" ht="18" customHeight="1">
      <c r="B2147" s="313"/>
      <c r="C2147" s="302" t="s">
        <v>5352</v>
      </c>
      <c r="D2147" s="303" t="s">
        <v>5353</v>
      </c>
      <c r="E2147" s="371"/>
      <c r="F2147" s="305"/>
      <c r="G2147" s="305" t="s">
        <v>1227</v>
      </c>
      <c r="H2147" s="307" t="s">
        <v>1228</v>
      </c>
      <c r="I2147" s="308"/>
      <c r="J2147" s="306"/>
      <c r="K2147" s="315">
        <v>0</v>
      </c>
      <c r="L2147" s="310"/>
      <c r="M2147" s="310"/>
      <c r="N2147" s="310">
        <v>44936</v>
      </c>
      <c r="O2147" s="309">
        <v>4884</v>
      </c>
      <c r="P2147" s="302"/>
      <c r="Q2147" s="531">
        <v>0</v>
      </c>
      <c r="S2147" s="535">
        <v>0</v>
      </c>
      <c r="T2147" s="322">
        <v>0</v>
      </c>
      <c r="U2147" s="1115"/>
      <c r="V2147" s="494">
        <v>120</v>
      </c>
    </row>
    <row r="2148" spans="2:23" ht="18" customHeight="1">
      <c r="C2148" s="6" t="s">
        <v>5617</v>
      </c>
      <c r="D2148" s="15" t="s">
        <v>1126</v>
      </c>
      <c r="E2148" s="20" t="s">
        <v>3727</v>
      </c>
      <c r="F2148" s="150"/>
      <c r="G2148" s="24"/>
      <c r="H2148" s="151"/>
      <c r="I2148" s="152"/>
      <c r="J2148" s="151"/>
      <c r="K2148" s="153" t="s">
        <v>10</v>
      </c>
      <c r="L2148" s="39"/>
      <c r="M2148" s="39"/>
      <c r="N2148" s="39">
        <v>44995</v>
      </c>
      <c r="O2148" s="38">
        <v>5051</v>
      </c>
      <c r="P2148" s="15"/>
      <c r="Q2148" s="483"/>
      <c r="S2148" s="496"/>
      <c r="T2148" s="113"/>
      <c r="V2148" s="494">
        <v>120</v>
      </c>
      <c r="W2148"/>
    </row>
    <row r="2149" spans="2:23" ht="18" customHeight="1">
      <c r="B2149" s="12" t="s">
        <v>1858</v>
      </c>
      <c r="C2149" s="6" t="s">
        <v>5617</v>
      </c>
      <c r="D2149" s="15" t="s">
        <v>1126</v>
      </c>
      <c r="E2149" s="1278" t="s">
        <v>3726</v>
      </c>
      <c r="F2149" s="155" t="s">
        <v>3725</v>
      </c>
      <c r="G2149" s="1207" t="s">
        <v>3724</v>
      </c>
      <c r="H2149" s="67"/>
      <c r="I2149" s="68"/>
      <c r="J2149" s="67">
        <v>2</v>
      </c>
      <c r="K2149" s="703">
        <v>10.56</v>
      </c>
      <c r="L2149" s="46">
        <f>K2149*J2149</f>
        <v>21.12</v>
      </c>
      <c r="M2149" s="162" t="s">
        <v>2219</v>
      </c>
      <c r="N2149" s="39">
        <v>44995</v>
      </c>
      <c r="O2149" s="38">
        <v>5051</v>
      </c>
      <c r="P2149" s="46">
        <f>K2149*(VLOOKUP(B2149,$C$2:$F$6,3,FALSE))</f>
        <v>9.9263999999999992</v>
      </c>
      <c r="Q2149" s="483">
        <v>9.93</v>
      </c>
      <c r="R2149" s="704">
        <f>Q2149*J2149</f>
        <v>19.86</v>
      </c>
      <c r="S2149" s="532">
        <v>950</v>
      </c>
      <c r="T2149" s="567">
        <f>S2149*J2149</f>
        <v>1900</v>
      </c>
      <c r="V2149" s="494">
        <v>120</v>
      </c>
      <c r="W2149"/>
    </row>
    <row r="2150" spans="2:23" s="314" customFormat="1" ht="15.6" customHeight="1">
      <c r="B2150" s="313"/>
      <c r="C2150" s="302" t="s">
        <v>5617</v>
      </c>
      <c r="D2150" s="303" t="s">
        <v>1126</v>
      </c>
      <c r="E2150" s="371"/>
      <c r="F2150" s="305"/>
      <c r="G2150" s="305" t="s">
        <v>1227</v>
      </c>
      <c r="H2150" s="307" t="s">
        <v>1228</v>
      </c>
      <c r="I2150" s="308"/>
      <c r="J2150" s="306"/>
      <c r="K2150" s="315">
        <v>0</v>
      </c>
      <c r="L2150" s="310"/>
      <c r="M2150" s="310"/>
      <c r="N2150" s="310">
        <v>44995</v>
      </c>
      <c r="O2150" s="309">
        <v>5051</v>
      </c>
      <c r="P2150" s="302"/>
      <c r="Q2150" s="485">
        <v>0</v>
      </c>
      <c r="S2150" s="535">
        <v>0</v>
      </c>
      <c r="T2150" s="322">
        <v>0</v>
      </c>
      <c r="U2150" s="515"/>
      <c r="V2150" s="494">
        <v>120</v>
      </c>
    </row>
    <row r="2151" spans="2:23" ht="17.25" customHeight="1">
      <c r="C2151" s="6" t="s">
        <v>5617</v>
      </c>
      <c r="D2151" s="15" t="s">
        <v>1126</v>
      </c>
      <c r="E2151" s="20" t="s">
        <v>3727</v>
      </c>
      <c r="F2151" s="150"/>
      <c r="G2151" s="24"/>
      <c r="H2151" s="151"/>
      <c r="I2151" s="152"/>
      <c r="J2151" s="151"/>
      <c r="K2151" s="153" t="s">
        <v>10</v>
      </c>
      <c r="L2151" s="39"/>
      <c r="M2151" s="39"/>
      <c r="N2151" s="39">
        <v>45019</v>
      </c>
      <c r="O2151" s="38">
        <v>5093</v>
      </c>
      <c r="P2151" s="15"/>
      <c r="Q2151" s="483"/>
      <c r="S2151" s="496"/>
      <c r="T2151" s="113"/>
      <c r="V2151" s="494">
        <v>120</v>
      </c>
      <c r="W2151"/>
    </row>
    <row r="2152" spans="2:23" ht="18" customHeight="1">
      <c r="B2152" s="12" t="s">
        <v>1858</v>
      </c>
      <c r="C2152" s="6" t="s">
        <v>5617</v>
      </c>
      <c r="D2152" s="15" t="s">
        <v>1126</v>
      </c>
      <c r="E2152" s="1278" t="s">
        <v>3726</v>
      </c>
      <c r="F2152" s="155" t="s">
        <v>3725</v>
      </c>
      <c r="G2152" s="1207" t="s">
        <v>3724</v>
      </c>
      <c r="H2152" s="67"/>
      <c r="I2152" s="68"/>
      <c r="J2152" s="19">
        <v>509.5</v>
      </c>
      <c r="K2152" s="703">
        <v>10.56</v>
      </c>
      <c r="L2152" s="46">
        <f>K2152*J2152</f>
        <v>5380.3200000000006</v>
      </c>
      <c r="M2152" s="162" t="s">
        <v>2219</v>
      </c>
      <c r="N2152" s="39">
        <v>45019</v>
      </c>
      <c r="O2152" s="38">
        <v>5093</v>
      </c>
      <c r="P2152" s="46">
        <f>K2152*(VLOOKUP(B2152,$C$2:$F$6,3,FALSE))</f>
        <v>9.9263999999999992</v>
      </c>
      <c r="Q2152" s="483">
        <v>9.93</v>
      </c>
      <c r="R2152" s="704">
        <f>Q2152*J2152</f>
        <v>5059.335</v>
      </c>
      <c r="S2152" s="532">
        <v>950</v>
      </c>
      <c r="T2152" s="567">
        <f>S2152*J2152</f>
        <v>484025</v>
      </c>
      <c r="V2152" s="494">
        <v>120</v>
      </c>
      <c r="W2152"/>
    </row>
    <row r="2153" spans="2:23" ht="18" customHeight="1">
      <c r="B2153" s="12" t="s">
        <v>1858</v>
      </c>
      <c r="C2153" s="6" t="s">
        <v>5617</v>
      </c>
      <c r="D2153" s="15" t="s">
        <v>1126</v>
      </c>
      <c r="E2153" s="1278" t="s">
        <v>3726</v>
      </c>
      <c r="F2153" s="155" t="s">
        <v>3725</v>
      </c>
      <c r="G2153" s="1207" t="s">
        <v>3724</v>
      </c>
      <c r="H2153" s="1348">
        <v>50</v>
      </c>
      <c r="I2153" s="152">
        <v>1</v>
      </c>
      <c r="J2153" s="19">
        <f t="shared" ref="J2153:J2162" si="119">H2153*I2153</f>
        <v>50</v>
      </c>
      <c r="K2153" s="703">
        <v>10.56</v>
      </c>
      <c r="L2153" s="1888" t="s">
        <v>5707</v>
      </c>
      <c r="M2153" s="162" t="s">
        <v>2219</v>
      </c>
      <c r="N2153" s="39">
        <v>45019</v>
      </c>
      <c r="O2153" s="38">
        <v>5093</v>
      </c>
      <c r="P2153" s="46"/>
      <c r="Q2153" s="483"/>
      <c r="R2153" s="704"/>
      <c r="S2153" s="532"/>
      <c r="T2153" s="567"/>
      <c r="V2153" s="494">
        <v>120</v>
      </c>
      <c r="W2153"/>
    </row>
    <row r="2154" spans="2:23" ht="18" customHeight="1">
      <c r="B2154" s="12" t="s">
        <v>1858</v>
      </c>
      <c r="C2154" s="6" t="s">
        <v>5617</v>
      </c>
      <c r="D2154" s="15" t="s">
        <v>1126</v>
      </c>
      <c r="E2154" s="1278" t="s">
        <v>3726</v>
      </c>
      <c r="F2154" s="155" t="s">
        <v>3725</v>
      </c>
      <c r="G2154" s="1207" t="s">
        <v>3724</v>
      </c>
      <c r="H2154" s="1348">
        <v>53</v>
      </c>
      <c r="I2154" s="152">
        <v>1</v>
      </c>
      <c r="J2154" s="19">
        <f t="shared" si="119"/>
        <v>53</v>
      </c>
      <c r="K2154" s="703">
        <v>10.56</v>
      </c>
      <c r="L2154" s="1888" t="s">
        <v>5707</v>
      </c>
      <c r="M2154" s="162" t="s">
        <v>2219</v>
      </c>
      <c r="N2154" s="39">
        <v>45019</v>
      </c>
      <c r="O2154" s="38">
        <v>5093</v>
      </c>
      <c r="P2154" s="46"/>
      <c r="Q2154" s="483"/>
      <c r="R2154" s="704"/>
      <c r="S2154" s="532"/>
      <c r="T2154" s="567"/>
      <c r="V2154" s="494">
        <v>120</v>
      </c>
      <c r="W2154"/>
    </row>
    <row r="2155" spans="2:23" ht="18" customHeight="1">
      <c r="B2155" s="12" t="s">
        <v>1858</v>
      </c>
      <c r="C2155" s="6" t="s">
        <v>5617</v>
      </c>
      <c r="D2155" s="15" t="s">
        <v>1126</v>
      </c>
      <c r="E2155" s="1278" t="s">
        <v>3726</v>
      </c>
      <c r="F2155" s="155" t="s">
        <v>3725</v>
      </c>
      <c r="G2155" s="1207" t="s">
        <v>3724</v>
      </c>
      <c r="H2155" s="1348">
        <v>51</v>
      </c>
      <c r="I2155" s="152">
        <v>1</v>
      </c>
      <c r="J2155" s="19">
        <f t="shared" si="119"/>
        <v>51</v>
      </c>
      <c r="K2155" s="703">
        <v>10.56</v>
      </c>
      <c r="L2155" s="1888" t="s">
        <v>5707</v>
      </c>
      <c r="M2155" s="162" t="s">
        <v>2219</v>
      </c>
      <c r="N2155" s="39">
        <v>45019</v>
      </c>
      <c r="O2155" s="38">
        <v>5093</v>
      </c>
      <c r="P2155" s="46"/>
      <c r="Q2155" s="483"/>
      <c r="R2155" s="704"/>
      <c r="S2155" s="532"/>
      <c r="T2155" s="567"/>
      <c r="V2155" s="494">
        <v>120</v>
      </c>
      <c r="W2155"/>
    </row>
    <row r="2156" spans="2:23" ht="18" customHeight="1">
      <c r="B2156" s="12" t="s">
        <v>1858</v>
      </c>
      <c r="C2156" s="6" t="s">
        <v>5617</v>
      </c>
      <c r="D2156" s="15" t="s">
        <v>1126</v>
      </c>
      <c r="E2156" s="1278" t="s">
        <v>3726</v>
      </c>
      <c r="F2156" s="155" t="s">
        <v>3725</v>
      </c>
      <c r="G2156" s="1207" t="s">
        <v>3724</v>
      </c>
      <c r="H2156" s="1348">
        <v>51.5</v>
      </c>
      <c r="I2156" s="152">
        <v>1</v>
      </c>
      <c r="J2156" s="19">
        <f t="shared" si="119"/>
        <v>51.5</v>
      </c>
      <c r="K2156" s="703">
        <v>10.56</v>
      </c>
      <c r="L2156" s="1888" t="s">
        <v>5707</v>
      </c>
      <c r="M2156" s="162" t="s">
        <v>2219</v>
      </c>
      <c r="N2156" s="39">
        <v>45019</v>
      </c>
      <c r="O2156" s="38">
        <v>5093</v>
      </c>
      <c r="P2156" s="46"/>
      <c r="Q2156" s="483"/>
      <c r="R2156" s="704"/>
      <c r="S2156" s="532"/>
      <c r="T2156" s="567"/>
      <c r="V2156" s="494">
        <v>120</v>
      </c>
      <c r="W2156"/>
    </row>
    <row r="2157" spans="2:23" ht="18" customHeight="1">
      <c r="B2157" s="12" t="s">
        <v>1858</v>
      </c>
      <c r="C2157" s="6" t="s">
        <v>5617</v>
      </c>
      <c r="D2157" s="15" t="s">
        <v>1126</v>
      </c>
      <c r="E2157" s="1278" t="s">
        <v>3726</v>
      </c>
      <c r="F2157" s="155" t="s">
        <v>3725</v>
      </c>
      <c r="G2157" s="1207" t="s">
        <v>3724</v>
      </c>
      <c r="H2157" s="1348">
        <v>51.5</v>
      </c>
      <c r="I2157" s="152">
        <v>1</v>
      </c>
      <c r="J2157" s="19">
        <f t="shared" si="119"/>
        <v>51.5</v>
      </c>
      <c r="K2157" s="703">
        <v>10.56</v>
      </c>
      <c r="L2157" s="1888" t="s">
        <v>5707</v>
      </c>
      <c r="M2157" s="162" t="s">
        <v>2219</v>
      </c>
      <c r="N2157" s="39">
        <v>45019</v>
      </c>
      <c r="O2157" s="38">
        <v>5093</v>
      </c>
      <c r="P2157" s="46"/>
      <c r="Q2157" s="483"/>
      <c r="R2157" s="704"/>
      <c r="S2157" s="532"/>
      <c r="T2157" s="567"/>
      <c r="V2157" s="494">
        <v>120</v>
      </c>
      <c r="W2157"/>
    </row>
    <row r="2158" spans="2:23" ht="18" customHeight="1">
      <c r="B2158" s="12" t="s">
        <v>1858</v>
      </c>
      <c r="C2158" s="6" t="s">
        <v>5617</v>
      </c>
      <c r="D2158" s="15" t="s">
        <v>1126</v>
      </c>
      <c r="E2158" s="1278" t="s">
        <v>3726</v>
      </c>
      <c r="F2158" s="155" t="s">
        <v>3725</v>
      </c>
      <c r="G2158" s="1207" t="s">
        <v>3724</v>
      </c>
      <c r="H2158" s="1348">
        <v>50.5</v>
      </c>
      <c r="I2158" s="152">
        <v>1</v>
      </c>
      <c r="J2158" s="19">
        <f t="shared" si="119"/>
        <v>50.5</v>
      </c>
      <c r="K2158" s="703">
        <v>10.56</v>
      </c>
      <c r="L2158" s="1888" t="s">
        <v>5707</v>
      </c>
      <c r="M2158" s="162" t="s">
        <v>2219</v>
      </c>
      <c r="N2158" s="39">
        <v>45019</v>
      </c>
      <c r="O2158" s="38">
        <v>5093</v>
      </c>
      <c r="P2158" s="46"/>
      <c r="Q2158" s="483"/>
      <c r="R2158" s="704"/>
      <c r="S2158" s="532"/>
      <c r="T2158" s="567"/>
      <c r="V2158" s="494">
        <v>120</v>
      </c>
      <c r="W2158"/>
    </row>
    <row r="2159" spans="2:23" ht="18" customHeight="1">
      <c r="B2159" s="12" t="s">
        <v>1858</v>
      </c>
      <c r="C2159" s="6" t="s">
        <v>5617</v>
      </c>
      <c r="D2159" s="15" t="s">
        <v>1126</v>
      </c>
      <c r="E2159" s="1278" t="s">
        <v>3726</v>
      </c>
      <c r="F2159" s="155" t="s">
        <v>3725</v>
      </c>
      <c r="G2159" s="1207" t="s">
        <v>3724</v>
      </c>
      <c r="H2159" s="1348">
        <v>51</v>
      </c>
      <c r="I2159" s="152">
        <v>1</v>
      </c>
      <c r="J2159" s="19">
        <f t="shared" si="119"/>
        <v>51</v>
      </c>
      <c r="K2159" s="703">
        <v>10.56</v>
      </c>
      <c r="L2159" s="1888" t="s">
        <v>5707</v>
      </c>
      <c r="M2159" s="162" t="s">
        <v>2219</v>
      </c>
      <c r="N2159" s="39">
        <v>45019</v>
      </c>
      <c r="O2159" s="38">
        <v>5093</v>
      </c>
      <c r="P2159" s="46"/>
      <c r="Q2159" s="483"/>
      <c r="R2159" s="704"/>
      <c r="S2159" s="532"/>
      <c r="T2159" s="567"/>
      <c r="V2159" s="494">
        <v>120</v>
      </c>
      <c r="W2159"/>
    </row>
    <row r="2160" spans="2:23" ht="18" customHeight="1">
      <c r="B2160" s="12" t="s">
        <v>1858</v>
      </c>
      <c r="C2160" s="6" t="s">
        <v>5617</v>
      </c>
      <c r="D2160" s="15" t="s">
        <v>1126</v>
      </c>
      <c r="E2160" s="1278" t="s">
        <v>3726</v>
      </c>
      <c r="F2160" s="155" t="s">
        <v>3725</v>
      </c>
      <c r="G2160" s="1207" t="s">
        <v>3724</v>
      </c>
      <c r="H2160" s="1348">
        <v>50.5</v>
      </c>
      <c r="I2160" s="152">
        <v>1</v>
      </c>
      <c r="J2160" s="19">
        <f t="shared" si="119"/>
        <v>50.5</v>
      </c>
      <c r="K2160" s="703">
        <v>10.56</v>
      </c>
      <c r="L2160" s="1888" t="s">
        <v>5707</v>
      </c>
      <c r="M2160" s="162" t="s">
        <v>2219</v>
      </c>
      <c r="N2160" s="39">
        <v>45019</v>
      </c>
      <c r="O2160" s="38">
        <v>5093</v>
      </c>
      <c r="P2160" s="46"/>
      <c r="Q2160" s="483"/>
      <c r="R2160" s="704"/>
      <c r="S2160" s="532"/>
      <c r="T2160" s="567"/>
      <c r="V2160" s="494">
        <v>120</v>
      </c>
      <c r="W2160"/>
    </row>
    <row r="2161" spans="2:23" ht="18" customHeight="1">
      <c r="B2161" s="12" t="s">
        <v>1858</v>
      </c>
      <c r="C2161" s="6" t="s">
        <v>5617</v>
      </c>
      <c r="D2161" s="15" t="s">
        <v>1126</v>
      </c>
      <c r="E2161" s="1278" t="s">
        <v>3726</v>
      </c>
      <c r="F2161" s="155" t="s">
        <v>3725</v>
      </c>
      <c r="G2161" s="1207" t="s">
        <v>3724</v>
      </c>
      <c r="H2161" s="1348">
        <v>51.5</v>
      </c>
      <c r="I2161" s="152">
        <v>1</v>
      </c>
      <c r="J2161" s="19">
        <f t="shared" si="119"/>
        <v>51.5</v>
      </c>
      <c r="K2161" s="703">
        <v>10.56</v>
      </c>
      <c r="L2161" s="1888" t="s">
        <v>5707</v>
      </c>
      <c r="M2161" s="162" t="s">
        <v>2219</v>
      </c>
      <c r="N2161" s="39">
        <v>45019</v>
      </c>
      <c r="O2161" s="38">
        <v>5093</v>
      </c>
      <c r="P2161" s="46"/>
      <c r="Q2161" s="483"/>
      <c r="R2161" s="704"/>
      <c r="S2161" s="532"/>
      <c r="T2161" s="567"/>
      <c r="V2161" s="494">
        <v>120</v>
      </c>
      <c r="W2161"/>
    </row>
    <row r="2162" spans="2:23" ht="18" customHeight="1">
      <c r="B2162" s="12" t="s">
        <v>1858</v>
      </c>
      <c r="C2162" s="6" t="s">
        <v>5617</v>
      </c>
      <c r="D2162" s="15" t="s">
        <v>1126</v>
      </c>
      <c r="E2162" s="1278" t="s">
        <v>3726</v>
      </c>
      <c r="F2162" s="155" t="s">
        <v>3725</v>
      </c>
      <c r="G2162" s="1207" t="s">
        <v>3724</v>
      </c>
      <c r="H2162" s="1348">
        <v>49</v>
      </c>
      <c r="I2162" s="152">
        <v>1</v>
      </c>
      <c r="J2162" s="19">
        <f t="shared" si="119"/>
        <v>49</v>
      </c>
      <c r="K2162" s="703">
        <v>10.56</v>
      </c>
      <c r="L2162" s="1888" t="s">
        <v>5707</v>
      </c>
      <c r="M2162" s="162" t="s">
        <v>2219</v>
      </c>
      <c r="N2162" s="39">
        <v>45019</v>
      </c>
      <c r="O2162" s="38">
        <v>5093</v>
      </c>
      <c r="P2162" s="46"/>
      <c r="Q2162" s="483"/>
      <c r="R2162" s="704"/>
      <c r="S2162" s="532"/>
      <c r="T2162" s="567"/>
      <c r="V2162" s="494">
        <v>120</v>
      </c>
      <c r="W2162"/>
    </row>
    <row r="2163" spans="2:23" s="314" customFormat="1" ht="15.6" customHeight="1">
      <c r="B2163" s="313"/>
      <c r="C2163" s="302" t="s">
        <v>5617</v>
      </c>
      <c r="D2163" s="303" t="s">
        <v>1126</v>
      </c>
      <c r="E2163" s="304"/>
      <c r="F2163" s="305"/>
      <c r="G2163" s="305" t="s">
        <v>1227</v>
      </c>
      <c r="H2163" s="307" t="s">
        <v>1228</v>
      </c>
      <c r="I2163" s="308"/>
      <c r="J2163" s="306"/>
      <c r="K2163" s="315">
        <v>0</v>
      </c>
      <c r="L2163" s="310"/>
      <c r="M2163" s="310"/>
      <c r="N2163" s="310">
        <v>45019</v>
      </c>
      <c r="O2163" s="309">
        <v>5093</v>
      </c>
      <c r="P2163" s="302"/>
      <c r="Q2163" s="485">
        <v>0</v>
      </c>
      <c r="S2163" s="535">
        <v>0</v>
      </c>
      <c r="T2163" s="322">
        <v>0</v>
      </c>
      <c r="U2163" s="515"/>
      <c r="V2163" s="494">
        <v>120</v>
      </c>
    </row>
    <row r="2164" spans="2:23" s="7" customFormat="1" ht="18" customHeight="1">
      <c r="B2164" s="12"/>
      <c r="C2164" s="6" t="s">
        <v>5385</v>
      </c>
      <c r="D2164" s="15" t="s">
        <v>5384</v>
      </c>
      <c r="E2164" s="20" t="s">
        <v>27</v>
      </c>
      <c r="F2164" s="150"/>
      <c r="G2164" s="24"/>
      <c r="H2164" s="151"/>
      <c r="I2164" s="152"/>
      <c r="J2164" s="151"/>
      <c r="K2164" s="34" t="s">
        <v>10</v>
      </c>
      <c r="L2164" s="39"/>
      <c r="M2164" s="39"/>
      <c r="N2164" s="39">
        <v>44939</v>
      </c>
      <c r="O2164" s="38">
        <v>4901</v>
      </c>
      <c r="P2164" s="15"/>
      <c r="Q2164" s="483"/>
      <c r="S2164" s="489"/>
      <c r="T2164" s="113"/>
      <c r="U2164" s="506"/>
      <c r="V2164" s="494">
        <v>120</v>
      </c>
      <c r="W2164" s="2041" t="e">
        <f t="shared" ref="W2164:W2227" si="120">(((K2164*V2164)-S2164)/(K2164*V2164))</f>
        <v>#VALUE!</v>
      </c>
    </row>
    <row r="2165" spans="2:23" s="7" customFormat="1" ht="18" customHeight="1">
      <c r="B2165" s="12" t="s">
        <v>1858</v>
      </c>
      <c r="C2165" s="6" t="s">
        <v>5385</v>
      </c>
      <c r="D2165" s="15" t="s">
        <v>5384</v>
      </c>
      <c r="E2165" s="24" t="s">
        <v>536</v>
      </c>
      <c r="F2165" s="150">
        <v>160</v>
      </c>
      <c r="G2165" s="407" t="s">
        <v>3599</v>
      </c>
      <c r="H2165" s="67">
        <v>50</v>
      </c>
      <c r="I2165" s="68">
        <v>1</v>
      </c>
      <c r="J2165" s="8">
        <f>H2165*I2165</f>
        <v>50</v>
      </c>
      <c r="K2165" s="25">
        <v>5</v>
      </c>
      <c r="L2165" s="46">
        <f>K2165*J2165</f>
        <v>250</v>
      </c>
      <c r="M2165" s="162" t="s">
        <v>2218</v>
      </c>
      <c r="N2165" s="39">
        <v>44939</v>
      </c>
      <c r="O2165" s="38">
        <v>4901</v>
      </c>
      <c r="P2165" s="46">
        <f>K2165*(VLOOKUP(B2165,$C$2:$F$6,3,FALSE))</f>
        <v>4.6999999999999993</v>
      </c>
      <c r="Q2165" s="483">
        <v>4.7</v>
      </c>
      <c r="R2165" s="704">
        <f>Q2165*J2165</f>
        <v>235</v>
      </c>
      <c r="S2165" s="532">
        <v>360</v>
      </c>
      <c r="T2165" s="567">
        <f>S2165*J2165</f>
        <v>18000</v>
      </c>
      <c r="U2165" s="501"/>
      <c r="V2165" s="494">
        <v>120</v>
      </c>
      <c r="W2165" s="2041">
        <f t="shared" si="120"/>
        <v>0.4</v>
      </c>
    </row>
    <row r="2166" spans="2:23" s="7" customFormat="1" ht="18" customHeight="1">
      <c r="B2166" s="12" t="s">
        <v>1858</v>
      </c>
      <c r="C2166" s="6" t="s">
        <v>5385</v>
      </c>
      <c r="D2166" s="15" t="s">
        <v>5384</v>
      </c>
      <c r="E2166" s="24" t="s">
        <v>536</v>
      </c>
      <c r="F2166" s="150">
        <v>160</v>
      </c>
      <c r="G2166" s="407" t="s">
        <v>5386</v>
      </c>
      <c r="H2166" s="67">
        <v>50</v>
      </c>
      <c r="I2166" s="68">
        <v>1</v>
      </c>
      <c r="J2166" s="8">
        <f>H2166*I2166</f>
        <v>50</v>
      </c>
      <c r="K2166" s="25">
        <v>5</v>
      </c>
      <c r="L2166" s="46">
        <f>K2166*J2166</f>
        <v>250</v>
      </c>
      <c r="M2166" s="162" t="s">
        <v>2218</v>
      </c>
      <c r="N2166" s="39">
        <v>44939</v>
      </c>
      <c r="O2166" s="38">
        <v>4901</v>
      </c>
      <c r="P2166" s="46">
        <f>K2166*(VLOOKUP(B2166,$C$2:$F$6,3,FALSE))</f>
        <v>4.6999999999999993</v>
      </c>
      <c r="Q2166" s="483">
        <v>4.7</v>
      </c>
      <c r="R2166" s="704">
        <f>Q2166*J2166</f>
        <v>235</v>
      </c>
      <c r="S2166" s="532">
        <v>360</v>
      </c>
      <c r="T2166" s="567">
        <f>S2166*J2166</f>
        <v>18000</v>
      </c>
      <c r="U2166" s="501"/>
      <c r="V2166" s="494">
        <v>120</v>
      </c>
      <c r="W2166" s="2041">
        <f t="shared" si="120"/>
        <v>0.4</v>
      </c>
    </row>
    <row r="2167" spans="2:23" s="7" customFormat="1" ht="18" customHeight="1">
      <c r="B2167" s="12"/>
      <c r="C2167" s="6" t="s">
        <v>5385</v>
      </c>
      <c r="D2167" s="15" t="s">
        <v>5384</v>
      </c>
      <c r="E2167" s="238"/>
      <c r="F2167" s="44"/>
      <c r="G2167" s="24" t="s">
        <v>2975</v>
      </c>
      <c r="H2167" s="8"/>
      <c r="I2167" s="152" ph="1"/>
      <c r="J2167" s="45">
        <v>1</v>
      </c>
      <c r="K2167" s="46">
        <v>20</v>
      </c>
      <c r="L2167" s="46">
        <f>K2167*J2167</f>
        <v>20</v>
      </c>
      <c r="M2167" s="112"/>
      <c r="N2167" s="39">
        <v>44939</v>
      </c>
      <c r="O2167" s="38">
        <v>4901</v>
      </c>
      <c r="P2167" s="6"/>
      <c r="Q2167" s="703">
        <v>20</v>
      </c>
      <c r="R2167" s="703">
        <f>Q2167*J2167</f>
        <v>20</v>
      </c>
      <c r="S2167" s="7">
        <v>1800</v>
      </c>
      <c r="T2167" s="7">
        <f>S2167*J2167</f>
        <v>1800</v>
      </c>
      <c r="U2167" s="23"/>
      <c r="V2167" s="494">
        <v>120</v>
      </c>
      <c r="W2167" s="2041">
        <f t="shared" si="120"/>
        <v>0.25</v>
      </c>
    </row>
    <row r="2168" spans="2:23" s="314" customFormat="1" ht="18" customHeight="1">
      <c r="B2168" s="313"/>
      <c r="C2168" s="302" t="s">
        <v>5385</v>
      </c>
      <c r="D2168" s="303" t="s">
        <v>5384</v>
      </c>
      <c r="E2168" s="371"/>
      <c r="F2168" s="305"/>
      <c r="G2168" s="305" t="s">
        <v>1227</v>
      </c>
      <c r="H2168" s="307" t="s">
        <v>1243</v>
      </c>
      <c r="I2168" s="308"/>
      <c r="J2168" s="306"/>
      <c r="K2168" s="329">
        <v>83</v>
      </c>
      <c r="L2168" s="329">
        <v>83</v>
      </c>
      <c r="M2168" s="310"/>
      <c r="N2168" s="310">
        <v>44939</v>
      </c>
      <c r="O2168" s="309">
        <v>4901</v>
      </c>
      <c r="P2168" s="685"/>
      <c r="Q2168" s="329">
        <v>83</v>
      </c>
      <c r="R2168" s="329">
        <v>83</v>
      </c>
      <c r="S2168" s="718">
        <v>9482</v>
      </c>
      <c r="T2168" s="718">
        <v>9482</v>
      </c>
      <c r="U2168" s="688"/>
      <c r="V2168" s="494">
        <v>120</v>
      </c>
      <c r="W2168" s="2041">
        <f t="shared" si="120"/>
        <v>4.7991967871485942E-2</v>
      </c>
    </row>
    <row r="2169" spans="2:23" s="7" customFormat="1" ht="15">
      <c r="B2169" s="12"/>
      <c r="C2169" s="6" t="s">
        <v>5437</v>
      </c>
      <c r="D2169" s="15" t="s">
        <v>298</v>
      </c>
      <c r="E2169" s="20" t="s">
        <v>3410</v>
      </c>
      <c r="F2169" s="26"/>
      <c r="G2169" s="24"/>
      <c r="H2169" s="67"/>
      <c r="I2169" s="68"/>
      <c r="J2169" s="67"/>
      <c r="K2169" s="10" t="s">
        <v>10</v>
      </c>
      <c r="L2169" s="39"/>
      <c r="M2169" s="39"/>
      <c r="N2169" s="39">
        <v>44942</v>
      </c>
      <c r="O2169" s="38">
        <v>4906</v>
      </c>
      <c r="P2169" s="6" t="s">
        <v>3</v>
      </c>
      <c r="Q2169" s="481"/>
      <c r="S2169" s="489"/>
      <c r="T2169" s="113"/>
      <c r="U2169" s="500"/>
      <c r="V2169" s="494">
        <v>120</v>
      </c>
      <c r="W2169" s="2041" t="e">
        <f t="shared" si="120"/>
        <v>#VALUE!</v>
      </c>
    </row>
    <row r="2170" spans="2:23" s="7" customFormat="1" ht="15" customHeight="1">
      <c r="B2170" s="12" t="s">
        <v>1856</v>
      </c>
      <c r="C2170" s="6" t="s">
        <v>5437</v>
      </c>
      <c r="D2170" s="15" t="s">
        <v>298</v>
      </c>
      <c r="E2170" s="24">
        <v>1095</v>
      </c>
      <c r="F2170" s="26">
        <v>150</v>
      </c>
      <c r="G2170" s="24" t="s">
        <v>3412</v>
      </c>
      <c r="H2170" s="67">
        <v>10</v>
      </c>
      <c r="I2170" s="68">
        <v>7</v>
      </c>
      <c r="J2170" s="8">
        <f>H2170*I2170</f>
        <v>70</v>
      </c>
      <c r="K2170" s="25">
        <v>4.67</v>
      </c>
      <c r="L2170" s="46">
        <f>K2170*J2170</f>
        <v>326.89999999999998</v>
      </c>
      <c r="M2170" s="162" t="s">
        <v>2219</v>
      </c>
      <c r="N2170" s="39">
        <v>44942</v>
      </c>
      <c r="O2170" s="38">
        <v>4906</v>
      </c>
      <c r="P2170" s="46">
        <f>K2170*(VLOOKUP(B2170,$C$2:$F$6,3,FALSE))</f>
        <v>4.1096000000000004</v>
      </c>
      <c r="Q2170" s="482">
        <v>4.1100000000000003</v>
      </c>
      <c r="R2170" s="704">
        <f>Q2170*J2170</f>
        <v>287.70000000000005</v>
      </c>
      <c r="S2170" s="489">
        <v>210</v>
      </c>
      <c r="T2170" s="113">
        <f>S2170*J2170</f>
        <v>14700</v>
      </c>
      <c r="U2170" s="1597"/>
      <c r="V2170" s="494">
        <v>120</v>
      </c>
      <c r="W2170" s="2041">
        <f t="shared" si="120"/>
        <v>0.62526766595289074</v>
      </c>
    </row>
    <row r="2171" spans="2:23" s="7" customFormat="1" ht="15.95" customHeight="1">
      <c r="B2171" s="12"/>
      <c r="C2171" s="6" t="s">
        <v>5437</v>
      </c>
      <c r="D2171" s="15" t="s">
        <v>298</v>
      </c>
      <c r="E2171" s="24"/>
      <c r="F2171" s="138"/>
      <c r="G2171" s="44" t="s">
        <v>1993</v>
      </c>
      <c r="H2171" s="8"/>
      <c r="I2171" s="41"/>
      <c r="J2171" s="45">
        <v>1</v>
      </c>
      <c r="K2171" s="46">
        <v>12</v>
      </c>
      <c r="L2171" s="46">
        <f>K2171*J2171</f>
        <v>12</v>
      </c>
      <c r="M2171" s="39"/>
      <c r="N2171" s="39">
        <v>44942</v>
      </c>
      <c r="O2171" s="38">
        <v>4906</v>
      </c>
      <c r="P2171" s="6"/>
      <c r="Q2171" s="483">
        <v>12</v>
      </c>
      <c r="R2171" s="704">
        <f>Q2171*J2171</f>
        <v>12</v>
      </c>
      <c r="S2171" s="489">
        <v>0</v>
      </c>
      <c r="T2171" s="113">
        <f>S2171*J2171</f>
        <v>0</v>
      </c>
      <c r="U2171" s="501"/>
      <c r="V2171" s="494">
        <v>120</v>
      </c>
      <c r="W2171" s="2041">
        <f t="shared" si="120"/>
        <v>1</v>
      </c>
    </row>
    <row r="2172" spans="2:23" s="314" customFormat="1" ht="15.6" customHeight="1">
      <c r="B2172" s="313"/>
      <c r="C2172" s="302" t="s">
        <v>5437</v>
      </c>
      <c r="D2172" s="303" t="s">
        <v>298</v>
      </c>
      <c r="E2172" s="371"/>
      <c r="F2172" s="305"/>
      <c r="G2172" s="305" t="s">
        <v>1227</v>
      </c>
      <c r="H2172" s="307" t="s">
        <v>1228</v>
      </c>
      <c r="I2172" s="308"/>
      <c r="J2172" s="306"/>
      <c r="K2172" s="315">
        <v>0</v>
      </c>
      <c r="L2172" s="310"/>
      <c r="M2172" s="310"/>
      <c r="N2172" s="310">
        <v>44942</v>
      </c>
      <c r="O2172" s="309">
        <v>4906</v>
      </c>
      <c r="P2172" s="302"/>
      <c r="Q2172" s="531">
        <v>0</v>
      </c>
      <c r="S2172" s="535">
        <v>0</v>
      </c>
      <c r="T2172" s="322">
        <v>0</v>
      </c>
      <c r="U2172" s="1115"/>
      <c r="V2172" s="494">
        <v>120</v>
      </c>
      <c r="W2172" s="2041" t="e">
        <f t="shared" si="120"/>
        <v>#DIV/0!</v>
      </c>
    </row>
    <row r="2173" spans="2:23" ht="15" customHeight="1">
      <c r="C2173" s="6" t="s">
        <v>5451</v>
      </c>
      <c r="D2173" s="15" t="s">
        <v>5452</v>
      </c>
      <c r="E2173" s="20" t="s">
        <v>1639</v>
      </c>
      <c r="F2173" s="26"/>
      <c r="G2173" s="24"/>
      <c r="H2173" s="16"/>
      <c r="I2173" s="68"/>
      <c r="J2173" s="67"/>
      <c r="K2173" s="153" t="s">
        <v>10</v>
      </c>
      <c r="L2173" s="39"/>
      <c r="M2173" s="39"/>
      <c r="N2173" s="39">
        <v>44994</v>
      </c>
      <c r="O2173" s="38">
        <v>5019</v>
      </c>
      <c r="P2173" s="6" t="s">
        <v>23</v>
      </c>
      <c r="Q2173" s="481"/>
      <c r="S2173" s="489"/>
      <c r="T2173" s="113"/>
      <c r="U2173" s="500"/>
      <c r="V2173" s="494">
        <v>120</v>
      </c>
      <c r="W2173" s="2041" t="e">
        <f t="shared" si="120"/>
        <v>#VALUE!</v>
      </c>
    </row>
    <row r="2174" spans="2:23" ht="15.75">
      <c r="C2174" s="6" t="s">
        <v>5451</v>
      </c>
      <c r="D2174" s="15" t="s">
        <v>5452</v>
      </c>
      <c r="E2174" s="24" t="s">
        <v>5615</v>
      </c>
      <c r="F2174" s="26" t="s">
        <v>3142</v>
      </c>
      <c r="G2174" s="24" t="s">
        <v>3182</v>
      </c>
      <c r="H2174" s="151">
        <v>25</v>
      </c>
      <c r="I2174" s="152">
        <v>23</v>
      </c>
      <c r="J2174" s="67">
        <f>H2174*I2174</f>
        <v>575</v>
      </c>
      <c r="K2174" s="25">
        <v>1.69</v>
      </c>
      <c r="L2174" s="46">
        <f>K2174*J2174</f>
        <v>971.75</v>
      </c>
      <c r="M2174" s="162" t="s">
        <v>2219</v>
      </c>
      <c r="N2174" s="39">
        <v>44994</v>
      </c>
      <c r="O2174" s="38">
        <v>5019</v>
      </c>
      <c r="P2174" s="25">
        <f>K2174*0.88</f>
        <v>1.4871999999999999</v>
      </c>
      <c r="Q2174" s="483">
        <v>1.49</v>
      </c>
      <c r="R2174" s="704">
        <f>Q2174*J2174</f>
        <v>856.75</v>
      </c>
      <c r="S2174" s="489">
        <v>81</v>
      </c>
      <c r="T2174" s="567">
        <f>S2174*J2174</f>
        <v>46575</v>
      </c>
      <c r="U2174" s="502"/>
      <c r="V2174" s="494">
        <v>120</v>
      </c>
      <c r="W2174" s="2041">
        <f t="shared" si="120"/>
        <v>0.60059171597633132</v>
      </c>
    </row>
    <row r="2175" spans="2:23" ht="15.75">
      <c r="C2175" s="6" t="s">
        <v>5451</v>
      </c>
      <c r="D2175" s="15" t="s">
        <v>5452</v>
      </c>
      <c r="E2175" s="24" t="s">
        <v>5616</v>
      </c>
      <c r="F2175" s="26" t="s">
        <v>3142</v>
      </c>
      <c r="G2175" s="24" t="s">
        <v>3182</v>
      </c>
      <c r="H2175" s="151">
        <v>25</v>
      </c>
      <c r="I2175" s="152">
        <v>2</v>
      </c>
      <c r="J2175" s="67">
        <f>H2175*I2175</f>
        <v>50</v>
      </c>
      <c r="K2175" s="25">
        <v>1.69</v>
      </c>
      <c r="L2175" s="46">
        <f>K2175*J2175</f>
        <v>84.5</v>
      </c>
      <c r="M2175" s="162" t="s">
        <v>2219</v>
      </c>
      <c r="N2175" s="39">
        <v>44994</v>
      </c>
      <c r="O2175" s="38">
        <v>5019</v>
      </c>
      <c r="P2175" s="25">
        <f>K2175*0.88</f>
        <v>1.4871999999999999</v>
      </c>
      <c r="Q2175" s="483">
        <v>1.49</v>
      </c>
      <c r="R2175" s="704">
        <f>Q2175*J2175</f>
        <v>74.5</v>
      </c>
      <c r="S2175" s="489">
        <v>81</v>
      </c>
      <c r="T2175" s="567">
        <f>S2175*J2175</f>
        <v>4050</v>
      </c>
      <c r="U2175" s="502"/>
      <c r="V2175" s="494">
        <v>120</v>
      </c>
      <c r="W2175" s="2041">
        <f t="shared" si="120"/>
        <v>0.60059171597633132</v>
      </c>
    </row>
    <row r="2176" spans="2:23" ht="15.95" customHeight="1">
      <c r="B2176" s="12" t="s">
        <v>1862</v>
      </c>
      <c r="C2176" s="6" t="s">
        <v>5451</v>
      </c>
      <c r="D2176" s="15" t="s">
        <v>5452</v>
      </c>
      <c r="E2176" s="24"/>
      <c r="F2176" s="138"/>
      <c r="G2176" s="44" t="s">
        <v>1993</v>
      </c>
      <c r="H2176" s="8"/>
      <c r="I2176" s="41"/>
      <c r="J2176" s="45">
        <v>1</v>
      </c>
      <c r="K2176" s="46">
        <v>12</v>
      </c>
      <c r="L2176" s="46">
        <f>K2176*J2176</f>
        <v>12</v>
      </c>
      <c r="M2176" s="112"/>
      <c r="N2176" s="39">
        <v>44994</v>
      </c>
      <c r="O2176" s="38">
        <v>5019</v>
      </c>
      <c r="P2176" s="46">
        <f>K2176*(VLOOKUP(B2176,$C$2:$F$6,3,FALSE))</f>
        <v>12</v>
      </c>
      <c r="Q2176" s="483">
        <v>12</v>
      </c>
      <c r="R2176" s="704">
        <v>12</v>
      </c>
      <c r="S2176" s="489">
        <v>0</v>
      </c>
      <c r="T2176" s="113">
        <f>S2176*J2176</f>
        <v>0</v>
      </c>
      <c r="U2176" s="511"/>
      <c r="V2176" s="494">
        <v>120</v>
      </c>
      <c r="W2176" s="2041">
        <f t="shared" si="120"/>
        <v>1</v>
      </c>
    </row>
    <row r="2177" spans="2:23" s="314" customFormat="1" ht="15">
      <c r="B2177" s="313"/>
      <c r="C2177" s="302" t="s">
        <v>5451</v>
      </c>
      <c r="D2177" s="303" t="s">
        <v>5452</v>
      </c>
      <c r="E2177" s="371"/>
      <c r="F2177" s="305"/>
      <c r="G2177" s="305" t="s">
        <v>1227</v>
      </c>
      <c r="H2177" s="307" t="s">
        <v>1228</v>
      </c>
      <c r="I2177" s="308"/>
      <c r="J2177" s="306"/>
      <c r="K2177" s="315">
        <v>0</v>
      </c>
      <c r="L2177" s="310"/>
      <c r="M2177" s="310"/>
      <c r="N2177" s="310">
        <v>44994</v>
      </c>
      <c r="O2177" s="309">
        <v>5019</v>
      </c>
      <c r="P2177" s="302"/>
      <c r="Q2177" s="531">
        <v>0</v>
      </c>
      <c r="S2177" s="536">
        <v>0</v>
      </c>
      <c r="T2177" s="322">
        <v>0</v>
      </c>
      <c r="U2177" s="1115"/>
      <c r="V2177" s="494">
        <v>120</v>
      </c>
      <c r="W2177" s="2041" t="e">
        <f t="shared" si="120"/>
        <v>#DIV/0!</v>
      </c>
    </row>
    <row r="2178" spans="2:23" ht="15" customHeight="1">
      <c r="C2178" s="6" t="s">
        <v>5451</v>
      </c>
      <c r="D2178" s="15" t="s">
        <v>5452</v>
      </c>
      <c r="E2178" s="20" t="s">
        <v>5438</v>
      </c>
      <c r="F2178" s="26"/>
      <c r="G2178" s="24"/>
      <c r="H2178" s="16"/>
      <c r="I2178" s="68"/>
      <c r="J2178" s="67"/>
      <c r="K2178" s="153" t="s">
        <v>140</v>
      </c>
      <c r="L2178" s="39"/>
      <c r="M2178" s="39"/>
      <c r="N2178" s="39">
        <v>44942</v>
      </c>
      <c r="O2178" s="38">
        <v>4909</v>
      </c>
      <c r="P2178" s="6" t="s">
        <v>23</v>
      </c>
      <c r="Q2178" s="481"/>
      <c r="S2178" s="489"/>
      <c r="T2178" s="113"/>
      <c r="U2178" s="500"/>
      <c r="V2178" s="494">
        <v>120</v>
      </c>
      <c r="W2178" s="2041" t="e">
        <f t="shared" si="120"/>
        <v>#VALUE!</v>
      </c>
    </row>
    <row r="2179" spans="2:23" ht="15.75">
      <c r="B2179" s="28" t="s">
        <v>1858</v>
      </c>
      <c r="C2179" s="6" t="s">
        <v>5451</v>
      </c>
      <c r="D2179" s="15" t="s">
        <v>5452</v>
      </c>
      <c r="E2179" s="24" t="s">
        <v>5439</v>
      </c>
      <c r="F2179" s="150">
        <v>137</v>
      </c>
      <c r="G2179" s="24" t="s">
        <v>3182</v>
      </c>
      <c r="H2179" s="67"/>
      <c r="I2179" s="68"/>
      <c r="J2179" s="67">
        <v>1</v>
      </c>
      <c r="K2179" s="25">
        <v>50</v>
      </c>
      <c r="L2179" s="46">
        <f>K2179*J2179</f>
        <v>50</v>
      </c>
      <c r="M2179" s="162" t="s">
        <v>2219</v>
      </c>
      <c r="N2179" s="39">
        <v>44942</v>
      </c>
      <c r="O2179" s="38">
        <v>4909</v>
      </c>
      <c r="P2179" s="46">
        <f>K2179*(VLOOKUP(B2179,$C$2:$F$6,3,FALSE))</f>
        <v>47</v>
      </c>
      <c r="Q2179" s="483">
        <v>47</v>
      </c>
      <c r="R2179" s="704">
        <f>Q2179*J2179</f>
        <v>47</v>
      </c>
      <c r="S2179" s="489">
        <f>2686+600</f>
        <v>3286</v>
      </c>
      <c r="T2179" s="567">
        <f>S2179*J2179</f>
        <v>3286</v>
      </c>
      <c r="U2179" s="1139"/>
      <c r="V2179" s="494">
        <v>120</v>
      </c>
      <c r="W2179" s="2041">
        <f t="shared" si="120"/>
        <v>0.45233333333333331</v>
      </c>
    </row>
    <row r="2180" spans="2:23" s="314" customFormat="1" ht="15">
      <c r="B2180" s="313"/>
      <c r="C2180" s="302" t="s">
        <v>5451</v>
      </c>
      <c r="D2180" s="303" t="s">
        <v>5452</v>
      </c>
      <c r="E2180" s="304"/>
      <c r="F2180" s="305"/>
      <c r="G2180" s="305" t="s">
        <v>1227</v>
      </c>
      <c r="H2180" s="307" t="s">
        <v>1228</v>
      </c>
      <c r="I2180" s="308"/>
      <c r="J2180" s="306"/>
      <c r="K2180" s="315">
        <v>0</v>
      </c>
      <c r="L2180" s="310"/>
      <c r="M2180" s="310"/>
      <c r="N2180" s="310">
        <v>44942</v>
      </c>
      <c r="O2180" s="309">
        <v>4909</v>
      </c>
      <c r="P2180" s="302"/>
      <c r="Q2180" s="485">
        <v>0</v>
      </c>
      <c r="S2180" s="535">
        <v>0</v>
      </c>
      <c r="T2180" s="322">
        <v>0</v>
      </c>
      <c r="U2180" s="515"/>
      <c r="V2180" s="494">
        <v>120</v>
      </c>
      <c r="W2180" s="2041" t="e">
        <f t="shared" si="120"/>
        <v>#DIV/0!</v>
      </c>
    </row>
    <row r="2181" spans="2:23" s="7" customFormat="1" ht="15" customHeight="1">
      <c r="B2181" s="12"/>
      <c r="C2181" s="6" t="s">
        <v>5449</v>
      </c>
      <c r="D2181" s="15" t="s">
        <v>958</v>
      </c>
      <c r="E2181" s="20" t="s">
        <v>628</v>
      </c>
      <c r="F2181" s="26"/>
      <c r="G2181" s="24"/>
      <c r="H2181" s="67"/>
      <c r="I2181" s="68"/>
      <c r="J2181" s="67"/>
      <c r="K2181" s="17" t="s">
        <v>134</v>
      </c>
      <c r="L2181" s="39"/>
      <c r="M2181" s="39"/>
      <c r="N2181" s="39">
        <v>44965</v>
      </c>
      <c r="O2181" s="38">
        <v>4935</v>
      </c>
      <c r="P2181" s="179" t="s">
        <v>23</v>
      </c>
      <c r="Q2181" s="438" t="s">
        <v>959</v>
      </c>
      <c r="R2181" s="704"/>
      <c r="S2181" s="489"/>
      <c r="T2181" s="113"/>
      <c r="U2181" s="510"/>
      <c r="V2181" s="494">
        <v>120</v>
      </c>
      <c r="W2181" s="2041" t="e">
        <f t="shared" si="120"/>
        <v>#VALUE!</v>
      </c>
    </row>
    <row r="2182" spans="2:23" s="7" customFormat="1" ht="18" customHeight="1">
      <c r="B2182" s="12" t="s">
        <v>1856</v>
      </c>
      <c r="C2182" s="6" t="s">
        <v>5449</v>
      </c>
      <c r="D2182" s="15" t="s">
        <v>958</v>
      </c>
      <c r="E2182" s="24">
        <v>5291</v>
      </c>
      <c r="F2182" s="26">
        <v>8</v>
      </c>
      <c r="G2182" s="24" t="s">
        <v>499</v>
      </c>
      <c r="H2182" s="67">
        <v>50</v>
      </c>
      <c r="I2182" s="68">
        <v>7</v>
      </c>
      <c r="J2182" s="67">
        <f>H2182*I2182</f>
        <v>350</v>
      </c>
      <c r="K2182" s="46">
        <v>0.74</v>
      </c>
      <c r="L2182" s="46">
        <f>K2182*J2182</f>
        <v>259</v>
      </c>
      <c r="M2182" s="162" t="s">
        <v>2219</v>
      </c>
      <c r="N2182" s="39">
        <v>44965</v>
      </c>
      <c r="O2182" s="38">
        <v>4935</v>
      </c>
      <c r="P2182" s="180">
        <v>0.43</v>
      </c>
      <c r="Q2182" s="180">
        <v>0.43</v>
      </c>
      <c r="R2182" s="704">
        <f>Q2182*J2182</f>
        <v>150.5</v>
      </c>
      <c r="S2182" s="489">
        <v>26</v>
      </c>
      <c r="T2182" s="113">
        <f>S2182*J2182</f>
        <v>9100</v>
      </c>
      <c r="U2182" s="867"/>
      <c r="V2182" s="494">
        <v>120</v>
      </c>
      <c r="W2182" s="2041">
        <f t="shared" si="120"/>
        <v>0.7072072072072072</v>
      </c>
    </row>
    <row r="2183" spans="2:23" s="7" customFormat="1" ht="18" customHeight="1">
      <c r="B2183" s="12" t="s">
        <v>1856</v>
      </c>
      <c r="C2183" s="6" t="s">
        <v>5453</v>
      </c>
      <c r="D2183" s="15" t="s">
        <v>958</v>
      </c>
      <c r="E2183" s="24">
        <v>5291</v>
      </c>
      <c r="F2183" s="26">
        <v>6</v>
      </c>
      <c r="G2183" s="24" t="s">
        <v>3473</v>
      </c>
      <c r="H2183" s="67">
        <v>50</v>
      </c>
      <c r="I2183" s="68">
        <v>20</v>
      </c>
      <c r="J2183" s="67">
        <f>H2183*I2183</f>
        <v>1000</v>
      </c>
      <c r="K2183" s="46">
        <v>0.4</v>
      </c>
      <c r="L2183" s="46">
        <f>K2183*J2183</f>
        <v>400</v>
      </c>
      <c r="M2183" s="162" t="s">
        <v>2219</v>
      </c>
      <c r="N2183" s="39">
        <v>44965</v>
      </c>
      <c r="O2183" s="38">
        <v>4935</v>
      </c>
      <c r="P2183" s="180">
        <v>0.22</v>
      </c>
      <c r="Q2183" s="180">
        <v>0.22</v>
      </c>
      <c r="R2183" s="704">
        <f>Q2183*J2183</f>
        <v>220</v>
      </c>
      <c r="S2183" s="489">
        <v>13.2</v>
      </c>
      <c r="T2183" s="113">
        <f>S2183*J2183</f>
        <v>13200</v>
      </c>
      <c r="U2183" s="867"/>
      <c r="V2183" s="494">
        <v>120</v>
      </c>
      <c r="W2183" s="2041">
        <f t="shared" si="120"/>
        <v>0.72499999999999998</v>
      </c>
    </row>
    <row r="2184" spans="2:23" ht="15.95" customHeight="1">
      <c r="C2184" s="6" t="s">
        <v>5450</v>
      </c>
      <c r="D2184" s="15" t="s">
        <v>958</v>
      </c>
      <c r="E2184" s="24"/>
      <c r="F2184" s="138"/>
      <c r="G2184" s="44" t="s">
        <v>1993</v>
      </c>
      <c r="H2184" s="8"/>
      <c r="I2184" s="41"/>
      <c r="J2184" s="45">
        <v>1</v>
      </c>
      <c r="K2184" s="46">
        <v>12</v>
      </c>
      <c r="L2184" s="46">
        <v>0</v>
      </c>
      <c r="M2184" s="112"/>
      <c r="N2184" s="39">
        <v>44965</v>
      </c>
      <c r="O2184" s="38">
        <v>4935</v>
      </c>
      <c r="P2184" s="179"/>
      <c r="Q2184" s="180">
        <v>12</v>
      </c>
      <c r="R2184" s="180">
        <v>12</v>
      </c>
      <c r="S2184" s="498">
        <v>850</v>
      </c>
      <c r="T2184" s="568">
        <f>S2184*J2184</f>
        <v>850</v>
      </c>
      <c r="U2184" s="511"/>
      <c r="V2184" s="494">
        <v>120</v>
      </c>
      <c r="W2184" s="2041">
        <f t="shared" si="120"/>
        <v>0.40972222222222221</v>
      </c>
    </row>
    <row r="2185" spans="2:23" s="314" customFormat="1" ht="15" customHeight="1">
      <c r="B2185" s="313"/>
      <c r="C2185" s="302" t="s">
        <v>5450</v>
      </c>
      <c r="D2185" s="303" t="s">
        <v>958</v>
      </c>
      <c r="E2185" s="304"/>
      <c r="F2185" s="305"/>
      <c r="G2185" s="305" t="s">
        <v>1227</v>
      </c>
      <c r="H2185" s="410"/>
      <c r="I2185" s="308"/>
      <c r="J2185" s="410">
        <v>1350</v>
      </c>
      <c r="K2185" s="315">
        <f>(0.25*350)+(0.15*1000)</f>
        <v>237.5</v>
      </c>
      <c r="L2185" s="315"/>
      <c r="M2185" s="784"/>
      <c r="N2185" s="310">
        <v>44965</v>
      </c>
      <c r="O2185" s="309">
        <v>4935</v>
      </c>
      <c r="P2185" s="302"/>
      <c r="Q2185" s="315">
        <f>(0.25*350)+(0.15*1000)-Q2184</f>
        <v>225.5</v>
      </c>
      <c r="R2185" s="315">
        <f>(0.25*350)+(0.15*1000)-R2184</f>
        <v>225.5</v>
      </c>
      <c r="S2185" s="537">
        <v>11642</v>
      </c>
      <c r="T2185" s="537">
        <v>11642</v>
      </c>
      <c r="U2185" s="1084"/>
      <c r="V2185" s="494">
        <v>120</v>
      </c>
      <c r="W2185" s="2041">
        <f t="shared" si="120"/>
        <v>0.59150877192982454</v>
      </c>
    </row>
    <row r="2186" spans="2:23" ht="15">
      <c r="C2186" s="6" t="s">
        <v>5471</v>
      </c>
      <c r="D2186" s="15" t="s">
        <v>5470</v>
      </c>
      <c r="E2186" s="20" t="s">
        <v>5469</v>
      </c>
      <c r="F2186" s="44"/>
      <c r="G2186" s="44"/>
      <c r="H2186" s="151"/>
      <c r="I2186" s="151"/>
      <c r="J2186" s="151"/>
      <c r="K2186" s="34" t="s">
        <v>134</v>
      </c>
      <c r="L2186" s="39"/>
      <c r="M2186" s="39"/>
      <c r="N2186" s="39">
        <v>44946</v>
      </c>
      <c r="O2186" s="38">
        <v>4921</v>
      </c>
      <c r="P2186" s="6"/>
      <c r="Q2186" s="524"/>
      <c r="S2186" s="489"/>
      <c r="T2186" s="113"/>
      <c r="U2186" s="501"/>
      <c r="V2186" s="494">
        <v>120</v>
      </c>
      <c r="W2186" s="2041" t="e">
        <f t="shared" si="120"/>
        <v>#VALUE!</v>
      </c>
    </row>
    <row r="2187" spans="2:23" ht="15.75">
      <c r="B2187" s="28" t="s">
        <v>1856</v>
      </c>
      <c r="C2187" s="6" t="s">
        <v>5480</v>
      </c>
      <c r="D2187" s="15" t="s">
        <v>5483</v>
      </c>
      <c r="E2187" s="24">
        <v>3846</v>
      </c>
      <c r="F2187" s="29">
        <v>10</v>
      </c>
      <c r="G2187" s="24" t="s">
        <v>5468</v>
      </c>
      <c r="H2187" s="67">
        <v>50</v>
      </c>
      <c r="I2187" s="68">
        <v>2</v>
      </c>
      <c r="J2187" s="67">
        <f>H2187*I2187</f>
        <v>100</v>
      </c>
      <c r="K2187" s="46">
        <v>0.84</v>
      </c>
      <c r="L2187" s="46">
        <f>K2187*J2187</f>
        <v>84</v>
      </c>
      <c r="M2187" s="162" t="s">
        <v>2219</v>
      </c>
      <c r="N2187" s="39">
        <v>44946</v>
      </c>
      <c r="O2187" s="38">
        <v>4921</v>
      </c>
      <c r="P2187" s="46">
        <f>K2187*(VLOOKUP(B2187,$C$2:$F$6,3,FALSE))</f>
        <v>0.73919999999999997</v>
      </c>
      <c r="Q2187" s="482">
        <v>0.74</v>
      </c>
      <c r="R2187" s="704">
        <f>Q2187*J2187</f>
        <v>74</v>
      </c>
      <c r="S2187" s="489">
        <v>58</v>
      </c>
      <c r="T2187" s="113">
        <f>S2187*J2187</f>
        <v>5800</v>
      </c>
      <c r="U2187" s="1603"/>
      <c r="V2187" s="494">
        <v>120</v>
      </c>
      <c r="W2187" s="2041">
        <f t="shared" si="120"/>
        <v>0.42460317460317459</v>
      </c>
    </row>
    <row r="2188" spans="2:23" ht="15.75">
      <c r="B2188" s="28" t="s">
        <v>1856</v>
      </c>
      <c r="C2188" s="6" t="s">
        <v>5480</v>
      </c>
      <c r="D2188" s="15" t="s">
        <v>5483</v>
      </c>
      <c r="E2188" s="24">
        <v>3846</v>
      </c>
      <c r="F2188" s="29">
        <v>15</v>
      </c>
      <c r="G2188" s="24" t="s">
        <v>5468</v>
      </c>
      <c r="H2188" s="67">
        <v>50</v>
      </c>
      <c r="I2188" s="68">
        <v>1</v>
      </c>
      <c r="J2188" s="67">
        <f>H2188*I2188</f>
        <v>50</v>
      </c>
      <c r="K2188" s="46">
        <v>0.91</v>
      </c>
      <c r="L2188" s="46">
        <f>K2188*J2188</f>
        <v>45.5</v>
      </c>
      <c r="M2188" s="162" t="s">
        <v>2219</v>
      </c>
      <c r="N2188" s="39">
        <v>44946</v>
      </c>
      <c r="O2188" s="38">
        <v>4921</v>
      </c>
      <c r="P2188" s="46">
        <f>K2188*(VLOOKUP(B2188,$C$2:$F$6,3,FALSE))</f>
        <v>0.80080000000000007</v>
      </c>
      <c r="Q2188" s="482">
        <v>0.8</v>
      </c>
      <c r="R2188" s="704">
        <f>Q2188*J2188</f>
        <v>40</v>
      </c>
      <c r="S2188" s="489">
        <v>63</v>
      </c>
      <c r="T2188" s="113">
        <f>S2188*J2188</f>
        <v>3150</v>
      </c>
      <c r="U2188" s="1603"/>
      <c r="V2188" s="494">
        <v>120</v>
      </c>
      <c r="W2188" s="2041">
        <f t="shared" si="120"/>
        <v>0.42307692307692307</v>
      </c>
    </row>
    <row r="2189" spans="2:23" ht="15">
      <c r="B2189" s="12" t="s">
        <v>1862</v>
      </c>
      <c r="C2189" s="6" t="s">
        <v>5471</v>
      </c>
      <c r="D2189" s="15" t="s">
        <v>5470</v>
      </c>
      <c r="E2189" s="24"/>
      <c r="F2189" s="138"/>
      <c r="G2189" s="44" t="s">
        <v>1993</v>
      </c>
      <c r="H2189" s="8"/>
      <c r="I2189" s="41"/>
      <c r="J2189" s="45">
        <v>1</v>
      </c>
      <c r="K2189" s="46">
        <v>12</v>
      </c>
      <c r="L2189" s="46">
        <f>K2189*J2189</f>
        <v>12</v>
      </c>
      <c r="M2189" s="112"/>
      <c r="N2189" s="39">
        <v>44946</v>
      </c>
      <c r="O2189" s="38">
        <v>4921</v>
      </c>
      <c r="P2189" s="46">
        <f>K2189*(VLOOKUP(B2189,$C$2:$F$6,3,FALSE))</f>
        <v>12</v>
      </c>
      <c r="Q2189" s="483">
        <v>12</v>
      </c>
      <c r="R2189" s="704">
        <v>12</v>
      </c>
      <c r="S2189" s="489">
        <v>0</v>
      </c>
      <c r="T2189" s="113">
        <f>S2189*J2189</f>
        <v>0</v>
      </c>
      <c r="U2189" s="511"/>
      <c r="V2189" s="494">
        <v>120</v>
      </c>
      <c r="W2189" s="2041">
        <f t="shared" si="120"/>
        <v>1</v>
      </c>
    </row>
    <row r="2190" spans="2:23" s="314" customFormat="1" ht="15">
      <c r="B2190" s="313"/>
      <c r="C2190" s="302" t="s">
        <v>5471</v>
      </c>
      <c r="D2190" s="303" t="s">
        <v>5470</v>
      </c>
      <c r="E2190" s="304"/>
      <c r="F2190" s="305"/>
      <c r="G2190" s="305" t="s">
        <v>1227</v>
      </c>
      <c r="H2190" s="307" t="s">
        <v>1243</v>
      </c>
      <c r="I2190" s="308"/>
      <c r="J2190" s="306"/>
      <c r="K2190" s="315">
        <v>50</v>
      </c>
      <c r="L2190" s="485">
        <v>50</v>
      </c>
      <c r="M2190" s="310"/>
      <c r="N2190" s="310">
        <v>44946</v>
      </c>
      <c r="O2190" s="309">
        <v>4921</v>
      </c>
      <c r="P2190" s="302"/>
      <c r="Q2190" s="485">
        <v>50</v>
      </c>
      <c r="R2190" s="704">
        <v>50</v>
      </c>
      <c r="S2190" s="536">
        <v>3105</v>
      </c>
      <c r="T2190" s="536">
        <v>3105</v>
      </c>
      <c r="U2190" s="515"/>
      <c r="V2190" s="494">
        <v>120</v>
      </c>
      <c r="W2190" s="2041">
        <f t="shared" si="120"/>
        <v>0.48249999999999998</v>
      </c>
    </row>
    <row r="2191" spans="2:23" s="7" customFormat="1" ht="18" customHeight="1">
      <c r="B2191" s="12"/>
      <c r="C2191" s="6" t="s">
        <v>5482</v>
      </c>
      <c r="D2191" s="15" t="s">
        <v>169</v>
      </c>
      <c r="E2191" s="20" t="s">
        <v>27</v>
      </c>
      <c r="F2191" s="150"/>
      <c r="G2191" s="24"/>
      <c r="H2191" s="151"/>
      <c r="I2191" s="152"/>
      <c r="J2191" s="151"/>
      <c r="K2191" s="34" t="s">
        <v>10</v>
      </c>
      <c r="L2191" s="39"/>
      <c r="M2191" s="39"/>
      <c r="N2191" s="39">
        <v>44946</v>
      </c>
      <c r="O2191" s="38">
        <v>4922</v>
      </c>
      <c r="P2191" s="15"/>
      <c r="Q2191" s="483"/>
      <c r="S2191" s="489"/>
      <c r="T2191" s="113"/>
      <c r="U2191" s="506"/>
      <c r="V2191" s="494">
        <v>120</v>
      </c>
      <c r="W2191" s="2041" t="e">
        <f t="shared" si="120"/>
        <v>#VALUE!</v>
      </c>
    </row>
    <row r="2192" spans="2:23" s="7" customFormat="1" ht="18" customHeight="1">
      <c r="B2192" s="12" t="s">
        <v>1858</v>
      </c>
      <c r="C2192" s="6" t="s">
        <v>5482</v>
      </c>
      <c r="D2192" s="15" t="s">
        <v>169</v>
      </c>
      <c r="E2192" s="24" t="s">
        <v>536</v>
      </c>
      <c r="F2192" s="150">
        <v>160</v>
      </c>
      <c r="G2192" s="407" t="s">
        <v>629</v>
      </c>
      <c r="H2192" s="67">
        <v>50</v>
      </c>
      <c r="I2192" s="68">
        <v>1</v>
      </c>
      <c r="J2192" s="8">
        <f>H2192*I2192</f>
        <v>50</v>
      </c>
      <c r="K2192" s="25">
        <v>5</v>
      </c>
      <c r="L2192" s="46">
        <f>K2192*J2192</f>
        <v>250</v>
      </c>
      <c r="M2192" s="162" t="s">
        <v>2218</v>
      </c>
      <c r="N2192" s="39">
        <v>44946</v>
      </c>
      <c r="O2192" s="38">
        <v>4922</v>
      </c>
      <c r="P2192" s="46">
        <f>K2192*(VLOOKUP(B2192,$C$2:$F$6,3,FALSE))</f>
        <v>4.6999999999999993</v>
      </c>
      <c r="Q2192" s="483">
        <v>4.7</v>
      </c>
      <c r="R2192" s="704">
        <f>Q2192*J2192</f>
        <v>235</v>
      </c>
      <c r="S2192" s="532">
        <v>360</v>
      </c>
      <c r="T2192" s="567">
        <f>S2192*J2192</f>
        <v>18000</v>
      </c>
      <c r="U2192" s="501"/>
      <c r="V2192" s="494">
        <v>120</v>
      </c>
      <c r="W2192" s="2041">
        <f t="shared" si="120"/>
        <v>0.4</v>
      </c>
    </row>
    <row r="2193" spans="2:23" ht="15.95" customHeight="1">
      <c r="C2193" s="6" t="s">
        <v>5482</v>
      </c>
      <c r="D2193" s="15" t="s">
        <v>169</v>
      </c>
      <c r="E2193" s="228"/>
      <c r="F2193" s="138"/>
      <c r="G2193" s="44" t="s">
        <v>1993</v>
      </c>
      <c r="H2193" s="8"/>
      <c r="I2193" s="41"/>
      <c r="J2193" s="45">
        <v>1</v>
      </c>
      <c r="K2193" s="46">
        <v>20</v>
      </c>
      <c r="L2193" s="46">
        <f>K2193*J2193</f>
        <v>20</v>
      </c>
      <c r="M2193" s="112"/>
      <c r="N2193" s="39">
        <v>44946</v>
      </c>
      <c r="O2193" s="38">
        <v>4922</v>
      </c>
      <c r="P2193" s="6"/>
      <c r="Q2193" s="703">
        <v>20</v>
      </c>
      <c r="R2193" s="703">
        <f>Q2193*J2193</f>
        <v>20</v>
      </c>
      <c r="S2193" s="7">
        <v>1800</v>
      </c>
      <c r="T2193" s="7">
        <f>S2193*J2193</f>
        <v>1800</v>
      </c>
      <c r="U2193" s="23"/>
      <c r="V2193" s="494">
        <v>120</v>
      </c>
      <c r="W2193" s="2041">
        <f t="shared" si="120"/>
        <v>0.25</v>
      </c>
    </row>
    <row r="2194" spans="2:23" s="314" customFormat="1" ht="18" customHeight="1">
      <c r="B2194" s="313"/>
      <c r="C2194" s="302" t="s">
        <v>5481</v>
      </c>
      <c r="D2194" s="303" t="s">
        <v>169</v>
      </c>
      <c r="E2194" s="304"/>
      <c r="F2194" s="305"/>
      <c r="G2194" s="305" t="s">
        <v>1227</v>
      </c>
      <c r="H2194" s="307" t="s">
        <v>3438</v>
      </c>
      <c r="I2194" s="308"/>
      <c r="J2194" s="306"/>
      <c r="K2194" s="329">
        <v>71</v>
      </c>
      <c r="L2194" s="329">
        <v>71</v>
      </c>
      <c r="M2194" s="1327"/>
      <c r="N2194" s="310">
        <v>44946</v>
      </c>
      <c r="O2194" s="309">
        <v>4922</v>
      </c>
      <c r="P2194" s="1328"/>
      <c r="Q2194" s="329">
        <v>71</v>
      </c>
      <c r="R2194" s="329">
        <v>71</v>
      </c>
      <c r="S2194" s="113">
        <v>8127</v>
      </c>
      <c r="T2194" s="113">
        <v>8127</v>
      </c>
      <c r="U2194" s="1329"/>
      <c r="V2194" s="494">
        <v>120</v>
      </c>
      <c r="W2194" s="2041">
        <f t="shared" si="120"/>
        <v>4.6126760563380283E-2</v>
      </c>
    </row>
    <row r="2195" spans="2:23" s="7" customFormat="1" ht="15">
      <c r="B2195" s="12"/>
      <c r="C2195" s="6" t="s">
        <v>5492</v>
      </c>
      <c r="D2195" s="15" t="s">
        <v>1666</v>
      </c>
      <c r="E2195" s="20" t="s">
        <v>3490</v>
      </c>
      <c r="F2195" s="26"/>
      <c r="G2195" s="24"/>
      <c r="H2195" s="67"/>
      <c r="I2195" s="68"/>
      <c r="J2195" s="67"/>
      <c r="K2195" s="17" t="s">
        <v>10</v>
      </c>
      <c r="L2195" s="213"/>
      <c r="M2195" s="39"/>
      <c r="N2195" s="39">
        <v>44959</v>
      </c>
      <c r="O2195" s="38">
        <v>4958</v>
      </c>
      <c r="P2195" s="6" t="s">
        <v>3</v>
      </c>
      <c r="Q2195" s="703"/>
      <c r="S2195" s="46"/>
      <c r="U2195" s="23"/>
      <c r="V2195" s="494">
        <v>120</v>
      </c>
      <c r="W2195" s="2041" t="e">
        <f t="shared" si="120"/>
        <v>#VALUE!</v>
      </c>
    </row>
    <row r="2196" spans="2:23" s="7" customFormat="1" ht="15.95" customHeight="1">
      <c r="B2196" s="12"/>
      <c r="C2196" s="6" t="s">
        <v>5492</v>
      </c>
      <c r="D2196" s="15" t="s">
        <v>1666</v>
      </c>
      <c r="E2196" s="24" t="s">
        <v>5493</v>
      </c>
      <c r="F2196" s="44"/>
      <c r="G2196" s="44" t="s">
        <v>5561</v>
      </c>
      <c r="H2196" s="8"/>
      <c r="I2196" s="8"/>
      <c r="J2196" s="198">
        <v>54</v>
      </c>
      <c r="K2196" s="46">
        <v>7.94</v>
      </c>
      <c r="L2196" s="46">
        <f>K2196*J2196</f>
        <v>428.76000000000005</v>
      </c>
      <c r="M2196" s="162" t="s">
        <v>3736</v>
      </c>
      <c r="N2196" s="39">
        <v>44959</v>
      </c>
      <c r="O2196" s="38">
        <v>4958</v>
      </c>
      <c r="P2196" s="46">
        <f>K2196*0.92</f>
        <v>7.3048000000000011</v>
      </c>
      <c r="Q2196" s="703">
        <v>7.3</v>
      </c>
      <c r="R2196" s="704">
        <f>Q2196*J2196</f>
        <v>394.2</v>
      </c>
      <c r="S2196" s="46">
        <f>K2196*0.84</f>
        <v>6.6696</v>
      </c>
      <c r="T2196" s="1308">
        <f>S2196*J2196</f>
        <v>360.15839999999997</v>
      </c>
      <c r="U2196" s="46"/>
      <c r="V2196" s="494">
        <v>120</v>
      </c>
      <c r="W2196" s="2041">
        <f t="shared" si="120"/>
        <v>0.9930000000000001</v>
      </c>
    </row>
    <row r="2197" spans="2:23" s="314" customFormat="1" ht="15.6" customHeight="1">
      <c r="B2197" s="313"/>
      <c r="C2197" s="302" t="s">
        <v>5492</v>
      </c>
      <c r="D2197" s="303" t="s">
        <v>1666</v>
      </c>
      <c r="E2197" s="371"/>
      <c r="F2197" s="305"/>
      <c r="G2197" s="305" t="s">
        <v>1227</v>
      </c>
      <c r="H2197" s="307" t="s">
        <v>1228</v>
      </c>
      <c r="I2197" s="308"/>
      <c r="J2197" s="306"/>
      <c r="K2197" s="315">
        <v>0</v>
      </c>
      <c r="L2197" s="310"/>
      <c r="M2197" s="310"/>
      <c r="N2197" s="310">
        <v>44959</v>
      </c>
      <c r="O2197" s="309">
        <v>4958</v>
      </c>
      <c r="P2197" s="302"/>
      <c r="Q2197" s="531">
        <v>0</v>
      </c>
      <c r="S2197" s="535">
        <v>0</v>
      </c>
      <c r="T2197" s="322">
        <v>0</v>
      </c>
      <c r="U2197" s="1115"/>
      <c r="V2197" s="494">
        <v>120</v>
      </c>
      <c r="W2197" s="2041" t="e">
        <f t="shared" si="120"/>
        <v>#DIV/0!</v>
      </c>
    </row>
    <row r="2198" spans="2:23" s="7" customFormat="1" ht="15">
      <c r="B2198" s="12"/>
      <c r="C2198" s="6" t="s">
        <v>5494</v>
      </c>
      <c r="D2198" s="15" t="s">
        <v>1666</v>
      </c>
      <c r="E2198" s="20" t="s">
        <v>3490</v>
      </c>
      <c r="F2198" s="26"/>
      <c r="G2198" s="24"/>
      <c r="H2198" s="67"/>
      <c r="I2198" s="68"/>
      <c r="J2198" s="67"/>
      <c r="K2198" s="17" t="s">
        <v>10</v>
      </c>
      <c r="L2198" s="213"/>
      <c r="M2198" s="39"/>
      <c r="N2198" s="39">
        <v>44967</v>
      </c>
      <c r="O2198" s="38">
        <v>4975</v>
      </c>
      <c r="P2198" s="6" t="s">
        <v>3</v>
      </c>
      <c r="Q2198" s="703"/>
      <c r="S2198" s="46"/>
      <c r="U2198" s="23"/>
      <c r="V2198" s="494">
        <v>120</v>
      </c>
      <c r="W2198" s="2041" t="e">
        <f t="shared" si="120"/>
        <v>#VALUE!</v>
      </c>
    </row>
    <row r="2199" spans="2:23" s="7" customFormat="1" ht="15.95" customHeight="1">
      <c r="B2199" s="12"/>
      <c r="C2199" s="6" t="s">
        <v>5494</v>
      </c>
      <c r="D2199" s="15" t="s">
        <v>1666</v>
      </c>
      <c r="E2199" s="24" t="s">
        <v>5495</v>
      </c>
      <c r="F2199" s="44"/>
      <c r="G2199" s="44" t="s">
        <v>56</v>
      </c>
      <c r="H2199" s="8"/>
      <c r="I2199" s="8"/>
      <c r="J2199" s="198">
        <v>17</v>
      </c>
      <c r="K2199" s="46">
        <v>37.17</v>
      </c>
      <c r="L2199" s="46">
        <f>K2199*J2199</f>
        <v>631.89</v>
      </c>
      <c r="M2199" s="162" t="s">
        <v>3736</v>
      </c>
      <c r="N2199" s="39">
        <v>44967</v>
      </c>
      <c r="O2199" s="38">
        <v>4975</v>
      </c>
      <c r="P2199" s="46">
        <f>K2199*0.92</f>
        <v>34.196400000000004</v>
      </c>
      <c r="Q2199" s="703">
        <v>34.200000000000003</v>
      </c>
      <c r="R2199" s="704">
        <f>Q2199*J2199</f>
        <v>581.40000000000009</v>
      </c>
      <c r="S2199" s="46">
        <f>K2199*0.84</f>
        <v>31.222799999999999</v>
      </c>
      <c r="T2199" s="1308">
        <f>S2199*J2199</f>
        <v>530.7876</v>
      </c>
      <c r="U2199" s="46"/>
      <c r="V2199" s="494">
        <v>120</v>
      </c>
      <c r="W2199" s="2041">
        <f t="shared" si="120"/>
        <v>0.9930000000000001</v>
      </c>
    </row>
    <row r="2200" spans="2:23" s="314" customFormat="1" ht="15.6" customHeight="1">
      <c r="B2200" s="313"/>
      <c r="C2200" s="302" t="s">
        <v>5494</v>
      </c>
      <c r="D2200" s="303" t="s">
        <v>1666</v>
      </c>
      <c r="E2200" s="371"/>
      <c r="F2200" s="305"/>
      <c r="G2200" s="305" t="s">
        <v>1227</v>
      </c>
      <c r="H2200" s="307" t="s">
        <v>1228</v>
      </c>
      <c r="I2200" s="308"/>
      <c r="J2200" s="306"/>
      <c r="K2200" s="315">
        <v>0</v>
      </c>
      <c r="L2200" s="310"/>
      <c r="M2200" s="310"/>
      <c r="N2200" s="310">
        <v>44967</v>
      </c>
      <c r="O2200" s="309">
        <v>4975</v>
      </c>
      <c r="P2200" s="302"/>
      <c r="Q2200" s="531">
        <v>0</v>
      </c>
      <c r="S2200" s="535">
        <v>0</v>
      </c>
      <c r="T2200" s="322">
        <v>0</v>
      </c>
      <c r="U2200" s="1115"/>
      <c r="V2200" s="494">
        <v>120</v>
      </c>
      <c r="W2200" s="2041" t="e">
        <f t="shared" si="120"/>
        <v>#DIV/0!</v>
      </c>
    </row>
    <row r="2201" spans="2:23" s="7" customFormat="1" ht="15">
      <c r="B2201" s="12"/>
      <c r="C2201" s="6" t="s">
        <v>5510</v>
      </c>
      <c r="D2201" s="15" t="s">
        <v>983</v>
      </c>
      <c r="E2201" s="20" t="s">
        <v>344</v>
      </c>
      <c r="F2201" s="26"/>
      <c r="G2201" s="24"/>
      <c r="H2201" s="67"/>
      <c r="I2201" s="68"/>
      <c r="J2201" s="67"/>
      <c r="K2201" s="17" t="s">
        <v>134</v>
      </c>
      <c r="L2201" s="39"/>
      <c r="M2201" s="39"/>
      <c r="N2201" s="39">
        <v>44958</v>
      </c>
      <c r="O2201" s="38">
        <v>4949</v>
      </c>
      <c r="P2201" s="6" t="s">
        <v>23</v>
      </c>
      <c r="Q2201" s="481"/>
      <c r="S2201" s="489"/>
      <c r="T2201" s="113"/>
      <c r="U2201" s="500"/>
      <c r="V2201" s="494">
        <v>120</v>
      </c>
      <c r="W2201" s="2041" t="e">
        <f t="shared" si="120"/>
        <v>#VALUE!</v>
      </c>
    </row>
    <row r="2202" spans="2:23" s="7" customFormat="1" ht="15.75">
      <c r="B2202" s="12" t="s">
        <v>1856</v>
      </c>
      <c r="C2202" s="6" t="s">
        <v>5510</v>
      </c>
      <c r="D2202" s="15" t="s">
        <v>983</v>
      </c>
      <c r="E2202" s="24">
        <v>14552</v>
      </c>
      <c r="F2202" s="26">
        <v>10</v>
      </c>
      <c r="G2202" s="24" t="s">
        <v>1740</v>
      </c>
      <c r="H2202" s="151">
        <v>30</v>
      </c>
      <c r="I2202" s="152">
        <v>50</v>
      </c>
      <c r="J2202" s="67">
        <f>H2202*I2202</f>
        <v>1500</v>
      </c>
      <c r="K2202" s="25">
        <v>0.69</v>
      </c>
      <c r="L2202" s="46">
        <f>K2202*J2202</f>
        <v>1035</v>
      </c>
      <c r="M2202" s="162" t="s">
        <v>2219</v>
      </c>
      <c r="N2202" s="39">
        <v>44958</v>
      </c>
      <c r="O2202" s="38">
        <v>4949</v>
      </c>
      <c r="P2202" s="46">
        <f>K2202*(VLOOKUP(B2202,$C$2:$F$6,3,FALSE))</f>
        <v>0.60719999999999996</v>
      </c>
      <c r="Q2202" s="482">
        <v>0.61</v>
      </c>
      <c r="R2202" s="704">
        <f>Q2202*J2202</f>
        <v>915</v>
      </c>
      <c r="S2202" s="489">
        <v>41</v>
      </c>
      <c r="T2202" s="567">
        <f>S2202*J2202</f>
        <v>61500</v>
      </c>
      <c r="U2202" s="1784" t="s">
        <v>5532</v>
      </c>
      <c r="V2202" s="494">
        <v>120</v>
      </c>
      <c r="W2202" s="2041">
        <f t="shared" si="120"/>
        <v>0.50483091787439616</v>
      </c>
    </row>
    <row r="2203" spans="2:23" s="7" customFormat="1" ht="15.95" customHeight="1">
      <c r="B2203" s="12"/>
      <c r="C2203" s="6" t="s">
        <v>5510</v>
      </c>
      <c r="D2203" s="15" t="s">
        <v>983</v>
      </c>
      <c r="E2203" s="24"/>
      <c r="F2203" s="138"/>
      <c r="G2203" s="44" t="s">
        <v>1993</v>
      </c>
      <c r="H2203" s="8"/>
      <c r="I2203" s="41"/>
      <c r="J2203" s="45">
        <v>1</v>
      </c>
      <c r="K2203" s="46">
        <v>12</v>
      </c>
      <c r="L2203" s="46">
        <f>K2203*J2203</f>
        <v>12</v>
      </c>
      <c r="M2203" s="39"/>
      <c r="N2203" s="39">
        <v>44958</v>
      </c>
      <c r="O2203" s="38">
        <v>4949</v>
      </c>
      <c r="P2203" s="6"/>
      <c r="Q2203" s="483">
        <v>12</v>
      </c>
      <c r="R2203" s="704">
        <f>Q2203*J2203</f>
        <v>12</v>
      </c>
      <c r="S2203" s="490">
        <v>1000</v>
      </c>
      <c r="T2203" s="1176">
        <f>S2203*J2203</f>
        <v>1000</v>
      </c>
      <c r="U2203" s="501"/>
      <c r="V2203" s="494">
        <v>120</v>
      </c>
      <c r="W2203" s="2041">
        <f t="shared" si="120"/>
        <v>0.30555555555555558</v>
      </c>
    </row>
    <row r="2204" spans="2:23" s="314" customFormat="1" ht="15.75">
      <c r="B2204" s="313"/>
      <c r="C2204" s="302" t="s">
        <v>5510</v>
      </c>
      <c r="D2204" s="303" t="s">
        <v>983</v>
      </c>
      <c r="E2204" s="304"/>
      <c r="F2204" s="305"/>
      <c r="G2204" s="682" t="s">
        <v>2238</v>
      </c>
      <c r="H2204" s="307" t="s">
        <v>1243</v>
      </c>
      <c r="I2204" s="308"/>
      <c r="J2204" s="306"/>
      <c r="K2204" s="329">
        <v>68</v>
      </c>
      <c r="L2204" s="329">
        <v>68</v>
      </c>
      <c r="M2204" s="310"/>
      <c r="N2204" s="310">
        <v>44958</v>
      </c>
      <c r="O2204" s="309">
        <v>4949</v>
      </c>
      <c r="P2204" s="685"/>
      <c r="Q2204" s="329">
        <v>68</v>
      </c>
      <c r="R2204" s="329">
        <v>68</v>
      </c>
      <c r="S2204" s="489">
        <v>7768</v>
      </c>
      <c r="T2204" s="489">
        <v>7768</v>
      </c>
      <c r="U2204" s="688"/>
      <c r="V2204" s="494">
        <v>120</v>
      </c>
      <c r="W2204" s="2041">
        <f t="shared" si="120"/>
        <v>4.8039215686274513E-2</v>
      </c>
    </row>
    <row r="2205" spans="2:23" ht="18" customHeight="1">
      <c r="C2205" s="6" t="s">
        <v>5511</v>
      </c>
      <c r="D2205" s="15" t="s">
        <v>2129</v>
      </c>
      <c r="E2205" s="20" t="s">
        <v>260</v>
      </c>
      <c r="F2205" s="44"/>
      <c r="G2205" s="44"/>
      <c r="H2205" s="151"/>
      <c r="I2205" s="151"/>
      <c r="J2205" s="151"/>
      <c r="K2205" s="34" t="s">
        <v>134</v>
      </c>
      <c r="L2205" s="39"/>
      <c r="M2205" s="39"/>
      <c r="N2205" s="39">
        <v>44977</v>
      </c>
      <c r="O2205" s="38">
        <v>4961</v>
      </c>
      <c r="P2205" s="6"/>
      <c r="Q2205" s="524"/>
      <c r="S2205" s="489"/>
      <c r="T2205" s="113"/>
      <c r="U2205" s="501"/>
      <c r="V2205" s="494">
        <v>120</v>
      </c>
      <c r="W2205" s="2041" t="e">
        <f t="shared" si="120"/>
        <v>#VALUE!</v>
      </c>
    </row>
    <row r="2206" spans="2:23" ht="18" customHeight="1">
      <c r="B2206" s="28" t="s">
        <v>1856</v>
      </c>
      <c r="C2206" s="6" t="s">
        <v>5511</v>
      </c>
      <c r="D2206" s="15" t="s">
        <v>2129</v>
      </c>
      <c r="E2206" s="24">
        <v>4141</v>
      </c>
      <c r="F2206" s="44">
        <v>9</v>
      </c>
      <c r="G2206" s="24" t="s">
        <v>2700</v>
      </c>
      <c r="H2206" s="67">
        <v>20</v>
      </c>
      <c r="I2206" s="68">
        <v>3</v>
      </c>
      <c r="J2206" s="8">
        <f>H2206*I2206</f>
        <v>60</v>
      </c>
      <c r="K2206" s="46">
        <v>1.63</v>
      </c>
      <c r="L2206" s="46">
        <f>K2206*J2206</f>
        <v>97.8</v>
      </c>
      <c r="M2206" s="162" t="s">
        <v>2219</v>
      </c>
      <c r="N2206" s="39">
        <v>44977</v>
      </c>
      <c r="O2206" s="38">
        <v>4961</v>
      </c>
      <c r="P2206" s="46">
        <f>K2206*(VLOOKUP(B2206,$C$2:$F$6,3,FALSE))</f>
        <v>1.4343999999999999</v>
      </c>
      <c r="Q2206" s="482">
        <v>1.43</v>
      </c>
      <c r="R2206" s="704">
        <f>Q2206*J2206</f>
        <v>85.8</v>
      </c>
      <c r="S2206" s="489">
        <v>97</v>
      </c>
      <c r="T2206" s="113">
        <f>S2206*J2206</f>
        <v>5820</v>
      </c>
      <c r="U2206" s="1599"/>
      <c r="V2206" s="494">
        <v>120</v>
      </c>
      <c r="W2206" s="2041">
        <f t="shared" si="120"/>
        <v>0.50408997955010226</v>
      </c>
    </row>
    <row r="2207" spans="2:23" ht="18" customHeight="1">
      <c r="B2207" s="28" t="s">
        <v>1856</v>
      </c>
      <c r="C2207" s="6" t="s">
        <v>5511</v>
      </c>
      <c r="D2207" s="15" t="s">
        <v>2129</v>
      </c>
      <c r="E2207" s="24">
        <v>4141</v>
      </c>
      <c r="F2207" s="44">
        <v>9</v>
      </c>
      <c r="G2207" s="24" t="s">
        <v>48</v>
      </c>
      <c r="H2207" s="67">
        <v>20</v>
      </c>
      <c r="I2207" s="68">
        <v>1</v>
      </c>
      <c r="J2207" s="8">
        <f>H2207*I2207</f>
        <v>20</v>
      </c>
      <c r="K2207" s="46">
        <v>1.63</v>
      </c>
      <c r="L2207" s="46">
        <f>K2207*J2207</f>
        <v>32.599999999999994</v>
      </c>
      <c r="M2207" s="162" t="s">
        <v>2219</v>
      </c>
      <c r="N2207" s="39">
        <v>44977</v>
      </c>
      <c r="O2207" s="38">
        <v>4961</v>
      </c>
      <c r="P2207" s="46">
        <f>K2207*(VLOOKUP(B2207,$C$2:$F$6,3,FALSE))</f>
        <v>1.4343999999999999</v>
      </c>
      <c r="Q2207" s="482">
        <v>1.43</v>
      </c>
      <c r="R2207" s="704">
        <f>Q2207*J2207</f>
        <v>28.599999999999998</v>
      </c>
      <c r="S2207" s="489">
        <v>97</v>
      </c>
      <c r="T2207" s="113">
        <f>S2207*J2207</f>
        <v>1940</v>
      </c>
      <c r="U2207" s="1599"/>
      <c r="V2207" s="494">
        <v>120</v>
      </c>
      <c r="W2207" s="2041">
        <f t="shared" si="120"/>
        <v>0.50408997955010226</v>
      </c>
    </row>
    <row r="2208" spans="2:23" ht="18" customHeight="1">
      <c r="B2208" s="28" t="s">
        <v>1856</v>
      </c>
      <c r="C2208" s="6" t="s">
        <v>5511</v>
      </c>
      <c r="D2208" s="15" t="s">
        <v>2129</v>
      </c>
      <c r="E2208" s="24">
        <v>4141</v>
      </c>
      <c r="F2208" s="44">
        <v>9</v>
      </c>
      <c r="G2208" s="24" t="s">
        <v>2701</v>
      </c>
      <c r="H2208" s="67">
        <v>20</v>
      </c>
      <c r="I2208" s="68">
        <v>1</v>
      </c>
      <c r="J2208" s="8">
        <f>H2208*I2208</f>
        <v>20</v>
      </c>
      <c r="K2208" s="46">
        <v>1.63</v>
      </c>
      <c r="L2208" s="46">
        <f>K2208*J2208</f>
        <v>32.599999999999994</v>
      </c>
      <c r="M2208" s="162" t="s">
        <v>2219</v>
      </c>
      <c r="N2208" s="39">
        <v>44977</v>
      </c>
      <c r="O2208" s="38">
        <v>4961</v>
      </c>
      <c r="P2208" s="46">
        <f>K2208*(VLOOKUP(B2208,$C$2:$F$6,3,FALSE))</f>
        <v>1.4343999999999999</v>
      </c>
      <c r="Q2208" s="482">
        <v>1.43</v>
      </c>
      <c r="R2208" s="704">
        <f>Q2208*J2208</f>
        <v>28.599999999999998</v>
      </c>
      <c r="S2208" s="489">
        <v>97</v>
      </c>
      <c r="T2208" s="113">
        <f>S2208*J2208</f>
        <v>1940</v>
      </c>
      <c r="U2208" s="1599"/>
      <c r="V2208" s="494">
        <v>120</v>
      </c>
      <c r="W2208" s="2041">
        <f t="shared" si="120"/>
        <v>0.50408997955010226</v>
      </c>
    </row>
    <row r="2209" spans="1:23" s="7" customFormat="1" ht="15.95" customHeight="1">
      <c r="A2209" s="1"/>
      <c r="B2209" s="12"/>
      <c r="C2209" s="6" t="s">
        <v>5511</v>
      </c>
      <c r="D2209" s="15" t="s">
        <v>2129</v>
      </c>
      <c r="E2209" s="24"/>
      <c r="F2209" s="138"/>
      <c r="G2209" s="44" t="s">
        <v>1993</v>
      </c>
      <c r="H2209" s="8"/>
      <c r="I2209" s="41"/>
      <c r="J2209" s="45">
        <v>1</v>
      </c>
      <c r="K2209" s="46">
        <v>12</v>
      </c>
      <c r="L2209" s="46">
        <f>K2209*J2209</f>
        <v>12</v>
      </c>
      <c r="M2209" s="39"/>
      <c r="N2209" s="39">
        <v>44977</v>
      </c>
      <c r="O2209" s="38">
        <v>4961</v>
      </c>
      <c r="P2209" s="6"/>
      <c r="Q2209" s="483">
        <v>12</v>
      </c>
      <c r="R2209" s="704">
        <f>Q2209*J2209</f>
        <v>12</v>
      </c>
      <c r="S2209" s="490">
        <v>1000</v>
      </c>
      <c r="T2209" s="1176">
        <f>S2209*J2209</f>
        <v>1000</v>
      </c>
      <c r="U2209" s="501"/>
      <c r="V2209" s="494">
        <v>120</v>
      </c>
      <c r="W2209" s="2041">
        <f t="shared" si="120"/>
        <v>0.30555555555555558</v>
      </c>
    </row>
    <row r="2210" spans="1:23" s="314" customFormat="1" ht="15.6" customHeight="1">
      <c r="B2210" s="313"/>
      <c r="C2210" s="302" t="s">
        <v>5511</v>
      </c>
      <c r="D2210" s="303" t="s">
        <v>2129</v>
      </c>
      <c r="E2210" s="371"/>
      <c r="F2210" s="305"/>
      <c r="G2210" s="305" t="s">
        <v>1227</v>
      </c>
      <c r="H2210" s="307" t="s">
        <v>1228</v>
      </c>
      <c r="I2210" s="308"/>
      <c r="J2210" s="306"/>
      <c r="K2210" s="315">
        <v>0</v>
      </c>
      <c r="L2210" s="310"/>
      <c r="M2210" s="310"/>
      <c r="N2210" s="310">
        <v>44977</v>
      </c>
      <c r="O2210" s="309">
        <v>4961</v>
      </c>
      <c r="P2210" s="302"/>
      <c r="Q2210" s="531">
        <v>0</v>
      </c>
      <c r="S2210" s="535">
        <v>0</v>
      </c>
      <c r="T2210" s="322">
        <v>0</v>
      </c>
      <c r="U2210" s="1115"/>
      <c r="V2210" s="494">
        <v>120</v>
      </c>
      <c r="W2210" s="2041" t="e">
        <f t="shared" si="120"/>
        <v>#DIV/0!</v>
      </c>
    </row>
    <row r="2211" spans="1:23" s="7" customFormat="1" ht="17.25" customHeight="1">
      <c r="B2211" s="12"/>
      <c r="C2211" s="6" t="s">
        <v>5516</v>
      </c>
      <c r="D2211" s="15" t="s">
        <v>5517</v>
      </c>
      <c r="E2211" s="20" t="s">
        <v>1092</v>
      </c>
      <c r="F2211" s="150"/>
      <c r="G2211" s="24"/>
      <c r="H2211" s="151"/>
      <c r="I2211" s="152"/>
      <c r="J2211" s="151"/>
      <c r="K2211" s="34" t="s">
        <v>10</v>
      </c>
      <c r="L2211" s="213"/>
      <c r="M2211" s="39"/>
      <c r="N2211" s="39">
        <v>44958</v>
      </c>
      <c r="O2211" s="38">
        <v>4948</v>
      </c>
      <c r="P2211" s="15"/>
      <c r="Q2211" s="703"/>
      <c r="U2211" s="15"/>
      <c r="V2211" s="494">
        <v>120</v>
      </c>
      <c r="W2211" s="2041" t="e">
        <f t="shared" si="120"/>
        <v>#VALUE!</v>
      </c>
    </row>
    <row r="2212" spans="1:23" s="7" customFormat="1" ht="18" customHeight="1">
      <c r="B2212" s="12" t="s">
        <v>1858</v>
      </c>
      <c r="C2212" s="6" t="s">
        <v>5516</v>
      </c>
      <c r="D2212" s="15" t="s">
        <v>5517</v>
      </c>
      <c r="E2212" s="24" t="s">
        <v>1093</v>
      </c>
      <c r="F2212" s="150">
        <v>150</v>
      </c>
      <c r="G2212" s="44" t="s">
        <v>3635</v>
      </c>
      <c r="H2212" s="151"/>
      <c r="I2212" s="152"/>
      <c r="J2212" s="8">
        <v>10</v>
      </c>
      <c r="K2212" s="46">
        <v>7.09</v>
      </c>
      <c r="L2212" s="46">
        <f>K2212*J2212</f>
        <v>70.900000000000006</v>
      </c>
      <c r="M2212" s="162" t="s">
        <v>2607</v>
      </c>
      <c r="N2212" s="39">
        <v>44958</v>
      </c>
      <c r="O2212" s="38">
        <v>4948</v>
      </c>
      <c r="P2212" s="46">
        <f>K2212*(VLOOKUP(B2212,$C$2:$F$6,3,FALSE))</f>
        <v>6.6645999999999992</v>
      </c>
      <c r="Q2212" s="703">
        <v>6.66</v>
      </c>
      <c r="R2212" s="703">
        <f>Q2212*J2212</f>
        <v>66.599999999999994</v>
      </c>
      <c r="S2212" s="7">
        <v>510</v>
      </c>
      <c r="T2212" s="7">
        <f>S2212*J2212</f>
        <v>5100</v>
      </c>
      <c r="U2212" s="23"/>
      <c r="V2212" s="494">
        <v>120</v>
      </c>
      <c r="W2212" s="2041">
        <f t="shared" si="120"/>
        <v>0.4005641748942172</v>
      </c>
    </row>
    <row r="2213" spans="1:23" s="7" customFormat="1" ht="18" customHeight="1">
      <c r="B2213" s="12" t="s">
        <v>1858</v>
      </c>
      <c r="C2213" s="6" t="s">
        <v>5516</v>
      </c>
      <c r="D2213" s="15" t="s">
        <v>5517</v>
      </c>
      <c r="E2213" s="24" t="s">
        <v>1093</v>
      </c>
      <c r="F2213" s="150">
        <v>150</v>
      </c>
      <c r="G2213" s="44" t="s">
        <v>333</v>
      </c>
      <c r="H2213" s="151"/>
      <c r="I2213" s="152"/>
      <c r="J2213" s="8">
        <v>10</v>
      </c>
      <c r="K2213" s="46">
        <v>7.09</v>
      </c>
      <c r="L2213" s="46">
        <f>K2213*J2213</f>
        <v>70.900000000000006</v>
      </c>
      <c r="M2213" s="162" t="s">
        <v>2607</v>
      </c>
      <c r="N2213" s="39">
        <v>44958</v>
      </c>
      <c r="O2213" s="38">
        <v>4948</v>
      </c>
      <c r="P2213" s="46">
        <f>K2213*(VLOOKUP(B2213,$C$2:$F$6,3,FALSE))</f>
        <v>6.6645999999999992</v>
      </c>
      <c r="Q2213" s="703">
        <v>6.66</v>
      </c>
      <c r="R2213" s="703">
        <f>Q2213*J2213</f>
        <v>66.599999999999994</v>
      </c>
      <c r="S2213" s="7">
        <v>510</v>
      </c>
      <c r="T2213" s="7">
        <f>S2213*J2213</f>
        <v>5100</v>
      </c>
      <c r="U2213" s="23"/>
      <c r="V2213" s="494">
        <v>120</v>
      </c>
      <c r="W2213" s="2041">
        <f t="shared" si="120"/>
        <v>0.4005641748942172</v>
      </c>
    </row>
    <row r="2214" spans="1:23" s="7" customFormat="1" ht="15.95" customHeight="1">
      <c r="B2214" s="12"/>
      <c r="C2214" s="6" t="s">
        <v>5516</v>
      </c>
      <c r="D2214" s="15" t="s">
        <v>5517</v>
      </c>
      <c r="E2214" s="24"/>
      <c r="F2214" s="138"/>
      <c r="G2214" s="44" t="s">
        <v>1075</v>
      </c>
      <c r="H2214" s="8"/>
      <c r="I2214" s="41"/>
      <c r="J2214" s="45">
        <v>2</v>
      </c>
      <c r="K2214" s="46">
        <v>12</v>
      </c>
      <c r="L2214" s="46">
        <f>K2214*J2214</f>
        <v>24</v>
      </c>
      <c r="M2214" s="39"/>
      <c r="N2214" s="39">
        <v>44958</v>
      </c>
      <c r="O2214" s="38">
        <v>4948</v>
      </c>
      <c r="P2214" s="6"/>
      <c r="Q2214" s="483">
        <v>12</v>
      </c>
      <c r="R2214" s="704">
        <f>Q2214*J2214</f>
        <v>24</v>
      </c>
      <c r="S2214" s="489">
        <v>1000</v>
      </c>
      <c r="T2214" s="113">
        <f>S2214*J2214</f>
        <v>2000</v>
      </c>
      <c r="U2214" s="501"/>
      <c r="V2214" s="494">
        <v>120</v>
      </c>
      <c r="W2214" s="2041">
        <f t="shared" si="120"/>
        <v>0.30555555555555558</v>
      </c>
    </row>
    <row r="2215" spans="1:23" s="7" customFormat="1" ht="15.95" customHeight="1">
      <c r="B2215" s="12"/>
      <c r="C2215" s="6" t="s">
        <v>5516</v>
      </c>
      <c r="D2215" s="15" t="s">
        <v>5517</v>
      </c>
      <c r="E2215" s="24"/>
      <c r="F2215" s="138"/>
      <c r="G2215" s="44" t="s">
        <v>1993</v>
      </c>
      <c r="H2215" s="8"/>
      <c r="I2215" s="41"/>
      <c r="J2215" s="45">
        <v>1</v>
      </c>
      <c r="K2215" s="46">
        <v>20</v>
      </c>
      <c r="L2215" s="46">
        <f>K2215*J2215</f>
        <v>20</v>
      </c>
      <c r="M2215" s="39"/>
      <c r="N2215" s="39">
        <v>44958</v>
      </c>
      <c r="O2215" s="38">
        <v>4948</v>
      </c>
      <c r="P2215" s="6"/>
      <c r="Q2215" s="483">
        <v>20</v>
      </c>
      <c r="R2215" s="704">
        <f>Q2215*J2215</f>
        <v>20</v>
      </c>
      <c r="S2215" s="489">
        <v>1000</v>
      </c>
      <c r="T2215" s="113">
        <f>S2215*J2215</f>
        <v>1000</v>
      </c>
      <c r="U2215" s="501"/>
      <c r="V2215" s="494">
        <v>120</v>
      </c>
      <c r="W2215" s="2041">
        <f t="shared" si="120"/>
        <v>0.58333333333333337</v>
      </c>
    </row>
    <row r="2216" spans="1:23" s="314" customFormat="1" ht="15">
      <c r="B2216" s="313"/>
      <c r="C2216" s="302" t="s">
        <v>5516</v>
      </c>
      <c r="D2216" s="303" t="s">
        <v>5517</v>
      </c>
      <c r="E2216" s="304"/>
      <c r="F2216" s="305"/>
      <c r="G2216" s="305" t="s">
        <v>1227</v>
      </c>
      <c r="H2216" s="307" t="s">
        <v>1243</v>
      </c>
      <c r="I2216" s="308"/>
      <c r="J2216" s="306"/>
      <c r="K2216" s="329">
        <v>43</v>
      </c>
      <c r="L2216" s="329">
        <v>43</v>
      </c>
      <c r="M2216" s="310"/>
      <c r="N2216" s="310">
        <v>44958</v>
      </c>
      <c r="O2216" s="309">
        <v>4948</v>
      </c>
      <c r="P2216" s="685"/>
      <c r="Q2216" s="329">
        <v>43</v>
      </c>
      <c r="R2216" s="329">
        <v>43</v>
      </c>
      <c r="S2216" s="489">
        <v>4843</v>
      </c>
      <c r="T2216" s="489">
        <v>4843</v>
      </c>
      <c r="U2216" s="688"/>
      <c r="V2216" s="494">
        <v>120</v>
      </c>
      <c r="W2216" s="2041">
        <f t="shared" si="120"/>
        <v>6.1434108527131784E-2</v>
      </c>
    </row>
    <row r="2217" spans="1:23" s="7" customFormat="1" ht="15">
      <c r="A2217" s="1"/>
      <c r="B2217" s="12"/>
      <c r="C2217" s="6" t="s">
        <v>5560</v>
      </c>
      <c r="D2217" s="61" t="s">
        <v>1126</v>
      </c>
      <c r="E2217" s="20" t="s">
        <v>902</v>
      </c>
      <c r="F2217" s="26"/>
      <c r="G2217" s="24"/>
      <c r="H2217" s="36"/>
      <c r="I2217" s="68"/>
      <c r="J2217" s="67"/>
      <c r="K2217" s="17" t="s">
        <v>10</v>
      </c>
      <c r="L2217" s="11"/>
      <c r="M2217" s="11"/>
      <c r="N2217" s="39">
        <v>44963</v>
      </c>
      <c r="O2217" s="38">
        <v>4963</v>
      </c>
      <c r="P2217" s="6"/>
      <c r="Q2217" s="482"/>
      <c r="S2217" s="489"/>
      <c r="T2217" s="113"/>
      <c r="U2217" s="500"/>
      <c r="V2217" s="494">
        <v>120</v>
      </c>
      <c r="W2217" s="2041" t="e">
        <f t="shared" si="120"/>
        <v>#VALUE!</v>
      </c>
    </row>
    <row r="2218" spans="1:23" s="7" customFormat="1" ht="15.75">
      <c r="A2218" s="1"/>
      <c r="B2218" s="12" t="s">
        <v>1856</v>
      </c>
      <c r="C2218" s="6" t="s">
        <v>5560</v>
      </c>
      <c r="D2218" s="61" t="s">
        <v>1126</v>
      </c>
      <c r="E2218" s="24">
        <v>3709</v>
      </c>
      <c r="F2218" s="26">
        <v>19</v>
      </c>
      <c r="G2218" s="24" t="s">
        <v>2610</v>
      </c>
      <c r="H2218" s="8">
        <v>30</v>
      </c>
      <c r="I2218" s="41">
        <v>1</v>
      </c>
      <c r="J2218" s="8">
        <f>H2218*I2218</f>
        <v>30</v>
      </c>
      <c r="K2218" s="25">
        <v>0.77</v>
      </c>
      <c r="L2218" s="46">
        <f>K2218*J2218</f>
        <v>23.1</v>
      </c>
      <c r="M2218" s="162" t="s">
        <v>2219</v>
      </c>
      <c r="N2218" s="39">
        <v>44963</v>
      </c>
      <c r="O2218" s="38">
        <v>4963</v>
      </c>
      <c r="P2218" s="46">
        <f>K2218*(VLOOKUP(B2218,$C$2:$F$6,3,FALSE))</f>
        <v>0.67759999999999998</v>
      </c>
      <c r="Q2218" s="482">
        <v>0.68</v>
      </c>
      <c r="R2218" s="704">
        <f>Q2218*J2218</f>
        <v>20.400000000000002</v>
      </c>
      <c r="S2218" s="489">
        <v>41.4</v>
      </c>
      <c r="T2218" s="567">
        <f>S2218*J2218</f>
        <v>1242</v>
      </c>
      <c r="U2218" s="500"/>
      <c r="V2218" s="494">
        <v>120</v>
      </c>
      <c r="W2218" s="2041">
        <f t="shared" si="120"/>
        <v>0.55194805194805197</v>
      </c>
    </row>
    <row r="2219" spans="1:23" s="7" customFormat="1" ht="15">
      <c r="B2219" s="12"/>
      <c r="C2219" s="6" t="s">
        <v>5560</v>
      </c>
      <c r="D2219" s="61" t="s">
        <v>1126</v>
      </c>
      <c r="E2219" s="20" t="s">
        <v>344</v>
      </c>
      <c r="F2219" s="26"/>
      <c r="G2219" s="24"/>
      <c r="H2219" s="67"/>
      <c r="I2219" s="68"/>
      <c r="J2219" s="67"/>
      <c r="K2219" s="17" t="s">
        <v>134</v>
      </c>
      <c r="L2219" s="39"/>
      <c r="M2219" s="39"/>
      <c r="N2219" s="39">
        <v>44963</v>
      </c>
      <c r="O2219" s="38">
        <v>4963</v>
      </c>
      <c r="P2219" s="6" t="s">
        <v>23</v>
      </c>
      <c r="Q2219" s="481"/>
      <c r="S2219" s="489"/>
      <c r="T2219" s="113"/>
      <c r="U2219" s="500"/>
      <c r="V2219" s="494">
        <v>120</v>
      </c>
      <c r="W2219" s="2041" t="e">
        <f t="shared" si="120"/>
        <v>#VALUE!</v>
      </c>
    </row>
    <row r="2220" spans="1:23" s="7" customFormat="1" ht="15.75">
      <c r="B2220" s="12" t="s">
        <v>1856</v>
      </c>
      <c r="C2220" s="6" t="s">
        <v>5560</v>
      </c>
      <c r="D2220" s="61" t="s">
        <v>1126</v>
      </c>
      <c r="E2220" s="24">
        <v>14552</v>
      </c>
      <c r="F2220" s="26">
        <v>18</v>
      </c>
      <c r="G2220" s="24" t="s">
        <v>45</v>
      </c>
      <c r="H2220" s="151">
        <v>30</v>
      </c>
      <c r="I2220" s="152">
        <v>1</v>
      </c>
      <c r="J2220" s="67">
        <f>H2220*I2220</f>
        <v>30</v>
      </c>
      <c r="K2220" s="25">
        <v>1</v>
      </c>
      <c r="L2220" s="46">
        <f>K2220*J2220</f>
        <v>30</v>
      </c>
      <c r="M2220" s="162" t="s">
        <v>2219</v>
      </c>
      <c r="N2220" s="39">
        <v>44963</v>
      </c>
      <c r="O2220" s="38">
        <v>4963</v>
      </c>
      <c r="P2220" s="46">
        <f>K2220*(VLOOKUP(B2220,$C$2:$F$6,3,FALSE))</f>
        <v>0.88</v>
      </c>
      <c r="Q2220" s="482">
        <v>0.88</v>
      </c>
      <c r="R2220" s="704">
        <f>Q2220*J2220</f>
        <v>26.4</v>
      </c>
      <c r="S2220" s="489">
        <v>60</v>
      </c>
      <c r="T2220" s="567">
        <f>S2220*J2220</f>
        <v>1800</v>
      </c>
      <c r="U2220" s="1784"/>
      <c r="V2220" s="494">
        <v>120</v>
      </c>
      <c r="W2220" s="2041">
        <f t="shared" si="120"/>
        <v>0.5</v>
      </c>
    </row>
    <row r="2221" spans="1:23" s="7" customFormat="1" ht="15.95" customHeight="1">
      <c r="B2221" s="12"/>
      <c r="C2221" s="6" t="s">
        <v>5560</v>
      </c>
      <c r="D2221" s="61" t="s">
        <v>1126</v>
      </c>
      <c r="E2221" s="24"/>
      <c r="F2221" s="138"/>
      <c r="G2221" s="44" t="s">
        <v>1993</v>
      </c>
      <c r="H2221" s="8"/>
      <c r="I2221" s="41"/>
      <c r="J2221" s="45">
        <v>1</v>
      </c>
      <c r="K2221" s="46">
        <v>12</v>
      </c>
      <c r="L2221" s="46">
        <f>K2221*J2221</f>
        <v>12</v>
      </c>
      <c r="M2221" s="39"/>
      <c r="N2221" s="39">
        <v>44963</v>
      </c>
      <c r="O2221" s="38">
        <v>4963</v>
      </c>
      <c r="P2221" s="6"/>
      <c r="Q2221" s="483">
        <v>12</v>
      </c>
      <c r="R2221" s="704">
        <f>Q2221*J2221</f>
        <v>12</v>
      </c>
      <c r="S2221" s="490">
        <v>0</v>
      </c>
      <c r="T2221" s="1176">
        <f>S2221*J2221</f>
        <v>0</v>
      </c>
      <c r="U2221" s="501"/>
      <c r="V2221" s="494">
        <v>120</v>
      </c>
      <c r="W2221" s="2041">
        <f t="shared" si="120"/>
        <v>1</v>
      </c>
    </row>
    <row r="2222" spans="1:23" s="314" customFormat="1" ht="15.6" customHeight="1">
      <c r="B2222" s="313"/>
      <c r="C2222" s="302" t="s">
        <v>5560</v>
      </c>
      <c r="D2222" s="592" t="s">
        <v>1126</v>
      </c>
      <c r="E2222" s="371"/>
      <c r="F2222" s="305"/>
      <c r="G2222" s="305" t="s">
        <v>1227</v>
      </c>
      <c r="H2222" s="307" t="s">
        <v>1228</v>
      </c>
      <c r="I2222" s="308"/>
      <c r="J2222" s="306"/>
      <c r="K2222" s="315">
        <v>0</v>
      </c>
      <c r="L2222" s="310"/>
      <c r="M2222" s="310"/>
      <c r="N2222" s="310">
        <v>44963</v>
      </c>
      <c r="O2222" s="309">
        <v>4963</v>
      </c>
      <c r="P2222" s="302"/>
      <c r="Q2222" s="531">
        <v>0</v>
      </c>
      <c r="S2222" s="535">
        <v>0</v>
      </c>
      <c r="T2222" s="322">
        <v>0</v>
      </c>
      <c r="U2222" s="1115"/>
      <c r="V2222" s="494">
        <v>120</v>
      </c>
      <c r="W2222" s="2041" t="e">
        <f t="shared" si="120"/>
        <v>#DIV/0!</v>
      </c>
    </row>
    <row r="2223" spans="1:23" s="7" customFormat="1" ht="18" customHeight="1">
      <c r="B2223" s="12"/>
      <c r="C2223" s="6" t="s">
        <v>5597</v>
      </c>
      <c r="D2223" s="15" t="s">
        <v>2451</v>
      </c>
      <c r="E2223" s="20" t="s">
        <v>79</v>
      </c>
      <c r="F2223" s="150"/>
      <c r="G2223" s="24"/>
      <c r="H2223" s="151"/>
      <c r="I2223" s="152"/>
      <c r="J2223" s="151"/>
      <c r="K2223" s="34" t="s">
        <v>10</v>
      </c>
      <c r="L2223" s="39"/>
      <c r="M2223" s="39"/>
      <c r="N2223" s="39">
        <v>44988</v>
      </c>
      <c r="O2223" s="38">
        <v>5018</v>
      </c>
      <c r="P2223" s="15"/>
      <c r="Q2223" s="483"/>
      <c r="S2223" s="489"/>
      <c r="T2223" s="113"/>
      <c r="U2223" s="506"/>
      <c r="V2223" s="494">
        <v>120</v>
      </c>
      <c r="W2223" s="2041" t="e">
        <f t="shared" si="120"/>
        <v>#VALUE!</v>
      </c>
    </row>
    <row r="2224" spans="1:23" s="7" customFormat="1" ht="15" customHeight="1">
      <c r="B2224" s="12" t="s">
        <v>1858</v>
      </c>
      <c r="C2224" s="6" t="s">
        <v>5597</v>
      </c>
      <c r="D2224" s="15" t="s">
        <v>2451</v>
      </c>
      <c r="E2224" s="24">
        <v>2440</v>
      </c>
      <c r="F2224" s="150">
        <v>140</v>
      </c>
      <c r="G2224" s="24" t="s">
        <v>114</v>
      </c>
      <c r="H2224" s="8">
        <v>58</v>
      </c>
      <c r="I2224" s="41">
        <v>3</v>
      </c>
      <c r="J2224" s="67">
        <f>H2224*I2224</f>
        <v>174</v>
      </c>
      <c r="K2224" s="46">
        <v>4.7300000000000004</v>
      </c>
      <c r="L2224" s="46">
        <f>K2224*J2224</f>
        <v>823.0200000000001</v>
      </c>
      <c r="M2224" s="162" t="s">
        <v>2219</v>
      </c>
      <c r="N2224" s="39">
        <v>44988</v>
      </c>
      <c r="O2224" s="38">
        <v>5018</v>
      </c>
      <c r="P2224" s="46">
        <v>3.86</v>
      </c>
      <c r="Q2224" s="483">
        <v>3.86</v>
      </c>
      <c r="R2224" s="704">
        <f>Q2224*J2224</f>
        <v>671.64</v>
      </c>
      <c r="S2224" s="489">
        <v>280</v>
      </c>
      <c r="T2224" s="567">
        <f>S2224*J2224</f>
        <v>48720</v>
      </c>
      <c r="U2224" s="882"/>
      <c r="V2224" s="494">
        <v>120</v>
      </c>
      <c r="W2224" s="2041">
        <f t="shared" si="120"/>
        <v>0.50669485553206484</v>
      </c>
    </row>
    <row r="2225" spans="1:23" s="7" customFormat="1" ht="15" customHeight="1">
      <c r="B2225" s="12" t="s">
        <v>1858</v>
      </c>
      <c r="C2225" s="6" t="s">
        <v>5597</v>
      </c>
      <c r="D2225" s="15" t="s">
        <v>2451</v>
      </c>
      <c r="E2225" s="24">
        <v>2440</v>
      </c>
      <c r="F2225" s="150">
        <v>140</v>
      </c>
      <c r="G2225" s="24" t="s">
        <v>5566</v>
      </c>
      <c r="H2225" s="8">
        <v>58</v>
      </c>
      <c r="I2225" s="41">
        <v>3</v>
      </c>
      <c r="J2225" s="67">
        <f>H2225*I2225</f>
        <v>174</v>
      </c>
      <c r="K2225" s="46">
        <v>4.7300000000000004</v>
      </c>
      <c r="L2225" s="46">
        <f>K2225*J2225</f>
        <v>823.0200000000001</v>
      </c>
      <c r="M2225" s="162" t="s">
        <v>2219</v>
      </c>
      <c r="N2225" s="39">
        <v>44988</v>
      </c>
      <c r="O2225" s="38">
        <v>5018</v>
      </c>
      <c r="P2225" s="46">
        <v>3.86</v>
      </c>
      <c r="Q2225" s="483">
        <v>3.86</v>
      </c>
      <c r="R2225" s="704">
        <f>Q2225*J2225</f>
        <v>671.64</v>
      </c>
      <c r="S2225" s="489">
        <v>280</v>
      </c>
      <c r="T2225" s="567">
        <f>S2225*J2225</f>
        <v>48720</v>
      </c>
      <c r="U2225" s="882"/>
      <c r="V2225" s="494">
        <v>120</v>
      </c>
      <c r="W2225" s="2041">
        <f t="shared" si="120"/>
        <v>0.50669485553206484</v>
      </c>
    </row>
    <row r="2226" spans="1:23" s="7" customFormat="1" ht="15.95" customHeight="1">
      <c r="B2226" s="12"/>
      <c r="C2226" s="6" t="s">
        <v>5597</v>
      </c>
      <c r="D2226" s="15" t="s">
        <v>2451</v>
      </c>
      <c r="E2226" s="24"/>
      <c r="F2226" s="138"/>
      <c r="G2226" s="44" t="s">
        <v>1993</v>
      </c>
      <c r="H2226" s="8"/>
      <c r="I2226" s="41"/>
      <c r="J2226" s="45">
        <v>1</v>
      </c>
      <c r="K2226" s="46">
        <v>20</v>
      </c>
      <c r="L2226" s="46">
        <v>0</v>
      </c>
      <c r="M2226" s="39"/>
      <c r="N2226" s="39">
        <v>44988</v>
      </c>
      <c r="O2226" s="38">
        <v>5018</v>
      </c>
      <c r="P2226" s="6"/>
      <c r="Q2226" s="483">
        <v>20</v>
      </c>
      <c r="R2226" s="483">
        <v>20</v>
      </c>
      <c r="S2226" s="489">
        <v>1800</v>
      </c>
      <c r="T2226" s="113">
        <f>S2226*J2226</f>
        <v>1800</v>
      </c>
      <c r="U2226" s="501"/>
      <c r="V2226" s="494">
        <v>120</v>
      </c>
      <c r="W2226" s="2041">
        <f t="shared" si="120"/>
        <v>0.25</v>
      </c>
    </row>
    <row r="2227" spans="1:23" s="378" customFormat="1" ht="15" customHeight="1">
      <c r="B2227" s="312"/>
      <c r="C2227" s="302" t="s">
        <v>5597</v>
      </c>
      <c r="D2227" s="303" t="s">
        <v>2451</v>
      </c>
      <c r="E2227" s="304"/>
      <c r="F2227" s="305"/>
      <c r="G2227" s="305" t="s">
        <v>2371</v>
      </c>
      <c r="H2227" s="307" t="s">
        <v>5567</v>
      </c>
      <c r="I2227" s="308"/>
      <c r="J2227" s="306">
        <f>SUM(J2224:J2225)</f>
        <v>348</v>
      </c>
      <c r="K2227" s="315">
        <f>0.63*J2227</f>
        <v>219.24</v>
      </c>
      <c r="L2227" s="310"/>
      <c r="M2227" s="310"/>
      <c r="N2227" s="310">
        <v>44988</v>
      </c>
      <c r="O2227" s="309">
        <v>5018</v>
      </c>
      <c r="P2227" s="302"/>
      <c r="Q2227" s="315">
        <f>219.24-Q2226</f>
        <v>199.24</v>
      </c>
      <c r="R2227" s="315">
        <f>219.24-R2226</f>
        <v>199.24</v>
      </c>
      <c r="S2227" s="537">
        <f>14713+3333</f>
        <v>18046</v>
      </c>
      <c r="T2227" s="537">
        <f>14713+3333</f>
        <v>18046</v>
      </c>
      <c r="U2227" s="515"/>
      <c r="V2227" s="494">
        <v>120</v>
      </c>
      <c r="W2227" s="2041">
        <f t="shared" si="120"/>
        <v>0.31406981694338026</v>
      </c>
    </row>
    <row r="2228" spans="1:23" s="7" customFormat="1" ht="17.25" customHeight="1">
      <c r="B2228" s="12"/>
      <c r="C2228" s="6" t="s">
        <v>5565</v>
      </c>
      <c r="D2228" s="15" t="s">
        <v>5517</v>
      </c>
      <c r="E2228" s="20" t="s">
        <v>1092</v>
      </c>
      <c r="F2228" s="150"/>
      <c r="G2228" s="24"/>
      <c r="H2228" s="151"/>
      <c r="I2228" s="152"/>
      <c r="J2228" s="151"/>
      <c r="K2228" s="34" t="s">
        <v>10</v>
      </c>
      <c r="L2228" s="213"/>
      <c r="M2228" s="39"/>
      <c r="N2228" s="39">
        <v>44965</v>
      </c>
      <c r="O2228" s="38">
        <v>4973</v>
      </c>
      <c r="P2228" s="15"/>
      <c r="Q2228" s="703"/>
      <c r="U2228" s="15"/>
      <c r="V2228" s="494">
        <v>120</v>
      </c>
      <c r="W2228" s="2041" t="e">
        <f t="shared" ref="W2228:W2291" si="121">(((K2228*V2228)-S2228)/(K2228*V2228))</f>
        <v>#VALUE!</v>
      </c>
    </row>
    <row r="2229" spans="1:23" s="7" customFormat="1" ht="18" customHeight="1">
      <c r="B2229" s="12" t="s">
        <v>1858</v>
      </c>
      <c r="C2229" s="6" t="s">
        <v>5565</v>
      </c>
      <c r="D2229" s="15" t="s">
        <v>5517</v>
      </c>
      <c r="E2229" s="24" t="s">
        <v>1093</v>
      </c>
      <c r="F2229" s="150">
        <v>150</v>
      </c>
      <c r="G2229" s="44" t="s">
        <v>3635</v>
      </c>
      <c r="H2229" s="151"/>
      <c r="I2229" s="152">
        <v>1</v>
      </c>
      <c r="J2229" s="8">
        <v>55</v>
      </c>
      <c r="K2229" s="46">
        <v>7.09</v>
      </c>
      <c r="L2229" s="46">
        <f>K2229*J2229</f>
        <v>389.95</v>
      </c>
      <c r="M2229" s="162" t="s">
        <v>2607</v>
      </c>
      <c r="N2229" s="39">
        <v>44965</v>
      </c>
      <c r="O2229" s="38">
        <v>4973</v>
      </c>
      <c r="P2229" s="46">
        <f>K2229*(VLOOKUP(B2229,$C$2:$F$6,3,FALSE))</f>
        <v>6.6645999999999992</v>
      </c>
      <c r="Q2229" s="703">
        <v>6.66</v>
      </c>
      <c r="R2229" s="703">
        <f>Q2229*J2229</f>
        <v>366.3</v>
      </c>
      <c r="S2229" s="7">
        <v>510</v>
      </c>
      <c r="T2229" s="7">
        <f>S2229*J2229</f>
        <v>28050</v>
      </c>
      <c r="U2229" s="23"/>
      <c r="V2229" s="494">
        <v>120</v>
      </c>
      <c r="W2229" s="2041">
        <f t="shared" si="121"/>
        <v>0.4005641748942172</v>
      </c>
    </row>
    <row r="2230" spans="1:23" s="7" customFormat="1" ht="15.95" customHeight="1">
      <c r="B2230" s="12"/>
      <c r="C2230" s="6" t="s">
        <v>5565</v>
      </c>
      <c r="D2230" s="15" t="s">
        <v>5517</v>
      </c>
      <c r="E2230" s="24"/>
      <c r="F2230" s="138"/>
      <c r="G2230" s="44" t="s">
        <v>1993</v>
      </c>
      <c r="H2230" s="8"/>
      <c r="I2230" s="41"/>
      <c r="J2230" s="45">
        <v>1</v>
      </c>
      <c r="K2230" s="46">
        <v>20</v>
      </c>
      <c r="L2230" s="46">
        <f>K2230*J2230</f>
        <v>20</v>
      </c>
      <c r="M2230" s="39"/>
      <c r="N2230" s="39">
        <v>44965</v>
      </c>
      <c r="O2230" s="38">
        <v>4973</v>
      </c>
      <c r="P2230" s="6"/>
      <c r="Q2230" s="483">
        <v>20</v>
      </c>
      <c r="R2230" s="704">
        <f>Q2230*J2230</f>
        <v>20</v>
      </c>
      <c r="S2230" s="489">
        <v>1800</v>
      </c>
      <c r="T2230" s="113">
        <f>S2230*J2230</f>
        <v>1800</v>
      </c>
      <c r="U2230" s="501"/>
      <c r="V2230" s="494">
        <v>120</v>
      </c>
      <c r="W2230" s="2041">
        <f t="shared" si="121"/>
        <v>0.25</v>
      </c>
    </row>
    <row r="2231" spans="1:23" s="314" customFormat="1" ht="15">
      <c r="B2231" s="313"/>
      <c r="C2231" s="302" t="s">
        <v>5565</v>
      </c>
      <c r="D2231" s="303" t="s">
        <v>5517</v>
      </c>
      <c r="E2231" s="304"/>
      <c r="F2231" s="305"/>
      <c r="G2231" s="305" t="s">
        <v>1227</v>
      </c>
      <c r="H2231" s="307" t="s">
        <v>1243</v>
      </c>
      <c r="I2231" s="308"/>
      <c r="J2231" s="306"/>
      <c r="K2231" s="329">
        <v>62</v>
      </c>
      <c r="L2231" s="329">
        <v>62</v>
      </c>
      <c r="M2231" s="310"/>
      <c r="N2231" s="310">
        <v>44965</v>
      </c>
      <c r="O2231" s="309">
        <v>4973</v>
      </c>
      <c r="P2231" s="685"/>
      <c r="Q2231" s="329">
        <v>62</v>
      </c>
      <c r="R2231" s="329">
        <v>62</v>
      </c>
      <c r="S2231" s="489">
        <v>7034</v>
      </c>
      <c r="T2231" s="489">
        <v>7034</v>
      </c>
      <c r="U2231" s="688"/>
      <c r="V2231" s="494">
        <v>120</v>
      </c>
      <c r="W2231" s="2041">
        <f t="shared" si="121"/>
        <v>5.4569892473118282E-2</v>
      </c>
    </row>
    <row r="2232" spans="1:23" s="7" customFormat="1" ht="15" customHeight="1">
      <c r="B2232" s="12"/>
      <c r="C2232" s="6" t="s">
        <v>5570</v>
      </c>
      <c r="D2232" s="15" t="s">
        <v>5608</v>
      </c>
      <c r="E2232" s="20" t="s">
        <v>628</v>
      </c>
      <c r="F2232" s="26"/>
      <c r="G2232" s="24"/>
      <c r="H2232" s="67"/>
      <c r="I2232" s="68"/>
      <c r="J2232" s="67"/>
      <c r="K2232" s="17" t="s">
        <v>134</v>
      </c>
      <c r="L2232" s="39"/>
      <c r="M2232" s="39"/>
      <c r="N2232" s="39">
        <v>44991</v>
      </c>
      <c r="O2232" s="38">
        <v>5017</v>
      </c>
      <c r="P2232" s="179" t="s">
        <v>23</v>
      </c>
      <c r="Q2232" s="438" t="s">
        <v>959</v>
      </c>
      <c r="R2232" s="704"/>
      <c r="S2232" s="489"/>
      <c r="T2232" s="113"/>
      <c r="U2232" s="510"/>
      <c r="V2232" s="494">
        <v>120</v>
      </c>
      <c r="W2232" s="2041" t="e">
        <f t="shared" si="121"/>
        <v>#VALUE!</v>
      </c>
    </row>
    <row r="2233" spans="1:23" s="7" customFormat="1" ht="18" customHeight="1">
      <c r="B2233" s="12" t="s">
        <v>1856</v>
      </c>
      <c r="C2233" s="6" t="s">
        <v>5570</v>
      </c>
      <c r="D2233" s="15" t="s">
        <v>5608</v>
      </c>
      <c r="E2233" s="24">
        <v>5291</v>
      </c>
      <c r="F2233" s="26">
        <v>6</v>
      </c>
      <c r="G2233" s="24" t="s">
        <v>3473</v>
      </c>
      <c r="H2233" s="67">
        <v>50</v>
      </c>
      <c r="I2233" s="68">
        <v>15</v>
      </c>
      <c r="J2233" s="67">
        <f>H2233*I2233</f>
        <v>750</v>
      </c>
      <c r="K2233" s="46">
        <v>0.4</v>
      </c>
      <c r="L2233" s="46">
        <f>K2233*J2233</f>
        <v>300</v>
      </c>
      <c r="M2233" s="162" t="s">
        <v>2219</v>
      </c>
      <c r="N2233" s="39">
        <v>44991</v>
      </c>
      <c r="O2233" s="38">
        <v>5017</v>
      </c>
      <c r="P2233" s="180">
        <v>0.22</v>
      </c>
      <c r="Q2233" s="180">
        <v>0.22</v>
      </c>
      <c r="R2233" s="704">
        <f>Q2233*J2233</f>
        <v>165</v>
      </c>
      <c r="S2233" s="489">
        <v>13.2</v>
      </c>
      <c r="T2233" s="113">
        <f>S2233*J2233</f>
        <v>9900</v>
      </c>
      <c r="U2233" s="867"/>
      <c r="V2233" s="494">
        <v>120</v>
      </c>
      <c r="W2233" s="2041">
        <f t="shared" si="121"/>
        <v>0.72499999999999998</v>
      </c>
    </row>
    <row r="2234" spans="1:23" ht="15.95" customHeight="1">
      <c r="C2234" s="6" t="s">
        <v>5570</v>
      </c>
      <c r="D2234" s="15" t="s">
        <v>5608</v>
      </c>
      <c r="E2234" s="24"/>
      <c r="F2234" s="138"/>
      <c r="G2234" s="44" t="s">
        <v>1993</v>
      </c>
      <c r="H2234" s="8"/>
      <c r="I2234" s="41"/>
      <c r="J2234" s="45">
        <v>1</v>
      </c>
      <c r="K2234" s="46">
        <v>12</v>
      </c>
      <c r="L2234" s="46">
        <v>0</v>
      </c>
      <c r="M2234" s="112"/>
      <c r="N2234" s="39">
        <v>44991</v>
      </c>
      <c r="O2234" s="38">
        <v>5017</v>
      </c>
      <c r="P2234" s="179"/>
      <c r="Q2234" s="180">
        <v>12</v>
      </c>
      <c r="R2234" s="180">
        <v>12</v>
      </c>
      <c r="S2234" s="498">
        <v>0</v>
      </c>
      <c r="T2234" s="568">
        <f>S2234*J2234</f>
        <v>0</v>
      </c>
      <c r="U2234" s="511"/>
      <c r="V2234" s="494">
        <v>120</v>
      </c>
      <c r="W2234" s="2041">
        <f t="shared" si="121"/>
        <v>1</v>
      </c>
    </row>
    <row r="2235" spans="1:23" s="314" customFormat="1" ht="15" customHeight="1">
      <c r="B2235" s="313"/>
      <c r="C2235" s="302" t="s">
        <v>5570</v>
      </c>
      <c r="D2235" s="303" t="s">
        <v>5608</v>
      </c>
      <c r="E2235" s="304"/>
      <c r="F2235" s="305"/>
      <c r="G2235" s="305" t="s">
        <v>1227</v>
      </c>
      <c r="H2235" s="410"/>
      <c r="I2235" s="308"/>
      <c r="J2235" s="410">
        <v>750</v>
      </c>
      <c r="K2235" s="315">
        <f>0.15*J2235</f>
        <v>112.5</v>
      </c>
      <c r="L2235" s="315"/>
      <c r="M2235" s="784"/>
      <c r="N2235" s="310">
        <v>44991</v>
      </c>
      <c r="O2235" s="309">
        <v>5017</v>
      </c>
      <c r="P2235" s="302"/>
      <c r="Q2235" s="315">
        <f>112.5-Q2234</f>
        <v>100.5</v>
      </c>
      <c r="R2235" s="315">
        <f>112.5-R2234</f>
        <v>100.5</v>
      </c>
      <c r="S2235" s="537">
        <v>12078</v>
      </c>
      <c r="T2235" s="537">
        <v>12078</v>
      </c>
      <c r="U2235" s="1084"/>
      <c r="V2235" s="494">
        <v>120</v>
      </c>
      <c r="W2235" s="2041">
        <f t="shared" si="121"/>
        <v>0.10533333333333333</v>
      </c>
    </row>
    <row r="2236" spans="1:23" s="7" customFormat="1" ht="15" customHeight="1">
      <c r="A2236" s="1"/>
      <c r="B2236" s="12"/>
      <c r="C2236" s="6" t="s">
        <v>5575</v>
      </c>
      <c r="D2236" s="15" t="s">
        <v>5573</v>
      </c>
      <c r="E2236" s="20" t="s">
        <v>628</v>
      </c>
      <c r="F2236" s="26"/>
      <c r="G2236" s="24"/>
      <c r="H2236" s="67"/>
      <c r="I2236" s="68"/>
      <c r="J2236" s="67"/>
      <c r="K2236" s="17" t="s">
        <v>134</v>
      </c>
      <c r="L2236" s="39"/>
      <c r="M2236" s="39"/>
      <c r="N2236" s="39">
        <v>44986</v>
      </c>
      <c r="O2236" s="38">
        <v>5000</v>
      </c>
      <c r="P2236" s="179" t="s">
        <v>23</v>
      </c>
      <c r="Q2236" s="438" t="s">
        <v>959</v>
      </c>
      <c r="S2236" s="489"/>
      <c r="T2236" s="113"/>
      <c r="U2236" s="510"/>
      <c r="V2236" s="494">
        <v>120</v>
      </c>
      <c r="W2236" s="2041" t="e">
        <f t="shared" si="121"/>
        <v>#VALUE!</v>
      </c>
    </row>
    <row r="2237" spans="1:23" s="7" customFormat="1" ht="18" customHeight="1">
      <c r="A2237" s="1"/>
      <c r="B2237" s="12"/>
      <c r="C2237" s="6" t="s">
        <v>5575</v>
      </c>
      <c r="D2237" s="15" t="s">
        <v>5573</v>
      </c>
      <c r="E2237" s="24">
        <v>5291</v>
      </c>
      <c r="F2237" s="26">
        <v>8</v>
      </c>
      <c r="G2237" s="24" t="s">
        <v>499</v>
      </c>
      <c r="H2237" s="67">
        <v>50</v>
      </c>
      <c r="I2237" s="68">
        <v>5</v>
      </c>
      <c r="J2237" s="67">
        <f>H2237*I2237</f>
        <v>250</v>
      </c>
      <c r="K2237" s="46">
        <v>0.77</v>
      </c>
      <c r="L2237" s="46">
        <f>K2237*J2237</f>
        <v>192.5</v>
      </c>
      <c r="M2237" s="162" t="s">
        <v>2219</v>
      </c>
      <c r="N2237" s="39">
        <v>44986</v>
      </c>
      <c r="O2237" s="38">
        <v>5000</v>
      </c>
      <c r="P2237" s="180">
        <v>0.43</v>
      </c>
      <c r="Q2237" s="180">
        <v>0.43</v>
      </c>
      <c r="R2237" s="704">
        <f>Q2237*J2237</f>
        <v>107.5</v>
      </c>
      <c r="S2237" s="489">
        <v>26</v>
      </c>
      <c r="T2237" s="113">
        <f>S2237*J2237</f>
        <v>6500</v>
      </c>
      <c r="U2237" s="511"/>
      <c r="V2237" s="494">
        <v>120</v>
      </c>
      <c r="W2237" s="2041">
        <f t="shared" si="121"/>
        <v>0.7186147186147186</v>
      </c>
    </row>
    <row r="2238" spans="1:23" ht="15.95" customHeight="1">
      <c r="C2238" s="6" t="s">
        <v>5575</v>
      </c>
      <c r="D2238" s="15" t="s">
        <v>5573</v>
      </c>
      <c r="E2238" s="24"/>
      <c r="F2238" s="138"/>
      <c r="G2238" s="24" t="s">
        <v>481</v>
      </c>
      <c r="H2238" s="8"/>
      <c r="I2238" s="41"/>
      <c r="J2238" s="45">
        <v>1</v>
      </c>
      <c r="K2238" s="46">
        <v>0</v>
      </c>
      <c r="L2238" s="46">
        <v>0</v>
      </c>
      <c r="M2238" s="162"/>
      <c r="N2238" s="39">
        <v>44986</v>
      </c>
      <c r="O2238" s="38">
        <v>5000</v>
      </c>
      <c r="P2238" s="179"/>
      <c r="Q2238" s="46">
        <v>12</v>
      </c>
      <c r="R2238" s="46">
        <v>12</v>
      </c>
      <c r="S2238" s="498">
        <v>0</v>
      </c>
      <c r="T2238" s="568">
        <f>S2238*J2238</f>
        <v>0</v>
      </c>
      <c r="U2238" s="511"/>
      <c r="V2238" s="494">
        <v>120</v>
      </c>
      <c r="W2238" s="2041" t="e">
        <f t="shared" si="121"/>
        <v>#DIV/0!</v>
      </c>
    </row>
    <row r="2239" spans="1:23" ht="18" customHeight="1">
      <c r="C2239" s="6" t="s">
        <v>5592</v>
      </c>
      <c r="D2239" s="15" t="s">
        <v>5573</v>
      </c>
      <c r="E2239" s="20" t="s">
        <v>260</v>
      </c>
      <c r="F2239" s="44"/>
      <c r="G2239" s="44"/>
      <c r="H2239" s="151"/>
      <c r="I2239" s="151"/>
      <c r="J2239" s="151"/>
      <c r="K2239" s="34" t="s">
        <v>134</v>
      </c>
      <c r="L2239" s="39"/>
      <c r="M2239" s="39"/>
      <c r="N2239" s="39">
        <v>44986</v>
      </c>
      <c r="O2239" s="38">
        <v>5000</v>
      </c>
      <c r="P2239" s="6"/>
      <c r="Q2239" s="524"/>
      <c r="S2239" s="489"/>
      <c r="T2239" s="113"/>
      <c r="U2239" s="501"/>
      <c r="V2239" s="494">
        <v>120</v>
      </c>
      <c r="W2239" s="2041" t="e">
        <f t="shared" si="121"/>
        <v>#VALUE!</v>
      </c>
    </row>
    <row r="2240" spans="1:23" ht="18" customHeight="1">
      <c r="B2240" s="28" t="s">
        <v>1856</v>
      </c>
      <c r="C2240" s="6" t="s">
        <v>5592</v>
      </c>
      <c r="D2240" s="15" t="s">
        <v>5573</v>
      </c>
      <c r="E2240" s="24">
        <v>4141</v>
      </c>
      <c r="F2240" s="44">
        <v>9</v>
      </c>
      <c r="G2240" s="24" t="s">
        <v>103</v>
      </c>
      <c r="H2240" s="67">
        <v>20</v>
      </c>
      <c r="I2240" s="41">
        <v>1</v>
      </c>
      <c r="J2240" s="8">
        <f>H2240*I2240</f>
        <v>20</v>
      </c>
      <c r="K2240" s="46">
        <v>2.13</v>
      </c>
      <c r="L2240" s="46">
        <f>K2240*J2240</f>
        <v>42.599999999999994</v>
      </c>
      <c r="M2240" s="162" t="s">
        <v>2219</v>
      </c>
      <c r="N2240" s="39">
        <v>44986</v>
      </c>
      <c r="O2240" s="38">
        <v>5000</v>
      </c>
      <c r="P2240" s="180">
        <v>1.43</v>
      </c>
      <c r="Q2240" s="482">
        <v>1.43</v>
      </c>
      <c r="R2240" s="704">
        <f>Q2240*J2240</f>
        <v>28.599999999999998</v>
      </c>
      <c r="S2240" s="489">
        <v>97</v>
      </c>
      <c r="T2240" s="113">
        <f>S2240*J2240</f>
        <v>1940</v>
      </c>
      <c r="U2240" s="1599"/>
      <c r="V2240" s="494">
        <v>120</v>
      </c>
      <c r="W2240" s="2041">
        <f t="shared" si="121"/>
        <v>0.62050078247261342</v>
      </c>
    </row>
    <row r="2241" spans="1:23" ht="17.45" customHeight="1">
      <c r="C2241" s="6" t="s">
        <v>5592</v>
      </c>
      <c r="D2241" s="15" t="s">
        <v>5573</v>
      </c>
      <c r="E2241" s="24"/>
      <c r="F2241" s="138"/>
      <c r="G2241" s="44" t="s">
        <v>1993</v>
      </c>
      <c r="H2241" s="8"/>
      <c r="I2241" s="41"/>
      <c r="J2241" s="45">
        <v>1</v>
      </c>
      <c r="K2241" s="46">
        <v>12</v>
      </c>
      <c r="L2241" s="46">
        <f>K2241*J2241</f>
        <v>12</v>
      </c>
      <c r="M2241" s="112"/>
      <c r="N2241" s="39">
        <v>44986</v>
      </c>
      <c r="O2241" s="38">
        <v>5000</v>
      </c>
      <c r="P2241" s="46"/>
      <c r="Q2241" s="180">
        <v>12</v>
      </c>
      <c r="R2241" s="180">
        <v>12</v>
      </c>
      <c r="S2241" s="498">
        <v>1000</v>
      </c>
      <c r="T2241" s="568">
        <f>S2241*J2241</f>
        <v>1000</v>
      </c>
      <c r="U2241" s="511"/>
      <c r="V2241" s="494">
        <v>120</v>
      </c>
      <c r="W2241" s="2041">
        <f t="shared" si="121"/>
        <v>0.30555555555555558</v>
      </c>
    </row>
    <row r="2242" spans="1:23" s="314" customFormat="1" ht="15" customHeight="1">
      <c r="B2242" s="313"/>
      <c r="C2242" s="302" t="s">
        <v>5575</v>
      </c>
      <c r="D2242" s="303" t="s">
        <v>5572</v>
      </c>
      <c r="E2242" s="304"/>
      <c r="F2242" s="305"/>
      <c r="G2242" s="305" t="s">
        <v>1227</v>
      </c>
      <c r="H2242" s="410"/>
      <c r="I2242" s="308" t="s">
        <v>3018</v>
      </c>
      <c r="J2242" s="410">
        <v>270</v>
      </c>
      <c r="K2242" s="315">
        <f>(0.28*250)+(0.5*20)</f>
        <v>80</v>
      </c>
      <c r="L2242" s="310"/>
      <c r="M2242" s="310"/>
      <c r="N2242" s="310">
        <v>44986</v>
      </c>
      <c r="O2242" s="309">
        <v>5000</v>
      </c>
      <c r="P2242" s="302"/>
      <c r="Q2242" s="315">
        <v>68</v>
      </c>
      <c r="R2242" s="315">
        <v>68</v>
      </c>
      <c r="S2242" s="1142">
        <v>6393</v>
      </c>
      <c r="T2242" s="1142">
        <v>6393</v>
      </c>
      <c r="U2242" s="1115"/>
      <c r="V2242" s="494">
        <v>120</v>
      </c>
      <c r="W2242" s="2041">
        <f t="shared" si="121"/>
        <v>0.33406249999999998</v>
      </c>
    </row>
    <row r="2243" spans="1:23" ht="15">
      <c r="C2243" s="6" t="s">
        <v>5576</v>
      </c>
      <c r="D2243" s="15" t="s">
        <v>1126</v>
      </c>
      <c r="E2243" s="20" t="s">
        <v>1127</v>
      </c>
      <c r="F2243" s="26"/>
      <c r="G2243" s="24"/>
      <c r="H2243" s="67"/>
      <c r="I2243" s="68"/>
      <c r="J2243" s="67"/>
      <c r="K2243" s="17" t="s">
        <v>134</v>
      </c>
      <c r="L2243" s="39"/>
      <c r="M2243" s="39"/>
      <c r="N2243" s="39">
        <v>44978</v>
      </c>
      <c r="O2243" s="38">
        <v>5010</v>
      </c>
      <c r="P2243" s="6"/>
      <c r="Q2243" s="481"/>
      <c r="S2243" s="489"/>
      <c r="T2243" s="113"/>
      <c r="U2243" s="500"/>
      <c r="V2243" s="494">
        <v>120</v>
      </c>
      <c r="W2243" s="2041" t="e">
        <f t="shared" si="121"/>
        <v>#VALUE!</v>
      </c>
    </row>
    <row r="2244" spans="1:23" ht="15.75">
      <c r="B2244" s="28" t="s">
        <v>1856</v>
      </c>
      <c r="C2244" s="6" t="s">
        <v>5576</v>
      </c>
      <c r="D2244" s="15" t="s">
        <v>1126</v>
      </c>
      <c r="E2244" s="24" t="s">
        <v>447</v>
      </c>
      <c r="F2244" s="26"/>
      <c r="G2244" s="24" t="s">
        <v>353</v>
      </c>
      <c r="H2244" s="67">
        <v>50</v>
      </c>
      <c r="I2244" s="68">
        <v>10</v>
      </c>
      <c r="J2244" s="67">
        <f>H2244*I2244</f>
        <v>500</v>
      </c>
      <c r="K2244" s="25">
        <v>0.28999999999999998</v>
      </c>
      <c r="L2244" s="46">
        <f>K2244*J2244</f>
        <v>145</v>
      </c>
      <c r="M2244" s="162" t="s">
        <v>2219</v>
      </c>
      <c r="N2244" s="39">
        <v>44978</v>
      </c>
      <c r="O2244" s="38">
        <v>5010</v>
      </c>
      <c r="P2244" s="46">
        <f>K2244*(VLOOKUP(B2244,$C$2:$F$6,3,FALSE))</f>
        <v>0.25519999999999998</v>
      </c>
      <c r="Q2244" s="483">
        <v>0.26</v>
      </c>
      <c r="R2244" s="704">
        <f>Q2244*J2244</f>
        <v>130</v>
      </c>
      <c r="S2244" s="489">
        <v>16.600000000000001</v>
      </c>
      <c r="T2244" s="113">
        <f>S2244*J2244</f>
        <v>8300</v>
      </c>
      <c r="U2244" s="1863" t="s">
        <v>5577</v>
      </c>
      <c r="V2244" s="494">
        <v>120</v>
      </c>
      <c r="W2244" s="2041">
        <f t="shared" si="121"/>
        <v>0.52298850574712641</v>
      </c>
    </row>
    <row r="2245" spans="1:23" s="7" customFormat="1" ht="15" customHeight="1">
      <c r="A2245" s="1"/>
      <c r="B2245" s="12"/>
      <c r="C2245" s="6" t="s">
        <v>5576</v>
      </c>
      <c r="D2245" s="15" t="s">
        <v>1126</v>
      </c>
      <c r="E2245" s="24"/>
      <c r="F2245" s="44"/>
      <c r="G2245" s="44" t="s">
        <v>1949</v>
      </c>
      <c r="H2245" s="45"/>
      <c r="I2245" s="152" ph="1"/>
      <c r="J2245" s="45">
        <v>1</v>
      </c>
      <c r="K2245" s="46">
        <v>12</v>
      </c>
      <c r="L2245" s="46">
        <f>K2245*J2245</f>
        <v>12</v>
      </c>
      <c r="M2245" s="112"/>
      <c r="N2245" s="39">
        <v>44978</v>
      </c>
      <c r="O2245" s="38">
        <v>5010</v>
      </c>
      <c r="P2245" s="6"/>
      <c r="Q2245" s="483">
        <v>12</v>
      </c>
      <c r="R2245" s="704">
        <f>Q2245*J2245</f>
        <v>12</v>
      </c>
      <c r="S2245" s="489">
        <v>1100</v>
      </c>
      <c r="T2245" s="113">
        <f>S2245*J2245</f>
        <v>1100</v>
      </c>
      <c r="U2245" s="501"/>
      <c r="V2245" s="494">
        <v>120</v>
      </c>
      <c r="W2245" s="2041">
        <f t="shared" si="121"/>
        <v>0.2361111111111111</v>
      </c>
    </row>
    <row r="2246" spans="1:23" s="314" customFormat="1" ht="15" customHeight="1">
      <c r="A2246" s="1"/>
      <c r="B2246" s="313"/>
      <c r="C2246" s="302" t="s">
        <v>5576</v>
      </c>
      <c r="D2246" s="303" t="s">
        <v>1126</v>
      </c>
      <c r="E2246" s="304"/>
      <c r="F2246" s="305"/>
      <c r="G2246" s="305" t="s">
        <v>1227</v>
      </c>
      <c r="H2246" s="307" t="s">
        <v>1228</v>
      </c>
      <c r="I2246" s="308"/>
      <c r="J2246" s="306"/>
      <c r="K2246" s="316">
        <v>0</v>
      </c>
      <c r="L2246" s="310"/>
      <c r="M2246" s="310"/>
      <c r="N2246" s="310">
        <v>44978</v>
      </c>
      <c r="O2246" s="309">
        <v>5010</v>
      </c>
      <c r="P2246" s="302"/>
      <c r="Q2246" s="485">
        <v>0</v>
      </c>
      <c r="S2246" s="536">
        <v>0</v>
      </c>
      <c r="T2246" s="322">
        <v>0</v>
      </c>
      <c r="U2246" s="515"/>
      <c r="V2246" s="494">
        <v>120</v>
      </c>
      <c r="W2246" s="2041" t="e">
        <f t="shared" si="121"/>
        <v>#DIV/0!</v>
      </c>
    </row>
    <row r="2247" spans="1:23" ht="15">
      <c r="C2247" s="6" t="s">
        <v>5580</v>
      </c>
      <c r="D2247" s="15" t="s">
        <v>11</v>
      </c>
      <c r="E2247" s="20" t="s">
        <v>79</v>
      </c>
      <c r="F2247" s="150"/>
      <c r="G2247" s="24"/>
      <c r="H2247" s="151"/>
      <c r="I2247" s="152"/>
      <c r="J2247" s="151"/>
      <c r="K2247" s="153" t="s">
        <v>10</v>
      </c>
      <c r="L2247" s="39"/>
      <c r="M2247" s="39"/>
      <c r="N2247" s="39">
        <v>44992</v>
      </c>
      <c r="O2247" s="38">
        <v>5044</v>
      </c>
      <c r="P2247" s="15"/>
      <c r="Q2247" s="483"/>
      <c r="S2247" s="496"/>
      <c r="T2247" s="113"/>
      <c r="V2247" s="494">
        <v>120</v>
      </c>
      <c r="W2247" s="2041" t="e">
        <f t="shared" si="121"/>
        <v>#VALUE!</v>
      </c>
    </row>
    <row r="2248" spans="1:23" ht="15.75">
      <c r="B2248" s="12" t="s">
        <v>1858</v>
      </c>
      <c r="C2248" s="6" t="s">
        <v>5580</v>
      </c>
      <c r="D2248" s="15" t="s">
        <v>11</v>
      </c>
      <c r="E2248" s="24">
        <v>2440</v>
      </c>
      <c r="F2248" s="150">
        <v>140</v>
      </c>
      <c r="G2248" s="24" t="s">
        <v>1922</v>
      </c>
      <c r="H2248" s="67">
        <v>58</v>
      </c>
      <c r="I2248" s="68">
        <v>3</v>
      </c>
      <c r="J2248" s="67">
        <f>H2248*I2248</f>
        <v>174</v>
      </c>
      <c r="K2248" s="46">
        <v>3.89</v>
      </c>
      <c r="L2248" s="46">
        <f>K2248*J2248</f>
        <v>676.86</v>
      </c>
      <c r="M2248" s="162" t="s">
        <v>2219</v>
      </c>
      <c r="N2248" s="39">
        <v>44992</v>
      </c>
      <c r="O2248" s="38">
        <v>5044</v>
      </c>
      <c r="P2248" s="46">
        <f>K2248*(VLOOKUP(B2248,$C$2:$F$6,3,FALSE))</f>
        <v>3.6566000000000001</v>
      </c>
      <c r="Q2248" s="483">
        <v>3.66</v>
      </c>
      <c r="R2248" s="704">
        <f>Q2248*J2248</f>
        <v>636.84</v>
      </c>
      <c r="S2248" s="532">
        <v>280</v>
      </c>
      <c r="T2248" s="567">
        <f>S2248*J2248</f>
        <v>48720</v>
      </c>
      <c r="V2248" s="494">
        <v>120</v>
      </c>
      <c r="W2248" s="2041">
        <f t="shared" si="121"/>
        <v>0.40017137960582694</v>
      </c>
    </row>
    <row r="2249" spans="1:23" ht="15">
      <c r="C2249" s="6" t="s">
        <v>5580</v>
      </c>
      <c r="D2249" s="15" t="s">
        <v>11</v>
      </c>
      <c r="E2249" s="24"/>
      <c r="F2249" s="160"/>
      <c r="G2249" s="228" t="s">
        <v>481</v>
      </c>
      <c r="H2249" s="214"/>
      <c r="I2249" s="215"/>
      <c r="J2249" s="43">
        <v>1</v>
      </c>
      <c r="K2249" s="229">
        <v>20</v>
      </c>
      <c r="L2249" s="417" t="s">
        <v>1676</v>
      </c>
      <c r="M2249" s="417"/>
      <c r="N2249" s="39">
        <v>44992</v>
      </c>
      <c r="O2249" s="38">
        <v>5044</v>
      </c>
      <c r="P2249" s="216"/>
      <c r="Q2249" s="525">
        <v>0</v>
      </c>
      <c r="R2249" s="704">
        <f>Q2249*J2249</f>
        <v>0</v>
      </c>
      <c r="S2249" s="532">
        <v>1800</v>
      </c>
      <c r="T2249" s="113">
        <f>S2249*J2249</f>
        <v>1800</v>
      </c>
      <c r="V2249" s="494">
        <v>120</v>
      </c>
      <c r="W2249" s="2041">
        <f t="shared" si="121"/>
        <v>0.25</v>
      </c>
    </row>
    <row r="2250" spans="1:23" s="314" customFormat="1" ht="15">
      <c r="B2250" s="313"/>
      <c r="C2250" s="302" t="s">
        <v>5580</v>
      </c>
      <c r="D2250" s="303" t="s">
        <v>11</v>
      </c>
      <c r="E2250" s="304"/>
      <c r="F2250" s="305"/>
      <c r="G2250" s="305" t="s">
        <v>5596</v>
      </c>
      <c r="H2250" s="307" t="s">
        <v>1228</v>
      </c>
      <c r="I2250" s="308"/>
      <c r="J2250" s="306"/>
      <c r="K2250" s="315">
        <v>0</v>
      </c>
      <c r="L2250" s="310"/>
      <c r="M2250" s="310"/>
      <c r="N2250" s="310">
        <v>44992</v>
      </c>
      <c r="O2250" s="309">
        <v>5044</v>
      </c>
      <c r="P2250" s="302"/>
      <c r="Q2250" s="485">
        <v>0</v>
      </c>
      <c r="S2250" s="535">
        <v>0</v>
      </c>
      <c r="T2250" s="322">
        <v>0</v>
      </c>
      <c r="U2250" s="515"/>
      <c r="V2250" s="494">
        <v>120</v>
      </c>
      <c r="W2250" s="2041" t="e">
        <f t="shared" si="121"/>
        <v>#DIV/0!</v>
      </c>
    </row>
    <row r="2251" spans="1:23" ht="18" customHeight="1">
      <c r="C2251" s="6" t="s">
        <v>5581</v>
      </c>
      <c r="D2251" s="15" t="s">
        <v>1666</v>
      </c>
      <c r="E2251" s="20" t="s">
        <v>260</v>
      </c>
      <c r="F2251" s="44"/>
      <c r="G2251" s="44"/>
      <c r="H2251" s="151"/>
      <c r="I2251" s="151"/>
      <c r="J2251" s="151"/>
      <c r="K2251" s="34" t="s">
        <v>134</v>
      </c>
      <c r="L2251" s="39"/>
      <c r="M2251" s="39"/>
      <c r="N2251" s="39">
        <v>44978</v>
      </c>
      <c r="O2251" s="38">
        <v>5009</v>
      </c>
      <c r="P2251" s="6"/>
      <c r="Q2251" s="524"/>
      <c r="S2251" s="489"/>
      <c r="T2251" s="113"/>
      <c r="U2251" s="501"/>
      <c r="V2251" s="494">
        <v>120</v>
      </c>
      <c r="W2251" s="2041" t="e">
        <f t="shared" si="121"/>
        <v>#VALUE!</v>
      </c>
    </row>
    <row r="2252" spans="1:23" ht="18" customHeight="1">
      <c r="B2252" s="28" t="s">
        <v>1856</v>
      </c>
      <c r="C2252" s="6" t="s">
        <v>5581</v>
      </c>
      <c r="D2252" s="15" t="s">
        <v>1666</v>
      </c>
      <c r="E2252" s="24">
        <v>4141</v>
      </c>
      <c r="F2252" s="44">
        <v>9</v>
      </c>
      <c r="G2252" s="24" t="s">
        <v>103</v>
      </c>
      <c r="H2252" s="67">
        <v>20</v>
      </c>
      <c r="I2252" s="41">
        <v>1</v>
      </c>
      <c r="J2252" s="8">
        <f>H2252*I2252</f>
        <v>20</v>
      </c>
      <c r="K2252" s="46">
        <v>1.63</v>
      </c>
      <c r="L2252" s="46">
        <f>K2252*J2252</f>
        <v>32.599999999999994</v>
      </c>
      <c r="M2252" s="162" t="s">
        <v>2219</v>
      </c>
      <c r="N2252" s="39">
        <v>44978</v>
      </c>
      <c r="O2252" s="38">
        <v>5009</v>
      </c>
      <c r="P2252" s="46">
        <f>K2252*(VLOOKUP(B2252,$C$2:$F$6,3,FALSE))</f>
        <v>1.4343999999999999</v>
      </c>
      <c r="Q2252" s="482">
        <v>1.43</v>
      </c>
      <c r="R2252" s="704">
        <f>Q2252*J2252</f>
        <v>28.599999999999998</v>
      </c>
      <c r="S2252" s="489">
        <v>97</v>
      </c>
      <c r="T2252" s="113">
        <f>S2252*J2252</f>
        <v>1940</v>
      </c>
      <c r="U2252" s="1599"/>
      <c r="V2252" s="494">
        <v>120</v>
      </c>
      <c r="W2252" s="2041">
        <f t="shared" si="121"/>
        <v>0.50408997955010226</v>
      </c>
    </row>
    <row r="2253" spans="1:23" ht="17.45" customHeight="1">
      <c r="C2253" s="6" t="s">
        <v>5581</v>
      </c>
      <c r="D2253" s="15" t="s">
        <v>1666</v>
      </c>
      <c r="E2253" s="24"/>
      <c r="F2253" s="138"/>
      <c r="G2253" s="44" t="s">
        <v>1993</v>
      </c>
      <c r="H2253" s="8"/>
      <c r="I2253" s="41"/>
      <c r="J2253" s="45">
        <v>1</v>
      </c>
      <c r="K2253" s="46">
        <v>12</v>
      </c>
      <c r="L2253" s="46">
        <f>K2253*J2253</f>
        <v>12</v>
      </c>
      <c r="M2253" s="112"/>
      <c r="N2253" s="39">
        <v>44978</v>
      </c>
      <c r="O2253" s="38">
        <v>5009</v>
      </c>
      <c r="P2253" s="46"/>
      <c r="Q2253" s="180">
        <v>12</v>
      </c>
      <c r="R2253" s="180">
        <v>12</v>
      </c>
      <c r="S2253" s="498">
        <v>0</v>
      </c>
      <c r="T2253" s="568">
        <f>S2253*J2253</f>
        <v>0</v>
      </c>
      <c r="U2253" s="511"/>
      <c r="V2253" s="494">
        <v>120</v>
      </c>
      <c r="W2253" s="2041">
        <f t="shared" si="121"/>
        <v>1</v>
      </c>
    </row>
    <row r="2254" spans="1:23" s="314" customFormat="1" ht="15">
      <c r="B2254" s="313"/>
      <c r="C2254" s="302" t="s">
        <v>5581</v>
      </c>
      <c r="D2254" s="303" t="s">
        <v>1666</v>
      </c>
      <c r="E2254" s="304"/>
      <c r="F2254" s="305"/>
      <c r="G2254" s="305" t="s">
        <v>1227</v>
      </c>
      <c r="H2254" s="307" t="s">
        <v>1228</v>
      </c>
      <c r="I2254" s="308"/>
      <c r="J2254" s="306"/>
      <c r="K2254" s="315">
        <v>0</v>
      </c>
      <c r="L2254" s="310"/>
      <c r="M2254" s="310"/>
      <c r="N2254" s="310">
        <v>44978</v>
      </c>
      <c r="O2254" s="309">
        <v>5009</v>
      </c>
      <c r="P2254" s="302"/>
      <c r="Q2254" s="485">
        <v>0</v>
      </c>
      <c r="S2254" s="535">
        <v>0</v>
      </c>
      <c r="T2254" s="322">
        <v>0</v>
      </c>
      <c r="U2254" s="515"/>
      <c r="V2254" s="494">
        <v>120</v>
      </c>
      <c r="W2254" s="2041" t="e">
        <f t="shared" si="121"/>
        <v>#DIV/0!</v>
      </c>
    </row>
    <row r="2255" spans="1:23" ht="18" customHeight="1">
      <c r="C2255" s="6" t="s">
        <v>5602</v>
      </c>
      <c r="D2255" s="15" t="s">
        <v>983</v>
      </c>
      <c r="E2255" s="20" t="s">
        <v>79</v>
      </c>
      <c r="F2255" s="150"/>
      <c r="G2255" s="24"/>
      <c r="H2255" s="151"/>
      <c r="I2255" s="152"/>
      <c r="J2255" s="151"/>
      <c r="K2255" s="153" t="s">
        <v>10</v>
      </c>
      <c r="L2255" s="39"/>
      <c r="M2255" s="39"/>
      <c r="N2255" s="39">
        <v>44986</v>
      </c>
      <c r="O2255" s="38">
        <v>5032</v>
      </c>
      <c r="P2255" s="15"/>
      <c r="Q2255" s="483"/>
      <c r="S2255" s="496"/>
      <c r="T2255" s="113"/>
      <c r="V2255" s="494">
        <v>120</v>
      </c>
      <c r="W2255" s="2041" t="e">
        <f t="shared" si="121"/>
        <v>#VALUE!</v>
      </c>
    </row>
    <row r="2256" spans="1:23" ht="18" customHeight="1">
      <c r="B2256" s="12" t="s">
        <v>1858</v>
      </c>
      <c r="C2256" s="6" t="s">
        <v>5602</v>
      </c>
      <c r="D2256" s="15" t="s">
        <v>983</v>
      </c>
      <c r="E2256" s="24">
        <v>2440</v>
      </c>
      <c r="F2256" s="150">
        <v>140</v>
      </c>
      <c r="G2256" s="1207" t="s">
        <v>364</v>
      </c>
      <c r="H2256" s="8">
        <v>58</v>
      </c>
      <c r="I2256" s="41">
        <v>4</v>
      </c>
      <c r="J2256" s="8">
        <f>H2256*I2256</f>
        <v>232</v>
      </c>
      <c r="K2256" s="46">
        <v>3.89</v>
      </c>
      <c r="L2256" s="46">
        <f>K2256*J2256</f>
        <v>902.48</v>
      </c>
      <c r="M2256" s="162" t="s">
        <v>2219</v>
      </c>
      <c r="N2256" s="39">
        <v>44986</v>
      </c>
      <c r="O2256" s="38">
        <v>5032</v>
      </c>
      <c r="P2256" s="46">
        <f>K2256*(VLOOKUP(B2256,$C$2:$F$6,3,FALSE))</f>
        <v>3.6566000000000001</v>
      </c>
      <c r="Q2256" s="483">
        <v>3.66</v>
      </c>
      <c r="R2256" s="704">
        <f>Q2256*J2256</f>
        <v>849.12</v>
      </c>
      <c r="S2256" s="532">
        <v>280</v>
      </c>
      <c r="T2256" s="567">
        <f>S2256*J2256</f>
        <v>64960</v>
      </c>
      <c r="U2256" s="499" t="s">
        <v>5595</v>
      </c>
      <c r="V2256" s="494">
        <v>120</v>
      </c>
      <c r="W2256" s="2041">
        <f t="shared" si="121"/>
        <v>0.40017137960582694</v>
      </c>
    </row>
    <row r="2257" spans="2:23" s="7" customFormat="1" ht="15.95" customHeight="1">
      <c r="B2257" s="12"/>
      <c r="C2257" s="6" t="s">
        <v>5602</v>
      </c>
      <c r="D2257" s="15" t="s">
        <v>983</v>
      </c>
      <c r="E2257" s="24"/>
      <c r="F2257" s="138"/>
      <c r="G2257" s="44" t="s">
        <v>1993</v>
      </c>
      <c r="H2257" s="8"/>
      <c r="I2257" s="41"/>
      <c r="J2257" s="45">
        <v>1</v>
      </c>
      <c r="K2257" s="46">
        <v>20</v>
      </c>
      <c r="L2257" s="46">
        <f>K2257*J2257</f>
        <v>20</v>
      </c>
      <c r="M2257" s="39"/>
      <c r="N2257" s="39">
        <v>44986</v>
      </c>
      <c r="O2257" s="38">
        <v>5032</v>
      </c>
      <c r="P2257" s="6"/>
      <c r="Q2257" s="483">
        <v>20</v>
      </c>
      <c r="R2257" s="704">
        <f>Q2257*J2257</f>
        <v>20</v>
      </c>
      <c r="S2257" s="489">
        <v>1800</v>
      </c>
      <c r="T2257" s="113">
        <f>S2257*J2257</f>
        <v>1800</v>
      </c>
      <c r="U2257" s="501"/>
      <c r="V2257" s="494">
        <v>120</v>
      </c>
      <c r="W2257" s="2041">
        <f t="shared" si="121"/>
        <v>0.25</v>
      </c>
    </row>
    <row r="2258" spans="2:23" s="314" customFormat="1" ht="15">
      <c r="B2258" s="313"/>
      <c r="C2258" s="302" t="s">
        <v>5602</v>
      </c>
      <c r="D2258" s="303" t="s">
        <v>983</v>
      </c>
      <c r="E2258" s="304"/>
      <c r="F2258" s="305"/>
      <c r="G2258" s="305" t="s">
        <v>1227</v>
      </c>
      <c r="H2258" s="307" t="s">
        <v>1243</v>
      </c>
      <c r="I2258" s="308"/>
      <c r="J2258" s="306"/>
      <c r="K2258" s="329">
        <v>88</v>
      </c>
      <c r="L2258" s="329">
        <v>88</v>
      </c>
      <c r="M2258" s="310"/>
      <c r="N2258" s="310">
        <v>44986</v>
      </c>
      <c r="O2258" s="309">
        <v>5032</v>
      </c>
      <c r="P2258" s="685"/>
      <c r="Q2258" s="329">
        <v>88</v>
      </c>
      <c r="R2258" s="329">
        <v>88</v>
      </c>
      <c r="S2258" s="489">
        <v>10490</v>
      </c>
      <c r="T2258" s="489">
        <v>10490</v>
      </c>
      <c r="U2258" s="688"/>
      <c r="V2258" s="494">
        <v>120</v>
      </c>
      <c r="W2258" s="2041">
        <f t="shared" si="121"/>
        <v>6.628787878787879E-3</v>
      </c>
    </row>
    <row r="2259" spans="2:23" s="7" customFormat="1" ht="18" customHeight="1">
      <c r="B2259" s="12"/>
      <c r="C2259" s="6" t="s">
        <v>5598</v>
      </c>
      <c r="D2259" s="15" t="s">
        <v>5353</v>
      </c>
      <c r="E2259" s="20" t="s">
        <v>27</v>
      </c>
      <c r="F2259" s="150"/>
      <c r="G2259" s="24"/>
      <c r="H2259" s="151"/>
      <c r="I2259" s="152"/>
      <c r="J2259" s="151"/>
      <c r="K2259" s="153" t="s">
        <v>10</v>
      </c>
      <c r="L2259" s="213"/>
      <c r="M2259" s="39"/>
      <c r="N2259" s="39">
        <v>44991</v>
      </c>
      <c r="O2259" s="38">
        <v>5041</v>
      </c>
      <c r="P2259" s="15"/>
      <c r="Q2259" s="703"/>
      <c r="U2259" s="15"/>
      <c r="V2259" s="494">
        <v>120</v>
      </c>
      <c r="W2259" s="2041" t="e">
        <f t="shared" si="121"/>
        <v>#VALUE!</v>
      </c>
    </row>
    <row r="2260" spans="2:23" s="7" customFormat="1" ht="18" customHeight="1">
      <c r="B2260" s="12" t="s">
        <v>1858</v>
      </c>
      <c r="C2260" s="6" t="s">
        <v>5598</v>
      </c>
      <c r="D2260" s="15" t="s">
        <v>5353</v>
      </c>
      <c r="E2260" s="24" t="s">
        <v>736</v>
      </c>
      <c r="F2260" s="150">
        <v>162</v>
      </c>
      <c r="G2260" s="24" t="s">
        <v>5605</v>
      </c>
      <c r="H2260" s="151">
        <v>50</v>
      </c>
      <c r="I2260" s="152">
        <v>3</v>
      </c>
      <c r="J2260" s="8">
        <f>H2260*I2260</f>
        <v>150</v>
      </c>
      <c r="K2260" s="46">
        <v>4.59</v>
      </c>
      <c r="L2260" s="46">
        <f>K2260*J2260</f>
        <v>688.5</v>
      </c>
      <c r="M2260" s="162" t="s">
        <v>2218</v>
      </c>
      <c r="N2260" s="39">
        <v>44991</v>
      </c>
      <c r="O2260" s="38">
        <v>5041</v>
      </c>
      <c r="P2260" s="46">
        <f>K2260*(VLOOKUP(B2260,$C$2:$F$6,3,FALSE))</f>
        <v>4.3145999999999995</v>
      </c>
      <c r="Q2260" s="703">
        <v>4.3099999999999996</v>
      </c>
      <c r="R2260" s="703">
        <f>Q2260*J2260</f>
        <v>646.49999999999989</v>
      </c>
      <c r="S2260" s="7">
        <v>350</v>
      </c>
      <c r="T2260" s="7">
        <f>S2260*J2260</f>
        <v>52500</v>
      </c>
      <c r="U2260" s="499" t="s">
        <v>5599</v>
      </c>
      <c r="V2260" s="494">
        <v>120</v>
      </c>
      <c r="W2260" s="2041">
        <f t="shared" si="121"/>
        <v>0.36456063907044295</v>
      </c>
    </row>
    <row r="2261" spans="2:23" s="7" customFormat="1" ht="18" customHeight="1">
      <c r="B2261" s="12" t="s">
        <v>1858</v>
      </c>
      <c r="C2261" s="6" t="s">
        <v>5598</v>
      </c>
      <c r="D2261" s="15" t="s">
        <v>5353</v>
      </c>
      <c r="E2261" s="24" t="s">
        <v>736</v>
      </c>
      <c r="F2261" s="150">
        <v>162</v>
      </c>
      <c r="G2261" s="24" t="s">
        <v>5601</v>
      </c>
      <c r="H2261" s="151">
        <v>10</v>
      </c>
      <c r="I2261" s="152">
        <v>2</v>
      </c>
      <c r="J2261" s="8">
        <f>H2261*I2261</f>
        <v>20</v>
      </c>
      <c r="K2261" s="46">
        <v>4.59</v>
      </c>
      <c r="L2261" s="46">
        <f>K2261*J2261</f>
        <v>91.8</v>
      </c>
      <c r="M2261" s="162" t="s">
        <v>2218</v>
      </c>
      <c r="N2261" s="39">
        <v>44991</v>
      </c>
      <c r="O2261" s="38">
        <v>5041</v>
      </c>
      <c r="P2261" s="46">
        <f>K2261*(VLOOKUP(B2261,$C$2:$F$6,3,FALSE))</f>
        <v>4.3145999999999995</v>
      </c>
      <c r="Q2261" s="703">
        <v>4.3099999999999996</v>
      </c>
      <c r="R2261" s="703">
        <f>Q2261*J2261</f>
        <v>86.199999999999989</v>
      </c>
      <c r="S2261" s="7">
        <v>350</v>
      </c>
      <c r="T2261" s="7">
        <f>S2261*J2261</f>
        <v>7000</v>
      </c>
      <c r="U2261" s="499" t="s">
        <v>5599</v>
      </c>
      <c r="V2261" s="494">
        <v>120</v>
      </c>
      <c r="W2261" s="2041">
        <f t="shared" si="121"/>
        <v>0.36456063907044295</v>
      </c>
    </row>
    <row r="2262" spans="2:23" s="7" customFormat="1" ht="18" customHeight="1">
      <c r="B2262" s="12"/>
      <c r="C2262" s="6" t="s">
        <v>5598</v>
      </c>
      <c r="D2262" s="15" t="s">
        <v>5353</v>
      </c>
      <c r="E2262" s="238"/>
      <c r="F2262" s="44"/>
      <c r="G2262" s="24" t="s">
        <v>5355</v>
      </c>
      <c r="H2262" s="8"/>
      <c r="I2262" s="152" ph="1"/>
      <c r="J2262" s="45">
        <v>2</v>
      </c>
      <c r="K2262" s="46">
        <v>12</v>
      </c>
      <c r="L2262" s="46">
        <f>K2262*J2262</f>
        <v>24</v>
      </c>
      <c r="M2262" s="112"/>
      <c r="N2262" s="39">
        <v>44991</v>
      </c>
      <c r="O2262" s="38">
        <v>5041</v>
      </c>
      <c r="P2262" s="46"/>
      <c r="Q2262" s="703">
        <v>12</v>
      </c>
      <c r="R2262" s="703">
        <f>Q2262*J2262</f>
        <v>24</v>
      </c>
      <c r="S2262" s="7">
        <v>1000</v>
      </c>
      <c r="T2262" s="7">
        <f>S2262*J2262</f>
        <v>2000</v>
      </c>
      <c r="U2262" s="23"/>
      <c r="V2262" s="494">
        <v>120</v>
      </c>
      <c r="W2262" s="2041">
        <f t="shared" si="121"/>
        <v>0.30555555555555558</v>
      </c>
    </row>
    <row r="2263" spans="2:23" s="7" customFormat="1" ht="18" customHeight="1">
      <c r="B2263" s="12"/>
      <c r="C2263" s="6" t="s">
        <v>5598</v>
      </c>
      <c r="D2263" s="15" t="s">
        <v>5353</v>
      </c>
      <c r="E2263" s="238"/>
      <c r="F2263" s="44"/>
      <c r="G2263" s="24" t="s">
        <v>2975</v>
      </c>
      <c r="H2263" s="8"/>
      <c r="I2263" s="152" ph="1"/>
      <c r="J2263" s="45">
        <v>1</v>
      </c>
      <c r="K2263" s="46">
        <v>20</v>
      </c>
      <c r="L2263" s="46">
        <f>K2263*J2263</f>
        <v>20</v>
      </c>
      <c r="M2263" s="112"/>
      <c r="N2263" s="39">
        <v>44991</v>
      </c>
      <c r="O2263" s="38">
        <v>5041</v>
      </c>
      <c r="P2263" s="6"/>
      <c r="Q2263" s="703">
        <v>20</v>
      </c>
      <c r="R2263" s="703">
        <f>Q2263*J2263</f>
        <v>20</v>
      </c>
      <c r="S2263" s="7">
        <v>1800</v>
      </c>
      <c r="T2263" s="7">
        <f>S2263*J2263</f>
        <v>1800</v>
      </c>
      <c r="U2263" s="23"/>
      <c r="V2263" s="494">
        <v>120</v>
      </c>
      <c r="W2263" s="2041">
        <f t="shared" si="121"/>
        <v>0.25</v>
      </c>
    </row>
    <row r="2264" spans="2:23" s="314" customFormat="1" ht="18" customHeight="1">
      <c r="B2264" s="313"/>
      <c r="C2264" s="302" t="s">
        <v>5598</v>
      </c>
      <c r="D2264" s="303" t="s">
        <v>5353</v>
      </c>
      <c r="E2264" s="371"/>
      <c r="F2264" s="305"/>
      <c r="G2264" s="305" t="s">
        <v>1227</v>
      </c>
      <c r="H2264" s="307" t="s">
        <v>1228</v>
      </c>
      <c r="I2264" s="308"/>
      <c r="J2264" s="306"/>
      <c r="K2264" s="315">
        <v>0</v>
      </c>
      <c r="L2264" s="310"/>
      <c r="M2264" s="310"/>
      <c r="N2264" s="310">
        <v>44991</v>
      </c>
      <c r="O2264" s="309">
        <v>5041</v>
      </c>
      <c r="P2264" s="302"/>
      <c r="Q2264" s="531">
        <v>0</v>
      </c>
      <c r="S2264" s="535">
        <v>0</v>
      </c>
      <c r="T2264" s="322">
        <v>0</v>
      </c>
      <c r="U2264" s="1115"/>
      <c r="V2264" s="494">
        <v>120</v>
      </c>
      <c r="W2264" s="2041" t="e">
        <f t="shared" si="121"/>
        <v>#DIV/0!</v>
      </c>
    </row>
    <row r="2265" spans="2:23" s="7" customFormat="1" ht="15" customHeight="1">
      <c r="B2265" s="12"/>
      <c r="C2265" s="6" t="s">
        <v>5607</v>
      </c>
      <c r="D2265" s="15" t="s">
        <v>958</v>
      </c>
      <c r="E2265" s="20" t="s">
        <v>628</v>
      </c>
      <c r="F2265" s="26"/>
      <c r="G2265" s="24"/>
      <c r="H2265" s="67"/>
      <c r="I2265" s="68"/>
      <c r="J2265" s="67"/>
      <c r="K2265" s="17" t="s">
        <v>134</v>
      </c>
      <c r="L2265" s="39"/>
      <c r="M2265" s="39"/>
      <c r="N2265" s="39">
        <v>44992</v>
      </c>
      <c r="O2265" s="38">
        <v>5045</v>
      </c>
      <c r="P2265" s="179" t="s">
        <v>23</v>
      </c>
      <c r="Q2265" s="438" t="s">
        <v>959</v>
      </c>
      <c r="R2265" s="704"/>
      <c r="S2265" s="489"/>
      <c r="T2265" s="113"/>
      <c r="U2265" s="510"/>
      <c r="V2265" s="494">
        <v>120</v>
      </c>
      <c r="W2265" s="2041" t="e">
        <f t="shared" si="121"/>
        <v>#VALUE!</v>
      </c>
    </row>
    <row r="2266" spans="2:23" s="7" customFormat="1" ht="18" customHeight="1">
      <c r="B2266" s="12" t="s">
        <v>1856</v>
      </c>
      <c r="C2266" s="6" t="s">
        <v>5607</v>
      </c>
      <c r="D2266" s="15" t="s">
        <v>958</v>
      </c>
      <c r="E2266" s="24">
        <v>5291</v>
      </c>
      <c r="F2266" s="26">
        <v>8</v>
      </c>
      <c r="G2266" s="24" t="s">
        <v>3473</v>
      </c>
      <c r="H2266" s="67">
        <v>50</v>
      </c>
      <c r="I2266" s="68">
        <v>3</v>
      </c>
      <c r="J2266" s="67">
        <f>H2266*I2266</f>
        <v>150</v>
      </c>
      <c r="K2266" s="46">
        <v>0.85</v>
      </c>
      <c r="L2266" s="46">
        <f>K2266*J2266</f>
        <v>127.5</v>
      </c>
      <c r="M2266" s="162" t="s">
        <v>2219</v>
      </c>
      <c r="N2266" s="39">
        <v>44992</v>
      </c>
      <c r="O2266" s="38">
        <v>5045</v>
      </c>
      <c r="P2266" s="180">
        <v>0.43</v>
      </c>
      <c r="Q2266" s="180">
        <v>0.43</v>
      </c>
      <c r="R2266" s="704">
        <f>Q2266*J2266</f>
        <v>64.5</v>
      </c>
      <c r="S2266" s="489">
        <v>26</v>
      </c>
      <c r="T2266" s="113">
        <f>S2266*J2266</f>
        <v>3900</v>
      </c>
      <c r="U2266" s="867"/>
      <c r="V2266" s="494">
        <v>120</v>
      </c>
      <c r="W2266" s="2041">
        <f t="shared" si="121"/>
        <v>0.74509803921568629</v>
      </c>
    </row>
    <row r="2267" spans="2:23" ht="15.95" customHeight="1">
      <c r="C2267" s="6" t="s">
        <v>5607</v>
      </c>
      <c r="D2267" s="15" t="s">
        <v>958</v>
      </c>
      <c r="E2267" s="24"/>
      <c r="F2267" s="138"/>
      <c r="G2267" s="44" t="s">
        <v>1993</v>
      </c>
      <c r="H2267" s="8"/>
      <c r="I2267" s="41"/>
      <c r="J2267" s="45">
        <v>1</v>
      </c>
      <c r="K2267" s="46">
        <v>12</v>
      </c>
      <c r="L2267" s="46">
        <v>0</v>
      </c>
      <c r="M2267" s="112"/>
      <c r="N2267" s="39">
        <v>44992</v>
      </c>
      <c r="O2267" s="38">
        <v>5045</v>
      </c>
      <c r="P2267" s="179"/>
      <c r="Q2267" s="180">
        <v>10</v>
      </c>
      <c r="R2267" s="180">
        <v>10</v>
      </c>
      <c r="S2267" s="498">
        <v>850</v>
      </c>
      <c r="T2267" s="568">
        <f>S2267*J2267</f>
        <v>850</v>
      </c>
      <c r="U2267" s="511"/>
      <c r="V2267" s="494">
        <v>120</v>
      </c>
      <c r="W2267" s="2041">
        <f t="shared" si="121"/>
        <v>0.40972222222222221</v>
      </c>
    </row>
    <row r="2268" spans="2:23" s="314" customFormat="1" ht="15" customHeight="1">
      <c r="B2268" s="313"/>
      <c r="C2268" s="302" t="s">
        <v>5607</v>
      </c>
      <c r="D2268" s="303" t="s">
        <v>958</v>
      </c>
      <c r="E2268" s="304"/>
      <c r="F2268" s="305"/>
      <c r="G2268" s="305" t="s">
        <v>1227</v>
      </c>
      <c r="H2268" s="410"/>
      <c r="I2268" s="308"/>
      <c r="J2268" s="410">
        <v>150</v>
      </c>
      <c r="K2268" s="315">
        <f>0.36*J2268</f>
        <v>54</v>
      </c>
      <c r="L2268" s="315"/>
      <c r="M2268" s="784"/>
      <c r="N2268" s="310">
        <v>44992</v>
      </c>
      <c r="O2268" s="309">
        <v>5045</v>
      </c>
      <c r="P2268" s="302"/>
      <c r="Q2268" s="315">
        <f>54-Q2267</f>
        <v>44</v>
      </c>
      <c r="R2268" s="315">
        <f>54-R2267</f>
        <v>44</v>
      </c>
      <c r="S2268" s="537">
        <v>4605</v>
      </c>
      <c r="T2268" s="537">
        <v>4605</v>
      </c>
      <c r="U2268" s="1084"/>
      <c r="V2268" s="494">
        <v>120</v>
      </c>
      <c r="W2268" s="2041">
        <f t="shared" si="121"/>
        <v>0.28935185185185186</v>
      </c>
    </row>
    <row r="2269" spans="2:23" s="7" customFormat="1" ht="15">
      <c r="B2269" s="12"/>
      <c r="C2269" s="6" t="s">
        <v>5609</v>
      </c>
      <c r="D2269" s="15" t="s">
        <v>983</v>
      </c>
      <c r="E2269" s="20" t="s">
        <v>344</v>
      </c>
      <c r="F2269" s="26"/>
      <c r="G2269" s="24"/>
      <c r="H2269" s="67"/>
      <c r="I2269" s="68"/>
      <c r="J2269" s="67"/>
      <c r="K2269" s="17" t="s">
        <v>134</v>
      </c>
      <c r="L2269" s="39"/>
      <c r="M2269" s="39"/>
      <c r="N2269" s="39">
        <v>44994</v>
      </c>
      <c r="O2269" s="38">
        <v>5049</v>
      </c>
      <c r="P2269" s="6" t="s">
        <v>23</v>
      </c>
      <c r="Q2269" s="481"/>
      <c r="S2269" s="489"/>
      <c r="T2269" s="113"/>
      <c r="U2269" s="500"/>
      <c r="V2269" s="494">
        <v>120</v>
      </c>
      <c r="W2269" s="2041" t="e">
        <f t="shared" si="121"/>
        <v>#VALUE!</v>
      </c>
    </row>
    <row r="2270" spans="2:23" s="7" customFormat="1" ht="15.75">
      <c r="B2270" s="12" t="s">
        <v>1856</v>
      </c>
      <c r="C2270" s="6" t="s">
        <v>5609</v>
      </c>
      <c r="D2270" s="15" t="s">
        <v>983</v>
      </c>
      <c r="E2270" s="24">
        <v>14552</v>
      </c>
      <c r="F2270" s="26">
        <v>10</v>
      </c>
      <c r="G2270" s="24" t="s">
        <v>1740</v>
      </c>
      <c r="H2270" s="151">
        <v>30</v>
      </c>
      <c r="I2270" s="152">
        <v>34</v>
      </c>
      <c r="J2270" s="67">
        <f>H2270*I2270</f>
        <v>1020</v>
      </c>
      <c r="K2270" s="25">
        <v>0.76</v>
      </c>
      <c r="L2270" s="46">
        <f>K2270*J2270</f>
        <v>775.2</v>
      </c>
      <c r="M2270" s="162" t="s">
        <v>2219</v>
      </c>
      <c r="N2270" s="39">
        <v>44994</v>
      </c>
      <c r="O2270" s="38">
        <v>5049</v>
      </c>
      <c r="P2270" s="46">
        <f>K2270*(VLOOKUP(B2270,$C$2:$F$6,3,FALSE))</f>
        <v>0.66880000000000006</v>
      </c>
      <c r="Q2270" s="482">
        <v>0.67</v>
      </c>
      <c r="R2270" s="704">
        <f>Q2270*J2270</f>
        <v>683.40000000000009</v>
      </c>
      <c r="S2270" s="489">
        <v>41</v>
      </c>
      <c r="T2270" s="567">
        <f>S2270*J2270</f>
        <v>41820</v>
      </c>
      <c r="U2270" s="1784" t="s">
        <v>5532</v>
      </c>
      <c r="V2270" s="494">
        <v>120</v>
      </c>
      <c r="W2270" s="2041">
        <f t="shared" si="121"/>
        <v>0.55043859649122806</v>
      </c>
    </row>
    <row r="2271" spans="2:23" s="7" customFormat="1" ht="15.95" customHeight="1">
      <c r="B2271" s="12"/>
      <c r="C2271" s="6" t="s">
        <v>5609</v>
      </c>
      <c r="D2271" s="15" t="s">
        <v>983</v>
      </c>
      <c r="E2271" s="24"/>
      <c r="F2271" s="138"/>
      <c r="G2271" s="44" t="s">
        <v>1993</v>
      </c>
      <c r="H2271" s="8"/>
      <c r="I2271" s="41"/>
      <c r="J2271" s="45">
        <v>1</v>
      </c>
      <c r="K2271" s="46">
        <v>12</v>
      </c>
      <c r="L2271" s="46">
        <f>K2271*J2271</f>
        <v>12</v>
      </c>
      <c r="M2271" s="39"/>
      <c r="N2271" s="39">
        <v>44994</v>
      </c>
      <c r="O2271" s="38">
        <v>5049</v>
      </c>
      <c r="P2271" s="6"/>
      <c r="Q2271" s="483">
        <v>12</v>
      </c>
      <c r="R2271" s="704">
        <f>Q2271*J2271</f>
        <v>12</v>
      </c>
      <c r="S2271" s="489">
        <v>0</v>
      </c>
      <c r="T2271" s="113">
        <f>S2271*J2271</f>
        <v>0</v>
      </c>
      <c r="U2271" s="501"/>
      <c r="V2271" s="494">
        <v>120</v>
      </c>
      <c r="W2271" s="2041">
        <f t="shared" si="121"/>
        <v>1</v>
      </c>
    </row>
    <row r="2272" spans="2:23" s="314" customFormat="1" ht="15.75">
      <c r="B2272" s="313"/>
      <c r="C2272" s="302" t="s">
        <v>5609</v>
      </c>
      <c r="D2272" s="303" t="s">
        <v>983</v>
      </c>
      <c r="E2272" s="304"/>
      <c r="F2272" s="305"/>
      <c r="G2272" s="682" t="s">
        <v>2238</v>
      </c>
      <c r="H2272" s="307" t="s">
        <v>1243</v>
      </c>
      <c r="I2272" s="308"/>
      <c r="J2272" s="306"/>
      <c r="K2272" s="329">
        <v>58</v>
      </c>
      <c r="L2272" s="329">
        <v>58</v>
      </c>
      <c r="M2272" s="310"/>
      <c r="N2272" s="310">
        <v>44994</v>
      </c>
      <c r="O2272" s="309">
        <v>5049</v>
      </c>
      <c r="P2272" s="685"/>
      <c r="Q2272" s="329">
        <v>58</v>
      </c>
      <c r="R2272" s="329">
        <v>58</v>
      </c>
      <c r="S2272" s="489">
        <v>6849</v>
      </c>
      <c r="T2272" s="489">
        <v>6849</v>
      </c>
      <c r="U2272" s="688"/>
      <c r="V2272" s="494">
        <v>120</v>
      </c>
      <c r="W2272" s="2041">
        <f t="shared" si="121"/>
        <v>1.5948275862068966E-2</v>
      </c>
    </row>
    <row r="2273" spans="2:23" s="7" customFormat="1" ht="15">
      <c r="B2273" s="12"/>
      <c r="C2273" s="6" t="s">
        <v>5614</v>
      </c>
      <c r="D2273" s="15" t="s">
        <v>722</v>
      </c>
      <c r="E2273" s="20" t="s">
        <v>3327</v>
      </c>
      <c r="F2273" s="26"/>
      <c r="G2273" s="24"/>
      <c r="H2273" s="67"/>
      <c r="I2273" s="68"/>
      <c r="J2273" s="67"/>
      <c r="K2273" s="17" t="s">
        <v>134</v>
      </c>
      <c r="L2273" s="39"/>
      <c r="M2273" s="39"/>
      <c r="N2273" s="39">
        <v>45007</v>
      </c>
      <c r="O2273" s="38">
        <v>5071</v>
      </c>
      <c r="P2273" s="6" t="s">
        <v>23</v>
      </c>
      <c r="Q2273" s="481"/>
      <c r="S2273" s="489"/>
      <c r="T2273" s="113"/>
      <c r="U2273" s="500"/>
      <c r="V2273" s="494">
        <v>120</v>
      </c>
      <c r="W2273" s="2041" t="e">
        <f t="shared" si="121"/>
        <v>#VALUE!</v>
      </c>
    </row>
    <row r="2274" spans="2:23" s="7" customFormat="1" ht="15.75">
      <c r="B2274" s="12" t="s">
        <v>1856</v>
      </c>
      <c r="C2274" s="6" t="s">
        <v>5614</v>
      </c>
      <c r="D2274" s="15" t="s">
        <v>722</v>
      </c>
      <c r="E2274" s="24" t="s">
        <v>3330</v>
      </c>
      <c r="F2274" s="26"/>
      <c r="G2274" s="24" t="s">
        <v>3331</v>
      </c>
      <c r="H2274" s="151"/>
      <c r="I2274" s="152"/>
      <c r="J2274" s="8">
        <v>540</v>
      </c>
      <c r="K2274" s="46">
        <v>2.31</v>
      </c>
      <c r="L2274" s="46">
        <f>K2274*J2274</f>
        <v>1247.4000000000001</v>
      </c>
      <c r="M2274" s="162" t="s">
        <v>2219</v>
      </c>
      <c r="N2274" s="39">
        <v>45007</v>
      </c>
      <c r="O2274" s="38">
        <v>5071</v>
      </c>
      <c r="P2274" s="180">
        <v>1.94</v>
      </c>
      <c r="Q2274" s="482">
        <v>1.94</v>
      </c>
      <c r="R2274" s="704">
        <f>Q2274*J2274</f>
        <v>1047.5999999999999</v>
      </c>
      <c r="S2274" s="489">
        <f>49+70</f>
        <v>119</v>
      </c>
      <c r="T2274" s="567">
        <f>S2274*J2274</f>
        <v>64260</v>
      </c>
      <c r="U2274" s="500"/>
      <c r="V2274" s="494">
        <v>120</v>
      </c>
      <c r="W2274" s="2041">
        <f t="shared" si="121"/>
        <v>0.57070707070707072</v>
      </c>
    </row>
    <row r="2275" spans="2:23" s="7" customFormat="1" ht="15.75">
      <c r="B2275" s="12" t="s">
        <v>1856</v>
      </c>
      <c r="C2275" s="6" t="s">
        <v>5614</v>
      </c>
      <c r="D2275" s="15" t="s">
        <v>722</v>
      </c>
      <c r="E2275" s="24" t="s">
        <v>3330</v>
      </c>
      <c r="F2275" s="26"/>
      <c r="G2275" s="24" t="s">
        <v>3333</v>
      </c>
      <c r="H2275" s="151"/>
      <c r="I2275" s="152"/>
      <c r="J2275" s="8">
        <v>365</v>
      </c>
      <c r="K2275" s="46">
        <v>2.31</v>
      </c>
      <c r="L2275" s="46">
        <f>K2275*J2275</f>
        <v>843.15</v>
      </c>
      <c r="M2275" s="162" t="s">
        <v>2219</v>
      </c>
      <c r="N2275" s="39">
        <v>45007</v>
      </c>
      <c r="O2275" s="38">
        <v>5071</v>
      </c>
      <c r="P2275" s="180">
        <v>1.94</v>
      </c>
      <c r="Q2275" s="482">
        <v>1.94</v>
      </c>
      <c r="R2275" s="704">
        <f>Q2275*J2275</f>
        <v>708.1</v>
      </c>
      <c r="S2275" s="489">
        <f>49+70</f>
        <v>119</v>
      </c>
      <c r="T2275" s="567">
        <f>S2275*J2275</f>
        <v>43435</v>
      </c>
      <c r="U2275" s="500"/>
      <c r="V2275" s="494">
        <v>120</v>
      </c>
      <c r="W2275" s="2041">
        <f t="shared" si="121"/>
        <v>0.57070707070707072</v>
      </c>
    </row>
    <row r="2276" spans="2:23" s="378" customFormat="1" ht="15" customHeight="1">
      <c r="B2276" s="312"/>
      <c r="C2276" s="302" t="s">
        <v>5614</v>
      </c>
      <c r="D2276" s="303" t="s">
        <v>722</v>
      </c>
      <c r="E2276" s="304"/>
      <c r="F2276" s="305"/>
      <c r="G2276" s="305" t="s">
        <v>2371</v>
      </c>
      <c r="H2276" s="307" t="s">
        <v>5567</v>
      </c>
      <c r="I2276" s="308"/>
      <c r="J2276" s="306">
        <v>905</v>
      </c>
      <c r="K2276" s="315">
        <f>0.1*J2276</f>
        <v>90.5</v>
      </c>
      <c r="L2276" s="310"/>
      <c r="M2276" s="310"/>
      <c r="N2276" s="310">
        <v>45007</v>
      </c>
      <c r="O2276" s="309">
        <v>5071</v>
      </c>
      <c r="P2276" s="302"/>
      <c r="Q2276" s="315">
        <v>90.5</v>
      </c>
      <c r="R2276" s="315">
        <v>90.5</v>
      </c>
      <c r="S2276" s="537">
        <f>4613+3000</f>
        <v>7613</v>
      </c>
      <c r="T2276" s="537">
        <f>4613+3000</f>
        <v>7613</v>
      </c>
      <c r="U2276" s="515"/>
      <c r="V2276" s="494">
        <v>120</v>
      </c>
      <c r="W2276" s="2041">
        <f t="shared" si="121"/>
        <v>0.29898710865561695</v>
      </c>
    </row>
    <row r="2277" spans="2:23" ht="15">
      <c r="C2277" s="6" t="s">
        <v>5618</v>
      </c>
      <c r="D2277" s="15" t="s">
        <v>2251</v>
      </c>
      <c r="E2277" s="20" t="s">
        <v>79</v>
      </c>
      <c r="F2277" s="150"/>
      <c r="G2277" s="24"/>
      <c r="H2277" s="151"/>
      <c r="I2277" s="152"/>
      <c r="J2277" s="151"/>
      <c r="K2277" s="153" t="s">
        <v>10</v>
      </c>
      <c r="L2277" s="11"/>
      <c r="M2277" s="11"/>
      <c r="N2277" s="39">
        <v>45001</v>
      </c>
      <c r="O2277" s="38">
        <v>5066</v>
      </c>
      <c r="P2277" s="15"/>
      <c r="Q2277" s="483"/>
      <c r="S2277" s="489"/>
      <c r="V2277" s="494">
        <v>120</v>
      </c>
      <c r="W2277" s="2041" t="e">
        <f t="shared" si="121"/>
        <v>#VALUE!</v>
      </c>
    </row>
    <row r="2278" spans="2:23" ht="15.75">
      <c r="B2278" s="28" t="s">
        <v>1858</v>
      </c>
      <c r="C2278" s="6" t="s">
        <v>5618</v>
      </c>
      <c r="D2278" s="15" t="s">
        <v>2251</v>
      </c>
      <c r="E2278" s="24" t="s">
        <v>1157</v>
      </c>
      <c r="F2278" s="150">
        <v>148</v>
      </c>
      <c r="G2278" s="24" t="s">
        <v>629</v>
      </c>
      <c r="H2278" s="8">
        <v>57</v>
      </c>
      <c r="I2278" s="41">
        <v>2</v>
      </c>
      <c r="J2278" s="8">
        <f>H2278*I2278</f>
        <v>114</v>
      </c>
      <c r="K2278" s="46">
        <v>12.92</v>
      </c>
      <c r="L2278" s="46">
        <f>K2278*J2278</f>
        <v>1472.8799999999999</v>
      </c>
      <c r="M2278" s="162" t="s">
        <v>2219</v>
      </c>
      <c r="N2278" s="39">
        <v>45001</v>
      </c>
      <c r="O2278" s="38">
        <v>5066</v>
      </c>
      <c r="P2278" s="46">
        <f>K2278*(VLOOKUP(B2278,$C$2:$F$6,3,FALSE))</f>
        <v>12.1448</v>
      </c>
      <c r="Q2278" s="483">
        <v>12.14</v>
      </c>
      <c r="R2278" s="704">
        <f>Q2278*J2278</f>
        <v>1383.96</v>
      </c>
      <c r="S2278" s="489">
        <v>780</v>
      </c>
      <c r="T2278" s="567">
        <f>S2278*J2278</f>
        <v>88920</v>
      </c>
      <c r="U2278" s="1598"/>
      <c r="V2278" s="494">
        <v>120</v>
      </c>
      <c r="W2278" s="2041">
        <f t="shared" si="121"/>
        <v>0.49690402476780188</v>
      </c>
    </row>
    <row r="2279" spans="2:23" ht="15">
      <c r="C2279" s="6" t="s">
        <v>5618</v>
      </c>
      <c r="D2279" s="15" t="s">
        <v>2251</v>
      </c>
      <c r="E2279" s="24"/>
      <c r="F2279" s="138"/>
      <c r="G2279" s="44" t="s">
        <v>1993</v>
      </c>
      <c r="H2279" s="8"/>
      <c r="I2279" s="41"/>
      <c r="J2279" s="45">
        <v>1</v>
      </c>
      <c r="K2279" s="46">
        <v>20</v>
      </c>
      <c r="L2279" s="46">
        <f>K2279*J2279</f>
        <v>20</v>
      </c>
      <c r="M2279" s="112"/>
      <c r="N2279" s="39">
        <v>45001</v>
      </c>
      <c r="O2279" s="38">
        <v>5066</v>
      </c>
      <c r="P2279" s="46" t="e">
        <f>K2279*(VLOOKUP(B2279,$C$2:$F$6,3,FALSE))</f>
        <v>#N/A</v>
      </c>
      <c r="Q2279" s="483">
        <v>20</v>
      </c>
      <c r="R2279" s="704">
        <f>Q2279*J2279</f>
        <v>20</v>
      </c>
      <c r="S2279" s="489">
        <v>1800</v>
      </c>
      <c r="T2279" s="567">
        <f>S2279*J2279</f>
        <v>1800</v>
      </c>
      <c r="V2279" s="494">
        <v>120</v>
      </c>
      <c r="W2279" s="2041">
        <f t="shared" si="121"/>
        <v>0.25</v>
      </c>
    </row>
    <row r="2280" spans="2:23" s="314" customFormat="1" ht="15">
      <c r="B2280" s="313"/>
      <c r="C2280" s="302" t="s">
        <v>5618</v>
      </c>
      <c r="D2280" s="303" t="s">
        <v>2251</v>
      </c>
      <c r="E2280" s="304"/>
      <c r="F2280" s="305"/>
      <c r="G2280" s="305" t="s">
        <v>1227</v>
      </c>
      <c r="H2280" s="307" t="s">
        <v>1243</v>
      </c>
      <c r="I2280" s="308"/>
      <c r="J2280" s="306"/>
      <c r="K2280" s="329">
        <v>203</v>
      </c>
      <c r="L2280" s="329">
        <v>203</v>
      </c>
      <c r="M2280" s="310"/>
      <c r="N2280" s="310">
        <v>45001</v>
      </c>
      <c r="O2280" s="309">
        <v>5066</v>
      </c>
      <c r="P2280" s="302"/>
      <c r="Q2280" s="329">
        <v>203</v>
      </c>
      <c r="R2280" s="329">
        <v>203</v>
      </c>
      <c r="S2280" s="489">
        <v>24339</v>
      </c>
      <c r="T2280" s="489">
        <v>24339</v>
      </c>
      <c r="U2280" s="515"/>
      <c r="V2280" s="494">
        <v>120</v>
      </c>
      <c r="W2280" s="2041">
        <f t="shared" si="121"/>
        <v>8.6206896551724137E-4</v>
      </c>
    </row>
    <row r="2281" spans="2:23" ht="15">
      <c r="C2281" s="6" t="s">
        <v>6167</v>
      </c>
      <c r="D2281" s="15" t="s">
        <v>11</v>
      </c>
      <c r="E2281" s="20" t="s">
        <v>79</v>
      </c>
      <c r="F2281" s="150"/>
      <c r="G2281" s="24"/>
      <c r="H2281" s="151"/>
      <c r="I2281" s="152"/>
      <c r="J2281" s="151"/>
      <c r="K2281" s="153" t="s">
        <v>10</v>
      </c>
      <c r="L2281" s="39"/>
      <c r="M2281" s="39"/>
      <c r="N2281" s="39">
        <v>45134</v>
      </c>
      <c r="O2281" s="38">
        <v>5358</v>
      </c>
      <c r="P2281" s="15"/>
      <c r="Q2281" s="483"/>
      <c r="S2281" s="496"/>
      <c r="T2281" s="113"/>
      <c r="V2281" s="494">
        <v>120</v>
      </c>
      <c r="W2281" s="2041" t="e">
        <f t="shared" si="121"/>
        <v>#VALUE!</v>
      </c>
    </row>
    <row r="2282" spans="2:23" s="7" customFormat="1" ht="15.75">
      <c r="B2282" s="12" t="s">
        <v>1858</v>
      </c>
      <c r="C2282" s="6" t="s">
        <v>6167</v>
      </c>
      <c r="D2282" s="15" t="s">
        <v>11</v>
      </c>
      <c r="E2282" s="24" t="s">
        <v>731</v>
      </c>
      <c r="F2282" s="150">
        <v>140</v>
      </c>
      <c r="G2282" s="24" t="s">
        <v>734</v>
      </c>
      <c r="H2282" s="67">
        <v>58</v>
      </c>
      <c r="I2282" s="68">
        <v>6</v>
      </c>
      <c r="J2282" s="67">
        <f>H2282*I2282</f>
        <v>348</v>
      </c>
      <c r="K2282" s="46">
        <v>10</v>
      </c>
      <c r="L2282" s="46">
        <f>K2282*J2282</f>
        <v>3480</v>
      </c>
      <c r="M2282" s="162" t="s">
        <v>2219</v>
      </c>
      <c r="N2282" s="39">
        <v>45134</v>
      </c>
      <c r="O2282" s="38">
        <v>5358</v>
      </c>
      <c r="P2282" s="46">
        <f>K2282*(VLOOKUP(B2282,$C$2:$F$6,3,FALSE))</f>
        <v>9.3999999999999986</v>
      </c>
      <c r="Q2282" s="483">
        <v>9.4</v>
      </c>
      <c r="R2282" s="704">
        <f>Q2282*J2282</f>
        <v>3271.2000000000003</v>
      </c>
      <c r="S2282" s="532">
        <v>740</v>
      </c>
      <c r="T2282" s="113">
        <f>S2282*J2282</f>
        <v>257520</v>
      </c>
      <c r="U2282" s="501"/>
      <c r="V2282" s="494">
        <v>120</v>
      </c>
      <c r="W2282" s="2041">
        <f t="shared" si="121"/>
        <v>0.38333333333333336</v>
      </c>
    </row>
    <row r="2283" spans="2:23" ht="15">
      <c r="C2283" s="6" t="s">
        <v>6167</v>
      </c>
      <c r="D2283" s="15" t="s">
        <v>11</v>
      </c>
      <c r="E2283" s="24"/>
      <c r="F2283" s="160"/>
      <c r="G2283" s="228" t="s">
        <v>481</v>
      </c>
      <c r="H2283" s="214"/>
      <c r="I2283" s="215"/>
      <c r="J2283" s="43">
        <v>1</v>
      </c>
      <c r="K2283" s="229">
        <v>20</v>
      </c>
      <c r="L2283" s="417" t="s">
        <v>1676</v>
      </c>
      <c r="M2283" s="417"/>
      <c r="N2283" s="39">
        <v>45134</v>
      </c>
      <c r="O2283" s="38">
        <v>5358</v>
      </c>
      <c r="P2283" s="216"/>
      <c r="Q2283" s="525">
        <v>0</v>
      </c>
      <c r="R2283" s="704">
        <f>Q2283*J2283</f>
        <v>0</v>
      </c>
      <c r="S2283" s="532">
        <v>1800</v>
      </c>
      <c r="T2283" s="113">
        <f>S2283*J2283</f>
        <v>1800</v>
      </c>
      <c r="V2283" s="494">
        <v>120</v>
      </c>
      <c r="W2283" s="2041">
        <f t="shared" si="121"/>
        <v>0.25</v>
      </c>
    </row>
    <row r="2284" spans="2:23" s="314" customFormat="1" ht="15">
      <c r="B2284" s="313"/>
      <c r="C2284" s="302" t="s">
        <v>6167</v>
      </c>
      <c r="D2284" s="303" t="s">
        <v>11</v>
      </c>
      <c r="E2284" s="304"/>
      <c r="F2284" s="305"/>
      <c r="G2284" s="305" t="s">
        <v>1227</v>
      </c>
      <c r="H2284" s="307" t="s">
        <v>1228</v>
      </c>
      <c r="I2284" s="308"/>
      <c r="J2284" s="306"/>
      <c r="K2284" s="315">
        <v>0</v>
      </c>
      <c r="L2284" s="310"/>
      <c r="M2284" s="310"/>
      <c r="N2284" s="310">
        <v>45134</v>
      </c>
      <c r="O2284" s="309">
        <v>5358</v>
      </c>
      <c r="P2284" s="302"/>
      <c r="Q2284" s="485">
        <v>0</v>
      </c>
      <c r="S2284" s="535">
        <v>0</v>
      </c>
      <c r="T2284" s="322">
        <v>0</v>
      </c>
      <c r="U2284" s="515"/>
      <c r="V2284" s="494">
        <v>120</v>
      </c>
      <c r="W2284" s="2041" t="e">
        <f t="shared" si="121"/>
        <v>#DIV/0!</v>
      </c>
    </row>
    <row r="2285" spans="2:23" ht="15">
      <c r="C2285" s="6" t="s">
        <v>5650</v>
      </c>
      <c r="D2285" s="15" t="s">
        <v>5470</v>
      </c>
      <c r="E2285" s="20" t="s">
        <v>5469</v>
      </c>
      <c r="F2285" s="44"/>
      <c r="G2285" s="44"/>
      <c r="H2285" s="151"/>
      <c r="I2285" s="151"/>
      <c r="J2285" s="151"/>
      <c r="K2285" s="34" t="s">
        <v>134</v>
      </c>
      <c r="L2285" s="39"/>
      <c r="M2285" s="39"/>
      <c r="N2285" s="39">
        <v>45015</v>
      </c>
      <c r="O2285" s="38">
        <v>5108</v>
      </c>
      <c r="P2285" s="6"/>
      <c r="Q2285" s="524"/>
      <c r="S2285" s="489"/>
      <c r="T2285" s="113"/>
      <c r="U2285" s="501"/>
      <c r="V2285" s="494">
        <v>120</v>
      </c>
      <c r="W2285" s="2041" t="e">
        <f t="shared" si="121"/>
        <v>#VALUE!</v>
      </c>
    </row>
    <row r="2286" spans="2:23" ht="15.75">
      <c r="B2286" s="28" t="s">
        <v>1856</v>
      </c>
      <c r="C2286" s="6" t="s">
        <v>5650</v>
      </c>
      <c r="D2286" s="15" t="s">
        <v>5483</v>
      </c>
      <c r="E2286" s="24">
        <v>3846</v>
      </c>
      <c r="F2286" s="29">
        <v>10</v>
      </c>
      <c r="G2286" s="24" t="s">
        <v>5468</v>
      </c>
      <c r="H2286" s="67">
        <v>50</v>
      </c>
      <c r="I2286" s="68">
        <v>3</v>
      </c>
      <c r="J2286" s="67">
        <f>H2286*I2286</f>
        <v>150</v>
      </c>
      <c r="K2286" s="46">
        <v>0.84</v>
      </c>
      <c r="L2286" s="46">
        <f>K2286*J2286</f>
        <v>126</v>
      </c>
      <c r="M2286" s="162" t="s">
        <v>2219</v>
      </c>
      <c r="N2286" s="39">
        <v>45015</v>
      </c>
      <c r="O2286" s="38">
        <v>5108</v>
      </c>
      <c r="P2286" s="46">
        <f>K2286*(VLOOKUP(B2286,$C$2:$F$6,3,FALSE))</f>
        <v>0.73919999999999997</v>
      </c>
      <c r="Q2286" s="482">
        <v>0.74</v>
      </c>
      <c r="R2286" s="704">
        <f>Q2286*J2286</f>
        <v>111</v>
      </c>
      <c r="S2286" s="489">
        <v>58</v>
      </c>
      <c r="T2286" s="113">
        <f>S2286*J2286</f>
        <v>8700</v>
      </c>
      <c r="U2286" s="1603"/>
      <c r="V2286" s="494">
        <v>120</v>
      </c>
      <c r="W2286" s="2041">
        <f t="shared" si="121"/>
        <v>0.42460317460317459</v>
      </c>
    </row>
    <row r="2287" spans="2:23" s="7" customFormat="1" ht="15">
      <c r="B2287" s="12"/>
      <c r="C2287" s="6" t="s">
        <v>5650</v>
      </c>
      <c r="D2287" s="15" t="s">
        <v>5483</v>
      </c>
      <c r="E2287" s="20" t="s">
        <v>344</v>
      </c>
      <c r="F2287" s="26"/>
      <c r="G2287" s="24"/>
      <c r="H2287" s="67"/>
      <c r="I2287" s="68"/>
      <c r="J2287" s="67"/>
      <c r="K2287" s="17" t="s">
        <v>134</v>
      </c>
      <c r="L2287" s="39"/>
      <c r="M2287" s="39"/>
      <c r="N2287" s="39">
        <v>45015</v>
      </c>
      <c r="O2287" s="38">
        <v>5108</v>
      </c>
      <c r="P2287" s="6" t="s">
        <v>23</v>
      </c>
      <c r="Q2287" s="481"/>
      <c r="S2287" s="489"/>
      <c r="T2287" s="113"/>
      <c r="U2287" s="500"/>
      <c r="V2287" s="494">
        <v>120</v>
      </c>
      <c r="W2287" s="2041" t="e">
        <f t="shared" si="121"/>
        <v>#VALUE!</v>
      </c>
    </row>
    <row r="2288" spans="2:23" s="7" customFormat="1" ht="15.75">
      <c r="B2288" s="12" t="s">
        <v>1856</v>
      </c>
      <c r="C2288" s="6" t="s">
        <v>5650</v>
      </c>
      <c r="D2288" s="15" t="s">
        <v>5483</v>
      </c>
      <c r="E2288" s="24">
        <v>14552</v>
      </c>
      <c r="F2288" s="26">
        <v>38</v>
      </c>
      <c r="G2288" s="24" t="s">
        <v>5651</v>
      </c>
      <c r="H2288" s="151">
        <v>30</v>
      </c>
      <c r="I2288" s="152">
        <v>1</v>
      </c>
      <c r="J2288" s="67">
        <f>H2288*I2288</f>
        <v>30</v>
      </c>
      <c r="K2288" s="25">
        <v>1.78</v>
      </c>
      <c r="L2288" s="46">
        <f>K2288*J2288</f>
        <v>53.4</v>
      </c>
      <c r="M2288" s="162" t="s">
        <v>2219</v>
      </c>
      <c r="N2288" s="39">
        <v>45015</v>
      </c>
      <c r="O2288" s="38">
        <v>5108</v>
      </c>
      <c r="P2288" s="46">
        <f>K2288*(VLOOKUP(B2288,$C$2:$F$6,3,FALSE))</f>
        <v>1.5664</v>
      </c>
      <c r="Q2288" s="482">
        <v>1.57</v>
      </c>
      <c r="R2288" s="704">
        <f>Q2288*J2288</f>
        <v>47.1</v>
      </c>
      <c r="S2288" s="489">
        <v>106</v>
      </c>
      <c r="T2288" s="567">
        <f>S2288*J2288</f>
        <v>3180</v>
      </c>
      <c r="U2288" s="1784"/>
      <c r="V2288" s="494">
        <v>120</v>
      </c>
      <c r="W2288" s="2041">
        <f t="shared" si="121"/>
        <v>0.50374531835205993</v>
      </c>
    </row>
    <row r="2289" spans="2:23" ht="15">
      <c r="B2289" s="12" t="s">
        <v>1862</v>
      </c>
      <c r="C2289" s="6" t="s">
        <v>5650</v>
      </c>
      <c r="D2289" s="15" t="s">
        <v>5470</v>
      </c>
      <c r="E2289" s="24"/>
      <c r="F2289" s="138"/>
      <c r="G2289" s="44" t="s">
        <v>1993</v>
      </c>
      <c r="H2289" s="8"/>
      <c r="I2289" s="41"/>
      <c r="J2289" s="45">
        <v>1</v>
      </c>
      <c r="K2289" s="46">
        <v>12</v>
      </c>
      <c r="L2289" s="46">
        <f>K2289*J2289</f>
        <v>12</v>
      </c>
      <c r="M2289" s="112"/>
      <c r="N2289" s="39">
        <v>45015</v>
      </c>
      <c r="O2289" s="38">
        <v>5108</v>
      </c>
      <c r="P2289" s="46">
        <f>K2289*(VLOOKUP(B2289,$C$2:$F$6,3,FALSE))</f>
        <v>12</v>
      </c>
      <c r="Q2289" s="483">
        <v>12</v>
      </c>
      <c r="R2289" s="704">
        <v>12</v>
      </c>
      <c r="S2289" s="489">
        <v>1000</v>
      </c>
      <c r="T2289" s="113">
        <f>S2289*J2289</f>
        <v>1000</v>
      </c>
      <c r="U2289" s="511"/>
      <c r="V2289" s="494">
        <v>120</v>
      </c>
      <c r="W2289" s="2041">
        <f t="shared" si="121"/>
        <v>0.30555555555555558</v>
      </c>
    </row>
    <row r="2290" spans="2:23" s="314" customFormat="1" ht="15">
      <c r="B2290" s="313"/>
      <c r="C2290" s="302" t="s">
        <v>5650</v>
      </c>
      <c r="D2290" s="303" t="s">
        <v>5470</v>
      </c>
      <c r="E2290" s="304"/>
      <c r="F2290" s="305"/>
      <c r="G2290" s="305" t="s">
        <v>1227</v>
      </c>
      <c r="H2290" s="307" t="s">
        <v>1243</v>
      </c>
      <c r="I2290" s="308"/>
      <c r="J2290" s="306"/>
      <c r="K2290" s="329">
        <v>26</v>
      </c>
      <c r="L2290" s="329">
        <v>26</v>
      </c>
      <c r="M2290" s="310"/>
      <c r="N2290" s="310">
        <v>45015</v>
      </c>
      <c r="O2290" s="309">
        <v>5108</v>
      </c>
      <c r="P2290" s="302"/>
      <c r="Q2290" s="329">
        <v>26</v>
      </c>
      <c r="R2290" s="329">
        <v>26</v>
      </c>
      <c r="S2290" s="489">
        <v>3020</v>
      </c>
      <c r="T2290" s="489">
        <v>3020</v>
      </c>
      <c r="U2290" s="515"/>
      <c r="V2290" s="494">
        <v>120</v>
      </c>
      <c r="W2290" s="2041">
        <f t="shared" si="121"/>
        <v>3.2051282051282048E-2</v>
      </c>
    </row>
    <row r="2291" spans="2:23" s="7" customFormat="1" ht="15">
      <c r="B2291" s="12"/>
      <c r="C2291" s="6" t="s">
        <v>5695</v>
      </c>
      <c r="D2291" s="15" t="s">
        <v>958</v>
      </c>
      <c r="E2291" s="20" t="s">
        <v>3490</v>
      </c>
      <c r="F2291" s="26"/>
      <c r="G2291" s="24"/>
      <c r="H2291" s="67"/>
      <c r="I2291" s="68"/>
      <c r="J2291" s="67"/>
      <c r="K2291" s="17" t="s">
        <v>10</v>
      </c>
      <c r="L2291" s="213"/>
      <c r="M2291" s="39"/>
      <c r="N2291" s="39">
        <v>45015</v>
      </c>
      <c r="O2291" s="38">
        <v>5114</v>
      </c>
      <c r="P2291" s="6" t="s">
        <v>3</v>
      </c>
      <c r="Q2291" s="703"/>
      <c r="S2291" s="46"/>
      <c r="U2291" s="23"/>
      <c r="V2291" s="494">
        <v>120</v>
      </c>
      <c r="W2291" s="2041" t="e">
        <f t="shared" si="121"/>
        <v>#VALUE!</v>
      </c>
    </row>
    <row r="2292" spans="2:23" s="7" customFormat="1" ht="15.95" customHeight="1">
      <c r="B2292" s="12"/>
      <c r="C2292" s="6" t="s">
        <v>5695</v>
      </c>
      <c r="D2292" s="15" t="s">
        <v>958</v>
      </c>
      <c r="E2292" s="24" t="s">
        <v>5493</v>
      </c>
      <c r="F2292" s="44"/>
      <c r="G2292" s="44" t="s">
        <v>3492</v>
      </c>
      <c r="H2292" s="8"/>
      <c r="I2292" s="8"/>
      <c r="J2292" s="198">
        <v>17.2</v>
      </c>
      <c r="K2292" s="46">
        <v>7.94</v>
      </c>
      <c r="L2292" s="46">
        <f>K2292*J2292</f>
        <v>136.56800000000001</v>
      </c>
      <c r="M2292" s="162" t="s">
        <v>3736</v>
      </c>
      <c r="N2292" s="39">
        <v>45015</v>
      </c>
      <c r="O2292" s="38">
        <v>5114</v>
      </c>
      <c r="P2292" s="46">
        <f>K2292*0.92</f>
        <v>7.3048000000000011</v>
      </c>
      <c r="Q2292" s="703">
        <v>7.3</v>
      </c>
      <c r="R2292" s="704">
        <f>Q2292*J2292</f>
        <v>125.55999999999999</v>
      </c>
      <c r="S2292" s="46">
        <f>K2292*0.84</f>
        <v>6.6696</v>
      </c>
      <c r="T2292" s="1308">
        <f>S2292*J2292</f>
        <v>114.71711999999999</v>
      </c>
      <c r="U2292" s="46"/>
      <c r="V2292" s="494">
        <v>120</v>
      </c>
      <c r="W2292" s="2041">
        <f t="shared" ref="W2292:W2355" si="122">(((K2292*V2292)-S2292)/(K2292*V2292))</f>
        <v>0.9930000000000001</v>
      </c>
    </row>
    <row r="2293" spans="2:23" s="7" customFormat="1" ht="15.95" customHeight="1">
      <c r="B2293" s="12"/>
      <c r="C2293" s="6" t="s">
        <v>5695</v>
      </c>
      <c r="D2293" s="15" t="s">
        <v>958</v>
      </c>
      <c r="E2293" s="24" t="s">
        <v>3491</v>
      </c>
      <c r="F2293" s="44"/>
      <c r="G2293" s="44" t="s">
        <v>3492</v>
      </c>
      <c r="H2293" s="8"/>
      <c r="I2293" s="8"/>
      <c r="J2293" s="198">
        <v>24.4</v>
      </c>
      <c r="K2293" s="46">
        <v>3.93</v>
      </c>
      <c r="L2293" s="46">
        <f>K2293*J2293</f>
        <v>95.891999999999996</v>
      </c>
      <c r="M2293" s="162" t="s">
        <v>3736</v>
      </c>
      <c r="N2293" s="39">
        <v>45015</v>
      </c>
      <c r="O2293" s="38">
        <v>5114</v>
      </c>
      <c r="P2293" s="46">
        <f>K2293*0.92</f>
        <v>3.6156000000000001</v>
      </c>
      <c r="Q2293" s="703">
        <v>3.62</v>
      </c>
      <c r="R2293" s="704">
        <f>Q2293*J2293</f>
        <v>88.328000000000003</v>
      </c>
      <c r="S2293" s="46">
        <f>K2293*0.84</f>
        <v>3.3012000000000001</v>
      </c>
      <c r="T2293" s="1308">
        <f>S2293*J2293</f>
        <v>80.549279999999996</v>
      </c>
      <c r="U2293" s="46"/>
      <c r="V2293" s="494">
        <v>120</v>
      </c>
      <c r="W2293" s="2041">
        <f t="shared" si="122"/>
        <v>0.99299999999999999</v>
      </c>
    </row>
    <row r="2294" spans="2:23" s="314" customFormat="1" ht="15.6" customHeight="1">
      <c r="B2294" s="313"/>
      <c r="C2294" s="302" t="s">
        <v>5695</v>
      </c>
      <c r="D2294" s="303" t="s">
        <v>958</v>
      </c>
      <c r="E2294" s="371"/>
      <c r="F2294" s="305"/>
      <c r="G2294" s="305" t="s">
        <v>1227</v>
      </c>
      <c r="H2294" s="307" t="s">
        <v>5693</v>
      </c>
      <c r="I2294" s="308"/>
      <c r="J2294" s="306"/>
      <c r="K2294" s="315">
        <v>0</v>
      </c>
      <c r="L2294" s="310"/>
      <c r="M2294" s="310"/>
      <c r="N2294" s="310">
        <v>45015</v>
      </c>
      <c r="O2294" s="309">
        <v>5114</v>
      </c>
      <c r="P2294" s="302"/>
      <c r="Q2294" s="531">
        <v>0</v>
      </c>
      <c r="S2294" s="535">
        <v>0</v>
      </c>
      <c r="T2294" s="322">
        <v>0</v>
      </c>
      <c r="U2294" s="1115"/>
      <c r="V2294" s="494">
        <v>120</v>
      </c>
      <c r="W2294" s="2041" t="e">
        <f t="shared" si="122"/>
        <v>#DIV/0!</v>
      </c>
    </row>
    <row r="2295" spans="2:23" s="7" customFormat="1" ht="15">
      <c r="B2295" s="12"/>
      <c r="C2295" s="6" t="s">
        <v>5654</v>
      </c>
      <c r="D2295" s="15" t="s">
        <v>958</v>
      </c>
      <c r="E2295" s="20" t="s">
        <v>3490</v>
      </c>
      <c r="F2295" s="26"/>
      <c r="G2295" s="24"/>
      <c r="H2295" s="67"/>
      <c r="I2295" s="68"/>
      <c r="J2295" s="67"/>
      <c r="K2295" s="17" t="s">
        <v>10</v>
      </c>
      <c r="L2295" s="213"/>
      <c r="M2295" s="39"/>
      <c r="N2295" s="39">
        <v>45051</v>
      </c>
      <c r="O2295" s="38">
        <v>5199</v>
      </c>
      <c r="P2295" s="6" t="s">
        <v>3</v>
      </c>
      <c r="Q2295" s="703"/>
      <c r="S2295" s="46"/>
      <c r="U2295" s="23"/>
      <c r="V2295" s="494">
        <v>120</v>
      </c>
      <c r="W2295" s="2041" t="e">
        <f t="shared" si="122"/>
        <v>#VALUE!</v>
      </c>
    </row>
    <row r="2296" spans="2:23" s="7" customFormat="1" ht="15.95" customHeight="1">
      <c r="B2296" s="12"/>
      <c r="C2296" s="6" t="s">
        <v>5654</v>
      </c>
      <c r="D2296" s="15" t="s">
        <v>958</v>
      </c>
      <c r="E2296" s="24" t="s">
        <v>3491</v>
      </c>
      <c r="F2296" s="44"/>
      <c r="G2296" s="44" t="s">
        <v>3718</v>
      </c>
      <c r="H2296" s="8"/>
      <c r="I2296" s="8"/>
      <c r="J2296" s="198">
        <v>298.89999999999998</v>
      </c>
      <c r="K2296" s="46">
        <v>4.13</v>
      </c>
      <c r="L2296" s="46">
        <f t="shared" ref="L2296:L2307" si="123">K2296*J2296</f>
        <v>1234.4569999999999</v>
      </c>
      <c r="M2296" s="162" t="s">
        <v>3736</v>
      </c>
      <c r="N2296" s="39">
        <v>45051</v>
      </c>
      <c r="O2296" s="38">
        <v>5199</v>
      </c>
      <c r="P2296" s="46">
        <f t="shared" ref="P2296:P2307" si="124">K2296*0.92</f>
        <v>3.7995999999999999</v>
      </c>
      <c r="Q2296" s="703">
        <v>3.8</v>
      </c>
      <c r="R2296" s="704">
        <f t="shared" ref="R2296:R2307" si="125">Q2296*J2296</f>
        <v>1135.82</v>
      </c>
      <c r="S2296" s="46">
        <f t="shared" ref="S2296:S2307" si="126">K2296*0.84</f>
        <v>3.4691999999999998</v>
      </c>
      <c r="T2296" s="1308">
        <f t="shared" ref="T2296:T2307" si="127">S2296*J2296</f>
        <v>1036.9438799999998</v>
      </c>
      <c r="U2296" s="46"/>
      <c r="V2296" s="494">
        <v>120</v>
      </c>
      <c r="W2296" s="2041">
        <f t="shared" si="122"/>
        <v>0.99299999999999999</v>
      </c>
    </row>
    <row r="2297" spans="2:23" s="7" customFormat="1" ht="15.95" customHeight="1">
      <c r="B2297" s="12"/>
      <c r="C2297" s="6" t="s">
        <v>5654</v>
      </c>
      <c r="D2297" s="15" t="s">
        <v>958</v>
      </c>
      <c r="E2297" s="24" t="s">
        <v>3491</v>
      </c>
      <c r="F2297" s="44"/>
      <c r="G2297" s="44" t="s">
        <v>3492</v>
      </c>
      <c r="H2297" s="8"/>
      <c r="I2297" s="8"/>
      <c r="J2297" s="198">
        <v>316.5</v>
      </c>
      <c r="K2297" s="46">
        <v>4.13</v>
      </c>
      <c r="L2297" s="46">
        <f t="shared" si="123"/>
        <v>1307.145</v>
      </c>
      <c r="M2297" s="162" t="s">
        <v>3736</v>
      </c>
      <c r="N2297" s="39">
        <v>45051</v>
      </c>
      <c r="O2297" s="38">
        <v>5199</v>
      </c>
      <c r="P2297" s="46">
        <f t="shared" si="124"/>
        <v>3.7995999999999999</v>
      </c>
      <c r="Q2297" s="703">
        <v>3.8</v>
      </c>
      <c r="R2297" s="704">
        <f t="shared" si="125"/>
        <v>1202.7</v>
      </c>
      <c r="S2297" s="46">
        <f t="shared" si="126"/>
        <v>3.4691999999999998</v>
      </c>
      <c r="T2297" s="1308">
        <f t="shared" si="127"/>
        <v>1098.0018</v>
      </c>
      <c r="U2297" s="46"/>
      <c r="V2297" s="494">
        <v>120</v>
      </c>
      <c r="W2297" s="2041">
        <f t="shared" si="122"/>
        <v>0.99299999999999999</v>
      </c>
    </row>
    <row r="2298" spans="2:23" s="7" customFormat="1" ht="15.95" customHeight="1">
      <c r="B2298" s="12"/>
      <c r="C2298" s="6" t="s">
        <v>5654</v>
      </c>
      <c r="D2298" s="15" t="s">
        <v>958</v>
      </c>
      <c r="E2298" s="24" t="s">
        <v>5493</v>
      </c>
      <c r="F2298" s="44"/>
      <c r="G2298" s="44" t="s">
        <v>3492</v>
      </c>
      <c r="H2298" s="8"/>
      <c r="I2298" s="8"/>
      <c r="J2298" s="198">
        <v>543.29999999999995</v>
      </c>
      <c r="K2298" s="46">
        <v>8.34</v>
      </c>
      <c r="L2298" s="46">
        <f t="shared" si="123"/>
        <v>4531.1219999999994</v>
      </c>
      <c r="M2298" s="162" t="s">
        <v>3736</v>
      </c>
      <c r="N2298" s="39">
        <v>45051</v>
      </c>
      <c r="O2298" s="38">
        <v>5199</v>
      </c>
      <c r="P2298" s="46">
        <f t="shared" si="124"/>
        <v>7.6728000000000005</v>
      </c>
      <c r="Q2298" s="703">
        <v>7.67</v>
      </c>
      <c r="R2298" s="704">
        <f t="shared" si="125"/>
        <v>4167.1109999999999</v>
      </c>
      <c r="S2298" s="46">
        <f t="shared" si="126"/>
        <v>7.0055999999999994</v>
      </c>
      <c r="T2298" s="1308">
        <f t="shared" si="127"/>
        <v>3806.1424799999995</v>
      </c>
      <c r="U2298" s="46"/>
      <c r="V2298" s="494">
        <v>120</v>
      </c>
      <c r="W2298" s="2041">
        <f t="shared" si="122"/>
        <v>0.99299999999999999</v>
      </c>
    </row>
    <row r="2299" spans="2:23" s="7" customFormat="1" ht="15.95" customHeight="1">
      <c r="B2299" s="12"/>
      <c r="C2299" s="6" t="s">
        <v>5654</v>
      </c>
      <c r="D2299" s="15" t="s">
        <v>958</v>
      </c>
      <c r="E2299" s="24" t="s">
        <v>5493</v>
      </c>
      <c r="F2299" s="44"/>
      <c r="G2299" s="44" t="s">
        <v>3718</v>
      </c>
      <c r="H2299" s="8"/>
      <c r="I2299" s="8"/>
      <c r="J2299" s="198">
        <v>54.8</v>
      </c>
      <c r="K2299" s="46">
        <v>8.34</v>
      </c>
      <c r="L2299" s="46">
        <f t="shared" si="123"/>
        <v>457.03199999999998</v>
      </c>
      <c r="M2299" s="162" t="s">
        <v>3736</v>
      </c>
      <c r="N2299" s="39">
        <v>45057</v>
      </c>
      <c r="O2299" s="38">
        <v>5213</v>
      </c>
      <c r="P2299" s="46">
        <f t="shared" si="124"/>
        <v>7.6728000000000005</v>
      </c>
      <c r="Q2299" s="703">
        <v>7.3</v>
      </c>
      <c r="R2299" s="704">
        <f t="shared" si="125"/>
        <v>400.03999999999996</v>
      </c>
      <c r="S2299" s="46">
        <f t="shared" si="126"/>
        <v>7.0055999999999994</v>
      </c>
      <c r="T2299" s="1308">
        <f t="shared" si="127"/>
        <v>383.90687999999994</v>
      </c>
      <c r="U2299" s="46"/>
      <c r="V2299" s="494">
        <v>120</v>
      </c>
      <c r="W2299" s="2041">
        <f t="shared" si="122"/>
        <v>0.99299999999999999</v>
      </c>
    </row>
    <row r="2300" spans="2:23" s="7" customFormat="1" ht="15.95" customHeight="1">
      <c r="B2300" s="12"/>
      <c r="C2300" s="6" t="s">
        <v>5654</v>
      </c>
      <c r="D2300" s="15" t="s">
        <v>958</v>
      </c>
      <c r="E2300" s="24" t="s">
        <v>5493</v>
      </c>
      <c r="F2300" s="44"/>
      <c r="G2300" s="44" t="s">
        <v>3492</v>
      </c>
      <c r="H2300" s="8"/>
      <c r="I2300" s="8"/>
      <c r="J2300" s="198">
        <v>102</v>
      </c>
      <c r="K2300" s="46">
        <v>8.34</v>
      </c>
      <c r="L2300" s="46">
        <f t="shared" si="123"/>
        <v>850.68</v>
      </c>
      <c r="M2300" s="162" t="s">
        <v>3736</v>
      </c>
      <c r="N2300" s="39">
        <v>45063</v>
      </c>
      <c r="O2300" s="38">
        <v>5232</v>
      </c>
      <c r="P2300" s="46">
        <f t="shared" si="124"/>
        <v>7.6728000000000005</v>
      </c>
      <c r="Q2300" s="703">
        <v>7.3</v>
      </c>
      <c r="R2300" s="704">
        <f t="shared" si="125"/>
        <v>744.6</v>
      </c>
      <c r="S2300" s="46">
        <f t="shared" si="126"/>
        <v>7.0055999999999994</v>
      </c>
      <c r="T2300" s="1308">
        <f t="shared" si="127"/>
        <v>714.57119999999998</v>
      </c>
      <c r="U2300" s="46"/>
      <c r="V2300" s="494">
        <v>120</v>
      </c>
      <c r="W2300" s="2041">
        <f t="shared" si="122"/>
        <v>0.99299999999999999</v>
      </c>
    </row>
    <row r="2301" spans="2:23" s="7" customFormat="1" ht="15.95" customHeight="1">
      <c r="B2301" s="12"/>
      <c r="C2301" s="6" t="s">
        <v>5654</v>
      </c>
      <c r="D2301" s="15" t="s">
        <v>958</v>
      </c>
      <c r="E2301" s="24" t="s">
        <v>5493</v>
      </c>
      <c r="F2301" s="44"/>
      <c r="G2301" s="44" t="s">
        <v>5652</v>
      </c>
      <c r="H2301" s="8"/>
      <c r="I2301" s="8"/>
      <c r="J2301" s="198">
        <v>1252.5</v>
      </c>
      <c r="K2301" s="46">
        <v>8.34</v>
      </c>
      <c r="L2301" s="46">
        <f t="shared" si="123"/>
        <v>10445.85</v>
      </c>
      <c r="M2301" s="162" t="s">
        <v>3736</v>
      </c>
      <c r="N2301" s="39">
        <v>45063</v>
      </c>
      <c r="O2301" s="38">
        <v>5232</v>
      </c>
      <c r="P2301" s="46">
        <f t="shared" si="124"/>
        <v>7.6728000000000005</v>
      </c>
      <c r="Q2301" s="703">
        <v>7.3</v>
      </c>
      <c r="R2301" s="704">
        <f t="shared" si="125"/>
        <v>9143.25</v>
      </c>
      <c r="S2301" s="46">
        <f t="shared" si="126"/>
        <v>7.0055999999999994</v>
      </c>
      <c r="T2301" s="1308">
        <f t="shared" si="127"/>
        <v>8774.5139999999992</v>
      </c>
      <c r="U2301" s="46"/>
      <c r="V2301" s="494">
        <v>120</v>
      </c>
      <c r="W2301" s="2041">
        <f t="shared" si="122"/>
        <v>0.99299999999999999</v>
      </c>
    </row>
    <row r="2302" spans="2:23" s="7" customFormat="1" ht="15.95" customHeight="1">
      <c r="B2302" s="12"/>
      <c r="C2302" s="6" t="s">
        <v>5654</v>
      </c>
      <c r="D2302" s="15" t="s">
        <v>958</v>
      </c>
      <c r="E2302" s="24" t="s">
        <v>5493</v>
      </c>
      <c r="F2302" s="44"/>
      <c r="G2302" s="44" t="s">
        <v>3718</v>
      </c>
      <c r="H2302" s="8"/>
      <c r="I2302" s="8"/>
      <c r="J2302" s="198">
        <v>108</v>
      </c>
      <c r="K2302" s="46">
        <v>8.34</v>
      </c>
      <c r="L2302" s="46">
        <f t="shared" si="123"/>
        <v>900.72</v>
      </c>
      <c r="M2302" s="162" t="s">
        <v>3736</v>
      </c>
      <c r="N2302" s="39">
        <v>45063</v>
      </c>
      <c r="O2302" s="38">
        <v>5232</v>
      </c>
      <c r="P2302" s="46">
        <f t="shared" si="124"/>
        <v>7.6728000000000005</v>
      </c>
      <c r="Q2302" s="703">
        <v>7.3</v>
      </c>
      <c r="R2302" s="704">
        <f t="shared" si="125"/>
        <v>788.4</v>
      </c>
      <c r="S2302" s="46">
        <f t="shared" si="126"/>
        <v>7.0055999999999994</v>
      </c>
      <c r="T2302" s="1308">
        <f t="shared" si="127"/>
        <v>756.60479999999995</v>
      </c>
      <c r="U2302" s="46"/>
      <c r="V2302" s="494">
        <v>120</v>
      </c>
      <c r="W2302" s="2041">
        <f t="shared" si="122"/>
        <v>0.99299999999999999</v>
      </c>
    </row>
    <row r="2303" spans="2:23" s="7" customFormat="1" ht="15.95" customHeight="1">
      <c r="B2303" s="12"/>
      <c r="C2303" s="6" t="s">
        <v>5654</v>
      </c>
      <c r="D2303" s="15" t="s">
        <v>958</v>
      </c>
      <c r="E2303" s="24" t="s">
        <v>5493</v>
      </c>
      <c r="F2303" s="44"/>
      <c r="G2303" s="44" t="s">
        <v>5652</v>
      </c>
      <c r="H2303" s="8"/>
      <c r="I2303" s="8"/>
      <c r="J2303" s="198">
        <v>317.10000000000002</v>
      </c>
      <c r="K2303" s="46">
        <v>8.34</v>
      </c>
      <c r="L2303" s="46">
        <f t="shared" si="123"/>
        <v>2644.614</v>
      </c>
      <c r="M2303" s="162" t="s">
        <v>3736</v>
      </c>
      <c r="N2303" s="39">
        <v>45069</v>
      </c>
      <c r="O2303" s="38">
        <v>5257</v>
      </c>
      <c r="P2303" s="46">
        <f t="shared" si="124"/>
        <v>7.6728000000000005</v>
      </c>
      <c r="Q2303" s="703">
        <v>7.3</v>
      </c>
      <c r="R2303" s="704">
        <f t="shared" si="125"/>
        <v>2314.83</v>
      </c>
      <c r="S2303" s="46">
        <f t="shared" si="126"/>
        <v>7.0055999999999994</v>
      </c>
      <c r="T2303" s="1308">
        <f t="shared" si="127"/>
        <v>2221.4757599999998</v>
      </c>
      <c r="U2303" s="46"/>
      <c r="V2303" s="494">
        <v>120</v>
      </c>
      <c r="W2303" s="2041">
        <f t="shared" si="122"/>
        <v>0.99299999999999999</v>
      </c>
    </row>
    <row r="2304" spans="2:23" s="7" customFormat="1" ht="15.95" customHeight="1">
      <c r="B2304" s="12"/>
      <c r="C2304" s="6" t="s">
        <v>5654</v>
      </c>
      <c r="D2304" s="15" t="s">
        <v>958</v>
      </c>
      <c r="E2304" s="24" t="s">
        <v>5493</v>
      </c>
      <c r="F2304" s="44"/>
      <c r="G2304" s="44" t="s">
        <v>3492</v>
      </c>
      <c r="H2304" s="8"/>
      <c r="I2304" s="8"/>
      <c r="J2304" s="198">
        <v>515.20000000000005</v>
      </c>
      <c r="K2304" s="46">
        <v>8.34</v>
      </c>
      <c r="L2304" s="46">
        <f t="shared" si="123"/>
        <v>4296.768</v>
      </c>
      <c r="M2304" s="162" t="s">
        <v>3736</v>
      </c>
      <c r="N2304" s="39">
        <v>45069</v>
      </c>
      <c r="O2304" s="38">
        <v>5257</v>
      </c>
      <c r="P2304" s="46">
        <f t="shared" si="124"/>
        <v>7.6728000000000005</v>
      </c>
      <c r="Q2304" s="703">
        <v>7.3</v>
      </c>
      <c r="R2304" s="704">
        <f t="shared" si="125"/>
        <v>3760.96</v>
      </c>
      <c r="S2304" s="46">
        <f t="shared" si="126"/>
        <v>7.0055999999999994</v>
      </c>
      <c r="T2304" s="1308">
        <f t="shared" si="127"/>
        <v>3609.28512</v>
      </c>
      <c r="U2304" s="46"/>
      <c r="V2304" s="494">
        <v>120</v>
      </c>
      <c r="W2304" s="2041">
        <f t="shared" si="122"/>
        <v>0.99299999999999999</v>
      </c>
    </row>
    <row r="2305" spans="2:23" s="7" customFormat="1" ht="15.95" customHeight="1">
      <c r="B2305" s="12"/>
      <c r="C2305" s="6" t="s">
        <v>5654</v>
      </c>
      <c r="D2305" s="15" t="s">
        <v>958</v>
      </c>
      <c r="E2305" s="24" t="s">
        <v>5493</v>
      </c>
      <c r="F2305" s="44"/>
      <c r="G2305" s="44" t="s">
        <v>5652</v>
      </c>
      <c r="H2305" s="8"/>
      <c r="I2305" s="8"/>
      <c r="J2305" s="198">
        <v>54</v>
      </c>
      <c r="K2305" s="46">
        <v>8.34</v>
      </c>
      <c r="L2305" s="46">
        <f t="shared" si="123"/>
        <v>450.36</v>
      </c>
      <c r="M2305" s="162" t="s">
        <v>3736</v>
      </c>
      <c r="N2305" s="39">
        <v>45072</v>
      </c>
      <c r="O2305" s="38">
        <v>5266</v>
      </c>
      <c r="P2305" s="46">
        <f t="shared" si="124"/>
        <v>7.6728000000000005</v>
      </c>
      <c r="Q2305" s="703">
        <v>7.3</v>
      </c>
      <c r="R2305" s="704">
        <f t="shared" si="125"/>
        <v>394.2</v>
      </c>
      <c r="S2305" s="46">
        <f t="shared" si="126"/>
        <v>7.0055999999999994</v>
      </c>
      <c r="T2305" s="1308">
        <f t="shared" si="127"/>
        <v>378.30239999999998</v>
      </c>
      <c r="U2305" s="46"/>
      <c r="V2305" s="494">
        <v>120</v>
      </c>
      <c r="W2305" s="2041">
        <f t="shared" si="122"/>
        <v>0.99299999999999999</v>
      </c>
    </row>
    <row r="2306" spans="2:23" s="7" customFormat="1" ht="15.95" customHeight="1">
      <c r="B2306" s="12"/>
      <c r="C2306" s="6" t="s">
        <v>5654</v>
      </c>
      <c r="D2306" s="15" t="s">
        <v>958</v>
      </c>
      <c r="E2306" s="24" t="s">
        <v>5493</v>
      </c>
      <c r="F2306" s="44"/>
      <c r="G2306" s="44" t="s">
        <v>3492</v>
      </c>
      <c r="H2306" s="8"/>
      <c r="I2306" s="8"/>
      <c r="J2306" s="198">
        <v>2581.4</v>
      </c>
      <c r="K2306" s="46">
        <v>8.34</v>
      </c>
      <c r="L2306" s="46">
        <f t="shared" si="123"/>
        <v>21528.876</v>
      </c>
      <c r="M2306" s="162" t="s">
        <v>3736</v>
      </c>
      <c r="N2306" s="39">
        <v>45072</v>
      </c>
      <c r="O2306" s="38">
        <v>5266</v>
      </c>
      <c r="P2306" s="46">
        <f t="shared" si="124"/>
        <v>7.6728000000000005</v>
      </c>
      <c r="Q2306" s="703">
        <v>7.3</v>
      </c>
      <c r="R2306" s="704">
        <f t="shared" si="125"/>
        <v>18844.22</v>
      </c>
      <c r="S2306" s="46">
        <f t="shared" si="126"/>
        <v>7.0055999999999994</v>
      </c>
      <c r="T2306" s="1308">
        <f t="shared" si="127"/>
        <v>18084.255839999998</v>
      </c>
      <c r="U2306" s="46"/>
      <c r="V2306" s="494">
        <v>120</v>
      </c>
      <c r="W2306" s="2041">
        <f t="shared" si="122"/>
        <v>0.99299999999999999</v>
      </c>
    </row>
    <row r="2307" spans="2:23" s="7" customFormat="1" ht="15.95" customHeight="1">
      <c r="B2307" s="12"/>
      <c r="C2307" s="6" t="s">
        <v>5831</v>
      </c>
      <c r="D2307" s="15" t="s">
        <v>958</v>
      </c>
      <c r="E2307" s="24" t="s">
        <v>5493</v>
      </c>
      <c r="F2307" s="44"/>
      <c r="G2307" s="44" t="s">
        <v>3718</v>
      </c>
      <c r="H2307" s="8"/>
      <c r="I2307" s="8"/>
      <c r="J2307" s="198">
        <v>53.8</v>
      </c>
      <c r="K2307" s="46">
        <v>8.34</v>
      </c>
      <c r="L2307" s="46">
        <f t="shared" si="123"/>
        <v>448.69199999999995</v>
      </c>
      <c r="M2307" s="162" t="s">
        <v>3736</v>
      </c>
      <c r="N2307" s="39">
        <v>45072</v>
      </c>
      <c r="O2307" s="38">
        <v>5266</v>
      </c>
      <c r="P2307" s="46">
        <f t="shared" si="124"/>
        <v>7.6728000000000005</v>
      </c>
      <c r="Q2307" s="703">
        <v>7.3</v>
      </c>
      <c r="R2307" s="704">
        <f t="shared" si="125"/>
        <v>392.73999999999995</v>
      </c>
      <c r="S2307" s="46">
        <f t="shared" si="126"/>
        <v>7.0055999999999994</v>
      </c>
      <c r="T2307" s="1308">
        <f t="shared" si="127"/>
        <v>376.90127999999993</v>
      </c>
      <c r="U2307" s="46"/>
      <c r="V2307" s="494">
        <v>120</v>
      </c>
      <c r="W2307" s="2041">
        <f t="shared" si="122"/>
        <v>0.99299999999999999</v>
      </c>
    </row>
    <row r="2308" spans="2:23" s="314" customFormat="1" ht="15.6" customHeight="1">
      <c r="B2308" s="313"/>
      <c r="C2308" s="302" t="s">
        <v>5654</v>
      </c>
      <c r="D2308" s="303" t="s">
        <v>958</v>
      </c>
      <c r="E2308" s="371"/>
      <c r="F2308" s="305"/>
      <c r="G2308" s="305" t="s">
        <v>1227</v>
      </c>
      <c r="H2308" s="307" t="s">
        <v>5693</v>
      </c>
      <c r="I2308" s="308"/>
      <c r="J2308" s="306"/>
      <c r="K2308" s="315">
        <v>0</v>
      </c>
      <c r="L2308" s="310"/>
      <c r="M2308" s="310"/>
      <c r="N2308" s="310">
        <v>45072</v>
      </c>
      <c r="O2308" s="309">
        <v>5266</v>
      </c>
      <c r="P2308" s="302"/>
      <c r="Q2308" s="531">
        <v>0</v>
      </c>
      <c r="S2308" s="535">
        <v>0</v>
      </c>
      <c r="T2308" s="322">
        <v>0</v>
      </c>
      <c r="U2308" s="1115"/>
      <c r="V2308" s="494">
        <v>120</v>
      </c>
      <c r="W2308" s="2041" t="e">
        <f t="shared" si="122"/>
        <v>#DIV/0!</v>
      </c>
    </row>
    <row r="2309" spans="2:23" s="7" customFormat="1" ht="18" customHeight="1">
      <c r="B2309" s="12"/>
      <c r="C2309" s="6" t="s">
        <v>5660</v>
      </c>
      <c r="D2309" s="15" t="s">
        <v>2451</v>
      </c>
      <c r="E2309" s="20" t="s">
        <v>1647</v>
      </c>
      <c r="F2309" s="150"/>
      <c r="G2309" s="24"/>
      <c r="H2309" s="151"/>
      <c r="I2309" s="152"/>
      <c r="J2309" s="151"/>
      <c r="K2309" s="34" t="s">
        <v>10</v>
      </c>
      <c r="L2309" s="39"/>
      <c r="M2309" s="39"/>
      <c r="N2309" s="39">
        <v>45068</v>
      </c>
      <c r="O2309" s="38">
        <v>5229</v>
      </c>
      <c r="P2309" s="15"/>
      <c r="Q2309" s="483"/>
      <c r="S2309" s="489"/>
      <c r="T2309" s="113"/>
      <c r="U2309" s="506"/>
      <c r="V2309" s="494">
        <v>120</v>
      </c>
      <c r="W2309" s="2041" t="e">
        <f t="shared" si="122"/>
        <v>#VALUE!</v>
      </c>
    </row>
    <row r="2310" spans="2:23" s="7" customFormat="1" ht="15" customHeight="1">
      <c r="B2310" s="12" t="s">
        <v>1858</v>
      </c>
      <c r="C2310" s="6" t="s">
        <v>5660</v>
      </c>
      <c r="D2310" s="15" t="s">
        <v>2451</v>
      </c>
      <c r="E2310" s="24" t="s">
        <v>2447</v>
      </c>
      <c r="F2310" s="150">
        <v>152</v>
      </c>
      <c r="G2310" s="24" t="s">
        <v>114</v>
      </c>
      <c r="H2310" s="8">
        <v>58</v>
      </c>
      <c r="I2310" s="41">
        <v>13</v>
      </c>
      <c r="J2310" s="8">
        <f>H2310*I2310</f>
        <v>754</v>
      </c>
      <c r="K2310" s="46">
        <v>5.84</v>
      </c>
      <c r="L2310" s="46">
        <f>K2310*J2310</f>
        <v>4403.3599999999997</v>
      </c>
      <c r="M2310" s="162" t="s">
        <v>2219</v>
      </c>
      <c r="N2310" s="39">
        <v>45068</v>
      </c>
      <c r="O2310" s="38">
        <v>5229</v>
      </c>
      <c r="P2310" s="46">
        <v>4.7699999999999996</v>
      </c>
      <c r="Q2310" s="483">
        <v>4.7699999999999996</v>
      </c>
      <c r="R2310" s="704">
        <f>Q2310*J2310</f>
        <v>3596.5799999999995</v>
      </c>
      <c r="S2310" s="489">
        <f>320+15</f>
        <v>335</v>
      </c>
      <c r="T2310" s="567">
        <f>S2310*J2310</f>
        <v>252590</v>
      </c>
      <c r="U2310" s="882"/>
      <c r="V2310" s="494">
        <v>120</v>
      </c>
      <c r="W2310" s="2041">
        <f t="shared" si="122"/>
        <v>0.52197488584474883</v>
      </c>
    </row>
    <row r="2311" spans="2:23" s="7" customFormat="1" ht="15" customHeight="1">
      <c r="B2311" s="12" t="s">
        <v>1862</v>
      </c>
      <c r="C2311" s="6" t="s">
        <v>5660</v>
      </c>
      <c r="D2311" s="15" t="s">
        <v>2451</v>
      </c>
      <c r="E2311" s="56"/>
      <c r="F2311" s="138"/>
      <c r="G2311" s="44" t="s">
        <v>1993</v>
      </c>
      <c r="H2311" s="45"/>
      <c r="I2311" s="41"/>
      <c r="J2311" s="45">
        <v>1</v>
      </c>
      <c r="K2311" s="46">
        <v>20</v>
      </c>
      <c r="L2311" s="46">
        <v>0</v>
      </c>
      <c r="M2311" s="112"/>
      <c r="N2311" s="39">
        <v>45068</v>
      </c>
      <c r="O2311" s="38">
        <v>5229</v>
      </c>
      <c r="P2311" s="46">
        <f>K2311*(VLOOKUP(B2311,$C$2:$F$6,3,FALSE))</f>
        <v>20</v>
      </c>
      <c r="Q2311" s="483">
        <v>20</v>
      </c>
      <c r="R2311" s="483">
        <v>20</v>
      </c>
      <c r="S2311" s="489">
        <v>0</v>
      </c>
      <c r="T2311" s="113">
        <v>0</v>
      </c>
      <c r="U2311" s="501"/>
      <c r="V2311" s="494">
        <v>120</v>
      </c>
      <c r="W2311" s="2041">
        <f t="shared" si="122"/>
        <v>1</v>
      </c>
    </row>
    <row r="2312" spans="2:23" s="378" customFormat="1" ht="15" customHeight="1">
      <c r="B2312" s="312"/>
      <c r="C2312" s="302" t="s">
        <v>5660</v>
      </c>
      <c r="D2312" s="303" t="s">
        <v>2451</v>
      </c>
      <c r="E2312" s="304"/>
      <c r="F2312" s="305"/>
      <c r="G2312" s="305" t="s">
        <v>2371</v>
      </c>
      <c r="H2312" s="307" t="s">
        <v>1442</v>
      </c>
      <c r="I2312" s="308"/>
      <c r="J2312" s="306">
        <v>754</v>
      </c>
      <c r="K2312" s="315">
        <f>0.77*J2312</f>
        <v>580.58000000000004</v>
      </c>
      <c r="L2312" s="310"/>
      <c r="M2312" s="310"/>
      <c r="N2312" s="310">
        <v>45068</v>
      </c>
      <c r="O2312" s="309">
        <v>5229</v>
      </c>
      <c r="P2312" s="302"/>
      <c r="Q2312" s="315">
        <f>580.58-Q2311</f>
        <v>560.58000000000004</v>
      </c>
      <c r="R2312" s="315">
        <f>580.58-R2311</f>
        <v>560.58000000000004</v>
      </c>
      <c r="S2312" s="1880">
        <f>16793+3388</f>
        <v>20181</v>
      </c>
      <c r="T2312" s="1880">
        <f>16793+3388</f>
        <v>20181</v>
      </c>
      <c r="U2312" s="515"/>
      <c r="V2312" s="494">
        <v>120</v>
      </c>
      <c r="W2312" s="2041">
        <f t="shared" si="122"/>
        <v>0.71033277067759826</v>
      </c>
    </row>
    <row r="2313" spans="2:23" s="7" customFormat="1" ht="18" customHeight="1">
      <c r="B2313" s="12"/>
      <c r="C2313" s="6" t="s">
        <v>5660</v>
      </c>
      <c r="D2313" s="15" t="s">
        <v>2451</v>
      </c>
      <c r="E2313" s="20" t="s">
        <v>1647</v>
      </c>
      <c r="F2313" s="150"/>
      <c r="G2313" s="24"/>
      <c r="H2313" s="151"/>
      <c r="I2313" s="152"/>
      <c r="J2313" s="151"/>
      <c r="K2313" s="34" t="s">
        <v>10</v>
      </c>
      <c r="L2313" s="39"/>
      <c r="M2313" s="39"/>
      <c r="N2313" s="39">
        <v>45042</v>
      </c>
      <c r="O2313" s="38">
        <v>5167</v>
      </c>
      <c r="P2313" s="15"/>
      <c r="Q2313" s="483"/>
      <c r="S2313" s="489"/>
      <c r="T2313" s="113"/>
      <c r="U2313" s="506"/>
      <c r="V2313" s="494">
        <v>120</v>
      </c>
      <c r="W2313" s="2041" t="e">
        <f t="shared" si="122"/>
        <v>#VALUE!</v>
      </c>
    </row>
    <row r="2314" spans="2:23" s="7" customFormat="1" ht="15" customHeight="1">
      <c r="B2314" s="12" t="s">
        <v>1858</v>
      </c>
      <c r="C2314" s="6" t="s">
        <v>5660</v>
      </c>
      <c r="D2314" s="15" t="s">
        <v>2451</v>
      </c>
      <c r="E2314" s="24" t="s">
        <v>2447</v>
      </c>
      <c r="F2314" s="150">
        <v>152</v>
      </c>
      <c r="G2314" s="24" t="s">
        <v>114</v>
      </c>
      <c r="H2314" s="8">
        <v>58</v>
      </c>
      <c r="I2314" s="41">
        <v>9</v>
      </c>
      <c r="J2314" s="8">
        <f>H2314*I2314</f>
        <v>522</v>
      </c>
      <c r="K2314" s="46">
        <v>5.84</v>
      </c>
      <c r="L2314" s="46">
        <f>K2314*J2314</f>
        <v>3048.48</v>
      </c>
      <c r="M2314" s="162" t="s">
        <v>2219</v>
      </c>
      <c r="N2314" s="39">
        <v>45042</v>
      </c>
      <c r="O2314" s="38">
        <v>5167</v>
      </c>
      <c r="P2314" s="46">
        <v>4.7699999999999996</v>
      </c>
      <c r="Q2314" s="483">
        <v>4.7699999999999996</v>
      </c>
      <c r="R2314" s="704">
        <f>Q2314*J2314</f>
        <v>2489.9399999999996</v>
      </c>
      <c r="S2314" s="489">
        <f>380+15</f>
        <v>395</v>
      </c>
      <c r="T2314" s="567">
        <f t="shared" ref="T2314:T2319" si="128">S2314*J2314</f>
        <v>206190</v>
      </c>
      <c r="U2314" s="882"/>
      <c r="V2314" s="494">
        <v>120</v>
      </c>
      <c r="W2314" s="2041">
        <f t="shared" si="122"/>
        <v>0.43635844748858443</v>
      </c>
    </row>
    <row r="2315" spans="2:23" s="7" customFormat="1" ht="15" customHeight="1">
      <c r="B2315" s="12" t="s">
        <v>1858</v>
      </c>
      <c r="C2315" s="6" t="s">
        <v>5660</v>
      </c>
      <c r="D2315" s="15" t="s">
        <v>2451</v>
      </c>
      <c r="E2315" s="24" t="s">
        <v>2447</v>
      </c>
      <c r="F2315" s="150">
        <v>152</v>
      </c>
      <c r="G2315" s="24" t="s">
        <v>5655</v>
      </c>
      <c r="H2315" s="8">
        <v>58</v>
      </c>
      <c r="I2315" s="41">
        <v>4</v>
      </c>
      <c r="J2315" s="8">
        <f>H2315*I2315</f>
        <v>232</v>
      </c>
      <c r="K2315" s="46">
        <v>5.84</v>
      </c>
      <c r="L2315" s="46">
        <f>K2315*J2315</f>
        <v>1354.8799999999999</v>
      </c>
      <c r="M2315" s="162" t="s">
        <v>2219</v>
      </c>
      <c r="N2315" s="39">
        <v>45042</v>
      </c>
      <c r="O2315" s="38">
        <v>5167</v>
      </c>
      <c r="P2315" s="46">
        <v>4.7699999999999996</v>
      </c>
      <c r="Q2315" s="483">
        <v>4.7699999999999996</v>
      </c>
      <c r="R2315" s="704">
        <f>Q2315*J2315</f>
        <v>1106.6399999999999</v>
      </c>
      <c r="S2315" s="489">
        <f>380+15</f>
        <v>395</v>
      </c>
      <c r="T2315" s="567">
        <f t="shared" si="128"/>
        <v>91640</v>
      </c>
      <c r="U2315" s="882"/>
      <c r="V2315" s="494">
        <v>120</v>
      </c>
      <c r="W2315" s="2041">
        <f t="shared" si="122"/>
        <v>0.43635844748858443</v>
      </c>
    </row>
    <row r="2316" spans="2:23" s="7" customFormat="1" ht="15" customHeight="1">
      <c r="B2316" s="12" t="s">
        <v>1858</v>
      </c>
      <c r="C2316" s="6" t="s">
        <v>5660</v>
      </c>
      <c r="D2316" s="15" t="s">
        <v>2451</v>
      </c>
      <c r="E2316" s="24" t="s">
        <v>2447</v>
      </c>
      <c r="F2316" s="150">
        <v>152</v>
      </c>
      <c r="G2316" s="24" t="s">
        <v>5655</v>
      </c>
      <c r="H2316" s="8">
        <v>55</v>
      </c>
      <c r="I2316" s="41">
        <v>1</v>
      </c>
      <c r="J2316" s="8">
        <f>H2316*I2316</f>
        <v>55</v>
      </c>
      <c r="K2316" s="46">
        <v>5.84</v>
      </c>
      <c r="L2316" s="46">
        <f>K2316*J2316</f>
        <v>321.2</v>
      </c>
      <c r="M2316" s="162" t="s">
        <v>2219</v>
      </c>
      <c r="N2316" s="39">
        <v>45042</v>
      </c>
      <c r="O2316" s="38">
        <v>5167</v>
      </c>
      <c r="P2316" s="46">
        <v>4.7699999999999996</v>
      </c>
      <c r="Q2316" s="483">
        <v>4.7699999999999996</v>
      </c>
      <c r="R2316" s="704">
        <f>Q2316*J2316</f>
        <v>262.34999999999997</v>
      </c>
      <c r="S2316" s="489">
        <f>380+15</f>
        <v>395</v>
      </c>
      <c r="T2316" s="567">
        <f t="shared" si="128"/>
        <v>21725</v>
      </c>
      <c r="U2316" s="882"/>
      <c r="V2316" s="494">
        <v>120</v>
      </c>
      <c r="W2316" s="2041">
        <f t="shared" si="122"/>
        <v>0.43635844748858443</v>
      </c>
    </row>
    <row r="2317" spans="2:23" s="7" customFormat="1" ht="15" customHeight="1">
      <c r="B2317" s="12" t="s">
        <v>1858</v>
      </c>
      <c r="C2317" s="6" t="s">
        <v>5660</v>
      </c>
      <c r="D2317" s="15" t="s">
        <v>2451</v>
      </c>
      <c r="E2317" s="24" t="s">
        <v>2447</v>
      </c>
      <c r="F2317" s="150">
        <v>152</v>
      </c>
      <c r="G2317" s="24" t="s">
        <v>5656</v>
      </c>
      <c r="H2317" s="8">
        <v>58</v>
      </c>
      <c r="I2317" s="41">
        <v>2</v>
      </c>
      <c r="J2317" s="8">
        <f>H2317*I2317</f>
        <v>116</v>
      </c>
      <c r="K2317" s="46">
        <v>5.84</v>
      </c>
      <c r="L2317" s="46">
        <f>K2317*J2317</f>
        <v>677.43999999999994</v>
      </c>
      <c r="M2317" s="162" t="s">
        <v>2219</v>
      </c>
      <c r="N2317" s="39">
        <v>45042</v>
      </c>
      <c r="O2317" s="38">
        <v>5167</v>
      </c>
      <c r="P2317" s="46">
        <v>4.7699999999999996</v>
      </c>
      <c r="Q2317" s="483">
        <v>4.7699999999999996</v>
      </c>
      <c r="R2317" s="704">
        <f>Q2317*J2317</f>
        <v>553.31999999999994</v>
      </c>
      <c r="S2317" s="489">
        <f>380+15</f>
        <v>395</v>
      </c>
      <c r="T2317" s="567">
        <f t="shared" si="128"/>
        <v>45820</v>
      </c>
      <c r="U2317" s="882"/>
      <c r="V2317" s="494">
        <v>120</v>
      </c>
      <c r="W2317" s="2041">
        <f t="shared" si="122"/>
        <v>0.43635844748858443</v>
      </c>
    </row>
    <row r="2318" spans="2:23" s="7" customFormat="1" ht="15" customHeight="1">
      <c r="B2318" s="12" t="s">
        <v>1858</v>
      </c>
      <c r="C2318" s="6" t="s">
        <v>5660</v>
      </c>
      <c r="D2318" s="15" t="s">
        <v>2451</v>
      </c>
      <c r="E2318" s="24" t="s">
        <v>2447</v>
      </c>
      <c r="F2318" s="150">
        <v>152</v>
      </c>
      <c r="G2318" s="24" t="s">
        <v>5656</v>
      </c>
      <c r="H2318" s="8">
        <v>14</v>
      </c>
      <c r="I2318" s="41">
        <v>1</v>
      </c>
      <c r="J2318" s="8">
        <f>H2318*I2318</f>
        <v>14</v>
      </c>
      <c r="K2318" s="46">
        <v>5.84</v>
      </c>
      <c r="L2318" s="46">
        <f>K2318*J2318</f>
        <v>81.759999999999991</v>
      </c>
      <c r="M2318" s="162" t="s">
        <v>2219</v>
      </c>
      <c r="N2318" s="39">
        <v>45042</v>
      </c>
      <c r="O2318" s="38">
        <v>5167</v>
      </c>
      <c r="P2318" s="46">
        <v>4.7699999999999996</v>
      </c>
      <c r="Q2318" s="483">
        <v>4.7699999999999996</v>
      </c>
      <c r="R2318" s="704">
        <f>Q2318*J2318</f>
        <v>66.78</v>
      </c>
      <c r="S2318" s="489">
        <f>380+15</f>
        <v>395</v>
      </c>
      <c r="T2318" s="567">
        <f t="shared" si="128"/>
        <v>5530</v>
      </c>
      <c r="U2318" s="882"/>
      <c r="V2318" s="494">
        <v>120</v>
      </c>
      <c r="W2318" s="2041">
        <f t="shared" si="122"/>
        <v>0.43635844748858443</v>
      </c>
    </row>
    <row r="2319" spans="2:23" s="7" customFormat="1" ht="15" customHeight="1">
      <c r="B2319" s="12" t="s">
        <v>1862</v>
      </c>
      <c r="C2319" s="6" t="s">
        <v>5660</v>
      </c>
      <c r="D2319" s="15" t="s">
        <v>2451</v>
      </c>
      <c r="E2319" s="24"/>
      <c r="F2319" s="138"/>
      <c r="G2319" s="44" t="s">
        <v>75</v>
      </c>
      <c r="H2319" s="45"/>
      <c r="I2319" s="41"/>
      <c r="J2319" s="45">
        <v>1</v>
      </c>
      <c r="K2319" s="46">
        <v>12</v>
      </c>
      <c r="L2319" s="46">
        <v>0</v>
      </c>
      <c r="M2319" s="112"/>
      <c r="N2319" s="39">
        <v>45042</v>
      </c>
      <c r="O2319" s="38">
        <v>5167</v>
      </c>
      <c r="P2319" s="46"/>
      <c r="Q2319" s="483">
        <v>12</v>
      </c>
      <c r="R2319" s="483">
        <v>12</v>
      </c>
      <c r="S2319" s="489">
        <v>1000</v>
      </c>
      <c r="T2319" s="567">
        <f t="shared" si="128"/>
        <v>1000</v>
      </c>
      <c r="U2319" s="501"/>
      <c r="V2319" s="494">
        <v>120</v>
      </c>
      <c r="W2319" s="2041">
        <f t="shared" si="122"/>
        <v>0.30555555555555558</v>
      </c>
    </row>
    <row r="2320" spans="2:23" s="7" customFormat="1" ht="15" customHeight="1">
      <c r="B2320" s="12" t="s">
        <v>1862</v>
      </c>
      <c r="C2320" s="6" t="s">
        <v>5660</v>
      </c>
      <c r="D2320" s="15" t="s">
        <v>2451</v>
      </c>
      <c r="E2320" s="24"/>
      <c r="F2320" s="138"/>
      <c r="G2320" s="44" t="s">
        <v>1993</v>
      </c>
      <c r="H2320" s="45"/>
      <c r="I2320" s="41"/>
      <c r="J2320" s="45">
        <v>1</v>
      </c>
      <c r="K2320" s="46">
        <v>20</v>
      </c>
      <c r="L2320" s="46">
        <v>0</v>
      </c>
      <c r="M2320" s="112"/>
      <c r="N2320" s="39">
        <v>45042</v>
      </c>
      <c r="O2320" s="38">
        <v>5167</v>
      </c>
      <c r="P2320" s="46">
        <f>K2320*(VLOOKUP(B2320,$C$2:$F$6,3,FALSE))</f>
        <v>20</v>
      </c>
      <c r="Q2320" s="483">
        <v>20</v>
      </c>
      <c r="R2320" s="483">
        <v>20</v>
      </c>
      <c r="S2320" s="489">
        <v>1800</v>
      </c>
      <c r="T2320" s="113">
        <v>1800</v>
      </c>
      <c r="U2320" s="501"/>
      <c r="V2320" s="494">
        <v>120</v>
      </c>
      <c r="W2320" s="2041">
        <f t="shared" si="122"/>
        <v>0.25</v>
      </c>
    </row>
    <row r="2321" spans="2:23" s="378" customFormat="1" ht="15" customHeight="1">
      <c r="B2321" s="312"/>
      <c r="C2321" s="302" t="s">
        <v>5660</v>
      </c>
      <c r="D2321" s="303" t="s">
        <v>2451</v>
      </c>
      <c r="E2321" s="371"/>
      <c r="F2321" s="305"/>
      <c r="G2321" s="305" t="s">
        <v>2371</v>
      </c>
      <c r="H2321" s="307" t="s">
        <v>1442</v>
      </c>
      <c r="I2321" s="308"/>
      <c r="J2321" s="306">
        <v>939</v>
      </c>
      <c r="K2321" s="315">
        <f>0.77*J2321</f>
        <v>723.03</v>
      </c>
      <c r="L2321" s="310"/>
      <c r="M2321" s="310"/>
      <c r="N2321" s="310">
        <v>45042</v>
      </c>
      <c r="O2321" s="309">
        <v>5167</v>
      </c>
      <c r="P2321" s="302"/>
      <c r="Q2321" s="315">
        <f>723.03-Q2320-Q2319</f>
        <v>691.03</v>
      </c>
      <c r="R2321" s="315">
        <f>723.03-R2320-R2319</f>
        <v>691.03</v>
      </c>
      <c r="S2321" s="1880">
        <f>34087+3000</f>
        <v>37087</v>
      </c>
      <c r="T2321" s="1880">
        <f>34087+3000</f>
        <v>37087</v>
      </c>
      <c r="U2321" s="515"/>
      <c r="V2321" s="494">
        <v>120</v>
      </c>
      <c r="W2321" s="2041">
        <f t="shared" si="122"/>
        <v>0.57255116200803102</v>
      </c>
    </row>
    <row r="2322" spans="2:23" s="7" customFormat="1" ht="18" customHeight="1">
      <c r="B2322" s="12"/>
      <c r="C2322" s="6" t="s">
        <v>5773</v>
      </c>
      <c r="D2322" s="15" t="s">
        <v>2451</v>
      </c>
      <c r="E2322" s="20" t="s">
        <v>79</v>
      </c>
      <c r="F2322" s="150"/>
      <c r="G2322" s="24"/>
      <c r="H2322" s="151"/>
      <c r="I2322" s="152"/>
      <c r="J2322" s="151"/>
      <c r="K2322" s="34" t="s">
        <v>10</v>
      </c>
      <c r="L2322" s="39"/>
      <c r="M2322" s="39"/>
      <c r="N2322" s="39">
        <v>45042</v>
      </c>
      <c r="O2322" s="38">
        <v>5167</v>
      </c>
      <c r="P2322" s="15"/>
      <c r="Q2322" s="483"/>
      <c r="S2322" s="489"/>
      <c r="T2322" s="113"/>
      <c r="U2322" s="506"/>
      <c r="V2322" s="494">
        <v>120</v>
      </c>
      <c r="W2322" s="2041" t="e">
        <f t="shared" si="122"/>
        <v>#VALUE!</v>
      </c>
    </row>
    <row r="2323" spans="2:23" s="7" customFormat="1" ht="15" customHeight="1">
      <c r="B2323" s="12" t="s">
        <v>1858</v>
      </c>
      <c r="C2323" s="6" t="s">
        <v>5773</v>
      </c>
      <c r="D2323" s="15" t="s">
        <v>2451</v>
      </c>
      <c r="E2323" s="24">
        <v>2440</v>
      </c>
      <c r="F2323" s="150">
        <v>140</v>
      </c>
      <c r="G2323" s="24" t="s">
        <v>114</v>
      </c>
      <c r="H2323" s="8">
        <v>58</v>
      </c>
      <c r="I2323" s="41">
        <v>3</v>
      </c>
      <c r="J2323" s="67">
        <f>H2323*I2323</f>
        <v>174</v>
      </c>
      <c r="K2323" s="46">
        <v>4.88</v>
      </c>
      <c r="L2323" s="46">
        <f>K2323*J2323</f>
        <v>849.12</v>
      </c>
      <c r="M2323" s="162" t="s">
        <v>2219</v>
      </c>
      <c r="N2323" s="39">
        <v>45042</v>
      </c>
      <c r="O2323" s="38">
        <v>5167</v>
      </c>
      <c r="P2323" s="46">
        <v>4.12</v>
      </c>
      <c r="Q2323" s="483">
        <v>4.12</v>
      </c>
      <c r="R2323" s="704">
        <f>Q2323*J2323</f>
        <v>716.88</v>
      </c>
      <c r="S2323" s="489">
        <f>300+15</f>
        <v>315</v>
      </c>
      <c r="T2323" s="567">
        <f>S2323*J2323</f>
        <v>54810</v>
      </c>
      <c r="U2323" s="882"/>
      <c r="V2323" s="494">
        <v>120</v>
      </c>
      <c r="W2323" s="2041">
        <f t="shared" si="122"/>
        <v>0.46209016393442626</v>
      </c>
    </row>
    <row r="2324" spans="2:23" s="7" customFormat="1" ht="15" customHeight="1">
      <c r="B2324" s="12" t="s">
        <v>1858</v>
      </c>
      <c r="C2324" s="6" t="s">
        <v>5773</v>
      </c>
      <c r="D2324" s="15" t="s">
        <v>2451</v>
      </c>
      <c r="E2324" s="24">
        <v>2440</v>
      </c>
      <c r="F2324" s="150">
        <v>140</v>
      </c>
      <c r="G2324" s="24" t="s">
        <v>5566</v>
      </c>
      <c r="H2324" s="8">
        <v>58</v>
      </c>
      <c r="I2324" s="41">
        <v>3</v>
      </c>
      <c r="J2324" s="67">
        <f>H2324*I2324</f>
        <v>174</v>
      </c>
      <c r="K2324" s="46">
        <v>4.88</v>
      </c>
      <c r="L2324" s="46">
        <f>K2324*J2324</f>
        <v>849.12</v>
      </c>
      <c r="M2324" s="162" t="s">
        <v>2219</v>
      </c>
      <c r="N2324" s="39">
        <v>45042</v>
      </c>
      <c r="O2324" s="38">
        <v>5167</v>
      </c>
      <c r="P2324" s="46">
        <v>4.12</v>
      </c>
      <c r="Q2324" s="483">
        <v>4.12</v>
      </c>
      <c r="R2324" s="704">
        <f>Q2324*J2324</f>
        <v>716.88</v>
      </c>
      <c r="S2324" s="489">
        <f>300+15</f>
        <v>315</v>
      </c>
      <c r="T2324" s="567">
        <f>S2324*J2324</f>
        <v>54810</v>
      </c>
      <c r="U2324" s="882"/>
      <c r="V2324" s="494">
        <v>120</v>
      </c>
      <c r="W2324" s="2041">
        <f t="shared" si="122"/>
        <v>0.46209016393442626</v>
      </c>
    </row>
    <row r="2325" spans="2:23" s="7" customFormat="1" ht="15.95" customHeight="1">
      <c r="B2325" s="12"/>
      <c r="C2325" s="6" t="s">
        <v>5773</v>
      </c>
      <c r="D2325" s="15" t="s">
        <v>2451</v>
      </c>
      <c r="E2325" s="24"/>
      <c r="F2325" s="138"/>
      <c r="G2325" s="44" t="s">
        <v>1993</v>
      </c>
      <c r="H2325" s="8"/>
      <c r="I2325" s="41"/>
      <c r="J2325" s="45">
        <v>1</v>
      </c>
      <c r="K2325" s="46">
        <v>20</v>
      </c>
      <c r="L2325" s="46">
        <v>0</v>
      </c>
      <c r="M2325" s="39"/>
      <c r="N2325" s="39">
        <v>45042</v>
      </c>
      <c r="O2325" s="38">
        <v>5167</v>
      </c>
      <c r="P2325" s="6"/>
      <c r="Q2325" s="483">
        <v>20</v>
      </c>
      <c r="R2325" s="483">
        <v>20</v>
      </c>
      <c r="S2325" s="489">
        <v>0</v>
      </c>
      <c r="T2325" s="113">
        <f>S2325*J2325</f>
        <v>0</v>
      </c>
      <c r="U2325" s="501"/>
      <c r="V2325" s="494">
        <v>120</v>
      </c>
      <c r="W2325" s="2041">
        <f t="shared" si="122"/>
        <v>1</v>
      </c>
    </row>
    <row r="2326" spans="2:23" s="378" customFormat="1" ht="15" customHeight="1">
      <c r="B2326" s="312"/>
      <c r="C2326" s="302" t="s">
        <v>5773</v>
      </c>
      <c r="D2326" s="303" t="s">
        <v>2451</v>
      </c>
      <c r="E2326" s="304"/>
      <c r="F2326" s="305"/>
      <c r="G2326" s="305" t="s">
        <v>2371</v>
      </c>
      <c r="H2326" s="307" t="s">
        <v>5567</v>
      </c>
      <c r="I2326" s="308"/>
      <c r="J2326" s="306">
        <f>SUM(J2323:J2324)</f>
        <v>348</v>
      </c>
      <c r="K2326" s="315">
        <f>0.5*J2326</f>
        <v>174</v>
      </c>
      <c r="L2326" s="310"/>
      <c r="M2326" s="310"/>
      <c r="N2326" s="310">
        <v>45042</v>
      </c>
      <c r="O2326" s="309">
        <v>5167</v>
      </c>
      <c r="P2326" s="302"/>
      <c r="Q2326" s="315">
        <f>174-Q2325</f>
        <v>154</v>
      </c>
      <c r="R2326" s="315">
        <f>174-R2325</f>
        <v>154</v>
      </c>
      <c r="S2326" s="1969" t="s">
        <v>5835</v>
      </c>
      <c r="T2326" s="1969" t="s">
        <v>5835</v>
      </c>
      <c r="U2326" s="515"/>
      <c r="V2326" s="494">
        <v>120</v>
      </c>
      <c r="W2326" s="2041" t="e">
        <f t="shared" si="122"/>
        <v>#VALUE!</v>
      </c>
    </row>
    <row r="2327" spans="2:23" s="7" customFormat="1" ht="15" customHeight="1">
      <c r="B2327" s="12"/>
      <c r="C2327" s="6" t="s">
        <v>5659</v>
      </c>
      <c r="D2327" s="15" t="s">
        <v>958</v>
      </c>
      <c r="E2327" s="20" t="s">
        <v>628</v>
      </c>
      <c r="F2327" s="26"/>
      <c r="G2327" s="24"/>
      <c r="H2327" s="67"/>
      <c r="I2327" s="68"/>
      <c r="J2327" s="67"/>
      <c r="K2327" s="17" t="s">
        <v>134</v>
      </c>
      <c r="L2327" s="39"/>
      <c r="M2327" s="39"/>
      <c r="N2327" s="39">
        <v>45054</v>
      </c>
      <c r="O2327" s="38">
        <v>5117</v>
      </c>
      <c r="P2327" s="179" t="s">
        <v>23</v>
      </c>
      <c r="Q2327" s="438" t="s">
        <v>959</v>
      </c>
      <c r="R2327" s="704"/>
      <c r="S2327" s="489"/>
      <c r="T2327" s="113"/>
      <c r="U2327" s="510"/>
      <c r="V2327" s="494">
        <v>120</v>
      </c>
      <c r="W2327" s="2041" t="e">
        <f t="shared" si="122"/>
        <v>#VALUE!</v>
      </c>
    </row>
    <row r="2328" spans="2:23" s="7" customFormat="1" ht="18" customHeight="1">
      <c r="B2328" s="12" t="s">
        <v>1856</v>
      </c>
      <c r="C2328" s="6" t="s">
        <v>5659</v>
      </c>
      <c r="D2328" s="15" t="s">
        <v>958</v>
      </c>
      <c r="E2328" s="24">
        <v>5291</v>
      </c>
      <c r="F2328" s="26">
        <v>8</v>
      </c>
      <c r="G2328" s="24" t="s">
        <v>499</v>
      </c>
      <c r="H2328" s="67">
        <v>50</v>
      </c>
      <c r="I2328" s="68">
        <v>9</v>
      </c>
      <c r="J2328" s="67">
        <f>H2328*I2328</f>
        <v>450</v>
      </c>
      <c r="K2328" s="46">
        <v>0.85</v>
      </c>
      <c r="L2328" s="46">
        <f>K2328*J2328</f>
        <v>382.5</v>
      </c>
      <c r="M2328" s="162" t="s">
        <v>2219</v>
      </c>
      <c r="N2328" s="39">
        <v>45054</v>
      </c>
      <c r="O2328" s="38">
        <v>5117</v>
      </c>
      <c r="P2328" s="180">
        <v>0.43</v>
      </c>
      <c r="Q2328" s="180">
        <v>0.43</v>
      </c>
      <c r="R2328" s="704">
        <f>Q2328*J2328</f>
        <v>193.5</v>
      </c>
      <c r="S2328" s="489">
        <v>26</v>
      </c>
      <c r="T2328" s="113">
        <f>S2328*J2328</f>
        <v>11700</v>
      </c>
      <c r="U2328" s="867"/>
      <c r="V2328" s="494">
        <v>120</v>
      </c>
      <c r="W2328" s="2041">
        <f t="shared" si="122"/>
        <v>0.74509803921568629</v>
      </c>
    </row>
    <row r="2329" spans="2:23" ht="15.95" customHeight="1">
      <c r="C2329" s="6" t="s">
        <v>5659</v>
      </c>
      <c r="D2329" s="15" t="s">
        <v>958</v>
      </c>
      <c r="E2329" s="24"/>
      <c r="F2329" s="138"/>
      <c r="G2329" s="44" t="s">
        <v>1993</v>
      </c>
      <c r="H2329" s="8"/>
      <c r="I2329" s="41"/>
      <c r="J2329" s="45">
        <v>1</v>
      </c>
      <c r="K2329" s="46">
        <v>12</v>
      </c>
      <c r="L2329" s="46">
        <v>0</v>
      </c>
      <c r="M2329" s="112"/>
      <c r="N2329" s="39">
        <v>45054</v>
      </c>
      <c r="O2329" s="38">
        <v>5117</v>
      </c>
      <c r="P2329" s="179"/>
      <c r="Q2329" s="180">
        <v>10</v>
      </c>
      <c r="R2329" s="180">
        <v>10</v>
      </c>
      <c r="S2329" s="498">
        <v>850</v>
      </c>
      <c r="T2329" s="568">
        <f>S2329*J2329</f>
        <v>850</v>
      </c>
      <c r="U2329" s="511"/>
      <c r="V2329" s="494">
        <v>120</v>
      </c>
      <c r="W2329" s="2041">
        <f t="shared" si="122"/>
        <v>0.40972222222222221</v>
      </c>
    </row>
    <row r="2330" spans="2:23" s="314" customFormat="1" ht="15" customHeight="1">
      <c r="B2330" s="313"/>
      <c r="C2330" s="302" t="s">
        <v>5659</v>
      </c>
      <c r="D2330" s="303" t="s">
        <v>958</v>
      </c>
      <c r="E2330" s="304"/>
      <c r="F2330" s="305"/>
      <c r="G2330" s="305" t="s">
        <v>1227</v>
      </c>
      <c r="H2330" s="307" t="s">
        <v>1442</v>
      </c>
      <c r="I2330" s="308"/>
      <c r="J2330" s="410">
        <v>450</v>
      </c>
      <c r="K2330" s="315">
        <f>0.36*J2330</f>
        <v>162</v>
      </c>
      <c r="L2330" s="315"/>
      <c r="M2330" s="784"/>
      <c r="N2330" s="310">
        <v>45054</v>
      </c>
      <c r="O2330" s="309">
        <v>5117</v>
      </c>
      <c r="P2330" s="302"/>
      <c r="Q2330" s="315">
        <f>162-Q2329</f>
        <v>152</v>
      </c>
      <c r="R2330" s="315">
        <f>162-R2329</f>
        <v>152</v>
      </c>
      <c r="S2330" s="498">
        <v>6588</v>
      </c>
      <c r="T2330" s="498">
        <v>6588</v>
      </c>
      <c r="U2330" s="1084"/>
      <c r="V2330" s="494">
        <v>120</v>
      </c>
      <c r="W2330" s="2041">
        <f t="shared" si="122"/>
        <v>0.66111111111111109</v>
      </c>
    </row>
    <row r="2331" spans="2:23" ht="15">
      <c r="C2331" s="6" t="s">
        <v>5661</v>
      </c>
      <c r="D2331" s="15" t="s">
        <v>11</v>
      </c>
      <c r="E2331" s="20" t="s">
        <v>79</v>
      </c>
      <c r="F2331" s="150"/>
      <c r="G2331" s="24"/>
      <c r="H2331" s="151"/>
      <c r="I2331" s="152"/>
      <c r="J2331" s="151"/>
      <c r="K2331" s="153" t="s">
        <v>10</v>
      </c>
      <c r="L2331" s="39"/>
      <c r="M2331" s="39"/>
      <c r="N2331" s="39">
        <v>45022</v>
      </c>
      <c r="O2331" s="38">
        <v>5133</v>
      </c>
      <c r="P2331" s="15"/>
      <c r="Q2331" s="483"/>
      <c r="S2331" s="496"/>
      <c r="T2331" s="113"/>
      <c r="V2331" s="494">
        <v>120</v>
      </c>
      <c r="W2331" s="2041" t="e">
        <f t="shared" si="122"/>
        <v>#VALUE!</v>
      </c>
    </row>
    <row r="2332" spans="2:23" ht="15.75">
      <c r="B2332" s="12" t="s">
        <v>1858</v>
      </c>
      <c r="C2332" s="6" t="s">
        <v>5661</v>
      </c>
      <c r="D2332" s="15" t="s">
        <v>11</v>
      </c>
      <c r="E2332" s="24">
        <v>2440</v>
      </c>
      <c r="F2332" s="150">
        <v>140</v>
      </c>
      <c r="G2332" s="24" t="s">
        <v>5706</v>
      </c>
      <c r="H2332" s="67">
        <v>58</v>
      </c>
      <c r="I2332" s="68">
        <v>3</v>
      </c>
      <c r="J2332" s="67">
        <f t="shared" ref="J2332:J2340" si="129">H2332*I2332</f>
        <v>174</v>
      </c>
      <c r="K2332" s="46">
        <v>3.89</v>
      </c>
      <c r="L2332" s="46">
        <f t="shared" ref="L2332:L2340" si="130">K2332*J2332</f>
        <v>676.86</v>
      </c>
      <c r="M2332" s="162" t="s">
        <v>2219</v>
      </c>
      <c r="N2332" s="39">
        <v>45022</v>
      </c>
      <c r="O2332" s="38">
        <v>5133</v>
      </c>
      <c r="P2332" s="46">
        <f t="shared" ref="P2332:P2340" si="131">K2332*(VLOOKUP(B2332,$C$2:$F$6,3,FALSE))</f>
        <v>3.6566000000000001</v>
      </c>
      <c r="Q2332" s="483">
        <v>3.66</v>
      </c>
      <c r="R2332" s="704">
        <f t="shared" ref="R2332:R2341" si="132">Q2332*J2332</f>
        <v>636.84</v>
      </c>
      <c r="S2332" s="489">
        <f t="shared" ref="S2332:S2340" si="133">300+15</f>
        <v>315</v>
      </c>
      <c r="T2332" s="567">
        <f t="shared" ref="T2332:T2341" si="134">S2332*J2332</f>
        <v>54810</v>
      </c>
      <c r="V2332" s="494">
        <v>120</v>
      </c>
      <c r="W2332" s="2041">
        <f t="shared" si="122"/>
        <v>0.32519280205655526</v>
      </c>
    </row>
    <row r="2333" spans="2:23" ht="15.75">
      <c r="B2333" s="12" t="s">
        <v>1858</v>
      </c>
      <c r="C2333" s="6" t="s">
        <v>5661</v>
      </c>
      <c r="D2333" s="15" t="s">
        <v>11</v>
      </c>
      <c r="E2333" s="24">
        <v>2440</v>
      </c>
      <c r="F2333" s="150">
        <v>140</v>
      </c>
      <c r="G2333" s="24" t="s">
        <v>5663</v>
      </c>
      <c r="H2333" s="67">
        <v>58</v>
      </c>
      <c r="I2333" s="68">
        <v>3</v>
      </c>
      <c r="J2333" s="67">
        <f t="shared" si="129"/>
        <v>174</v>
      </c>
      <c r="K2333" s="46">
        <v>3.89</v>
      </c>
      <c r="L2333" s="46">
        <f t="shared" si="130"/>
        <v>676.86</v>
      </c>
      <c r="M2333" s="162" t="s">
        <v>2219</v>
      </c>
      <c r="N2333" s="39">
        <v>45022</v>
      </c>
      <c r="O2333" s="38">
        <v>5133</v>
      </c>
      <c r="P2333" s="46">
        <f t="shared" si="131"/>
        <v>3.6566000000000001</v>
      </c>
      <c r="Q2333" s="483">
        <v>3.66</v>
      </c>
      <c r="R2333" s="704">
        <f t="shared" si="132"/>
        <v>636.84</v>
      </c>
      <c r="S2333" s="489">
        <f t="shared" si="133"/>
        <v>315</v>
      </c>
      <c r="T2333" s="567">
        <f t="shared" si="134"/>
        <v>54810</v>
      </c>
      <c r="V2333" s="494">
        <v>120</v>
      </c>
      <c r="W2333" s="2041">
        <f t="shared" si="122"/>
        <v>0.32519280205655526</v>
      </c>
    </row>
    <row r="2334" spans="2:23" ht="15.75">
      <c r="B2334" s="12" t="s">
        <v>1858</v>
      </c>
      <c r="C2334" s="6" t="s">
        <v>5661</v>
      </c>
      <c r="D2334" s="15" t="s">
        <v>11</v>
      </c>
      <c r="E2334" s="24">
        <v>2440</v>
      </c>
      <c r="F2334" s="150">
        <v>140</v>
      </c>
      <c r="G2334" s="24" t="s">
        <v>5664</v>
      </c>
      <c r="H2334" s="67">
        <v>58</v>
      </c>
      <c r="I2334" s="68">
        <v>1</v>
      </c>
      <c r="J2334" s="67">
        <f t="shared" si="129"/>
        <v>58</v>
      </c>
      <c r="K2334" s="46">
        <v>3.89</v>
      </c>
      <c r="L2334" s="46">
        <f t="shared" si="130"/>
        <v>225.62</v>
      </c>
      <c r="M2334" s="162" t="s">
        <v>2219</v>
      </c>
      <c r="N2334" s="39">
        <v>45022</v>
      </c>
      <c r="O2334" s="38">
        <v>5133</v>
      </c>
      <c r="P2334" s="46">
        <f t="shared" si="131"/>
        <v>3.6566000000000001</v>
      </c>
      <c r="Q2334" s="483">
        <v>3.66</v>
      </c>
      <c r="R2334" s="704">
        <f t="shared" si="132"/>
        <v>212.28</v>
      </c>
      <c r="S2334" s="489">
        <f t="shared" si="133"/>
        <v>315</v>
      </c>
      <c r="T2334" s="567">
        <f t="shared" si="134"/>
        <v>18270</v>
      </c>
      <c r="V2334" s="494">
        <v>120</v>
      </c>
      <c r="W2334" s="2041">
        <f t="shared" si="122"/>
        <v>0.32519280205655526</v>
      </c>
    </row>
    <row r="2335" spans="2:23" ht="15.75">
      <c r="B2335" s="12" t="s">
        <v>1858</v>
      </c>
      <c r="C2335" s="6" t="s">
        <v>5661</v>
      </c>
      <c r="D2335" s="15" t="s">
        <v>11</v>
      </c>
      <c r="E2335" s="24">
        <v>2440</v>
      </c>
      <c r="F2335" s="150">
        <v>140</v>
      </c>
      <c r="G2335" s="24" t="s">
        <v>5665</v>
      </c>
      <c r="H2335" s="67">
        <v>58</v>
      </c>
      <c r="I2335" s="68">
        <v>1</v>
      </c>
      <c r="J2335" s="67">
        <f t="shared" si="129"/>
        <v>58</v>
      </c>
      <c r="K2335" s="46">
        <v>3.89</v>
      </c>
      <c r="L2335" s="46">
        <f t="shared" si="130"/>
        <v>225.62</v>
      </c>
      <c r="M2335" s="162" t="s">
        <v>2219</v>
      </c>
      <c r="N2335" s="39">
        <v>45022</v>
      </c>
      <c r="O2335" s="38">
        <v>5133</v>
      </c>
      <c r="P2335" s="46">
        <f t="shared" si="131"/>
        <v>3.6566000000000001</v>
      </c>
      <c r="Q2335" s="483">
        <v>3.66</v>
      </c>
      <c r="R2335" s="704">
        <f t="shared" si="132"/>
        <v>212.28</v>
      </c>
      <c r="S2335" s="489">
        <f t="shared" si="133"/>
        <v>315</v>
      </c>
      <c r="T2335" s="567">
        <f t="shared" si="134"/>
        <v>18270</v>
      </c>
      <c r="V2335" s="494">
        <v>120</v>
      </c>
      <c r="W2335" s="2041">
        <f t="shared" si="122"/>
        <v>0.32519280205655526</v>
      </c>
    </row>
    <row r="2336" spans="2:23" ht="15.75">
      <c r="B2336" s="12" t="s">
        <v>1858</v>
      </c>
      <c r="C2336" s="6" t="s">
        <v>5661</v>
      </c>
      <c r="D2336" s="15" t="s">
        <v>11</v>
      </c>
      <c r="E2336" s="24">
        <v>2440</v>
      </c>
      <c r="F2336" s="150">
        <v>140</v>
      </c>
      <c r="G2336" s="24" t="s">
        <v>5666</v>
      </c>
      <c r="H2336" s="67">
        <v>58</v>
      </c>
      <c r="I2336" s="68">
        <v>5</v>
      </c>
      <c r="J2336" s="67">
        <f t="shared" si="129"/>
        <v>290</v>
      </c>
      <c r="K2336" s="46">
        <v>3.89</v>
      </c>
      <c r="L2336" s="46">
        <f t="shared" si="130"/>
        <v>1128.1000000000001</v>
      </c>
      <c r="M2336" s="162" t="s">
        <v>2219</v>
      </c>
      <c r="N2336" s="39">
        <v>45022</v>
      </c>
      <c r="O2336" s="38">
        <v>5133</v>
      </c>
      <c r="P2336" s="46">
        <f t="shared" si="131"/>
        <v>3.6566000000000001</v>
      </c>
      <c r="Q2336" s="483">
        <v>3.66</v>
      </c>
      <c r="R2336" s="704">
        <f t="shared" si="132"/>
        <v>1061.4000000000001</v>
      </c>
      <c r="S2336" s="489">
        <f t="shared" si="133"/>
        <v>315</v>
      </c>
      <c r="T2336" s="567">
        <f t="shared" si="134"/>
        <v>91350</v>
      </c>
      <c r="V2336" s="494">
        <v>120</v>
      </c>
      <c r="W2336" s="2041">
        <f t="shared" si="122"/>
        <v>0.32519280205655526</v>
      </c>
    </row>
    <row r="2337" spans="1:23" ht="15.75">
      <c r="B2337" s="12" t="s">
        <v>1858</v>
      </c>
      <c r="C2337" s="6" t="s">
        <v>5661</v>
      </c>
      <c r="D2337" s="15" t="s">
        <v>11</v>
      </c>
      <c r="E2337" s="24">
        <v>2440</v>
      </c>
      <c r="F2337" s="150">
        <v>140</v>
      </c>
      <c r="G2337" s="24" t="s">
        <v>5668</v>
      </c>
      <c r="H2337" s="67">
        <v>58</v>
      </c>
      <c r="I2337" s="68">
        <v>2</v>
      </c>
      <c r="J2337" s="67">
        <f t="shared" si="129"/>
        <v>116</v>
      </c>
      <c r="K2337" s="46">
        <v>3.89</v>
      </c>
      <c r="L2337" s="46">
        <f t="shared" si="130"/>
        <v>451.24</v>
      </c>
      <c r="M2337" s="162" t="s">
        <v>2219</v>
      </c>
      <c r="N2337" s="39">
        <v>45022</v>
      </c>
      <c r="O2337" s="38">
        <v>5133</v>
      </c>
      <c r="P2337" s="46">
        <f t="shared" si="131"/>
        <v>3.6566000000000001</v>
      </c>
      <c r="Q2337" s="483">
        <v>3.66</v>
      </c>
      <c r="R2337" s="704">
        <f t="shared" si="132"/>
        <v>424.56</v>
      </c>
      <c r="S2337" s="489">
        <f t="shared" si="133"/>
        <v>315</v>
      </c>
      <c r="T2337" s="567">
        <f t="shared" si="134"/>
        <v>36540</v>
      </c>
      <c r="V2337" s="494">
        <v>120</v>
      </c>
      <c r="W2337" s="2041">
        <f t="shared" si="122"/>
        <v>0.32519280205655526</v>
      </c>
    </row>
    <row r="2338" spans="1:23" ht="15.75">
      <c r="B2338" s="12" t="s">
        <v>1858</v>
      </c>
      <c r="C2338" s="6" t="s">
        <v>5661</v>
      </c>
      <c r="D2338" s="15" t="s">
        <v>11</v>
      </c>
      <c r="E2338" s="24">
        <v>2440</v>
      </c>
      <c r="F2338" s="150">
        <v>140</v>
      </c>
      <c r="G2338" s="24" t="s">
        <v>5669</v>
      </c>
      <c r="H2338" s="67">
        <v>58</v>
      </c>
      <c r="I2338" s="68">
        <v>1</v>
      </c>
      <c r="J2338" s="67">
        <f t="shared" si="129"/>
        <v>58</v>
      </c>
      <c r="K2338" s="46">
        <v>3.89</v>
      </c>
      <c r="L2338" s="46">
        <f t="shared" si="130"/>
        <v>225.62</v>
      </c>
      <c r="M2338" s="162" t="s">
        <v>2219</v>
      </c>
      <c r="N2338" s="39">
        <v>45022</v>
      </c>
      <c r="O2338" s="38">
        <v>5133</v>
      </c>
      <c r="P2338" s="46">
        <f t="shared" si="131"/>
        <v>3.6566000000000001</v>
      </c>
      <c r="Q2338" s="483">
        <v>3.66</v>
      </c>
      <c r="R2338" s="704">
        <f t="shared" si="132"/>
        <v>212.28</v>
      </c>
      <c r="S2338" s="489">
        <f t="shared" si="133"/>
        <v>315</v>
      </c>
      <c r="T2338" s="567">
        <f t="shared" si="134"/>
        <v>18270</v>
      </c>
      <c r="V2338" s="494">
        <v>120</v>
      </c>
      <c r="W2338" s="2041">
        <f t="shared" si="122"/>
        <v>0.32519280205655526</v>
      </c>
    </row>
    <row r="2339" spans="1:23" ht="15.75">
      <c r="B2339" s="12" t="s">
        <v>1858</v>
      </c>
      <c r="C2339" s="6" t="s">
        <v>5661</v>
      </c>
      <c r="D2339" s="15" t="s">
        <v>11</v>
      </c>
      <c r="E2339" s="24">
        <v>2440</v>
      </c>
      <c r="F2339" s="150">
        <v>140</v>
      </c>
      <c r="G2339" s="24" t="s">
        <v>5670</v>
      </c>
      <c r="H2339" s="67">
        <v>58</v>
      </c>
      <c r="I2339" s="68">
        <v>1</v>
      </c>
      <c r="J2339" s="67">
        <f t="shared" si="129"/>
        <v>58</v>
      </c>
      <c r="K2339" s="46">
        <v>3.89</v>
      </c>
      <c r="L2339" s="46">
        <f t="shared" si="130"/>
        <v>225.62</v>
      </c>
      <c r="M2339" s="162" t="s">
        <v>2219</v>
      </c>
      <c r="N2339" s="39">
        <v>45022</v>
      </c>
      <c r="O2339" s="38">
        <v>5133</v>
      </c>
      <c r="P2339" s="46">
        <f t="shared" si="131"/>
        <v>3.6566000000000001</v>
      </c>
      <c r="Q2339" s="483">
        <v>3.66</v>
      </c>
      <c r="R2339" s="704">
        <f t="shared" si="132"/>
        <v>212.28</v>
      </c>
      <c r="S2339" s="489">
        <f t="shared" si="133"/>
        <v>315</v>
      </c>
      <c r="T2339" s="567">
        <f t="shared" si="134"/>
        <v>18270</v>
      </c>
      <c r="V2339" s="494">
        <v>120</v>
      </c>
      <c r="W2339" s="2041">
        <f t="shared" si="122"/>
        <v>0.32519280205655526</v>
      </c>
    </row>
    <row r="2340" spans="1:23" ht="15.75">
      <c r="B2340" s="12" t="s">
        <v>1858</v>
      </c>
      <c r="C2340" s="6" t="s">
        <v>5661</v>
      </c>
      <c r="D2340" s="15" t="s">
        <v>11</v>
      </c>
      <c r="E2340" s="24">
        <v>2440</v>
      </c>
      <c r="F2340" s="150">
        <v>140</v>
      </c>
      <c r="G2340" s="24" t="s">
        <v>5671</v>
      </c>
      <c r="H2340" s="67">
        <v>58</v>
      </c>
      <c r="I2340" s="68">
        <v>5</v>
      </c>
      <c r="J2340" s="67">
        <f t="shared" si="129"/>
        <v>290</v>
      </c>
      <c r="K2340" s="46">
        <v>3.89</v>
      </c>
      <c r="L2340" s="46">
        <f t="shared" si="130"/>
        <v>1128.1000000000001</v>
      </c>
      <c r="M2340" s="162" t="s">
        <v>2219</v>
      </c>
      <c r="N2340" s="39">
        <v>45022</v>
      </c>
      <c r="O2340" s="38">
        <v>5133</v>
      </c>
      <c r="P2340" s="46">
        <f t="shared" si="131"/>
        <v>3.6566000000000001</v>
      </c>
      <c r="Q2340" s="483">
        <v>3.66</v>
      </c>
      <c r="R2340" s="704">
        <f t="shared" si="132"/>
        <v>1061.4000000000001</v>
      </c>
      <c r="S2340" s="489">
        <f t="shared" si="133"/>
        <v>315</v>
      </c>
      <c r="T2340" s="567">
        <f t="shared" si="134"/>
        <v>91350</v>
      </c>
      <c r="V2340" s="494">
        <v>120</v>
      </c>
      <c r="W2340" s="2041">
        <f t="shared" si="122"/>
        <v>0.32519280205655526</v>
      </c>
    </row>
    <row r="2341" spans="1:23" ht="15">
      <c r="C2341" s="6" t="s">
        <v>5661</v>
      </c>
      <c r="D2341" s="15" t="s">
        <v>11</v>
      </c>
      <c r="E2341" s="24"/>
      <c r="F2341" s="160"/>
      <c r="G2341" s="228" t="s">
        <v>481</v>
      </c>
      <c r="H2341" s="214"/>
      <c r="I2341" s="215"/>
      <c r="J2341" s="43">
        <v>1</v>
      </c>
      <c r="K2341" s="229">
        <v>20</v>
      </c>
      <c r="L2341" s="417" t="s">
        <v>1676</v>
      </c>
      <c r="M2341" s="417"/>
      <c r="N2341" s="39">
        <v>45022</v>
      </c>
      <c r="O2341" s="38">
        <v>5133</v>
      </c>
      <c r="P2341" s="216"/>
      <c r="Q2341" s="525">
        <v>0</v>
      </c>
      <c r="R2341" s="704">
        <f t="shared" si="132"/>
        <v>0</v>
      </c>
      <c r="S2341" s="532">
        <v>1800</v>
      </c>
      <c r="T2341" s="113">
        <f t="shared" si="134"/>
        <v>1800</v>
      </c>
      <c r="V2341" s="494">
        <v>120</v>
      </c>
      <c r="W2341" s="2041">
        <f t="shared" si="122"/>
        <v>0.25</v>
      </c>
    </row>
    <row r="2342" spans="1:23" ht="15">
      <c r="C2342" s="6" t="s">
        <v>5661</v>
      </c>
      <c r="D2342" s="15" t="s">
        <v>11</v>
      </c>
      <c r="E2342" s="20" t="s">
        <v>79</v>
      </c>
      <c r="F2342" s="150"/>
      <c r="G2342" s="24"/>
      <c r="H2342" s="151"/>
      <c r="I2342" s="152"/>
      <c r="J2342" s="151"/>
      <c r="K2342" s="153" t="s">
        <v>10</v>
      </c>
      <c r="L2342" s="39"/>
      <c r="M2342" s="39"/>
      <c r="N2342" s="39">
        <v>45076</v>
      </c>
      <c r="O2342" s="38">
        <v>5273</v>
      </c>
      <c r="P2342" s="15"/>
      <c r="Q2342" s="483"/>
      <c r="S2342" s="496"/>
      <c r="T2342" s="113"/>
      <c r="V2342" s="494">
        <v>120</v>
      </c>
      <c r="W2342" s="2041" t="e">
        <f t="shared" si="122"/>
        <v>#VALUE!</v>
      </c>
    </row>
    <row r="2343" spans="1:23" ht="15.75">
      <c r="B2343" s="12" t="s">
        <v>1858</v>
      </c>
      <c r="C2343" s="6" t="s">
        <v>5661</v>
      </c>
      <c r="D2343" s="15" t="s">
        <v>11</v>
      </c>
      <c r="E2343" s="24">
        <v>2440</v>
      </c>
      <c r="F2343" s="150">
        <v>140</v>
      </c>
      <c r="G2343" s="24" t="s">
        <v>5668</v>
      </c>
      <c r="H2343" s="67">
        <v>58</v>
      </c>
      <c r="I2343" s="68">
        <v>1</v>
      </c>
      <c r="J2343" s="67">
        <f>H2343*I2343</f>
        <v>58</v>
      </c>
      <c r="K2343" s="46">
        <v>3.89</v>
      </c>
      <c r="L2343" s="46">
        <f>K2343*J2343</f>
        <v>225.62</v>
      </c>
      <c r="M2343" s="162" t="s">
        <v>2219</v>
      </c>
      <c r="N2343" s="39">
        <v>45076</v>
      </c>
      <c r="O2343" s="38">
        <v>5273</v>
      </c>
      <c r="P2343" s="46">
        <f>K2343*(VLOOKUP(B2343,$C$2:$F$6,3,FALSE))</f>
        <v>3.6566000000000001</v>
      </c>
      <c r="Q2343" s="483">
        <v>3.66</v>
      </c>
      <c r="R2343" s="704">
        <f>Q2343*J2343</f>
        <v>212.28</v>
      </c>
      <c r="S2343" s="489">
        <v>300</v>
      </c>
      <c r="T2343" s="567">
        <f>S2343*J2343</f>
        <v>17400</v>
      </c>
      <c r="V2343" s="494">
        <v>120</v>
      </c>
      <c r="W2343" s="2041">
        <f t="shared" si="122"/>
        <v>0.35732647814910029</v>
      </c>
    </row>
    <row r="2344" spans="1:23" s="314" customFormat="1" ht="15">
      <c r="B2344" s="313"/>
      <c r="C2344" s="302" t="s">
        <v>5661</v>
      </c>
      <c r="D2344" s="303" t="s">
        <v>11</v>
      </c>
      <c r="E2344" s="304"/>
      <c r="F2344" s="305"/>
      <c r="G2344" s="305" t="s">
        <v>5596</v>
      </c>
      <c r="H2344" s="307" t="s">
        <v>1228</v>
      </c>
      <c r="I2344" s="308"/>
      <c r="J2344" s="306"/>
      <c r="K2344" s="315">
        <v>0</v>
      </c>
      <c r="L2344" s="310"/>
      <c r="M2344" s="310"/>
      <c r="N2344" s="310">
        <v>45076</v>
      </c>
      <c r="O2344" s="309">
        <v>5273</v>
      </c>
      <c r="P2344" s="302"/>
      <c r="Q2344" s="485">
        <v>0</v>
      </c>
      <c r="S2344" s="535">
        <v>0</v>
      </c>
      <c r="T2344" s="322">
        <v>0</v>
      </c>
      <c r="U2344" s="515"/>
      <c r="V2344" s="494">
        <v>120</v>
      </c>
      <c r="W2344" s="2041" t="e">
        <f t="shared" si="122"/>
        <v>#DIV/0!</v>
      </c>
    </row>
    <row r="2345" spans="1:23" ht="15">
      <c r="C2345" s="65" t="s">
        <v>5696</v>
      </c>
      <c r="D2345" s="61" t="s">
        <v>298</v>
      </c>
      <c r="E2345" s="62" t="s">
        <v>5697</v>
      </c>
      <c r="F2345" s="71"/>
      <c r="G2345" s="71"/>
      <c r="H2345" s="54"/>
      <c r="I2345" s="54"/>
      <c r="J2345" s="54"/>
      <c r="K2345" s="1931" t="s">
        <v>134</v>
      </c>
      <c r="L2345" s="1932"/>
      <c r="M2345" s="1932"/>
      <c r="N2345" s="1932">
        <v>45030</v>
      </c>
      <c r="O2345" s="38">
        <v>5150</v>
      </c>
      <c r="P2345" s="1933"/>
      <c r="Q2345" s="1934"/>
      <c r="U2345" s="1935"/>
      <c r="V2345" s="545">
        <v>120</v>
      </c>
      <c r="W2345" s="2041" t="e">
        <f t="shared" si="122"/>
        <v>#VALUE!</v>
      </c>
    </row>
    <row r="2346" spans="1:23" ht="15">
      <c r="B2346" s="28" t="s">
        <v>1856</v>
      </c>
      <c r="C2346" s="65" t="s">
        <v>5696</v>
      </c>
      <c r="D2346" s="61" t="s">
        <v>298</v>
      </c>
      <c r="E2346" s="55" t="s">
        <v>5698</v>
      </c>
      <c r="F2346" s="1936"/>
      <c r="G2346" s="55" t="s">
        <v>5699</v>
      </c>
      <c r="H2346" s="66"/>
      <c r="I2346" s="1937"/>
      <c r="J2346" s="66">
        <v>20</v>
      </c>
      <c r="K2346" s="40">
        <v>5.87</v>
      </c>
      <c r="L2346" s="40">
        <f>K2346*J2346</f>
        <v>117.4</v>
      </c>
      <c r="M2346" s="1938" t="s">
        <v>2219</v>
      </c>
      <c r="N2346" s="1932">
        <v>45030</v>
      </c>
      <c r="O2346" s="38">
        <v>5150</v>
      </c>
      <c r="P2346" s="1939">
        <f>K2346*(VLOOKUP(B2346,$C$2:$F$6,3,FALSE))</f>
        <v>5.1656000000000004</v>
      </c>
      <c r="Q2346" s="1940">
        <v>5.17</v>
      </c>
      <c r="R2346" s="1941">
        <f>Q2346*J2346</f>
        <v>103.4</v>
      </c>
      <c r="S2346" s="1942">
        <v>422</v>
      </c>
      <c r="T2346" s="562">
        <f>S2346*J2346</f>
        <v>8440</v>
      </c>
      <c r="U2346" s="1943"/>
      <c r="V2346" s="545">
        <v>120</v>
      </c>
      <c r="W2346" s="2041">
        <f t="shared" si="122"/>
        <v>0.40090857467348096</v>
      </c>
    </row>
    <row r="2347" spans="1:23" ht="15">
      <c r="B2347" s="28" t="s">
        <v>1856</v>
      </c>
      <c r="C2347" s="65" t="s">
        <v>5696</v>
      </c>
      <c r="D2347" s="61" t="s">
        <v>298</v>
      </c>
      <c r="E2347" s="55" t="s">
        <v>5700</v>
      </c>
      <c r="F2347" s="1936"/>
      <c r="G2347" s="55" t="s">
        <v>5699</v>
      </c>
      <c r="H2347" s="66"/>
      <c r="I2347" s="1937"/>
      <c r="J2347" s="66">
        <v>20</v>
      </c>
      <c r="K2347" s="40">
        <v>6.34</v>
      </c>
      <c r="L2347" s="40">
        <f>K2347*J2347</f>
        <v>126.8</v>
      </c>
      <c r="M2347" s="1938" t="s">
        <v>2219</v>
      </c>
      <c r="N2347" s="1932">
        <v>45030</v>
      </c>
      <c r="O2347" s="38">
        <v>5150</v>
      </c>
      <c r="P2347" s="1939">
        <f>K2347*(VLOOKUP(B2347,$C$2:$F$6,3,FALSE))</f>
        <v>5.5792000000000002</v>
      </c>
      <c r="Q2347" s="1940">
        <v>5.58</v>
      </c>
      <c r="R2347" s="1941">
        <f>Q2347*J2347</f>
        <v>111.6</v>
      </c>
      <c r="S2347" s="1942">
        <v>456</v>
      </c>
      <c r="T2347" s="562">
        <f>S2347*J2347</f>
        <v>9120</v>
      </c>
      <c r="U2347" s="1943"/>
      <c r="V2347" s="545">
        <v>120</v>
      </c>
      <c r="W2347" s="2041">
        <f t="shared" si="122"/>
        <v>0.40063091482649837</v>
      </c>
    </row>
    <row r="2348" spans="1:23" ht="15">
      <c r="B2348" s="28" t="s">
        <v>5702</v>
      </c>
      <c r="C2348" s="65" t="s">
        <v>5696</v>
      </c>
      <c r="D2348" s="61" t="s">
        <v>298</v>
      </c>
      <c r="E2348" s="55" t="s">
        <v>5701</v>
      </c>
      <c r="F2348" s="55"/>
      <c r="G2348" s="55" t="s">
        <v>5699</v>
      </c>
      <c r="H2348" s="61"/>
      <c r="I2348" s="61"/>
      <c r="J2348" s="66">
        <v>20</v>
      </c>
      <c r="K2348" s="40">
        <v>8.35</v>
      </c>
      <c r="L2348" s="40">
        <f>K2348*J2348</f>
        <v>167</v>
      </c>
      <c r="M2348" s="1938" t="s">
        <v>2219</v>
      </c>
      <c r="N2348" s="1932">
        <v>45030</v>
      </c>
      <c r="O2348" s="38">
        <v>5150</v>
      </c>
      <c r="P2348" s="1939">
        <f>K2348*(VLOOKUP(B2348,$C$2:$F$6,3,FALSE))</f>
        <v>7.3479999999999999</v>
      </c>
      <c r="Q2348" s="1940">
        <v>7.35</v>
      </c>
      <c r="R2348" s="1941">
        <f>Q2348*J2348</f>
        <v>147</v>
      </c>
      <c r="S2348" s="1942">
        <v>601</v>
      </c>
      <c r="T2348" s="562">
        <f>S2348*J2348</f>
        <v>12020</v>
      </c>
      <c r="U2348" s="1943"/>
      <c r="V2348" s="545">
        <v>120</v>
      </c>
      <c r="W2348" s="2041">
        <f t="shared" si="122"/>
        <v>0.40019960079840322</v>
      </c>
    </row>
    <row r="2349" spans="1:23" ht="15">
      <c r="B2349" s="28" t="s">
        <v>5704</v>
      </c>
      <c r="C2349" s="65" t="s">
        <v>5696</v>
      </c>
      <c r="D2349" s="61" t="s">
        <v>298</v>
      </c>
      <c r="E2349" s="88"/>
      <c r="F2349" s="55"/>
      <c r="G2349" s="55" t="s">
        <v>5703</v>
      </c>
      <c r="H2349" s="61"/>
      <c r="I2349" s="61"/>
      <c r="J2349" s="36">
        <v>3</v>
      </c>
      <c r="K2349" s="40">
        <v>125</v>
      </c>
      <c r="L2349" s="40">
        <f>K2349*J2349</f>
        <v>375</v>
      </c>
      <c r="M2349" s="1938" t="s">
        <v>2219</v>
      </c>
      <c r="N2349" s="1932">
        <v>45030</v>
      </c>
      <c r="O2349" s="38">
        <v>5150</v>
      </c>
      <c r="P2349" s="1939">
        <f>K2349*(VLOOKUP(B2349,$C$2:$F$6,3,FALSE))</f>
        <v>125</v>
      </c>
      <c r="Q2349" s="1940">
        <v>125</v>
      </c>
      <c r="R2349" s="1941">
        <f>Q2349*J2349</f>
        <v>375</v>
      </c>
      <c r="S2349" s="1942">
        <v>12000</v>
      </c>
      <c r="T2349" s="562">
        <f>S2349*J2349</f>
        <v>36000</v>
      </c>
      <c r="U2349" s="1943"/>
      <c r="V2349" s="545">
        <v>120</v>
      </c>
      <c r="W2349" s="2041">
        <f t="shared" si="122"/>
        <v>0.2</v>
      </c>
    </row>
    <row r="2350" spans="1:23" ht="15">
      <c r="B2350" s="28" t="s">
        <v>1862</v>
      </c>
      <c r="C2350" s="65" t="s">
        <v>5696</v>
      </c>
      <c r="D2350" s="61" t="s">
        <v>298</v>
      </c>
      <c r="E2350" s="55"/>
      <c r="F2350" s="74"/>
      <c r="G2350" s="71" t="s">
        <v>1993</v>
      </c>
      <c r="H2350" s="35"/>
      <c r="I2350" s="37"/>
      <c r="J2350" s="36">
        <v>1</v>
      </c>
      <c r="K2350" s="40">
        <v>12</v>
      </c>
      <c r="L2350" s="40">
        <f>K2350*J2350</f>
        <v>12</v>
      </c>
      <c r="M2350" s="1944"/>
      <c r="N2350" s="1932">
        <v>45030</v>
      </c>
      <c r="O2350" s="38">
        <v>5150</v>
      </c>
      <c r="P2350" s="40">
        <f>K2350*(VLOOKUP(B2350,$C$2:$F$6,3,FALSE))</f>
        <v>12</v>
      </c>
      <c r="Q2350" s="1945">
        <v>12</v>
      </c>
      <c r="R2350" s="1941">
        <v>12</v>
      </c>
      <c r="S2350" s="488">
        <v>0</v>
      </c>
      <c r="T2350" s="562">
        <f>S2350*J2350</f>
        <v>0</v>
      </c>
      <c r="U2350" s="1946"/>
      <c r="V2350" s="545">
        <v>120</v>
      </c>
      <c r="W2350" s="2041">
        <f t="shared" si="122"/>
        <v>1</v>
      </c>
    </row>
    <row r="2351" spans="1:23" s="314" customFormat="1" ht="15">
      <c r="B2351" s="313"/>
      <c r="C2351" s="1947" t="s">
        <v>5696</v>
      </c>
      <c r="D2351" s="592" t="s">
        <v>298</v>
      </c>
      <c r="E2351" s="1948"/>
      <c r="F2351" s="1949"/>
      <c r="G2351" s="1949" t="s">
        <v>5596</v>
      </c>
      <c r="H2351" s="1950" t="s">
        <v>1228</v>
      </c>
      <c r="I2351" s="1951"/>
      <c r="J2351" s="1952"/>
      <c r="K2351" s="1953">
        <v>0</v>
      </c>
      <c r="L2351" s="1954"/>
      <c r="M2351" s="1954"/>
      <c r="N2351" s="1954">
        <v>45030</v>
      </c>
      <c r="O2351" s="309">
        <v>5150</v>
      </c>
      <c r="P2351" s="1947"/>
      <c r="Q2351" s="1955">
        <v>0</v>
      </c>
      <c r="S2351" s="549">
        <v>0</v>
      </c>
      <c r="T2351" s="322">
        <v>0</v>
      </c>
      <c r="U2351" s="1956"/>
      <c r="V2351" s="545">
        <v>120</v>
      </c>
      <c r="W2351" s="2041" t="e">
        <f t="shared" si="122"/>
        <v>#DIV/0!</v>
      </c>
    </row>
    <row r="2352" spans="1:23" s="7" customFormat="1" ht="15">
      <c r="A2352" s="1"/>
      <c r="B2352" s="12"/>
      <c r="C2352" s="6" t="s">
        <v>5712</v>
      </c>
      <c r="D2352" s="15" t="s">
        <v>617</v>
      </c>
      <c r="E2352" s="20" t="s">
        <v>177</v>
      </c>
      <c r="F2352" s="26"/>
      <c r="G2352" s="24"/>
      <c r="H2352" s="67"/>
      <c r="I2352" s="68"/>
      <c r="J2352" s="67"/>
      <c r="K2352" s="10" t="s">
        <v>10</v>
      </c>
      <c r="L2352" s="39"/>
      <c r="M2352" s="39"/>
      <c r="N2352" s="39">
        <v>45022</v>
      </c>
      <c r="O2352" s="38">
        <v>5127</v>
      </c>
      <c r="P2352" s="6" t="s">
        <v>3</v>
      </c>
      <c r="Q2352" s="481"/>
      <c r="S2352" s="489"/>
      <c r="T2352" s="113"/>
      <c r="U2352" s="500"/>
      <c r="V2352" s="494">
        <v>120</v>
      </c>
      <c r="W2352" s="2041" t="e">
        <f t="shared" si="122"/>
        <v>#VALUE!</v>
      </c>
    </row>
    <row r="2353" spans="1:23" s="7" customFormat="1" ht="15" customHeight="1">
      <c r="A2353" s="1"/>
      <c r="B2353" s="12" t="s">
        <v>1856</v>
      </c>
      <c r="C2353" s="6" t="s">
        <v>5712</v>
      </c>
      <c r="D2353" s="15" t="s">
        <v>617</v>
      </c>
      <c r="E2353" s="24">
        <v>12701</v>
      </c>
      <c r="F2353" s="26">
        <v>4</v>
      </c>
      <c r="G2353" s="24" t="s">
        <v>5713</v>
      </c>
      <c r="H2353" s="67">
        <v>40</v>
      </c>
      <c r="I2353" s="68">
        <v>4</v>
      </c>
      <c r="J2353" s="8">
        <f>H2353*I2353</f>
        <v>160</v>
      </c>
      <c r="K2353" s="25">
        <v>0.75</v>
      </c>
      <c r="L2353" s="46">
        <f t="shared" ref="L2353:L2358" si="135">K2353*J2353</f>
        <v>120</v>
      </c>
      <c r="M2353" s="162" t="s">
        <v>2219</v>
      </c>
      <c r="N2353" s="39">
        <v>45022</v>
      </c>
      <c r="O2353" s="38">
        <v>5127</v>
      </c>
      <c r="P2353" s="46">
        <f t="shared" ref="P2353:P2358" si="136">K2353*(VLOOKUP(B2353,$C$2:$F$6,3,FALSE))</f>
        <v>0.66</v>
      </c>
      <c r="Q2353" s="482">
        <v>0.66</v>
      </c>
      <c r="R2353" s="704">
        <f t="shared" ref="R2353:R2358" si="137">Q2353*J2353</f>
        <v>105.60000000000001</v>
      </c>
      <c r="S2353" s="489">
        <v>35.979999999999997</v>
      </c>
      <c r="T2353" s="113">
        <f t="shared" ref="T2353:T2358" si="138">S2353*J2353</f>
        <v>5756.7999999999993</v>
      </c>
      <c r="U2353" s="1890" t="s">
        <v>5710</v>
      </c>
      <c r="V2353" s="494">
        <v>120</v>
      </c>
      <c r="W2353" s="2041">
        <f t="shared" si="122"/>
        <v>0.60022222222222221</v>
      </c>
    </row>
    <row r="2354" spans="1:23" s="7" customFormat="1" ht="15" customHeight="1">
      <c r="A2354" s="1"/>
      <c r="B2354" s="12" t="s">
        <v>1856</v>
      </c>
      <c r="C2354" s="6" t="s">
        <v>5712</v>
      </c>
      <c r="D2354" s="15" t="s">
        <v>617</v>
      </c>
      <c r="E2354" s="24">
        <v>12701</v>
      </c>
      <c r="F2354" s="26">
        <v>6</v>
      </c>
      <c r="G2354" s="24" t="s">
        <v>5713</v>
      </c>
      <c r="H2354" s="67">
        <v>10</v>
      </c>
      <c r="I2354" s="68">
        <v>20</v>
      </c>
      <c r="J2354" s="8">
        <f>H2354*I2354</f>
        <v>200</v>
      </c>
      <c r="K2354" s="25">
        <v>0.77</v>
      </c>
      <c r="L2354" s="46">
        <f t="shared" si="135"/>
        <v>154</v>
      </c>
      <c r="M2354" s="162" t="s">
        <v>2219</v>
      </c>
      <c r="N2354" s="39">
        <v>45022</v>
      </c>
      <c r="O2354" s="38">
        <v>5127</v>
      </c>
      <c r="P2354" s="46">
        <f t="shared" si="136"/>
        <v>0.67759999999999998</v>
      </c>
      <c r="Q2354" s="482">
        <v>0.68</v>
      </c>
      <c r="R2354" s="704">
        <f t="shared" si="137"/>
        <v>136</v>
      </c>
      <c r="S2354" s="489">
        <v>37.1</v>
      </c>
      <c r="T2354" s="113">
        <f t="shared" si="138"/>
        <v>7420</v>
      </c>
      <c r="U2354" s="1890" t="s">
        <v>5711</v>
      </c>
      <c r="V2354" s="494">
        <v>120</v>
      </c>
      <c r="W2354" s="2041">
        <f t="shared" si="122"/>
        <v>0.59848484848484851</v>
      </c>
    </row>
    <row r="2355" spans="1:23" s="7" customFormat="1" ht="15" customHeight="1">
      <c r="A2355" s="1"/>
      <c r="B2355" s="12" t="s">
        <v>1856</v>
      </c>
      <c r="C2355" s="6" t="s">
        <v>5712</v>
      </c>
      <c r="D2355" s="15" t="s">
        <v>617</v>
      </c>
      <c r="E2355" s="24">
        <v>12701</v>
      </c>
      <c r="F2355" s="26">
        <v>12</v>
      </c>
      <c r="G2355" s="24" t="s">
        <v>5718</v>
      </c>
      <c r="H2355" s="67">
        <v>10</v>
      </c>
      <c r="I2355" s="68">
        <v>12</v>
      </c>
      <c r="J2355" s="8">
        <f>H2355*I2355</f>
        <v>120</v>
      </c>
      <c r="K2355" s="25">
        <v>0.97</v>
      </c>
      <c r="L2355" s="46">
        <f t="shared" si="135"/>
        <v>116.39999999999999</v>
      </c>
      <c r="M2355" s="162" t="s">
        <v>2219</v>
      </c>
      <c r="N2355" s="39">
        <v>45022</v>
      </c>
      <c r="O2355" s="38">
        <v>5127</v>
      </c>
      <c r="P2355" s="46">
        <f t="shared" si="136"/>
        <v>0.85360000000000003</v>
      </c>
      <c r="Q2355" s="482">
        <v>0.85</v>
      </c>
      <c r="R2355" s="704">
        <f t="shared" si="137"/>
        <v>102</v>
      </c>
      <c r="S2355" s="489">
        <v>46.9</v>
      </c>
      <c r="T2355" s="113">
        <f t="shared" si="138"/>
        <v>5628</v>
      </c>
      <c r="U2355" s="1890" t="s">
        <v>5720</v>
      </c>
      <c r="V2355" s="494">
        <v>120</v>
      </c>
      <c r="W2355" s="2041">
        <f t="shared" si="122"/>
        <v>0.59707903780068738</v>
      </c>
    </row>
    <row r="2356" spans="1:23" s="7" customFormat="1" ht="15" customHeight="1">
      <c r="A2356" s="1"/>
      <c r="B2356" s="12" t="s">
        <v>1856</v>
      </c>
      <c r="C2356" s="6" t="s">
        <v>5712</v>
      </c>
      <c r="D2356" s="15" t="s">
        <v>617</v>
      </c>
      <c r="E2356" s="24">
        <v>12701</v>
      </c>
      <c r="F2356" s="26">
        <v>12</v>
      </c>
      <c r="G2356" s="24" t="s">
        <v>5719</v>
      </c>
      <c r="H2356" s="67">
        <v>10</v>
      </c>
      <c r="I2356" s="68">
        <v>12</v>
      </c>
      <c r="J2356" s="8">
        <f>H2356*I2356</f>
        <v>120</v>
      </c>
      <c r="K2356" s="25">
        <v>0.97</v>
      </c>
      <c r="L2356" s="46">
        <f t="shared" si="135"/>
        <v>116.39999999999999</v>
      </c>
      <c r="M2356" s="162" t="s">
        <v>2219</v>
      </c>
      <c r="N2356" s="39">
        <v>45022</v>
      </c>
      <c r="O2356" s="38">
        <v>5127</v>
      </c>
      <c r="P2356" s="46">
        <f t="shared" si="136"/>
        <v>0.85360000000000003</v>
      </c>
      <c r="Q2356" s="482">
        <v>0.85</v>
      </c>
      <c r="R2356" s="704">
        <f t="shared" si="137"/>
        <v>102</v>
      </c>
      <c r="S2356" s="489">
        <v>46.9</v>
      </c>
      <c r="T2356" s="113">
        <f t="shared" si="138"/>
        <v>5628</v>
      </c>
      <c r="U2356" s="1890" t="s">
        <v>5720</v>
      </c>
      <c r="V2356" s="494">
        <v>120</v>
      </c>
      <c r="W2356" s="2041">
        <f t="shared" ref="W2356:W2419" si="139">(((K2356*V2356)-S2356)/(K2356*V2356))</f>
        <v>0.59707903780068738</v>
      </c>
    </row>
    <row r="2357" spans="1:23" s="7" customFormat="1" ht="15" customHeight="1">
      <c r="A2357" s="1"/>
      <c r="B2357" s="12" t="s">
        <v>1856</v>
      </c>
      <c r="C2357" s="6" t="s">
        <v>5712</v>
      </c>
      <c r="D2357" s="15" t="s">
        <v>617</v>
      </c>
      <c r="E2357" s="24">
        <v>12701</v>
      </c>
      <c r="F2357" s="26">
        <v>50</v>
      </c>
      <c r="G2357" s="24" t="s">
        <v>294</v>
      </c>
      <c r="H2357" s="67">
        <v>10</v>
      </c>
      <c r="I2357" s="68">
        <v>20</v>
      </c>
      <c r="J2357" s="8">
        <f>H2357*I2357</f>
        <v>200</v>
      </c>
      <c r="K2357" s="25">
        <v>3.48</v>
      </c>
      <c r="L2357" s="46">
        <f t="shared" si="135"/>
        <v>696</v>
      </c>
      <c r="M2357" s="162" t="s">
        <v>2219</v>
      </c>
      <c r="N2357" s="39">
        <v>45022</v>
      </c>
      <c r="O2357" s="38">
        <v>5127</v>
      </c>
      <c r="P2357" s="46">
        <f t="shared" si="136"/>
        <v>3.0623999999999998</v>
      </c>
      <c r="Q2357" s="482">
        <v>3.06</v>
      </c>
      <c r="R2357" s="704">
        <f t="shared" si="137"/>
        <v>612</v>
      </c>
      <c r="S2357" s="489">
        <v>168.3</v>
      </c>
      <c r="T2357" s="113">
        <f t="shared" si="138"/>
        <v>33660</v>
      </c>
      <c r="U2357" s="1890" t="s">
        <v>5709</v>
      </c>
      <c r="V2357" s="494">
        <v>120</v>
      </c>
      <c r="W2357" s="2041">
        <f t="shared" si="139"/>
        <v>0.59698275862068961</v>
      </c>
    </row>
    <row r="2358" spans="1:23" s="7" customFormat="1" ht="15" customHeight="1">
      <c r="A2358" s="1"/>
      <c r="B2358" s="12" t="s">
        <v>1862</v>
      </c>
      <c r="C2358" s="6" t="s">
        <v>5712</v>
      </c>
      <c r="D2358" s="15" t="s">
        <v>617</v>
      </c>
      <c r="E2358" s="24"/>
      <c r="F2358" s="44"/>
      <c r="G2358" s="44" t="s">
        <v>1949</v>
      </c>
      <c r="H2358" s="45"/>
      <c r="I2358" s="152" ph="1"/>
      <c r="J2358" s="45">
        <v>1</v>
      </c>
      <c r="K2358" s="46">
        <v>12</v>
      </c>
      <c r="L2358" s="46">
        <f t="shared" si="135"/>
        <v>12</v>
      </c>
      <c r="M2358" s="112"/>
      <c r="N2358" s="39">
        <v>45022</v>
      </c>
      <c r="O2358" s="38">
        <v>5127</v>
      </c>
      <c r="P2358" s="46">
        <f t="shared" si="136"/>
        <v>12</v>
      </c>
      <c r="Q2358" s="483">
        <v>12</v>
      </c>
      <c r="R2358" s="704">
        <f t="shared" si="137"/>
        <v>12</v>
      </c>
      <c r="S2358" s="489">
        <v>0</v>
      </c>
      <c r="T2358" s="113">
        <f t="shared" si="138"/>
        <v>0</v>
      </c>
      <c r="U2358" s="501"/>
      <c r="V2358" s="494">
        <v>120</v>
      </c>
      <c r="W2358" s="2041">
        <f t="shared" si="139"/>
        <v>1</v>
      </c>
    </row>
    <row r="2359" spans="1:23" s="314" customFormat="1" ht="15.6" customHeight="1">
      <c r="A2359" s="1"/>
      <c r="B2359" s="313"/>
      <c r="C2359" s="302" t="s">
        <v>5712</v>
      </c>
      <c r="D2359" s="303" t="s">
        <v>617</v>
      </c>
      <c r="E2359" s="304"/>
      <c r="F2359" s="305"/>
      <c r="G2359" s="305" t="s">
        <v>1227</v>
      </c>
      <c r="H2359" s="307" t="s">
        <v>1243</v>
      </c>
      <c r="I2359" s="308"/>
      <c r="J2359" s="306"/>
      <c r="K2359" s="329">
        <v>175</v>
      </c>
      <c r="L2359" s="329">
        <v>175</v>
      </c>
      <c r="M2359" s="310"/>
      <c r="N2359" s="310">
        <v>45022</v>
      </c>
      <c r="O2359" s="309">
        <v>5127</v>
      </c>
      <c r="P2359" s="302"/>
      <c r="Q2359" s="329">
        <v>175</v>
      </c>
      <c r="R2359" s="329">
        <v>175</v>
      </c>
      <c r="S2359" s="489">
        <v>20978</v>
      </c>
      <c r="T2359" s="489">
        <v>20978</v>
      </c>
      <c r="U2359" s="515"/>
      <c r="V2359" s="494">
        <v>120</v>
      </c>
      <c r="W2359" s="2041">
        <f t="shared" si="139"/>
        <v>1.0476190476190477E-3</v>
      </c>
    </row>
    <row r="2360" spans="1:23" s="7" customFormat="1" ht="15">
      <c r="A2360" s="1"/>
      <c r="B2360" s="12"/>
      <c r="C2360" s="6" t="s">
        <v>5724</v>
      </c>
      <c r="D2360" s="15" t="s">
        <v>5725</v>
      </c>
      <c r="E2360" s="20" t="s">
        <v>5726</v>
      </c>
      <c r="F2360" s="26"/>
      <c r="G2360" s="24"/>
      <c r="H2360" s="67"/>
      <c r="I2360" s="68"/>
      <c r="J2360" s="67"/>
      <c r="K2360" s="10" t="s">
        <v>10</v>
      </c>
      <c r="L2360" s="39"/>
      <c r="M2360" s="39"/>
      <c r="N2360" s="39">
        <v>45027</v>
      </c>
      <c r="O2360" s="38">
        <v>5135</v>
      </c>
      <c r="P2360" s="6" t="s">
        <v>3</v>
      </c>
      <c r="Q2360" s="481"/>
      <c r="S2360" s="1912" t="s">
        <v>5749</v>
      </c>
      <c r="T2360" s="113"/>
      <c r="U2360" s="1910" t="s">
        <v>5748</v>
      </c>
      <c r="V2360" s="494">
        <v>120</v>
      </c>
      <c r="W2360" s="2041" t="e">
        <f t="shared" si="139"/>
        <v>#VALUE!</v>
      </c>
    </row>
    <row r="2361" spans="1:23" s="7" customFormat="1" ht="15" customHeight="1">
      <c r="A2361" s="1"/>
      <c r="B2361" s="12" t="s">
        <v>1856</v>
      </c>
      <c r="C2361" s="6" t="s">
        <v>5724</v>
      </c>
      <c r="D2361" s="15" t="s">
        <v>5725</v>
      </c>
      <c r="E2361" s="24" t="s">
        <v>5727</v>
      </c>
      <c r="F2361" s="26">
        <v>20</v>
      </c>
      <c r="G2361" s="24" t="s">
        <v>170</v>
      </c>
      <c r="H2361" s="67"/>
      <c r="I2361" s="68"/>
      <c r="J2361" s="8">
        <v>1</v>
      </c>
      <c r="K2361" s="25">
        <f>ROUNDUP(S2361/0.6/120,2)</f>
        <v>2.23</v>
      </c>
      <c r="L2361" s="46">
        <f>K2361*J2361</f>
        <v>2.23</v>
      </c>
      <c r="M2361" s="162" t="s">
        <v>2219</v>
      </c>
      <c r="N2361" s="39">
        <v>45027</v>
      </c>
      <c r="O2361" s="38">
        <v>5135</v>
      </c>
      <c r="P2361" s="46">
        <f>K2361*(VLOOKUP(B2361,$C$2:$F$6,3,FALSE))</f>
        <v>1.9623999999999999</v>
      </c>
      <c r="Q2361" s="482">
        <v>1.96</v>
      </c>
      <c r="R2361" s="704">
        <f>Q2361*J2361</f>
        <v>1.96</v>
      </c>
      <c r="S2361" s="489">
        <f>U2361*1.5</f>
        <v>160.5</v>
      </c>
      <c r="T2361" s="113">
        <f>S2361*J2361</f>
        <v>160.5</v>
      </c>
      <c r="U2361" s="1911">
        <v>107</v>
      </c>
      <c r="V2361" s="494">
        <v>120</v>
      </c>
      <c r="W2361" s="2041">
        <f t="shared" si="139"/>
        <v>0.40022421524663682</v>
      </c>
    </row>
    <row r="2362" spans="1:23" s="7" customFormat="1" ht="15">
      <c r="A2362" s="1"/>
      <c r="B2362" s="12"/>
      <c r="C2362" s="6" t="s">
        <v>5724</v>
      </c>
      <c r="D2362" s="15" t="s">
        <v>5725</v>
      </c>
      <c r="E2362" s="20" t="s">
        <v>5728</v>
      </c>
      <c r="F2362" s="26"/>
      <c r="G2362" s="24"/>
      <c r="H2362" s="67"/>
      <c r="I2362" s="68"/>
      <c r="J2362" s="67"/>
      <c r="K2362" s="10"/>
      <c r="L2362" s="39"/>
      <c r="M2362" s="39"/>
      <c r="N2362" s="39">
        <v>45027</v>
      </c>
      <c r="O2362" s="38">
        <v>5135</v>
      </c>
      <c r="P2362" s="6" t="s">
        <v>3</v>
      </c>
      <c r="Q2362" s="481"/>
      <c r="S2362" s="489"/>
      <c r="T2362" s="113"/>
      <c r="U2362" s="500"/>
      <c r="V2362" s="494">
        <v>120</v>
      </c>
      <c r="W2362" s="2041" t="e">
        <f t="shared" si="139"/>
        <v>#DIV/0!</v>
      </c>
    </row>
    <row r="2363" spans="1:23" s="7" customFormat="1" ht="15" customHeight="1">
      <c r="A2363" s="1"/>
      <c r="B2363" s="12" t="s">
        <v>1856</v>
      </c>
      <c r="C2363" s="6" t="s">
        <v>5724</v>
      </c>
      <c r="D2363" s="15" t="s">
        <v>5725</v>
      </c>
      <c r="E2363" s="24" t="s">
        <v>5729</v>
      </c>
      <c r="F2363" s="26">
        <v>20</v>
      </c>
      <c r="G2363" s="24" t="s">
        <v>170</v>
      </c>
      <c r="H2363" s="67"/>
      <c r="I2363" s="68"/>
      <c r="J2363" s="8">
        <v>1</v>
      </c>
      <c r="K2363" s="25">
        <f>ROUNDUP(S2363/0.6/120,2)</f>
        <v>2.98</v>
      </c>
      <c r="L2363" s="46">
        <f>K2363*J2363</f>
        <v>2.98</v>
      </c>
      <c r="M2363" s="162" t="s">
        <v>2218</v>
      </c>
      <c r="N2363" s="39">
        <v>45027</v>
      </c>
      <c r="O2363" s="38">
        <v>5135</v>
      </c>
      <c r="P2363" s="46">
        <f>K2363*(VLOOKUP(B2363,$C$2:$F$6,3,FALSE))</f>
        <v>2.6223999999999998</v>
      </c>
      <c r="Q2363" s="482">
        <v>2.62</v>
      </c>
      <c r="R2363" s="704">
        <f>Q2363*J2363</f>
        <v>2.62</v>
      </c>
      <c r="S2363" s="489">
        <f>U2363*1.5</f>
        <v>214.5</v>
      </c>
      <c r="T2363" s="113">
        <f>S2363*J2363</f>
        <v>214.5</v>
      </c>
      <c r="U2363" s="1911">
        <v>143</v>
      </c>
      <c r="V2363" s="494">
        <v>120</v>
      </c>
      <c r="W2363" s="2041">
        <f t="shared" si="139"/>
        <v>0.40016778523489938</v>
      </c>
    </row>
    <row r="2364" spans="1:23" s="7" customFormat="1" ht="15">
      <c r="A2364" s="1"/>
      <c r="B2364" s="12"/>
      <c r="C2364" s="6" t="s">
        <v>5724</v>
      </c>
      <c r="D2364" s="15" t="s">
        <v>5725</v>
      </c>
      <c r="E2364" s="20" t="s">
        <v>5731</v>
      </c>
      <c r="F2364" s="26"/>
      <c r="G2364" s="24"/>
      <c r="H2364" s="67"/>
      <c r="I2364" s="68"/>
      <c r="J2364" s="67"/>
      <c r="K2364" s="10"/>
      <c r="L2364" s="39"/>
      <c r="M2364" s="39"/>
      <c r="N2364" s="39">
        <v>45027</v>
      </c>
      <c r="O2364" s="38">
        <v>5135</v>
      </c>
      <c r="P2364" s="6" t="s">
        <v>3</v>
      </c>
      <c r="Q2364" s="481"/>
      <c r="S2364" s="489"/>
      <c r="T2364" s="113"/>
      <c r="U2364" s="500"/>
      <c r="V2364" s="494">
        <v>120</v>
      </c>
      <c r="W2364" s="2041" t="e">
        <f t="shared" si="139"/>
        <v>#DIV/0!</v>
      </c>
    </row>
    <row r="2365" spans="1:23" s="7" customFormat="1" ht="15" customHeight="1">
      <c r="A2365" s="1"/>
      <c r="B2365" s="12" t="s">
        <v>1856</v>
      </c>
      <c r="C2365" s="6" t="s">
        <v>5724</v>
      </c>
      <c r="D2365" s="15" t="s">
        <v>5725</v>
      </c>
      <c r="E2365" s="24" t="s">
        <v>5730</v>
      </c>
      <c r="F2365" s="26">
        <v>15</v>
      </c>
      <c r="G2365" s="24" t="s">
        <v>5732</v>
      </c>
      <c r="H2365" s="67"/>
      <c r="I2365" s="68"/>
      <c r="J2365" s="8">
        <v>5</v>
      </c>
      <c r="K2365" s="25">
        <f>ROUNDUP(S2365/0.6/120,2)</f>
        <v>2.98</v>
      </c>
      <c r="L2365" s="46">
        <f>K2365*J2365</f>
        <v>14.9</v>
      </c>
      <c r="M2365" s="162" t="s">
        <v>2219</v>
      </c>
      <c r="N2365" s="39">
        <v>45027</v>
      </c>
      <c r="O2365" s="38">
        <v>5135</v>
      </c>
      <c r="P2365" s="46">
        <f>K2365*(VLOOKUP(B2365,$C$2:$F$6,3,FALSE))</f>
        <v>2.6223999999999998</v>
      </c>
      <c r="Q2365" s="482">
        <v>2.62</v>
      </c>
      <c r="R2365" s="704">
        <f>Q2365*J2365</f>
        <v>13.100000000000001</v>
      </c>
      <c r="S2365" s="489">
        <f>U2365*1.5</f>
        <v>214.5</v>
      </c>
      <c r="T2365" s="113">
        <f>S2365*J2365</f>
        <v>1072.5</v>
      </c>
      <c r="U2365" s="1911">
        <v>143</v>
      </c>
      <c r="V2365" s="494">
        <v>120</v>
      </c>
      <c r="W2365" s="2041">
        <f t="shared" si="139"/>
        <v>0.40016778523489938</v>
      </c>
    </row>
    <row r="2366" spans="1:23" s="7" customFormat="1" ht="15">
      <c r="A2366" s="1"/>
      <c r="B2366" s="12"/>
      <c r="C2366" s="6" t="s">
        <v>5724</v>
      </c>
      <c r="D2366" s="15" t="s">
        <v>5725</v>
      </c>
      <c r="E2366" s="20" t="s">
        <v>5734</v>
      </c>
      <c r="F2366" s="26"/>
      <c r="G2366" s="24"/>
      <c r="H2366" s="67"/>
      <c r="I2366" s="68"/>
      <c r="J2366" s="67"/>
      <c r="K2366" s="10"/>
      <c r="L2366" s="39"/>
      <c r="M2366" s="39"/>
      <c r="N2366" s="39">
        <v>45027</v>
      </c>
      <c r="O2366" s="38">
        <v>5135</v>
      </c>
      <c r="P2366" s="6" t="s">
        <v>3</v>
      </c>
      <c r="Q2366" s="481"/>
      <c r="S2366" s="489"/>
      <c r="T2366" s="113"/>
      <c r="U2366" s="1911"/>
      <c r="V2366" s="494">
        <v>120</v>
      </c>
      <c r="W2366" s="2041" t="e">
        <f t="shared" si="139"/>
        <v>#DIV/0!</v>
      </c>
    </row>
    <row r="2367" spans="1:23" s="7" customFormat="1" ht="15" customHeight="1">
      <c r="A2367" s="1"/>
      <c r="B2367" s="12" t="s">
        <v>1856</v>
      </c>
      <c r="C2367" s="6" t="s">
        <v>5724</v>
      </c>
      <c r="D2367" s="15" t="s">
        <v>5725</v>
      </c>
      <c r="E2367" s="24" t="s">
        <v>5733</v>
      </c>
      <c r="F2367" s="26">
        <v>50</v>
      </c>
      <c r="G2367" s="24" t="s">
        <v>170</v>
      </c>
      <c r="H2367" s="67"/>
      <c r="I2367" s="68"/>
      <c r="J2367" s="8">
        <v>5</v>
      </c>
      <c r="K2367" s="25">
        <f>ROUNDUP(S2367/0.6/120,2)</f>
        <v>4.55</v>
      </c>
      <c r="L2367" s="46">
        <f>K2367*J2367</f>
        <v>22.75</v>
      </c>
      <c r="M2367" s="162" t="s">
        <v>2219</v>
      </c>
      <c r="N2367" s="39">
        <v>45027</v>
      </c>
      <c r="O2367" s="38">
        <v>5135</v>
      </c>
      <c r="P2367" s="46">
        <f>K2367*(VLOOKUP(B2367,$C$2:$F$6,3,FALSE))</f>
        <v>4.0039999999999996</v>
      </c>
      <c r="Q2367" s="482">
        <v>4</v>
      </c>
      <c r="R2367" s="704">
        <f>Q2367*J2367</f>
        <v>20</v>
      </c>
      <c r="S2367" s="489">
        <f>U2367*1.5</f>
        <v>327</v>
      </c>
      <c r="T2367" s="113">
        <f>S2367*J2367</f>
        <v>1635</v>
      </c>
      <c r="U2367" s="1911">
        <v>218</v>
      </c>
      <c r="V2367" s="494">
        <v>120</v>
      </c>
      <c r="W2367" s="2041">
        <f t="shared" si="139"/>
        <v>0.40109890109890112</v>
      </c>
    </row>
    <row r="2368" spans="1:23" s="7" customFormat="1" ht="15">
      <c r="A2368" s="1"/>
      <c r="B2368" s="12"/>
      <c r="C2368" s="6" t="s">
        <v>5724</v>
      </c>
      <c r="D2368" s="15" t="s">
        <v>5725</v>
      </c>
      <c r="E2368" s="20" t="s">
        <v>5736</v>
      </c>
      <c r="F2368" s="26"/>
      <c r="G2368" s="24"/>
      <c r="H2368" s="67"/>
      <c r="I2368" s="68"/>
      <c r="J2368" s="67"/>
      <c r="K2368" s="10"/>
      <c r="L2368" s="39"/>
      <c r="M2368" s="39"/>
      <c r="N2368" s="39">
        <v>45027</v>
      </c>
      <c r="O2368" s="38">
        <v>5135</v>
      </c>
      <c r="P2368" s="6" t="s">
        <v>3</v>
      </c>
      <c r="Q2368" s="481"/>
      <c r="S2368" s="489"/>
      <c r="T2368" s="113"/>
      <c r="U2368" s="1911"/>
      <c r="V2368" s="494">
        <v>120</v>
      </c>
      <c r="W2368" s="2041" t="e">
        <f t="shared" si="139"/>
        <v>#DIV/0!</v>
      </c>
    </row>
    <row r="2369" spans="1:23" s="7" customFormat="1" ht="15" customHeight="1">
      <c r="A2369" s="1"/>
      <c r="B2369" s="12" t="s">
        <v>1856</v>
      </c>
      <c r="C2369" s="6" t="s">
        <v>5724</v>
      </c>
      <c r="D2369" s="15" t="s">
        <v>5725</v>
      </c>
      <c r="E2369" s="24" t="s">
        <v>5735</v>
      </c>
      <c r="F2369" s="26">
        <v>12</v>
      </c>
      <c r="G2369" s="24" t="s">
        <v>117</v>
      </c>
      <c r="H2369" s="67"/>
      <c r="I2369" s="68"/>
      <c r="J2369" s="8">
        <v>5</v>
      </c>
      <c r="K2369" s="25">
        <f>ROUNDUP(S2369/0.6/120,2)</f>
        <v>3.38</v>
      </c>
      <c r="L2369" s="46">
        <f>K2369*J2369</f>
        <v>16.899999999999999</v>
      </c>
      <c r="M2369" s="162" t="s">
        <v>2219</v>
      </c>
      <c r="N2369" s="39">
        <v>45027</v>
      </c>
      <c r="O2369" s="38">
        <v>5135</v>
      </c>
      <c r="P2369" s="46">
        <f>K2369*(VLOOKUP(B2369,$C$2:$F$6,3,FALSE))</f>
        <v>2.9743999999999997</v>
      </c>
      <c r="Q2369" s="482">
        <v>2.97</v>
      </c>
      <c r="R2369" s="704">
        <f>Q2369*J2369</f>
        <v>14.850000000000001</v>
      </c>
      <c r="S2369" s="489">
        <f>U2369*1.5</f>
        <v>243</v>
      </c>
      <c r="T2369" s="113">
        <f>S2369*J2369</f>
        <v>1215</v>
      </c>
      <c r="U2369" s="1911">
        <v>162</v>
      </c>
      <c r="V2369" s="494">
        <v>120</v>
      </c>
      <c r="W2369" s="2041">
        <f t="shared" si="139"/>
        <v>0.40088757396449698</v>
      </c>
    </row>
    <row r="2370" spans="1:23" s="7" customFormat="1" ht="15">
      <c r="A2370" s="1"/>
      <c r="B2370" s="12"/>
      <c r="C2370" s="6" t="s">
        <v>5724</v>
      </c>
      <c r="D2370" s="15" t="s">
        <v>5725</v>
      </c>
      <c r="E2370" s="20" t="s">
        <v>5737</v>
      </c>
      <c r="F2370" s="26"/>
      <c r="G2370" s="24"/>
      <c r="H2370" s="67"/>
      <c r="I2370" s="68"/>
      <c r="J2370" s="67"/>
      <c r="K2370" s="10"/>
      <c r="L2370" s="39"/>
      <c r="M2370" s="39"/>
      <c r="N2370" s="39">
        <v>45027</v>
      </c>
      <c r="O2370" s="38">
        <v>5135</v>
      </c>
      <c r="P2370" s="6" t="s">
        <v>3</v>
      </c>
      <c r="Q2370" s="481"/>
      <c r="S2370" s="489"/>
      <c r="T2370" s="113"/>
      <c r="U2370" s="1911"/>
      <c r="V2370" s="494">
        <v>120</v>
      </c>
      <c r="W2370" s="2041" t="e">
        <f t="shared" si="139"/>
        <v>#DIV/0!</v>
      </c>
    </row>
    <row r="2371" spans="1:23" s="7" customFormat="1" ht="15" customHeight="1">
      <c r="A2371" s="1"/>
      <c r="B2371" s="12" t="s">
        <v>1856</v>
      </c>
      <c r="C2371" s="6" t="s">
        <v>5724</v>
      </c>
      <c r="D2371" s="15" t="s">
        <v>5725</v>
      </c>
      <c r="E2371" s="24" t="s">
        <v>5738</v>
      </c>
      <c r="F2371" s="26"/>
      <c r="G2371" s="24" t="s">
        <v>443</v>
      </c>
      <c r="H2371" s="67"/>
      <c r="I2371" s="68"/>
      <c r="J2371" s="8">
        <v>5</v>
      </c>
      <c r="K2371" s="25">
        <f>ROUNDUP(S2371/0.6/120,2)</f>
        <v>1.98</v>
      </c>
      <c r="L2371" s="46">
        <f>K2371*J2371</f>
        <v>9.9</v>
      </c>
      <c r="M2371" s="162" t="s">
        <v>2218</v>
      </c>
      <c r="N2371" s="39">
        <v>45027</v>
      </c>
      <c r="O2371" s="38">
        <v>5135</v>
      </c>
      <c r="P2371" s="46">
        <f>K2371*(VLOOKUP(B2371,$C$2:$F$6,3,FALSE))</f>
        <v>1.7423999999999999</v>
      </c>
      <c r="Q2371" s="482">
        <v>1.74</v>
      </c>
      <c r="R2371" s="704">
        <f>Q2371*J2371</f>
        <v>8.6999999999999993</v>
      </c>
      <c r="S2371" s="489">
        <f>U2371*1.5</f>
        <v>142.5</v>
      </c>
      <c r="T2371" s="113">
        <f>S2371*J2371</f>
        <v>712.5</v>
      </c>
      <c r="U2371" s="1911">
        <v>95</v>
      </c>
      <c r="V2371" s="494">
        <v>120</v>
      </c>
      <c r="W2371" s="2041">
        <f t="shared" si="139"/>
        <v>0.40025252525252525</v>
      </c>
    </row>
    <row r="2372" spans="1:23" s="7" customFormat="1" ht="15">
      <c r="A2372" s="1"/>
      <c r="B2372" s="12"/>
      <c r="C2372" s="6" t="s">
        <v>5724</v>
      </c>
      <c r="D2372" s="15" t="s">
        <v>5725</v>
      </c>
      <c r="E2372" s="20" t="s">
        <v>5740</v>
      </c>
      <c r="F2372" s="26"/>
      <c r="G2372" s="24"/>
      <c r="H2372" s="67"/>
      <c r="I2372" s="68"/>
      <c r="J2372" s="67"/>
      <c r="K2372" s="10"/>
      <c r="L2372" s="39"/>
      <c r="M2372" s="39"/>
      <c r="N2372" s="39">
        <v>45027</v>
      </c>
      <c r="O2372" s="38">
        <v>5135</v>
      </c>
      <c r="P2372" s="6" t="s">
        <v>3</v>
      </c>
      <c r="Q2372" s="481"/>
      <c r="S2372" s="489"/>
      <c r="T2372" s="113"/>
      <c r="U2372" s="1911"/>
      <c r="V2372" s="494">
        <v>120</v>
      </c>
      <c r="W2372" s="2041" t="e">
        <f t="shared" si="139"/>
        <v>#DIV/0!</v>
      </c>
    </row>
    <row r="2373" spans="1:23" s="7" customFormat="1" ht="15" customHeight="1">
      <c r="A2373" s="1"/>
      <c r="B2373" s="12" t="s">
        <v>1856</v>
      </c>
      <c r="C2373" s="6" t="s">
        <v>5724</v>
      </c>
      <c r="D2373" s="15" t="s">
        <v>5725</v>
      </c>
      <c r="E2373" s="24" t="s">
        <v>5739</v>
      </c>
      <c r="F2373" s="26">
        <v>30</v>
      </c>
      <c r="G2373" s="24" t="s">
        <v>205</v>
      </c>
      <c r="H2373" s="67"/>
      <c r="I2373" s="68"/>
      <c r="J2373" s="8">
        <v>5</v>
      </c>
      <c r="K2373" s="25">
        <f>ROUNDUP(S2373/0.6/120,2)</f>
        <v>4</v>
      </c>
      <c r="L2373" s="46">
        <f>K2373*J2373</f>
        <v>20</v>
      </c>
      <c r="M2373" s="162" t="s">
        <v>2219</v>
      </c>
      <c r="N2373" s="39">
        <v>45027</v>
      </c>
      <c r="O2373" s="38">
        <v>5135</v>
      </c>
      <c r="P2373" s="46">
        <f>K2373*(VLOOKUP(B2373,$C$2:$F$6,3,FALSE))</f>
        <v>3.52</v>
      </c>
      <c r="Q2373" s="482">
        <v>3.52</v>
      </c>
      <c r="R2373" s="704">
        <f>Q2373*J2373</f>
        <v>17.600000000000001</v>
      </c>
      <c r="S2373" s="489">
        <f>U2373*1.5</f>
        <v>288</v>
      </c>
      <c r="T2373" s="113">
        <f>S2373*J2373</f>
        <v>1440</v>
      </c>
      <c r="U2373" s="1911">
        <v>192</v>
      </c>
      <c r="V2373" s="494">
        <v>120</v>
      </c>
      <c r="W2373" s="2041">
        <f t="shared" si="139"/>
        <v>0.4</v>
      </c>
    </row>
    <row r="2374" spans="1:23" s="7" customFormat="1" ht="15">
      <c r="A2374" s="1"/>
      <c r="B2374" s="12"/>
      <c r="C2374" s="6" t="s">
        <v>5724</v>
      </c>
      <c r="D2374" s="15" t="s">
        <v>5725</v>
      </c>
      <c r="E2374" s="20" t="s">
        <v>5742</v>
      </c>
      <c r="F2374" s="26"/>
      <c r="G2374" s="24"/>
      <c r="H2374" s="67"/>
      <c r="I2374" s="68"/>
      <c r="J2374" s="67"/>
      <c r="K2374" s="10"/>
      <c r="L2374" s="39"/>
      <c r="M2374" s="39"/>
      <c r="N2374" s="39">
        <v>45027</v>
      </c>
      <c r="O2374" s="38">
        <v>5135</v>
      </c>
      <c r="P2374" s="6" t="s">
        <v>3</v>
      </c>
      <c r="Q2374" s="481"/>
      <c r="S2374" s="489"/>
      <c r="T2374" s="113"/>
      <c r="U2374" s="500"/>
      <c r="V2374" s="494">
        <v>120</v>
      </c>
      <c r="W2374" s="2041" t="e">
        <f t="shared" si="139"/>
        <v>#DIV/0!</v>
      </c>
    </row>
    <row r="2375" spans="1:23" s="7" customFormat="1" ht="15" customHeight="1">
      <c r="A2375" s="1"/>
      <c r="B2375" s="12" t="s">
        <v>1856</v>
      </c>
      <c r="C2375" s="6" t="s">
        <v>5724</v>
      </c>
      <c r="D2375" s="15" t="s">
        <v>5725</v>
      </c>
      <c r="E2375" s="24" t="s">
        <v>5741</v>
      </c>
      <c r="F2375" s="26">
        <v>18</v>
      </c>
      <c r="G2375" s="24" t="s">
        <v>170</v>
      </c>
      <c r="H2375" s="67"/>
      <c r="I2375" s="68"/>
      <c r="J2375" s="8">
        <v>5</v>
      </c>
      <c r="K2375" s="25">
        <f>ROUNDUP(S2375/0.6/120,2)</f>
        <v>2.98</v>
      </c>
      <c r="L2375" s="46">
        <f>K2375*J2375</f>
        <v>14.9</v>
      </c>
      <c r="M2375" s="162" t="s">
        <v>2219</v>
      </c>
      <c r="N2375" s="39">
        <v>45027</v>
      </c>
      <c r="O2375" s="38">
        <v>5135</v>
      </c>
      <c r="P2375" s="46">
        <f>K2375*(VLOOKUP(B2375,$C$2:$F$6,3,FALSE))</f>
        <v>2.6223999999999998</v>
      </c>
      <c r="Q2375" s="482">
        <v>2.62</v>
      </c>
      <c r="R2375" s="704">
        <f>Q2375*J2375</f>
        <v>13.100000000000001</v>
      </c>
      <c r="S2375" s="489">
        <f>U2375*1.5</f>
        <v>214.5</v>
      </c>
      <c r="T2375" s="113">
        <f>S2375*J2375</f>
        <v>1072.5</v>
      </c>
      <c r="U2375" s="1911">
        <v>143</v>
      </c>
      <c r="V2375" s="494">
        <v>120</v>
      </c>
      <c r="W2375" s="2041">
        <f t="shared" si="139"/>
        <v>0.40016778523489938</v>
      </c>
    </row>
    <row r="2376" spans="1:23" s="7" customFormat="1" ht="15">
      <c r="A2376" s="1"/>
      <c r="B2376" s="12"/>
      <c r="C2376" s="6" t="s">
        <v>5724</v>
      </c>
      <c r="D2376" s="15" t="s">
        <v>5725</v>
      </c>
      <c r="E2376" s="20" t="s">
        <v>5743</v>
      </c>
      <c r="F2376" s="26"/>
      <c r="G2376" s="24"/>
      <c r="H2376" s="67"/>
      <c r="I2376" s="68"/>
      <c r="J2376" s="67"/>
      <c r="K2376" s="10"/>
      <c r="L2376" s="39"/>
      <c r="M2376" s="39"/>
      <c r="N2376" s="39">
        <v>45027</v>
      </c>
      <c r="O2376" s="38">
        <v>5135</v>
      </c>
      <c r="P2376" s="6" t="s">
        <v>3</v>
      </c>
      <c r="Q2376" s="481"/>
      <c r="S2376" s="489"/>
      <c r="T2376" s="113"/>
      <c r="U2376" s="1911"/>
      <c r="V2376" s="494">
        <v>120</v>
      </c>
      <c r="W2376" s="2041" t="e">
        <f t="shared" si="139"/>
        <v>#DIV/0!</v>
      </c>
    </row>
    <row r="2377" spans="1:23" s="7" customFormat="1" ht="15" customHeight="1">
      <c r="A2377" s="1"/>
      <c r="B2377" s="12" t="s">
        <v>1856</v>
      </c>
      <c r="C2377" s="6" t="s">
        <v>5724</v>
      </c>
      <c r="D2377" s="15" t="s">
        <v>5725</v>
      </c>
      <c r="E2377" s="24" t="s">
        <v>5744</v>
      </c>
      <c r="F2377" s="26">
        <v>15</v>
      </c>
      <c r="G2377" s="24" t="s">
        <v>1768</v>
      </c>
      <c r="H2377" s="67"/>
      <c r="I2377" s="68"/>
      <c r="J2377" s="8">
        <v>5</v>
      </c>
      <c r="K2377" s="25">
        <f>ROUNDUP(S2377/0.6/120,2)</f>
        <v>3.07</v>
      </c>
      <c r="L2377" s="46">
        <f>K2377*J2377</f>
        <v>15.35</v>
      </c>
      <c r="M2377" s="162" t="s">
        <v>2219</v>
      </c>
      <c r="N2377" s="39">
        <v>45027</v>
      </c>
      <c r="O2377" s="38">
        <v>5135</v>
      </c>
      <c r="P2377" s="46">
        <f>K2377*(VLOOKUP(B2377,$C$2:$F$6,3,FALSE))</f>
        <v>2.7016</v>
      </c>
      <c r="Q2377" s="482">
        <v>2.7</v>
      </c>
      <c r="R2377" s="704">
        <f>Q2377*J2377</f>
        <v>13.5</v>
      </c>
      <c r="S2377" s="489">
        <f>U2377*1.5</f>
        <v>220.5</v>
      </c>
      <c r="T2377" s="113">
        <f>S2377*J2377</f>
        <v>1102.5</v>
      </c>
      <c r="U2377" s="1911">
        <v>147</v>
      </c>
      <c r="V2377" s="494">
        <v>120</v>
      </c>
      <c r="W2377" s="2041">
        <f t="shared" si="139"/>
        <v>0.40146579804560256</v>
      </c>
    </row>
    <row r="2378" spans="1:23" s="7" customFormat="1" ht="15">
      <c r="A2378" s="1"/>
      <c r="B2378" s="12"/>
      <c r="C2378" s="6" t="s">
        <v>5724</v>
      </c>
      <c r="D2378" s="15" t="s">
        <v>5725</v>
      </c>
      <c r="E2378" s="20" t="s">
        <v>5746</v>
      </c>
      <c r="F2378" s="26"/>
      <c r="G2378" s="24"/>
      <c r="H2378" s="67"/>
      <c r="I2378" s="68"/>
      <c r="J2378" s="67"/>
      <c r="K2378" s="10"/>
      <c r="L2378" s="39"/>
      <c r="M2378" s="39"/>
      <c r="N2378" s="39">
        <v>45027</v>
      </c>
      <c r="O2378" s="38">
        <v>5135</v>
      </c>
      <c r="P2378" s="6" t="s">
        <v>3</v>
      </c>
      <c r="Q2378" s="481"/>
      <c r="S2378" s="489"/>
      <c r="T2378" s="113"/>
      <c r="U2378" s="1911"/>
      <c r="V2378" s="494">
        <v>120</v>
      </c>
      <c r="W2378" s="2041" t="e">
        <f t="shared" si="139"/>
        <v>#DIV/0!</v>
      </c>
    </row>
    <row r="2379" spans="1:23" s="7" customFormat="1" ht="15" customHeight="1">
      <c r="A2379" s="1"/>
      <c r="B2379" s="12" t="s">
        <v>1856</v>
      </c>
      <c r="C2379" s="6" t="s">
        <v>5724</v>
      </c>
      <c r="D2379" s="15" t="s">
        <v>5725</v>
      </c>
      <c r="E2379" s="24" t="s">
        <v>5745</v>
      </c>
      <c r="F2379" s="26">
        <v>25</v>
      </c>
      <c r="G2379" s="24" t="s">
        <v>5747</v>
      </c>
      <c r="H2379" s="67"/>
      <c r="I2379" s="68"/>
      <c r="J2379" s="8">
        <v>5</v>
      </c>
      <c r="K2379" s="25">
        <f>ROUNDUP(S2379/0.6/120,2)</f>
        <v>3.61</v>
      </c>
      <c r="L2379" s="46">
        <f>K2379*J2379</f>
        <v>18.05</v>
      </c>
      <c r="M2379" s="162" t="s">
        <v>2219</v>
      </c>
      <c r="N2379" s="39">
        <v>45027</v>
      </c>
      <c r="O2379" s="38">
        <v>5135</v>
      </c>
      <c r="P2379" s="46">
        <f>K2379*(VLOOKUP(B2379,$C$2:$F$6,3,FALSE))</f>
        <v>3.1768000000000001</v>
      </c>
      <c r="Q2379" s="482">
        <v>3.18</v>
      </c>
      <c r="R2379" s="704">
        <f>Q2379*J2379</f>
        <v>15.9</v>
      </c>
      <c r="S2379" s="489">
        <f>U2379*1.5</f>
        <v>259.5</v>
      </c>
      <c r="T2379" s="113">
        <f>S2379*J2379</f>
        <v>1297.5</v>
      </c>
      <c r="U2379" s="1911">
        <v>173</v>
      </c>
      <c r="V2379" s="494">
        <v>120</v>
      </c>
      <c r="W2379" s="2041">
        <f t="shared" si="139"/>
        <v>0.40096952908587258</v>
      </c>
    </row>
    <row r="2380" spans="1:23" s="314" customFormat="1" ht="15.6" customHeight="1">
      <c r="A2380" s="1"/>
      <c r="B2380" s="313"/>
      <c r="C2380" s="302" t="s">
        <v>5724</v>
      </c>
      <c r="D2380" s="303" t="s">
        <v>5725</v>
      </c>
      <c r="E2380" s="304"/>
      <c r="F2380" s="305"/>
      <c r="G2380" s="305" t="s">
        <v>1227</v>
      </c>
      <c r="H2380" s="307" t="s">
        <v>1228</v>
      </c>
      <c r="I2380" s="308"/>
      <c r="J2380" s="306"/>
      <c r="K2380" s="315">
        <v>0</v>
      </c>
      <c r="L2380" s="1889"/>
      <c r="M2380" s="1889"/>
      <c r="N2380" s="310">
        <v>45027</v>
      </c>
      <c r="O2380" s="309">
        <v>5135</v>
      </c>
      <c r="P2380" s="302"/>
      <c r="Q2380" s="485">
        <v>0</v>
      </c>
      <c r="R2380" s="378"/>
      <c r="S2380" s="535">
        <v>0</v>
      </c>
      <c r="T2380" s="321">
        <v>0</v>
      </c>
      <c r="U2380" s="515"/>
      <c r="V2380" s="494">
        <v>120</v>
      </c>
      <c r="W2380" s="2041" t="e">
        <f t="shared" si="139"/>
        <v>#DIV/0!</v>
      </c>
    </row>
    <row r="2381" spans="1:23" s="7" customFormat="1" ht="15">
      <c r="B2381" s="12"/>
      <c r="C2381" s="6" t="s">
        <v>5761</v>
      </c>
      <c r="D2381" s="15" t="s">
        <v>1171</v>
      </c>
      <c r="E2381" s="20" t="s">
        <v>3323</v>
      </c>
      <c r="F2381" s="44"/>
      <c r="G2381" s="44"/>
      <c r="H2381" s="151"/>
      <c r="I2381" s="151"/>
      <c r="J2381" s="151"/>
      <c r="K2381" s="34" t="s">
        <v>1027</v>
      </c>
      <c r="L2381" s="39"/>
      <c r="M2381" s="39"/>
      <c r="N2381" s="39">
        <v>45041</v>
      </c>
      <c r="O2381" s="38">
        <v>5172</v>
      </c>
      <c r="P2381" s="6"/>
      <c r="Q2381" s="524"/>
      <c r="S2381" s="489"/>
      <c r="T2381" s="113"/>
      <c r="U2381" s="501"/>
      <c r="V2381" s="494">
        <v>120</v>
      </c>
      <c r="W2381" s="2041" t="e">
        <f t="shared" si="139"/>
        <v>#VALUE!</v>
      </c>
    </row>
    <row r="2382" spans="1:23" s="7" customFormat="1" ht="15" customHeight="1">
      <c r="B2382" s="12" t="s">
        <v>1856</v>
      </c>
      <c r="C2382" s="6" t="s">
        <v>5761</v>
      </c>
      <c r="D2382" s="15" t="s">
        <v>1171</v>
      </c>
      <c r="E2382" s="20" t="s">
        <v>3324</v>
      </c>
      <c r="F2382" s="44" t="s">
        <v>5768</v>
      </c>
      <c r="G2382" s="267" t="s">
        <v>5762</v>
      </c>
      <c r="H2382" s="261"/>
      <c r="I2382" s="261"/>
      <c r="J2382" s="664">
        <v>5</v>
      </c>
      <c r="K2382" s="46">
        <v>2.38</v>
      </c>
      <c r="L2382" s="46">
        <f t="shared" ref="L2382:L2387" si="140">K2382*J2382</f>
        <v>11.899999999999999</v>
      </c>
      <c r="M2382" s="162" t="s">
        <v>2219</v>
      </c>
      <c r="N2382" s="39">
        <v>45041</v>
      </c>
      <c r="O2382" s="38">
        <v>5172</v>
      </c>
      <c r="P2382" s="46">
        <f t="shared" ref="P2382:P2387" si="141">K2382*(VLOOKUP(B2382,$C$2:$F$6,3,FALSE))</f>
        <v>2.0943999999999998</v>
      </c>
      <c r="Q2382" s="483">
        <v>2.09</v>
      </c>
      <c r="R2382" s="704">
        <f t="shared" ref="R2382:R2387" si="142">Q2382*J2382</f>
        <v>10.45</v>
      </c>
      <c r="S2382" s="489">
        <v>128.5</v>
      </c>
      <c r="T2382" s="567">
        <f t="shared" ref="T2382:T2387" si="143">S2382*J2382</f>
        <v>642.5</v>
      </c>
      <c r="U2382" s="507"/>
      <c r="V2382" s="494">
        <v>120</v>
      </c>
      <c r="W2382" s="2041">
        <f t="shared" si="139"/>
        <v>0.55007002801120441</v>
      </c>
    </row>
    <row r="2383" spans="1:23" s="7" customFormat="1" ht="15" customHeight="1">
      <c r="B2383" s="12" t="s">
        <v>1856</v>
      </c>
      <c r="C2383" s="6" t="s">
        <v>5761</v>
      </c>
      <c r="D2383" s="15" t="s">
        <v>1171</v>
      </c>
      <c r="E2383" s="20" t="s">
        <v>3324</v>
      </c>
      <c r="F2383" s="44" t="s">
        <v>5768</v>
      </c>
      <c r="G2383" s="267" t="s">
        <v>5763</v>
      </c>
      <c r="H2383" s="261"/>
      <c r="I2383" s="261"/>
      <c r="J2383" s="664">
        <v>5</v>
      </c>
      <c r="K2383" s="46">
        <v>2.38</v>
      </c>
      <c r="L2383" s="46">
        <f t="shared" si="140"/>
        <v>11.899999999999999</v>
      </c>
      <c r="M2383" s="162" t="s">
        <v>2219</v>
      </c>
      <c r="N2383" s="39">
        <v>45041</v>
      </c>
      <c r="O2383" s="38">
        <v>5172</v>
      </c>
      <c r="P2383" s="46">
        <f t="shared" si="141"/>
        <v>2.0943999999999998</v>
      </c>
      <c r="Q2383" s="483">
        <v>2.09</v>
      </c>
      <c r="R2383" s="704">
        <f t="shared" si="142"/>
        <v>10.45</v>
      </c>
      <c r="S2383" s="489">
        <v>128.5</v>
      </c>
      <c r="T2383" s="567">
        <f t="shared" si="143"/>
        <v>642.5</v>
      </c>
      <c r="U2383" s="507"/>
      <c r="V2383" s="494">
        <v>120</v>
      </c>
      <c r="W2383" s="2041">
        <f t="shared" si="139"/>
        <v>0.55007002801120441</v>
      </c>
    </row>
    <row r="2384" spans="1:23" s="7" customFormat="1" ht="15" customHeight="1">
      <c r="B2384" s="12" t="s">
        <v>1856</v>
      </c>
      <c r="C2384" s="6" t="s">
        <v>5761</v>
      </c>
      <c r="D2384" s="15" t="s">
        <v>1171</v>
      </c>
      <c r="E2384" s="20" t="s">
        <v>3324</v>
      </c>
      <c r="F2384" s="44" t="s">
        <v>5768</v>
      </c>
      <c r="G2384" s="267" t="s">
        <v>5764</v>
      </c>
      <c r="H2384" s="261"/>
      <c r="I2384" s="261"/>
      <c r="J2384" s="664">
        <v>5</v>
      </c>
      <c r="K2384" s="46">
        <v>2.38</v>
      </c>
      <c r="L2384" s="46">
        <f t="shared" si="140"/>
        <v>11.899999999999999</v>
      </c>
      <c r="M2384" s="162" t="s">
        <v>2219</v>
      </c>
      <c r="N2384" s="39">
        <v>45041</v>
      </c>
      <c r="O2384" s="38">
        <v>5172</v>
      </c>
      <c r="P2384" s="46">
        <f t="shared" si="141"/>
        <v>2.0943999999999998</v>
      </c>
      <c r="Q2384" s="483">
        <v>2.09</v>
      </c>
      <c r="R2384" s="704">
        <f t="shared" si="142"/>
        <v>10.45</v>
      </c>
      <c r="S2384" s="489">
        <v>128.5</v>
      </c>
      <c r="T2384" s="567">
        <f t="shared" si="143"/>
        <v>642.5</v>
      </c>
      <c r="U2384" s="507"/>
      <c r="V2384" s="494">
        <v>120</v>
      </c>
      <c r="W2384" s="2041">
        <f t="shared" si="139"/>
        <v>0.55007002801120441</v>
      </c>
    </row>
    <row r="2385" spans="2:23" s="7" customFormat="1" ht="15" customHeight="1">
      <c r="B2385" s="12" t="s">
        <v>1856</v>
      </c>
      <c r="C2385" s="6" t="s">
        <v>5761</v>
      </c>
      <c r="D2385" s="15" t="s">
        <v>1171</v>
      </c>
      <c r="E2385" s="20" t="s">
        <v>3324</v>
      </c>
      <c r="F2385" s="44" t="s">
        <v>5768</v>
      </c>
      <c r="G2385" s="267" t="s">
        <v>5765</v>
      </c>
      <c r="H2385" s="261"/>
      <c r="I2385" s="261"/>
      <c r="J2385" s="664">
        <v>5</v>
      </c>
      <c r="K2385" s="46">
        <v>2.38</v>
      </c>
      <c r="L2385" s="46">
        <f t="shared" si="140"/>
        <v>11.899999999999999</v>
      </c>
      <c r="M2385" s="162" t="s">
        <v>2219</v>
      </c>
      <c r="N2385" s="39">
        <v>45041</v>
      </c>
      <c r="O2385" s="38">
        <v>5172</v>
      </c>
      <c r="P2385" s="46">
        <f t="shared" si="141"/>
        <v>2.0943999999999998</v>
      </c>
      <c r="Q2385" s="483">
        <v>2.09</v>
      </c>
      <c r="R2385" s="704">
        <f t="shared" si="142"/>
        <v>10.45</v>
      </c>
      <c r="S2385" s="489">
        <v>128.5</v>
      </c>
      <c r="T2385" s="567">
        <f t="shared" si="143"/>
        <v>642.5</v>
      </c>
      <c r="U2385" s="507"/>
      <c r="V2385" s="494">
        <v>120</v>
      </c>
      <c r="W2385" s="2041">
        <f t="shared" si="139"/>
        <v>0.55007002801120441</v>
      </c>
    </row>
    <row r="2386" spans="2:23" s="7" customFormat="1" ht="15" customHeight="1">
      <c r="B2386" s="12" t="s">
        <v>1856</v>
      </c>
      <c r="C2386" s="6" t="s">
        <v>5761</v>
      </c>
      <c r="D2386" s="15" t="s">
        <v>1171</v>
      </c>
      <c r="E2386" s="20" t="s">
        <v>3324</v>
      </c>
      <c r="F2386" s="44" t="s">
        <v>5768</v>
      </c>
      <c r="G2386" s="267" t="s">
        <v>5766</v>
      </c>
      <c r="H2386" s="261"/>
      <c r="I2386" s="261"/>
      <c r="J2386" s="664">
        <v>5</v>
      </c>
      <c r="K2386" s="46">
        <v>2.38</v>
      </c>
      <c r="L2386" s="46">
        <f t="shared" si="140"/>
        <v>11.899999999999999</v>
      </c>
      <c r="M2386" s="162" t="s">
        <v>2219</v>
      </c>
      <c r="N2386" s="39">
        <v>45041</v>
      </c>
      <c r="O2386" s="38">
        <v>5172</v>
      </c>
      <c r="P2386" s="46">
        <f t="shared" si="141"/>
        <v>2.0943999999999998</v>
      </c>
      <c r="Q2386" s="483">
        <v>2.09</v>
      </c>
      <c r="R2386" s="704">
        <f t="shared" si="142"/>
        <v>10.45</v>
      </c>
      <c r="S2386" s="489">
        <v>128.5</v>
      </c>
      <c r="T2386" s="567">
        <f t="shared" si="143"/>
        <v>642.5</v>
      </c>
      <c r="U2386" s="507"/>
      <c r="V2386" s="494">
        <v>120</v>
      </c>
      <c r="W2386" s="2041">
        <f t="shared" si="139"/>
        <v>0.55007002801120441</v>
      </c>
    </row>
    <row r="2387" spans="2:23" s="7" customFormat="1" ht="15" customHeight="1">
      <c r="B2387" s="12" t="s">
        <v>1862</v>
      </c>
      <c r="C2387" s="6" t="s">
        <v>5761</v>
      </c>
      <c r="D2387" s="15" t="s">
        <v>1171</v>
      </c>
      <c r="E2387" s="24"/>
      <c r="F2387" s="138"/>
      <c r="G2387" s="44" t="s">
        <v>2014</v>
      </c>
      <c r="H2387" s="8"/>
      <c r="I2387" s="41"/>
      <c r="J2387" s="45">
        <v>5</v>
      </c>
      <c r="K2387" s="46">
        <v>7</v>
      </c>
      <c r="L2387" s="46">
        <f t="shared" si="140"/>
        <v>35</v>
      </c>
      <c r="M2387" s="162" t="s">
        <v>2219</v>
      </c>
      <c r="N2387" s="39">
        <v>45041</v>
      </c>
      <c r="O2387" s="38">
        <v>5172</v>
      </c>
      <c r="P2387" s="46">
        <f t="shared" si="141"/>
        <v>7</v>
      </c>
      <c r="Q2387" s="483">
        <v>7</v>
      </c>
      <c r="R2387" s="704">
        <f t="shared" si="142"/>
        <v>35</v>
      </c>
      <c r="S2387" s="489">
        <v>500</v>
      </c>
      <c r="T2387" s="567">
        <f t="shared" si="143"/>
        <v>2500</v>
      </c>
      <c r="U2387" s="501"/>
      <c r="V2387" s="494">
        <v>120</v>
      </c>
      <c r="W2387" s="2041">
        <f t="shared" si="139"/>
        <v>0.40476190476190477</v>
      </c>
    </row>
    <row r="2388" spans="2:23" s="7" customFormat="1" ht="15">
      <c r="B2388" s="12"/>
      <c r="C2388" s="6" t="s">
        <v>5761</v>
      </c>
      <c r="D2388" s="15" t="s">
        <v>1171</v>
      </c>
      <c r="E2388" s="20" t="s">
        <v>408</v>
      </c>
      <c r="F2388" s="44"/>
      <c r="G2388" s="44"/>
      <c r="H2388" s="151"/>
      <c r="I2388" s="151"/>
      <c r="J2388" s="151"/>
      <c r="K2388" s="34" t="s">
        <v>1027</v>
      </c>
      <c r="L2388" s="39"/>
      <c r="M2388" s="39"/>
      <c r="N2388" s="39">
        <v>45041</v>
      </c>
      <c r="O2388" s="38">
        <v>5172</v>
      </c>
      <c r="P2388" s="6"/>
      <c r="Q2388" s="524"/>
      <c r="S2388" s="489"/>
      <c r="T2388" s="113"/>
      <c r="U2388" s="501"/>
      <c r="V2388" s="494">
        <v>120</v>
      </c>
      <c r="W2388" s="2041" t="e">
        <f t="shared" si="139"/>
        <v>#VALUE!</v>
      </c>
    </row>
    <row r="2389" spans="2:23" s="7" customFormat="1" ht="15" customHeight="1">
      <c r="B2389" s="12" t="s">
        <v>1856</v>
      </c>
      <c r="C2389" s="6" t="s">
        <v>5761</v>
      </c>
      <c r="D2389" s="15" t="s">
        <v>1171</v>
      </c>
      <c r="E2389" s="24" t="s">
        <v>637</v>
      </c>
      <c r="F2389" s="26"/>
      <c r="G2389" s="24" t="s">
        <v>17</v>
      </c>
      <c r="H2389" s="67">
        <v>50</v>
      </c>
      <c r="I2389" s="68">
        <v>2</v>
      </c>
      <c r="J2389" s="8">
        <f>H2389*I2389</f>
        <v>100</v>
      </c>
      <c r="K2389" s="46">
        <v>0.23</v>
      </c>
      <c r="L2389" s="46">
        <f>K2389*J2389</f>
        <v>23</v>
      </c>
      <c r="M2389" s="162" t="s">
        <v>2219</v>
      </c>
      <c r="N2389" s="39">
        <v>45041</v>
      </c>
      <c r="O2389" s="38">
        <v>5172</v>
      </c>
      <c r="P2389" s="46">
        <f>K2389*(VLOOKUP(B2389,$C$2:$F$6,3,FALSE))</f>
        <v>0.2024</v>
      </c>
      <c r="Q2389" s="482">
        <v>0.2</v>
      </c>
      <c r="R2389" s="704">
        <f>Q2389*J2389</f>
        <v>20</v>
      </c>
      <c r="S2389" s="489">
        <v>13.1</v>
      </c>
      <c r="T2389" s="113">
        <f>S2389*J2389</f>
        <v>1310</v>
      </c>
      <c r="U2389" s="1603"/>
      <c r="V2389" s="494">
        <v>120</v>
      </c>
      <c r="W2389" s="2041">
        <f t="shared" si="139"/>
        <v>0.52536231884057971</v>
      </c>
    </row>
    <row r="2390" spans="2:23" s="7" customFormat="1" ht="15" customHeight="1">
      <c r="B2390" s="12" t="s">
        <v>1856</v>
      </c>
      <c r="C2390" s="6" t="s">
        <v>5761</v>
      </c>
      <c r="D2390" s="15" t="s">
        <v>1171</v>
      </c>
      <c r="E2390" s="24" t="s">
        <v>5767</v>
      </c>
      <c r="F2390" s="26"/>
      <c r="G2390" s="24" t="s">
        <v>17</v>
      </c>
      <c r="H2390" s="67">
        <v>50</v>
      </c>
      <c r="I2390" s="68">
        <v>1</v>
      </c>
      <c r="J2390" s="8">
        <f>H2390*I2390</f>
        <v>50</v>
      </c>
      <c r="K2390" s="46">
        <v>0.35</v>
      </c>
      <c r="L2390" s="46">
        <f>K2390*J2390</f>
        <v>17.5</v>
      </c>
      <c r="M2390" s="162" t="s">
        <v>2219</v>
      </c>
      <c r="N2390" s="39">
        <v>45041</v>
      </c>
      <c r="O2390" s="38">
        <v>5172</v>
      </c>
      <c r="P2390" s="46">
        <f>K2390*(VLOOKUP(B2390,$C$2:$F$6,3,FALSE))</f>
        <v>0.308</v>
      </c>
      <c r="Q2390" s="482">
        <v>0.31</v>
      </c>
      <c r="R2390" s="704">
        <f>Q2390*J2390</f>
        <v>15.5</v>
      </c>
      <c r="S2390" s="489">
        <v>20.399999999999999</v>
      </c>
      <c r="T2390" s="113">
        <f>S2390*J2390</f>
        <v>1019.9999999999999</v>
      </c>
      <c r="U2390" s="1603"/>
      <c r="V2390" s="494">
        <v>120</v>
      </c>
      <c r="W2390" s="2041">
        <f t="shared" si="139"/>
        <v>0.51428571428571435</v>
      </c>
    </row>
    <row r="2391" spans="2:23" s="7" customFormat="1" ht="15.95" customHeight="1">
      <c r="B2391" s="12"/>
      <c r="C2391" s="6" t="s">
        <v>5761</v>
      </c>
      <c r="D2391" s="15" t="s">
        <v>1171</v>
      </c>
      <c r="E2391" s="24"/>
      <c r="F2391" s="138"/>
      <c r="G2391" s="44" t="s">
        <v>1993</v>
      </c>
      <c r="H2391" s="8"/>
      <c r="I2391" s="41"/>
      <c r="J2391" s="45">
        <v>1</v>
      </c>
      <c r="K2391" s="46">
        <v>12</v>
      </c>
      <c r="L2391" s="46">
        <f>K2391*J2391</f>
        <v>12</v>
      </c>
      <c r="M2391" s="39"/>
      <c r="N2391" s="39">
        <v>45041</v>
      </c>
      <c r="O2391" s="38">
        <v>5172</v>
      </c>
      <c r="P2391" s="6"/>
      <c r="Q2391" s="483">
        <v>12</v>
      </c>
      <c r="R2391" s="704">
        <f>Q2391*J2391</f>
        <v>12</v>
      </c>
      <c r="S2391" s="489">
        <v>1100</v>
      </c>
      <c r="T2391" s="113">
        <f>S2391*J2391</f>
        <v>1100</v>
      </c>
      <c r="U2391" s="501"/>
      <c r="V2391" s="494">
        <v>120</v>
      </c>
      <c r="W2391" s="2041">
        <f t="shared" si="139"/>
        <v>0.2361111111111111</v>
      </c>
    </row>
    <row r="2392" spans="2:23" s="314" customFormat="1" ht="15.6" customHeight="1">
      <c r="B2392" s="313"/>
      <c r="C2392" s="302" t="s">
        <v>5761</v>
      </c>
      <c r="D2392" s="303" t="s">
        <v>1171</v>
      </c>
      <c r="E2392" s="304"/>
      <c r="F2392" s="305"/>
      <c r="G2392" s="305" t="s">
        <v>1227</v>
      </c>
      <c r="H2392" s="307" t="s">
        <v>3438</v>
      </c>
      <c r="I2392" s="308"/>
      <c r="J2392" s="306"/>
      <c r="K2392" s="329">
        <v>27</v>
      </c>
      <c r="L2392" s="329">
        <v>27</v>
      </c>
      <c r="M2392" s="310"/>
      <c r="N2392" s="310">
        <v>45041</v>
      </c>
      <c r="O2392" s="309">
        <v>5172</v>
      </c>
      <c r="P2392" s="302"/>
      <c r="Q2392" s="329">
        <v>27</v>
      </c>
      <c r="R2392" s="329">
        <v>27</v>
      </c>
      <c r="S2392" s="489">
        <v>3138</v>
      </c>
      <c r="T2392" s="489">
        <v>3138</v>
      </c>
      <c r="U2392" s="515"/>
      <c r="V2392" s="494">
        <v>120</v>
      </c>
      <c r="W2392" s="2041">
        <f t="shared" si="139"/>
        <v>3.1481481481481478E-2</v>
      </c>
    </row>
    <row r="2393" spans="2:23" s="7" customFormat="1" ht="15">
      <c r="B2393" s="12"/>
      <c r="C2393" s="6" t="s">
        <v>5799</v>
      </c>
      <c r="D2393" s="15" t="s">
        <v>3026</v>
      </c>
      <c r="E2393" s="20" t="s">
        <v>408</v>
      </c>
      <c r="F2393" s="44"/>
      <c r="G2393" s="44"/>
      <c r="H2393" s="151"/>
      <c r="I2393" s="151"/>
      <c r="J2393" s="151"/>
      <c r="K2393" s="34" t="s">
        <v>1027</v>
      </c>
      <c r="L2393" s="39"/>
      <c r="M2393" s="39"/>
      <c r="N2393" s="39">
        <v>45055</v>
      </c>
      <c r="O2393" s="38">
        <v>5205</v>
      </c>
      <c r="P2393" s="6"/>
      <c r="Q2393" s="524"/>
      <c r="S2393" s="489"/>
      <c r="T2393" s="113"/>
      <c r="U2393" s="501"/>
      <c r="V2393" s="494">
        <v>120</v>
      </c>
      <c r="W2393" s="2041" t="e">
        <f t="shared" si="139"/>
        <v>#VALUE!</v>
      </c>
    </row>
    <row r="2394" spans="2:23" s="7" customFormat="1" ht="15" customHeight="1">
      <c r="B2394" s="12" t="s">
        <v>1856</v>
      </c>
      <c r="C2394" s="6" t="s">
        <v>5799</v>
      </c>
      <c r="D2394" s="15" t="s">
        <v>3026</v>
      </c>
      <c r="E2394" s="24" t="s">
        <v>5772</v>
      </c>
      <c r="F2394" s="26"/>
      <c r="G2394" s="24" t="s">
        <v>17</v>
      </c>
      <c r="H2394" s="67">
        <v>50</v>
      </c>
      <c r="I2394" s="68">
        <v>73</v>
      </c>
      <c r="J2394" s="8">
        <f>H2394*I2394</f>
        <v>3650</v>
      </c>
      <c r="K2394" s="46">
        <v>0.26</v>
      </c>
      <c r="L2394" s="46">
        <f>K2394*J2394</f>
        <v>949</v>
      </c>
      <c r="M2394" s="162" t="s">
        <v>2219</v>
      </c>
      <c r="N2394" s="39">
        <v>45055</v>
      </c>
      <c r="O2394" s="38">
        <v>5205</v>
      </c>
      <c r="P2394" s="46">
        <f>K2394*(VLOOKUP(B2394,$C$2:$F$6,3,FALSE))</f>
        <v>0.2288</v>
      </c>
      <c r="Q2394" s="482">
        <v>0.23</v>
      </c>
      <c r="R2394" s="704">
        <f>Q2394*J2394</f>
        <v>839.5</v>
      </c>
      <c r="S2394" s="489">
        <v>15.1</v>
      </c>
      <c r="T2394" s="113">
        <f>S2394*J2394</f>
        <v>55115</v>
      </c>
      <c r="U2394" s="1603"/>
      <c r="V2394" s="494">
        <v>120</v>
      </c>
      <c r="W2394" s="2041">
        <f t="shared" si="139"/>
        <v>0.51602564102564097</v>
      </c>
    </row>
    <row r="2395" spans="2:23" s="7" customFormat="1" ht="15" customHeight="1">
      <c r="B2395" s="12" t="s">
        <v>1856</v>
      </c>
      <c r="C2395" s="6" t="s">
        <v>5799</v>
      </c>
      <c r="D2395" s="15" t="s">
        <v>3026</v>
      </c>
      <c r="E2395" s="24" t="s">
        <v>5772</v>
      </c>
      <c r="F2395" s="26"/>
      <c r="G2395" s="24" t="s">
        <v>17</v>
      </c>
      <c r="H2395" s="67">
        <v>50</v>
      </c>
      <c r="I2395" s="68">
        <v>1</v>
      </c>
      <c r="J2395" s="8">
        <f>H2395*I2395</f>
        <v>50</v>
      </c>
      <c r="K2395" s="46">
        <v>0.26</v>
      </c>
      <c r="L2395" s="46">
        <f>K2395*J2395</f>
        <v>13</v>
      </c>
      <c r="M2395" s="162" t="s">
        <v>2219</v>
      </c>
      <c r="N2395" s="39">
        <v>45055</v>
      </c>
      <c r="O2395" s="38">
        <v>5205</v>
      </c>
      <c r="P2395" s="46">
        <f>K2395*(VLOOKUP(B2395,$C$2:$F$6,3,FALSE))</f>
        <v>0.2288</v>
      </c>
      <c r="Q2395" s="482">
        <v>0.23</v>
      </c>
      <c r="R2395" s="704">
        <f>Q2395*J2395</f>
        <v>11.5</v>
      </c>
      <c r="S2395" s="489">
        <v>15.1</v>
      </c>
      <c r="T2395" s="113">
        <f>S2395*J2395</f>
        <v>755</v>
      </c>
      <c r="U2395" s="1603"/>
      <c r="V2395" s="494">
        <v>120</v>
      </c>
      <c r="W2395" s="2041">
        <f t="shared" si="139"/>
        <v>0.51602564102564097</v>
      </c>
    </row>
    <row r="2396" spans="2:23" s="7" customFormat="1" ht="15" customHeight="1">
      <c r="B2396" s="12" t="s">
        <v>1856</v>
      </c>
      <c r="C2396" s="6" t="s">
        <v>5799</v>
      </c>
      <c r="D2396" s="15" t="s">
        <v>3026</v>
      </c>
      <c r="E2396" s="24" t="s">
        <v>765</v>
      </c>
      <c r="F2396" s="26"/>
      <c r="G2396" s="24" t="s">
        <v>17</v>
      </c>
      <c r="H2396" s="67">
        <v>50</v>
      </c>
      <c r="I2396" s="68">
        <v>1</v>
      </c>
      <c r="J2396" s="8">
        <f>H2396*I2396</f>
        <v>50</v>
      </c>
      <c r="K2396" s="46">
        <v>0.28000000000000003</v>
      </c>
      <c r="L2396" s="46">
        <f>K2396*J2396</f>
        <v>14.000000000000002</v>
      </c>
      <c r="M2396" s="162" t="s">
        <v>2219</v>
      </c>
      <c r="N2396" s="39">
        <v>45055</v>
      </c>
      <c r="O2396" s="38">
        <v>5205</v>
      </c>
      <c r="P2396" s="46">
        <f>K2396*(VLOOKUP(B2396,$C$2:$F$6,3,FALSE))</f>
        <v>0.24640000000000004</v>
      </c>
      <c r="Q2396" s="482">
        <v>0.25</v>
      </c>
      <c r="R2396" s="704">
        <f>Q2396*J2396</f>
        <v>12.5</v>
      </c>
      <c r="S2396" s="489">
        <v>16.3</v>
      </c>
      <c r="T2396" s="113">
        <f>S2396*J2396</f>
        <v>815</v>
      </c>
      <c r="U2396" s="1603"/>
      <c r="V2396" s="494">
        <v>120</v>
      </c>
      <c r="W2396" s="2041">
        <f t="shared" si="139"/>
        <v>0.51488095238095233</v>
      </c>
    </row>
    <row r="2397" spans="2:23" s="7" customFormat="1" ht="15" customHeight="1">
      <c r="B2397" s="12" t="s">
        <v>1856</v>
      </c>
      <c r="C2397" s="6" t="s">
        <v>5799</v>
      </c>
      <c r="D2397" s="15" t="s">
        <v>3026</v>
      </c>
      <c r="E2397" s="24" t="s">
        <v>1219</v>
      </c>
      <c r="F2397" s="26"/>
      <c r="G2397" s="24" t="s">
        <v>17</v>
      </c>
      <c r="H2397" s="67">
        <v>50</v>
      </c>
      <c r="I2397" s="68">
        <v>1</v>
      </c>
      <c r="J2397" s="8">
        <f>H2397*I2397</f>
        <v>50</v>
      </c>
      <c r="K2397" s="46">
        <v>0.3</v>
      </c>
      <c r="L2397" s="46">
        <f>K2397*J2397</f>
        <v>15</v>
      </c>
      <c r="M2397" s="162" t="s">
        <v>2219</v>
      </c>
      <c r="N2397" s="39">
        <v>45055</v>
      </c>
      <c r="O2397" s="38">
        <v>5205</v>
      </c>
      <c r="P2397" s="46">
        <f>K2397*(VLOOKUP(B2397,$C$2:$F$6,3,FALSE))</f>
        <v>0.26400000000000001</v>
      </c>
      <c r="Q2397" s="482">
        <v>0.26</v>
      </c>
      <c r="R2397" s="704">
        <f>Q2397*J2397</f>
        <v>13</v>
      </c>
      <c r="S2397" s="489">
        <v>18</v>
      </c>
      <c r="T2397" s="113">
        <f>S2397*J2397</f>
        <v>900</v>
      </c>
      <c r="U2397" s="1603"/>
      <c r="V2397" s="494">
        <v>120</v>
      </c>
      <c r="W2397" s="2041">
        <f t="shared" si="139"/>
        <v>0.5</v>
      </c>
    </row>
    <row r="2398" spans="2:23" s="7" customFormat="1" ht="15.95" customHeight="1">
      <c r="B2398" s="12"/>
      <c r="C2398" s="6" t="s">
        <v>5799</v>
      </c>
      <c r="D2398" s="15" t="s">
        <v>3026</v>
      </c>
      <c r="E2398" s="24"/>
      <c r="F2398" s="138"/>
      <c r="G2398" s="44" t="s">
        <v>1993</v>
      </c>
      <c r="H2398" s="8"/>
      <c r="I2398" s="41"/>
      <c r="J2398" s="45">
        <v>1</v>
      </c>
      <c r="K2398" s="46">
        <v>12</v>
      </c>
      <c r="L2398" s="46">
        <f>K2398*J2398</f>
        <v>12</v>
      </c>
      <c r="M2398" s="39"/>
      <c r="N2398" s="39">
        <v>45055</v>
      </c>
      <c r="O2398" s="38">
        <v>5205</v>
      </c>
      <c r="P2398" s="6"/>
      <c r="Q2398" s="483">
        <v>12</v>
      </c>
      <c r="R2398" s="704">
        <f>Q2398*J2398</f>
        <v>12</v>
      </c>
      <c r="S2398" s="489">
        <v>1100</v>
      </c>
      <c r="T2398" s="113">
        <f>S2398*J2398</f>
        <v>1100</v>
      </c>
      <c r="U2398" s="501"/>
      <c r="V2398" s="494">
        <v>120</v>
      </c>
      <c r="W2398" s="2041">
        <f t="shared" si="139"/>
        <v>0.2361111111111111</v>
      </c>
    </row>
    <row r="2399" spans="2:23" s="314" customFormat="1" ht="15.6" customHeight="1">
      <c r="B2399" s="313"/>
      <c r="C2399" s="302" t="s">
        <v>5799</v>
      </c>
      <c r="D2399" s="303" t="s">
        <v>3026</v>
      </c>
      <c r="E2399" s="304"/>
      <c r="F2399" s="305"/>
      <c r="G2399" s="305" t="s">
        <v>1227</v>
      </c>
      <c r="H2399" s="307" t="s">
        <v>3438</v>
      </c>
      <c r="I2399" s="308"/>
      <c r="J2399" s="306"/>
      <c r="K2399" s="329">
        <v>199</v>
      </c>
      <c r="L2399" s="329">
        <v>199</v>
      </c>
      <c r="M2399" s="310"/>
      <c r="N2399" s="310">
        <v>45055</v>
      </c>
      <c r="O2399" s="309">
        <v>5205</v>
      </c>
      <c r="P2399" s="302"/>
      <c r="Q2399" s="329">
        <v>199</v>
      </c>
      <c r="R2399" s="329">
        <v>199</v>
      </c>
      <c r="S2399" s="489">
        <v>23798</v>
      </c>
      <c r="T2399" s="489">
        <v>23798</v>
      </c>
      <c r="U2399" s="515"/>
      <c r="V2399" s="494">
        <v>120</v>
      </c>
      <c r="W2399" s="2041">
        <f t="shared" si="139"/>
        <v>3.4338358458961475E-3</v>
      </c>
    </row>
    <row r="2400" spans="2:23" ht="15">
      <c r="C2400" s="6" t="s">
        <v>5779</v>
      </c>
      <c r="D2400" s="15" t="s">
        <v>11</v>
      </c>
      <c r="E2400" s="20" t="s">
        <v>79</v>
      </c>
      <c r="F2400" s="150"/>
      <c r="G2400" s="24"/>
      <c r="H2400" s="151"/>
      <c r="I2400" s="152"/>
      <c r="J2400" s="151"/>
      <c r="K2400" s="153" t="s">
        <v>10</v>
      </c>
      <c r="L2400" s="39"/>
      <c r="M2400" s="39"/>
      <c r="N2400" s="39">
        <v>45134</v>
      </c>
      <c r="O2400" s="38">
        <v>5358</v>
      </c>
      <c r="P2400" s="15"/>
      <c r="Q2400" s="483"/>
      <c r="S2400" s="496"/>
      <c r="T2400" s="113"/>
      <c r="V2400" s="494">
        <v>120</v>
      </c>
      <c r="W2400" s="2041" t="e">
        <f t="shared" si="139"/>
        <v>#VALUE!</v>
      </c>
    </row>
    <row r="2401" spans="2:23" ht="15.75">
      <c r="B2401" s="12" t="s">
        <v>1858</v>
      </c>
      <c r="C2401" s="6" t="s">
        <v>5779</v>
      </c>
      <c r="D2401" s="15" t="s">
        <v>11</v>
      </c>
      <c r="E2401" s="24" t="s">
        <v>3067</v>
      </c>
      <c r="F2401" s="150">
        <v>152</v>
      </c>
      <c r="G2401" s="24" t="s">
        <v>859</v>
      </c>
      <c r="H2401" s="67">
        <v>58</v>
      </c>
      <c r="I2401" s="68">
        <v>15</v>
      </c>
      <c r="J2401" s="67">
        <f>H2401*I2401</f>
        <v>870</v>
      </c>
      <c r="K2401" s="46">
        <v>3.89</v>
      </c>
      <c r="L2401" s="46">
        <f>K2401*J2401</f>
        <v>3384.3</v>
      </c>
      <c r="M2401" s="162" t="s">
        <v>2219</v>
      </c>
      <c r="N2401" s="39">
        <v>45134</v>
      </c>
      <c r="O2401" s="38">
        <v>5358</v>
      </c>
      <c r="P2401" s="46">
        <f>K2401*(VLOOKUP(B2401,$C$2:$F$6,3,FALSE))</f>
        <v>3.6566000000000001</v>
      </c>
      <c r="Q2401" s="483">
        <v>3.66</v>
      </c>
      <c r="R2401" s="704">
        <f>Q2401*J2401</f>
        <v>3184.2000000000003</v>
      </c>
      <c r="S2401" s="532">
        <v>230</v>
      </c>
      <c r="T2401" s="567">
        <f>S2401*J2401</f>
        <v>200100</v>
      </c>
      <c r="V2401" s="494">
        <v>120</v>
      </c>
      <c r="W2401" s="2041">
        <f t="shared" si="139"/>
        <v>0.50728363324764358</v>
      </c>
    </row>
    <row r="2402" spans="2:23" ht="15.75">
      <c r="B2402" s="12" t="s">
        <v>1858</v>
      </c>
      <c r="C2402" s="6" t="s">
        <v>5779</v>
      </c>
      <c r="D2402" s="15" t="s">
        <v>11</v>
      </c>
      <c r="E2402" s="24" t="s">
        <v>3067</v>
      </c>
      <c r="F2402" s="150">
        <v>152</v>
      </c>
      <c r="G2402" s="24" t="s">
        <v>859</v>
      </c>
      <c r="H2402" s="67">
        <v>68</v>
      </c>
      <c r="I2402" s="68">
        <v>5</v>
      </c>
      <c r="J2402" s="67">
        <f>H2402*I2402</f>
        <v>340</v>
      </c>
      <c r="K2402" s="46">
        <v>3.89</v>
      </c>
      <c r="L2402" s="46">
        <f>K2402*J2402</f>
        <v>1322.6000000000001</v>
      </c>
      <c r="M2402" s="162" t="s">
        <v>2219</v>
      </c>
      <c r="N2402" s="39">
        <v>45134</v>
      </c>
      <c r="O2402" s="38">
        <v>5358</v>
      </c>
      <c r="P2402" s="46">
        <f>K2402*(VLOOKUP(B2402,$C$2:$F$6,3,FALSE))</f>
        <v>3.6566000000000001</v>
      </c>
      <c r="Q2402" s="483">
        <v>3.66</v>
      </c>
      <c r="R2402" s="704">
        <f>Q2402*J2402</f>
        <v>1244.4000000000001</v>
      </c>
      <c r="S2402" s="532">
        <v>230</v>
      </c>
      <c r="T2402" s="567">
        <f>S2402*J2402</f>
        <v>78200</v>
      </c>
      <c r="V2402" s="494">
        <v>120</v>
      </c>
      <c r="W2402" s="2041">
        <f t="shared" si="139"/>
        <v>0.50728363324764358</v>
      </c>
    </row>
    <row r="2403" spans="2:23" ht="15">
      <c r="C2403" s="6" t="s">
        <v>5779</v>
      </c>
      <c r="D2403" s="15" t="s">
        <v>11</v>
      </c>
      <c r="E2403" s="24"/>
      <c r="F2403" s="160"/>
      <c r="G2403" s="228" t="s">
        <v>31</v>
      </c>
      <c r="H2403" s="214"/>
      <c r="I2403" s="215"/>
      <c r="J2403" s="43">
        <v>1</v>
      </c>
      <c r="K2403" s="229">
        <v>20</v>
      </c>
      <c r="L2403" s="417" t="s">
        <v>1676</v>
      </c>
      <c r="M2403" s="417"/>
      <c r="N2403" s="39">
        <v>45134</v>
      </c>
      <c r="O2403" s="38">
        <v>5358</v>
      </c>
      <c r="P2403" s="216"/>
      <c r="Q2403" s="525">
        <v>0</v>
      </c>
      <c r="R2403" s="704">
        <f>Q2403*J2403</f>
        <v>0</v>
      </c>
      <c r="S2403" s="532">
        <v>0</v>
      </c>
      <c r="T2403" s="113">
        <f>S2403*J2403</f>
        <v>0</v>
      </c>
      <c r="V2403" s="494">
        <v>120</v>
      </c>
      <c r="W2403" s="2041">
        <f t="shared" si="139"/>
        <v>1</v>
      </c>
    </row>
    <row r="2404" spans="2:23" s="314" customFormat="1" ht="15">
      <c r="B2404" s="313"/>
      <c r="C2404" s="302" t="s">
        <v>5779</v>
      </c>
      <c r="D2404" s="303" t="s">
        <v>11</v>
      </c>
      <c r="E2404" s="304"/>
      <c r="F2404" s="305"/>
      <c r="G2404" s="305" t="s">
        <v>1227</v>
      </c>
      <c r="H2404" s="307" t="s">
        <v>1228</v>
      </c>
      <c r="I2404" s="308"/>
      <c r="J2404" s="306"/>
      <c r="K2404" s="315">
        <v>0</v>
      </c>
      <c r="L2404" s="310"/>
      <c r="M2404" s="310"/>
      <c r="N2404" s="310">
        <v>45134</v>
      </c>
      <c r="O2404" s="309">
        <v>5358</v>
      </c>
      <c r="P2404" s="302"/>
      <c r="Q2404" s="485">
        <v>0</v>
      </c>
      <c r="S2404" s="535">
        <v>0</v>
      </c>
      <c r="T2404" s="322">
        <v>0</v>
      </c>
      <c r="U2404" s="515"/>
      <c r="V2404" s="494">
        <v>120</v>
      </c>
      <c r="W2404" s="2041" t="e">
        <f t="shared" si="139"/>
        <v>#DIV/0!</v>
      </c>
    </row>
    <row r="2405" spans="2:23" ht="15">
      <c r="C2405" s="6" t="s">
        <v>5780</v>
      </c>
      <c r="D2405" s="15" t="s">
        <v>11</v>
      </c>
      <c r="E2405" s="20" t="s">
        <v>79</v>
      </c>
      <c r="F2405" s="150"/>
      <c r="G2405" s="24"/>
      <c r="H2405" s="151"/>
      <c r="I2405" s="152"/>
      <c r="J2405" s="151"/>
      <c r="K2405" s="153" t="s">
        <v>10</v>
      </c>
      <c r="L2405" s="39"/>
      <c r="M2405" s="39"/>
      <c r="N2405" s="39">
        <v>45163</v>
      </c>
      <c r="O2405" s="38">
        <v>5477</v>
      </c>
      <c r="P2405" s="15"/>
      <c r="Q2405" s="483"/>
      <c r="S2405" s="496"/>
      <c r="T2405" s="113"/>
      <c r="V2405" s="494">
        <v>120</v>
      </c>
      <c r="W2405" s="2041" t="e">
        <f t="shared" si="139"/>
        <v>#VALUE!</v>
      </c>
    </row>
    <row r="2406" spans="2:23" ht="15.75">
      <c r="B2406" s="12" t="s">
        <v>1858</v>
      </c>
      <c r="C2406" s="6" t="s">
        <v>5780</v>
      </c>
      <c r="D2406" s="15" t="s">
        <v>11</v>
      </c>
      <c r="E2406" s="24" t="s">
        <v>3067</v>
      </c>
      <c r="F2406" s="150">
        <v>152</v>
      </c>
      <c r="G2406" s="24" t="s">
        <v>859</v>
      </c>
      <c r="H2406" s="67">
        <v>58</v>
      </c>
      <c r="I2406" s="68">
        <v>15</v>
      </c>
      <c r="J2406" s="67">
        <f>H2406*I2406</f>
        <v>870</v>
      </c>
      <c r="K2406" s="46">
        <v>3.89</v>
      </c>
      <c r="L2406" s="46">
        <f>K2406*J2406</f>
        <v>3384.3</v>
      </c>
      <c r="M2406" s="162" t="s">
        <v>2219</v>
      </c>
      <c r="N2406" s="39">
        <v>45163</v>
      </c>
      <c r="O2406" s="38">
        <v>5477</v>
      </c>
      <c r="P2406" s="46">
        <f>K2406*(VLOOKUP(B2406,$C$2:$F$6,3,FALSE))</f>
        <v>3.6566000000000001</v>
      </c>
      <c r="Q2406" s="483">
        <v>3.66</v>
      </c>
      <c r="R2406" s="704">
        <f>Q2406*J2406</f>
        <v>3184.2000000000003</v>
      </c>
      <c r="S2406" s="532">
        <v>230</v>
      </c>
      <c r="T2406" s="567">
        <f>S2406*J2406</f>
        <v>200100</v>
      </c>
      <c r="V2406" s="494">
        <v>120</v>
      </c>
      <c r="W2406" s="2041">
        <f t="shared" si="139"/>
        <v>0.50728363324764358</v>
      </c>
    </row>
    <row r="2407" spans="2:23" ht="15.75">
      <c r="B2407" s="12" t="s">
        <v>1858</v>
      </c>
      <c r="C2407" s="6" t="s">
        <v>5780</v>
      </c>
      <c r="D2407" s="15" t="s">
        <v>11</v>
      </c>
      <c r="E2407" s="24" t="s">
        <v>3067</v>
      </c>
      <c r="F2407" s="150">
        <v>152</v>
      </c>
      <c r="G2407" s="24" t="s">
        <v>859</v>
      </c>
      <c r="H2407" s="67">
        <v>68</v>
      </c>
      <c r="I2407" s="68">
        <v>5</v>
      </c>
      <c r="J2407" s="67">
        <f>H2407*I2407</f>
        <v>340</v>
      </c>
      <c r="K2407" s="46">
        <v>3.89</v>
      </c>
      <c r="L2407" s="46">
        <f>K2407*J2407</f>
        <v>1322.6000000000001</v>
      </c>
      <c r="M2407" s="162" t="s">
        <v>2219</v>
      </c>
      <c r="N2407" s="39">
        <v>45163</v>
      </c>
      <c r="O2407" s="38">
        <v>5477</v>
      </c>
      <c r="P2407" s="46">
        <f>K2407*(VLOOKUP(B2407,$C$2:$F$6,3,FALSE))</f>
        <v>3.6566000000000001</v>
      </c>
      <c r="Q2407" s="483">
        <v>3.66</v>
      </c>
      <c r="R2407" s="704">
        <f>Q2407*J2407</f>
        <v>1244.4000000000001</v>
      </c>
      <c r="S2407" s="532">
        <v>230</v>
      </c>
      <c r="T2407" s="567">
        <f>S2407*J2407</f>
        <v>78200</v>
      </c>
      <c r="V2407" s="494">
        <v>120</v>
      </c>
      <c r="W2407" s="2041">
        <f t="shared" si="139"/>
        <v>0.50728363324764358</v>
      </c>
    </row>
    <row r="2408" spans="2:23" ht="15">
      <c r="C2408" s="6" t="s">
        <v>5780</v>
      </c>
      <c r="D2408" s="15" t="s">
        <v>11</v>
      </c>
      <c r="E2408" s="24"/>
      <c r="F2408" s="160"/>
      <c r="G2408" s="228" t="s">
        <v>31</v>
      </c>
      <c r="H2408" s="214"/>
      <c r="I2408" s="215"/>
      <c r="J2408" s="43">
        <v>1</v>
      </c>
      <c r="K2408" s="229">
        <v>20</v>
      </c>
      <c r="L2408" s="417" t="s">
        <v>1676</v>
      </c>
      <c r="M2408" s="417"/>
      <c r="N2408" s="39">
        <v>45163</v>
      </c>
      <c r="O2408" s="38">
        <v>5477</v>
      </c>
      <c r="P2408" s="216"/>
      <c r="Q2408" s="525">
        <v>0</v>
      </c>
      <c r="R2408" s="704">
        <f>Q2408*J2408</f>
        <v>0</v>
      </c>
      <c r="S2408" s="532">
        <v>0</v>
      </c>
      <c r="T2408" s="113">
        <f>S2408*J2408</f>
        <v>0</v>
      </c>
      <c r="V2408" s="494">
        <v>120</v>
      </c>
      <c r="W2408" s="2041">
        <f t="shared" si="139"/>
        <v>1</v>
      </c>
    </row>
    <row r="2409" spans="2:23" s="314" customFormat="1" ht="15">
      <c r="B2409" s="313"/>
      <c r="C2409" s="302" t="s">
        <v>5780</v>
      </c>
      <c r="D2409" s="303" t="s">
        <v>11</v>
      </c>
      <c r="E2409" s="304"/>
      <c r="F2409" s="305"/>
      <c r="G2409" s="305" t="s">
        <v>1227</v>
      </c>
      <c r="H2409" s="307" t="s">
        <v>1228</v>
      </c>
      <c r="I2409" s="308"/>
      <c r="J2409" s="306"/>
      <c r="K2409" s="315">
        <v>0</v>
      </c>
      <c r="L2409" s="310"/>
      <c r="M2409" s="310"/>
      <c r="N2409" s="310">
        <v>45163</v>
      </c>
      <c r="O2409" s="309">
        <v>5477</v>
      </c>
      <c r="P2409" s="302"/>
      <c r="Q2409" s="485">
        <v>0</v>
      </c>
      <c r="S2409" s="535">
        <v>0</v>
      </c>
      <c r="T2409" s="322">
        <v>0</v>
      </c>
      <c r="U2409" s="515"/>
      <c r="V2409" s="494">
        <v>120</v>
      </c>
      <c r="W2409" s="2041" t="e">
        <f t="shared" si="139"/>
        <v>#DIV/0!</v>
      </c>
    </row>
    <row r="2410" spans="2:23" ht="15">
      <c r="C2410" s="6" t="s">
        <v>5781</v>
      </c>
      <c r="D2410" s="15" t="s">
        <v>11</v>
      </c>
      <c r="E2410" s="20" t="s">
        <v>79</v>
      </c>
      <c r="F2410" s="150"/>
      <c r="G2410" s="24"/>
      <c r="H2410" s="151"/>
      <c r="I2410" s="152"/>
      <c r="J2410" s="151"/>
      <c r="K2410" s="153" t="s">
        <v>10</v>
      </c>
      <c r="L2410" s="39"/>
      <c r="M2410" s="39"/>
      <c r="N2410" s="39">
        <v>45231</v>
      </c>
      <c r="O2410" s="38">
        <v>5641</v>
      </c>
      <c r="P2410" s="15"/>
      <c r="Q2410" s="483"/>
      <c r="S2410" s="496"/>
      <c r="T2410" s="113"/>
      <c r="V2410" s="494">
        <v>120</v>
      </c>
      <c r="W2410" s="2041" t="e">
        <f t="shared" si="139"/>
        <v>#VALUE!</v>
      </c>
    </row>
    <row r="2411" spans="2:23" ht="15.75">
      <c r="B2411" s="12" t="s">
        <v>1858</v>
      </c>
      <c r="C2411" s="6" t="s">
        <v>5781</v>
      </c>
      <c r="D2411" s="15" t="s">
        <v>11</v>
      </c>
      <c r="E2411" s="24" t="s">
        <v>3067</v>
      </c>
      <c r="F2411" s="150">
        <v>152</v>
      </c>
      <c r="G2411" s="24" t="s">
        <v>859</v>
      </c>
      <c r="H2411" s="67">
        <v>58</v>
      </c>
      <c r="I2411" s="68">
        <v>15</v>
      </c>
      <c r="J2411" s="67">
        <f>H2411*I2411</f>
        <v>870</v>
      </c>
      <c r="K2411" s="46">
        <v>3.89</v>
      </c>
      <c r="L2411" s="46">
        <f>K2411*J2411</f>
        <v>3384.3</v>
      </c>
      <c r="M2411" s="162" t="s">
        <v>2219</v>
      </c>
      <c r="N2411" s="39">
        <v>45231</v>
      </c>
      <c r="O2411" s="38">
        <v>5641</v>
      </c>
      <c r="P2411" s="46">
        <f>K2411*(VLOOKUP(B2411,$C$2:$F$6,3,FALSE))</f>
        <v>3.6566000000000001</v>
      </c>
      <c r="Q2411" s="483">
        <v>3.66</v>
      </c>
      <c r="R2411" s="704">
        <f>Q2411*J2411</f>
        <v>3184.2000000000003</v>
      </c>
      <c r="S2411" s="532">
        <v>230</v>
      </c>
      <c r="T2411" s="567">
        <f>S2411*J2411</f>
        <v>200100</v>
      </c>
      <c r="V2411" s="494">
        <v>120</v>
      </c>
      <c r="W2411" s="2041">
        <f t="shared" si="139"/>
        <v>0.50728363324764358</v>
      </c>
    </row>
    <row r="2412" spans="2:23" ht="15.75">
      <c r="B2412" s="12" t="s">
        <v>1858</v>
      </c>
      <c r="C2412" s="6" t="s">
        <v>5781</v>
      </c>
      <c r="D2412" s="15" t="s">
        <v>11</v>
      </c>
      <c r="E2412" s="24" t="s">
        <v>3067</v>
      </c>
      <c r="F2412" s="150">
        <v>152</v>
      </c>
      <c r="G2412" s="24" t="s">
        <v>859</v>
      </c>
      <c r="H2412" s="67">
        <v>63</v>
      </c>
      <c r="I2412" s="68">
        <v>1</v>
      </c>
      <c r="J2412" s="67">
        <f>H2412*I2412</f>
        <v>63</v>
      </c>
      <c r="K2412" s="46">
        <v>3.89</v>
      </c>
      <c r="L2412" s="46">
        <f>K2412*J2412</f>
        <v>245.07000000000002</v>
      </c>
      <c r="M2412" s="162" t="s">
        <v>2219</v>
      </c>
      <c r="N2412" s="39">
        <v>45231</v>
      </c>
      <c r="O2412" s="38">
        <v>5641</v>
      </c>
      <c r="P2412" s="46">
        <f>K2412*(VLOOKUP(B2412,$C$2:$F$6,3,FALSE))</f>
        <v>3.6566000000000001</v>
      </c>
      <c r="Q2412" s="483">
        <v>3.66</v>
      </c>
      <c r="R2412" s="704">
        <f>Q2412*J2412</f>
        <v>230.58</v>
      </c>
      <c r="S2412" s="532">
        <v>230</v>
      </c>
      <c r="T2412" s="567">
        <f>S2412*J2412</f>
        <v>14490</v>
      </c>
      <c r="V2412" s="494">
        <v>120</v>
      </c>
      <c r="W2412" s="2041">
        <f t="shared" si="139"/>
        <v>0.50728363324764358</v>
      </c>
    </row>
    <row r="2413" spans="2:23" ht="15.75">
      <c r="B2413" s="12" t="s">
        <v>1858</v>
      </c>
      <c r="C2413" s="6" t="s">
        <v>5781</v>
      </c>
      <c r="D2413" s="15" t="s">
        <v>11</v>
      </c>
      <c r="E2413" s="24" t="s">
        <v>3067</v>
      </c>
      <c r="F2413" s="150">
        <v>152</v>
      </c>
      <c r="G2413" s="24" t="s">
        <v>859</v>
      </c>
      <c r="H2413" s="67">
        <v>67</v>
      </c>
      <c r="I2413" s="68">
        <v>1</v>
      </c>
      <c r="J2413" s="67">
        <f>H2413*I2413</f>
        <v>67</v>
      </c>
      <c r="K2413" s="46">
        <v>3.89</v>
      </c>
      <c r="L2413" s="46">
        <f>K2413*J2413</f>
        <v>260.63</v>
      </c>
      <c r="M2413" s="162" t="s">
        <v>2219</v>
      </c>
      <c r="N2413" s="39">
        <v>45231</v>
      </c>
      <c r="O2413" s="38">
        <v>5641</v>
      </c>
      <c r="P2413" s="46">
        <f>K2413*(VLOOKUP(B2413,$C$2:$F$6,3,FALSE))</f>
        <v>3.6566000000000001</v>
      </c>
      <c r="Q2413" s="483">
        <v>3.66</v>
      </c>
      <c r="R2413" s="704">
        <f>Q2413*J2413</f>
        <v>245.22</v>
      </c>
      <c r="S2413" s="532">
        <v>230</v>
      </c>
      <c r="T2413" s="567">
        <f>S2413*J2413</f>
        <v>15410</v>
      </c>
      <c r="V2413" s="494">
        <v>120</v>
      </c>
      <c r="W2413" s="2041">
        <f t="shared" si="139"/>
        <v>0.50728363324764358</v>
      </c>
    </row>
    <row r="2414" spans="2:23" ht="15.75">
      <c r="B2414" s="12" t="s">
        <v>1858</v>
      </c>
      <c r="C2414" s="6" t="s">
        <v>5781</v>
      </c>
      <c r="D2414" s="15" t="s">
        <v>11</v>
      </c>
      <c r="E2414" s="24" t="s">
        <v>3067</v>
      </c>
      <c r="F2414" s="150">
        <v>152</v>
      </c>
      <c r="G2414" s="24" t="s">
        <v>859</v>
      </c>
      <c r="H2414" s="67">
        <v>68</v>
      </c>
      <c r="I2414" s="68">
        <v>3</v>
      </c>
      <c r="J2414" s="67">
        <f>H2414*I2414</f>
        <v>204</v>
      </c>
      <c r="K2414" s="46">
        <v>3.89</v>
      </c>
      <c r="L2414" s="46">
        <f>K2414*J2414</f>
        <v>793.56000000000006</v>
      </c>
      <c r="M2414" s="162" t="s">
        <v>2219</v>
      </c>
      <c r="N2414" s="39">
        <v>45231</v>
      </c>
      <c r="O2414" s="38">
        <v>5641</v>
      </c>
      <c r="P2414" s="46">
        <f>K2414*(VLOOKUP(B2414,$C$2:$F$6,3,FALSE))</f>
        <v>3.6566000000000001</v>
      </c>
      <c r="Q2414" s="483">
        <v>3.66</v>
      </c>
      <c r="R2414" s="704">
        <f>Q2414*J2414</f>
        <v>746.64</v>
      </c>
      <c r="S2414" s="532">
        <v>230</v>
      </c>
      <c r="T2414" s="567">
        <f>S2414*J2414</f>
        <v>46920</v>
      </c>
      <c r="V2414" s="494">
        <v>120</v>
      </c>
      <c r="W2414" s="2041">
        <f t="shared" si="139"/>
        <v>0.50728363324764358</v>
      </c>
    </row>
    <row r="2415" spans="2:23" ht="15">
      <c r="C2415" s="6" t="s">
        <v>5781</v>
      </c>
      <c r="D2415" s="15" t="s">
        <v>11</v>
      </c>
      <c r="E2415" s="24"/>
      <c r="F2415" s="160"/>
      <c r="G2415" s="228" t="s">
        <v>31</v>
      </c>
      <c r="H2415" s="214"/>
      <c r="I2415" s="215"/>
      <c r="J2415" s="43">
        <v>1</v>
      </c>
      <c r="K2415" s="229">
        <v>20</v>
      </c>
      <c r="L2415" s="417" t="s">
        <v>1676</v>
      </c>
      <c r="M2415" s="417"/>
      <c r="N2415" s="39">
        <v>45231</v>
      </c>
      <c r="O2415" s="38">
        <v>5641</v>
      </c>
      <c r="P2415" s="216"/>
      <c r="Q2415" s="525">
        <v>0</v>
      </c>
      <c r="R2415" s="704">
        <f>Q2415*J2415</f>
        <v>0</v>
      </c>
      <c r="S2415" s="532">
        <v>0</v>
      </c>
      <c r="T2415" s="113">
        <f>S2415*J2415</f>
        <v>0</v>
      </c>
      <c r="V2415" s="494">
        <v>120</v>
      </c>
      <c r="W2415" s="2041">
        <f t="shared" si="139"/>
        <v>1</v>
      </c>
    </row>
    <row r="2416" spans="2:23" s="314" customFormat="1" ht="15">
      <c r="B2416" s="313"/>
      <c r="C2416" s="302" t="s">
        <v>5781</v>
      </c>
      <c r="D2416" s="303" t="s">
        <v>11</v>
      </c>
      <c r="E2416" s="371"/>
      <c r="F2416" s="305"/>
      <c r="G2416" s="305" t="s">
        <v>1227</v>
      </c>
      <c r="H2416" s="307" t="s">
        <v>1228</v>
      </c>
      <c r="I2416" s="308"/>
      <c r="J2416" s="306"/>
      <c r="K2416" s="315">
        <v>0</v>
      </c>
      <c r="L2416" s="310"/>
      <c r="M2416" s="310"/>
      <c r="N2416" s="310">
        <v>45231</v>
      </c>
      <c r="O2416" s="309">
        <v>5641</v>
      </c>
      <c r="P2416" s="302"/>
      <c r="Q2416" s="485">
        <v>0</v>
      </c>
      <c r="S2416" s="535">
        <v>0</v>
      </c>
      <c r="T2416" s="322">
        <v>0</v>
      </c>
      <c r="U2416" s="515"/>
      <c r="V2416" s="494">
        <v>120</v>
      </c>
      <c r="W2416" s="2041" t="e">
        <f t="shared" si="139"/>
        <v>#DIV/0!</v>
      </c>
    </row>
    <row r="2417" spans="2:23" ht="15">
      <c r="C2417" s="6" t="s">
        <v>5782</v>
      </c>
      <c r="D2417" s="15" t="s">
        <v>11</v>
      </c>
      <c r="E2417" s="20" t="s">
        <v>79</v>
      </c>
      <c r="F2417" s="150"/>
      <c r="G2417" s="24"/>
      <c r="H2417" s="151"/>
      <c r="I2417" s="152"/>
      <c r="J2417" s="151"/>
      <c r="K2417" s="153" t="s">
        <v>10</v>
      </c>
      <c r="L2417" s="39"/>
      <c r="M2417" s="39"/>
      <c r="N2417" s="39">
        <v>45264</v>
      </c>
      <c r="O2417" s="38">
        <v>5723</v>
      </c>
      <c r="P2417" s="15"/>
      <c r="Q2417" s="483"/>
      <c r="S2417" s="496"/>
      <c r="T2417" s="113"/>
      <c r="V2417" s="494">
        <v>120</v>
      </c>
      <c r="W2417" s="2041" t="e">
        <f t="shared" si="139"/>
        <v>#VALUE!</v>
      </c>
    </row>
    <row r="2418" spans="2:23" ht="15.75">
      <c r="B2418" s="12" t="s">
        <v>1858</v>
      </c>
      <c r="C2418" s="6" t="s">
        <v>5782</v>
      </c>
      <c r="D2418" s="15" t="s">
        <v>11</v>
      </c>
      <c r="E2418" s="24" t="s">
        <v>3067</v>
      </c>
      <c r="F2418" s="150">
        <v>152</v>
      </c>
      <c r="G2418" s="24" t="s">
        <v>859</v>
      </c>
      <c r="H2418" s="67">
        <v>68</v>
      </c>
      <c r="I2418" s="68">
        <v>3</v>
      </c>
      <c r="J2418" s="67">
        <f>H2418*I2418</f>
        <v>204</v>
      </c>
      <c r="K2418" s="46">
        <v>3.89</v>
      </c>
      <c r="L2418" s="46">
        <f>K2418*J2418</f>
        <v>793.56000000000006</v>
      </c>
      <c r="M2418" s="162" t="s">
        <v>2219</v>
      </c>
      <c r="N2418" s="39">
        <v>45264</v>
      </c>
      <c r="O2418" s="38">
        <v>5723</v>
      </c>
      <c r="P2418" s="46">
        <f>K2418*(VLOOKUP(B2418,$C$2:$F$6,3,FALSE))</f>
        <v>3.6566000000000001</v>
      </c>
      <c r="Q2418" s="483">
        <v>3.66</v>
      </c>
      <c r="R2418" s="704">
        <f>Q2418*J2418</f>
        <v>746.64</v>
      </c>
      <c r="S2418" s="532">
        <v>230</v>
      </c>
      <c r="T2418" s="567">
        <f>S2418*J2418</f>
        <v>46920</v>
      </c>
      <c r="V2418" s="494">
        <v>120</v>
      </c>
      <c r="W2418" s="2041">
        <f t="shared" si="139"/>
        <v>0.50728363324764358</v>
      </c>
    </row>
    <row r="2419" spans="2:23" ht="15.75">
      <c r="B2419" s="12" t="s">
        <v>1858</v>
      </c>
      <c r="C2419" s="6" t="s">
        <v>5782</v>
      </c>
      <c r="D2419" s="15" t="s">
        <v>11</v>
      </c>
      <c r="E2419" s="24" t="s">
        <v>3067</v>
      </c>
      <c r="F2419" s="150">
        <v>152</v>
      </c>
      <c r="G2419" s="24" t="s">
        <v>859</v>
      </c>
      <c r="H2419" s="67">
        <v>67</v>
      </c>
      <c r="I2419" s="68">
        <v>1</v>
      </c>
      <c r="J2419" s="67">
        <f>H2419*I2419</f>
        <v>67</v>
      </c>
      <c r="K2419" s="46">
        <v>3.89</v>
      </c>
      <c r="L2419" s="46">
        <f>K2419*J2419</f>
        <v>260.63</v>
      </c>
      <c r="M2419" s="162" t="s">
        <v>2219</v>
      </c>
      <c r="N2419" s="39">
        <v>45264</v>
      </c>
      <c r="O2419" s="38">
        <v>5723</v>
      </c>
      <c r="P2419" s="46">
        <f>K2419*(VLOOKUP(B2419,$C$2:$F$6,3,FALSE))</f>
        <v>3.6566000000000001</v>
      </c>
      <c r="Q2419" s="483">
        <v>3.66</v>
      </c>
      <c r="R2419" s="704">
        <f>Q2419*J2419</f>
        <v>245.22</v>
      </c>
      <c r="S2419" s="532">
        <v>230</v>
      </c>
      <c r="T2419" s="567">
        <f>S2419*J2419</f>
        <v>15410</v>
      </c>
      <c r="V2419" s="494">
        <v>120</v>
      </c>
      <c r="W2419" s="2041">
        <f t="shared" si="139"/>
        <v>0.50728363324764358</v>
      </c>
    </row>
    <row r="2420" spans="2:23" ht="15.75">
      <c r="B2420" s="12" t="s">
        <v>1858</v>
      </c>
      <c r="C2420" s="6" t="s">
        <v>5782</v>
      </c>
      <c r="D2420" s="15" t="s">
        <v>11</v>
      </c>
      <c r="E2420" s="24" t="s">
        <v>3067</v>
      </c>
      <c r="F2420" s="150">
        <v>152</v>
      </c>
      <c r="G2420" s="24" t="s">
        <v>859</v>
      </c>
      <c r="H2420" s="67">
        <v>58</v>
      </c>
      <c r="I2420" s="68">
        <v>16</v>
      </c>
      <c r="J2420" s="67">
        <f>H2420*I2420</f>
        <v>928</v>
      </c>
      <c r="K2420" s="46">
        <v>3.89</v>
      </c>
      <c r="L2420" s="46">
        <f>K2420*J2420</f>
        <v>3609.92</v>
      </c>
      <c r="M2420" s="162" t="s">
        <v>2219</v>
      </c>
      <c r="N2420" s="39">
        <v>45264</v>
      </c>
      <c r="O2420" s="38">
        <v>5723</v>
      </c>
      <c r="P2420" s="46">
        <f>K2420*(VLOOKUP(B2420,$C$2:$F$6,3,FALSE))</f>
        <v>3.6566000000000001</v>
      </c>
      <c r="Q2420" s="483">
        <v>3.66</v>
      </c>
      <c r="R2420" s="704">
        <f>Q2420*J2420</f>
        <v>3396.48</v>
      </c>
      <c r="S2420" s="532">
        <v>230</v>
      </c>
      <c r="T2420" s="567">
        <f>S2420*J2420</f>
        <v>213440</v>
      </c>
      <c r="V2420" s="494">
        <v>120</v>
      </c>
      <c r="W2420" s="2041">
        <f t="shared" ref="W2420:W2483" si="144">(((K2420*V2420)-S2420)/(K2420*V2420))</f>
        <v>0.50728363324764358</v>
      </c>
    </row>
    <row r="2421" spans="2:23" ht="15">
      <c r="C2421" s="6" t="s">
        <v>5782</v>
      </c>
      <c r="D2421" s="15" t="s">
        <v>11</v>
      </c>
      <c r="E2421" s="24"/>
      <c r="F2421" s="160"/>
      <c r="G2421" s="228" t="s">
        <v>31</v>
      </c>
      <c r="H2421" s="214"/>
      <c r="I2421" s="215"/>
      <c r="J2421" s="43">
        <v>1</v>
      </c>
      <c r="K2421" s="229">
        <v>20</v>
      </c>
      <c r="L2421" s="417" t="s">
        <v>1676</v>
      </c>
      <c r="M2421" s="417"/>
      <c r="N2421" s="39">
        <v>45264</v>
      </c>
      <c r="O2421" s="38">
        <v>5723</v>
      </c>
      <c r="P2421" s="216"/>
      <c r="Q2421" s="525">
        <v>0</v>
      </c>
      <c r="R2421" s="704">
        <f>Q2421*J2421</f>
        <v>0</v>
      </c>
      <c r="S2421" s="532">
        <v>0</v>
      </c>
      <c r="T2421" s="113">
        <f>S2421*J2421</f>
        <v>0</v>
      </c>
      <c r="V2421" s="494">
        <v>120</v>
      </c>
      <c r="W2421" s="2041">
        <f t="shared" si="144"/>
        <v>1</v>
      </c>
    </row>
    <row r="2422" spans="2:23" s="314" customFormat="1" ht="15">
      <c r="B2422" s="313"/>
      <c r="C2422" s="302" t="s">
        <v>5782</v>
      </c>
      <c r="D2422" s="303" t="s">
        <v>11</v>
      </c>
      <c r="E2422" s="304"/>
      <c r="F2422" s="305"/>
      <c r="G2422" s="305" t="s">
        <v>1227</v>
      </c>
      <c r="H2422" s="307" t="s">
        <v>1228</v>
      </c>
      <c r="I2422" s="308"/>
      <c r="J2422" s="306"/>
      <c r="K2422" s="315">
        <v>0</v>
      </c>
      <c r="L2422" s="310"/>
      <c r="M2422" s="310"/>
      <c r="N2422" s="310">
        <v>45264</v>
      </c>
      <c r="O2422" s="309">
        <v>5723</v>
      </c>
      <c r="P2422" s="302"/>
      <c r="Q2422" s="485">
        <v>0</v>
      </c>
      <c r="S2422" s="535">
        <v>0</v>
      </c>
      <c r="T2422" s="322">
        <v>0</v>
      </c>
      <c r="U2422" s="515"/>
      <c r="V2422" s="494">
        <v>120</v>
      </c>
      <c r="W2422" s="2041" t="e">
        <f t="shared" si="144"/>
        <v>#DIV/0!</v>
      </c>
    </row>
    <row r="2423" spans="2:23" ht="15">
      <c r="C2423" s="6" t="s">
        <v>5783</v>
      </c>
      <c r="D2423" s="15" t="s">
        <v>11</v>
      </c>
      <c r="E2423" s="20" t="s">
        <v>79</v>
      </c>
      <c r="F2423" s="150"/>
      <c r="G2423" s="24"/>
      <c r="H2423" s="151"/>
      <c r="I2423" s="152"/>
      <c r="J2423" s="151"/>
      <c r="K2423" s="153" t="s">
        <v>10</v>
      </c>
      <c r="L2423" s="39"/>
      <c r="M2423" s="39"/>
      <c r="N2423" s="39">
        <v>45306</v>
      </c>
      <c r="O2423" s="38">
        <v>5819</v>
      </c>
      <c r="P2423" s="15"/>
      <c r="Q2423" s="483"/>
      <c r="S2423" s="496"/>
      <c r="T2423" s="113"/>
      <c r="V2423" s="494">
        <v>120</v>
      </c>
      <c r="W2423" s="2041" t="e">
        <f t="shared" si="144"/>
        <v>#VALUE!</v>
      </c>
    </row>
    <row r="2424" spans="2:23" ht="15.75">
      <c r="B2424" s="12" t="s">
        <v>1858</v>
      </c>
      <c r="C2424" s="6" t="s">
        <v>5783</v>
      </c>
      <c r="D2424" s="15" t="s">
        <v>11</v>
      </c>
      <c r="E2424" s="24" t="s">
        <v>3067</v>
      </c>
      <c r="F2424" s="150">
        <v>152</v>
      </c>
      <c r="G2424" s="24" t="s">
        <v>859</v>
      </c>
      <c r="H2424" s="67">
        <v>58</v>
      </c>
      <c r="I2424" s="68">
        <v>16</v>
      </c>
      <c r="J2424" s="67">
        <f>H2424*I2424</f>
        <v>928</v>
      </c>
      <c r="K2424" s="46">
        <v>3.89</v>
      </c>
      <c r="L2424" s="46">
        <f>K2424*J2424</f>
        <v>3609.92</v>
      </c>
      <c r="M2424" s="162" t="s">
        <v>2219</v>
      </c>
      <c r="N2424" s="39">
        <v>45306</v>
      </c>
      <c r="O2424" s="38">
        <v>5819</v>
      </c>
      <c r="P2424" s="46">
        <f>K2424*(VLOOKUP(B2424,$C$2:$F$6,3,FALSE))</f>
        <v>3.6566000000000001</v>
      </c>
      <c r="Q2424" s="483">
        <v>3.66</v>
      </c>
      <c r="R2424" s="704">
        <f>Q2424*J2424</f>
        <v>3396.48</v>
      </c>
      <c r="S2424" s="532">
        <v>230</v>
      </c>
      <c r="T2424" s="567">
        <f>S2424*J2424</f>
        <v>213440</v>
      </c>
      <c r="V2424" s="494">
        <v>120</v>
      </c>
      <c r="W2424" s="2041">
        <f t="shared" si="144"/>
        <v>0.50728363324764358</v>
      </c>
    </row>
    <row r="2425" spans="2:23" ht="15.75">
      <c r="B2425" s="12" t="s">
        <v>1858</v>
      </c>
      <c r="C2425" s="6" t="s">
        <v>5783</v>
      </c>
      <c r="D2425" s="15" t="s">
        <v>11</v>
      </c>
      <c r="E2425" s="24" t="s">
        <v>3067</v>
      </c>
      <c r="F2425" s="150">
        <v>152</v>
      </c>
      <c r="G2425" s="24" t="s">
        <v>859</v>
      </c>
      <c r="H2425" s="67">
        <v>66</v>
      </c>
      <c r="I2425" s="68">
        <v>2</v>
      </c>
      <c r="J2425" s="67">
        <f>H2425*I2425</f>
        <v>132</v>
      </c>
      <c r="K2425" s="46">
        <v>3.89</v>
      </c>
      <c r="L2425" s="46">
        <f>K2425*J2425</f>
        <v>513.48</v>
      </c>
      <c r="M2425" s="162" t="s">
        <v>2219</v>
      </c>
      <c r="N2425" s="39">
        <v>45306</v>
      </c>
      <c r="O2425" s="38">
        <v>5819</v>
      </c>
      <c r="P2425" s="46">
        <f>K2425*(VLOOKUP(B2425,$C$2:$F$6,3,FALSE))</f>
        <v>3.6566000000000001</v>
      </c>
      <c r="Q2425" s="483">
        <v>3.66</v>
      </c>
      <c r="R2425" s="704">
        <f>Q2425*J2425</f>
        <v>483.12</v>
      </c>
      <c r="S2425" s="532">
        <v>230</v>
      </c>
      <c r="T2425" s="567">
        <f>S2425*J2425</f>
        <v>30360</v>
      </c>
      <c r="V2425" s="494">
        <v>120</v>
      </c>
      <c r="W2425" s="2041">
        <f t="shared" si="144"/>
        <v>0.50728363324764358</v>
      </c>
    </row>
    <row r="2426" spans="2:23" ht="15.75">
      <c r="B2426" s="12" t="s">
        <v>1858</v>
      </c>
      <c r="C2426" s="6" t="s">
        <v>5783</v>
      </c>
      <c r="D2426" s="15" t="s">
        <v>11</v>
      </c>
      <c r="E2426" s="24" t="s">
        <v>3067</v>
      </c>
      <c r="F2426" s="150">
        <v>152</v>
      </c>
      <c r="G2426" s="24" t="s">
        <v>859</v>
      </c>
      <c r="H2426" s="67">
        <v>67</v>
      </c>
      <c r="I2426" s="68">
        <v>1</v>
      </c>
      <c r="J2426" s="67">
        <f>H2426*I2426</f>
        <v>67</v>
      </c>
      <c r="K2426" s="46">
        <v>3.89</v>
      </c>
      <c r="L2426" s="46">
        <f>K2426*J2426</f>
        <v>260.63</v>
      </c>
      <c r="M2426" s="162" t="s">
        <v>2219</v>
      </c>
      <c r="N2426" s="39">
        <v>45306</v>
      </c>
      <c r="O2426" s="38">
        <v>5819</v>
      </c>
      <c r="P2426" s="46">
        <f>K2426*(VLOOKUP(B2426,$C$2:$F$6,3,FALSE))</f>
        <v>3.6566000000000001</v>
      </c>
      <c r="Q2426" s="483">
        <v>3.66</v>
      </c>
      <c r="R2426" s="704">
        <f>Q2426*J2426</f>
        <v>245.22</v>
      </c>
      <c r="S2426" s="532">
        <v>230</v>
      </c>
      <c r="T2426" s="567">
        <f>S2426*J2426</f>
        <v>15410</v>
      </c>
      <c r="V2426" s="494">
        <v>120</v>
      </c>
      <c r="W2426" s="2041">
        <f t="shared" si="144"/>
        <v>0.50728363324764358</v>
      </c>
    </row>
    <row r="2427" spans="2:23" ht="15.75">
      <c r="B2427" s="12" t="s">
        <v>1858</v>
      </c>
      <c r="C2427" s="6" t="s">
        <v>5783</v>
      </c>
      <c r="D2427" s="15" t="s">
        <v>11</v>
      </c>
      <c r="E2427" s="24" t="s">
        <v>3067</v>
      </c>
      <c r="F2427" s="150">
        <v>152</v>
      </c>
      <c r="G2427" s="24" t="s">
        <v>859</v>
      </c>
      <c r="H2427" s="67">
        <v>68</v>
      </c>
      <c r="I2427" s="68">
        <v>1</v>
      </c>
      <c r="J2427" s="67">
        <f>H2427*I2427</f>
        <v>68</v>
      </c>
      <c r="K2427" s="46">
        <v>3.89</v>
      </c>
      <c r="L2427" s="46">
        <f>K2427*J2427</f>
        <v>264.52</v>
      </c>
      <c r="M2427" s="162" t="s">
        <v>2219</v>
      </c>
      <c r="N2427" s="39">
        <v>45306</v>
      </c>
      <c r="O2427" s="38">
        <v>5819</v>
      </c>
      <c r="P2427" s="46">
        <f>K2427*(VLOOKUP(B2427,$C$2:$F$6,3,FALSE))</f>
        <v>3.6566000000000001</v>
      </c>
      <c r="Q2427" s="483">
        <v>3.66</v>
      </c>
      <c r="R2427" s="704">
        <f>Q2427*J2427</f>
        <v>248.88</v>
      </c>
      <c r="S2427" s="532">
        <v>230</v>
      </c>
      <c r="T2427" s="567">
        <f>S2427*J2427</f>
        <v>15640</v>
      </c>
      <c r="V2427" s="494">
        <v>120</v>
      </c>
      <c r="W2427" s="2041">
        <f t="shared" si="144"/>
        <v>0.50728363324764358</v>
      </c>
    </row>
    <row r="2428" spans="2:23" ht="15">
      <c r="C2428" s="6" t="s">
        <v>5783</v>
      </c>
      <c r="D2428" s="15" t="s">
        <v>11</v>
      </c>
      <c r="E2428" s="24"/>
      <c r="F2428" s="160"/>
      <c r="G2428" s="228" t="s">
        <v>31</v>
      </c>
      <c r="H2428" s="214"/>
      <c r="I2428" s="215"/>
      <c r="J2428" s="43">
        <v>1</v>
      </c>
      <c r="K2428" s="229">
        <v>20</v>
      </c>
      <c r="L2428" s="417" t="s">
        <v>1676</v>
      </c>
      <c r="M2428" s="417"/>
      <c r="N2428" s="39">
        <v>45306</v>
      </c>
      <c r="O2428" s="38">
        <v>5819</v>
      </c>
      <c r="P2428" s="216"/>
      <c r="Q2428" s="525">
        <v>0</v>
      </c>
      <c r="R2428" s="704">
        <f>Q2428*J2428</f>
        <v>0</v>
      </c>
      <c r="S2428" s="532">
        <v>0</v>
      </c>
      <c r="T2428" s="113">
        <f>S2428*J2428</f>
        <v>0</v>
      </c>
      <c r="V2428" s="494">
        <v>120</v>
      </c>
      <c r="W2428" s="2041">
        <f t="shared" si="144"/>
        <v>1</v>
      </c>
    </row>
    <row r="2429" spans="2:23" s="314" customFormat="1" ht="15">
      <c r="B2429" s="313"/>
      <c r="C2429" s="302" t="s">
        <v>5783</v>
      </c>
      <c r="D2429" s="303" t="s">
        <v>11</v>
      </c>
      <c r="E2429" s="304"/>
      <c r="F2429" s="305"/>
      <c r="G2429" s="305" t="s">
        <v>1227</v>
      </c>
      <c r="H2429" s="307" t="s">
        <v>1228</v>
      </c>
      <c r="I2429" s="308"/>
      <c r="J2429" s="306"/>
      <c r="K2429" s="315">
        <v>0</v>
      </c>
      <c r="L2429" s="310"/>
      <c r="M2429" s="310"/>
      <c r="N2429" s="310">
        <v>45306</v>
      </c>
      <c r="O2429" s="309">
        <v>5819</v>
      </c>
      <c r="P2429" s="302"/>
      <c r="Q2429" s="485">
        <v>0</v>
      </c>
      <c r="S2429" s="535">
        <v>0</v>
      </c>
      <c r="T2429" s="322">
        <v>0</v>
      </c>
      <c r="U2429" s="515"/>
      <c r="V2429" s="494">
        <v>120</v>
      </c>
      <c r="W2429" s="2041" t="e">
        <f t="shared" si="144"/>
        <v>#DIV/0!</v>
      </c>
    </row>
    <row r="2430" spans="2:23" ht="15">
      <c r="C2430" s="6" t="s">
        <v>5784</v>
      </c>
      <c r="D2430" s="15" t="s">
        <v>11</v>
      </c>
      <c r="E2430" s="20" t="s">
        <v>79</v>
      </c>
      <c r="F2430" s="150"/>
      <c r="G2430" s="24"/>
      <c r="H2430" s="151"/>
      <c r="I2430" s="152"/>
      <c r="J2430" s="151"/>
      <c r="K2430" s="153" t="s">
        <v>10</v>
      </c>
      <c r="L2430" s="39"/>
      <c r="M2430" s="39"/>
      <c r="N2430" s="39">
        <v>45335</v>
      </c>
      <c r="O2430" s="38">
        <v>5884</v>
      </c>
      <c r="P2430" s="15"/>
      <c r="Q2430" s="483"/>
      <c r="S2430" s="496"/>
      <c r="T2430" s="113"/>
      <c r="V2430" s="494">
        <v>120</v>
      </c>
      <c r="W2430" s="2041" t="e">
        <f t="shared" si="144"/>
        <v>#VALUE!</v>
      </c>
    </row>
    <row r="2431" spans="2:23" ht="15.75">
      <c r="B2431" s="12" t="s">
        <v>1858</v>
      </c>
      <c r="C2431" s="6" t="s">
        <v>5784</v>
      </c>
      <c r="D2431" s="15" t="s">
        <v>11</v>
      </c>
      <c r="E2431" s="24" t="s">
        <v>3067</v>
      </c>
      <c r="F2431" s="150">
        <v>152</v>
      </c>
      <c r="G2431" s="24" t="s">
        <v>859</v>
      </c>
      <c r="H2431" s="67">
        <v>58</v>
      </c>
      <c r="I2431" s="68">
        <v>15</v>
      </c>
      <c r="J2431" s="67">
        <f>H2431*I2431</f>
        <v>870</v>
      </c>
      <c r="K2431" s="46">
        <v>3.89</v>
      </c>
      <c r="L2431" s="46">
        <f>K2431*J2431</f>
        <v>3384.3</v>
      </c>
      <c r="M2431" s="162" t="s">
        <v>2219</v>
      </c>
      <c r="N2431" s="39">
        <v>45335</v>
      </c>
      <c r="O2431" s="38">
        <v>5884</v>
      </c>
      <c r="P2431" s="46">
        <f>K2431*(VLOOKUP(B2431,$C$2:$F$6,3,FALSE))</f>
        <v>3.6566000000000001</v>
      </c>
      <c r="Q2431" s="483">
        <v>3.66</v>
      </c>
      <c r="R2431" s="704">
        <f>Q2431*J2431</f>
        <v>3184.2000000000003</v>
      </c>
      <c r="S2431" s="532">
        <v>230</v>
      </c>
      <c r="T2431" s="567">
        <f>S2431*J2431</f>
        <v>200100</v>
      </c>
      <c r="V2431" s="494">
        <v>120</v>
      </c>
      <c r="W2431" s="2041">
        <f t="shared" si="144"/>
        <v>0.50728363324764358</v>
      </c>
    </row>
    <row r="2432" spans="2:23" ht="15.75">
      <c r="B2432" s="12" t="s">
        <v>1858</v>
      </c>
      <c r="C2432" s="6" t="s">
        <v>5784</v>
      </c>
      <c r="D2432" s="15" t="s">
        <v>11</v>
      </c>
      <c r="E2432" s="24" t="s">
        <v>3067</v>
      </c>
      <c r="F2432" s="150">
        <v>152</v>
      </c>
      <c r="G2432" s="24" t="s">
        <v>859</v>
      </c>
      <c r="H2432" s="67">
        <v>68</v>
      </c>
      <c r="I2432" s="68">
        <v>1</v>
      </c>
      <c r="J2432" s="67">
        <f>H2432*I2432</f>
        <v>68</v>
      </c>
      <c r="K2432" s="46">
        <v>3.89</v>
      </c>
      <c r="L2432" s="46">
        <f>K2432*J2432</f>
        <v>264.52</v>
      </c>
      <c r="M2432" s="162" t="s">
        <v>2219</v>
      </c>
      <c r="N2432" s="39">
        <v>45335</v>
      </c>
      <c r="O2432" s="38">
        <v>5884</v>
      </c>
      <c r="P2432" s="46">
        <f>K2432*(VLOOKUP(B2432,$C$2:$F$6,3,FALSE))</f>
        <v>3.6566000000000001</v>
      </c>
      <c r="Q2432" s="483">
        <v>3.66</v>
      </c>
      <c r="R2432" s="704">
        <f>Q2432*J2432</f>
        <v>248.88</v>
      </c>
      <c r="S2432" s="532">
        <v>230</v>
      </c>
      <c r="T2432" s="567">
        <f>S2432*J2432</f>
        <v>15640</v>
      </c>
      <c r="V2432" s="494">
        <v>120</v>
      </c>
      <c r="W2432" s="2041">
        <f t="shared" si="144"/>
        <v>0.50728363324764358</v>
      </c>
    </row>
    <row r="2433" spans="2:23" ht="15.75">
      <c r="B2433" s="12" t="s">
        <v>1858</v>
      </c>
      <c r="C2433" s="6" t="s">
        <v>5784</v>
      </c>
      <c r="D2433" s="15" t="s">
        <v>11</v>
      </c>
      <c r="E2433" s="24" t="s">
        <v>3067</v>
      </c>
      <c r="F2433" s="150">
        <v>152</v>
      </c>
      <c r="G2433" s="24" t="s">
        <v>859</v>
      </c>
      <c r="H2433" s="67">
        <v>70</v>
      </c>
      <c r="I2433" s="68">
        <v>1</v>
      </c>
      <c r="J2433" s="67">
        <f>H2433*I2433</f>
        <v>70</v>
      </c>
      <c r="K2433" s="46">
        <v>3.89</v>
      </c>
      <c r="L2433" s="46">
        <f>K2433*J2433</f>
        <v>272.3</v>
      </c>
      <c r="M2433" s="162" t="s">
        <v>2219</v>
      </c>
      <c r="N2433" s="39">
        <v>45335</v>
      </c>
      <c r="O2433" s="38">
        <v>5884</v>
      </c>
      <c r="P2433" s="46">
        <f>K2433*(VLOOKUP(B2433,$C$2:$F$6,3,FALSE))</f>
        <v>3.6566000000000001</v>
      </c>
      <c r="Q2433" s="483">
        <v>3.66</v>
      </c>
      <c r="R2433" s="704">
        <f>Q2433*J2433</f>
        <v>256.2</v>
      </c>
      <c r="S2433" s="532">
        <v>230</v>
      </c>
      <c r="T2433" s="567">
        <f>S2433*J2433</f>
        <v>16100</v>
      </c>
      <c r="V2433" s="494">
        <v>120</v>
      </c>
      <c r="W2433" s="2041">
        <f t="shared" si="144"/>
        <v>0.50728363324764358</v>
      </c>
    </row>
    <row r="2434" spans="2:23" ht="15.75">
      <c r="B2434" s="12" t="s">
        <v>1858</v>
      </c>
      <c r="C2434" s="6" t="s">
        <v>5784</v>
      </c>
      <c r="D2434" s="15" t="s">
        <v>11</v>
      </c>
      <c r="E2434" s="24" t="s">
        <v>3067</v>
      </c>
      <c r="F2434" s="150">
        <v>152</v>
      </c>
      <c r="G2434" s="24" t="s">
        <v>859</v>
      </c>
      <c r="H2434" s="67">
        <v>71</v>
      </c>
      <c r="I2434" s="68">
        <v>2</v>
      </c>
      <c r="J2434" s="67">
        <f>H2434*I2434</f>
        <v>142</v>
      </c>
      <c r="K2434" s="46">
        <v>3.89</v>
      </c>
      <c r="L2434" s="46">
        <f>K2434*J2434</f>
        <v>552.38</v>
      </c>
      <c r="M2434" s="162" t="s">
        <v>2219</v>
      </c>
      <c r="N2434" s="39">
        <v>45335</v>
      </c>
      <c r="O2434" s="38">
        <v>5884</v>
      </c>
      <c r="P2434" s="46">
        <f>K2434*(VLOOKUP(B2434,$C$2:$F$6,3,FALSE))</f>
        <v>3.6566000000000001</v>
      </c>
      <c r="Q2434" s="483">
        <v>3.66</v>
      </c>
      <c r="R2434" s="704">
        <f>Q2434*J2434</f>
        <v>519.72</v>
      </c>
      <c r="S2434" s="532">
        <v>230</v>
      </c>
      <c r="T2434" s="567">
        <f>S2434*J2434</f>
        <v>32660</v>
      </c>
      <c r="V2434" s="494">
        <v>120</v>
      </c>
      <c r="W2434" s="2041">
        <f t="shared" si="144"/>
        <v>0.50728363324764358</v>
      </c>
    </row>
    <row r="2435" spans="2:23" ht="15">
      <c r="C2435" s="6" t="s">
        <v>5784</v>
      </c>
      <c r="D2435" s="15" t="s">
        <v>11</v>
      </c>
      <c r="E2435" s="24"/>
      <c r="F2435" s="160"/>
      <c r="G2435" s="228" t="s">
        <v>31</v>
      </c>
      <c r="H2435" s="214"/>
      <c r="I2435" s="215"/>
      <c r="J2435" s="43">
        <v>1</v>
      </c>
      <c r="K2435" s="229">
        <v>20</v>
      </c>
      <c r="L2435" s="417" t="s">
        <v>1676</v>
      </c>
      <c r="M2435" s="417"/>
      <c r="N2435" s="39">
        <v>45335</v>
      </c>
      <c r="O2435" s="38">
        <v>5884</v>
      </c>
      <c r="P2435" s="216"/>
      <c r="Q2435" s="525">
        <v>0</v>
      </c>
      <c r="R2435" s="704">
        <f>Q2435*J2435</f>
        <v>0</v>
      </c>
      <c r="S2435" s="532">
        <v>0</v>
      </c>
      <c r="T2435" s="113">
        <f>S2435*J2435</f>
        <v>0</v>
      </c>
      <c r="V2435" s="494">
        <v>120</v>
      </c>
      <c r="W2435" s="2041">
        <f t="shared" si="144"/>
        <v>1</v>
      </c>
    </row>
    <row r="2436" spans="2:23" s="314" customFormat="1" ht="15">
      <c r="B2436" s="313"/>
      <c r="C2436" s="302" t="s">
        <v>5784</v>
      </c>
      <c r="D2436" s="303" t="s">
        <v>11</v>
      </c>
      <c r="E2436" s="304"/>
      <c r="F2436" s="305"/>
      <c r="G2436" s="305" t="s">
        <v>1227</v>
      </c>
      <c r="H2436" s="307" t="s">
        <v>1228</v>
      </c>
      <c r="I2436" s="308"/>
      <c r="J2436" s="306"/>
      <c r="K2436" s="315">
        <v>0</v>
      </c>
      <c r="L2436" s="310"/>
      <c r="M2436" s="310"/>
      <c r="N2436" s="310">
        <v>45335</v>
      </c>
      <c r="O2436" s="309">
        <v>5884</v>
      </c>
      <c r="P2436" s="302"/>
      <c r="Q2436" s="485">
        <v>0</v>
      </c>
      <c r="S2436" s="535">
        <v>0</v>
      </c>
      <c r="T2436" s="322">
        <v>0</v>
      </c>
      <c r="U2436" s="515"/>
      <c r="V2436" s="494">
        <v>120</v>
      </c>
      <c r="W2436" s="2041" t="e">
        <f t="shared" si="144"/>
        <v>#DIV/0!</v>
      </c>
    </row>
    <row r="2437" spans="2:23" s="7" customFormat="1" ht="15.75">
      <c r="B2437" s="12"/>
      <c r="C2437" s="6" t="s">
        <v>5814</v>
      </c>
      <c r="D2437" s="15" t="s">
        <v>2285</v>
      </c>
      <c r="E2437" s="20" t="s">
        <v>5697</v>
      </c>
      <c r="F2437" s="44"/>
      <c r="G2437" s="44"/>
      <c r="H2437" s="151"/>
      <c r="I2437" s="151"/>
      <c r="J2437" s="151"/>
      <c r="K2437" s="34" t="s">
        <v>134</v>
      </c>
      <c r="L2437" s="11"/>
      <c r="M2437" s="11"/>
      <c r="N2437" s="11">
        <v>45048</v>
      </c>
      <c r="O2437" s="154">
        <v>5189</v>
      </c>
      <c r="P2437" s="1960"/>
      <c r="Q2437" s="524"/>
      <c r="S2437" s="489"/>
      <c r="T2437" s="113"/>
      <c r="U2437" s="501"/>
      <c r="V2437" s="494">
        <v>120</v>
      </c>
      <c r="W2437" s="2041" t="e">
        <f t="shared" si="144"/>
        <v>#VALUE!</v>
      </c>
    </row>
    <row r="2438" spans="2:23" s="7" customFormat="1" ht="15.75">
      <c r="B2438" s="12" t="s">
        <v>1856</v>
      </c>
      <c r="C2438" s="6" t="s">
        <v>5814</v>
      </c>
      <c r="D2438" s="15" t="s">
        <v>2285</v>
      </c>
      <c r="E2438" s="24" t="s">
        <v>5815</v>
      </c>
      <c r="F2438" s="29"/>
      <c r="G2438" s="24" t="s">
        <v>5808</v>
      </c>
      <c r="H2438" s="67"/>
      <c r="I2438" s="68"/>
      <c r="J2438" s="67">
        <v>50</v>
      </c>
      <c r="K2438" s="46">
        <v>3.81</v>
      </c>
      <c r="L2438" s="46">
        <f>K2438*J2438</f>
        <v>190.5</v>
      </c>
      <c r="M2438" s="162" t="s">
        <v>2219</v>
      </c>
      <c r="N2438" s="11">
        <v>45048</v>
      </c>
      <c r="O2438" s="154">
        <v>5189</v>
      </c>
      <c r="P2438" s="1961">
        <f>K2438*(VLOOKUP(B2438,$C$2:$F$6,3,FALSE))</f>
        <v>3.3528000000000002</v>
      </c>
      <c r="Q2438" s="482">
        <v>3.35</v>
      </c>
      <c r="R2438" s="704">
        <f>Q2438*J2438</f>
        <v>167.5</v>
      </c>
      <c r="S2438" s="1962">
        <v>274</v>
      </c>
      <c r="T2438" s="113">
        <f>S2438*J2438</f>
        <v>13700</v>
      </c>
      <c r="U2438" s="1603"/>
      <c r="V2438" s="494">
        <v>120</v>
      </c>
      <c r="W2438" s="2041">
        <f t="shared" si="144"/>
        <v>0.40069991251093612</v>
      </c>
    </row>
    <row r="2439" spans="2:23" s="7" customFormat="1" ht="15.75">
      <c r="B2439" s="12" t="s">
        <v>1862</v>
      </c>
      <c r="C2439" s="6" t="s">
        <v>5814</v>
      </c>
      <c r="D2439" s="15" t="s">
        <v>2285</v>
      </c>
      <c r="E2439" s="95"/>
      <c r="F2439" s="24"/>
      <c r="G2439" s="24" t="s">
        <v>5816</v>
      </c>
      <c r="H2439" s="15"/>
      <c r="I2439" s="15"/>
      <c r="J2439" s="45">
        <v>1</v>
      </c>
      <c r="K2439" s="46">
        <v>105</v>
      </c>
      <c r="L2439" s="46">
        <f>K2439*J2439</f>
        <v>105</v>
      </c>
      <c r="M2439" s="162" t="s">
        <v>2219</v>
      </c>
      <c r="N2439" s="11">
        <v>45048</v>
      </c>
      <c r="O2439" s="154">
        <v>5189</v>
      </c>
      <c r="P2439" s="1961">
        <f>K2439*(VLOOKUP(B2439,$C$2:$F$6,3,FALSE))</f>
        <v>105</v>
      </c>
      <c r="Q2439" s="482">
        <v>105</v>
      </c>
      <c r="R2439" s="704">
        <f>Q2439*J2439</f>
        <v>105</v>
      </c>
      <c r="S2439" s="1962">
        <v>10000</v>
      </c>
      <c r="T2439" s="113">
        <f>S2439*J2439</f>
        <v>10000</v>
      </c>
      <c r="U2439" s="1603"/>
      <c r="V2439" s="494">
        <v>120</v>
      </c>
      <c r="W2439" s="2041">
        <f t="shared" si="144"/>
        <v>0.20634920634920634</v>
      </c>
    </row>
    <row r="2440" spans="2:23" s="7" customFormat="1" ht="15.95" customHeight="1">
      <c r="B2440" s="12"/>
      <c r="C2440" s="6" t="s">
        <v>5814</v>
      </c>
      <c r="D2440" s="15" t="s">
        <v>2285</v>
      </c>
      <c r="E2440" s="24"/>
      <c r="F2440" s="138"/>
      <c r="G2440" s="44" t="s">
        <v>1993</v>
      </c>
      <c r="H2440" s="8"/>
      <c r="I2440" s="41"/>
      <c r="J2440" s="45">
        <v>1</v>
      </c>
      <c r="K2440" s="46">
        <v>12</v>
      </c>
      <c r="L2440" s="46">
        <f>K2440*J2440</f>
        <v>12</v>
      </c>
      <c r="M2440" s="39"/>
      <c r="N2440" s="11">
        <v>45048</v>
      </c>
      <c r="O2440" s="154">
        <v>5189</v>
      </c>
      <c r="P2440" s="6"/>
      <c r="Q2440" s="483">
        <v>12</v>
      </c>
      <c r="R2440" s="704">
        <f>Q2440*J2440</f>
        <v>12</v>
      </c>
      <c r="S2440" s="489">
        <v>0</v>
      </c>
      <c r="T2440" s="113">
        <f>S2440*J2440</f>
        <v>0</v>
      </c>
      <c r="U2440" s="501"/>
      <c r="V2440" s="494">
        <v>120</v>
      </c>
      <c r="W2440" s="2041">
        <f t="shared" si="144"/>
        <v>1</v>
      </c>
    </row>
    <row r="2441" spans="2:23" s="314" customFormat="1" ht="15.75">
      <c r="B2441" s="313"/>
      <c r="C2441" s="302" t="s">
        <v>5814</v>
      </c>
      <c r="D2441" s="303" t="s">
        <v>2285</v>
      </c>
      <c r="E2441" s="304"/>
      <c r="F2441" s="305"/>
      <c r="G2441" s="305" t="s">
        <v>1227</v>
      </c>
      <c r="H2441" s="307" t="s">
        <v>1228</v>
      </c>
      <c r="I2441" s="308"/>
      <c r="J2441" s="306"/>
      <c r="K2441" s="315">
        <v>0</v>
      </c>
      <c r="L2441" s="310"/>
      <c r="M2441" s="310"/>
      <c r="N2441" s="1889">
        <v>45048</v>
      </c>
      <c r="O2441" s="1970">
        <v>5189</v>
      </c>
      <c r="P2441" s="302"/>
      <c r="Q2441" s="485">
        <v>0</v>
      </c>
      <c r="S2441" s="535">
        <v>0</v>
      </c>
      <c r="T2441" s="322">
        <v>0</v>
      </c>
      <c r="U2441" s="515"/>
      <c r="V2441" s="494">
        <v>120</v>
      </c>
      <c r="W2441" s="2041" t="e">
        <f t="shared" si="144"/>
        <v>#DIV/0!</v>
      </c>
    </row>
    <row r="2442" spans="2:23" ht="15">
      <c r="C2442" s="6" t="s">
        <v>5826</v>
      </c>
      <c r="D2442" s="15" t="s">
        <v>3329</v>
      </c>
      <c r="E2442" s="20" t="s">
        <v>79</v>
      </c>
      <c r="F2442" s="150"/>
      <c r="G2442" s="24"/>
      <c r="H2442" s="151"/>
      <c r="I2442" s="152"/>
      <c r="J2442" s="151"/>
      <c r="K2442" s="153" t="s">
        <v>10</v>
      </c>
      <c r="L2442" s="39"/>
      <c r="M2442" s="39"/>
      <c r="N2442" s="39">
        <v>45042</v>
      </c>
      <c r="O2442" s="38">
        <v>5178</v>
      </c>
      <c r="P2442" s="15"/>
      <c r="Q2442" s="483"/>
      <c r="S2442" s="496"/>
      <c r="T2442" s="113"/>
      <c r="V2442" s="494">
        <v>120</v>
      </c>
      <c r="W2442" s="2041" t="e">
        <f t="shared" si="144"/>
        <v>#VALUE!</v>
      </c>
    </row>
    <row r="2443" spans="2:23" ht="15.75">
      <c r="B2443" s="12" t="s">
        <v>1858</v>
      </c>
      <c r="C2443" s="6" t="s">
        <v>5826</v>
      </c>
      <c r="D2443" s="15" t="s">
        <v>3329</v>
      </c>
      <c r="E2443" s="24" t="s">
        <v>5827</v>
      </c>
      <c r="F2443" s="155" t="s">
        <v>5828</v>
      </c>
      <c r="G2443" s="24" t="s">
        <v>5829</v>
      </c>
      <c r="H2443" s="67">
        <v>10</v>
      </c>
      <c r="I2443" s="68">
        <v>1</v>
      </c>
      <c r="J2443" s="67">
        <f>H2443*I2443</f>
        <v>10</v>
      </c>
      <c r="K2443" s="46">
        <v>12.19</v>
      </c>
      <c r="L2443" s="46">
        <f>K2443*J2443</f>
        <v>121.89999999999999</v>
      </c>
      <c r="M2443" s="162" t="s">
        <v>2219</v>
      </c>
      <c r="N2443" s="39">
        <v>45042</v>
      </c>
      <c r="O2443" s="38">
        <v>5178</v>
      </c>
      <c r="P2443" s="46">
        <f>K2443*(VLOOKUP(B2443,$C$2:$F$6,3,FALSE))</f>
        <v>11.458599999999999</v>
      </c>
      <c r="Q2443" s="483">
        <v>11.46</v>
      </c>
      <c r="R2443" s="704">
        <f>Q2443*J2443</f>
        <v>114.60000000000001</v>
      </c>
      <c r="S2443" s="1962">
        <f>870+300</f>
        <v>1170</v>
      </c>
      <c r="T2443" s="567">
        <f>S2443*J2443</f>
        <v>11700</v>
      </c>
      <c r="V2443" s="494">
        <v>120</v>
      </c>
      <c r="W2443" s="2041">
        <f t="shared" si="144"/>
        <v>0.20016406890894173</v>
      </c>
    </row>
    <row r="2444" spans="2:23" s="7" customFormat="1" ht="15.95" customHeight="1">
      <c r="B2444" s="12"/>
      <c r="C2444" s="6" t="s">
        <v>5826</v>
      </c>
      <c r="D2444" s="15" t="s">
        <v>3329</v>
      </c>
      <c r="E2444" s="24"/>
      <c r="F2444" s="138"/>
      <c r="G2444" s="44" t="s">
        <v>1993</v>
      </c>
      <c r="H2444" s="8"/>
      <c r="I2444" s="41"/>
      <c r="J2444" s="45">
        <v>1</v>
      </c>
      <c r="K2444" s="46">
        <v>12</v>
      </c>
      <c r="L2444" s="46">
        <f>K2444*J2444</f>
        <v>12</v>
      </c>
      <c r="M2444" s="39"/>
      <c r="N2444" s="39">
        <v>45042</v>
      </c>
      <c r="O2444" s="38">
        <v>5178</v>
      </c>
      <c r="P2444" s="6"/>
      <c r="Q2444" s="483">
        <v>12</v>
      </c>
      <c r="R2444" s="704">
        <f>Q2444*J2444</f>
        <v>12</v>
      </c>
      <c r="S2444" s="489">
        <v>0</v>
      </c>
      <c r="T2444" s="113">
        <f>S2444*J2444</f>
        <v>0</v>
      </c>
      <c r="U2444" s="501"/>
      <c r="V2444" s="494">
        <v>120</v>
      </c>
      <c r="W2444" s="2041">
        <f t="shared" si="144"/>
        <v>1</v>
      </c>
    </row>
    <row r="2445" spans="2:23" s="7" customFormat="1" ht="15.95" customHeight="1">
      <c r="B2445" s="12"/>
      <c r="C2445" s="6" t="s">
        <v>5826</v>
      </c>
      <c r="D2445" s="15" t="s">
        <v>3329</v>
      </c>
      <c r="E2445" s="24"/>
      <c r="F2445" s="138"/>
      <c r="G2445" s="44" t="s">
        <v>5830</v>
      </c>
      <c r="H2445" s="8"/>
      <c r="I2445" s="41"/>
      <c r="J2445" s="45">
        <v>7</v>
      </c>
      <c r="K2445" s="46">
        <v>16</v>
      </c>
      <c r="L2445" s="46">
        <f>K2445*J2445</f>
        <v>112</v>
      </c>
      <c r="M2445" s="39"/>
      <c r="N2445" s="39">
        <v>45057</v>
      </c>
      <c r="O2445" s="38">
        <v>5215</v>
      </c>
      <c r="P2445" s="6"/>
      <c r="Q2445" s="483">
        <v>16</v>
      </c>
      <c r="R2445" s="704">
        <f>Q2445*J2445</f>
        <v>112</v>
      </c>
      <c r="S2445" s="489">
        <v>1500</v>
      </c>
      <c r="T2445" s="567">
        <f>S2445*J2445</f>
        <v>10500</v>
      </c>
      <c r="U2445" s="501"/>
      <c r="V2445" s="494">
        <v>120</v>
      </c>
      <c r="W2445" s="2041">
        <f t="shared" si="144"/>
        <v>0.21875</v>
      </c>
    </row>
    <row r="2446" spans="2:23" s="314" customFormat="1" ht="15">
      <c r="B2446" s="313"/>
      <c r="C2446" s="302" t="s">
        <v>5826</v>
      </c>
      <c r="D2446" s="303" t="s">
        <v>3329</v>
      </c>
      <c r="E2446" s="304"/>
      <c r="F2446" s="305"/>
      <c r="G2446" s="305" t="s">
        <v>1227</v>
      </c>
      <c r="H2446" s="307" t="s">
        <v>1228</v>
      </c>
      <c r="I2446" s="308"/>
      <c r="J2446" s="306"/>
      <c r="K2446" s="315">
        <v>0</v>
      </c>
      <c r="L2446" s="310"/>
      <c r="M2446" s="310"/>
      <c r="N2446" s="310">
        <v>45057</v>
      </c>
      <c r="O2446" s="309">
        <v>5215</v>
      </c>
      <c r="P2446" s="302"/>
      <c r="Q2446" s="485">
        <v>0</v>
      </c>
      <c r="S2446" s="535">
        <v>0</v>
      </c>
      <c r="T2446" s="322">
        <v>0</v>
      </c>
      <c r="U2446" s="515"/>
      <c r="V2446" s="494">
        <v>120</v>
      </c>
      <c r="W2446" s="2041" t="e">
        <f t="shared" si="144"/>
        <v>#DIV/0!</v>
      </c>
    </row>
    <row r="2447" spans="2:23" s="7" customFormat="1" ht="15.75">
      <c r="B2447" s="12"/>
      <c r="C2447" s="6" t="s">
        <v>5861</v>
      </c>
      <c r="D2447" s="15" t="s">
        <v>5840</v>
      </c>
      <c r="E2447" s="20" t="s">
        <v>5697</v>
      </c>
      <c r="F2447" s="44"/>
      <c r="G2447" s="44"/>
      <c r="H2447" s="151"/>
      <c r="I2447" s="151"/>
      <c r="J2447" s="151"/>
      <c r="K2447" s="34" t="s">
        <v>134</v>
      </c>
      <c r="L2447" s="11"/>
      <c r="M2447" s="11"/>
      <c r="N2447" s="11">
        <v>45057</v>
      </c>
      <c r="O2447" s="154">
        <v>5214</v>
      </c>
      <c r="P2447" s="1960"/>
      <c r="Q2447" s="524"/>
      <c r="S2447" s="489"/>
      <c r="T2447" s="113"/>
      <c r="U2447" s="501"/>
      <c r="V2447" s="494">
        <v>120</v>
      </c>
      <c r="W2447" s="2041" t="e">
        <f t="shared" si="144"/>
        <v>#VALUE!</v>
      </c>
    </row>
    <row r="2448" spans="2:23" s="7" customFormat="1" ht="15.75">
      <c r="B2448" s="12" t="s">
        <v>1858</v>
      </c>
      <c r="C2448" s="6" t="s">
        <v>5861</v>
      </c>
      <c r="D2448" s="15" t="s">
        <v>5840</v>
      </c>
      <c r="E2448" s="24" t="s">
        <v>5839</v>
      </c>
      <c r="F2448" s="29"/>
      <c r="G2448" s="24" t="s">
        <v>78</v>
      </c>
      <c r="H2448" s="67"/>
      <c r="I2448" s="68"/>
      <c r="J2448" s="67">
        <v>4</v>
      </c>
      <c r="K2448" s="46">
        <v>8.9600000000000009</v>
      </c>
      <c r="L2448" s="46">
        <f>K2448*J2448</f>
        <v>35.840000000000003</v>
      </c>
      <c r="M2448" s="162" t="s">
        <v>2219</v>
      </c>
      <c r="N2448" s="11">
        <v>45057</v>
      </c>
      <c r="O2448" s="154">
        <v>5214</v>
      </c>
      <c r="P2448" s="1961">
        <f>K2448*(VLOOKUP(B2448,$C$2:$F$6,3,FALSE))</f>
        <v>8.4223999999999997</v>
      </c>
      <c r="Q2448" s="482">
        <v>8.42</v>
      </c>
      <c r="R2448" s="704">
        <f>Q2448*J2448</f>
        <v>33.68</v>
      </c>
      <c r="S2448" s="1962">
        <v>860</v>
      </c>
      <c r="T2448" s="113">
        <f>S2448*J2448</f>
        <v>3440</v>
      </c>
      <c r="U2448" s="1603"/>
      <c r="V2448" s="494">
        <v>120</v>
      </c>
      <c r="W2448" s="2041">
        <f t="shared" si="144"/>
        <v>0.20014880952380956</v>
      </c>
    </row>
    <row r="2449" spans="2:23" s="7" customFormat="1" ht="15.95" customHeight="1">
      <c r="B2449" s="12"/>
      <c r="C2449" s="6" t="s">
        <v>5861</v>
      </c>
      <c r="D2449" s="15" t="s">
        <v>5840</v>
      </c>
      <c r="E2449" s="24"/>
      <c r="F2449" s="138"/>
      <c r="G2449" s="44" t="s">
        <v>1993</v>
      </c>
      <c r="H2449" s="8"/>
      <c r="I2449" s="41"/>
      <c r="J2449" s="45">
        <v>1</v>
      </c>
      <c r="K2449" s="46">
        <v>12</v>
      </c>
      <c r="L2449" s="46">
        <f>K2449*J2449</f>
        <v>12</v>
      </c>
      <c r="M2449" s="39"/>
      <c r="N2449" s="11">
        <v>45057</v>
      </c>
      <c r="O2449" s="154">
        <v>5214</v>
      </c>
      <c r="P2449" s="6"/>
      <c r="Q2449" s="483">
        <v>12</v>
      </c>
      <c r="R2449" s="704">
        <f>Q2449*J2449</f>
        <v>12</v>
      </c>
      <c r="S2449" s="489">
        <v>900</v>
      </c>
      <c r="T2449" s="113">
        <f>S2449*J2449</f>
        <v>900</v>
      </c>
      <c r="U2449" s="501"/>
      <c r="V2449" s="494">
        <v>120</v>
      </c>
      <c r="W2449" s="2041">
        <f t="shared" si="144"/>
        <v>0.375</v>
      </c>
    </row>
    <row r="2450" spans="2:23" s="314" customFormat="1" ht="15.75">
      <c r="B2450" s="313"/>
      <c r="C2450" s="302" t="s">
        <v>5861</v>
      </c>
      <c r="D2450" s="303" t="s">
        <v>5840</v>
      </c>
      <c r="E2450" s="304"/>
      <c r="F2450" s="305"/>
      <c r="G2450" s="305" t="s">
        <v>1227</v>
      </c>
      <c r="H2450" s="307" t="s">
        <v>3438</v>
      </c>
      <c r="I2450" s="308"/>
      <c r="J2450" s="306"/>
      <c r="K2450" s="485">
        <v>22</v>
      </c>
      <c r="L2450" s="485">
        <v>22</v>
      </c>
      <c r="M2450" s="310"/>
      <c r="N2450" s="1889">
        <v>45057</v>
      </c>
      <c r="O2450" s="1970">
        <v>5214</v>
      </c>
      <c r="P2450" s="302"/>
      <c r="Q2450" s="485">
        <v>22</v>
      </c>
      <c r="R2450" s="485">
        <v>22</v>
      </c>
      <c r="S2450" s="536">
        <v>2554</v>
      </c>
      <c r="T2450" s="536">
        <v>2554</v>
      </c>
      <c r="U2450" s="515"/>
      <c r="V2450" s="494">
        <v>120</v>
      </c>
      <c r="W2450" s="2041">
        <f t="shared" si="144"/>
        <v>3.2575757575757577E-2</v>
      </c>
    </row>
    <row r="2451" spans="2:23" ht="15">
      <c r="C2451" s="6" t="s">
        <v>5865</v>
      </c>
      <c r="D2451" s="15" t="s">
        <v>3329</v>
      </c>
      <c r="E2451" s="20" t="s">
        <v>79</v>
      </c>
      <c r="F2451" s="150"/>
      <c r="G2451" s="24"/>
      <c r="H2451" s="151"/>
      <c r="I2451" s="152"/>
      <c r="J2451" s="151"/>
      <c r="K2451" s="153" t="s">
        <v>10</v>
      </c>
      <c r="L2451" s="39"/>
      <c r="M2451" s="39"/>
      <c r="N2451" s="39">
        <v>45082</v>
      </c>
      <c r="O2451" s="38">
        <v>5288</v>
      </c>
      <c r="P2451" s="15"/>
      <c r="Q2451" s="483"/>
      <c r="S2451" s="496"/>
      <c r="T2451" s="113"/>
      <c r="V2451" s="494">
        <v>120</v>
      </c>
      <c r="W2451" s="2041" t="e">
        <f t="shared" si="144"/>
        <v>#VALUE!</v>
      </c>
    </row>
    <row r="2452" spans="2:23" ht="15.75">
      <c r="B2452" s="12" t="s">
        <v>1858</v>
      </c>
      <c r="C2452" s="6" t="s">
        <v>5865</v>
      </c>
      <c r="D2452" s="15" t="s">
        <v>3329</v>
      </c>
      <c r="E2452" s="24" t="s">
        <v>5827</v>
      </c>
      <c r="F2452" s="155" t="s">
        <v>5828</v>
      </c>
      <c r="G2452" s="24" t="s">
        <v>5887</v>
      </c>
      <c r="H2452" s="19">
        <v>40</v>
      </c>
      <c r="I2452" s="68">
        <v>1</v>
      </c>
      <c r="J2452" s="19">
        <f>H2452*I2452</f>
        <v>40</v>
      </c>
      <c r="K2452" s="46">
        <v>17.920000000000002</v>
      </c>
      <c r="L2452" s="46">
        <f>K2452*J2452</f>
        <v>716.80000000000007</v>
      </c>
      <c r="M2452" s="162" t="s">
        <v>2219</v>
      </c>
      <c r="N2452" s="39">
        <v>45082</v>
      </c>
      <c r="O2452" s="38">
        <v>5288</v>
      </c>
      <c r="P2452" s="46">
        <f>K2452*(VLOOKUP(B2452,$C$2:$F$6,3,FALSE))</f>
        <v>16.844799999999999</v>
      </c>
      <c r="Q2452" s="483">
        <v>16.84</v>
      </c>
      <c r="R2452" s="704">
        <f>Q2452*J2452</f>
        <v>673.6</v>
      </c>
      <c r="S2452" s="1962">
        <v>1700</v>
      </c>
      <c r="T2452" s="567">
        <f>S2452*J2452</f>
        <v>68000</v>
      </c>
      <c r="V2452" s="494">
        <v>120</v>
      </c>
      <c r="W2452" s="2041">
        <f t="shared" si="144"/>
        <v>0.20944940476190479</v>
      </c>
    </row>
    <row r="2453" spans="2:23" ht="15.75">
      <c r="B2453" s="12" t="s">
        <v>1858</v>
      </c>
      <c r="C2453" s="6" t="s">
        <v>5865</v>
      </c>
      <c r="D2453" s="15" t="s">
        <v>3329</v>
      </c>
      <c r="E2453" s="24" t="s">
        <v>5827</v>
      </c>
      <c r="F2453" s="155" t="s">
        <v>5828</v>
      </c>
      <c r="G2453" s="24" t="s">
        <v>5941</v>
      </c>
      <c r="H2453" s="19">
        <v>39.5</v>
      </c>
      <c r="I2453" s="68">
        <v>1</v>
      </c>
      <c r="J2453" s="19">
        <f>H2453*I2453</f>
        <v>39.5</v>
      </c>
      <c r="K2453" s="46">
        <v>17.920000000000002</v>
      </c>
      <c r="L2453" s="46">
        <f>K2453*J2453</f>
        <v>707.84</v>
      </c>
      <c r="M2453" s="162" t="s">
        <v>2219</v>
      </c>
      <c r="N2453" s="39">
        <v>45082</v>
      </c>
      <c r="O2453" s="38">
        <v>5288</v>
      </c>
      <c r="P2453" s="46">
        <f>K2453*(VLOOKUP(B2453,$C$2:$F$6,3,FALSE))</f>
        <v>16.844799999999999</v>
      </c>
      <c r="Q2453" s="483">
        <v>16.84</v>
      </c>
      <c r="R2453" s="704">
        <f>Q2453*J2453</f>
        <v>665.18</v>
      </c>
      <c r="S2453" s="1962">
        <v>1700</v>
      </c>
      <c r="T2453" s="567">
        <f>S2453*J2453</f>
        <v>67150</v>
      </c>
      <c r="V2453" s="494">
        <v>120</v>
      </c>
      <c r="W2453" s="2041">
        <f t="shared" si="144"/>
        <v>0.20944940476190479</v>
      </c>
    </row>
    <row r="2454" spans="2:23" ht="15.75">
      <c r="B2454" s="12" t="s">
        <v>1858</v>
      </c>
      <c r="C2454" s="6" t="s">
        <v>5865</v>
      </c>
      <c r="D2454" s="15" t="s">
        <v>3329</v>
      </c>
      <c r="E2454" s="24" t="s">
        <v>5827</v>
      </c>
      <c r="F2454" s="155" t="s">
        <v>5828</v>
      </c>
      <c r="G2454" s="24" t="s">
        <v>5868</v>
      </c>
      <c r="H2454" s="19">
        <v>40</v>
      </c>
      <c r="I2454" s="68">
        <v>1</v>
      </c>
      <c r="J2454" s="19">
        <f>H2454*I2454</f>
        <v>40</v>
      </c>
      <c r="K2454" s="46">
        <v>17.920000000000002</v>
      </c>
      <c r="L2454" s="46">
        <f>K2454*J2454</f>
        <v>716.80000000000007</v>
      </c>
      <c r="M2454" s="162" t="s">
        <v>2219</v>
      </c>
      <c r="N2454" s="39">
        <v>45082</v>
      </c>
      <c r="O2454" s="38">
        <v>5288</v>
      </c>
      <c r="P2454" s="46">
        <f>K2454*(VLOOKUP(B2454,$C$2:$F$6,3,FALSE))</f>
        <v>16.844799999999999</v>
      </c>
      <c r="Q2454" s="483">
        <v>16.84</v>
      </c>
      <c r="R2454" s="704">
        <f>Q2454*J2454</f>
        <v>673.6</v>
      </c>
      <c r="S2454" s="1962">
        <v>1700</v>
      </c>
      <c r="T2454" s="567">
        <f>S2454*J2454</f>
        <v>68000</v>
      </c>
      <c r="V2454" s="494">
        <v>120</v>
      </c>
      <c r="W2454" s="2041">
        <f t="shared" si="144"/>
        <v>0.20944940476190479</v>
      </c>
    </row>
    <row r="2455" spans="2:23" s="314" customFormat="1" ht="15">
      <c r="B2455" s="313"/>
      <c r="C2455" s="302" t="s">
        <v>5865</v>
      </c>
      <c r="D2455" s="303" t="s">
        <v>3329</v>
      </c>
      <c r="E2455" s="304"/>
      <c r="F2455" s="305"/>
      <c r="G2455" s="305" t="s">
        <v>1227</v>
      </c>
      <c r="H2455" s="307" t="s">
        <v>1228</v>
      </c>
      <c r="I2455" s="308"/>
      <c r="J2455" s="306"/>
      <c r="K2455" s="315">
        <v>0</v>
      </c>
      <c r="L2455" s="310"/>
      <c r="M2455" s="310"/>
      <c r="N2455" s="310">
        <v>45082</v>
      </c>
      <c r="O2455" s="309">
        <v>5288</v>
      </c>
      <c r="P2455" s="302"/>
      <c r="Q2455" s="485">
        <v>0</v>
      </c>
      <c r="S2455" s="535">
        <v>0</v>
      </c>
      <c r="T2455" s="322">
        <v>0</v>
      </c>
      <c r="U2455" s="515"/>
      <c r="V2455" s="494">
        <v>120</v>
      </c>
      <c r="W2455" s="2041" t="e">
        <f t="shared" si="144"/>
        <v>#DIV/0!</v>
      </c>
    </row>
    <row r="2456" spans="2:23" ht="15">
      <c r="C2456" s="6" t="s">
        <v>5888</v>
      </c>
      <c r="D2456" s="15" t="s">
        <v>3329</v>
      </c>
      <c r="E2456" s="20" t="s">
        <v>1092</v>
      </c>
      <c r="F2456" s="150"/>
      <c r="G2456" s="24"/>
      <c r="H2456" s="151"/>
      <c r="I2456" s="152"/>
      <c r="J2456" s="151"/>
      <c r="K2456" s="153" t="s">
        <v>10</v>
      </c>
      <c r="L2456" s="39"/>
      <c r="M2456" s="39"/>
      <c r="N2456" s="39">
        <v>45061</v>
      </c>
      <c r="O2456" s="38">
        <v>5221</v>
      </c>
      <c r="P2456" s="15"/>
      <c r="Q2456" s="483"/>
      <c r="S2456" s="496"/>
      <c r="T2456" s="113"/>
      <c r="V2456" s="494">
        <v>120</v>
      </c>
      <c r="W2456" s="2041" t="e">
        <f t="shared" si="144"/>
        <v>#VALUE!</v>
      </c>
    </row>
    <row r="2457" spans="2:23" ht="15.75">
      <c r="B2457" s="12" t="s">
        <v>1858</v>
      </c>
      <c r="C2457" s="6" t="s">
        <v>5888</v>
      </c>
      <c r="D2457" s="15" t="s">
        <v>3329</v>
      </c>
      <c r="E2457" s="24" t="s">
        <v>5889</v>
      </c>
      <c r="F2457" s="155" t="s">
        <v>5874</v>
      </c>
      <c r="G2457" s="24" t="s">
        <v>5890</v>
      </c>
      <c r="H2457" s="67">
        <v>58</v>
      </c>
      <c r="I2457" s="68">
        <v>1</v>
      </c>
      <c r="J2457" s="67">
        <f>H2457*I2457</f>
        <v>58</v>
      </c>
      <c r="K2457" s="46">
        <v>7.61</v>
      </c>
      <c r="L2457" s="46">
        <f>K2457*J2457</f>
        <v>441.38</v>
      </c>
      <c r="M2457" s="162" t="s">
        <v>2219</v>
      </c>
      <c r="N2457" s="39">
        <v>45061</v>
      </c>
      <c r="O2457" s="38">
        <v>5221</v>
      </c>
      <c r="P2457" s="46">
        <f>K2457*(VLOOKUP(B2457,$C$2:$F$6,3,FALSE))</f>
        <v>7.1533999999999995</v>
      </c>
      <c r="Q2457" s="483">
        <v>7.15</v>
      </c>
      <c r="R2457" s="704">
        <f>Q2457*J2457</f>
        <v>414.70000000000005</v>
      </c>
      <c r="S2457" s="1962">
        <v>710</v>
      </c>
      <c r="T2457" s="567">
        <f>S2457*J2457</f>
        <v>41180</v>
      </c>
      <c r="V2457" s="494">
        <v>120</v>
      </c>
      <c r="W2457" s="2041">
        <f t="shared" si="144"/>
        <v>0.22251423565484016</v>
      </c>
    </row>
    <row r="2458" spans="2:23" ht="15.75">
      <c r="B2458" s="12" t="s">
        <v>1858</v>
      </c>
      <c r="C2458" s="6" t="s">
        <v>5888</v>
      </c>
      <c r="D2458" s="15" t="s">
        <v>3329</v>
      </c>
      <c r="E2458" s="24" t="s">
        <v>5889</v>
      </c>
      <c r="F2458" s="155" t="s">
        <v>5874</v>
      </c>
      <c r="G2458" s="24" t="s">
        <v>5891</v>
      </c>
      <c r="H2458" s="67">
        <v>53</v>
      </c>
      <c r="I2458" s="68">
        <v>1</v>
      </c>
      <c r="J2458" s="67">
        <f>H2458*I2458</f>
        <v>53</v>
      </c>
      <c r="K2458" s="46">
        <v>7.61</v>
      </c>
      <c r="L2458" s="46">
        <f>K2458*J2458</f>
        <v>403.33000000000004</v>
      </c>
      <c r="M2458" s="162" t="s">
        <v>2219</v>
      </c>
      <c r="N2458" s="39">
        <v>45061</v>
      </c>
      <c r="O2458" s="38">
        <v>5221</v>
      </c>
      <c r="P2458" s="46">
        <f>K2458*(VLOOKUP(B2458,$C$2:$F$6,3,FALSE))</f>
        <v>7.1533999999999995</v>
      </c>
      <c r="Q2458" s="483">
        <v>7.15</v>
      </c>
      <c r="R2458" s="704">
        <f>Q2458*J2458</f>
        <v>378.95000000000005</v>
      </c>
      <c r="S2458" s="1962">
        <v>710</v>
      </c>
      <c r="T2458" s="567">
        <f>S2458*J2458</f>
        <v>37630</v>
      </c>
      <c r="V2458" s="494">
        <v>120</v>
      </c>
      <c r="W2458" s="2041">
        <f t="shared" si="144"/>
        <v>0.22251423565484016</v>
      </c>
    </row>
    <row r="2459" spans="2:23" ht="15.75">
      <c r="B2459" s="12" t="s">
        <v>1858</v>
      </c>
      <c r="C2459" s="6" t="s">
        <v>5888</v>
      </c>
      <c r="D2459" s="15" t="s">
        <v>3329</v>
      </c>
      <c r="E2459" s="24" t="s">
        <v>5889</v>
      </c>
      <c r="F2459" s="155" t="s">
        <v>5874</v>
      </c>
      <c r="G2459" s="24" t="s">
        <v>5892</v>
      </c>
      <c r="H2459" s="19">
        <v>44.6</v>
      </c>
      <c r="I2459" s="68">
        <v>1</v>
      </c>
      <c r="J2459" s="19">
        <f>H2459*I2459</f>
        <v>44.6</v>
      </c>
      <c r="K2459" s="46">
        <v>7.61</v>
      </c>
      <c r="L2459" s="46">
        <f>K2459*J2459</f>
        <v>339.40600000000001</v>
      </c>
      <c r="M2459" s="162" t="s">
        <v>2219</v>
      </c>
      <c r="N2459" s="39">
        <v>45061</v>
      </c>
      <c r="O2459" s="38">
        <v>5221</v>
      </c>
      <c r="P2459" s="46">
        <f>K2459*(VLOOKUP(B2459,$C$2:$F$6,3,FALSE))</f>
        <v>7.1533999999999995</v>
      </c>
      <c r="Q2459" s="483">
        <v>7.15</v>
      </c>
      <c r="R2459" s="704">
        <f>Q2459*J2459</f>
        <v>318.89000000000004</v>
      </c>
      <c r="S2459" s="1962">
        <v>710</v>
      </c>
      <c r="T2459" s="567">
        <f>S2459*J2459</f>
        <v>31666</v>
      </c>
      <c r="V2459" s="494">
        <v>120</v>
      </c>
      <c r="W2459" s="2041">
        <f t="shared" si="144"/>
        <v>0.22251423565484016</v>
      </c>
    </row>
    <row r="2460" spans="2:23" s="314" customFormat="1" ht="15">
      <c r="B2460" s="313"/>
      <c r="C2460" s="302" t="s">
        <v>5888</v>
      </c>
      <c r="D2460" s="303" t="s">
        <v>3329</v>
      </c>
      <c r="E2460" s="304"/>
      <c r="F2460" s="305"/>
      <c r="G2460" s="305" t="s">
        <v>1227</v>
      </c>
      <c r="H2460" s="307" t="s">
        <v>1228</v>
      </c>
      <c r="I2460" s="308"/>
      <c r="J2460" s="306"/>
      <c r="K2460" s="315">
        <v>0</v>
      </c>
      <c r="L2460" s="310"/>
      <c r="M2460" s="310"/>
      <c r="N2460" s="310">
        <v>45061</v>
      </c>
      <c r="O2460" s="309">
        <v>5221</v>
      </c>
      <c r="P2460" s="302"/>
      <c r="Q2460" s="485">
        <v>0</v>
      </c>
      <c r="S2460" s="535">
        <v>0</v>
      </c>
      <c r="T2460" s="322">
        <v>0</v>
      </c>
      <c r="U2460" s="515"/>
      <c r="V2460" s="494">
        <v>120</v>
      </c>
      <c r="W2460" s="2041" t="e">
        <f t="shared" si="144"/>
        <v>#DIV/0!</v>
      </c>
    </row>
    <row r="2461" spans="2:23" s="7" customFormat="1" ht="18" customHeight="1">
      <c r="B2461" s="12"/>
      <c r="C2461" s="6" t="s">
        <v>5942</v>
      </c>
      <c r="D2461" s="15" t="s">
        <v>586</v>
      </c>
      <c r="E2461" s="20" t="s">
        <v>5944</v>
      </c>
      <c r="F2461" s="24"/>
      <c r="G2461" s="44"/>
      <c r="H2461" s="151"/>
      <c r="I2461" s="151"/>
      <c r="J2461" s="151"/>
      <c r="K2461" s="153" t="s">
        <v>10</v>
      </c>
      <c r="L2461" s="39"/>
      <c r="M2461" s="39"/>
      <c r="N2461" s="39">
        <v>45064</v>
      </c>
      <c r="O2461" s="38">
        <v>5241</v>
      </c>
      <c r="P2461" s="6"/>
      <c r="Q2461" s="411"/>
      <c r="S2461" s="1995" t="s">
        <v>5749</v>
      </c>
      <c r="T2461" s="113"/>
      <c r="U2461" s="501"/>
      <c r="V2461" s="494">
        <v>120</v>
      </c>
      <c r="W2461" s="2041" t="e">
        <f t="shared" si="144"/>
        <v>#VALUE!</v>
      </c>
    </row>
    <row r="2462" spans="2:23" s="7" customFormat="1" ht="15.95" customHeight="1">
      <c r="B2462" s="12" t="s">
        <v>1856</v>
      </c>
      <c r="C2462" s="6" t="s">
        <v>5942</v>
      </c>
      <c r="D2462" s="15" t="s">
        <v>586</v>
      </c>
      <c r="E2462" s="24" t="s">
        <v>5885</v>
      </c>
      <c r="F2462" s="44"/>
      <c r="G2462" s="44" t="s">
        <v>1768</v>
      </c>
      <c r="H2462" s="8"/>
      <c r="I2462" s="41"/>
      <c r="J2462" s="67">
        <v>5</v>
      </c>
      <c r="K2462" s="46">
        <v>11.25</v>
      </c>
      <c r="L2462" s="46">
        <f>K2462*J2462</f>
        <v>56.25</v>
      </c>
      <c r="M2462" s="162" t="s">
        <v>2219</v>
      </c>
      <c r="N2462" s="39">
        <v>45064</v>
      </c>
      <c r="O2462" s="38">
        <v>5241</v>
      </c>
      <c r="P2462" s="180">
        <f>K2462*(VLOOKUP(B2462,$C$2:$F$6,3,FALSE))</f>
        <v>9.9</v>
      </c>
      <c r="Q2462" s="483">
        <v>9.9</v>
      </c>
      <c r="R2462" s="704">
        <f>Q2462*J2462</f>
        <v>49.5</v>
      </c>
      <c r="S2462" s="489">
        <f>540*1.5</f>
        <v>810</v>
      </c>
      <c r="T2462" s="113">
        <f>S2462*J2462</f>
        <v>4050</v>
      </c>
      <c r="U2462" s="517"/>
      <c r="V2462" s="494">
        <v>120</v>
      </c>
      <c r="W2462" s="2041">
        <f t="shared" si="144"/>
        <v>0.4</v>
      </c>
    </row>
    <row r="2463" spans="2:23" s="7" customFormat="1" ht="15.95" customHeight="1">
      <c r="B2463" s="12" t="s">
        <v>1856</v>
      </c>
      <c r="C2463" s="6" t="s">
        <v>5942</v>
      </c>
      <c r="D2463" s="15" t="s">
        <v>586</v>
      </c>
      <c r="E2463" s="24" t="s">
        <v>5885</v>
      </c>
      <c r="F2463" s="44"/>
      <c r="G2463" s="44" t="s">
        <v>160</v>
      </c>
      <c r="H2463" s="8"/>
      <c r="I2463" s="41"/>
      <c r="J2463" s="67">
        <v>5</v>
      </c>
      <c r="K2463" s="46">
        <v>11.25</v>
      </c>
      <c r="L2463" s="46">
        <f>K2463*J2463</f>
        <v>56.25</v>
      </c>
      <c r="M2463" s="162" t="s">
        <v>2219</v>
      </c>
      <c r="N2463" s="39">
        <v>45064</v>
      </c>
      <c r="O2463" s="38">
        <v>5241</v>
      </c>
      <c r="P2463" s="180">
        <f>K2463*(VLOOKUP(B2463,$C$2:$F$6,3,FALSE))</f>
        <v>9.9</v>
      </c>
      <c r="Q2463" s="483">
        <v>9.9</v>
      </c>
      <c r="R2463" s="704">
        <f>Q2463*J2463</f>
        <v>49.5</v>
      </c>
      <c r="S2463" s="489">
        <f>540*1.5</f>
        <v>810</v>
      </c>
      <c r="T2463" s="113">
        <f>S2463*J2463</f>
        <v>4050</v>
      </c>
      <c r="U2463" s="517"/>
      <c r="V2463" s="494">
        <v>120</v>
      </c>
      <c r="W2463" s="2041">
        <f t="shared" si="144"/>
        <v>0.4</v>
      </c>
    </row>
    <row r="2464" spans="2:23" s="7" customFormat="1" ht="15.95" customHeight="1">
      <c r="B2464" s="12" t="s">
        <v>1856</v>
      </c>
      <c r="C2464" s="6" t="s">
        <v>5942</v>
      </c>
      <c r="D2464" s="15" t="s">
        <v>586</v>
      </c>
      <c r="E2464" s="24" t="s">
        <v>5885</v>
      </c>
      <c r="F2464" s="44"/>
      <c r="G2464" s="44" t="s">
        <v>5943</v>
      </c>
      <c r="H2464" s="8"/>
      <c r="I2464" s="41"/>
      <c r="J2464" s="67">
        <v>5</v>
      </c>
      <c r="K2464" s="46">
        <v>11.25</v>
      </c>
      <c r="L2464" s="46">
        <f>K2464*J2464</f>
        <v>56.25</v>
      </c>
      <c r="M2464" s="162" t="s">
        <v>2219</v>
      </c>
      <c r="N2464" s="39">
        <v>45064</v>
      </c>
      <c r="O2464" s="38">
        <v>5241</v>
      </c>
      <c r="P2464" s="180">
        <f>K2464*(VLOOKUP(B2464,$C$2:$F$6,3,FALSE))</f>
        <v>9.9</v>
      </c>
      <c r="Q2464" s="483">
        <v>9.9</v>
      </c>
      <c r="R2464" s="704">
        <f>Q2464*J2464</f>
        <v>49.5</v>
      </c>
      <c r="S2464" s="489">
        <f>540*1.5</f>
        <v>810</v>
      </c>
      <c r="T2464" s="113">
        <f>S2464*J2464</f>
        <v>4050</v>
      </c>
      <c r="U2464" s="517"/>
      <c r="V2464" s="494">
        <v>120</v>
      </c>
      <c r="W2464" s="2041">
        <f t="shared" si="144"/>
        <v>0.4</v>
      </c>
    </row>
    <row r="2465" spans="2:23" s="7" customFormat="1" ht="15.95" customHeight="1">
      <c r="B2465" s="12"/>
      <c r="C2465" s="6" t="s">
        <v>5942</v>
      </c>
      <c r="D2465" s="15" t="s">
        <v>586</v>
      </c>
      <c r="E2465" s="24"/>
      <c r="F2465" s="138"/>
      <c r="G2465" s="44" t="s">
        <v>1993</v>
      </c>
      <c r="H2465" s="8"/>
      <c r="I2465" s="41"/>
      <c r="J2465" s="45">
        <v>1</v>
      </c>
      <c r="K2465" s="46">
        <v>12</v>
      </c>
      <c r="L2465" s="46">
        <f>K2465*J2465</f>
        <v>12</v>
      </c>
      <c r="M2465" s="39"/>
      <c r="N2465" s="39">
        <v>45064</v>
      </c>
      <c r="O2465" s="38">
        <v>5241</v>
      </c>
      <c r="P2465" s="6"/>
      <c r="Q2465" s="483">
        <v>12</v>
      </c>
      <c r="R2465" s="704">
        <f>Q2465*J2465</f>
        <v>12</v>
      </c>
      <c r="S2465" s="489">
        <v>1000</v>
      </c>
      <c r="T2465" s="113">
        <f>S2465*J2465</f>
        <v>1000</v>
      </c>
      <c r="U2465" s="501"/>
      <c r="V2465" s="494">
        <v>120</v>
      </c>
      <c r="W2465" s="2041">
        <f t="shared" si="144"/>
        <v>0.30555555555555558</v>
      </c>
    </row>
    <row r="2466" spans="2:23" s="314" customFormat="1" ht="15">
      <c r="B2466" s="313"/>
      <c r="C2466" s="302" t="s">
        <v>5942</v>
      </c>
      <c r="D2466" s="303" t="s">
        <v>586</v>
      </c>
      <c r="E2466" s="304"/>
      <c r="F2466" s="305"/>
      <c r="G2466" s="305" t="s">
        <v>1227</v>
      </c>
      <c r="H2466" s="307" t="s">
        <v>1228</v>
      </c>
      <c r="I2466" s="308"/>
      <c r="J2466" s="306"/>
      <c r="K2466" s="315">
        <v>0</v>
      </c>
      <c r="L2466" s="310"/>
      <c r="M2466" s="310"/>
      <c r="N2466" s="310">
        <v>45064</v>
      </c>
      <c r="O2466" s="309">
        <v>5241</v>
      </c>
      <c r="P2466" s="302"/>
      <c r="Q2466" s="485">
        <v>0</v>
      </c>
      <c r="S2466" s="535">
        <v>0</v>
      </c>
      <c r="T2466" s="322">
        <v>0</v>
      </c>
      <c r="U2466" s="515"/>
      <c r="V2466" s="494">
        <v>120</v>
      </c>
      <c r="W2466" s="2041" t="e">
        <f t="shared" si="144"/>
        <v>#DIV/0!</v>
      </c>
    </row>
    <row r="2467" spans="2:23" ht="18" customHeight="1">
      <c r="C2467" s="6" t="s">
        <v>5945</v>
      </c>
      <c r="D2467" s="15" t="s">
        <v>3120</v>
      </c>
      <c r="E2467" s="20" t="s">
        <v>2243</v>
      </c>
      <c r="F2467" s="44"/>
      <c r="G2467" s="44"/>
      <c r="H2467" s="151"/>
      <c r="I2467" s="151"/>
      <c r="J2467" s="151"/>
      <c r="K2467" s="34" t="s">
        <v>134</v>
      </c>
      <c r="L2467" s="39"/>
      <c r="M2467" s="39"/>
      <c r="N2467" s="39">
        <v>45071</v>
      </c>
      <c r="O2467" s="38">
        <v>5237</v>
      </c>
      <c r="P2467" s="6"/>
      <c r="Q2467" s="524"/>
      <c r="S2467" s="707" t="s">
        <v>2297</v>
      </c>
      <c r="T2467" s="113"/>
      <c r="U2467" s="706"/>
      <c r="V2467" s="494">
        <v>120</v>
      </c>
      <c r="W2467" s="2041" t="e">
        <f t="shared" si="144"/>
        <v>#VALUE!</v>
      </c>
    </row>
    <row r="2468" spans="2:23" ht="18" customHeight="1">
      <c r="B2468" s="28" t="s">
        <v>1856</v>
      </c>
      <c r="C2468" s="6" t="s">
        <v>5945</v>
      </c>
      <c r="D2468" s="15" t="s">
        <v>3120</v>
      </c>
      <c r="E2468" s="24">
        <v>3806</v>
      </c>
      <c r="F2468" s="44">
        <v>38</v>
      </c>
      <c r="G2468" s="24" t="s">
        <v>5946</v>
      </c>
      <c r="H2468" s="151">
        <v>30</v>
      </c>
      <c r="I2468" s="152">
        <v>6</v>
      </c>
      <c r="J2468" s="67">
        <f>H2468*I2468</f>
        <v>180</v>
      </c>
      <c r="K2468" s="46">
        <v>0.79</v>
      </c>
      <c r="L2468" s="46">
        <f>K2468*J2468</f>
        <v>142.20000000000002</v>
      </c>
      <c r="M2468" s="162" t="s">
        <v>2219</v>
      </c>
      <c r="N2468" s="39">
        <v>45071</v>
      </c>
      <c r="O2468" s="38">
        <v>5237</v>
      </c>
      <c r="P2468" s="46">
        <f>K2468*(VLOOKUP(B2468,$C$2:$F$6,3,FALSE))</f>
        <v>0.69520000000000004</v>
      </c>
      <c r="Q2468" s="482">
        <v>0.7</v>
      </c>
      <c r="R2468" s="704">
        <f>Q2468*J2468</f>
        <v>125.99999999999999</v>
      </c>
      <c r="S2468" s="489">
        <v>40.270000000000003</v>
      </c>
      <c r="T2468" s="113">
        <f>S2468*J2468</f>
        <v>7248.6</v>
      </c>
      <c r="U2468" s="1200" t="s">
        <v>3136</v>
      </c>
      <c r="V2468" s="494">
        <v>120</v>
      </c>
      <c r="W2468" s="2041">
        <f t="shared" si="144"/>
        <v>0.57521097046413505</v>
      </c>
    </row>
    <row r="2469" spans="2:23" ht="18" customHeight="1">
      <c r="B2469" s="28" t="s">
        <v>1856</v>
      </c>
      <c r="C2469" s="6" t="s">
        <v>5945</v>
      </c>
      <c r="D2469" s="15" t="s">
        <v>3120</v>
      </c>
      <c r="E2469" s="24">
        <v>3806</v>
      </c>
      <c r="F2469" s="44">
        <v>38</v>
      </c>
      <c r="G2469" s="24" t="s">
        <v>5947</v>
      </c>
      <c r="H2469" s="151">
        <v>30</v>
      </c>
      <c r="I2469" s="152">
        <v>8</v>
      </c>
      <c r="J2469" s="67">
        <f>H2469*I2469</f>
        <v>240</v>
      </c>
      <c r="K2469" s="46">
        <v>0.79</v>
      </c>
      <c r="L2469" s="46">
        <f>K2469*J2469</f>
        <v>189.60000000000002</v>
      </c>
      <c r="M2469" s="162" t="s">
        <v>2219</v>
      </c>
      <c r="N2469" s="39">
        <v>45071</v>
      </c>
      <c r="O2469" s="38">
        <v>5237</v>
      </c>
      <c r="P2469" s="46">
        <f>K2469*(VLOOKUP(B2469,$C$2:$F$6,3,FALSE))</f>
        <v>0.69520000000000004</v>
      </c>
      <c r="Q2469" s="482">
        <v>0.7</v>
      </c>
      <c r="R2469" s="704">
        <f>Q2469*J2469</f>
        <v>168</v>
      </c>
      <c r="S2469" s="489">
        <v>40.270000000000003</v>
      </c>
      <c r="T2469" s="113">
        <f>S2469*J2469</f>
        <v>9664.8000000000011</v>
      </c>
      <c r="U2469" s="1200" t="s">
        <v>3136</v>
      </c>
      <c r="V2469" s="494">
        <v>120</v>
      </c>
      <c r="W2469" s="2041">
        <f t="shared" si="144"/>
        <v>0.57521097046413505</v>
      </c>
    </row>
    <row r="2470" spans="2:23" ht="15.95" customHeight="1">
      <c r="B2470" s="12" t="s">
        <v>1862</v>
      </c>
      <c r="C2470" s="6" t="s">
        <v>5945</v>
      </c>
      <c r="D2470" s="15" t="s">
        <v>3120</v>
      </c>
      <c r="E2470" s="24"/>
      <c r="F2470" s="138"/>
      <c r="G2470" s="44" t="s">
        <v>1993</v>
      </c>
      <c r="H2470" s="8"/>
      <c r="I2470" s="41"/>
      <c r="J2470" s="45">
        <v>1</v>
      </c>
      <c r="K2470" s="46">
        <v>12</v>
      </c>
      <c r="L2470" s="46">
        <f>K2470*J2470</f>
        <v>12</v>
      </c>
      <c r="M2470" s="112"/>
      <c r="N2470" s="39">
        <v>45071</v>
      </c>
      <c r="O2470" s="38">
        <v>5237</v>
      </c>
      <c r="P2470" s="46">
        <f>K2470*(VLOOKUP(B2470,$C$2:$F$6,3,FALSE))</f>
        <v>12</v>
      </c>
      <c r="Q2470" s="483">
        <v>12</v>
      </c>
      <c r="R2470" s="704">
        <v>12</v>
      </c>
      <c r="S2470" s="489">
        <v>0</v>
      </c>
      <c r="T2470" s="113">
        <f>S2470*J2470</f>
        <v>0</v>
      </c>
      <c r="U2470" s="511"/>
      <c r="V2470" s="494">
        <v>120</v>
      </c>
      <c r="W2470" s="2041">
        <f t="shared" si="144"/>
        <v>1</v>
      </c>
    </row>
    <row r="2471" spans="2:23" s="314" customFormat="1" ht="15">
      <c r="B2471" s="313"/>
      <c r="C2471" s="302" t="s">
        <v>5945</v>
      </c>
      <c r="D2471" s="303" t="s">
        <v>3120</v>
      </c>
      <c r="E2471" s="304"/>
      <c r="F2471" s="305"/>
      <c r="G2471" s="305" t="s">
        <v>1227</v>
      </c>
      <c r="H2471" s="307" t="s">
        <v>1228</v>
      </c>
      <c r="I2471" s="308"/>
      <c r="J2471" s="306"/>
      <c r="K2471" s="315">
        <v>0</v>
      </c>
      <c r="L2471" s="310"/>
      <c r="M2471" s="310"/>
      <c r="N2471" s="310">
        <v>45071</v>
      </c>
      <c r="O2471" s="309">
        <v>5237</v>
      </c>
      <c r="P2471" s="302"/>
      <c r="Q2471" s="485">
        <v>0</v>
      </c>
      <c r="S2471" s="536">
        <v>0</v>
      </c>
      <c r="T2471" s="322">
        <v>0</v>
      </c>
      <c r="U2471" s="515"/>
      <c r="V2471" s="494">
        <v>120</v>
      </c>
      <c r="W2471" s="2041" t="e">
        <f t="shared" si="144"/>
        <v>#DIV/0!</v>
      </c>
    </row>
    <row r="2472" spans="2:23" ht="17.25" customHeight="1">
      <c r="C2472" s="6" t="s">
        <v>5958</v>
      </c>
      <c r="D2472" s="15" t="s">
        <v>1126</v>
      </c>
      <c r="E2472" s="20" t="s">
        <v>5981</v>
      </c>
      <c r="F2472" s="150"/>
      <c r="G2472" s="24"/>
      <c r="H2472" s="151"/>
      <c r="I2472" s="152"/>
      <c r="J2472" s="151"/>
      <c r="K2472" s="153" t="s">
        <v>10</v>
      </c>
      <c r="L2472" s="39"/>
      <c r="M2472" s="39"/>
      <c r="N2472" s="39">
        <v>45065</v>
      </c>
      <c r="O2472" s="38">
        <v>5246</v>
      </c>
      <c r="P2472" s="15"/>
      <c r="Q2472" s="483"/>
      <c r="S2472" s="496"/>
      <c r="T2472" s="113"/>
      <c r="V2472" s="494">
        <v>120</v>
      </c>
      <c r="W2472" s="2041" t="e">
        <f t="shared" si="144"/>
        <v>#VALUE!</v>
      </c>
    </row>
    <row r="2473" spans="2:23" ht="18" customHeight="1">
      <c r="B2473" s="12" t="s">
        <v>1858</v>
      </c>
      <c r="C2473" s="6" t="s">
        <v>5958</v>
      </c>
      <c r="D2473" s="15" t="s">
        <v>1126</v>
      </c>
      <c r="E2473" s="1278" t="s">
        <v>5837</v>
      </c>
      <c r="F2473" s="155" t="s">
        <v>3725</v>
      </c>
      <c r="G2473" s="1207" t="s">
        <v>3724</v>
      </c>
      <c r="H2473" s="67"/>
      <c r="I2473" s="68"/>
      <c r="J2473" s="19">
        <v>8</v>
      </c>
      <c r="K2473" s="703">
        <v>10.56</v>
      </c>
      <c r="L2473" s="46">
        <f>K2473*J2473</f>
        <v>84.48</v>
      </c>
      <c r="M2473" s="162" t="s">
        <v>2219</v>
      </c>
      <c r="N2473" s="39">
        <v>45065</v>
      </c>
      <c r="O2473" s="38">
        <v>5246</v>
      </c>
      <c r="P2473" s="46">
        <f>K2473*(VLOOKUP(B2473,$C$2:$F$6,3,FALSE))</f>
        <v>9.9263999999999992</v>
      </c>
      <c r="Q2473" s="483">
        <v>9.93</v>
      </c>
      <c r="R2473" s="704">
        <f>Q2473*J2473</f>
        <v>79.44</v>
      </c>
      <c r="S2473" s="532">
        <v>950</v>
      </c>
      <c r="T2473" s="567">
        <f>S2473*J2473</f>
        <v>7600</v>
      </c>
      <c r="V2473" s="494">
        <v>120</v>
      </c>
      <c r="W2473" s="2041">
        <f t="shared" si="144"/>
        <v>0.25031565656565657</v>
      </c>
    </row>
    <row r="2474" spans="2:23" s="7" customFormat="1" ht="15.95" customHeight="1">
      <c r="B2474" s="12"/>
      <c r="C2474" s="6" t="s">
        <v>5958</v>
      </c>
      <c r="D2474" s="15" t="s">
        <v>1126</v>
      </c>
      <c r="E2474" s="24"/>
      <c r="F2474" s="138"/>
      <c r="G2474" s="44" t="s">
        <v>1993</v>
      </c>
      <c r="H2474" s="8"/>
      <c r="I2474" s="41"/>
      <c r="J2474" s="45">
        <v>1</v>
      </c>
      <c r="K2474" s="46">
        <v>12</v>
      </c>
      <c r="L2474" s="46">
        <f>K2474*J2474</f>
        <v>12</v>
      </c>
      <c r="M2474" s="39"/>
      <c r="N2474" s="39">
        <v>45065</v>
      </c>
      <c r="O2474" s="38">
        <v>5246</v>
      </c>
      <c r="P2474" s="6"/>
      <c r="Q2474" s="483">
        <v>12</v>
      </c>
      <c r="R2474" s="704">
        <f>Q2474*J2474</f>
        <v>12</v>
      </c>
      <c r="S2474" s="489">
        <v>1000</v>
      </c>
      <c r="T2474" s="113">
        <f>S2474*J2474</f>
        <v>1000</v>
      </c>
      <c r="U2474" s="501"/>
      <c r="V2474" s="494">
        <v>120</v>
      </c>
      <c r="W2474" s="2041">
        <f t="shared" si="144"/>
        <v>0.30555555555555558</v>
      </c>
    </row>
    <row r="2475" spans="2:23" s="314" customFormat="1" ht="15">
      <c r="B2475" s="313"/>
      <c r="C2475" s="302" t="s">
        <v>5958</v>
      </c>
      <c r="D2475" s="303" t="s">
        <v>1126</v>
      </c>
      <c r="E2475" s="304"/>
      <c r="F2475" s="305"/>
      <c r="G2475" s="305" t="s">
        <v>1227</v>
      </c>
      <c r="H2475" s="307" t="s">
        <v>1228</v>
      </c>
      <c r="I2475" s="308"/>
      <c r="J2475" s="306"/>
      <c r="K2475" s="315">
        <v>0</v>
      </c>
      <c r="L2475" s="310"/>
      <c r="M2475" s="310"/>
      <c r="N2475" s="310">
        <v>45065</v>
      </c>
      <c r="O2475" s="309">
        <v>5246</v>
      </c>
      <c r="P2475" s="302"/>
      <c r="Q2475" s="485">
        <v>0</v>
      </c>
      <c r="S2475" s="536">
        <v>0</v>
      </c>
      <c r="T2475" s="322">
        <v>0</v>
      </c>
      <c r="U2475" s="515"/>
      <c r="V2475" s="494">
        <v>120</v>
      </c>
      <c r="W2475" s="2041" t="e">
        <f t="shared" si="144"/>
        <v>#DIV/0!</v>
      </c>
    </row>
    <row r="2476" spans="2:23" s="7" customFormat="1" ht="18" customHeight="1">
      <c r="B2476" s="12"/>
      <c r="C2476" s="6" t="s">
        <v>5972</v>
      </c>
      <c r="D2476" s="15" t="s">
        <v>1666</v>
      </c>
      <c r="E2476" s="2013" t="s">
        <v>5978</v>
      </c>
      <c r="F2476" s="2014"/>
      <c r="G2476" s="2012"/>
      <c r="H2476" s="182"/>
      <c r="I2476" s="152"/>
      <c r="J2476" s="151"/>
      <c r="K2476" s="34" t="s">
        <v>10</v>
      </c>
      <c r="L2476" s="213"/>
      <c r="M2476" s="39"/>
      <c r="N2476" s="39">
        <v>45065</v>
      </c>
      <c r="O2476" s="38">
        <v>5245</v>
      </c>
      <c r="P2476" s="6"/>
      <c r="Q2476" s="703"/>
      <c r="U2476" s="25"/>
      <c r="V2476" s="494">
        <v>120</v>
      </c>
      <c r="W2476" s="2041" t="e">
        <f t="shared" si="144"/>
        <v>#VALUE!</v>
      </c>
    </row>
    <row r="2477" spans="2:23" s="7" customFormat="1" ht="18" customHeight="1">
      <c r="B2477" s="12" t="s">
        <v>1856</v>
      </c>
      <c r="C2477" s="6" t="s">
        <v>5972</v>
      </c>
      <c r="D2477" s="15" t="s">
        <v>1666</v>
      </c>
      <c r="E2477" s="24" t="s">
        <v>5973</v>
      </c>
      <c r="F2477" s="246">
        <v>10</v>
      </c>
      <c r="G2477" s="20" t="s">
        <v>5974</v>
      </c>
      <c r="H2477" s="151">
        <v>100</v>
      </c>
      <c r="I2477" s="152">
        <v>1</v>
      </c>
      <c r="J2477" s="8">
        <f>H2477*I2477</f>
        <v>100</v>
      </c>
      <c r="K2477" s="46">
        <v>0.82</v>
      </c>
      <c r="L2477" s="46">
        <f>K2477*J2477</f>
        <v>82</v>
      </c>
      <c r="M2477" s="162" t="s">
        <v>2218</v>
      </c>
      <c r="N2477" s="39">
        <v>45065</v>
      </c>
      <c r="O2477" s="38">
        <v>5245</v>
      </c>
      <c r="P2477" s="46">
        <f>K2477*(VLOOKUP(B2477,$C$2:$F$6,3,FALSE))</f>
        <v>0.72159999999999991</v>
      </c>
      <c r="Q2477" s="703">
        <v>0.72</v>
      </c>
      <c r="R2477" s="703">
        <f>Q2477*J2477</f>
        <v>72</v>
      </c>
      <c r="S2477" s="7">
        <v>44</v>
      </c>
      <c r="T2477" s="7">
        <f>S2477*J2477</f>
        <v>4400</v>
      </c>
      <c r="U2477" s="46"/>
      <c r="V2477" s="494">
        <v>120</v>
      </c>
      <c r="W2477" s="2041">
        <f t="shared" si="144"/>
        <v>0.55284552845528456</v>
      </c>
    </row>
    <row r="2478" spans="2:23" s="7" customFormat="1" ht="15.95" customHeight="1">
      <c r="B2478" s="12"/>
      <c r="C2478" s="6" t="s">
        <v>5972</v>
      </c>
      <c r="D2478" s="15" t="s">
        <v>1666</v>
      </c>
      <c r="E2478" s="24"/>
      <c r="F2478" s="138"/>
      <c r="G2478" s="44" t="s">
        <v>1993</v>
      </c>
      <c r="H2478" s="8"/>
      <c r="I2478" s="41"/>
      <c r="J2478" s="45">
        <v>1</v>
      </c>
      <c r="K2478" s="46">
        <v>12</v>
      </c>
      <c r="L2478" s="46">
        <f>K2478*J2478</f>
        <v>12</v>
      </c>
      <c r="M2478" s="39"/>
      <c r="N2478" s="39">
        <v>45065</v>
      </c>
      <c r="O2478" s="38">
        <v>5245</v>
      </c>
      <c r="P2478" s="6"/>
      <c r="Q2478" s="483">
        <v>12</v>
      </c>
      <c r="R2478" s="704">
        <f>Q2478*J2478</f>
        <v>12</v>
      </c>
      <c r="S2478" s="489">
        <v>1000</v>
      </c>
      <c r="T2478" s="113">
        <f>S2478*J2478</f>
        <v>1000</v>
      </c>
      <c r="U2478" s="501"/>
      <c r="V2478" s="494">
        <v>120</v>
      </c>
      <c r="W2478" s="2041">
        <f t="shared" si="144"/>
        <v>0.30555555555555558</v>
      </c>
    </row>
    <row r="2479" spans="2:23" s="314" customFormat="1" ht="15">
      <c r="B2479" s="313"/>
      <c r="C2479" s="302" t="s">
        <v>5972</v>
      </c>
      <c r="D2479" s="303" t="s">
        <v>1666</v>
      </c>
      <c r="E2479" s="304"/>
      <c r="F2479" s="305"/>
      <c r="G2479" s="305" t="s">
        <v>1227</v>
      </c>
      <c r="H2479" s="307" t="s">
        <v>1228</v>
      </c>
      <c r="I2479" s="308"/>
      <c r="J2479" s="306"/>
      <c r="K2479" s="315">
        <v>0</v>
      </c>
      <c r="L2479" s="310"/>
      <c r="M2479" s="310"/>
      <c r="N2479" s="310">
        <v>45065</v>
      </c>
      <c r="O2479" s="309">
        <v>5245</v>
      </c>
      <c r="P2479" s="302"/>
      <c r="Q2479" s="485">
        <v>0</v>
      </c>
      <c r="S2479" s="536">
        <v>0</v>
      </c>
      <c r="T2479" s="322">
        <v>0</v>
      </c>
      <c r="U2479" s="515"/>
      <c r="V2479" s="494">
        <v>120</v>
      </c>
      <c r="W2479" s="2041" t="e">
        <f t="shared" si="144"/>
        <v>#DIV/0!</v>
      </c>
    </row>
    <row r="2480" spans="2:23" s="7" customFormat="1" ht="18" customHeight="1">
      <c r="B2480" s="12"/>
      <c r="C2480" s="6" t="s">
        <v>5980</v>
      </c>
      <c r="D2480" s="15" t="s">
        <v>3329</v>
      </c>
      <c r="E2480" s="20" t="s">
        <v>1647</v>
      </c>
      <c r="F2480" s="150"/>
      <c r="G2480" s="24"/>
      <c r="H2480" s="151"/>
      <c r="I2480" s="152"/>
      <c r="J2480" s="151"/>
      <c r="K2480" s="34" t="s">
        <v>10</v>
      </c>
      <c r="L2480" s="39"/>
      <c r="M2480" s="39"/>
      <c r="N2480" s="39">
        <v>45070</v>
      </c>
      <c r="O2480" s="38">
        <v>5261</v>
      </c>
      <c r="P2480" s="15"/>
      <c r="Q2480" s="483"/>
      <c r="S2480" s="489"/>
      <c r="T2480" s="113"/>
      <c r="U2480" s="506"/>
      <c r="V2480" s="494">
        <v>120</v>
      </c>
      <c r="W2480" s="2041" t="e">
        <f t="shared" si="144"/>
        <v>#VALUE!</v>
      </c>
    </row>
    <row r="2481" spans="2:23" s="7" customFormat="1" ht="15" customHeight="1">
      <c r="B2481" s="12" t="s">
        <v>1858</v>
      </c>
      <c r="C2481" s="6" t="s">
        <v>5980</v>
      </c>
      <c r="D2481" s="15" t="s">
        <v>3329</v>
      </c>
      <c r="E2481" s="24" t="s">
        <v>2447</v>
      </c>
      <c r="F2481" s="150">
        <v>152</v>
      </c>
      <c r="G2481" s="24" t="s">
        <v>114</v>
      </c>
      <c r="H2481" s="8"/>
      <c r="I2481" s="41"/>
      <c r="J2481" s="8">
        <v>20</v>
      </c>
      <c r="K2481" s="46">
        <v>5</v>
      </c>
      <c r="L2481" s="46">
        <f>K2481*J2481</f>
        <v>100</v>
      </c>
      <c r="M2481" s="162" t="s">
        <v>2219</v>
      </c>
      <c r="N2481" s="39">
        <v>45070</v>
      </c>
      <c r="O2481" s="38">
        <v>5261</v>
      </c>
      <c r="P2481" s="46">
        <f>K2481*(VLOOKUP(B2481,$C$2:$F$6,3,FALSE))</f>
        <v>4.6999999999999993</v>
      </c>
      <c r="Q2481" s="703">
        <v>4.7</v>
      </c>
      <c r="R2481" s="704">
        <f>Q2481*J2481</f>
        <v>94</v>
      </c>
      <c r="S2481" s="7">
        <v>380</v>
      </c>
      <c r="T2481" s="567">
        <f>S2481*J2481</f>
        <v>7600</v>
      </c>
      <c r="U2481" s="882"/>
      <c r="V2481" s="494">
        <v>120</v>
      </c>
      <c r="W2481" s="2041">
        <f t="shared" si="144"/>
        <v>0.36666666666666664</v>
      </c>
    </row>
    <row r="2482" spans="2:23" s="7" customFormat="1" ht="15" customHeight="1">
      <c r="B2482" s="12" t="s">
        <v>1858</v>
      </c>
      <c r="C2482" s="6" t="s">
        <v>5980</v>
      </c>
      <c r="D2482" s="15" t="s">
        <v>3329</v>
      </c>
      <c r="E2482" s="24" t="s">
        <v>2447</v>
      </c>
      <c r="F2482" s="150">
        <v>152</v>
      </c>
      <c r="G2482" s="24" t="s">
        <v>5976</v>
      </c>
      <c r="H2482" s="8"/>
      <c r="I2482" s="41"/>
      <c r="J2482" s="8">
        <v>20</v>
      </c>
      <c r="K2482" s="46">
        <v>5</v>
      </c>
      <c r="L2482" s="46">
        <f>K2482*J2482</f>
        <v>100</v>
      </c>
      <c r="M2482" s="162" t="s">
        <v>2219</v>
      </c>
      <c r="N2482" s="39">
        <v>45070</v>
      </c>
      <c r="O2482" s="38">
        <v>5261</v>
      </c>
      <c r="P2482" s="46">
        <f>K2482*(VLOOKUP(B2482,$C$2:$F$6,3,FALSE))</f>
        <v>4.6999999999999993</v>
      </c>
      <c r="Q2482" s="703">
        <v>4.7</v>
      </c>
      <c r="R2482" s="704">
        <f>Q2482*J2482</f>
        <v>94</v>
      </c>
      <c r="S2482" s="7">
        <v>380</v>
      </c>
      <c r="T2482" s="567">
        <f>S2482*J2482</f>
        <v>7600</v>
      </c>
      <c r="U2482" s="882"/>
      <c r="V2482" s="494">
        <v>120</v>
      </c>
      <c r="W2482" s="2041">
        <f t="shared" si="144"/>
        <v>0.36666666666666664</v>
      </c>
    </row>
    <row r="2483" spans="2:23" s="7" customFormat="1" ht="15" customHeight="1">
      <c r="B2483" s="12" t="s">
        <v>1858</v>
      </c>
      <c r="C2483" s="6" t="s">
        <v>5980</v>
      </c>
      <c r="D2483" s="15" t="s">
        <v>3329</v>
      </c>
      <c r="E2483" s="24" t="s">
        <v>2447</v>
      </c>
      <c r="F2483" s="150">
        <v>152</v>
      </c>
      <c r="G2483" s="24" t="s">
        <v>5999</v>
      </c>
      <c r="H2483" s="8"/>
      <c r="I2483" s="41"/>
      <c r="J2483" s="8">
        <v>20</v>
      </c>
      <c r="K2483" s="46">
        <v>5</v>
      </c>
      <c r="L2483" s="46">
        <f>K2483*J2483</f>
        <v>100</v>
      </c>
      <c r="M2483" s="162" t="s">
        <v>2219</v>
      </c>
      <c r="N2483" s="39">
        <v>45070</v>
      </c>
      <c r="O2483" s="38">
        <v>5261</v>
      </c>
      <c r="P2483" s="46">
        <f>K2483*(VLOOKUP(B2483,$C$2:$F$6,3,FALSE))</f>
        <v>4.6999999999999993</v>
      </c>
      <c r="Q2483" s="703">
        <v>4.7</v>
      </c>
      <c r="R2483" s="704">
        <f>Q2483*J2483</f>
        <v>94</v>
      </c>
      <c r="S2483" s="7">
        <v>380</v>
      </c>
      <c r="T2483" s="567">
        <f>S2483*J2483</f>
        <v>7600</v>
      </c>
      <c r="U2483" s="882"/>
      <c r="V2483" s="494">
        <v>120</v>
      </c>
      <c r="W2483" s="2041">
        <f t="shared" si="144"/>
        <v>0.36666666666666664</v>
      </c>
    </row>
    <row r="2484" spans="2:23" s="7" customFormat="1" ht="18" customHeight="1">
      <c r="B2484" s="12"/>
      <c r="C2484" s="6" t="s">
        <v>5980</v>
      </c>
      <c r="D2484" s="15" t="s">
        <v>3329</v>
      </c>
      <c r="E2484" s="20" t="s">
        <v>79</v>
      </c>
      <c r="F2484" s="150"/>
      <c r="G2484" s="24"/>
      <c r="H2484" s="151"/>
      <c r="I2484" s="152"/>
      <c r="J2484" s="151"/>
      <c r="K2484" s="34" t="s">
        <v>10</v>
      </c>
      <c r="L2484" s="39"/>
      <c r="M2484" s="39"/>
      <c r="N2484" s="39">
        <v>45070</v>
      </c>
      <c r="O2484" s="38">
        <v>5261</v>
      </c>
      <c r="P2484" s="15"/>
      <c r="Q2484" s="483"/>
      <c r="S2484" s="489"/>
      <c r="T2484" s="113"/>
      <c r="U2484" s="506"/>
      <c r="V2484" s="494">
        <v>120</v>
      </c>
      <c r="W2484" s="2041" t="e">
        <f t="shared" ref="W2484:W2547" si="145">(((K2484*V2484)-S2484)/(K2484*V2484))</f>
        <v>#VALUE!</v>
      </c>
    </row>
    <row r="2485" spans="2:23" s="7" customFormat="1" ht="15" customHeight="1">
      <c r="B2485" s="12" t="s">
        <v>1858</v>
      </c>
      <c r="C2485" s="6" t="s">
        <v>5980</v>
      </c>
      <c r="D2485" s="15" t="s">
        <v>3329</v>
      </c>
      <c r="E2485" s="24">
        <v>2440</v>
      </c>
      <c r="F2485" s="150">
        <v>140</v>
      </c>
      <c r="G2485" s="24" t="s">
        <v>5977</v>
      </c>
      <c r="H2485" s="8"/>
      <c r="I2485" s="41"/>
      <c r="J2485" s="8">
        <v>20</v>
      </c>
      <c r="K2485" s="46">
        <v>4.38</v>
      </c>
      <c r="L2485" s="46">
        <f>K2485*J2485</f>
        <v>87.6</v>
      </c>
      <c r="M2485" s="162" t="s">
        <v>2219</v>
      </c>
      <c r="N2485" s="39">
        <v>45070</v>
      </c>
      <c r="O2485" s="38">
        <v>5261</v>
      </c>
      <c r="P2485" s="46">
        <f>K2485*(VLOOKUP(B2485,$C$2:$F$6,3,FALSE))</f>
        <v>4.1171999999999995</v>
      </c>
      <c r="Q2485" s="703">
        <v>4.12</v>
      </c>
      <c r="R2485" s="704">
        <f>Q2485*J2485</f>
        <v>82.4</v>
      </c>
      <c r="S2485" s="7">
        <v>300</v>
      </c>
      <c r="T2485" s="567">
        <f>S2485*J2485</f>
        <v>6000</v>
      </c>
      <c r="U2485" s="882"/>
      <c r="V2485" s="494">
        <v>120</v>
      </c>
      <c r="W2485" s="2041">
        <f t="shared" si="145"/>
        <v>0.42922374429223747</v>
      </c>
    </row>
    <row r="2486" spans="2:23" s="7" customFormat="1" ht="15.95" customHeight="1">
      <c r="B2486" s="12"/>
      <c r="C2486" s="6" t="s">
        <v>5980</v>
      </c>
      <c r="D2486" s="15" t="s">
        <v>3329</v>
      </c>
      <c r="E2486" s="24"/>
      <c r="F2486" s="138"/>
      <c r="G2486" s="44" t="s">
        <v>75</v>
      </c>
      <c r="H2486" s="8"/>
      <c r="I2486" s="41"/>
      <c r="J2486" s="45">
        <v>4</v>
      </c>
      <c r="K2486" s="46">
        <v>12</v>
      </c>
      <c r="L2486" s="46">
        <f>K2486*J2486</f>
        <v>48</v>
      </c>
      <c r="M2486" s="39"/>
      <c r="N2486" s="39">
        <v>45070</v>
      </c>
      <c r="O2486" s="38">
        <v>5261</v>
      </c>
      <c r="P2486" s="6"/>
      <c r="Q2486" s="483">
        <v>12</v>
      </c>
      <c r="R2486" s="704">
        <f>Q2486*J2486</f>
        <v>48</v>
      </c>
      <c r="S2486" s="489">
        <v>1000</v>
      </c>
      <c r="T2486" s="113">
        <f>S2486*J2486</f>
        <v>4000</v>
      </c>
      <c r="U2486" s="501"/>
      <c r="V2486" s="494">
        <v>120</v>
      </c>
      <c r="W2486" s="2041">
        <f t="shared" si="145"/>
        <v>0.30555555555555558</v>
      </c>
    </row>
    <row r="2487" spans="2:23" s="7" customFormat="1" ht="15.95" customHeight="1">
      <c r="B2487" s="12"/>
      <c r="C2487" s="6" t="s">
        <v>5980</v>
      </c>
      <c r="D2487" s="15" t="s">
        <v>3329</v>
      </c>
      <c r="E2487" s="24"/>
      <c r="F2487" s="138"/>
      <c r="G2487" s="44" t="s">
        <v>1993</v>
      </c>
      <c r="H2487" s="8"/>
      <c r="I2487" s="41"/>
      <c r="J2487" s="45">
        <v>1</v>
      </c>
      <c r="K2487" s="46">
        <v>20</v>
      </c>
      <c r="L2487" s="46">
        <f>K2487*J2487</f>
        <v>20</v>
      </c>
      <c r="M2487" s="39"/>
      <c r="N2487" s="39">
        <v>45070</v>
      </c>
      <c r="O2487" s="38">
        <v>5261</v>
      </c>
      <c r="P2487" s="6"/>
      <c r="Q2487" s="483">
        <v>20</v>
      </c>
      <c r="R2487" s="704">
        <f>Q2487*J2487</f>
        <v>20</v>
      </c>
      <c r="S2487" s="489">
        <f>1000+1000</f>
        <v>2000</v>
      </c>
      <c r="T2487" s="113">
        <f>S2487*J2487</f>
        <v>2000</v>
      </c>
      <c r="U2487" s="501"/>
      <c r="V2487" s="494">
        <v>120</v>
      </c>
      <c r="W2487" s="2041">
        <f t="shared" si="145"/>
        <v>0.16666666666666666</v>
      </c>
    </row>
    <row r="2488" spans="2:23" s="314" customFormat="1" ht="15">
      <c r="B2488" s="313"/>
      <c r="C2488" s="302" t="s">
        <v>5980</v>
      </c>
      <c r="D2488" s="303" t="s">
        <v>3329</v>
      </c>
      <c r="E2488" s="304"/>
      <c r="F2488" s="305"/>
      <c r="G2488" s="305" t="s">
        <v>1227</v>
      </c>
      <c r="H2488" s="307" t="s">
        <v>1228</v>
      </c>
      <c r="I2488" s="308"/>
      <c r="J2488" s="306"/>
      <c r="K2488" s="315">
        <v>0</v>
      </c>
      <c r="L2488" s="310"/>
      <c r="M2488" s="310"/>
      <c r="N2488" s="310">
        <v>45070</v>
      </c>
      <c r="O2488" s="309">
        <v>5261</v>
      </c>
      <c r="P2488" s="302"/>
      <c r="Q2488" s="485">
        <v>0</v>
      </c>
      <c r="S2488" s="536">
        <v>0</v>
      </c>
      <c r="T2488" s="322">
        <v>0</v>
      </c>
      <c r="U2488" s="515"/>
      <c r="V2488" s="494">
        <v>120</v>
      </c>
      <c r="W2488" s="2041" t="e">
        <f t="shared" si="145"/>
        <v>#DIV/0!</v>
      </c>
    </row>
    <row r="2489" spans="2:23" s="7" customFormat="1" ht="18" customHeight="1">
      <c r="B2489" s="12"/>
      <c r="C2489" s="6" t="s">
        <v>5996</v>
      </c>
      <c r="D2489" s="15" t="s">
        <v>586</v>
      </c>
      <c r="E2489" s="20" t="s">
        <v>5944</v>
      </c>
      <c r="F2489" s="24"/>
      <c r="G2489" s="44"/>
      <c r="H2489" s="151"/>
      <c r="I2489" s="151"/>
      <c r="J2489" s="151"/>
      <c r="K2489" s="153" t="s">
        <v>10</v>
      </c>
      <c r="L2489" s="39"/>
      <c r="M2489" s="39"/>
      <c r="N2489" s="39">
        <v>45069</v>
      </c>
      <c r="O2489" s="38">
        <v>5254</v>
      </c>
      <c r="P2489" s="6"/>
      <c r="Q2489" s="411"/>
      <c r="S2489" s="1995" t="s">
        <v>5749</v>
      </c>
      <c r="T2489" s="113"/>
      <c r="U2489" s="501"/>
      <c r="V2489" s="494">
        <v>120</v>
      </c>
      <c r="W2489" s="2041" t="e">
        <f t="shared" si="145"/>
        <v>#VALUE!</v>
      </c>
    </row>
    <row r="2490" spans="2:23" s="7" customFormat="1" ht="15.95" customHeight="1">
      <c r="B2490" s="12" t="s">
        <v>1856</v>
      </c>
      <c r="C2490" s="6" t="s">
        <v>5996</v>
      </c>
      <c r="D2490" s="15" t="s">
        <v>586</v>
      </c>
      <c r="E2490" s="24" t="s">
        <v>5885</v>
      </c>
      <c r="F2490" s="44"/>
      <c r="G2490" s="44" t="s">
        <v>39</v>
      </c>
      <c r="H2490" s="8"/>
      <c r="I2490" s="41"/>
      <c r="J2490" s="67">
        <v>5</v>
      </c>
      <c r="K2490" s="46">
        <v>11.25</v>
      </c>
      <c r="L2490" s="46">
        <f>K2490*J2490</f>
        <v>56.25</v>
      </c>
      <c r="M2490" s="162" t="s">
        <v>2219</v>
      </c>
      <c r="N2490" s="39">
        <v>45069</v>
      </c>
      <c r="O2490" s="38">
        <v>5254</v>
      </c>
      <c r="P2490" s="180">
        <f>K2490*(VLOOKUP(B2490,$C$2:$F$6,3,FALSE))</f>
        <v>9.9</v>
      </c>
      <c r="Q2490" s="483">
        <v>9.9</v>
      </c>
      <c r="R2490" s="704">
        <f>Q2490*J2490</f>
        <v>49.5</v>
      </c>
      <c r="S2490" s="489">
        <f>540*1.5</f>
        <v>810</v>
      </c>
      <c r="T2490" s="113">
        <f>S2490*J2490</f>
        <v>4050</v>
      </c>
      <c r="U2490" s="517"/>
      <c r="V2490" s="494">
        <v>120</v>
      </c>
      <c r="W2490" s="2041">
        <f t="shared" si="145"/>
        <v>0.4</v>
      </c>
    </row>
    <row r="2491" spans="2:23" s="7" customFormat="1" ht="15.95" customHeight="1">
      <c r="B2491" s="12"/>
      <c r="C2491" s="6" t="s">
        <v>5996</v>
      </c>
      <c r="D2491" s="15" t="s">
        <v>586</v>
      </c>
      <c r="E2491" s="24"/>
      <c r="F2491" s="138"/>
      <c r="G2491" s="44" t="s">
        <v>1993</v>
      </c>
      <c r="H2491" s="8"/>
      <c r="I2491" s="41"/>
      <c r="J2491" s="45">
        <v>1</v>
      </c>
      <c r="K2491" s="46">
        <v>12</v>
      </c>
      <c r="L2491" s="46">
        <f>K2491*J2491</f>
        <v>12</v>
      </c>
      <c r="M2491" s="39"/>
      <c r="N2491" s="39">
        <v>45069</v>
      </c>
      <c r="O2491" s="38">
        <v>5254</v>
      </c>
      <c r="P2491" s="6"/>
      <c r="Q2491" s="483">
        <v>12</v>
      </c>
      <c r="R2491" s="704">
        <f>Q2491*J2491</f>
        <v>12</v>
      </c>
      <c r="S2491" s="489">
        <v>1000</v>
      </c>
      <c r="T2491" s="113">
        <f>S2491*J2491</f>
        <v>1000</v>
      </c>
      <c r="U2491" s="501"/>
      <c r="V2491" s="494">
        <v>120</v>
      </c>
      <c r="W2491" s="2041">
        <f t="shared" si="145"/>
        <v>0.30555555555555558</v>
      </c>
    </row>
    <row r="2492" spans="2:23" s="314" customFormat="1" ht="15">
      <c r="B2492" s="313"/>
      <c r="C2492" s="302" t="s">
        <v>5996</v>
      </c>
      <c r="D2492" s="303" t="s">
        <v>586</v>
      </c>
      <c r="E2492" s="304"/>
      <c r="F2492" s="305"/>
      <c r="G2492" s="305" t="s">
        <v>1227</v>
      </c>
      <c r="H2492" s="307" t="s">
        <v>1228</v>
      </c>
      <c r="I2492" s="308"/>
      <c r="J2492" s="306"/>
      <c r="K2492" s="315">
        <v>0</v>
      </c>
      <c r="L2492" s="310"/>
      <c r="M2492" s="310"/>
      <c r="N2492" s="310">
        <v>45069</v>
      </c>
      <c r="O2492" s="309">
        <v>5254</v>
      </c>
      <c r="P2492" s="302"/>
      <c r="Q2492" s="485">
        <v>0</v>
      </c>
      <c r="S2492" s="535">
        <v>0</v>
      </c>
      <c r="T2492" s="322">
        <v>0</v>
      </c>
      <c r="U2492" s="515"/>
      <c r="V2492" s="494">
        <v>120</v>
      </c>
      <c r="W2492" s="2041" t="e">
        <f t="shared" si="145"/>
        <v>#DIV/0!</v>
      </c>
    </row>
    <row r="2493" spans="2:23" s="7" customFormat="1" ht="15">
      <c r="B2493" s="12"/>
      <c r="C2493" s="6" t="s">
        <v>5997</v>
      </c>
      <c r="D2493" s="15" t="s">
        <v>169</v>
      </c>
      <c r="E2493" s="20" t="s">
        <v>27</v>
      </c>
      <c r="F2493" s="150"/>
      <c r="G2493" s="24"/>
      <c r="H2493" s="151"/>
      <c r="I2493" s="152"/>
      <c r="J2493" s="151"/>
      <c r="K2493" s="34" t="s">
        <v>10</v>
      </c>
      <c r="L2493" s="39"/>
      <c r="M2493" s="39"/>
      <c r="N2493" s="39">
        <v>45100</v>
      </c>
      <c r="O2493" s="38">
        <v>5268</v>
      </c>
      <c r="P2493" s="15"/>
      <c r="Q2493" s="483"/>
      <c r="S2493" s="489"/>
      <c r="T2493" s="113"/>
      <c r="U2493" s="506"/>
      <c r="V2493" s="494">
        <v>120</v>
      </c>
      <c r="W2493" s="2041" t="e">
        <f t="shared" si="145"/>
        <v>#VALUE!</v>
      </c>
    </row>
    <row r="2494" spans="2:23" s="7" customFormat="1" ht="15.75">
      <c r="B2494" s="12" t="s">
        <v>1858</v>
      </c>
      <c r="C2494" s="6" t="s">
        <v>5997</v>
      </c>
      <c r="D2494" s="15" t="s">
        <v>169</v>
      </c>
      <c r="E2494" s="24" t="s">
        <v>536</v>
      </c>
      <c r="F2494" s="150">
        <v>160</v>
      </c>
      <c r="G2494" s="407" t="s">
        <v>5998</v>
      </c>
      <c r="H2494" s="67">
        <v>50</v>
      </c>
      <c r="I2494" s="68">
        <v>8</v>
      </c>
      <c r="J2494" s="8">
        <f>H2494*I2494</f>
        <v>400</v>
      </c>
      <c r="K2494" s="25">
        <v>5</v>
      </c>
      <c r="L2494" s="46">
        <f>K2494*J2494</f>
        <v>2000</v>
      </c>
      <c r="M2494" s="162" t="s">
        <v>2218</v>
      </c>
      <c r="N2494" s="39">
        <v>45100</v>
      </c>
      <c r="O2494" s="38">
        <v>5268</v>
      </c>
      <c r="P2494" s="46">
        <f>K2494*(VLOOKUP(B2494,$C$2:$F$6,3,FALSE))</f>
        <v>4.6999999999999993</v>
      </c>
      <c r="Q2494" s="483">
        <v>4.7</v>
      </c>
      <c r="R2494" s="704">
        <f>Q2494*J2494</f>
        <v>1880</v>
      </c>
      <c r="S2494" s="532">
        <v>380</v>
      </c>
      <c r="T2494" s="567">
        <f>S2494*J2494</f>
        <v>152000</v>
      </c>
      <c r="U2494" s="501"/>
      <c r="V2494" s="494">
        <v>120</v>
      </c>
      <c r="W2494" s="2041">
        <f t="shared" si="145"/>
        <v>0.36666666666666664</v>
      </c>
    </row>
    <row r="2495" spans="2:23" ht="15">
      <c r="C2495" s="6" t="s">
        <v>5997</v>
      </c>
      <c r="D2495" s="15" t="s">
        <v>169</v>
      </c>
      <c r="E2495" s="24"/>
      <c r="F2495" s="138"/>
      <c r="G2495" s="44" t="s">
        <v>1993</v>
      </c>
      <c r="H2495" s="8"/>
      <c r="I2495" s="41"/>
      <c r="J2495" s="43">
        <v>1</v>
      </c>
      <c r="K2495" s="229">
        <v>20</v>
      </c>
      <c r="L2495" s="417" t="s">
        <v>1676</v>
      </c>
      <c r="M2495" s="417"/>
      <c r="N2495" s="39">
        <v>45100</v>
      </c>
      <c r="O2495" s="38">
        <v>5268</v>
      </c>
      <c r="P2495" s="216"/>
      <c r="Q2495" s="525">
        <v>0</v>
      </c>
      <c r="R2495" s="704">
        <f>Q2495*J2495</f>
        <v>0</v>
      </c>
      <c r="S2495" s="532">
        <v>1800</v>
      </c>
      <c r="T2495" s="113">
        <f>S2495*J2495</f>
        <v>1800</v>
      </c>
      <c r="V2495" s="494">
        <v>120</v>
      </c>
      <c r="W2495" s="2041">
        <f t="shared" si="145"/>
        <v>0.25</v>
      </c>
    </row>
    <row r="2496" spans="2:23" ht="15">
      <c r="C2496" s="6" t="s">
        <v>5997</v>
      </c>
      <c r="D2496" s="15" t="s">
        <v>169</v>
      </c>
      <c r="E2496" s="20" t="s">
        <v>3305</v>
      </c>
      <c r="F2496" s="150"/>
      <c r="G2496" s="24"/>
      <c r="H2496" s="151"/>
      <c r="I2496" s="152"/>
      <c r="J2496" s="151"/>
      <c r="K2496" s="153" t="s">
        <v>10</v>
      </c>
      <c r="L2496" s="39"/>
      <c r="M2496" s="39"/>
      <c r="N2496" s="39">
        <v>45100</v>
      </c>
      <c r="O2496" s="38">
        <v>5268</v>
      </c>
      <c r="P2496" s="15"/>
      <c r="Q2496" s="483"/>
      <c r="S2496" s="496"/>
      <c r="T2496" s="113"/>
      <c r="V2496" s="494">
        <v>120</v>
      </c>
      <c r="W2496" s="2041" t="e">
        <f t="shared" si="145"/>
        <v>#VALUE!</v>
      </c>
    </row>
    <row r="2497" spans="2:23" ht="15.75">
      <c r="B2497" s="12" t="s">
        <v>1858</v>
      </c>
      <c r="C2497" s="6" t="s">
        <v>5997</v>
      </c>
      <c r="D2497" s="15" t="s">
        <v>169</v>
      </c>
      <c r="E2497" s="407" t="s">
        <v>3308</v>
      </c>
      <c r="F2497" s="202" t="s">
        <v>6087</v>
      </c>
      <c r="G2497" s="1207" t="s">
        <v>6073</v>
      </c>
      <c r="H2497" s="19">
        <v>43.5</v>
      </c>
      <c r="I2497" s="68">
        <v>1</v>
      </c>
      <c r="J2497" s="198">
        <f t="shared" ref="J2497:J2502" si="146">H2497*I2497</f>
        <v>43.5</v>
      </c>
      <c r="K2497" s="703">
        <v>21.57</v>
      </c>
      <c r="L2497" s="46">
        <f t="shared" ref="L2497:L2502" si="147">K2497*J2497</f>
        <v>938.29499999999996</v>
      </c>
      <c r="M2497" s="162" t="s">
        <v>2219</v>
      </c>
      <c r="N2497" s="39">
        <v>45100</v>
      </c>
      <c r="O2497" s="38">
        <v>5268</v>
      </c>
      <c r="P2497" s="46">
        <f t="shared" ref="P2497:P2502" si="148">K2497*(VLOOKUP(B2497,$C$2:$F$6,3,FALSE))</f>
        <v>20.2758</v>
      </c>
      <c r="Q2497" s="483">
        <v>20.28</v>
      </c>
      <c r="R2497" s="704">
        <f t="shared" ref="R2497:R2502" si="149">Q2497*J2497</f>
        <v>882.18000000000006</v>
      </c>
      <c r="S2497" s="532">
        <v>1860</v>
      </c>
      <c r="T2497" s="567">
        <f t="shared" ref="T2497:T2502" si="150">S2497*J2497</f>
        <v>80910</v>
      </c>
      <c r="V2497" s="494">
        <v>120</v>
      </c>
      <c r="W2497" s="2041">
        <f t="shared" si="145"/>
        <v>0.28140936485859991</v>
      </c>
    </row>
    <row r="2498" spans="2:23" ht="15.75">
      <c r="B2498" s="12" t="s">
        <v>1858</v>
      </c>
      <c r="C2498" s="6" t="s">
        <v>5997</v>
      </c>
      <c r="D2498" s="15" t="s">
        <v>169</v>
      </c>
      <c r="E2498" s="407" t="s">
        <v>3308</v>
      </c>
      <c r="F2498" s="202" t="s">
        <v>6087</v>
      </c>
      <c r="G2498" s="1207" t="s">
        <v>6073</v>
      </c>
      <c r="H2498" s="19">
        <v>45.1</v>
      </c>
      <c r="I2498" s="68">
        <v>1</v>
      </c>
      <c r="J2498" s="198">
        <f t="shared" si="146"/>
        <v>45.1</v>
      </c>
      <c r="K2498" s="703">
        <v>21.57</v>
      </c>
      <c r="L2498" s="46">
        <f t="shared" si="147"/>
        <v>972.80700000000002</v>
      </c>
      <c r="M2498" s="162" t="s">
        <v>2219</v>
      </c>
      <c r="N2498" s="39">
        <v>45100</v>
      </c>
      <c r="O2498" s="38">
        <v>5268</v>
      </c>
      <c r="P2498" s="46">
        <f t="shared" si="148"/>
        <v>20.2758</v>
      </c>
      <c r="Q2498" s="483">
        <v>20.28</v>
      </c>
      <c r="R2498" s="704">
        <f t="shared" si="149"/>
        <v>914.62800000000004</v>
      </c>
      <c r="S2498" s="532">
        <v>1860</v>
      </c>
      <c r="T2498" s="567">
        <f t="shared" si="150"/>
        <v>83886</v>
      </c>
      <c r="V2498" s="494">
        <v>120</v>
      </c>
      <c r="W2498" s="2041">
        <f t="shared" si="145"/>
        <v>0.28140936485859991</v>
      </c>
    </row>
    <row r="2499" spans="2:23" ht="15.75">
      <c r="B2499" s="12" t="s">
        <v>1858</v>
      </c>
      <c r="C2499" s="6" t="s">
        <v>5997</v>
      </c>
      <c r="D2499" s="15" t="s">
        <v>169</v>
      </c>
      <c r="E2499" s="407" t="s">
        <v>3315</v>
      </c>
      <c r="F2499" s="202" t="s">
        <v>6088</v>
      </c>
      <c r="G2499" s="1207" t="s">
        <v>6073</v>
      </c>
      <c r="H2499" s="19">
        <v>44</v>
      </c>
      <c r="I2499" s="68">
        <v>1</v>
      </c>
      <c r="J2499" s="198">
        <f t="shared" si="146"/>
        <v>44</v>
      </c>
      <c r="K2499" s="703">
        <v>20.84</v>
      </c>
      <c r="L2499" s="46">
        <f t="shared" si="147"/>
        <v>916.96</v>
      </c>
      <c r="M2499" s="162" t="s">
        <v>2219</v>
      </c>
      <c r="N2499" s="39">
        <v>45100</v>
      </c>
      <c r="O2499" s="38">
        <v>5268</v>
      </c>
      <c r="P2499" s="46">
        <f t="shared" si="148"/>
        <v>19.589599999999997</v>
      </c>
      <c r="Q2499" s="483">
        <v>19.59</v>
      </c>
      <c r="R2499" s="704">
        <f t="shared" si="149"/>
        <v>861.96</v>
      </c>
      <c r="S2499" s="532">
        <v>1800</v>
      </c>
      <c r="T2499" s="567">
        <f t="shared" si="150"/>
        <v>79200</v>
      </c>
      <c r="V2499" s="494">
        <v>120</v>
      </c>
      <c r="W2499" s="2041">
        <f t="shared" si="145"/>
        <v>0.28023032629558547</v>
      </c>
    </row>
    <row r="2500" spans="2:23" ht="15.75">
      <c r="B2500" s="12" t="s">
        <v>1858</v>
      </c>
      <c r="C2500" s="6" t="s">
        <v>5997</v>
      </c>
      <c r="D2500" s="15" t="s">
        <v>169</v>
      </c>
      <c r="E2500" s="407" t="s">
        <v>3315</v>
      </c>
      <c r="F2500" s="202" t="s">
        <v>6088</v>
      </c>
      <c r="G2500" s="1207" t="s">
        <v>6073</v>
      </c>
      <c r="H2500" s="19">
        <v>44</v>
      </c>
      <c r="I2500" s="68">
        <v>1</v>
      </c>
      <c r="J2500" s="198">
        <f t="shared" si="146"/>
        <v>44</v>
      </c>
      <c r="K2500" s="703">
        <v>20.84</v>
      </c>
      <c r="L2500" s="46">
        <f t="shared" si="147"/>
        <v>916.96</v>
      </c>
      <c r="M2500" s="162" t="s">
        <v>2219</v>
      </c>
      <c r="N2500" s="39">
        <v>45100</v>
      </c>
      <c r="O2500" s="38">
        <v>5268</v>
      </c>
      <c r="P2500" s="46">
        <f t="shared" si="148"/>
        <v>19.589599999999997</v>
      </c>
      <c r="Q2500" s="483">
        <v>19.59</v>
      </c>
      <c r="R2500" s="704">
        <f t="shared" si="149"/>
        <v>861.96</v>
      </c>
      <c r="S2500" s="532">
        <v>1800</v>
      </c>
      <c r="T2500" s="567">
        <f t="shared" si="150"/>
        <v>79200</v>
      </c>
      <c r="V2500" s="494">
        <v>120</v>
      </c>
      <c r="W2500" s="2041">
        <f t="shared" si="145"/>
        <v>0.28023032629558547</v>
      </c>
    </row>
    <row r="2501" spans="2:23" ht="15.75">
      <c r="B2501" s="12" t="s">
        <v>1858</v>
      </c>
      <c r="C2501" s="6" t="s">
        <v>5997</v>
      </c>
      <c r="D2501" s="15" t="s">
        <v>169</v>
      </c>
      <c r="E2501" s="407" t="s">
        <v>3313</v>
      </c>
      <c r="F2501" s="202" t="s">
        <v>6087</v>
      </c>
      <c r="G2501" s="1207" t="s">
        <v>6074</v>
      </c>
      <c r="H2501" s="19">
        <v>44.2</v>
      </c>
      <c r="I2501" s="68">
        <v>1</v>
      </c>
      <c r="J2501" s="198">
        <f t="shared" si="146"/>
        <v>44.2</v>
      </c>
      <c r="K2501" s="703">
        <v>20.61</v>
      </c>
      <c r="L2501" s="46">
        <f t="shared" si="147"/>
        <v>910.96199999999999</v>
      </c>
      <c r="M2501" s="162" t="s">
        <v>2219</v>
      </c>
      <c r="N2501" s="39">
        <v>45100</v>
      </c>
      <c r="O2501" s="38">
        <v>5268</v>
      </c>
      <c r="P2501" s="46">
        <f t="shared" si="148"/>
        <v>19.373399999999997</v>
      </c>
      <c r="Q2501" s="483">
        <v>19.37</v>
      </c>
      <c r="R2501" s="704">
        <f t="shared" si="149"/>
        <v>856.15400000000011</v>
      </c>
      <c r="S2501" s="532">
        <v>1780</v>
      </c>
      <c r="T2501" s="567">
        <f t="shared" si="150"/>
        <v>78676</v>
      </c>
      <c r="V2501" s="494">
        <v>120</v>
      </c>
      <c r="W2501" s="2041">
        <f t="shared" si="145"/>
        <v>0.28028465146369069</v>
      </c>
    </row>
    <row r="2502" spans="2:23" ht="15.75">
      <c r="B2502" s="12" t="s">
        <v>1858</v>
      </c>
      <c r="C2502" s="6" t="s">
        <v>5997</v>
      </c>
      <c r="D2502" s="15" t="s">
        <v>169</v>
      </c>
      <c r="E2502" s="407" t="s">
        <v>3313</v>
      </c>
      <c r="F2502" s="202" t="s">
        <v>6087</v>
      </c>
      <c r="G2502" s="1207" t="s">
        <v>6074</v>
      </c>
      <c r="H2502" s="19">
        <v>44.3</v>
      </c>
      <c r="I2502" s="68">
        <v>1</v>
      </c>
      <c r="J2502" s="198">
        <f t="shared" si="146"/>
        <v>44.3</v>
      </c>
      <c r="K2502" s="703">
        <v>20.61</v>
      </c>
      <c r="L2502" s="46">
        <f t="shared" si="147"/>
        <v>913.02299999999991</v>
      </c>
      <c r="M2502" s="162" t="s">
        <v>2219</v>
      </c>
      <c r="N2502" s="39">
        <v>45100</v>
      </c>
      <c r="O2502" s="38">
        <v>5268</v>
      </c>
      <c r="P2502" s="46">
        <f t="shared" si="148"/>
        <v>19.373399999999997</v>
      </c>
      <c r="Q2502" s="483">
        <v>19.37</v>
      </c>
      <c r="R2502" s="704">
        <f t="shared" si="149"/>
        <v>858.09100000000001</v>
      </c>
      <c r="S2502" s="532">
        <v>1780</v>
      </c>
      <c r="T2502" s="567">
        <f t="shared" si="150"/>
        <v>78854</v>
      </c>
      <c r="V2502" s="494">
        <v>120</v>
      </c>
      <c r="W2502" s="2041">
        <f t="shared" si="145"/>
        <v>0.28028465146369069</v>
      </c>
    </row>
    <row r="2503" spans="2:23" s="314" customFormat="1" ht="15">
      <c r="B2503" s="313"/>
      <c r="C2503" s="302" t="s">
        <v>5997</v>
      </c>
      <c r="D2503" s="303" t="s">
        <v>169</v>
      </c>
      <c r="E2503" s="371"/>
      <c r="F2503" s="305"/>
      <c r="G2503" s="305" t="s">
        <v>1227</v>
      </c>
      <c r="H2503" s="307" t="s">
        <v>3438</v>
      </c>
      <c r="I2503" s="308"/>
      <c r="J2503" s="306"/>
      <c r="K2503" s="329">
        <v>1980</v>
      </c>
      <c r="L2503" s="329">
        <v>1980</v>
      </c>
      <c r="M2503" s="1327"/>
      <c r="N2503" s="310">
        <v>45100</v>
      </c>
      <c r="O2503" s="309">
        <v>5268</v>
      </c>
      <c r="P2503" s="1328"/>
      <c r="Q2503" s="329">
        <v>1980</v>
      </c>
      <c r="R2503" s="329">
        <v>1980</v>
      </c>
      <c r="S2503" s="532">
        <v>109727</v>
      </c>
      <c r="T2503" s="532">
        <v>109727</v>
      </c>
      <c r="U2503" s="1329"/>
      <c r="V2503" s="494">
        <v>120</v>
      </c>
      <c r="W2503" s="2041">
        <f t="shared" si="145"/>
        <v>0.53818602693602691</v>
      </c>
    </row>
    <row r="2504" spans="2:23" s="7" customFormat="1" ht="15">
      <c r="B2504" s="12"/>
      <c r="C2504" s="6" t="s">
        <v>6021</v>
      </c>
      <c r="D2504" s="15" t="s">
        <v>3026</v>
      </c>
      <c r="E2504" s="20" t="s">
        <v>408</v>
      </c>
      <c r="F2504" s="44"/>
      <c r="G2504" s="44"/>
      <c r="H2504" s="151"/>
      <c r="I2504" s="151"/>
      <c r="J2504" s="151"/>
      <c r="K2504" s="34" t="s">
        <v>1027</v>
      </c>
      <c r="L2504" s="39"/>
      <c r="M2504" s="39"/>
      <c r="N2504" s="39">
        <v>45083</v>
      </c>
      <c r="O2504" s="38">
        <v>5289</v>
      </c>
      <c r="P2504" s="6"/>
      <c r="Q2504" s="524"/>
      <c r="S2504" s="489"/>
      <c r="T2504" s="113"/>
      <c r="U2504" s="501"/>
      <c r="V2504" s="494">
        <v>120</v>
      </c>
      <c r="W2504" s="2041" t="e">
        <f t="shared" si="145"/>
        <v>#VALUE!</v>
      </c>
    </row>
    <row r="2505" spans="2:23" s="7" customFormat="1" ht="15" customHeight="1">
      <c r="B2505" s="12" t="s">
        <v>1856</v>
      </c>
      <c r="C2505" s="6" t="s">
        <v>6021</v>
      </c>
      <c r="D2505" s="15" t="s">
        <v>3026</v>
      </c>
      <c r="E2505" s="24" t="s">
        <v>5772</v>
      </c>
      <c r="F2505" s="26"/>
      <c r="G2505" s="24" t="s">
        <v>17</v>
      </c>
      <c r="H2505" s="67">
        <v>50</v>
      </c>
      <c r="I2505" s="68">
        <v>74</v>
      </c>
      <c r="J2505" s="8">
        <f>H2505*I2505</f>
        <v>3700</v>
      </c>
      <c r="K2505" s="46">
        <v>0.26</v>
      </c>
      <c r="L2505" s="46">
        <f>K2505*J2505</f>
        <v>962</v>
      </c>
      <c r="M2505" s="162" t="s">
        <v>2219</v>
      </c>
      <c r="N2505" s="39">
        <v>45083</v>
      </c>
      <c r="O2505" s="38">
        <v>5289</v>
      </c>
      <c r="P2505" s="46">
        <f>K2505*(VLOOKUP(B2505,$C$2:$F$6,3,FALSE))</f>
        <v>0.2288</v>
      </c>
      <c r="Q2505" s="482">
        <v>0.23</v>
      </c>
      <c r="R2505" s="704">
        <f>Q2505*J2505</f>
        <v>851</v>
      </c>
      <c r="S2505" s="489">
        <v>15.1</v>
      </c>
      <c r="T2505" s="113">
        <f>S2505*J2505</f>
        <v>55870</v>
      </c>
      <c r="U2505" s="1603"/>
      <c r="V2505" s="494">
        <v>120</v>
      </c>
      <c r="W2505" s="2041">
        <f t="shared" si="145"/>
        <v>0.51602564102564097</v>
      </c>
    </row>
    <row r="2506" spans="2:23" s="7" customFormat="1" ht="15.95" customHeight="1">
      <c r="B2506" s="12"/>
      <c r="C2506" s="6" t="s">
        <v>6021</v>
      </c>
      <c r="D2506" s="15" t="s">
        <v>3026</v>
      </c>
      <c r="E2506" s="24"/>
      <c r="F2506" s="138"/>
      <c r="G2506" s="44" t="s">
        <v>1993</v>
      </c>
      <c r="H2506" s="8"/>
      <c r="I2506" s="41"/>
      <c r="J2506" s="45">
        <v>1</v>
      </c>
      <c r="K2506" s="46">
        <v>12</v>
      </c>
      <c r="L2506" s="46">
        <f>K2506*J2506</f>
        <v>12</v>
      </c>
      <c r="M2506" s="39"/>
      <c r="N2506" s="39">
        <v>45083</v>
      </c>
      <c r="O2506" s="38">
        <v>5289</v>
      </c>
      <c r="P2506" s="6"/>
      <c r="Q2506" s="483">
        <v>12</v>
      </c>
      <c r="R2506" s="704">
        <f>Q2506*J2506</f>
        <v>12</v>
      </c>
      <c r="S2506" s="489">
        <v>1100</v>
      </c>
      <c r="T2506" s="113">
        <f>S2506*J2506</f>
        <v>1100</v>
      </c>
      <c r="U2506" s="501"/>
      <c r="V2506" s="494">
        <v>120</v>
      </c>
      <c r="W2506" s="2041">
        <f t="shared" si="145"/>
        <v>0.2361111111111111</v>
      </c>
    </row>
    <row r="2507" spans="2:23" s="314" customFormat="1" ht="15.6" customHeight="1">
      <c r="B2507" s="313"/>
      <c r="C2507" s="302" t="s">
        <v>6021</v>
      </c>
      <c r="D2507" s="303" t="s">
        <v>3026</v>
      </c>
      <c r="E2507" s="304"/>
      <c r="F2507" s="305"/>
      <c r="G2507" s="305" t="s">
        <v>1227</v>
      </c>
      <c r="H2507" s="307" t="s">
        <v>3438</v>
      </c>
      <c r="I2507" s="308"/>
      <c r="J2507" s="306"/>
      <c r="K2507" s="329">
        <v>175</v>
      </c>
      <c r="L2507" s="329">
        <v>175</v>
      </c>
      <c r="M2507" s="310"/>
      <c r="N2507" s="310">
        <v>45083</v>
      </c>
      <c r="O2507" s="309">
        <v>5289</v>
      </c>
      <c r="P2507" s="302"/>
      <c r="Q2507" s="329">
        <v>175</v>
      </c>
      <c r="R2507" s="329">
        <v>175</v>
      </c>
      <c r="S2507" s="489">
        <v>20092</v>
      </c>
      <c r="T2507" s="489">
        <v>20092</v>
      </c>
      <c r="U2507" s="515"/>
      <c r="V2507" s="494">
        <v>120</v>
      </c>
      <c r="W2507" s="2041">
        <f t="shared" si="145"/>
        <v>4.3238095238095235E-2</v>
      </c>
    </row>
    <row r="2508" spans="2:23" s="7" customFormat="1" ht="15.75">
      <c r="B2508" s="12"/>
      <c r="C2508" s="6" t="s">
        <v>6024</v>
      </c>
      <c r="D2508" s="15" t="s">
        <v>6025</v>
      </c>
      <c r="E2508" s="20" t="s">
        <v>5697</v>
      </c>
      <c r="F2508" s="44"/>
      <c r="G2508" s="44"/>
      <c r="H2508" s="151"/>
      <c r="I2508" s="151"/>
      <c r="J2508" s="151"/>
      <c r="K2508" s="34" t="s">
        <v>134</v>
      </c>
      <c r="L2508" s="11"/>
      <c r="M2508" s="11"/>
      <c r="N2508" s="11">
        <v>45077</v>
      </c>
      <c r="O2508" s="154">
        <v>5270</v>
      </c>
      <c r="P2508" s="1960"/>
      <c r="Q2508" s="524"/>
      <c r="S2508" s="489"/>
      <c r="T2508" s="113"/>
      <c r="U2508" s="501"/>
      <c r="V2508" s="494">
        <v>120</v>
      </c>
      <c r="W2508" s="2041" t="e">
        <f t="shared" si="145"/>
        <v>#VALUE!</v>
      </c>
    </row>
    <row r="2509" spans="2:23" s="7" customFormat="1" ht="15.75">
      <c r="B2509" s="12" t="s">
        <v>1856</v>
      </c>
      <c r="C2509" s="6" t="s">
        <v>6024</v>
      </c>
      <c r="D2509" s="15" t="s">
        <v>6025</v>
      </c>
      <c r="E2509" s="24" t="s">
        <v>6023</v>
      </c>
      <c r="F2509" s="29"/>
      <c r="G2509" s="24" t="s">
        <v>78</v>
      </c>
      <c r="H2509" s="67">
        <v>14</v>
      </c>
      <c r="I2509" s="68">
        <v>43</v>
      </c>
      <c r="J2509" s="8">
        <f>H2509*I2509</f>
        <v>602</v>
      </c>
      <c r="K2509" s="46">
        <v>0.87</v>
      </c>
      <c r="L2509" s="46">
        <f>K2509*J2509</f>
        <v>523.74</v>
      </c>
      <c r="M2509" s="162" t="s">
        <v>2219</v>
      </c>
      <c r="N2509" s="11">
        <v>45077</v>
      </c>
      <c r="O2509" s="154">
        <v>5270</v>
      </c>
      <c r="P2509" s="1961">
        <f>K2509*(VLOOKUP(B2509,$C$2:$F$6,3,FALSE))</f>
        <v>0.76559999999999995</v>
      </c>
      <c r="Q2509" s="482">
        <v>0.77</v>
      </c>
      <c r="R2509" s="704">
        <f>Q2509*J2509</f>
        <v>463.54</v>
      </c>
      <c r="S2509" s="1962">
        <v>60</v>
      </c>
      <c r="T2509" s="113">
        <f>S2509*J2509</f>
        <v>36120</v>
      </c>
      <c r="U2509" s="1603"/>
      <c r="V2509" s="494">
        <v>120</v>
      </c>
      <c r="W2509" s="2041">
        <f t="shared" si="145"/>
        <v>0.42528735632183912</v>
      </c>
    </row>
    <row r="2510" spans="2:23" s="7" customFormat="1" ht="15.95" customHeight="1">
      <c r="B2510" s="12"/>
      <c r="C2510" s="6" t="s">
        <v>6024</v>
      </c>
      <c r="D2510" s="15" t="s">
        <v>6025</v>
      </c>
      <c r="E2510" s="24"/>
      <c r="F2510" s="138"/>
      <c r="G2510" s="44" t="s">
        <v>1993</v>
      </c>
      <c r="H2510" s="8"/>
      <c r="I2510" s="41"/>
      <c r="J2510" s="45">
        <v>1</v>
      </c>
      <c r="K2510" s="46">
        <v>12</v>
      </c>
      <c r="L2510" s="46">
        <f>K2510*J2510</f>
        <v>12</v>
      </c>
      <c r="M2510" s="39"/>
      <c r="N2510" s="11">
        <v>45077</v>
      </c>
      <c r="O2510" s="154">
        <v>5270</v>
      </c>
      <c r="P2510" s="6"/>
      <c r="Q2510" s="483">
        <v>12</v>
      </c>
      <c r="R2510" s="704">
        <f>Q2510*J2510</f>
        <v>12</v>
      </c>
      <c r="S2510" s="489">
        <v>0</v>
      </c>
      <c r="T2510" s="113">
        <f>S2510*J2510</f>
        <v>0</v>
      </c>
      <c r="U2510" s="501"/>
      <c r="V2510" s="494">
        <v>120</v>
      </c>
      <c r="W2510" s="2041">
        <f t="shared" si="145"/>
        <v>1</v>
      </c>
    </row>
    <row r="2511" spans="2:23" s="314" customFormat="1" ht="15.75">
      <c r="B2511" s="313"/>
      <c r="C2511" s="302" t="s">
        <v>6024</v>
      </c>
      <c r="D2511" s="303" t="s">
        <v>6025</v>
      </c>
      <c r="E2511" s="304"/>
      <c r="F2511" s="305"/>
      <c r="G2511" s="305" t="s">
        <v>1227</v>
      </c>
      <c r="H2511" s="307" t="s">
        <v>3438</v>
      </c>
      <c r="I2511" s="308"/>
      <c r="J2511" s="306"/>
      <c r="K2511" s="329">
        <v>50</v>
      </c>
      <c r="L2511" s="329">
        <v>50</v>
      </c>
      <c r="M2511" s="310"/>
      <c r="N2511" s="1889">
        <v>45077</v>
      </c>
      <c r="O2511" s="1970">
        <v>5270</v>
      </c>
      <c r="P2511" s="302"/>
      <c r="Q2511" s="329">
        <v>50</v>
      </c>
      <c r="R2511" s="329">
        <v>50</v>
      </c>
      <c r="S2511" s="489">
        <v>4705</v>
      </c>
      <c r="T2511" s="489">
        <v>4705</v>
      </c>
      <c r="U2511" s="515"/>
      <c r="V2511" s="494">
        <v>120</v>
      </c>
      <c r="W2511" s="2041">
        <f t="shared" si="145"/>
        <v>0.21583333333333332</v>
      </c>
    </row>
    <row r="2512" spans="2:23" s="7" customFormat="1" ht="18" customHeight="1">
      <c r="B2512" s="12"/>
      <c r="C2512" s="6" t="s">
        <v>6051</v>
      </c>
      <c r="D2512" s="15" t="s">
        <v>2451</v>
      </c>
      <c r="E2512" s="20" t="s">
        <v>1647</v>
      </c>
      <c r="F2512" s="150"/>
      <c r="G2512" s="24"/>
      <c r="H2512" s="151"/>
      <c r="I2512" s="152"/>
      <c r="J2512" s="151"/>
      <c r="K2512" s="34" t="s">
        <v>10</v>
      </c>
      <c r="L2512" s="39"/>
      <c r="M2512" s="39"/>
      <c r="N2512" s="39">
        <v>45121</v>
      </c>
      <c r="O2512" s="38">
        <v>5360</v>
      </c>
      <c r="P2512" s="15"/>
      <c r="Q2512" s="483"/>
      <c r="S2512" s="489"/>
      <c r="T2512" s="113"/>
      <c r="U2512" s="506"/>
      <c r="V2512" s="494">
        <v>120</v>
      </c>
      <c r="W2512" s="2041" t="e">
        <f t="shared" si="145"/>
        <v>#VALUE!</v>
      </c>
    </row>
    <row r="2513" spans="2:23" s="7" customFormat="1" ht="15" customHeight="1">
      <c r="B2513" s="12" t="s">
        <v>1858</v>
      </c>
      <c r="C2513" s="6" t="s">
        <v>6051</v>
      </c>
      <c r="D2513" s="15" t="s">
        <v>2451</v>
      </c>
      <c r="E2513" s="24" t="s">
        <v>2447</v>
      </c>
      <c r="F2513" s="150">
        <v>152</v>
      </c>
      <c r="G2513" s="24" t="s">
        <v>6046</v>
      </c>
      <c r="H2513" s="8">
        <v>58</v>
      </c>
      <c r="I2513" s="41">
        <v>12</v>
      </c>
      <c r="J2513" s="8">
        <f>H2513*I2513</f>
        <v>696</v>
      </c>
      <c r="K2513" s="46">
        <v>5.84</v>
      </c>
      <c r="L2513" s="46">
        <f>K2513*J2513</f>
        <v>4064.64</v>
      </c>
      <c r="M2513" s="162" t="s">
        <v>2219</v>
      </c>
      <c r="N2513" s="39">
        <v>45121</v>
      </c>
      <c r="O2513" s="38">
        <v>5360</v>
      </c>
      <c r="P2513" s="46">
        <v>4.7699999999999996</v>
      </c>
      <c r="Q2513" s="483">
        <v>4.7699999999999996</v>
      </c>
      <c r="R2513" s="704">
        <f>Q2513*J2513</f>
        <v>3319.9199999999996</v>
      </c>
      <c r="S2513" s="489">
        <f>370+15</f>
        <v>385</v>
      </c>
      <c r="T2513" s="567">
        <f>S2513*J2513</f>
        <v>267960</v>
      </c>
      <c r="U2513" s="882"/>
      <c r="V2513" s="494">
        <v>120</v>
      </c>
      <c r="W2513" s="2041">
        <f t="shared" si="145"/>
        <v>0.45062785388127852</v>
      </c>
    </row>
    <row r="2514" spans="2:23" s="7" customFormat="1" ht="15" customHeight="1">
      <c r="B2514" s="12" t="s">
        <v>1858</v>
      </c>
      <c r="C2514" s="6" t="s">
        <v>6051</v>
      </c>
      <c r="D2514" s="15" t="s">
        <v>2451</v>
      </c>
      <c r="E2514" s="24" t="s">
        <v>2447</v>
      </c>
      <c r="F2514" s="150">
        <v>152</v>
      </c>
      <c r="G2514" s="24" t="s">
        <v>6046</v>
      </c>
      <c r="H2514" s="8">
        <v>55</v>
      </c>
      <c r="I2514" s="41">
        <v>2</v>
      </c>
      <c r="J2514" s="8">
        <f>H2514*I2514</f>
        <v>110</v>
      </c>
      <c r="K2514" s="46">
        <v>5.84</v>
      </c>
      <c r="L2514" s="46">
        <f>K2514*J2514</f>
        <v>642.4</v>
      </c>
      <c r="M2514" s="162" t="s">
        <v>2219</v>
      </c>
      <c r="N2514" s="39">
        <v>45121</v>
      </c>
      <c r="O2514" s="38">
        <v>5360</v>
      </c>
      <c r="P2514" s="46">
        <v>4.7699999999999996</v>
      </c>
      <c r="Q2514" s="483">
        <v>4.7699999999999996</v>
      </c>
      <c r="R2514" s="704">
        <f>Q2514*J2514</f>
        <v>524.69999999999993</v>
      </c>
      <c r="S2514" s="489">
        <f>370+15</f>
        <v>385</v>
      </c>
      <c r="T2514" s="567">
        <f>S2514*J2514</f>
        <v>42350</v>
      </c>
      <c r="U2514" s="882"/>
      <c r="V2514" s="494">
        <v>120</v>
      </c>
      <c r="W2514" s="2041">
        <f t="shared" si="145"/>
        <v>0.45062785388127852</v>
      </c>
    </row>
    <row r="2515" spans="2:23" s="7" customFormat="1" ht="15" customHeight="1">
      <c r="B2515" s="12" t="s">
        <v>1858</v>
      </c>
      <c r="C2515" s="6" t="s">
        <v>6051</v>
      </c>
      <c r="D2515" s="15" t="s">
        <v>2451</v>
      </c>
      <c r="E2515" s="24" t="s">
        <v>2447</v>
      </c>
      <c r="F2515" s="150">
        <v>152</v>
      </c>
      <c r="G2515" s="24" t="s">
        <v>6046</v>
      </c>
      <c r="H2515" s="8">
        <v>56</v>
      </c>
      <c r="I2515" s="41">
        <v>1</v>
      </c>
      <c r="J2515" s="8">
        <f>H2515*I2515</f>
        <v>56</v>
      </c>
      <c r="K2515" s="46">
        <v>5.84</v>
      </c>
      <c r="L2515" s="46">
        <f>K2515*J2515</f>
        <v>327.03999999999996</v>
      </c>
      <c r="M2515" s="162" t="s">
        <v>2219</v>
      </c>
      <c r="N2515" s="39">
        <v>45121</v>
      </c>
      <c r="O2515" s="38">
        <v>5360</v>
      </c>
      <c r="P2515" s="46">
        <v>4.7699999999999996</v>
      </c>
      <c r="Q2515" s="483">
        <v>4.7699999999999996</v>
      </c>
      <c r="R2515" s="704">
        <f>Q2515*J2515</f>
        <v>267.12</v>
      </c>
      <c r="S2515" s="489">
        <f>370+15</f>
        <v>385</v>
      </c>
      <c r="T2515" s="567">
        <f>S2515*J2515</f>
        <v>21560</v>
      </c>
      <c r="U2515" s="882"/>
      <c r="V2515" s="494">
        <v>120</v>
      </c>
      <c r="W2515" s="2041">
        <f t="shared" si="145"/>
        <v>0.45062785388127852</v>
      </c>
    </row>
    <row r="2516" spans="2:23" s="7" customFormat="1" ht="15" customHeight="1">
      <c r="B2516" s="12" t="s">
        <v>1858</v>
      </c>
      <c r="C2516" s="6" t="s">
        <v>6051</v>
      </c>
      <c r="D2516" s="15" t="s">
        <v>2451</v>
      </c>
      <c r="E2516" s="24" t="s">
        <v>2447</v>
      </c>
      <c r="F2516" s="150">
        <v>152</v>
      </c>
      <c r="G2516" s="24" t="s">
        <v>6046</v>
      </c>
      <c r="H2516" s="8">
        <v>57</v>
      </c>
      <c r="I2516" s="41">
        <v>1</v>
      </c>
      <c r="J2516" s="8">
        <f>H2516*I2516</f>
        <v>57</v>
      </c>
      <c r="K2516" s="46">
        <v>5.84</v>
      </c>
      <c r="L2516" s="46">
        <f>K2516*J2516</f>
        <v>332.88</v>
      </c>
      <c r="M2516" s="162" t="s">
        <v>2219</v>
      </c>
      <c r="N2516" s="39">
        <v>45121</v>
      </c>
      <c r="O2516" s="38">
        <v>5360</v>
      </c>
      <c r="P2516" s="46">
        <v>4.7699999999999996</v>
      </c>
      <c r="Q2516" s="483">
        <v>4.7699999999999996</v>
      </c>
      <c r="R2516" s="704">
        <f>Q2516*J2516</f>
        <v>271.89</v>
      </c>
      <c r="S2516" s="489">
        <f>370+15</f>
        <v>385</v>
      </c>
      <c r="T2516" s="567">
        <f>S2516*J2516</f>
        <v>21945</v>
      </c>
      <c r="U2516" s="882"/>
      <c r="V2516" s="494">
        <v>120</v>
      </c>
      <c r="W2516" s="2041">
        <f t="shared" si="145"/>
        <v>0.45062785388127852</v>
      </c>
    </row>
    <row r="2517" spans="2:23" s="7" customFormat="1" ht="15" customHeight="1">
      <c r="B2517" s="12" t="s">
        <v>1862</v>
      </c>
      <c r="C2517" s="6" t="s">
        <v>6051</v>
      </c>
      <c r="D2517" s="15" t="s">
        <v>2451</v>
      </c>
      <c r="E2517" s="24"/>
      <c r="F2517" s="138"/>
      <c r="G2517" s="44" t="s">
        <v>1993</v>
      </c>
      <c r="H2517" s="45"/>
      <c r="I2517" s="41"/>
      <c r="J2517" s="45">
        <v>1</v>
      </c>
      <c r="K2517" s="46">
        <v>20</v>
      </c>
      <c r="L2517" s="46">
        <v>0</v>
      </c>
      <c r="M2517" s="112"/>
      <c r="N2517" s="39">
        <v>45121</v>
      </c>
      <c r="O2517" s="38">
        <v>5360</v>
      </c>
      <c r="P2517" s="46">
        <f>K2517*(VLOOKUP(B2517,$C$2:$F$6,3,FALSE))</f>
        <v>20</v>
      </c>
      <c r="Q2517" s="483">
        <v>20</v>
      </c>
      <c r="R2517" s="483">
        <v>20</v>
      </c>
      <c r="S2517" s="489">
        <v>0</v>
      </c>
      <c r="T2517" s="113">
        <v>0</v>
      </c>
      <c r="U2517" s="501"/>
      <c r="V2517" s="494">
        <v>120</v>
      </c>
      <c r="W2517" s="2041">
        <f t="shared" si="145"/>
        <v>1</v>
      </c>
    </row>
    <row r="2518" spans="2:23" s="378" customFormat="1" ht="15" customHeight="1">
      <c r="B2518" s="312"/>
      <c r="C2518" s="302" t="s">
        <v>6051</v>
      </c>
      <c r="D2518" s="303" t="s">
        <v>2451</v>
      </c>
      <c r="E2518" s="371"/>
      <c r="F2518" s="305"/>
      <c r="G2518" s="305" t="s">
        <v>2371</v>
      </c>
      <c r="H2518" s="307" t="s">
        <v>1442</v>
      </c>
      <c r="I2518" s="308"/>
      <c r="J2518" s="306">
        <v>919</v>
      </c>
      <c r="K2518" s="315">
        <f>0.77*J2518</f>
        <v>707.63</v>
      </c>
      <c r="L2518" s="310"/>
      <c r="M2518" s="310"/>
      <c r="N2518" s="310">
        <v>45121</v>
      </c>
      <c r="O2518" s="309">
        <v>5360</v>
      </c>
      <c r="P2518" s="302"/>
      <c r="Q2518" s="315">
        <f>K2518-Q2517</f>
        <v>687.63</v>
      </c>
      <c r="R2518" s="315">
        <f>K2518-R2517</f>
        <v>687.63</v>
      </c>
      <c r="S2518" s="1880">
        <v>46254</v>
      </c>
      <c r="T2518" s="1880">
        <v>46254</v>
      </c>
      <c r="U2518" s="515"/>
      <c r="V2518" s="494">
        <v>120</v>
      </c>
      <c r="W2518" s="2041">
        <f t="shared" si="145"/>
        <v>0.45529443353164795</v>
      </c>
    </row>
    <row r="2519" spans="2:23" s="7" customFormat="1" ht="15">
      <c r="B2519" s="12"/>
      <c r="C2519" s="6" t="s">
        <v>6048</v>
      </c>
      <c r="D2519" s="15" t="s">
        <v>3026</v>
      </c>
      <c r="E2519" s="20" t="s">
        <v>408</v>
      </c>
      <c r="F2519" s="44"/>
      <c r="G2519" s="44"/>
      <c r="H2519" s="151"/>
      <c r="I2519" s="151"/>
      <c r="J2519" s="151"/>
      <c r="K2519" s="34" t="s">
        <v>1027</v>
      </c>
      <c r="L2519" s="39"/>
      <c r="M2519" s="39"/>
      <c r="N2519" s="39">
        <v>45083</v>
      </c>
      <c r="O2519" s="38">
        <v>5289</v>
      </c>
      <c r="P2519" s="6"/>
      <c r="Q2519" s="524"/>
      <c r="S2519" s="489"/>
      <c r="T2519" s="113"/>
      <c r="U2519" s="501"/>
      <c r="V2519" s="494">
        <v>120</v>
      </c>
      <c r="W2519" s="2041" t="e">
        <f t="shared" si="145"/>
        <v>#VALUE!</v>
      </c>
    </row>
    <row r="2520" spans="2:23" s="7" customFormat="1" ht="15" customHeight="1">
      <c r="B2520" s="12" t="s">
        <v>1856</v>
      </c>
      <c r="C2520" s="6" t="s">
        <v>6048</v>
      </c>
      <c r="D2520" s="15" t="s">
        <v>3026</v>
      </c>
      <c r="E2520" s="24" t="s">
        <v>1219</v>
      </c>
      <c r="F2520" s="26"/>
      <c r="G2520" s="24" t="s">
        <v>17</v>
      </c>
      <c r="H2520" s="67">
        <v>50</v>
      </c>
      <c r="I2520" s="68">
        <v>37</v>
      </c>
      <c r="J2520" s="8">
        <f>H2520*I2520</f>
        <v>1850</v>
      </c>
      <c r="K2520" s="46">
        <v>0.3</v>
      </c>
      <c r="L2520" s="46">
        <f>K2520*J2520</f>
        <v>555</v>
      </c>
      <c r="M2520" s="162" t="s">
        <v>2219</v>
      </c>
      <c r="N2520" s="39">
        <v>45083</v>
      </c>
      <c r="O2520" s="38">
        <v>5289</v>
      </c>
      <c r="P2520" s="46">
        <f>K2520*(VLOOKUP(B2520,$C$2:$F$6,3,FALSE))</f>
        <v>0.26400000000000001</v>
      </c>
      <c r="Q2520" s="482">
        <v>0.26</v>
      </c>
      <c r="R2520" s="704">
        <f>Q2520*J2520</f>
        <v>481</v>
      </c>
      <c r="S2520" s="489">
        <v>18</v>
      </c>
      <c r="T2520" s="113">
        <f>S2520*J2520</f>
        <v>33300</v>
      </c>
      <c r="U2520" s="1603"/>
      <c r="V2520" s="494">
        <v>120</v>
      </c>
      <c r="W2520" s="2041">
        <f t="shared" si="145"/>
        <v>0.5</v>
      </c>
    </row>
    <row r="2521" spans="2:23" s="7" customFormat="1" ht="15.95" customHeight="1">
      <c r="B2521" s="12"/>
      <c r="C2521" s="6" t="s">
        <v>6048</v>
      </c>
      <c r="D2521" s="15" t="s">
        <v>3026</v>
      </c>
      <c r="E2521" s="24"/>
      <c r="F2521" s="138"/>
      <c r="G2521" s="44" t="s">
        <v>1993</v>
      </c>
      <c r="H2521" s="8"/>
      <c r="I2521" s="41"/>
      <c r="J2521" s="45">
        <v>1</v>
      </c>
      <c r="K2521" s="46">
        <v>12</v>
      </c>
      <c r="L2521" s="46">
        <f>K2521*J2521</f>
        <v>12</v>
      </c>
      <c r="M2521" s="39"/>
      <c r="N2521" s="39">
        <v>45083</v>
      </c>
      <c r="O2521" s="38">
        <v>5289</v>
      </c>
      <c r="P2521" s="6"/>
      <c r="Q2521" s="483">
        <v>12</v>
      </c>
      <c r="R2521" s="704">
        <f>Q2521*J2521</f>
        <v>12</v>
      </c>
      <c r="S2521" s="489">
        <v>1100</v>
      </c>
      <c r="T2521" s="113">
        <f>S2521*J2521</f>
        <v>1100</v>
      </c>
      <c r="U2521" s="501"/>
      <c r="V2521" s="494">
        <v>120</v>
      </c>
      <c r="W2521" s="2041">
        <f t="shared" si="145"/>
        <v>0.2361111111111111</v>
      </c>
    </row>
    <row r="2522" spans="2:23" s="314" customFormat="1" ht="15.6" customHeight="1">
      <c r="B2522" s="313"/>
      <c r="C2522" s="302" t="s">
        <v>6048</v>
      </c>
      <c r="D2522" s="303" t="s">
        <v>3026</v>
      </c>
      <c r="E2522" s="304"/>
      <c r="F2522" s="305"/>
      <c r="G2522" s="305" t="s">
        <v>1227</v>
      </c>
      <c r="H2522" s="307" t="s">
        <v>3438</v>
      </c>
      <c r="I2522" s="308"/>
      <c r="J2522" s="306"/>
      <c r="K2522" s="1218" t="s">
        <v>6111</v>
      </c>
      <c r="L2522" s="1218" t="s">
        <v>6111</v>
      </c>
      <c r="M2522" s="310"/>
      <c r="N2522" s="310">
        <v>45083</v>
      </c>
      <c r="O2522" s="309">
        <v>5289</v>
      </c>
      <c r="P2522" s="302"/>
      <c r="Q2522" s="1218" t="s">
        <v>6111</v>
      </c>
      <c r="R2522" s="1218" t="s">
        <v>6111</v>
      </c>
      <c r="S2522" s="1218" t="s">
        <v>6111</v>
      </c>
      <c r="T2522" s="1218" t="s">
        <v>6111</v>
      </c>
      <c r="U2522" s="515"/>
      <c r="V2522" s="494">
        <v>120</v>
      </c>
      <c r="W2522" s="2041" t="e">
        <f t="shared" si="145"/>
        <v>#VALUE!</v>
      </c>
    </row>
    <row r="2523" spans="2:23" s="7" customFormat="1" ht="18" customHeight="1">
      <c r="B2523" s="12"/>
      <c r="C2523" s="6" t="s">
        <v>6058</v>
      </c>
      <c r="D2523" s="15" t="s">
        <v>6059</v>
      </c>
      <c r="E2523" s="20" t="s">
        <v>6057</v>
      </c>
      <c r="F2523" s="44"/>
      <c r="G2523" s="44"/>
      <c r="H2523" s="151"/>
      <c r="I2523" s="151"/>
      <c r="J2523" s="151"/>
      <c r="K2523" s="153" t="s">
        <v>134</v>
      </c>
      <c r="L2523" s="213"/>
      <c r="M2523" s="39"/>
      <c r="N2523" s="39">
        <v>45079</v>
      </c>
      <c r="O2523" s="38">
        <v>5278</v>
      </c>
      <c r="P2523" s="6"/>
      <c r="Q2523" s="862"/>
      <c r="U2523" s="23"/>
      <c r="V2523" s="494">
        <v>120</v>
      </c>
      <c r="W2523" s="2041" t="e">
        <f t="shared" si="145"/>
        <v>#VALUE!</v>
      </c>
    </row>
    <row r="2524" spans="2:23" s="7" customFormat="1" ht="17.25" customHeight="1">
      <c r="B2524" s="12" t="s">
        <v>1856</v>
      </c>
      <c r="C2524" s="6" t="s">
        <v>6058</v>
      </c>
      <c r="D2524" s="15" t="s">
        <v>6059</v>
      </c>
      <c r="E2524" s="24" t="s">
        <v>6050</v>
      </c>
      <c r="F2524" s="44"/>
      <c r="G2524" s="44" t="s">
        <v>78</v>
      </c>
      <c r="H2524" s="151"/>
      <c r="I2524" s="152"/>
      <c r="J2524" s="8">
        <v>100</v>
      </c>
      <c r="K2524" s="46">
        <v>1.02</v>
      </c>
      <c r="L2524" s="46">
        <f>K2524*J2524</f>
        <v>102</v>
      </c>
      <c r="M2524" s="162" t="s">
        <v>2607</v>
      </c>
      <c r="N2524" s="39">
        <v>45079</v>
      </c>
      <c r="O2524" s="38">
        <v>5278</v>
      </c>
      <c r="P2524" s="46">
        <f>K2524*(VLOOKUP(B2524,$C$2:$F$6,3,FALSE))</f>
        <v>0.89760000000000006</v>
      </c>
      <c r="Q2524" s="910">
        <v>0.9</v>
      </c>
      <c r="R2524" s="703">
        <f>Q2524*J2524</f>
        <v>90</v>
      </c>
      <c r="S2524" s="7">
        <v>70</v>
      </c>
      <c r="T2524" s="7">
        <f>S2524*J2524</f>
        <v>7000</v>
      </c>
      <c r="U2524" s="503"/>
      <c r="V2524" s="494">
        <v>120</v>
      </c>
      <c r="W2524" s="2041">
        <f t="shared" si="145"/>
        <v>0.42810457516339873</v>
      </c>
    </row>
    <row r="2525" spans="2:23" s="7" customFormat="1" ht="17.25" customHeight="1">
      <c r="B2525" s="12" t="s">
        <v>1856</v>
      </c>
      <c r="C2525" s="6" t="s">
        <v>6058</v>
      </c>
      <c r="D2525" s="15" t="s">
        <v>6059</v>
      </c>
      <c r="E2525" s="24" t="s">
        <v>5855</v>
      </c>
      <c r="F2525" s="44"/>
      <c r="G2525" s="44" t="s">
        <v>78</v>
      </c>
      <c r="H2525" s="151"/>
      <c r="I2525" s="152"/>
      <c r="J2525" s="8">
        <v>100</v>
      </c>
      <c r="K2525" s="46">
        <v>0.81</v>
      </c>
      <c r="L2525" s="46">
        <f>K2525*J2525</f>
        <v>81</v>
      </c>
      <c r="M2525" s="162" t="s">
        <v>2607</v>
      </c>
      <c r="N2525" s="39">
        <v>45079</v>
      </c>
      <c r="O2525" s="38">
        <v>5278</v>
      </c>
      <c r="P2525" s="46">
        <f>K2525*(VLOOKUP(B2525,$C$2:$F$6,3,FALSE))</f>
        <v>0.7128000000000001</v>
      </c>
      <c r="Q2525" s="910">
        <v>0.71</v>
      </c>
      <c r="R2525" s="703">
        <f>Q2525*J2525</f>
        <v>71</v>
      </c>
      <c r="S2525" s="7">
        <v>58</v>
      </c>
      <c r="T2525" s="7">
        <f>S2525*J2525</f>
        <v>5800</v>
      </c>
      <c r="U2525" s="503"/>
      <c r="V2525" s="494">
        <v>120</v>
      </c>
      <c r="W2525" s="2041">
        <f t="shared" si="145"/>
        <v>0.40329218106995884</v>
      </c>
    </row>
    <row r="2526" spans="2:23" s="7" customFormat="1" ht="17.25" customHeight="1">
      <c r="B2526" s="12" t="s">
        <v>1856</v>
      </c>
      <c r="C2526" s="6" t="s">
        <v>6058</v>
      </c>
      <c r="D2526" s="15" t="s">
        <v>6059</v>
      </c>
      <c r="E2526" s="24" t="s">
        <v>5850</v>
      </c>
      <c r="F2526" s="44"/>
      <c r="G2526" s="44" t="s">
        <v>78</v>
      </c>
      <c r="H2526" s="151"/>
      <c r="I2526" s="152"/>
      <c r="J2526" s="8">
        <v>100</v>
      </c>
      <c r="K2526" s="46">
        <v>0.6</v>
      </c>
      <c r="L2526" s="46">
        <f>K2526*J2526</f>
        <v>60</v>
      </c>
      <c r="M2526" s="162" t="s">
        <v>2607</v>
      </c>
      <c r="N2526" s="39">
        <v>45079</v>
      </c>
      <c r="O2526" s="38">
        <v>5278</v>
      </c>
      <c r="P2526" s="46">
        <f>K2526*(VLOOKUP(B2526,$C$2:$F$6,3,FALSE))</f>
        <v>0.52800000000000002</v>
      </c>
      <c r="Q2526" s="910">
        <v>0.53</v>
      </c>
      <c r="R2526" s="703">
        <f>Q2526*J2526</f>
        <v>53</v>
      </c>
      <c r="S2526" s="7">
        <v>43</v>
      </c>
      <c r="T2526" s="7">
        <f>S2526*J2526</f>
        <v>4300</v>
      </c>
      <c r="U2526" s="503"/>
      <c r="V2526" s="494">
        <v>120</v>
      </c>
      <c r="W2526" s="2041">
        <f t="shared" si="145"/>
        <v>0.40277777777777779</v>
      </c>
    </row>
    <row r="2527" spans="2:23" s="7" customFormat="1" ht="15.95" customHeight="1">
      <c r="B2527" s="12"/>
      <c r="C2527" s="6" t="s">
        <v>6058</v>
      </c>
      <c r="D2527" s="15" t="s">
        <v>6059</v>
      </c>
      <c r="E2527" s="24"/>
      <c r="F2527" s="138"/>
      <c r="G2527" s="44" t="s">
        <v>1993</v>
      </c>
      <c r="H2527" s="8"/>
      <c r="I2527" s="41"/>
      <c r="J2527" s="45">
        <v>1</v>
      </c>
      <c r="K2527" s="46">
        <v>12</v>
      </c>
      <c r="L2527" s="46">
        <f>K2527*J2527</f>
        <v>12</v>
      </c>
      <c r="M2527" s="39"/>
      <c r="N2527" s="39">
        <v>45079</v>
      </c>
      <c r="O2527" s="38">
        <v>5278</v>
      </c>
      <c r="P2527" s="6"/>
      <c r="Q2527" s="483">
        <v>12</v>
      </c>
      <c r="R2527" s="704">
        <f>Q2527*J2527</f>
        <v>12</v>
      </c>
      <c r="S2527" s="489">
        <v>0</v>
      </c>
      <c r="T2527" s="113">
        <f>S2527*J2527</f>
        <v>0</v>
      </c>
      <c r="U2527" s="501"/>
      <c r="V2527" s="494">
        <v>120</v>
      </c>
      <c r="W2527" s="2041">
        <f t="shared" si="145"/>
        <v>1</v>
      </c>
    </row>
    <row r="2528" spans="2:23" s="314" customFormat="1" ht="15">
      <c r="B2528" s="313"/>
      <c r="C2528" s="302" t="s">
        <v>6058</v>
      </c>
      <c r="D2528" s="303" t="s">
        <v>6059</v>
      </c>
      <c r="E2528" s="304"/>
      <c r="F2528" s="305"/>
      <c r="G2528" s="305" t="s">
        <v>1227</v>
      </c>
      <c r="H2528" s="307" t="s">
        <v>1228</v>
      </c>
      <c r="I2528" s="308"/>
      <c r="J2528" s="306"/>
      <c r="K2528" s="315">
        <v>0</v>
      </c>
      <c r="L2528" s="310"/>
      <c r="M2528" s="310"/>
      <c r="N2528" s="310">
        <v>45079</v>
      </c>
      <c r="O2528" s="309">
        <v>5278</v>
      </c>
      <c r="P2528" s="302"/>
      <c r="Q2528" s="485">
        <v>0</v>
      </c>
      <c r="S2528" s="535">
        <v>0</v>
      </c>
      <c r="T2528" s="322">
        <v>0</v>
      </c>
      <c r="U2528" s="515"/>
      <c r="V2528" s="494">
        <v>120</v>
      </c>
      <c r="W2528" s="2041" t="e">
        <f t="shared" si="145"/>
        <v>#DIV/0!</v>
      </c>
    </row>
    <row r="2529" spans="1:23" ht="15">
      <c r="C2529" s="6" t="s">
        <v>6072</v>
      </c>
      <c r="D2529" s="15" t="s">
        <v>3329</v>
      </c>
      <c r="E2529" s="20" t="s">
        <v>79</v>
      </c>
      <c r="F2529" s="150"/>
      <c r="G2529" s="24"/>
      <c r="H2529" s="151"/>
      <c r="I2529" s="152"/>
      <c r="J2529" s="151"/>
      <c r="K2529" s="153" t="s">
        <v>10</v>
      </c>
      <c r="L2529" s="39"/>
      <c r="M2529" s="39"/>
      <c r="N2529" s="39">
        <v>45078</v>
      </c>
      <c r="O2529" s="38">
        <v>5279</v>
      </c>
      <c r="P2529" s="15"/>
      <c r="Q2529" s="483"/>
      <c r="S2529" s="496"/>
      <c r="T2529" s="113"/>
      <c r="V2529" s="494">
        <v>120</v>
      </c>
      <c r="W2529" s="2041" t="e">
        <f t="shared" si="145"/>
        <v>#VALUE!</v>
      </c>
    </row>
    <row r="2530" spans="1:23" ht="15.75">
      <c r="B2530" s="12" t="s">
        <v>1858</v>
      </c>
      <c r="C2530" s="6" t="s">
        <v>6072</v>
      </c>
      <c r="D2530" s="15" t="s">
        <v>3329</v>
      </c>
      <c r="E2530" s="24" t="s">
        <v>5827</v>
      </c>
      <c r="F2530" s="155" t="s">
        <v>5828</v>
      </c>
      <c r="G2530" s="24" t="s">
        <v>5829</v>
      </c>
      <c r="H2530" s="67"/>
      <c r="I2530" s="68"/>
      <c r="J2530" s="19">
        <v>37.5</v>
      </c>
      <c r="K2530" s="46">
        <v>9.2799999999999994</v>
      </c>
      <c r="L2530" s="46">
        <f>K2530*J2530</f>
        <v>348</v>
      </c>
      <c r="M2530" s="162" t="s">
        <v>2219</v>
      </c>
      <c r="N2530" s="39">
        <v>45078</v>
      </c>
      <c r="O2530" s="38">
        <v>5279</v>
      </c>
      <c r="P2530" s="46">
        <f>K2530*(VLOOKUP(B2530,$C$2:$F$6,3,FALSE))</f>
        <v>8.7231999999999985</v>
      </c>
      <c r="Q2530" s="483">
        <v>8.7200000000000006</v>
      </c>
      <c r="R2530" s="704">
        <f>Q2530*J2530</f>
        <v>327</v>
      </c>
      <c r="S2530" s="1962">
        <v>870</v>
      </c>
      <c r="T2530" s="567">
        <f>S2530*J2530</f>
        <v>32625</v>
      </c>
      <c r="V2530" s="494">
        <v>120</v>
      </c>
      <c r="W2530" s="2041">
        <f t="shared" si="145"/>
        <v>0.21874999999999994</v>
      </c>
    </row>
    <row r="2531" spans="1:23" s="7" customFormat="1" ht="15.95" customHeight="1">
      <c r="B2531" s="12"/>
      <c r="C2531" s="6" t="s">
        <v>6072</v>
      </c>
      <c r="D2531" s="15" t="s">
        <v>3329</v>
      </c>
      <c r="E2531" s="24"/>
      <c r="F2531" s="138"/>
      <c r="G2531" s="44" t="s">
        <v>1993</v>
      </c>
      <c r="H2531" s="8"/>
      <c r="I2531" s="41"/>
      <c r="J2531" s="45">
        <v>1</v>
      </c>
      <c r="K2531" s="46">
        <v>12</v>
      </c>
      <c r="L2531" s="46">
        <f>K2531*J2531</f>
        <v>12</v>
      </c>
      <c r="M2531" s="39"/>
      <c r="N2531" s="39">
        <v>45078</v>
      </c>
      <c r="O2531" s="38">
        <v>5279</v>
      </c>
      <c r="P2531" s="6"/>
      <c r="Q2531" s="483">
        <v>12</v>
      </c>
      <c r="R2531" s="704">
        <f>Q2531*J2531</f>
        <v>12</v>
      </c>
      <c r="S2531" s="489">
        <v>0</v>
      </c>
      <c r="T2531" s="113">
        <f>S2531*J2531</f>
        <v>0</v>
      </c>
      <c r="U2531" s="501"/>
      <c r="V2531" s="494">
        <v>120</v>
      </c>
      <c r="W2531" s="2041">
        <f t="shared" si="145"/>
        <v>1</v>
      </c>
    </row>
    <row r="2532" spans="1:23" s="314" customFormat="1" ht="15">
      <c r="B2532" s="313"/>
      <c r="C2532" s="302" t="s">
        <v>6072</v>
      </c>
      <c r="D2532" s="303" t="s">
        <v>3329</v>
      </c>
      <c r="E2532" s="304"/>
      <c r="F2532" s="305"/>
      <c r="G2532" s="305" t="s">
        <v>1227</v>
      </c>
      <c r="H2532" s="307" t="s">
        <v>1228</v>
      </c>
      <c r="I2532" s="308"/>
      <c r="J2532" s="306"/>
      <c r="K2532" s="315">
        <v>0</v>
      </c>
      <c r="L2532" s="310"/>
      <c r="M2532" s="310"/>
      <c r="N2532" s="310">
        <v>45078</v>
      </c>
      <c r="O2532" s="309">
        <v>5279</v>
      </c>
      <c r="P2532" s="302"/>
      <c r="Q2532" s="485">
        <v>0</v>
      </c>
      <c r="S2532" s="535">
        <v>0</v>
      </c>
      <c r="T2532" s="322">
        <v>0</v>
      </c>
      <c r="U2532" s="515"/>
      <c r="V2532" s="494">
        <v>120</v>
      </c>
      <c r="W2532" s="2041" t="e">
        <f t="shared" si="145"/>
        <v>#DIV/0!</v>
      </c>
    </row>
    <row r="2533" spans="1:23" s="341" customFormat="1" ht="15.75">
      <c r="A2533" s="1"/>
      <c r="B2533" s="543"/>
      <c r="C2533" s="330" t="s">
        <v>6060</v>
      </c>
      <c r="D2533" s="331" t="s">
        <v>5483</v>
      </c>
      <c r="E2533" s="332" t="s">
        <v>2642</v>
      </c>
      <c r="F2533" s="875"/>
      <c r="G2533" s="334" t="s">
        <v>6061</v>
      </c>
      <c r="H2533" s="876"/>
      <c r="I2533" s="877"/>
      <c r="J2533" s="335">
        <v>1</v>
      </c>
      <c r="K2533" s="597">
        <v>25</v>
      </c>
      <c r="L2533" s="597">
        <f>K2533*J2533</f>
        <v>25</v>
      </c>
      <c r="M2533" s="878"/>
      <c r="N2533" s="598">
        <v>45077</v>
      </c>
      <c r="O2533" s="339">
        <v>5280</v>
      </c>
      <c r="P2533" s="879"/>
      <c r="Q2533" s="880">
        <v>25</v>
      </c>
      <c r="R2533" s="880">
        <v>25</v>
      </c>
      <c r="S2533" s="567">
        <v>2900</v>
      </c>
      <c r="T2533" s="567">
        <v>2900</v>
      </c>
      <c r="U2533" s="881"/>
      <c r="V2533" s="550">
        <v>90</v>
      </c>
      <c r="W2533" s="2041">
        <f t="shared" si="145"/>
        <v>-0.28888888888888886</v>
      </c>
    </row>
    <row r="2534" spans="1:23" ht="17.25" customHeight="1">
      <c r="C2534" s="6" t="s">
        <v>6140</v>
      </c>
      <c r="D2534" s="15" t="s">
        <v>1126</v>
      </c>
      <c r="E2534" s="20" t="s">
        <v>5981</v>
      </c>
      <c r="F2534" s="150"/>
      <c r="G2534" s="24"/>
      <c r="H2534" s="151"/>
      <c r="I2534" s="152"/>
      <c r="J2534" s="151"/>
      <c r="K2534" s="153" t="s">
        <v>10</v>
      </c>
      <c r="L2534" s="39"/>
      <c r="M2534" s="39"/>
      <c r="N2534" s="39">
        <v>45114</v>
      </c>
      <c r="O2534" s="38">
        <v>5350</v>
      </c>
      <c r="P2534" s="15"/>
      <c r="Q2534" s="483"/>
      <c r="S2534" s="496"/>
      <c r="T2534" s="113"/>
      <c r="V2534" s="494">
        <v>120</v>
      </c>
      <c r="W2534" s="2041" t="e">
        <f t="shared" si="145"/>
        <v>#VALUE!</v>
      </c>
    </row>
    <row r="2535" spans="1:23" ht="18" customHeight="1">
      <c r="B2535" s="12" t="s">
        <v>1858</v>
      </c>
      <c r="C2535" s="6" t="s">
        <v>6075</v>
      </c>
      <c r="D2535" s="15" t="s">
        <v>1126</v>
      </c>
      <c r="E2535" s="1278" t="s">
        <v>5837</v>
      </c>
      <c r="F2535" s="155" t="s">
        <v>3725</v>
      </c>
      <c r="G2535" s="1207" t="s">
        <v>3724</v>
      </c>
      <c r="H2535" s="19">
        <v>46.5</v>
      </c>
      <c r="I2535" s="68">
        <v>2</v>
      </c>
      <c r="J2535" s="19">
        <f>H2535*I2535</f>
        <v>93</v>
      </c>
      <c r="K2535" s="703">
        <v>10.56</v>
      </c>
      <c r="L2535" s="46">
        <f>K2535*J2535</f>
        <v>982.08</v>
      </c>
      <c r="M2535" s="162" t="s">
        <v>2219</v>
      </c>
      <c r="N2535" s="39">
        <v>45114</v>
      </c>
      <c r="O2535" s="38">
        <v>5350</v>
      </c>
      <c r="P2535" s="46">
        <f>K2535*(VLOOKUP(B2535,$C$2:$F$6,3,FALSE))</f>
        <v>9.9263999999999992</v>
      </c>
      <c r="Q2535" s="483">
        <v>9.93</v>
      </c>
      <c r="R2535" s="704">
        <f>Q2535*J2535</f>
        <v>923.49</v>
      </c>
      <c r="S2535" s="532">
        <f>950+20</f>
        <v>970</v>
      </c>
      <c r="T2535" s="567">
        <f>S2535*J2535</f>
        <v>90210</v>
      </c>
      <c r="V2535" s="494">
        <v>120</v>
      </c>
      <c r="W2535" s="2041">
        <f t="shared" si="145"/>
        <v>0.23453282828282832</v>
      </c>
    </row>
    <row r="2536" spans="1:23" ht="18" customHeight="1">
      <c r="B2536" s="12" t="s">
        <v>1858</v>
      </c>
      <c r="C2536" s="6" t="s">
        <v>6075</v>
      </c>
      <c r="D2536" s="15" t="s">
        <v>1126</v>
      </c>
      <c r="E2536" s="1278" t="s">
        <v>5837</v>
      </c>
      <c r="F2536" s="155" t="s">
        <v>3725</v>
      </c>
      <c r="G2536" s="1207" t="s">
        <v>3724</v>
      </c>
      <c r="H2536" s="19">
        <v>49</v>
      </c>
      <c r="I2536" s="68">
        <v>3</v>
      </c>
      <c r="J2536" s="19">
        <f>H2536*I2536</f>
        <v>147</v>
      </c>
      <c r="K2536" s="703">
        <v>10.56</v>
      </c>
      <c r="L2536" s="46">
        <f>K2536*J2536</f>
        <v>1552.3200000000002</v>
      </c>
      <c r="M2536" s="162" t="s">
        <v>2219</v>
      </c>
      <c r="N2536" s="39">
        <v>45114</v>
      </c>
      <c r="O2536" s="38">
        <v>5350</v>
      </c>
      <c r="P2536" s="46">
        <f>K2536*(VLOOKUP(B2536,$C$2:$F$6,3,FALSE))</f>
        <v>9.9263999999999992</v>
      </c>
      <c r="Q2536" s="483">
        <v>9.93</v>
      </c>
      <c r="R2536" s="704">
        <f>Q2536*J2536</f>
        <v>1459.71</v>
      </c>
      <c r="S2536" s="532">
        <f>950+20</f>
        <v>970</v>
      </c>
      <c r="T2536" s="567">
        <f>S2536*J2536</f>
        <v>142590</v>
      </c>
      <c r="V2536" s="494">
        <v>120</v>
      </c>
      <c r="W2536" s="2041">
        <f t="shared" si="145"/>
        <v>0.23453282828282832</v>
      </c>
    </row>
    <row r="2537" spans="1:23" ht="18" customHeight="1">
      <c r="B2537" s="12" t="s">
        <v>1858</v>
      </c>
      <c r="C2537" s="6" t="s">
        <v>6075</v>
      </c>
      <c r="D2537" s="15" t="s">
        <v>1126</v>
      </c>
      <c r="E2537" s="1278" t="s">
        <v>5837</v>
      </c>
      <c r="F2537" s="155" t="s">
        <v>3725</v>
      </c>
      <c r="G2537" s="1207" t="s">
        <v>3724</v>
      </c>
      <c r="H2537" s="19">
        <v>50</v>
      </c>
      <c r="I2537" s="68">
        <v>1</v>
      </c>
      <c r="J2537" s="19">
        <f>H2537*I2537</f>
        <v>50</v>
      </c>
      <c r="K2537" s="703">
        <v>10.56</v>
      </c>
      <c r="L2537" s="46">
        <f>K2537*J2537</f>
        <v>528</v>
      </c>
      <c r="M2537" s="162" t="s">
        <v>2219</v>
      </c>
      <c r="N2537" s="39">
        <v>45114</v>
      </c>
      <c r="O2537" s="38">
        <v>5350</v>
      </c>
      <c r="P2537" s="46">
        <f>K2537*(VLOOKUP(B2537,$C$2:$F$6,3,FALSE))</f>
        <v>9.9263999999999992</v>
      </c>
      <c r="Q2537" s="483">
        <v>9.93</v>
      </c>
      <c r="R2537" s="704">
        <f>Q2537*J2537</f>
        <v>496.5</v>
      </c>
      <c r="S2537" s="532">
        <f>950+20</f>
        <v>970</v>
      </c>
      <c r="T2537" s="567">
        <f>S2537*J2537</f>
        <v>48500</v>
      </c>
      <c r="V2537" s="494">
        <v>120</v>
      </c>
      <c r="W2537" s="2041">
        <f t="shared" si="145"/>
        <v>0.23453282828282832</v>
      </c>
    </row>
    <row r="2538" spans="1:23" ht="18" customHeight="1">
      <c r="B2538" s="12" t="s">
        <v>1858</v>
      </c>
      <c r="C2538" s="6" t="s">
        <v>6075</v>
      </c>
      <c r="D2538" s="15" t="s">
        <v>1126</v>
      </c>
      <c r="E2538" s="1278" t="s">
        <v>5837</v>
      </c>
      <c r="F2538" s="155" t="s">
        <v>3725</v>
      </c>
      <c r="G2538" s="1207" t="s">
        <v>3724</v>
      </c>
      <c r="H2538" s="19">
        <v>43.5</v>
      </c>
      <c r="I2538" s="68">
        <v>1</v>
      </c>
      <c r="J2538" s="19">
        <f>H2538*I2538</f>
        <v>43.5</v>
      </c>
      <c r="K2538" s="703">
        <v>10.56</v>
      </c>
      <c r="L2538" s="46">
        <f>K2538*J2538</f>
        <v>459.36</v>
      </c>
      <c r="M2538" s="162" t="s">
        <v>2219</v>
      </c>
      <c r="N2538" s="39">
        <v>45114</v>
      </c>
      <c r="O2538" s="38">
        <v>5350</v>
      </c>
      <c r="P2538" s="46">
        <f>K2538*(VLOOKUP(B2538,$C$2:$F$6,3,FALSE))</f>
        <v>9.9263999999999992</v>
      </c>
      <c r="Q2538" s="483">
        <v>9.93</v>
      </c>
      <c r="R2538" s="704">
        <f>Q2538*J2538</f>
        <v>431.95499999999998</v>
      </c>
      <c r="S2538" s="532">
        <f>950+20</f>
        <v>970</v>
      </c>
      <c r="T2538" s="567">
        <f>S2538*J2538</f>
        <v>42195</v>
      </c>
      <c r="V2538" s="494">
        <v>120</v>
      </c>
      <c r="W2538" s="2041">
        <f t="shared" si="145"/>
        <v>0.23453282828282832</v>
      </c>
    </row>
    <row r="2539" spans="1:23" s="314" customFormat="1" ht="15">
      <c r="B2539" s="313"/>
      <c r="C2539" s="302" t="s">
        <v>6075</v>
      </c>
      <c r="D2539" s="303" t="s">
        <v>1126</v>
      </c>
      <c r="E2539" s="304"/>
      <c r="F2539" s="305"/>
      <c r="G2539" s="305" t="s">
        <v>1227</v>
      </c>
      <c r="H2539" s="307" t="s">
        <v>1228</v>
      </c>
      <c r="I2539" s="308"/>
      <c r="J2539" s="306"/>
      <c r="K2539" s="315">
        <v>0</v>
      </c>
      <c r="L2539" s="310"/>
      <c r="M2539" s="310"/>
      <c r="N2539" s="310">
        <v>45114</v>
      </c>
      <c r="O2539" s="309">
        <v>5350</v>
      </c>
      <c r="P2539" s="302"/>
      <c r="Q2539" s="485">
        <v>0</v>
      </c>
      <c r="S2539" s="536">
        <v>0</v>
      </c>
      <c r="T2539" s="322">
        <v>0</v>
      </c>
      <c r="U2539" s="515"/>
      <c r="V2539" s="494">
        <v>120</v>
      </c>
      <c r="W2539" s="2041" t="e">
        <f t="shared" si="145"/>
        <v>#DIV/0!</v>
      </c>
    </row>
    <row r="2540" spans="1:23" ht="15">
      <c r="C2540" s="6" t="s">
        <v>6141</v>
      </c>
      <c r="D2540" s="15" t="s">
        <v>3329</v>
      </c>
      <c r="E2540" s="20" t="s">
        <v>1092</v>
      </c>
      <c r="F2540" s="150"/>
      <c r="G2540" s="24"/>
      <c r="H2540" s="151"/>
      <c r="I2540" s="152"/>
      <c r="J2540" s="151"/>
      <c r="K2540" s="153" t="s">
        <v>10</v>
      </c>
      <c r="L2540" s="39"/>
      <c r="M2540" s="39"/>
      <c r="N2540" s="39">
        <v>45090</v>
      </c>
      <c r="O2540" s="38">
        <v>5294</v>
      </c>
      <c r="P2540" s="15"/>
      <c r="Q2540" s="483"/>
      <c r="S2540" s="496"/>
      <c r="T2540" s="113"/>
      <c r="V2540" s="494">
        <v>120</v>
      </c>
      <c r="W2540" s="2041" t="e">
        <f t="shared" si="145"/>
        <v>#VALUE!</v>
      </c>
    </row>
    <row r="2541" spans="1:23" ht="15.75">
      <c r="B2541" s="12" t="s">
        <v>1858</v>
      </c>
      <c r="C2541" s="6" t="s">
        <v>6141</v>
      </c>
      <c r="D2541" s="15" t="s">
        <v>3329</v>
      </c>
      <c r="E2541" s="24" t="s">
        <v>5889</v>
      </c>
      <c r="F2541" s="155" t="s">
        <v>5874</v>
      </c>
      <c r="G2541" s="24" t="s">
        <v>6096</v>
      </c>
      <c r="H2541" s="67">
        <v>10</v>
      </c>
      <c r="I2541" s="68">
        <v>1</v>
      </c>
      <c r="J2541" s="67">
        <f>H2541*I2541</f>
        <v>10</v>
      </c>
      <c r="K2541" s="46">
        <v>10.73</v>
      </c>
      <c r="L2541" s="46">
        <f>K2541*J2541</f>
        <v>107.30000000000001</v>
      </c>
      <c r="M2541" s="162" t="s">
        <v>2219</v>
      </c>
      <c r="N2541" s="39">
        <v>45090</v>
      </c>
      <c r="O2541" s="38">
        <v>5294</v>
      </c>
      <c r="P2541" s="46">
        <f>K2541*(VLOOKUP(B2541,$C$2:$F$6,3,FALSE))</f>
        <v>10.0862</v>
      </c>
      <c r="Q2541" s="483">
        <v>10.09</v>
      </c>
      <c r="R2541" s="704">
        <f>Q2541*J2541</f>
        <v>100.9</v>
      </c>
      <c r="S2541" s="1962">
        <f>710+300</f>
        <v>1010</v>
      </c>
      <c r="T2541" s="567">
        <f>S2541*J2541</f>
        <v>10100</v>
      </c>
      <c r="V2541" s="494">
        <v>120</v>
      </c>
      <c r="W2541" s="2041">
        <f t="shared" si="145"/>
        <v>0.21559490525007774</v>
      </c>
    </row>
    <row r="2542" spans="1:23" ht="15.75">
      <c r="B2542" s="12" t="s">
        <v>1858</v>
      </c>
      <c r="C2542" s="6" t="s">
        <v>6141</v>
      </c>
      <c r="D2542" s="15" t="s">
        <v>3329</v>
      </c>
      <c r="E2542" s="24" t="s">
        <v>5889</v>
      </c>
      <c r="F2542" s="155" t="s">
        <v>5874</v>
      </c>
      <c r="G2542" s="24" t="s">
        <v>6096</v>
      </c>
      <c r="H2542" s="67">
        <v>20</v>
      </c>
      <c r="I2542" s="68">
        <v>1</v>
      </c>
      <c r="J2542" s="67">
        <f>H2542*I2542</f>
        <v>20</v>
      </c>
      <c r="K2542" s="46">
        <v>10.73</v>
      </c>
      <c r="L2542" s="46">
        <f>K2542*J2542</f>
        <v>214.60000000000002</v>
      </c>
      <c r="M2542" s="162" t="s">
        <v>2219</v>
      </c>
      <c r="N2542" s="39">
        <v>45090</v>
      </c>
      <c r="O2542" s="38">
        <v>5294</v>
      </c>
      <c r="P2542" s="46">
        <f>K2542*(VLOOKUP(B2542,$C$2:$F$6,3,FALSE))</f>
        <v>10.0862</v>
      </c>
      <c r="Q2542" s="483">
        <v>10.09</v>
      </c>
      <c r="R2542" s="704">
        <f>Q2542*J2542</f>
        <v>201.8</v>
      </c>
      <c r="S2542" s="1962">
        <f>710+300</f>
        <v>1010</v>
      </c>
      <c r="T2542" s="567">
        <f>S2542*J2542</f>
        <v>20200</v>
      </c>
      <c r="V2542" s="494">
        <v>120</v>
      </c>
      <c r="W2542" s="2041">
        <f t="shared" si="145"/>
        <v>0.21559490525007774</v>
      </c>
    </row>
    <row r="2543" spans="1:23" ht="15.75">
      <c r="B2543" s="12" t="s">
        <v>1858</v>
      </c>
      <c r="C2543" s="6" t="s">
        <v>6141</v>
      </c>
      <c r="D2543" s="15" t="s">
        <v>3329</v>
      </c>
      <c r="E2543" s="24" t="s">
        <v>5889</v>
      </c>
      <c r="F2543" s="155" t="s">
        <v>5874</v>
      </c>
      <c r="G2543" s="24" t="s">
        <v>5941</v>
      </c>
      <c r="H2543" s="67">
        <v>55</v>
      </c>
      <c r="I2543" s="68">
        <v>1</v>
      </c>
      <c r="J2543" s="67">
        <f>H2543*I2543</f>
        <v>55</v>
      </c>
      <c r="K2543" s="46">
        <v>19.28</v>
      </c>
      <c r="L2543" s="46">
        <f>K2543*J2543</f>
        <v>1060.4000000000001</v>
      </c>
      <c r="M2543" s="162" t="s">
        <v>2219</v>
      </c>
      <c r="N2543" s="39">
        <v>45121</v>
      </c>
      <c r="O2543" s="38">
        <v>5359</v>
      </c>
      <c r="P2543" s="46">
        <f>K2543*(VLOOKUP(B2543,$C$2:$F$6,3,FALSE))</f>
        <v>18.123200000000001</v>
      </c>
      <c r="Q2543" s="483">
        <v>18.12</v>
      </c>
      <c r="R2543" s="704">
        <f>Q2543*J2543</f>
        <v>996.6</v>
      </c>
      <c r="S2543" s="1962">
        <v>1850</v>
      </c>
      <c r="T2543" s="567">
        <f>S2543*J2543</f>
        <v>101750</v>
      </c>
      <c r="V2543" s="494">
        <v>120</v>
      </c>
      <c r="W2543" s="2041">
        <f t="shared" si="145"/>
        <v>0.20038035961272488</v>
      </c>
    </row>
    <row r="2544" spans="1:23" ht="15.75">
      <c r="B2544" s="12" t="s">
        <v>1858</v>
      </c>
      <c r="C2544" s="6" t="s">
        <v>6141</v>
      </c>
      <c r="D2544" s="15" t="s">
        <v>3329</v>
      </c>
      <c r="E2544" s="24" t="s">
        <v>5889</v>
      </c>
      <c r="F2544" s="155" t="s">
        <v>5874</v>
      </c>
      <c r="G2544" s="24" t="s">
        <v>6097</v>
      </c>
      <c r="H2544" s="67">
        <v>53</v>
      </c>
      <c r="I2544" s="68">
        <v>1</v>
      </c>
      <c r="J2544" s="67">
        <f>H2544*I2544</f>
        <v>53</v>
      </c>
      <c r="K2544" s="46">
        <v>19.28</v>
      </c>
      <c r="L2544" s="46">
        <f>K2544*J2544</f>
        <v>1021.84</v>
      </c>
      <c r="M2544" s="162" t="s">
        <v>2219</v>
      </c>
      <c r="N2544" s="39">
        <v>45121</v>
      </c>
      <c r="O2544" s="38">
        <v>5359</v>
      </c>
      <c r="P2544" s="46">
        <f>K2544*(VLOOKUP(B2544,$C$2:$F$6,3,FALSE))</f>
        <v>18.123200000000001</v>
      </c>
      <c r="Q2544" s="483">
        <v>18.12</v>
      </c>
      <c r="R2544" s="704">
        <f>Q2544*J2544</f>
        <v>960.36</v>
      </c>
      <c r="S2544" s="1962">
        <v>1850</v>
      </c>
      <c r="T2544" s="567">
        <f>S2544*J2544</f>
        <v>98050</v>
      </c>
      <c r="V2544" s="494">
        <v>120</v>
      </c>
      <c r="W2544" s="2041">
        <f t="shared" si="145"/>
        <v>0.20038035961272488</v>
      </c>
    </row>
    <row r="2545" spans="1:23" s="314" customFormat="1" ht="15">
      <c r="B2545" s="313"/>
      <c r="C2545" s="302" t="s">
        <v>6141</v>
      </c>
      <c r="D2545" s="303" t="s">
        <v>3329</v>
      </c>
      <c r="E2545" s="304"/>
      <c r="F2545" s="305"/>
      <c r="G2545" s="305" t="s">
        <v>1227</v>
      </c>
      <c r="H2545" s="307" t="s">
        <v>1228</v>
      </c>
      <c r="I2545" s="308"/>
      <c r="J2545" s="306"/>
      <c r="K2545" s="315">
        <v>0</v>
      </c>
      <c r="L2545" s="310"/>
      <c r="M2545" s="310"/>
      <c r="N2545" s="310">
        <v>45121</v>
      </c>
      <c r="O2545" s="309">
        <v>5359</v>
      </c>
      <c r="P2545" s="302"/>
      <c r="Q2545" s="485">
        <v>0</v>
      </c>
      <c r="S2545" s="535">
        <v>0</v>
      </c>
      <c r="T2545" s="322">
        <v>0</v>
      </c>
      <c r="U2545" s="515"/>
      <c r="V2545" s="494">
        <v>120</v>
      </c>
      <c r="W2545" s="2041" t="e">
        <f t="shared" si="145"/>
        <v>#DIV/0!</v>
      </c>
    </row>
    <row r="2546" spans="1:23" s="7" customFormat="1" ht="15">
      <c r="B2546" s="12"/>
      <c r="C2546" s="6" t="s">
        <v>6098</v>
      </c>
      <c r="D2546" s="15" t="s">
        <v>6099</v>
      </c>
      <c r="E2546" s="20" t="s">
        <v>6100</v>
      </c>
      <c r="F2546" s="44"/>
      <c r="G2546" s="44"/>
      <c r="H2546" s="151"/>
      <c r="I2546" s="151"/>
      <c r="J2546" s="151"/>
      <c r="K2546" s="34" t="s">
        <v>1027</v>
      </c>
      <c r="L2546" s="39"/>
      <c r="M2546" s="39"/>
      <c r="N2546" s="39">
        <v>45091</v>
      </c>
      <c r="O2546" s="38">
        <v>5306</v>
      </c>
      <c r="P2546" s="6"/>
      <c r="Q2546" s="524"/>
      <c r="S2546" s="489"/>
      <c r="T2546" s="113"/>
      <c r="U2546" s="501"/>
      <c r="V2546" s="494">
        <v>120</v>
      </c>
      <c r="W2546" s="2041" t="e">
        <f t="shared" si="145"/>
        <v>#VALUE!</v>
      </c>
    </row>
    <row r="2547" spans="1:23" s="7" customFormat="1" ht="15" customHeight="1">
      <c r="B2547" s="12" t="s">
        <v>1856</v>
      </c>
      <c r="C2547" s="6" t="s">
        <v>6098</v>
      </c>
      <c r="D2547" s="15" t="s">
        <v>6099</v>
      </c>
      <c r="E2547" s="24" t="s">
        <v>988</v>
      </c>
      <c r="F2547" s="26">
        <v>24</v>
      </c>
      <c r="G2547" s="47" t="s">
        <v>6102</v>
      </c>
      <c r="H2547" s="67">
        <v>28</v>
      </c>
      <c r="I2547" s="68">
        <v>6</v>
      </c>
      <c r="J2547" s="8">
        <f>H2547*I2547</f>
        <v>168</v>
      </c>
      <c r="K2547" s="46">
        <v>1.33</v>
      </c>
      <c r="L2547" s="46">
        <f>K2547*J2547</f>
        <v>223.44</v>
      </c>
      <c r="M2547" s="162" t="s">
        <v>2219</v>
      </c>
      <c r="N2547" s="39">
        <v>45091</v>
      </c>
      <c r="O2547" s="38">
        <v>5306</v>
      </c>
      <c r="P2547" s="46">
        <f>K2547*(VLOOKUP(B2547,$C$2:$F$6,3,FALSE))</f>
        <v>1.1704000000000001</v>
      </c>
      <c r="Q2547" s="482">
        <v>1.17</v>
      </c>
      <c r="R2547" s="704">
        <f>Q2547*J2547</f>
        <v>196.56</v>
      </c>
      <c r="S2547" s="489">
        <v>79.599999999999994</v>
      </c>
      <c r="T2547" s="113">
        <f>S2547*J2547</f>
        <v>13372.8</v>
      </c>
      <c r="U2547" s="1603"/>
      <c r="V2547" s="494">
        <v>120</v>
      </c>
      <c r="W2547" s="2041">
        <f t="shared" si="145"/>
        <v>0.50125313283208028</v>
      </c>
    </row>
    <row r="2548" spans="1:23" s="7" customFormat="1" ht="15" customHeight="1">
      <c r="B2548" s="12" t="s">
        <v>1856</v>
      </c>
      <c r="C2548" s="6" t="s">
        <v>6098</v>
      </c>
      <c r="D2548" s="15" t="s">
        <v>6099</v>
      </c>
      <c r="E2548" s="24" t="s">
        <v>988</v>
      </c>
      <c r="F2548" s="26">
        <v>24</v>
      </c>
      <c r="G2548" s="47" t="s">
        <v>6101</v>
      </c>
      <c r="H2548" s="67">
        <v>28</v>
      </c>
      <c r="I2548" s="68">
        <v>7</v>
      </c>
      <c r="J2548" s="8">
        <f>H2548*I2548</f>
        <v>196</v>
      </c>
      <c r="K2548" s="46">
        <v>1.33</v>
      </c>
      <c r="L2548" s="46">
        <f>K2548*J2548</f>
        <v>260.68</v>
      </c>
      <c r="M2548" s="162" t="s">
        <v>2219</v>
      </c>
      <c r="N2548" s="39">
        <v>45091</v>
      </c>
      <c r="O2548" s="38">
        <v>5306</v>
      </c>
      <c r="P2548" s="46">
        <f>K2548*(VLOOKUP(B2548,$C$2:$F$6,3,FALSE))</f>
        <v>1.1704000000000001</v>
      </c>
      <c r="Q2548" s="482">
        <v>1.17</v>
      </c>
      <c r="R2548" s="704">
        <f>Q2548*J2548</f>
        <v>229.32</v>
      </c>
      <c r="S2548" s="489">
        <v>79.599999999999994</v>
      </c>
      <c r="T2548" s="113">
        <f>S2548*J2548</f>
        <v>15601.599999999999</v>
      </c>
      <c r="U2548" s="1603"/>
      <c r="V2548" s="494">
        <v>120</v>
      </c>
      <c r="W2548" s="2041">
        <f t="shared" ref="W2548:W2611" si="151">(((K2548*V2548)-S2548)/(K2548*V2548))</f>
        <v>0.50125313283208028</v>
      </c>
    </row>
    <row r="2549" spans="1:23" s="7" customFormat="1" ht="15" customHeight="1">
      <c r="B2549" s="12" t="s">
        <v>1856</v>
      </c>
      <c r="C2549" s="6" t="s">
        <v>6098</v>
      </c>
      <c r="D2549" s="15" t="s">
        <v>6099</v>
      </c>
      <c r="E2549" s="24" t="s">
        <v>988</v>
      </c>
      <c r="F2549" s="26">
        <v>24</v>
      </c>
      <c r="G2549" s="47" t="s">
        <v>6103</v>
      </c>
      <c r="H2549" s="67">
        <v>28</v>
      </c>
      <c r="I2549" s="68">
        <v>5</v>
      </c>
      <c r="J2549" s="8">
        <f>H2549*I2549</f>
        <v>140</v>
      </c>
      <c r="K2549" s="46">
        <v>1.33</v>
      </c>
      <c r="L2549" s="46">
        <f>K2549*J2549</f>
        <v>186.20000000000002</v>
      </c>
      <c r="M2549" s="162" t="s">
        <v>2219</v>
      </c>
      <c r="N2549" s="39">
        <v>45091</v>
      </c>
      <c r="O2549" s="38">
        <v>5306</v>
      </c>
      <c r="P2549" s="46">
        <f>K2549*(VLOOKUP(B2549,$C$2:$F$6,3,FALSE))</f>
        <v>1.1704000000000001</v>
      </c>
      <c r="Q2549" s="482">
        <v>1.17</v>
      </c>
      <c r="R2549" s="704">
        <f>Q2549*J2549</f>
        <v>163.79999999999998</v>
      </c>
      <c r="S2549" s="489">
        <v>79.599999999999994</v>
      </c>
      <c r="T2549" s="113">
        <f>S2549*J2549</f>
        <v>11144</v>
      </c>
      <c r="U2549" s="1603"/>
      <c r="V2549" s="494">
        <v>120</v>
      </c>
      <c r="W2549" s="2041">
        <f t="shared" si="151"/>
        <v>0.50125313283208028</v>
      </c>
    </row>
    <row r="2550" spans="1:23" s="7" customFormat="1" ht="15.95" customHeight="1">
      <c r="B2550" s="12"/>
      <c r="C2550" s="6" t="s">
        <v>6098</v>
      </c>
      <c r="D2550" s="15" t="s">
        <v>6099</v>
      </c>
      <c r="E2550" s="56"/>
      <c r="F2550" s="138"/>
      <c r="G2550" s="44" t="s">
        <v>1993</v>
      </c>
      <c r="H2550" s="8"/>
      <c r="I2550" s="41"/>
      <c r="J2550" s="45">
        <v>1</v>
      </c>
      <c r="K2550" s="46">
        <v>12</v>
      </c>
      <c r="L2550" s="46">
        <f>K2550*J2550</f>
        <v>12</v>
      </c>
      <c r="M2550" s="39"/>
      <c r="N2550" s="39">
        <v>45091</v>
      </c>
      <c r="O2550" s="38">
        <v>5306</v>
      </c>
      <c r="P2550" s="6"/>
      <c r="Q2550" s="483">
        <v>12</v>
      </c>
      <c r="R2550" s="704">
        <f>Q2550*J2550</f>
        <v>12</v>
      </c>
      <c r="S2550" s="489">
        <v>0</v>
      </c>
      <c r="T2550" s="113">
        <f>S2550*J2550</f>
        <v>0</v>
      </c>
      <c r="U2550" s="501"/>
      <c r="V2550" s="494">
        <v>120</v>
      </c>
      <c r="W2550" s="2041">
        <f t="shared" si="151"/>
        <v>1</v>
      </c>
    </row>
    <row r="2551" spans="1:23" s="314" customFormat="1" ht="15.6" customHeight="1">
      <c r="B2551" s="313"/>
      <c r="C2551" s="302" t="s">
        <v>6098</v>
      </c>
      <c r="D2551" s="303" t="s">
        <v>6099</v>
      </c>
      <c r="E2551" s="304"/>
      <c r="F2551" s="305"/>
      <c r="G2551" s="305" t="s">
        <v>1227</v>
      </c>
      <c r="H2551" s="307" t="s">
        <v>1228</v>
      </c>
      <c r="I2551" s="308"/>
      <c r="J2551" s="306"/>
      <c r="K2551" s="315">
        <v>0</v>
      </c>
      <c r="L2551" s="310"/>
      <c r="M2551" s="310"/>
      <c r="N2551" s="310">
        <v>45091</v>
      </c>
      <c r="O2551" s="309">
        <v>5306</v>
      </c>
      <c r="P2551" s="302"/>
      <c r="Q2551" s="485">
        <v>0</v>
      </c>
      <c r="S2551" s="535">
        <v>0</v>
      </c>
      <c r="T2551" s="322">
        <v>0</v>
      </c>
      <c r="U2551" s="515"/>
      <c r="V2551" s="494">
        <v>120</v>
      </c>
      <c r="W2551" s="2041" t="e">
        <f t="shared" si="151"/>
        <v>#DIV/0!</v>
      </c>
    </row>
    <row r="2552" spans="1:23" ht="15">
      <c r="C2552" s="6" t="s">
        <v>6104</v>
      </c>
      <c r="D2552" s="15" t="s">
        <v>3329</v>
      </c>
      <c r="E2552" s="20" t="s">
        <v>79</v>
      </c>
      <c r="F2552" s="150"/>
      <c r="G2552" s="24"/>
      <c r="H2552" s="151"/>
      <c r="I2552" s="152"/>
      <c r="J2552" s="151"/>
      <c r="K2552" s="153" t="s">
        <v>10</v>
      </c>
      <c r="L2552" s="39"/>
      <c r="M2552" s="39"/>
      <c r="N2552" s="39">
        <v>45092</v>
      </c>
      <c r="O2552" s="38">
        <v>5307</v>
      </c>
      <c r="P2552" s="15"/>
      <c r="Q2552" s="483"/>
      <c r="S2552" s="496"/>
      <c r="T2552" s="113"/>
      <c r="V2552" s="494">
        <v>120</v>
      </c>
      <c r="W2552" s="2041" t="e">
        <f t="shared" si="151"/>
        <v>#VALUE!</v>
      </c>
    </row>
    <row r="2553" spans="1:23" ht="15.75">
      <c r="B2553" s="12" t="s">
        <v>1858</v>
      </c>
      <c r="C2553" s="6" t="s">
        <v>6104</v>
      </c>
      <c r="D2553" s="15" t="s">
        <v>3329</v>
      </c>
      <c r="E2553" s="24" t="s">
        <v>5827</v>
      </c>
      <c r="F2553" s="155" t="s">
        <v>5828</v>
      </c>
      <c r="G2553" s="24" t="s">
        <v>6105</v>
      </c>
      <c r="H2553" s="67"/>
      <c r="I2553" s="68"/>
      <c r="J2553" s="19">
        <v>34.4</v>
      </c>
      <c r="K2553" s="46">
        <v>9.2799999999999994</v>
      </c>
      <c r="L2553" s="46">
        <f>K2553*J2553</f>
        <v>319.23199999999997</v>
      </c>
      <c r="M2553" s="162" t="s">
        <v>2219</v>
      </c>
      <c r="N2553" s="39">
        <v>45092</v>
      </c>
      <c r="O2553" s="38">
        <v>5307</v>
      </c>
      <c r="P2553" s="46">
        <f>K2553*(VLOOKUP(B2553,$C$2:$F$6,3,FALSE))</f>
        <v>8.7231999999999985</v>
      </c>
      <c r="Q2553" s="483">
        <v>8.7200000000000006</v>
      </c>
      <c r="R2553" s="704">
        <f>Q2553*J2553</f>
        <v>299.96800000000002</v>
      </c>
      <c r="S2553" s="1962">
        <v>870</v>
      </c>
      <c r="T2553" s="567">
        <f>S2553*J2553</f>
        <v>29928</v>
      </c>
      <c r="V2553" s="494">
        <v>120</v>
      </c>
      <c r="W2553" s="2041">
        <f t="shared" si="151"/>
        <v>0.21874999999999994</v>
      </c>
    </row>
    <row r="2554" spans="1:23" s="7" customFormat="1" ht="15.95" customHeight="1">
      <c r="B2554" s="12"/>
      <c r="C2554" s="6" t="s">
        <v>6104</v>
      </c>
      <c r="D2554" s="15" t="s">
        <v>3329</v>
      </c>
      <c r="E2554" s="24"/>
      <c r="F2554" s="138"/>
      <c r="G2554" s="44" t="s">
        <v>1993</v>
      </c>
      <c r="H2554" s="8"/>
      <c r="I2554" s="41"/>
      <c r="J2554" s="45">
        <v>1</v>
      </c>
      <c r="K2554" s="46">
        <v>12</v>
      </c>
      <c r="L2554" s="46">
        <f>K2554*J2554</f>
        <v>12</v>
      </c>
      <c r="M2554" s="39"/>
      <c r="N2554" s="39">
        <v>45092</v>
      </c>
      <c r="O2554" s="38">
        <v>5307</v>
      </c>
      <c r="P2554" s="6"/>
      <c r="Q2554" s="483">
        <v>12</v>
      </c>
      <c r="R2554" s="704">
        <f>Q2554*J2554</f>
        <v>12</v>
      </c>
      <c r="S2554" s="489">
        <v>0</v>
      </c>
      <c r="T2554" s="113">
        <f>S2554*J2554</f>
        <v>0</v>
      </c>
      <c r="U2554" s="501"/>
      <c r="V2554" s="494">
        <v>120</v>
      </c>
      <c r="W2554" s="2041">
        <f t="shared" si="151"/>
        <v>1</v>
      </c>
    </row>
    <row r="2555" spans="1:23" s="314" customFormat="1" ht="15">
      <c r="B2555" s="313"/>
      <c r="C2555" s="302" t="s">
        <v>6104</v>
      </c>
      <c r="D2555" s="303" t="s">
        <v>3329</v>
      </c>
      <c r="E2555" s="304"/>
      <c r="F2555" s="305"/>
      <c r="G2555" s="305" t="s">
        <v>1227</v>
      </c>
      <c r="H2555" s="307" t="s">
        <v>1228</v>
      </c>
      <c r="I2555" s="308"/>
      <c r="J2555" s="306"/>
      <c r="K2555" s="315">
        <v>0</v>
      </c>
      <c r="L2555" s="310"/>
      <c r="M2555" s="310"/>
      <c r="N2555" s="310">
        <v>45092</v>
      </c>
      <c r="O2555" s="309">
        <v>5307</v>
      </c>
      <c r="P2555" s="302"/>
      <c r="Q2555" s="485">
        <v>0</v>
      </c>
      <c r="S2555" s="535">
        <v>0</v>
      </c>
      <c r="T2555" s="322">
        <v>0</v>
      </c>
      <c r="U2555" s="515"/>
      <c r="V2555" s="494">
        <v>120</v>
      </c>
      <c r="W2555" s="2041" t="e">
        <f t="shared" si="151"/>
        <v>#DIV/0!</v>
      </c>
    </row>
    <row r="2556" spans="1:23" ht="15">
      <c r="C2556" s="6" t="s">
        <v>6112</v>
      </c>
      <c r="D2556" s="15" t="s">
        <v>1126</v>
      </c>
      <c r="E2556" s="20" t="s">
        <v>1127</v>
      </c>
      <c r="F2556" s="26"/>
      <c r="G2556" s="24"/>
      <c r="H2556" s="67"/>
      <c r="I2556" s="68"/>
      <c r="J2556" s="67"/>
      <c r="K2556" s="17" t="s">
        <v>134</v>
      </c>
      <c r="L2556" s="39"/>
      <c r="M2556" s="39"/>
      <c r="N2556" s="39">
        <v>45100</v>
      </c>
      <c r="O2556" s="38">
        <v>5328</v>
      </c>
      <c r="P2556" s="6"/>
      <c r="Q2556" s="481"/>
      <c r="S2556" s="489"/>
      <c r="T2556" s="113"/>
      <c r="U2556" s="500"/>
      <c r="V2556" s="494">
        <v>120</v>
      </c>
      <c r="W2556" s="2041" t="e">
        <f t="shared" si="151"/>
        <v>#VALUE!</v>
      </c>
    </row>
    <row r="2557" spans="1:23" ht="15.75">
      <c r="B2557" s="28" t="s">
        <v>1856</v>
      </c>
      <c r="C2557" s="6" t="s">
        <v>6112</v>
      </c>
      <c r="D2557" s="15" t="s">
        <v>1126</v>
      </c>
      <c r="E2557" s="24" t="s">
        <v>447</v>
      </c>
      <c r="F2557" s="26"/>
      <c r="G2557" s="24" t="s">
        <v>353</v>
      </c>
      <c r="H2557" s="67">
        <v>50</v>
      </c>
      <c r="I2557" s="68">
        <v>10</v>
      </c>
      <c r="J2557" s="67">
        <f>H2557*I2557</f>
        <v>500</v>
      </c>
      <c r="K2557" s="25">
        <v>0.31</v>
      </c>
      <c r="L2557" s="46">
        <f>K2557*J2557</f>
        <v>155</v>
      </c>
      <c r="M2557" s="162" t="s">
        <v>2219</v>
      </c>
      <c r="N2557" s="39">
        <v>45100</v>
      </c>
      <c r="O2557" s="38">
        <v>5328</v>
      </c>
      <c r="P2557" s="46">
        <f>K2557*(VLOOKUP(B2557,$C$2:$F$6,3,FALSE))</f>
        <v>0.27279999999999999</v>
      </c>
      <c r="Q2557" s="483">
        <v>0.27</v>
      </c>
      <c r="R2557" s="704">
        <f>Q2557*J2557</f>
        <v>135</v>
      </c>
      <c r="S2557" s="489">
        <v>16.600000000000001</v>
      </c>
      <c r="T2557" s="113">
        <f>S2557*J2557</f>
        <v>8300</v>
      </c>
      <c r="U2557" s="1863" t="s">
        <v>5577</v>
      </c>
      <c r="V2557" s="494">
        <v>120</v>
      </c>
      <c r="W2557" s="2041">
        <f t="shared" si="151"/>
        <v>0.55376344086021501</v>
      </c>
    </row>
    <row r="2558" spans="1:23" s="7" customFormat="1" ht="15" customHeight="1">
      <c r="A2558" s="1"/>
      <c r="B2558" s="12"/>
      <c r="C2558" s="6" t="s">
        <v>6112</v>
      </c>
      <c r="D2558" s="15" t="s">
        <v>1126</v>
      </c>
      <c r="E2558" s="24"/>
      <c r="F2558" s="44"/>
      <c r="G2558" s="44" t="s">
        <v>1949</v>
      </c>
      <c r="H2558" s="45"/>
      <c r="I2558" s="152" ph="1"/>
      <c r="J2558" s="45">
        <v>1</v>
      </c>
      <c r="K2558" s="46">
        <v>12</v>
      </c>
      <c r="L2558" s="46">
        <f>K2558*J2558</f>
        <v>12</v>
      </c>
      <c r="M2558" s="112"/>
      <c r="N2558" s="39">
        <v>45100</v>
      </c>
      <c r="O2558" s="38">
        <v>5328</v>
      </c>
      <c r="P2558" s="6"/>
      <c r="Q2558" s="483">
        <v>12</v>
      </c>
      <c r="R2558" s="704">
        <f>Q2558*J2558</f>
        <v>12</v>
      </c>
      <c r="S2558" s="489">
        <v>1100</v>
      </c>
      <c r="T2558" s="113">
        <f>S2558*J2558</f>
        <v>1100</v>
      </c>
      <c r="U2558" s="501"/>
      <c r="V2558" s="494">
        <v>120</v>
      </c>
      <c r="W2558" s="2041">
        <f t="shared" si="151"/>
        <v>0.2361111111111111</v>
      </c>
    </row>
    <row r="2559" spans="1:23" s="314" customFormat="1" ht="15" customHeight="1">
      <c r="A2559" s="1"/>
      <c r="B2559" s="313"/>
      <c r="C2559" s="302" t="s">
        <v>6112</v>
      </c>
      <c r="D2559" s="303" t="s">
        <v>1126</v>
      </c>
      <c r="E2559" s="304"/>
      <c r="F2559" s="305"/>
      <c r="G2559" s="305" t="s">
        <v>1227</v>
      </c>
      <c r="H2559" s="307" t="s">
        <v>1228</v>
      </c>
      <c r="I2559" s="308"/>
      <c r="J2559" s="306"/>
      <c r="K2559" s="316">
        <v>0</v>
      </c>
      <c r="L2559" s="310"/>
      <c r="M2559" s="310"/>
      <c r="N2559" s="310">
        <v>45100</v>
      </c>
      <c r="O2559" s="309">
        <v>5328</v>
      </c>
      <c r="P2559" s="302"/>
      <c r="Q2559" s="485">
        <v>0</v>
      </c>
      <c r="S2559" s="536">
        <v>0</v>
      </c>
      <c r="T2559" s="322">
        <v>0</v>
      </c>
      <c r="U2559" s="515"/>
      <c r="V2559" s="494">
        <v>120</v>
      </c>
      <c r="W2559" s="2041" t="e">
        <f t="shared" si="151"/>
        <v>#DIV/0!</v>
      </c>
    </row>
    <row r="2560" spans="1:23" s="7" customFormat="1" ht="18" customHeight="1">
      <c r="B2560" s="12"/>
      <c r="C2560" s="6" t="s">
        <v>6138</v>
      </c>
      <c r="D2560" s="15" t="s">
        <v>2451</v>
      </c>
      <c r="E2560" s="20" t="s">
        <v>1647</v>
      </c>
      <c r="F2560" s="150"/>
      <c r="G2560" s="24"/>
      <c r="H2560" s="151"/>
      <c r="I2560" s="152"/>
      <c r="J2560" s="151"/>
      <c r="K2560" s="34" t="s">
        <v>10</v>
      </c>
      <c r="L2560" s="39"/>
      <c r="M2560" s="39"/>
      <c r="N2560" s="39">
        <v>45121</v>
      </c>
      <c r="O2560" s="38">
        <v>5360</v>
      </c>
      <c r="P2560" s="15"/>
      <c r="Q2560" s="483"/>
      <c r="S2560" s="489"/>
      <c r="T2560" s="113"/>
      <c r="U2560" s="506"/>
      <c r="V2560" s="494">
        <v>120</v>
      </c>
      <c r="W2560" s="2041" t="e">
        <f t="shared" si="151"/>
        <v>#VALUE!</v>
      </c>
    </row>
    <row r="2561" spans="2:23" s="7" customFormat="1" ht="15" customHeight="1">
      <c r="B2561" s="12" t="s">
        <v>1858</v>
      </c>
      <c r="C2561" s="6" t="s">
        <v>6138</v>
      </c>
      <c r="D2561" s="15" t="s">
        <v>2451</v>
      </c>
      <c r="E2561" s="24" t="s">
        <v>2447</v>
      </c>
      <c r="F2561" s="150">
        <v>152</v>
      </c>
      <c r="G2561" s="24" t="s">
        <v>114</v>
      </c>
      <c r="H2561" s="8">
        <v>52</v>
      </c>
      <c r="I2561" s="41">
        <v>1</v>
      </c>
      <c r="J2561" s="8">
        <f>H2561*I2561</f>
        <v>52</v>
      </c>
      <c r="K2561" s="46">
        <v>5.84</v>
      </c>
      <c r="L2561" s="46">
        <f>K2561*J2561</f>
        <v>303.68</v>
      </c>
      <c r="M2561" s="162" t="s">
        <v>2219</v>
      </c>
      <c r="N2561" s="39">
        <v>45121</v>
      </c>
      <c r="O2561" s="38">
        <v>5360</v>
      </c>
      <c r="P2561" s="46">
        <v>4.7699999999999996</v>
      </c>
      <c r="Q2561" s="483">
        <v>4.7699999999999996</v>
      </c>
      <c r="R2561" s="704">
        <f>Q2561*J2561</f>
        <v>248.03999999999996</v>
      </c>
      <c r="S2561" s="532">
        <v>380</v>
      </c>
      <c r="T2561" s="567">
        <f>S2561*J2561</f>
        <v>19760</v>
      </c>
      <c r="U2561" s="882"/>
      <c r="V2561" s="494">
        <v>120</v>
      </c>
      <c r="W2561" s="2041">
        <f t="shared" si="151"/>
        <v>0.45776255707762553</v>
      </c>
    </row>
    <row r="2562" spans="2:23" s="7" customFormat="1" ht="15" customHeight="1">
      <c r="B2562" s="12" t="s">
        <v>1858</v>
      </c>
      <c r="C2562" s="6" t="s">
        <v>6138</v>
      </c>
      <c r="D2562" s="15" t="s">
        <v>2451</v>
      </c>
      <c r="E2562" s="24" t="s">
        <v>2447</v>
      </c>
      <c r="F2562" s="150">
        <v>152</v>
      </c>
      <c r="G2562" s="24" t="s">
        <v>114</v>
      </c>
      <c r="H2562" s="8">
        <v>54</v>
      </c>
      <c r="I2562" s="41">
        <v>1</v>
      </c>
      <c r="J2562" s="8">
        <f>H2562*I2562</f>
        <v>54</v>
      </c>
      <c r="K2562" s="46">
        <v>5.84</v>
      </c>
      <c r="L2562" s="46">
        <f>K2562*J2562</f>
        <v>315.36</v>
      </c>
      <c r="M2562" s="162" t="s">
        <v>2219</v>
      </c>
      <c r="N2562" s="39">
        <v>45121</v>
      </c>
      <c r="O2562" s="38">
        <v>5360</v>
      </c>
      <c r="P2562" s="46">
        <v>4.7699999999999996</v>
      </c>
      <c r="Q2562" s="483">
        <v>4.7699999999999996</v>
      </c>
      <c r="R2562" s="704">
        <f>Q2562*J2562</f>
        <v>257.58</v>
      </c>
      <c r="S2562" s="532">
        <v>380</v>
      </c>
      <c r="T2562" s="567">
        <f>S2562*J2562</f>
        <v>20520</v>
      </c>
      <c r="U2562" s="882"/>
      <c r="V2562" s="494">
        <v>120</v>
      </c>
      <c r="W2562" s="2041">
        <f t="shared" si="151"/>
        <v>0.45776255707762553</v>
      </c>
    </row>
    <row r="2563" spans="2:23" s="7" customFormat="1" ht="15" customHeight="1">
      <c r="B2563" s="12" t="s">
        <v>1858</v>
      </c>
      <c r="C2563" s="6" t="s">
        <v>6138</v>
      </c>
      <c r="D2563" s="15" t="s">
        <v>2451</v>
      </c>
      <c r="E2563" s="24" t="s">
        <v>2447</v>
      </c>
      <c r="F2563" s="150">
        <v>152</v>
      </c>
      <c r="G2563" s="24" t="s">
        <v>114</v>
      </c>
      <c r="H2563" s="8">
        <v>55</v>
      </c>
      <c r="I2563" s="41">
        <v>1</v>
      </c>
      <c r="J2563" s="8">
        <f>H2563*I2563</f>
        <v>55</v>
      </c>
      <c r="K2563" s="46">
        <v>5.84</v>
      </c>
      <c r="L2563" s="46">
        <f>K2563*J2563</f>
        <v>321.2</v>
      </c>
      <c r="M2563" s="162" t="s">
        <v>2219</v>
      </c>
      <c r="N2563" s="39">
        <v>45121</v>
      </c>
      <c r="O2563" s="38">
        <v>5360</v>
      </c>
      <c r="P2563" s="46">
        <v>4.7699999999999996</v>
      </c>
      <c r="Q2563" s="483">
        <v>4.7699999999999996</v>
      </c>
      <c r="R2563" s="704">
        <f>Q2563*J2563</f>
        <v>262.34999999999997</v>
      </c>
      <c r="S2563" s="532">
        <v>380</v>
      </c>
      <c r="T2563" s="567">
        <f>S2563*J2563</f>
        <v>20900</v>
      </c>
      <c r="U2563" s="882"/>
      <c r="V2563" s="494">
        <v>120</v>
      </c>
      <c r="W2563" s="2041">
        <f t="shared" si="151"/>
        <v>0.45776255707762553</v>
      </c>
    </row>
    <row r="2564" spans="2:23" s="7" customFormat="1" ht="15" customHeight="1">
      <c r="B2564" s="12" t="s">
        <v>1858</v>
      </c>
      <c r="C2564" s="6" t="s">
        <v>6138</v>
      </c>
      <c r="D2564" s="15" t="s">
        <v>2451</v>
      </c>
      <c r="E2564" s="24" t="s">
        <v>2447</v>
      </c>
      <c r="F2564" s="150">
        <v>152</v>
      </c>
      <c r="G2564" s="24" t="s">
        <v>114</v>
      </c>
      <c r="H2564" s="8">
        <v>56</v>
      </c>
      <c r="I2564" s="41">
        <v>1</v>
      </c>
      <c r="J2564" s="8">
        <f>H2564*I2564</f>
        <v>56</v>
      </c>
      <c r="K2564" s="46">
        <v>5.84</v>
      </c>
      <c r="L2564" s="46">
        <f>K2564*J2564</f>
        <v>327.03999999999996</v>
      </c>
      <c r="M2564" s="162" t="s">
        <v>2219</v>
      </c>
      <c r="N2564" s="39">
        <v>45121</v>
      </c>
      <c r="O2564" s="38">
        <v>5360</v>
      </c>
      <c r="P2564" s="46">
        <v>4.7699999999999996</v>
      </c>
      <c r="Q2564" s="483">
        <v>4.7699999999999996</v>
      </c>
      <c r="R2564" s="704">
        <f>Q2564*J2564</f>
        <v>267.12</v>
      </c>
      <c r="S2564" s="532">
        <v>380</v>
      </c>
      <c r="T2564" s="567">
        <f>S2564*J2564</f>
        <v>21280</v>
      </c>
      <c r="U2564" s="882"/>
      <c r="V2564" s="494">
        <v>120</v>
      </c>
      <c r="W2564" s="2041">
        <f t="shared" si="151"/>
        <v>0.45776255707762553</v>
      </c>
    </row>
    <row r="2565" spans="2:23" s="7" customFormat="1" ht="15" customHeight="1">
      <c r="B2565" s="12" t="s">
        <v>1858</v>
      </c>
      <c r="C2565" s="6" t="s">
        <v>6138</v>
      </c>
      <c r="D2565" s="15" t="s">
        <v>2451</v>
      </c>
      <c r="E2565" s="24" t="s">
        <v>2447</v>
      </c>
      <c r="F2565" s="150">
        <v>152</v>
      </c>
      <c r="G2565" s="24" t="s">
        <v>114</v>
      </c>
      <c r="H2565" s="8">
        <v>58</v>
      </c>
      <c r="I2565" s="41">
        <v>2</v>
      </c>
      <c r="J2565" s="8">
        <f>H2565*I2565</f>
        <v>116</v>
      </c>
      <c r="K2565" s="46">
        <v>5.84</v>
      </c>
      <c r="L2565" s="46">
        <f>K2565*J2565</f>
        <v>677.43999999999994</v>
      </c>
      <c r="M2565" s="162" t="s">
        <v>2219</v>
      </c>
      <c r="N2565" s="39">
        <v>45121</v>
      </c>
      <c r="O2565" s="38">
        <v>5360</v>
      </c>
      <c r="P2565" s="46">
        <v>4.7699999999999996</v>
      </c>
      <c r="Q2565" s="483">
        <v>4.7699999999999996</v>
      </c>
      <c r="R2565" s="704">
        <f>Q2565*J2565</f>
        <v>553.31999999999994</v>
      </c>
      <c r="S2565" s="532">
        <v>380</v>
      </c>
      <c r="T2565" s="567">
        <f>S2565*J2565</f>
        <v>44080</v>
      </c>
      <c r="U2565" s="882"/>
      <c r="V2565" s="494">
        <v>120</v>
      </c>
      <c r="W2565" s="2041">
        <f t="shared" si="151"/>
        <v>0.45776255707762553</v>
      </c>
    </row>
    <row r="2566" spans="2:23" s="7" customFormat="1" ht="15" customHeight="1">
      <c r="B2566" s="12" t="s">
        <v>1862</v>
      </c>
      <c r="C2566" s="6" t="s">
        <v>6138</v>
      </c>
      <c r="D2566" s="15" t="s">
        <v>2451</v>
      </c>
      <c r="E2566" s="24"/>
      <c r="F2566" s="138"/>
      <c r="G2566" s="44" t="s">
        <v>1993</v>
      </c>
      <c r="H2566" s="45"/>
      <c r="I2566" s="41"/>
      <c r="J2566" s="45">
        <v>1</v>
      </c>
      <c r="K2566" s="46">
        <v>20</v>
      </c>
      <c r="L2566" s="46">
        <v>0</v>
      </c>
      <c r="M2566" s="112"/>
      <c r="N2566" s="39">
        <v>45121</v>
      </c>
      <c r="O2566" s="38">
        <v>5360</v>
      </c>
      <c r="P2566" s="46">
        <f>K2566*(VLOOKUP(B2566,$C$2:$F$6,3,FALSE))</f>
        <v>20</v>
      </c>
      <c r="Q2566" s="483">
        <v>20</v>
      </c>
      <c r="R2566" s="483">
        <v>20</v>
      </c>
      <c r="S2566" s="489">
        <v>1800</v>
      </c>
      <c r="T2566" s="113">
        <v>1800</v>
      </c>
      <c r="U2566" s="501"/>
      <c r="V2566" s="494">
        <v>120</v>
      </c>
      <c r="W2566" s="2041">
        <f t="shared" si="151"/>
        <v>0.25</v>
      </c>
    </row>
    <row r="2567" spans="2:23" s="378" customFormat="1" ht="15" customHeight="1">
      <c r="B2567" s="312"/>
      <c r="C2567" s="302" t="s">
        <v>6138</v>
      </c>
      <c r="D2567" s="303" t="s">
        <v>2451</v>
      </c>
      <c r="E2567" s="371"/>
      <c r="F2567" s="305"/>
      <c r="G2567" s="305" t="s">
        <v>2371</v>
      </c>
      <c r="H2567" s="307" t="s">
        <v>1442</v>
      </c>
      <c r="I2567" s="308"/>
      <c r="J2567" s="306">
        <v>333</v>
      </c>
      <c r="K2567" s="315">
        <f>0.77*J2567</f>
        <v>256.41000000000003</v>
      </c>
      <c r="L2567" s="310"/>
      <c r="M2567" s="310"/>
      <c r="N2567" s="310">
        <v>45121</v>
      </c>
      <c r="O2567" s="309">
        <v>5360</v>
      </c>
      <c r="P2567" s="302"/>
      <c r="Q2567" s="315">
        <f>256.41-Q2566</f>
        <v>236.41000000000003</v>
      </c>
      <c r="R2567" s="315">
        <f>256.41-R2566</f>
        <v>236.41000000000003</v>
      </c>
      <c r="S2567" s="1880" t="s">
        <v>6165</v>
      </c>
      <c r="T2567" s="1880" t="s">
        <v>6165</v>
      </c>
      <c r="U2567" s="515"/>
      <c r="V2567" s="494">
        <v>120</v>
      </c>
      <c r="W2567" s="2041" t="e">
        <f t="shared" si="151"/>
        <v>#VALUE!</v>
      </c>
    </row>
    <row r="2568" spans="2:23" s="7" customFormat="1" ht="15" customHeight="1">
      <c r="B2568" s="12"/>
      <c r="C2568" s="6" t="s">
        <v>6192</v>
      </c>
      <c r="D2568" s="15" t="s">
        <v>6191</v>
      </c>
      <c r="E2568" s="20" t="s">
        <v>628</v>
      </c>
      <c r="F2568" s="26"/>
      <c r="G2568" s="24"/>
      <c r="H2568" s="67"/>
      <c r="I2568" s="68"/>
      <c r="J2568" s="67"/>
      <c r="K2568" s="17" t="s">
        <v>134</v>
      </c>
      <c r="L2568" s="39"/>
      <c r="M2568" s="39"/>
      <c r="N2568" s="39">
        <v>45147</v>
      </c>
      <c r="O2568" s="38">
        <v>5415</v>
      </c>
      <c r="P2568" s="179" t="s">
        <v>23</v>
      </c>
      <c r="Q2568" s="438" t="s">
        <v>959</v>
      </c>
      <c r="R2568" s="704"/>
      <c r="S2568" s="489"/>
      <c r="T2568" s="113"/>
      <c r="U2568" s="510"/>
      <c r="V2568" s="494">
        <v>120</v>
      </c>
      <c r="W2568" s="2041" t="e">
        <f t="shared" si="151"/>
        <v>#VALUE!</v>
      </c>
    </row>
    <row r="2569" spans="2:23" s="7" customFormat="1" ht="18" customHeight="1">
      <c r="B2569" s="12" t="s">
        <v>1856</v>
      </c>
      <c r="C2569" s="6" t="s">
        <v>6192</v>
      </c>
      <c r="D2569" s="15" t="s">
        <v>6191</v>
      </c>
      <c r="E2569" s="24">
        <v>5291</v>
      </c>
      <c r="F2569" s="26">
        <v>6</v>
      </c>
      <c r="G2569" s="24" t="s">
        <v>6193</v>
      </c>
      <c r="H2569" s="67">
        <v>50</v>
      </c>
      <c r="I2569" s="68">
        <v>12</v>
      </c>
      <c r="J2569" s="67">
        <f>H2569*I2569</f>
        <v>600</v>
      </c>
      <c r="K2569" s="46">
        <v>0.47</v>
      </c>
      <c r="L2569" s="46">
        <f>K2569*J2569</f>
        <v>282</v>
      </c>
      <c r="M2569" s="162" t="s">
        <v>2219</v>
      </c>
      <c r="N2569" s="39">
        <v>45147</v>
      </c>
      <c r="O2569" s="38">
        <v>5415</v>
      </c>
      <c r="P2569" s="180">
        <v>0.24</v>
      </c>
      <c r="Q2569" s="180">
        <v>0.24</v>
      </c>
      <c r="R2569" s="704">
        <f>Q2569*J2569</f>
        <v>144</v>
      </c>
      <c r="S2569" s="489">
        <v>14.6</v>
      </c>
      <c r="T2569" s="113">
        <f>S2569*J2569</f>
        <v>8760</v>
      </c>
      <c r="U2569" s="867"/>
      <c r="V2569" s="494">
        <v>120</v>
      </c>
      <c r="W2569" s="2041">
        <f t="shared" si="151"/>
        <v>0.74113475177304966</v>
      </c>
    </row>
    <row r="2570" spans="2:23" ht="15.95" customHeight="1">
      <c r="C2570" s="6" t="s">
        <v>6192</v>
      </c>
      <c r="D2570" s="15" t="s">
        <v>6191</v>
      </c>
      <c r="E2570" s="24"/>
      <c r="F2570" s="138"/>
      <c r="G2570" s="44" t="s">
        <v>1993</v>
      </c>
      <c r="H2570" s="8"/>
      <c r="I2570" s="41"/>
      <c r="J2570" s="45">
        <v>1</v>
      </c>
      <c r="K2570" s="46">
        <v>12</v>
      </c>
      <c r="L2570" s="46">
        <v>0</v>
      </c>
      <c r="M2570" s="112"/>
      <c r="N2570" s="39">
        <v>45147</v>
      </c>
      <c r="O2570" s="38">
        <v>5415</v>
      </c>
      <c r="P2570" s="179"/>
      <c r="Q2570" s="180">
        <v>12</v>
      </c>
      <c r="R2570" s="180">
        <v>12</v>
      </c>
      <c r="S2570" s="498">
        <v>850</v>
      </c>
      <c r="T2570" s="568">
        <f>S2570*J2570</f>
        <v>850</v>
      </c>
      <c r="U2570" s="511"/>
      <c r="V2570" s="494">
        <v>120</v>
      </c>
      <c r="W2570" s="2041">
        <f t="shared" si="151"/>
        <v>0.40972222222222221</v>
      </c>
    </row>
    <row r="2571" spans="2:23" ht="15.95" customHeight="1">
      <c r="C2571" s="6" t="s">
        <v>6192</v>
      </c>
      <c r="D2571" s="15" t="s">
        <v>6191</v>
      </c>
      <c r="E2571" s="24"/>
      <c r="F2571" s="138"/>
      <c r="G2571" s="44" t="s">
        <v>6187</v>
      </c>
      <c r="H2571" s="8"/>
      <c r="I2571" s="41"/>
      <c r="J2571" s="45">
        <v>1</v>
      </c>
      <c r="K2571" s="46">
        <v>11</v>
      </c>
      <c r="L2571" s="46">
        <v>11</v>
      </c>
      <c r="M2571" s="112"/>
      <c r="N2571" s="39">
        <v>45147</v>
      </c>
      <c r="O2571" s="38">
        <v>5415</v>
      </c>
      <c r="P2571" s="179"/>
      <c r="Q2571" s="180">
        <v>11</v>
      </c>
      <c r="R2571" s="180">
        <v>11</v>
      </c>
      <c r="S2571" s="498">
        <v>1300</v>
      </c>
      <c r="T2571" s="568">
        <f>S2571*J2571</f>
        <v>1300</v>
      </c>
      <c r="U2571" s="511"/>
      <c r="V2571" s="494">
        <v>120</v>
      </c>
      <c r="W2571" s="2041">
        <f t="shared" si="151"/>
        <v>1.5151515151515152E-2</v>
      </c>
    </row>
    <row r="2572" spans="2:23" s="314" customFormat="1" ht="15" customHeight="1">
      <c r="B2572" s="313"/>
      <c r="C2572" s="302" t="s">
        <v>6192</v>
      </c>
      <c r="D2572" s="303" t="s">
        <v>6191</v>
      </c>
      <c r="E2572" s="304"/>
      <c r="F2572" s="305"/>
      <c r="G2572" s="305" t="s">
        <v>1227</v>
      </c>
      <c r="H2572" s="410"/>
      <c r="I2572" s="308"/>
      <c r="J2572" s="410">
        <v>600</v>
      </c>
      <c r="K2572" s="315">
        <f>0.2*600</f>
        <v>120</v>
      </c>
      <c r="L2572" s="315"/>
      <c r="M2572" s="784"/>
      <c r="N2572" s="310">
        <v>45147</v>
      </c>
      <c r="O2572" s="309">
        <v>5415</v>
      </c>
      <c r="P2572" s="302"/>
      <c r="Q2572" s="315">
        <f>120-Q2570</f>
        <v>108</v>
      </c>
      <c r="R2572" s="315">
        <f>120-R2570</f>
        <v>108</v>
      </c>
      <c r="S2572" s="498">
        <v>5915</v>
      </c>
      <c r="T2572" s="498">
        <v>5915</v>
      </c>
      <c r="U2572" s="1084"/>
      <c r="V2572" s="494">
        <v>120</v>
      </c>
      <c r="W2572" s="2041">
        <f t="shared" si="151"/>
        <v>0.58923611111111107</v>
      </c>
    </row>
    <row r="2573" spans="2:23" s="7" customFormat="1" ht="15">
      <c r="B2573" s="12"/>
      <c r="C2573" s="6" t="s">
        <v>6143</v>
      </c>
      <c r="D2573" s="15" t="s">
        <v>11</v>
      </c>
      <c r="E2573" s="20" t="s">
        <v>27</v>
      </c>
      <c r="F2573" s="150"/>
      <c r="G2573" s="24"/>
      <c r="H2573" s="151"/>
      <c r="I2573" s="152"/>
      <c r="J2573" s="151"/>
      <c r="K2573" s="34" t="s">
        <v>10</v>
      </c>
      <c r="L2573" s="39"/>
      <c r="M2573" s="39"/>
      <c r="N2573" s="39">
        <v>45126</v>
      </c>
      <c r="O2573" s="38">
        <v>5385</v>
      </c>
      <c r="P2573" s="15"/>
      <c r="Q2573" s="483"/>
      <c r="S2573" s="489"/>
      <c r="T2573" s="113"/>
      <c r="U2573" s="506"/>
      <c r="V2573" s="494">
        <v>120</v>
      </c>
      <c r="W2573" s="2041" t="e">
        <f t="shared" si="151"/>
        <v>#VALUE!</v>
      </c>
    </row>
    <row r="2574" spans="2:23" s="7" customFormat="1" ht="15.75">
      <c r="B2574" s="12" t="s">
        <v>1858</v>
      </c>
      <c r="C2574" s="6" t="s">
        <v>6143</v>
      </c>
      <c r="D2574" s="15" t="s">
        <v>11</v>
      </c>
      <c r="E2574" s="24" t="s">
        <v>536</v>
      </c>
      <c r="F2574" s="150">
        <v>160</v>
      </c>
      <c r="G2574" s="2050" t="s">
        <v>6144</v>
      </c>
      <c r="H2574" s="67">
        <v>50</v>
      </c>
      <c r="I2574" s="68">
        <v>4</v>
      </c>
      <c r="J2574" s="8">
        <f>H2574*I2574</f>
        <v>200</v>
      </c>
      <c r="K2574" s="25">
        <v>5</v>
      </c>
      <c r="L2574" s="46">
        <f>K2574*J2574</f>
        <v>1000</v>
      </c>
      <c r="M2574" s="162" t="s">
        <v>2218</v>
      </c>
      <c r="N2574" s="39">
        <v>45126</v>
      </c>
      <c r="O2574" s="38">
        <v>5385</v>
      </c>
      <c r="P2574" s="46">
        <f>K2574*(VLOOKUP(B2574,$C$2:$F$6,3,FALSE))</f>
        <v>4.6999999999999993</v>
      </c>
      <c r="Q2574" s="483">
        <v>4.7</v>
      </c>
      <c r="R2574" s="704">
        <f>Q2574*J2574</f>
        <v>940</v>
      </c>
      <c r="S2574" s="532">
        <v>380</v>
      </c>
      <c r="T2574" s="567">
        <f>S2574*J2574</f>
        <v>76000</v>
      </c>
      <c r="U2574" s="501"/>
      <c r="V2574" s="494">
        <v>120</v>
      </c>
      <c r="W2574" s="2041">
        <f t="shared" si="151"/>
        <v>0.36666666666666664</v>
      </c>
    </row>
    <row r="2575" spans="2:23" ht="15">
      <c r="C2575" s="6" t="s">
        <v>6143</v>
      </c>
      <c r="D2575" s="15" t="s">
        <v>11</v>
      </c>
      <c r="E2575" s="20" t="s">
        <v>79</v>
      </c>
      <c r="F2575" s="150"/>
      <c r="G2575" s="24"/>
      <c r="H2575" s="151"/>
      <c r="I2575" s="152"/>
      <c r="J2575" s="151"/>
      <c r="K2575" s="153" t="s">
        <v>10</v>
      </c>
      <c r="L2575" s="39"/>
      <c r="M2575" s="39"/>
      <c r="N2575" s="39">
        <v>45126</v>
      </c>
      <c r="O2575" s="38">
        <v>5385</v>
      </c>
      <c r="P2575" s="15"/>
      <c r="Q2575" s="483"/>
      <c r="S2575" s="496"/>
      <c r="T2575" s="113"/>
      <c r="V2575" s="494">
        <v>120</v>
      </c>
      <c r="W2575" s="2041" t="e">
        <f t="shared" si="151"/>
        <v>#VALUE!</v>
      </c>
    </row>
    <row r="2576" spans="2:23" ht="15.75">
      <c r="B2576" s="12" t="s">
        <v>1858</v>
      </c>
      <c r="C2576" s="6" t="s">
        <v>6143</v>
      </c>
      <c r="D2576" s="15" t="s">
        <v>11</v>
      </c>
      <c r="E2576" s="24">
        <v>2440</v>
      </c>
      <c r="F2576" s="150">
        <v>140</v>
      </c>
      <c r="G2576" s="24" t="s">
        <v>733</v>
      </c>
      <c r="H2576" s="67">
        <v>58</v>
      </c>
      <c r="I2576" s="68">
        <v>3</v>
      </c>
      <c r="J2576" s="67">
        <f>H2576*I2576</f>
        <v>174</v>
      </c>
      <c r="K2576" s="46">
        <v>3.89</v>
      </c>
      <c r="L2576" s="46">
        <f>K2576*J2576</f>
        <v>676.86</v>
      </c>
      <c r="M2576" s="162" t="s">
        <v>2219</v>
      </c>
      <c r="N2576" s="39">
        <v>45126</v>
      </c>
      <c r="O2576" s="38">
        <v>5385</v>
      </c>
      <c r="P2576" s="46">
        <f>K2576*(VLOOKUP(B2576,$C$2:$F$6,3,FALSE))</f>
        <v>3.6566000000000001</v>
      </c>
      <c r="Q2576" s="483">
        <v>3.66</v>
      </c>
      <c r="R2576" s="704">
        <f>Q2576*J2576</f>
        <v>636.84</v>
      </c>
      <c r="S2576" s="489">
        <v>300</v>
      </c>
      <c r="T2576" s="567">
        <f>S2576*J2576</f>
        <v>52200</v>
      </c>
      <c r="V2576" s="494">
        <v>120</v>
      </c>
      <c r="W2576" s="2041">
        <f t="shared" si="151"/>
        <v>0.35732647814910029</v>
      </c>
    </row>
    <row r="2577" spans="1:23" s="217" customFormat="1" ht="15.95" customHeight="1">
      <c r="B2577" s="539"/>
      <c r="C2577" s="216" t="s">
        <v>6143</v>
      </c>
      <c r="D2577" s="109" t="s">
        <v>11</v>
      </c>
      <c r="E2577" s="228"/>
      <c r="F2577" s="160"/>
      <c r="G2577" s="42" t="s">
        <v>1993</v>
      </c>
      <c r="H2577" s="214"/>
      <c r="I2577" s="215"/>
      <c r="J2577" s="43">
        <v>1</v>
      </c>
      <c r="K2577" s="229">
        <v>20</v>
      </c>
      <c r="L2577" s="229">
        <v>0</v>
      </c>
      <c r="M2577" s="969"/>
      <c r="N2577" s="39">
        <v>45126</v>
      </c>
      <c r="O2577" s="38">
        <v>5385</v>
      </c>
      <c r="P2577" s="692"/>
      <c r="Q2577" s="970">
        <v>0</v>
      </c>
      <c r="R2577" s="970">
        <v>0</v>
      </c>
      <c r="S2577" s="971">
        <v>1800</v>
      </c>
      <c r="T2577" s="972">
        <f>S2577*J2577</f>
        <v>1800</v>
      </c>
      <c r="U2577" s="667"/>
      <c r="V2577" s="547">
        <v>120</v>
      </c>
      <c r="W2577" s="2051">
        <f t="shared" si="151"/>
        <v>0.25</v>
      </c>
    </row>
    <row r="2578" spans="1:23" s="314" customFormat="1" ht="15" customHeight="1">
      <c r="A2578" s="1"/>
      <c r="B2578" s="313"/>
      <c r="C2578" s="302" t="s">
        <v>6143</v>
      </c>
      <c r="D2578" s="303" t="s">
        <v>11</v>
      </c>
      <c r="E2578" s="304"/>
      <c r="F2578" s="305"/>
      <c r="G2578" s="305" t="s">
        <v>1227</v>
      </c>
      <c r="H2578" s="307" t="s">
        <v>1228</v>
      </c>
      <c r="I2578" s="308"/>
      <c r="J2578" s="306"/>
      <c r="K2578" s="316">
        <v>0</v>
      </c>
      <c r="L2578" s="310"/>
      <c r="M2578" s="310"/>
      <c r="N2578" s="310">
        <v>45126</v>
      </c>
      <c r="O2578" s="309">
        <v>5385</v>
      </c>
      <c r="P2578" s="302"/>
      <c r="Q2578" s="485">
        <v>0</v>
      </c>
      <c r="S2578" s="536">
        <v>0</v>
      </c>
      <c r="T2578" s="322">
        <v>0</v>
      </c>
      <c r="U2578" s="515"/>
      <c r="V2578" s="494">
        <v>120</v>
      </c>
      <c r="W2578" s="2041" t="e">
        <f t="shared" si="151"/>
        <v>#DIV/0!</v>
      </c>
    </row>
    <row r="2579" spans="1:23" s="7" customFormat="1" ht="18" customHeight="1">
      <c r="B2579" s="12"/>
      <c r="C2579" s="6" t="s">
        <v>6150</v>
      </c>
      <c r="D2579" s="15" t="s">
        <v>6145</v>
      </c>
      <c r="E2579" s="20" t="s">
        <v>6057</v>
      </c>
      <c r="F2579" s="44"/>
      <c r="G2579" s="44"/>
      <c r="H2579" s="151"/>
      <c r="I2579" s="151"/>
      <c r="J2579" s="151"/>
      <c r="K2579" s="153" t="s">
        <v>134</v>
      </c>
      <c r="L2579" s="213"/>
      <c r="M2579" s="39"/>
      <c r="N2579" s="39">
        <v>45125</v>
      </c>
      <c r="O2579" s="38">
        <v>5376</v>
      </c>
      <c r="P2579" s="6"/>
      <c r="Q2579" s="862"/>
      <c r="U2579" s="23"/>
      <c r="V2579" s="494">
        <v>120</v>
      </c>
      <c r="W2579" s="2041" t="e">
        <f t="shared" si="151"/>
        <v>#VALUE!</v>
      </c>
    </row>
    <row r="2580" spans="1:23" s="7" customFormat="1" ht="17.25" customHeight="1">
      <c r="B2580" s="12" t="s">
        <v>1856</v>
      </c>
      <c r="C2580" s="6" t="s">
        <v>6150</v>
      </c>
      <c r="D2580" s="15" t="s">
        <v>6145</v>
      </c>
      <c r="E2580" s="24" t="s">
        <v>6146</v>
      </c>
      <c r="F2580" s="44"/>
      <c r="G2580" s="44" t="s">
        <v>78</v>
      </c>
      <c r="H2580" s="67">
        <v>14</v>
      </c>
      <c r="I2580" s="68">
        <v>1</v>
      </c>
      <c r="J2580" s="67">
        <f>H2580*I2580</f>
        <v>14</v>
      </c>
      <c r="K2580" s="46">
        <v>1.02</v>
      </c>
      <c r="L2580" s="46">
        <f>K2580*J2580</f>
        <v>14.280000000000001</v>
      </c>
      <c r="M2580" s="162" t="s">
        <v>2607</v>
      </c>
      <c r="N2580" s="39">
        <v>45125</v>
      </c>
      <c r="O2580" s="38">
        <v>5376</v>
      </c>
      <c r="P2580" s="46">
        <f>K2580*(VLOOKUP(B2580,$C$2:$F$6,3,FALSE))</f>
        <v>0.89760000000000006</v>
      </c>
      <c r="Q2580" s="910">
        <v>0.9</v>
      </c>
      <c r="R2580" s="703">
        <f>Q2580*J2580</f>
        <v>12.6</v>
      </c>
      <c r="S2580" s="7">
        <v>70</v>
      </c>
      <c r="T2580" s="7">
        <f>S2580*J2580</f>
        <v>980</v>
      </c>
      <c r="U2580" s="503"/>
      <c r="V2580" s="494">
        <v>120</v>
      </c>
      <c r="W2580" s="2041">
        <f t="shared" si="151"/>
        <v>0.42810457516339873</v>
      </c>
    </row>
    <row r="2581" spans="1:23" ht="15.95" customHeight="1">
      <c r="C2581" s="6" t="s">
        <v>6150</v>
      </c>
      <c r="D2581" s="15" t="s">
        <v>6145</v>
      </c>
      <c r="E2581" s="24"/>
      <c r="F2581" s="138"/>
      <c r="G2581" s="44" t="s">
        <v>1993</v>
      </c>
      <c r="H2581" s="8"/>
      <c r="I2581" s="41"/>
      <c r="J2581" s="45">
        <v>1</v>
      </c>
      <c r="K2581" s="46">
        <v>12</v>
      </c>
      <c r="L2581" s="46">
        <v>12</v>
      </c>
      <c r="M2581" s="112"/>
      <c r="N2581" s="39">
        <v>45125</v>
      </c>
      <c r="O2581" s="38">
        <v>5376</v>
      </c>
      <c r="P2581" s="179"/>
      <c r="Q2581" s="46">
        <v>12</v>
      </c>
      <c r="R2581" s="46">
        <v>12</v>
      </c>
      <c r="S2581" s="498">
        <v>800</v>
      </c>
      <c r="T2581" s="568">
        <f>S2581*J2581</f>
        <v>800</v>
      </c>
      <c r="U2581" s="511"/>
      <c r="V2581" s="494">
        <v>120</v>
      </c>
      <c r="W2581" s="2041">
        <f t="shared" si="151"/>
        <v>0.44444444444444442</v>
      </c>
    </row>
    <row r="2582" spans="1:23" s="314" customFormat="1" ht="15" customHeight="1">
      <c r="B2582" s="313"/>
      <c r="C2582" s="302" t="s">
        <v>6150</v>
      </c>
      <c r="D2582" s="303" t="s">
        <v>6145</v>
      </c>
      <c r="E2582" s="304"/>
      <c r="F2582" s="305"/>
      <c r="G2582" s="305" t="s">
        <v>1227</v>
      </c>
      <c r="H2582" s="307" t="s">
        <v>1228</v>
      </c>
      <c r="I2582" s="308"/>
      <c r="J2582" s="306"/>
      <c r="K2582" s="316">
        <v>0</v>
      </c>
      <c r="L2582" s="310"/>
      <c r="M2582" s="310"/>
      <c r="N2582" s="310">
        <v>45125</v>
      </c>
      <c r="O2582" s="309">
        <v>5376</v>
      </c>
      <c r="P2582" s="302"/>
      <c r="Q2582" s="485">
        <v>0</v>
      </c>
      <c r="S2582" s="536">
        <v>0</v>
      </c>
      <c r="T2582" s="322">
        <v>0</v>
      </c>
      <c r="U2582" s="515"/>
      <c r="V2582" s="494">
        <v>120</v>
      </c>
      <c r="W2582" s="2041" t="e">
        <f t="shared" si="151"/>
        <v>#DIV/0!</v>
      </c>
    </row>
    <row r="2583" spans="1:23" s="7" customFormat="1" ht="15" customHeight="1">
      <c r="B2583" s="12"/>
      <c r="C2583" s="6" t="s">
        <v>6151</v>
      </c>
      <c r="D2583" s="15" t="s">
        <v>958</v>
      </c>
      <c r="E2583" s="2013" t="s">
        <v>5978</v>
      </c>
      <c r="F2583" s="26"/>
      <c r="G2583" s="24"/>
      <c r="H2583" s="67"/>
      <c r="I2583" s="68"/>
      <c r="J2583" s="67"/>
      <c r="K2583" s="17" t="s">
        <v>134</v>
      </c>
      <c r="L2583" s="39"/>
      <c r="M2583" s="39"/>
      <c r="N2583" s="39">
        <v>45145</v>
      </c>
      <c r="O2583" s="38">
        <v>5414</v>
      </c>
      <c r="P2583" s="179" t="s">
        <v>23</v>
      </c>
      <c r="Q2583" s="438" t="s">
        <v>959</v>
      </c>
      <c r="R2583" s="704"/>
      <c r="S2583" s="489"/>
      <c r="T2583" s="113"/>
      <c r="U2583" s="510"/>
      <c r="V2583" s="494">
        <v>120</v>
      </c>
      <c r="W2583" s="2041" t="e">
        <f t="shared" si="151"/>
        <v>#VALUE!</v>
      </c>
    </row>
    <row r="2584" spans="1:23" s="7" customFormat="1" ht="18" customHeight="1">
      <c r="B2584" s="12" t="s">
        <v>1856</v>
      </c>
      <c r="C2584" s="6" t="s">
        <v>6151</v>
      </c>
      <c r="D2584" s="15" t="s">
        <v>958</v>
      </c>
      <c r="E2584" s="24" t="s">
        <v>5973</v>
      </c>
      <c r="F2584" s="246">
        <v>10</v>
      </c>
      <c r="G2584" s="24" t="s">
        <v>6147</v>
      </c>
      <c r="H2584" s="151">
        <v>100</v>
      </c>
      <c r="I2584" s="152">
        <v>8</v>
      </c>
      <c r="J2584" s="8">
        <f>H2584*I2584</f>
        <v>800</v>
      </c>
      <c r="K2584" s="46">
        <v>1.01</v>
      </c>
      <c r="L2584" s="46">
        <f>K2584*J2584</f>
        <v>808</v>
      </c>
      <c r="M2584" s="162" t="s">
        <v>2219</v>
      </c>
      <c r="N2584" s="39">
        <v>45145</v>
      </c>
      <c r="O2584" s="38">
        <v>5414</v>
      </c>
      <c r="P2584" s="180">
        <v>0.72</v>
      </c>
      <c r="Q2584" s="180">
        <v>0.72</v>
      </c>
      <c r="R2584" s="704">
        <f>Q2584*J2584</f>
        <v>576</v>
      </c>
      <c r="S2584" s="489">
        <v>44</v>
      </c>
      <c r="T2584" s="113">
        <f>S2584*J2584</f>
        <v>35200</v>
      </c>
      <c r="U2584" s="867"/>
      <c r="V2584" s="494">
        <v>120</v>
      </c>
      <c r="W2584" s="2041">
        <f t="shared" si="151"/>
        <v>0.63696369636963701</v>
      </c>
    </row>
    <row r="2585" spans="1:23" ht="15.95" customHeight="1">
      <c r="C2585" s="6" t="s">
        <v>6151</v>
      </c>
      <c r="D2585" s="15" t="s">
        <v>958</v>
      </c>
      <c r="E2585" s="24"/>
      <c r="F2585" s="138"/>
      <c r="G2585" s="44" t="s">
        <v>6148</v>
      </c>
      <c r="H2585" s="8"/>
      <c r="I2585" s="41"/>
      <c r="J2585" s="45">
        <v>1</v>
      </c>
      <c r="K2585" s="46">
        <v>190</v>
      </c>
      <c r="L2585" s="46">
        <v>190</v>
      </c>
      <c r="M2585" s="112"/>
      <c r="N2585" s="39">
        <v>45145</v>
      </c>
      <c r="O2585" s="38">
        <v>5414</v>
      </c>
      <c r="P2585" s="179"/>
      <c r="Q2585" s="180">
        <v>190</v>
      </c>
      <c r="R2585" s="704">
        <f>Q2585*J2585</f>
        <v>190</v>
      </c>
      <c r="S2585" s="498">
        <v>18000</v>
      </c>
      <c r="T2585" s="568">
        <f>S2585*J2585</f>
        <v>18000</v>
      </c>
      <c r="U2585" s="511"/>
      <c r="V2585" s="494">
        <v>120</v>
      </c>
      <c r="W2585" s="2041">
        <f t="shared" si="151"/>
        <v>0.21052631578947367</v>
      </c>
    </row>
    <row r="2586" spans="1:23" s="314" customFormat="1" ht="15" customHeight="1">
      <c r="B2586" s="313"/>
      <c r="C2586" s="302" t="s">
        <v>6151</v>
      </c>
      <c r="D2586" s="303" t="s">
        <v>958</v>
      </c>
      <c r="E2586" s="304"/>
      <c r="F2586" s="305"/>
      <c r="G2586" s="305" t="s">
        <v>1227</v>
      </c>
      <c r="H2586" s="307" t="s">
        <v>1442</v>
      </c>
      <c r="I2586" s="308"/>
      <c r="J2586" s="410">
        <v>800</v>
      </c>
      <c r="K2586" s="315">
        <f>0.19*J2586</f>
        <v>152</v>
      </c>
      <c r="L2586" s="315"/>
      <c r="M2586" s="784"/>
      <c r="N2586" s="310">
        <v>45145</v>
      </c>
      <c r="O2586" s="309">
        <v>5414</v>
      </c>
      <c r="P2586" s="302"/>
      <c r="Q2586" s="315">
        <v>152</v>
      </c>
      <c r="R2586" s="315">
        <v>152</v>
      </c>
      <c r="S2586" s="928">
        <v>6348</v>
      </c>
      <c r="T2586" s="928">
        <v>6348</v>
      </c>
      <c r="U2586" s="1084"/>
      <c r="V2586" s="494">
        <v>120</v>
      </c>
      <c r="W2586" s="2041">
        <f t="shared" si="151"/>
        <v>0.65197368421052626</v>
      </c>
    </row>
    <row r="2587" spans="1:23" s="7" customFormat="1" ht="18" customHeight="1">
      <c r="B2587" s="12"/>
      <c r="C2587" s="6" t="s">
        <v>6153</v>
      </c>
      <c r="D2587" s="15" t="s">
        <v>586</v>
      </c>
      <c r="E2587" s="20" t="s">
        <v>5944</v>
      </c>
      <c r="F2587" s="24"/>
      <c r="G2587" s="44"/>
      <c r="H2587" s="151"/>
      <c r="I2587" s="151"/>
      <c r="J2587" s="151"/>
      <c r="K2587" s="153" t="s">
        <v>10</v>
      </c>
      <c r="L2587" s="39"/>
      <c r="M2587" s="39"/>
      <c r="N2587" s="39">
        <v>45147</v>
      </c>
      <c r="O2587" s="38">
        <v>5436</v>
      </c>
      <c r="P2587" s="6"/>
      <c r="Q2587" s="411"/>
      <c r="S2587" s="1995"/>
      <c r="T2587" s="113"/>
      <c r="U2587" s="501"/>
      <c r="V2587" s="494">
        <v>120</v>
      </c>
      <c r="W2587" s="2041" t="e">
        <f t="shared" si="151"/>
        <v>#VALUE!</v>
      </c>
    </row>
    <row r="2588" spans="1:23" s="7" customFormat="1" ht="15.95" customHeight="1">
      <c r="B2588" s="12" t="s">
        <v>1856</v>
      </c>
      <c r="C2588" s="6" t="s">
        <v>6153</v>
      </c>
      <c r="D2588" s="15" t="s">
        <v>586</v>
      </c>
      <c r="E2588" s="24" t="s">
        <v>5885</v>
      </c>
      <c r="F2588" s="44"/>
      <c r="G2588" s="44" t="s">
        <v>1768</v>
      </c>
      <c r="H2588" s="151">
        <v>30</v>
      </c>
      <c r="I2588" s="152">
        <v>2</v>
      </c>
      <c r="J2588" s="8">
        <f>H2588*I2588</f>
        <v>60</v>
      </c>
      <c r="K2588" s="46">
        <v>7.5</v>
      </c>
      <c r="L2588" s="46">
        <f>K2588*J2588</f>
        <v>450</v>
      </c>
      <c r="M2588" s="162" t="s">
        <v>2219</v>
      </c>
      <c r="N2588" s="39">
        <v>45147</v>
      </c>
      <c r="O2588" s="38">
        <v>5436</v>
      </c>
      <c r="P2588" s="180">
        <f>K2588*(VLOOKUP(B2588,$C$2:$F$6,3,FALSE))</f>
        <v>6.6</v>
      </c>
      <c r="Q2588" s="483">
        <v>6.6</v>
      </c>
      <c r="R2588" s="704">
        <f>Q2588*J2588</f>
        <v>396</v>
      </c>
      <c r="S2588" s="489">
        <v>540</v>
      </c>
      <c r="T2588" s="113">
        <f>S2588*J2588</f>
        <v>32400</v>
      </c>
      <c r="U2588" s="517"/>
      <c r="V2588" s="494">
        <v>120</v>
      </c>
      <c r="W2588" s="2041">
        <f t="shared" si="151"/>
        <v>0.4</v>
      </c>
    </row>
    <row r="2589" spans="1:23" s="7" customFormat="1" ht="15.95" customHeight="1">
      <c r="B2589" s="12" t="s">
        <v>1856</v>
      </c>
      <c r="C2589" s="6" t="s">
        <v>6153</v>
      </c>
      <c r="D2589" s="15" t="s">
        <v>586</v>
      </c>
      <c r="E2589" s="24" t="s">
        <v>5885</v>
      </c>
      <c r="F2589" s="44"/>
      <c r="G2589" s="44" t="s">
        <v>160</v>
      </c>
      <c r="H2589" s="151">
        <v>30</v>
      </c>
      <c r="I2589" s="152">
        <v>5</v>
      </c>
      <c r="J2589" s="8">
        <f>H2589*I2589</f>
        <v>150</v>
      </c>
      <c r="K2589" s="46">
        <v>7.5</v>
      </c>
      <c r="L2589" s="46">
        <f>K2589*J2589</f>
        <v>1125</v>
      </c>
      <c r="M2589" s="162" t="s">
        <v>2219</v>
      </c>
      <c r="N2589" s="39">
        <v>45147</v>
      </c>
      <c r="O2589" s="38">
        <v>5436</v>
      </c>
      <c r="P2589" s="180">
        <f>K2589*(VLOOKUP(B2589,$C$2:$F$6,3,FALSE))</f>
        <v>6.6</v>
      </c>
      <c r="Q2589" s="483">
        <v>6.6</v>
      </c>
      <c r="R2589" s="704">
        <f>Q2589*J2589</f>
        <v>990</v>
      </c>
      <c r="S2589" s="489">
        <v>540</v>
      </c>
      <c r="T2589" s="113">
        <f>S2589*J2589</f>
        <v>81000</v>
      </c>
      <c r="U2589" s="517"/>
      <c r="V2589" s="494">
        <v>120</v>
      </c>
      <c r="W2589" s="2041">
        <f t="shared" si="151"/>
        <v>0.4</v>
      </c>
    </row>
    <row r="2590" spans="1:23" s="7" customFormat="1" ht="15.95" customHeight="1">
      <c r="B2590" s="12" t="s">
        <v>1856</v>
      </c>
      <c r="C2590" s="6" t="s">
        <v>6153</v>
      </c>
      <c r="D2590" s="15" t="s">
        <v>586</v>
      </c>
      <c r="E2590" s="24" t="s">
        <v>5885</v>
      </c>
      <c r="F2590" s="44"/>
      <c r="G2590" s="44" t="s">
        <v>39</v>
      </c>
      <c r="H2590" s="151">
        <v>30</v>
      </c>
      <c r="I2590" s="152">
        <v>2</v>
      </c>
      <c r="J2590" s="8">
        <f>H2590*I2590</f>
        <v>60</v>
      </c>
      <c r="K2590" s="46">
        <v>7.5</v>
      </c>
      <c r="L2590" s="46">
        <f>K2590*J2590</f>
        <v>450</v>
      </c>
      <c r="M2590" s="162" t="s">
        <v>2219</v>
      </c>
      <c r="N2590" s="39">
        <v>45147</v>
      </c>
      <c r="O2590" s="38">
        <v>5436</v>
      </c>
      <c r="P2590" s="180">
        <f>K2590*(VLOOKUP(B2590,$C$2:$F$6,3,FALSE))</f>
        <v>6.6</v>
      </c>
      <c r="Q2590" s="483">
        <v>6.6</v>
      </c>
      <c r="R2590" s="704">
        <f>Q2590*J2590</f>
        <v>396</v>
      </c>
      <c r="S2590" s="489">
        <v>540</v>
      </c>
      <c r="T2590" s="113">
        <f>S2590*J2590</f>
        <v>32400</v>
      </c>
      <c r="U2590" s="517"/>
      <c r="V2590" s="494">
        <v>120</v>
      </c>
      <c r="W2590" s="2041">
        <f t="shared" si="151"/>
        <v>0.4</v>
      </c>
    </row>
    <row r="2591" spans="1:23" s="314" customFormat="1" ht="15">
      <c r="B2591" s="313"/>
      <c r="C2591" s="302" t="s">
        <v>6153</v>
      </c>
      <c r="D2591" s="303" t="s">
        <v>586</v>
      </c>
      <c r="E2591" s="371"/>
      <c r="F2591" s="305"/>
      <c r="G2591" s="305" t="s">
        <v>1227</v>
      </c>
      <c r="H2591" s="307" t="s">
        <v>1228</v>
      </c>
      <c r="I2591" s="308"/>
      <c r="J2591" s="306"/>
      <c r="K2591" s="315">
        <v>0</v>
      </c>
      <c r="L2591" s="310"/>
      <c r="M2591" s="310"/>
      <c r="N2591" s="310">
        <v>45147</v>
      </c>
      <c r="O2591" s="309">
        <v>5436</v>
      </c>
      <c r="P2591" s="302"/>
      <c r="Q2591" s="485">
        <v>0</v>
      </c>
      <c r="S2591" s="535">
        <v>0</v>
      </c>
      <c r="T2591" s="322">
        <v>0</v>
      </c>
      <c r="U2591" s="515"/>
      <c r="V2591" s="494">
        <v>120</v>
      </c>
      <c r="W2591" s="2041" t="e">
        <f t="shared" si="151"/>
        <v>#DIV/0!</v>
      </c>
    </row>
    <row r="2592" spans="1:23" s="7" customFormat="1" ht="15">
      <c r="B2592" s="12"/>
      <c r="C2592" s="6" t="s">
        <v>6164</v>
      </c>
      <c r="D2592" s="61" t="s">
        <v>1126</v>
      </c>
      <c r="E2592" s="20" t="s">
        <v>344</v>
      </c>
      <c r="F2592" s="26"/>
      <c r="G2592" s="24"/>
      <c r="H2592" s="67"/>
      <c r="I2592" s="68"/>
      <c r="J2592" s="67"/>
      <c r="K2592" s="17" t="s">
        <v>134</v>
      </c>
      <c r="L2592" s="39"/>
      <c r="M2592" s="39"/>
      <c r="N2592" s="39">
        <v>45135</v>
      </c>
      <c r="O2592" s="38">
        <v>5413</v>
      </c>
      <c r="P2592" s="6" t="s">
        <v>23</v>
      </c>
      <c r="Q2592" s="481"/>
      <c r="S2592" s="489"/>
      <c r="T2592" s="113"/>
      <c r="U2592" s="500"/>
      <c r="V2592" s="494">
        <v>120</v>
      </c>
      <c r="W2592" s="2041" t="e">
        <f t="shared" si="151"/>
        <v>#VALUE!</v>
      </c>
    </row>
    <row r="2593" spans="2:23" s="7" customFormat="1" ht="15.75">
      <c r="B2593" s="12" t="s">
        <v>1856</v>
      </c>
      <c r="C2593" s="6" t="s">
        <v>6164</v>
      </c>
      <c r="D2593" s="61" t="s">
        <v>1126</v>
      </c>
      <c r="E2593" s="24">
        <v>14552</v>
      </c>
      <c r="F2593" s="26">
        <v>18</v>
      </c>
      <c r="G2593" s="24" t="s">
        <v>2721</v>
      </c>
      <c r="H2593" s="151">
        <v>30</v>
      </c>
      <c r="I2593" s="152">
        <v>20</v>
      </c>
      <c r="J2593" s="67">
        <f>H2593*I2593</f>
        <v>600</v>
      </c>
      <c r="K2593" s="25">
        <v>1</v>
      </c>
      <c r="L2593" s="46">
        <f>K2593*J2593</f>
        <v>600</v>
      </c>
      <c r="M2593" s="162" t="s">
        <v>2219</v>
      </c>
      <c r="N2593" s="39">
        <v>45135</v>
      </c>
      <c r="O2593" s="38">
        <v>5413</v>
      </c>
      <c r="P2593" s="46">
        <f>K2593*(VLOOKUP(B2593,$C$2:$F$6,3,FALSE))</f>
        <v>0.88</v>
      </c>
      <c r="Q2593" s="482">
        <v>0.88</v>
      </c>
      <c r="R2593" s="704">
        <f>Q2593*J2593</f>
        <v>528</v>
      </c>
      <c r="S2593" s="489">
        <v>60</v>
      </c>
      <c r="T2593" s="567">
        <f>S2593*J2593</f>
        <v>36000</v>
      </c>
      <c r="U2593" s="1784"/>
      <c r="V2593" s="494">
        <v>120</v>
      </c>
      <c r="W2593" s="2041">
        <f t="shared" si="151"/>
        <v>0.5</v>
      </c>
    </row>
    <row r="2594" spans="2:23" s="7" customFormat="1" ht="15.75">
      <c r="B2594" s="12" t="s">
        <v>1856</v>
      </c>
      <c r="C2594" s="6" t="s">
        <v>6164</v>
      </c>
      <c r="D2594" s="61" t="s">
        <v>1126</v>
      </c>
      <c r="E2594" s="24">
        <v>14552</v>
      </c>
      <c r="F2594" s="26">
        <v>18</v>
      </c>
      <c r="G2594" s="24" t="s">
        <v>6166</v>
      </c>
      <c r="H2594" s="151">
        <v>30</v>
      </c>
      <c r="I2594" s="152">
        <v>12</v>
      </c>
      <c r="J2594" s="67">
        <f>H2594*I2594</f>
        <v>360</v>
      </c>
      <c r="K2594" s="25">
        <v>1</v>
      </c>
      <c r="L2594" s="46">
        <f>K2594*J2594</f>
        <v>360</v>
      </c>
      <c r="M2594" s="162" t="s">
        <v>2219</v>
      </c>
      <c r="N2594" s="39">
        <v>45135</v>
      </c>
      <c r="O2594" s="38">
        <v>5413</v>
      </c>
      <c r="P2594" s="46">
        <f>K2594*(VLOOKUP(B2594,$C$2:$F$6,3,FALSE))</f>
        <v>0.88</v>
      </c>
      <c r="Q2594" s="482">
        <v>0.88</v>
      </c>
      <c r="R2594" s="704">
        <f>Q2594*J2594</f>
        <v>316.8</v>
      </c>
      <c r="S2594" s="489">
        <v>60</v>
      </c>
      <c r="T2594" s="567">
        <f>S2594*J2594</f>
        <v>21600</v>
      </c>
      <c r="U2594" s="1784"/>
      <c r="V2594" s="494">
        <v>120</v>
      </c>
      <c r="W2594" s="2041">
        <f t="shared" si="151"/>
        <v>0.5</v>
      </c>
    </row>
    <row r="2595" spans="2:23" s="7" customFormat="1" ht="15.95" customHeight="1">
      <c r="B2595" s="12"/>
      <c r="C2595" s="6" t="s">
        <v>6164</v>
      </c>
      <c r="D2595" s="61" t="s">
        <v>1126</v>
      </c>
      <c r="E2595" s="24"/>
      <c r="F2595" s="138"/>
      <c r="G2595" s="44" t="s">
        <v>1993</v>
      </c>
      <c r="H2595" s="8"/>
      <c r="I2595" s="41"/>
      <c r="J2595" s="45">
        <v>1</v>
      </c>
      <c r="K2595" s="46">
        <v>12</v>
      </c>
      <c r="L2595" s="46">
        <f>K2595*J2595</f>
        <v>12</v>
      </c>
      <c r="M2595" s="39"/>
      <c r="N2595" s="39">
        <v>45135</v>
      </c>
      <c r="O2595" s="38">
        <v>5413</v>
      </c>
      <c r="P2595" s="6"/>
      <c r="Q2595" s="483">
        <v>12</v>
      </c>
      <c r="R2595" s="704">
        <f>Q2595*J2595</f>
        <v>12</v>
      </c>
      <c r="S2595" s="489">
        <v>0</v>
      </c>
      <c r="T2595" s="113">
        <f>S2595*J2595</f>
        <v>0</v>
      </c>
      <c r="U2595" s="501"/>
      <c r="V2595" s="494">
        <v>120</v>
      </c>
      <c r="W2595" s="2041">
        <f t="shared" si="151"/>
        <v>1</v>
      </c>
    </row>
    <row r="2596" spans="2:23" s="314" customFormat="1" ht="15.6" customHeight="1">
      <c r="B2596" s="313"/>
      <c r="C2596" s="302" t="s">
        <v>6164</v>
      </c>
      <c r="D2596" s="592" t="s">
        <v>1126</v>
      </c>
      <c r="E2596" s="371"/>
      <c r="F2596" s="305"/>
      <c r="G2596" s="305" t="s">
        <v>1227</v>
      </c>
      <c r="H2596" s="307" t="s">
        <v>1228</v>
      </c>
      <c r="I2596" s="308"/>
      <c r="J2596" s="306"/>
      <c r="K2596" s="315">
        <v>0</v>
      </c>
      <c r="L2596" s="310"/>
      <c r="M2596" s="310"/>
      <c r="N2596" s="310">
        <v>45135</v>
      </c>
      <c r="O2596" s="309">
        <v>5413</v>
      </c>
      <c r="P2596" s="302"/>
      <c r="Q2596" s="531">
        <v>0</v>
      </c>
      <c r="S2596" s="535">
        <v>0</v>
      </c>
      <c r="T2596" s="322">
        <v>0</v>
      </c>
      <c r="U2596" s="1115"/>
      <c r="V2596" s="494">
        <v>120</v>
      </c>
      <c r="W2596" s="2041" t="e">
        <f t="shared" si="151"/>
        <v>#DIV/0!</v>
      </c>
    </row>
    <row r="2597" spans="2:23" s="7" customFormat="1" ht="15">
      <c r="B2597" s="12"/>
      <c r="C2597" s="6" t="s">
        <v>6184</v>
      </c>
      <c r="D2597" s="15" t="s">
        <v>169</v>
      </c>
      <c r="E2597" s="20" t="s">
        <v>27</v>
      </c>
      <c r="F2597" s="150"/>
      <c r="G2597" s="24"/>
      <c r="H2597" s="151"/>
      <c r="I2597" s="152"/>
      <c r="J2597" s="151"/>
      <c r="K2597" s="34" t="s">
        <v>10</v>
      </c>
      <c r="L2597" s="39"/>
      <c r="M2597" s="39"/>
      <c r="N2597" s="39">
        <v>45145</v>
      </c>
      <c r="O2597" s="38">
        <v>5341</v>
      </c>
      <c r="P2597" s="15"/>
      <c r="Q2597" s="483"/>
      <c r="S2597" s="489"/>
      <c r="T2597" s="113"/>
      <c r="U2597" s="506"/>
      <c r="V2597" s="494">
        <v>120</v>
      </c>
      <c r="W2597" s="2041" t="e">
        <f t="shared" si="151"/>
        <v>#VALUE!</v>
      </c>
    </row>
    <row r="2598" spans="2:23" s="7" customFormat="1" ht="15.75">
      <c r="B2598" s="12" t="s">
        <v>1858</v>
      </c>
      <c r="C2598" s="6" t="s">
        <v>6184</v>
      </c>
      <c r="D2598" s="15" t="s">
        <v>169</v>
      </c>
      <c r="E2598" s="24" t="s">
        <v>536</v>
      </c>
      <c r="F2598" s="150">
        <v>160</v>
      </c>
      <c r="G2598" s="103" t="s">
        <v>6186</v>
      </c>
      <c r="H2598" s="67">
        <v>50</v>
      </c>
      <c r="I2598" s="68">
        <v>2</v>
      </c>
      <c r="J2598" s="8">
        <f>H2598*I2598</f>
        <v>100</v>
      </c>
      <c r="K2598" s="25">
        <v>5</v>
      </c>
      <c r="L2598" s="46">
        <f>K2598*J2598</f>
        <v>500</v>
      </c>
      <c r="M2598" s="162" t="s">
        <v>2218</v>
      </c>
      <c r="N2598" s="39">
        <v>45145</v>
      </c>
      <c r="O2598" s="38">
        <v>5341</v>
      </c>
      <c r="P2598" s="46">
        <f>K2598*(VLOOKUP(B2598,$C$2:$F$6,3,FALSE))</f>
        <v>4.6999999999999993</v>
      </c>
      <c r="Q2598" s="483">
        <v>4.7</v>
      </c>
      <c r="R2598" s="704">
        <f>Q2598*J2598</f>
        <v>470</v>
      </c>
      <c r="S2598" s="532">
        <v>380</v>
      </c>
      <c r="T2598" s="567">
        <f>S2598*J2598</f>
        <v>38000</v>
      </c>
      <c r="U2598" s="501"/>
      <c r="V2598" s="494">
        <v>120</v>
      </c>
      <c r="W2598" s="2041">
        <f t="shared" si="151"/>
        <v>0.36666666666666664</v>
      </c>
    </row>
    <row r="2599" spans="2:23" s="7" customFormat="1" ht="15.75">
      <c r="B2599" s="12" t="s">
        <v>1858</v>
      </c>
      <c r="C2599" s="6" t="s">
        <v>6184</v>
      </c>
      <c r="D2599" s="15" t="s">
        <v>169</v>
      </c>
      <c r="E2599" s="24" t="s">
        <v>536</v>
      </c>
      <c r="F2599" s="150">
        <v>160</v>
      </c>
      <c r="G2599" s="103" t="s">
        <v>6137</v>
      </c>
      <c r="H2599" s="67">
        <v>50</v>
      </c>
      <c r="I2599" s="68">
        <v>4</v>
      </c>
      <c r="J2599" s="8">
        <f>H2599*I2599</f>
        <v>200</v>
      </c>
      <c r="K2599" s="25">
        <v>5</v>
      </c>
      <c r="L2599" s="46">
        <f>K2599*J2599</f>
        <v>1000</v>
      </c>
      <c r="M2599" s="162" t="s">
        <v>2218</v>
      </c>
      <c r="N2599" s="39">
        <v>45145</v>
      </c>
      <c r="O2599" s="38">
        <v>5341</v>
      </c>
      <c r="P2599" s="46">
        <f>K2599*(VLOOKUP(B2599,$C$2:$F$6,3,FALSE))</f>
        <v>4.6999999999999993</v>
      </c>
      <c r="Q2599" s="483">
        <v>4.7</v>
      </c>
      <c r="R2599" s="704">
        <f>Q2599*J2599</f>
        <v>940</v>
      </c>
      <c r="S2599" s="532">
        <v>380</v>
      </c>
      <c r="T2599" s="567">
        <f>S2599*J2599</f>
        <v>76000</v>
      </c>
      <c r="U2599" s="501"/>
      <c r="V2599" s="494">
        <v>120</v>
      </c>
      <c r="W2599" s="2041">
        <f t="shared" si="151"/>
        <v>0.36666666666666664</v>
      </c>
    </row>
    <row r="2600" spans="2:23" s="7" customFormat="1" ht="15.75">
      <c r="B2600" s="12" t="s">
        <v>1858</v>
      </c>
      <c r="C2600" s="6" t="s">
        <v>6184</v>
      </c>
      <c r="D2600" s="15" t="s">
        <v>169</v>
      </c>
      <c r="E2600" s="24" t="s">
        <v>536</v>
      </c>
      <c r="F2600" s="150">
        <v>160</v>
      </c>
      <c r="G2600" s="2050" t="s">
        <v>6185</v>
      </c>
      <c r="H2600" s="67">
        <v>50</v>
      </c>
      <c r="I2600" s="68">
        <v>3</v>
      </c>
      <c r="J2600" s="8">
        <f>H2600*I2600</f>
        <v>150</v>
      </c>
      <c r="K2600" s="25">
        <v>5</v>
      </c>
      <c r="L2600" s="46">
        <f>K2600*J2600</f>
        <v>750</v>
      </c>
      <c r="M2600" s="162" t="s">
        <v>2218</v>
      </c>
      <c r="N2600" s="39">
        <v>45145</v>
      </c>
      <c r="O2600" s="38">
        <v>5341</v>
      </c>
      <c r="P2600" s="46">
        <f>K2600*(VLOOKUP(B2600,$C$2:$F$6,3,FALSE))</f>
        <v>4.6999999999999993</v>
      </c>
      <c r="Q2600" s="483">
        <v>4.7</v>
      </c>
      <c r="R2600" s="704">
        <f>Q2600*J2600</f>
        <v>705</v>
      </c>
      <c r="S2600" s="532">
        <v>380</v>
      </c>
      <c r="T2600" s="567">
        <f>S2600*J2600</f>
        <v>57000</v>
      </c>
      <c r="U2600" s="501"/>
      <c r="V2600" s="494">
        <v>120</v>
      </c>
      <c r="W2600" s="2041">
        <f t="shared" si="151"/>
        <v>0.36666666666666664</v>
      </c>
    </row>
    <row r="2601" spans="2:23" s="217" customFormat="1" ht="15.95" customHeight="1">
      <c r="B2601" s="539"/>
      <c r="C2601" s="6" t="s">
        <v>6184</v>
      </c>
      <c r="D2601" s="15" t="s">
        <v>169</v>
      </c>
      <c r="E2601" s="228"/>
      <c r="F2601" s="160"/>
      <c r="G2601" s="42" t="s">
        <v>1993</v>
      </c>
      <c r="H2601" s="214"/>
      <c r="I2601" s="215"/>
      <c r="J2601" s="43">
        <v>1</v>
      </c>
      <c r="K2601" s="229">
        <v>20</v>
      </c>
      <c r="L2601" s="229">
        <v>0</v>
      </c>
      <c r="M2601" s="969"/>
      <c r="N2601" s="39">
        <v>45145</v>
      </c>
      <c r="O2601" s="38">
        <v>5341</v>
      </c>
      <c r="P2601" s="692"/>
      <c r="Q2601" s="970">
        <v>0</v>
      </c>
      <c r="R2601" s="970">
        <v>0</v>
      </c>
      <c r="S2601" s="498">
        <v>1800</v>
      </c>
      <c r="T2601" s="568">
        <f>S2601*J2601</f>
        <v>1800</v>
      </c>
      <c r="U2601" s="667"/>
      <c r="V2601" s="547">
        <v>120</v>
      </c>
      <c r="W2601" s="2051">
        <f t="shared" si="151"/>
        <v>0.25</v>
      </c>
    </row>
    <row r="2602" spans="2:23" s="314" customFormat="1" ht="15">
      <c r="B2602" s="313"/>
      <c r="C2602" s="302" t="s">
        <v>6184</v>
      </c>
      <c r="D2602" s="303" t="s">
        <v>169</v>
      </c>
      <c r="E2602" s="371"/>
      <c r="F2602" s="305"/>
      <c r="G2602" s="2049" t="s">
        <v>1227</v>
      </c>
      <c r="H2602" s="307" t="s">
        <v>3438</v>
      </c>
      <c r="I2602" s="308"/>
      <c r="J2602" s="306"/>
      <c r="K2602" s="329">
        <v>664</v>
      </c>
      <c r="L2602" s="329">
        <v>664</v>
      </c>
      <c r="M2602" s="1327"/>
      <c r="N2602" s="310">
        <v>45145</v>
      </c>
      <c r="O2602" s="309">
        <v>5341</v>
      </c>
      <c r="P2602" s="1328"/>
      <c r="Q2602" s="329">
        <v>664</v>
      </c>
      <c r="R2602" s="329">
        <v>664</v>
      </c>
      <c r="S2602" s="498">
        <v>68621</v>
      </c>
      <c r="T2602" s="498">
        <v>68621</v>
      </c>
      <c r="U2602" s="1329"/>
      <c r="V2602" s="494">
        <v>120</v>
      </c>
      <c r="W2602" s="2041">
        <f t="shared" si="151"/>
        <v>0.13879267068273093</v>
      </c>
    </row>
    <row r="2603" spans="2:23" s="7" customFormat="1" ht="15" customHeight="1">
      <c r="B2603" s="12"/>
      <c r="C2603" s="6" t="s">
        <v>6212</v>
      </c>
      <c r="D2603" s="15" t="s">
        <v>6210</v>
      </c>
      <c r="E2603" s="20" t="s">
        <v>628</v>
      </c>
      <c r="F2603" s="26"/>
      <c r="G2603" s="24"/>
      <c r="H2603" s="67"/>
      <c r="I2603" s="68"/>
      <c r="J2603" s="67"/>
      <c r="K2603" s="17" t="s">
        <v>134</v>
      </c>
      <c r="L2603" s="39"/>
      <c r="M2603" s="39"/>
      <c r="N2603" s="39">
        <v>45156</v>
      </c>
      <c r="O2603" s="38">
        <v>5453</v>
      </c>
      <c r="P2603" s="179" t="s">
        <v>23</v>
      </c>
      <c r="Q2603" s="438" t="s">
        <v>959</v>
      </c>
      <c r="R2603" s="704"/>
      <c r="S2603" s="707" t="s">
        <v>6220</v>
      </c>
      <c r="T2603" s="113"/>
      <c r="U2603" s="2068" t="s">
        <v>6219</v>
      </c>
      <c r="V2603" s="494">
        <v>120</v>
      </c>
      <c r="W2603" s="2041" t="e">
        <f t="shared" si="151"/>
        <v>#VALUE!</v>
      </c>
    </row>
    <row r="2604" spans="2:23" s="7" customFormat="1" ht="18" customHeight="1">
      <c r="B2604" s="12" t="s">
        <v>1856</v>
      </c>
      <c r="C2604" s="6" t="s">
        <v>6212</v>
      </c>
      <c r="D2604" s="15" t="s">
        <v>6210</v>
      </c>
      <c r="E2604" s="24">
        <v>5291</v>
      </c>
      <c r="F2604" s="26">
        <v>8</v>
      </c>
      <c r="G2604" s="24" t="s">
        <v>6211</v>
      </c>
      <c r="H2604" s="67">
        <v>50</v>
      </c>
      <c r="I2604" s="68">
        <v>1</v>
      </c>
      <c r="J2604" s="67">
        <f>H2604*I2604</f>
        <v>50</v>
      </c>
      <c r="K2604" s="46">
        <v>0.49</v>
      </c>
      <c r="L2604" s="46">
        <f>K2604*J2604</f>
        <v>24.5</v>
      </c>
      <c r="M2604" s="162" t="s">
        <v>2219</v>
      </c>
      <c r="N2604" s="39">
        <v>45156</v>
      </c>
      <c r="O2604" s="38">
        <v>5453</v>
      </c>
      <c r="P2604" s="46">
        <f>K2604*(VLOOKUP(B2604,$C$2:$F$6,3,FALSE))</f>
        <v>0.43119999999999997</v>
      </c>
      <c r="Q2604" s="180">
        <v>0.43</v>
      </c>
      <c r="R2604" s="704">
        <f>Q2604*J2604</f>
        <v>21.5</v>
      </c>
      <c r="S2604" s="489">
        <v>25.4</v>
      </c>
      <c r="T2604" s="113">
        <f>S2604*J2604</f>
        <v>1270</v>
      </c>
      <c r="U2604" s="489">
        <v>28.8</v>
      </c>
      <c r="V2604" s="494">
        <v>120</v>
      </c>
      <c r="W2604" s="2041">
        <f t="shared" si="151"/>
        <v>0.56802721088435371</v>
      </c>
    </row>
    <row r="2605" spans="2:23" ht="15.95" customHeight="1">
      <c r="C2605" s="6" t="s">
        <v>6212</v>
      </c>
      <c r="D2605" s="15" t="s">
        <v>6210</v>
      </c>
      <c r="E2605" s="24"/>
      <c r="F2605" s="138"/>
      <c r="G2605" s="44" t="s">
        <v>1993</v>
      </c>
      <c r="H2605" s="8"/>
      <c r="I2605" s="41"/>
      <c r="J2605" s="45">
        <v>1</v>
      </c>
      <c r="K2605" s="46">
        <v>12</v>
      </c>
      <c r="L2605" s="46">
        <f>K2605*J2605</f>
        <v>12</v>
      </c>
      <c r="M2605" s="112"/>
      <c r="N2605" s="39">
        <v>45156</v>
      </c>
      <c r="O2605" s="38">
        <v>5453</v>
      </c>
      <c r="P2605" s="179"/>
      <c r="Q2605" s="180">
        <v>12</v>
      </c>
      <c r="R2605" s="180">
        <v>12</v>
      </c>
      <c r="S2605" s="498">
        <v>850</v>
      </c>
      <c r="T2605" s="568">
        <f>S2605*J2605</f>
        <v>850</v>
      </c>
      <c r="U2605" s="511"/>
      <c r="V2605" s="494">
        <v>120</v>
      </c>
      <c r="W2605" s="2041">
        <f t="shared" si="151"/>
        <v>0.40972222222222221</v>
      </c>
    </row>
    <row r="2606" spans="2:23" s="314" customFormat="1" ht="15">
      <c r="B2606" s="313"/>
      <c r="C2606" s="302" t="s">
        <v>6212</v>
      </c>
      <c r="D2606" s="303" t="s">
        <v>6210</v>
      </c>
      <c r="E2606" s="371"/>
      <c r="F2606" s="305"/>
      <c r="G2606" s="2049" t="s">
        <v>1227</v>
      </c>
      <c r="H2606" s="307" t="s">
        <v>3438</v>
      </c>
      <c r="I2606" s="308"/>
      <c r="J2606" s="306"/>
      <c r="K2606" s="329">
        <v>21</v>
      </c>
      <c r="L2606" s="329">
        <v>21</v>
      </c>
      <c r="M2606" s="1327"/>
      <c r="N2606" s="310">
        <v>45156</v>
      </c>
      <c r="O2606" s="309">
        <v>5453</v>
      </c>
      <c r="P2606" s="1328"/>
      <c r="Q2606" s="329">
        <v>21</v>
      </c>
      <c r="R2606" s="329">
        <v>21</v>
      </c>
      <c r="S2606" s="498">
        <v>2341</v>
      </c>
      <c r="T2606" s="498">
        <v>2341</v>
      </c>
      <c r="U2606" s="1329"/>
      <c r="V2606" s="494">
        <v>120</v>
      </c>
      <c r="W2606" s="2041">
        <f t="shared" si="151"/>
        <v>7.1031746031746029E-2</v>
      </c>
    </row>
    <row r="2607" spans="2:23" s="7" customFormat="1" ht="15" customHeight="1">
      <c r="B2607" s="12"/>
      <c r="C2607" s="6" t="s">
        <v>6234</v>
      </c>
      <c r="D2607" s="15" t="s">
        <v>6222</v>
      </c>
      <c r="E2607" s="20" t="s">
        <v>6221</v>
      </c>
      <c r="F2607" s="26"/>
      <c r="G2607" s="24"/>
      <c r="H2607" s="67"/>
      <c r="I2607" s="68"/>
      <c r="J2607" s="67"/>
      <c r="K2607" s="17" t="s">
        <v>134</v>
      </c>
      <c r="L2607" s="39"/>
      <c r="M2607" s="39"/>
      <c r="N2607" s="39">
        <v>45170</v>
      </c>
      <c r="O2607" s="38">
        <v>5488</v>
      </c>
      <c r="P2607" s="179" t="s">
        <v>23</v>
      </c>
      <c r="Q2607" s="438" t="s">
        <v>959</v>
      </c>
      <c r="R2607" s="704"/>
      <c r="S2607" s="707"/>
      <c r="T2607" s="113"/>
      <c r="U2607" s="2068"/>
      <c r="V2607" s="494">
        <v>120</v>
      </c>
      <c r="W2607" s="2041" t="e">
        <f t="shared" si="151"/>
        <v>#VALUE!</v>
      </c>
    </row>
    <row r="2608" spans="2:23" s="7" customFormat="1" ht="18" customHeight="1">
      <c r="B2608" s="12" t="s">
        <v>1856</v>
      </c>
      <c r="C2608" s="6" t="s">
        <v>6234</v>
      </c>
      <c r="D2608" s="15" t="s">
        <v>6222</v>
      </c>
      <c r="E2608" s="24" t="s">
        <v>6223</v>
      </c>
      <c r="F2608" s="26">
        <v>9</v>
      </c>
      <c r="G2608" s="24" t="s">
        <v>6224</v>
      </c>
      <c r="H2608" s="67">
        <v>30</v>
      </c>
      <c r="I2608" s="68">
        <v>1</v>
      </c>
      <c r="J2608" s="67">
        <f>H2608*I2608</f>
        <v>30</v>
      </c>
      <c r="K2608" s="46">
        <v>1.25</v>
      </c>
      <c r="L2608" s="46">
        <f>K2608*J2608</f>
        <v>37.5</v>
      </c>
      <c r="M2608" s="162" t="s">
        <v>2219</v>
      </c>
      <c r="N2608" s="39">
        <v>45170</v>
      </c>
      <c r="O2608" s="38">
        <v>5488</v>
      </c>
      <c r="P2608" s="46">
        <f>K2608*(VLOOKUP(B2608,$C$2:$F$6,3,FALSE))</f>
        <v>1.1000000000000001</v>
      </c>
      <c r="Q2608" s="180">
        <v>1.1000000000000001</v>
      </c>
      <c r="R2608" s="704">
        <f>Q2608*J2608</f>
        <v>33</v>
      </c>
      <c r="S2608" s="489">
        <v>86</v>
      </c>
      <c r="T2608" s="113">
        <f>S2608*J2608</f>
        <v>2580</v>
      </c>
      <c r="U2608" s="489"/>
      <c r="V2608" s="494">
        <v>120</v>
      </c>
      <c r="W2608" s="2041">
        <f t="shared" si="151"/>
        <v>0.42666666666666669</v>
      </c>
    </row>
    <row r="2609" spans="2:23" s="7" customFormat="1" ht="18" customHeight="1">
      <c r="B2609" s="12" t="s">
        <v>1856</v>
      </c>
      <c r="C2609" s="6" t="s">
        <v>6234</v>
      </c>
      <c r="D2609" s="15" t="s">
        <v>6222</v>
      </c>
      <c r="E2609" s="24" t="s">
        <v>6223</v>
      </c>
      <c r="F2609" s="26">
        <v>15</v>
      </c>
      <c r="G2609" s="24" t="s">
        <v>6224</v>
      </c>
      <c r="H2609" s="67">
        <v>30</v>
      </c>
      <c r="I2609" s="68">
        <v>1</v>
      </c>
      <c r="J2609" s="67">
        <f>H2609*I2609</f>
        <v>30</v>
      </c>
      <c r="K2609" s="46">
        <v>1.53</v>
      </c>
      <c r="L2609" s="46">
        <f>K2609*J2609</f>
        <v>45.9</v>
      </c>
      <c r="M2609" s="162" t="s">
        <v>2219</v>
      </c>
      <c r="N2609" s="39">
        <v>45170</v>
      </c>
      <c r="O2609" s="38">
        <v>5488</v>
      </c>
      <c r="P2609" s="46">
        <f>K2609*(VLOOKUP(B2609,$C$2:$F$6,3,FALSE))</f>
        <v>1.3464</v>
      </c>
      <c r="Q2609" s="180">
        <v>1.35</v>
      </c>
      <c r="R2609" s="704">
        <f>Q2609*J2609</f>
        <v>40.5</v>
      </c>
      <c r="S2609" s="489">
        <v>105</v>
      </c>
      <c r="T2609" s="113">
        <f>S2609*J2609</f>
        <v>3150</v>
      </c>
      <c r="U2609" s="489"/>
      <c r="V2609" s="494">
        <v>120</v>
      </c>
      <c r="W2609" s="2041">
        <f t="shared" si="151"/>
        <v>0.42810457516339867</v>
      </c>
    </row>
    <row r="2610" spans="2:23" s="7" customFormat="1" ht="15" customHeight="1">
      <c r="B2610" s="12"/>
      <c r="C2610" s="6" t="s">
        <v>6234</v>
      </c>
      <c r="D2610" s="15" t="s">
        <v>6222</v>
      </c>
      <c r="E2610" s="20" t="s">
        <v>6235</v>
      </c>
      <c r="F2610" s="26"/>
      <c r="G2610" s="24"/>
      <c r="H2610" s="67"/>
      <c r="I2610" s="68"/>
      <c r="J2610" s="67"/>
      <c r="K2610" s="17" t="s">
        <v>134</v>
      </c>
      <c r="L2610" s="39"/>
      <c r="M2610" s="39"/>
      <c r="N2610" s="39">
        <v>45170</v>
      </c>
      <c r="O2610" s="38">
        <v>5488</v>
      </c>
      <c r="P2610" s="179" t="s">
        <v>23</v>
      </c>
      <c r="Q2610" s="438"/>
      <c r="R2610" s="704"/>
      <c r="S2610" s="707" t="s">
        <v>5749</v>
      </c>
      <c r="T2610" s="113"/>
      <c r="U2610" s="2068"/>
      <c r="V2610" s="494">
        <v>120</v>
      </c>
      <c r="W2610" s="2041" t="e">
        <f t="shared" si="151"/>
        <v>#VALUE!</v>
      </c>
    </row>
    <row r="2611" spans="2:23" s="7" customFormat="1" ht="18" customHeight="1">
      <c r="B2611" s="12" t="s">
        <v>1856</v>
      </c>
      <c r="C2611" s="6" t="s">
        <v>6234</v>
      </c>
      <c r="D2611" s="15" t="s">
        <v>6222</v>
      </c>
      <c r="E2611" s="24" t="s">
        <v>6223</v>
      </c>
      <c r="F2611" s="26">
        <v>9</v>
      </c>
      <c r="G2611" s="24" t="s">
        <v>6225</v>
      </c>
      <c r="H2611" s="67"/>
      <c r="I2611" s="68"/>
      <c r="J2611" s="67">
        <v>5</v>
      </c>
      <c r="K2611" s="46">
        <v>1.88</v>
      </c>
      <c r="L2611" s="46">
        <f>K2611*J2611</f>
        <v>9.3999999999999986</v>
      </c>
      <c r="M2611" s="162" t="s">
        <v>2219</v>
      </c>
      <c r="N2611" s="39">
        <v>45170</v>
      </c>
      <c r="O2611" s="38">
        <v>5488</v>
      </c>
      <c r="P2611" s="46">
        <f>K2611*(VLOOKUP(B2611,$C$2:$F$6,3,FALSE))</f>
        <v>1.6543999999999999</v>
      </c>
      <c r="Q2611" s="180">
        <v>1.65</v>
      </c>
      <c r="R2611" s="704">
        <f>Q2611*J2611</f>
        <v>8.25</v>
      </c>
      <c r="S2611" s="489">
        <f>86*1.5</f>
        <v>129</v>
      </c>
      <c r="T2611" s="113">
        <f>S2611*J2611</f>
        <v>645</v>
      </c>
      <c r="U2611" s="489"/>
      <c r="V2611" s="494">
        <v>120</v>
      </c>
      <c r="W2611" s="2041">
        <f t="shared" si="151"/>
        <v>0.42819148936170209</v>
      </c>
    </row>
    <row r="2612" spans="2:23" s="7" customFormat="1" ht="18" customHeight="1">
      <c r="B2612" s="12" t="s">
        <v>1856</v>
      </c>
      <c r="C2612" s="6" t="s">
        <v>6234</v>
      </c>
      <c r="D2612" s="15" t="s">
        <v>6222</v>
      </c>
      <c r="E2612" s="24" t="s">
        <v>6223</v>
      </c>
      <c r="F2612" s="26">
        <v>15</v>
      </c>
      <c r="G2612" s="24" t="s">
        <v>6225</v>
      </c>
      <c r="H2612" s="67"/>
      <c r="I2612" s="68"/>
      <c r="J2612" s="67">
        <v>5</v>
      </c>
      <c r="K2612" s="46">
        <v>2.2999999999999998</v>
      </c>
      <c r="L2612" s="46">
        <f>K2612*J2612</f>
        <v>11.5</v>
      </c>
      <c r="M2612" s="162" t="s">
        <v>2219</v>
      </c>
      <c r="N2612" s="39">
        <v>45170</v>
      </c>
      <c r="O2612" s="38">
        <v>5488</v>
      </c>
      <c r="P2612" s="46">
        <f>K2612*(VLOOKUP(B2612,$C$2:$F$6,3,FALSE))</f>
        <v>2.024</v>
      </c>
      <c r="Q2612" s="180">
        <v>2.02</v>
      </c>
      <c r="R2612" s="704">
        <f>Q2612*J2612</f>
        <v>10.1</v>
      </c>
      <c r="S2612" s="489">
        <f>105*1.5</f>
        <v>157.5</v>
      </c>
      <c r="T2612" s="113">
        <f>S2612*J2612</f>
        <v>787.5</v>
      </c>
      <c r="U2612" s="489"/>
      <c r="V2612" s="494">
        <v>120</v>
      </c>
      <c r="W2612" s="2041">
        <f t="shared" ref="W2612:W2651" si="152">(((K2612*V2612)-S2612)/(K2612*V2612))</f>
        <v>0.42934782608695654</v>
      </c>
    </row>
    <row r="2613" spans="2:23" s="7" customFormat="1" ht="18" customHeight="1">
      <c r="B2613" s="12" t="s">
        <v>1856</v>
      </c>
      <c r="C2613" s="6" t="s">
        <v>6234</v>
      </c>
      <c r="D2613" s="15" t="s">
        <v>6222</v>
      </c>
      <c r="E2613" s="24" t="s">
        <v>6223</v>
      </c>
      <c r="F2613" s="26">
        <v>9</v>
      </c>
      <c r="G2613" s="24" t="s">
        <v>6226</v>
      </c>
      <c r="H2613" s="67"/>
      <c r="I2613" s="68"/>
      <c r="J2613" s="67">
        <v>5</v>
      </c>
      <c r="K2613" s="46">
        <v>1.88</v>
      </c>
      <c r="L2613" s="46">
        <f>K2613*J2613</f>
        <v>9.3999999999999986</v>
      </c>
      <c r="M2613" s="162" t="s">
        <v>2219</v>
      </c>
      <c r="N2613" s="39">
        <v>45170</v>
      </c>
      <c r="O2613" s="38">
        <v>5488</v>
      </c>
      <c r="P2613" s="46">
        <f>K2613*(VLOOKUP(B2613,$C$2:$F$6,3,FALSE))</f>
        <v>1.6543999999999999</v>
      </c>
      <c r="Q2613" s="180">
        <v>1.65</v>
      </c>
      <c r="R2613" s="704">
        <f>Q2613*J2613</f>
        <v>8.25</v>
      </c>
      <c r="S2613" s="489">
        <f>86*1.5</f>
        <v>129</v>
      </c>
      <c r="T2613" s="113">
        <f>S2613*J2613</f>
        <v>645</v>
      </c>
      <c r="U2613" s="489"/>
      <c r="V2613" s="494">
        <v>120</v>
      </c>
      <c r="W2613" s="2041">
        <f t="shared" si="152"/>
        <v>0.42819148936170209</v>
      </c>
    </row>
    <row r="2614" spans="2:23" s="7" customFormat="1" ht="18" customHeight="1">
      <c r="B2614" s="12" t="s">
        <v>1856</v>
      </c>
      <c r="C2614" s="6" t="s">
        <v>6234</v>
      </c>
      <c r="D2614" s="15" t="s">
        <v>6222</v>
      </c>
      <c r="E2614" s="24" t="s">
        <v>6223</v>
      </c>
      <c r="F2614" s="26">
        <v>15</v>
      </c>
      <c r="G2614" s="24" t="s">
        <v>6226</v>
      </c>
      <c r="H2614" s="67"/>
      <c r="I2614" s="68"/>
      <c r="J2614" s="67">
        <v>5</v>
      </c>
      <c r="K2614" s="46">
        <v>2.2999999999999998</v>
      </c>
      <c r="L2614" s="46">
        <f>K2614*J2614</f>
        <v>11.5</v>
      </c>
      <c r="M2614" s="162" t="s">
        <v>2219</v>
      </c>
      <c r="N2614" s="39">
        <v>45170</v>
      </c>
      <c r="O2614" s="38">
        <v>5488</v>
      </c>
      <c r="P2614" s="46">
        <f>K2614*(VLOOKUP(B2614,$C$2:$F$6,3,FALSE))</f>
        <v>2.024</v>
      </c>
      <c r="Q2614" s="180">
        <v>2.02</v>
      </c>
      <c r="R2614" s="704">
        <f>Q2614*J2614</f>
        <v>10.1</v>
      </c>
      <c r="S2614" s="489">
        <f>105*1.5</f>
        <v>157.5</v>
      </c>
      <c r="T2614" s="113">
        <f>S2614*J2614</f>
        <v>787.5</v>
      </c>
      <c r="U2614" s="489"/>
      <c r="V2614" s="494">
        <v>120</v>
      </c>
      <c r="W2614" s="2041">
        <f t="shared" si="152"/>
        <v>0.42934782608695654</v>
      </c>
    </row>
    <row r="2615" spans="2:23" ht="15.95" customHeight="1">
      <c r="C2615" s="6" t="s">
        <v>6234</v>
      </c>
      <c r="D2615" s="15" t="s">
        <v>6222</v>
      </c>
      <c r="E2615" s="24"/>
      <c r="F2615" s="138"/>
      <c r="G2615" s="44" t="s">
        <v>1993</v>
      </c>
      <c r="H2615" s="8"/>
      <c r="I2615" s="41"/>
      <c r="J2615" s="45">
        <v>1</v>
      </c>
      <c r="K2615" s="46">
        <v>12</v>
      </c>
      <c r="L2615" s="46">
        <f>K2615*J2615</f>
        <v>12</v>
      </c>
      <c r="M2615" s="112"/>
      <c r="N2615" s="39">
        <v>45170</v>
      </c>
      <c r="O2615" s="38">
        <v>5488</v>
      </c>
      <c r="P2615" s="179"/>
      <c r="Q2615" s="180">
        <v>12</v>
      </c>
      <c r="R2615" s="180">
        <v>12</v>
      </c>
      <c r="S2615" s="498">
        <v>1100</v>
      </c>
      <c r="T2615" s="568">
        <f>S2615*J2615</f>
        <v>1100</v>
      </c>
      <c r="U2615" s="511"/>
      <c r="V2615" s="494">
        <v>120</v>
      </c>
      <c r="W2615" s="2041">
        <f t="shared" si="152"/>
        <v>0.2361111111111111</v>
      </c>
    </row>
    <row r="2616" spans="2:23" s="314" customFormat="1" ht="15">
      <c r="B2616" s="313"/>
      <c r="C2616" s="302" t="s">
        <v>6234</v>
      </c>
      <c r="D2616" s="303" t="s">
        <v>6222</v>
      </c>
      <c r="E2616" s="371"/>
      <c r="F2616" s="305"/>
      <c r="G2616" s="2049" t="s">
        <v>1227</v>
      </c>
      <c r="H2616" s="307" t="s">
        <v>1228</v>
      </c>
      <c r="I2616" s="308"/>
      <c r="J2616" s="306"/>
      <c r="K2616" s="315"/>
      <c r="L2616" s="310"/>
      <c r="M2616" s="310"/>
      <c r="N2616" s="310">
        <v>45170</v>
      </c>
      <c r="O2616" s="309">
        <v>5488</v>
      </c>
      <c r="P2616" s="302"/>
      <c r="Q2616" s="531">
        <v>0</v>
      </c>
      <c r="S2616" s="535"/>
      <c r="T2616" s="322">
        <v>0</v>
      </c>
      <c r="U2616" s="1115"/>
      <c r="V2616" s="494">
        <v>120</v>
      </c>
      <c r="W2616" s="2041" t="e">
        <f t="shared" si="152"/>
        <v>#DIV/0!</v>
      </c>
    </row>
    <row r="2617" spans="2:23" s="7" customFormat="1" ht="15" customHeight="1">
      <c r="B2617" s="12"/>
      <c r="C2617" s="6" t="s">
        <v>6231</v>
      </c>
      <c r="D2617" s="15" t="s">
        <v>6232</v>
      </c>
      <c r="E2617" s="20" t="s">
        <v>6233</v>
      </c>
      <c r="F2617" s="26"/>
      <c r="G2617" s="24"/>
      <c r="H2617" s="67"/>
      <c r="I2617" s="68"/>
      <c r="J2617" s="67"/>
      <c r="K2617" s="17" t="s">
        <v>134</v>
      </c>
      <c r="L2617" s="39"/>
      <c r="M2617" s="39"/>
      <c r="N2617" s="39">
        <v>45168</v>
      </c>
      <c r="O2617" s="38">
        <v>5484</v>
      </c>
      <c r="P2617" s="179" t="s">
        <v>23</v>
      </c>
      <c r="Q2617" s="438" t="s">
        <v>959</v>
      </c>
      <c r="R2617" s="704"/>
      <c r="S2617" s="707"/>
      <c r="T2617" s="113"/>
      <c r="U2617" s="2068"/>
      <c r="V2617" s="494">
        <v>120</v>
      </c>
      <c r="W2617" s="2041" t="e">
        <f t="shared" si="152"/>
        <v>#VALUE!</v>
      </c>
    </row>
    <row r="2618" spans="2:23" s="7" customFormat="1" ht="18" customHeight="1">
      <c r="B2618" s="12" t="s">
        <v>1856</v>
      </c>
      <c r="C2618" s="6" t="s">
        <v>6231</v>
      </c>
      <c r="D2618" s="15" t="s">
        <v>6232</v>
      </c>
      <c r="E2618" s="24" t="s">
        <v>3027</v>
      </c>
      <c r="F2618" s="26"/>
      <c r="G2618" s="24" t="s">
        <v>17</v>
      </c>
      <c r="H2618" s="67">
        <v>50</v>
      </c>
      <c r="I2618" s="68">
        <v>1</v>
      </c>
      <c r="J2618" s="67">
        <f>H2618*I2618</f>
        <v>50</v>
      </c>
      <c r="K2618" s="46">
        <v>0.26</v>
      </c>
      <c r="L2618" s="46">
        <f>K2618*J2618</f>
        <v>13</v>
      </c>
      <c r="M2618" s="162" t="s">
        <v>2219</v>
      </c>
      <c r="N2618" s="39">
        <v>45168</v>
      </c>
      <c r="O2618" s="38">
        <v>5484</v>
      </c>
      <c r="P2618" s="46">
        <f>K2618*(VLOOKUP(B2618,$C$2:$F$6,3,FALSE))</f>
        <v>0.2288</v>
      </c>
      <c r="Q2618" s="180">
        <v>0.23</v>
      </c>
      <c r="R2618" s="704">
        <f>Q2618*J2618</f>
        <v>11.5</v>
      </c>
      <c r="S2618" s="489">
        <v>15.1</v>
      </c>
      <c r="T2618" s="113">
        <f>S2618*J2618</f>
        <v>755</v>
      </c>
      <c r="U2618" s="489"/>
      <c r="V2618" s="494">
        <v>120</v>
      </c>
      <c r="W2618" s="2041">
        <f t="shared" si="152"/>
        <v>0.51602564102564097</v>
      </c>
    </row>
    <row r="2619" spans="2:23" ht="15.95" customHeight="1">
      <c r="C2619" s="6" t="s">
        <v>6231</v>
      </c>
      <c r="D2619" s="15" t="s">
        <v>6232</v>
      </c>
      <c r="E2619" s="24"/>
      <c r="F2619" s="138"/>
      <c r="G2619" s="44" t="s">
        <v>1993</v>
      </c>
      <c r="H2619" s="8"/>
      <c r="I2619" s="41"/>
      <c r="J2619" s="45">
        <v>1</v>
      </c>
      <c r="K2619" s="46">
        <v>12</v>
      </c>
      <c r="L2619" s="46">
        <f>K2619*J2619</f>
        <v>12</v>
      </c>
      <c r="M2619" s="112"/>
      <c r="N2619" s="39">
        <v>45168</v>
      </c>
      <c r="O2619" s="38">
        <v>5484</v>
      </c>
      <c r="P2619" s="179"/>
      <c r="Q2619" s="180">
        <v>12</v>
      </c>
      <c r="R2619" s="180">
        <v>12</v>
      </c>
      <c r="S2619" s="498">
        <v>1100</v>
      </c>
      <c r="T2619" s="568">
        <f>S2619*J2619</f>
        <v>1100</v>
      </c>
      <c r="U2619" s="511"/>
      <c r="V2619" s="494">
        <v>120</v>
      </c>
      <c r="W2619" s="2041">
        <f t="shared" si="152"/>
        <v>0.2361111111111111</v>
      </c>
    </row>
    <row r="2620" spans="2:23" s="314" customFormat="1" ht="15">
      <c r="B2620" s="313"/>
      <c r="C2620" s="302" t="s">
        <v>6231</v>
      </c>
      <c r="D2620" s="303" t="s">
        <v>6232</v>
      </c>
      <c r="E2620" s="371"/>
      <c r="F2620" s="305"/>
      <c r="G2620" s="2049" t="s">
        <v>1227</v>
      </c>
      <c r="H2620" s="307" t="s">
        <v>1228</v>
      </c>
      <c r="I2620" s="308"/>
      <c r="J2620" s="306"/>
      <c r="K2620" s="315"/>
      <c r="L2620" s="310"/>
      <c r="M2620" s="310"/>
      <c r="N2620" s="310">
        <v>45168</v>
      </c>
      <c r="O2620" s="309">
        <v>5484</v>
      </c>
      <c r="P2620" s="302"/>
      <c r="Q2620" s="531">
        <v>0</v>
      </c>
      <c r="S2620" s="535">
        <v>0</v>
      </c>
      <c r="T2620" s="322">
        <v>0</v>
      </c>
      <c r="U2620" s="1115"/>
      <c r="V2620" s="494">
        <v>120</v>
      </c>
      <c r="W2620" s="2041" t="e">
        <f t="shared" si="152"/>
        <v>#DIV/0!</v>
      </c>
    </row>
    <row r="2621" spans="2:23" s="7" customFormat="1" ht="15" customHeight="1">
      <c r="B2621" s="12"/>
      <c r="C2621" s="6" t="s">
        <v>6246</v>
      </c>
      <c r="D2621" s="15" t="s">
        <v>6191</v>
      </c>
      <c r="E2621" s="20" t="s">
        <v>628</v>
      </c>
      <c r="F2621" s="26"/>
      <c r="G2621" s="24"/>
      <c r="H2621" s="67"/>
      <c r="I2621" s="68"/>
      <c r="J2621" s="67"/>
      <c r="K2621" s="17" t="s">
        <v>134</v>
      </c>
      <c r="L2621" s="39"/>
      <c r="M2621" s="39"/>
      <c r="N2621" s="39">
        <v>45169</v>
      </c>
      <c r="O2621" s="38">
        <v>5491</v>
      </c>
      <c r="P2621" s="179" t="s">
        <v>23</v>
      </c>
      <c r="Q2621" s="438" t="s">
        <v>959</v>
      </c>
      <c r="R2621" s="704"/>
      <c r="S2621" s="489"/>
      <c r="T2621" s="113"/>
      <c r="U2621" s="510"/>
      <c r="V2621" s="494">
        <v>120</v>
      </c>
      <c r="W2621" s="2041" t="e">
        <f t="shared" si="152"/>
        <v>#VALUE!</v>
      </c>
    </row>
    <row r="2622" spans="2:23" s="7" customFormat="1" ht="18" customHeight="1">
      <c r="B2622" s="12" t="s">
        <v>1856</v>
      </c>
      <c r="C2622" s="6" t="s">
        <v>6246</v>
      </c>
      <c r="D2622" s="15" t="s">
        <v>6191</v>
      </c>
      <c r="E2622" s="24">
        <v>5291</v>
      </c>
      <c r="F2622" s="26">
        <v>6</v>
      </c>
      <c r="G2622" s="24" t="s">
        <v>29</v>
      </c>
      <c r="H2622" s="67">
        <v>50</v>
      </c>
      <c r="I2622" s="68">
        <v>4</v>
      </c>
      <c r="J2622" s="67">
        <f>H2622*I2622</f>
        <v>200</v>
      </c>
      <c r="K2622" s="46">
        <v>0.51</v>
      </c>
      <c r="L2622" s="46">
        <f>K2622*J2622</f>
        <v>102</v>
      </c>
      <c r="M2622" s="162" t="s">
        <v>2219</v>
      </c>
      <c r="N2622" s="39">
        <v>45169</v>
      </c>
      <c r="O2622" s="38">
        <v>5491</v>
      </c>
      <c r="P2622" s="180">
        <v>0.24</v>
      </c>
      <c r="Q2622" s="180">
        <v>0.24</v>
      </c>
      <c r="R2622" s="704">
        <f>Q2622*J2622</f>
        <v>48</v>
      </c>
      <c r="S2622" s="489">
        <v>14.6</v>
      </c>
      <c r="T2622" s="113">
        <f>S2622*J2622</f>
        <v>2920</v>
      </c>
      <c r="U2622" s="867"/>
      <c r="V2622" s="494">
        <v>120</v>
      </c>
      <c r="W2622" s="2041">
        <f t="shared" si="152"/>
        <v>0.76143790849673199</v>
      </c>
    </row>
    <row r="2623" spans="2:23" ht="15.95" customHeight="1">
      <c r="C2623" s="6" t="s">
        <v>6246</v>
      </c>
      <c r="D2623" s="15" t="s">
        <v>6191</v>
      </c>
      <c r="E2623" s="24"/>
      <c r="F2623" s="138"/>
      <c r="G2623" s="44" t="s">
        <v>1993</v>
      </c>
      <c r="H2623" s="8"/>
      <c r="I2623" s="41"/>
      <c r="J2623" s="45">
        <v>1</v>
      </c>
      <c r="K2623" s="46">
        <v>10</v>
      </c>
      <c r="L2623" s="46">
        <v>0</v>
      </c>
      <c r="M2623" s="112"/>
      <c r="N2623" s="39">
        <v>45169</v>
      </c>
      <c r="O2623" s="38">
        <v>5491</v>
      </c>
      <c r="P2623" s="179"/>
      <c r="Q2623" s="180">
        <v>10</v>
      </c>
      <c r="R2623" s="180">
        <v>10</v>
      </c>
      <c r="S2623" s="498">
        <v>850</v>
      </c>
      <c r="T2623" s="568">
        <f>S2623*J2623</f>
        <v>850</v>
      </c>
      <c r="U2623" s="511"/>
      <c r="V2623" s="494">
        <v>120</v>
      </c>
      <c r="W2623" s="2041">
        <f t="shared" si="152"/>
        <v>0.29166666666666669</v>
      </c>
    </row>
    <row r="2624" spans="2:23" s="314" customFormat="1" ht="15" customHeight="1">
      <c r="B2624" s="313"/>
      <c r="C2624" s="302" t="s">
        <v>6246</v>
      </c>
      <c r="D2624" s="303" t="s">
        <v>6191</v>
      </c>
      <c r="E2624" s="304"/>
      <c r="F2624" s="305"/>
      <c r="G2624" s="305" t="s">
        <v>1227</v>
      </c>
      <c r="H2624" s="410"/>
      <c r="I2624" s="308"/>
      <c r="J2624" s="410">
        <v>200</v>
      </c>
      <c r="K2624" s="315">
        <f>0.24*200</f>
        <v>48</v>
      </c>
      <c r="L2624" s="315"/>
      <c r="M2624" s="784"/>
      <c r="N2624" s="310">
        <v>45169</v>
      </c>
      <c r="O2624" s="309">
        <v>5491</v>
      </c>
      <c r="P2624" s="302"/>
      <c r="Q2624" s="315">
        <v>38</v>
      </c>
      <c r="R2624" s="315">
        <v>38</v>
      </c>
      <c r="S2624" s="2072">
        <v>2776</v>
      </c>
      <c r="T2624" s="2072">
        <v>2776</v>
      </c>
      <c r="U2624" s="1084"/>
      <c r="V2624" s="494">
        <v>120</v>
      </c>
      <c r="W2624" s="2041">
        <f t="shared" si="152"/>
        <v>0.5180555555555556</v>
      </c>
    </row>
    <row r="2625" spans="2:23" s="7" customFormat="1" ht="15" customHeight="1">
      <c r="B2625" s="12"/>
      <c r="C2625" s="6" t="s">
        <v>6248</v>
      </c>
      <c r="D2625" s="15" t="s">
        <v>6099</v>
      </c>
      <c r="E2625" s="20" t="s">
        <v>6249</v>
      </c>
      <c r="F2625" s="26"/>
      <c r="G2625" s="24"/>
      <c r="H2625" s="67"/>
      <c r="I2625" s="68"/>
      <c r="J2625" s="67"/>
      <c r="K2625" s="17" t="s">
        <v>134</v>
      </c>
      <c r="L2625" s="39"/>
      <c r="M2625" s="39"/>
      <c r="N2625" s="39">
        <v>45170</v>
      </c>
      <c r="O2625" s="38">
        <v>5494</v>
      </c>
      <c r="P2625" s="179" t="s">
        <v>23</v>
      </c>
      <c r="Q2625" s="438" t="s">
        <v>959</v>
      </c>
      <c r="R2625" s="704"/>
      <c r="S2625" s="707"/>
      <c r="T2625" s="113"/>
      <c r="U2625" s="2068"/>
      <c r="V2625" s="494">
        <v>120</v>
      </c>
      <c r="W2625" s="2041" t="e">
        <f t="shared" si="152"/>
        <v>#VALUE!</v>
      </c>
    </row>
    <row r="2626" spans="2:23" s="7" customFormat="1" ht="18" customHeight="1">
      <c r="B2626" s="12" t="s">
        <v>1856</v>
      </c>
      <c r="C2626" s="6" t="s">
        <v>6248</v>
      </c>
      <c r="D2626" s="15" t="s">
        <v>6099</v>
      </c>
      <c r="E2626" s="24">
        <v>3920</v>
      </c>
      <c r="F2626" s="26">
        <v>12</v>
      </c>
      <c r="G2626" s="24" t="s">
        <v>6250</v>
      </c>
      <c r="H2626" s="67">
        <v>30</v>
      </c>
      <c r="I2626" s="68">
        <v>1</v>
      </c>
      <c r="J2626" s="67">
        <f t="shared" ref="J2626:J2636" si="153">H2626*I2626</f>
        <v>30</v>
      </c>
      <c r="K2626" s="46">
        <v>0.54</v>
      </c>
      <c r="L2626" s="46">
        <f t="shared" ref="L2626:L2637" si="154">K2626*J2626</f>
        <v>16.200000000000003</v>
      </c>
      <c r="M2626" s="162" t="s">
        <v>2219</v>
      </c>
      <c r="N2626" s="39">
        <v>45170</v>
      </c>
      <c r="O2626" s="38">
        <v>5494</v>
      </c>
      <c r="P2626" s="46">
        <f t="shared" ref="P2626:P2636" si="155">K2626*(VLOOKUP(B2626,$C$2:$F$6,3,FALSE))</f>
        <v>0.47520000000000001</v>
      </c>
      <c r="Q2626" s="180">
        <v>0.48</v>
      </c>
      <c r="R2626" s="704">
        <f t="shared" ref="R2626:R2636" si="156">Q2626*J2626</f>
        <v>14.399999999999999</v>
      </c>
      <c r="S2626" s="489">
        <v>28.9</v>
      </c>
      <c r="T2626" s="113">
        <f t="shared" ref="T2626:T2637" si="157">S2626*J2626</f>
        <v>867</v>
      </c>
      <c r="U2626" s="489"/>
      <c r="V2626" s="494">
        <v>120</v>
      </c>
      <c r="W2626" s="2041">
        <f t="shared" si="152"/>
        <v>0.55401234567901247</v>
      </c>
    </row>
    <row r="2627" spans="2:23" s="7" customFormat="1" ht="18" customHeight="1">
      <c r="B2627" s="12" t="s">
        <v>1856</v>
      </c>
      <c r="C2627" s="6" t="s">
        <v>6248</v>
      </c>
      <c r="D2627" s="15" t="s">
        <v>6099</v>
      </c>
      <c r="E2627" s="24">
        <v>3920</v>
      </c>
      <c r="F2627" s="26">
        <v>12</v>
      </c>
      <c r="G2627" s="24" t="s">
        <v>6251</v>
      </c>
      <c r="H2627" s="67">
        <v>30</v>
      </c>
      <c r="I2627" s="68">
        <v>1</v>
      </c>
      <c r="J2627" s="67">
        <f t="shared" si="153"/>
        <v>30</v>
      </c>
      <c r="K2627" s="46">
        <v>0.54</v>
      </c>
      <c r="L2627" s="46">
        <f t="shared" si="154"/>
        <v>16.200000000000003</v>
      </c>
      <c r="M2627" s="162" t="s">
        <v>2219</v>
      </c>
      <c r="N2627" s="39">
        <v>45170</v>
      </c>
      <c r="O2627" s="38">
        <v>5494</v>
      </c>
      <c r="P2627" s="46">
        <f t="shared" si="155"/>
        <v>0.47520000000000001</v>
      </c>
      <c r="Q2627" s="180">
        <v>0.48</v>
      </c>
      <c r="R2627" s="704">
        <f t="shared" si="156"/>
        <v>14.399999999999999</v>
      </c>
      <c r="S2627" s="489">
        <v>28.9</v>
      </c>
      <c r="T2627" s="113">
        <f t="shared" si="157"/>
        <v>867</v>
      </c>
      <c r="U2627" s="489"/>
      <c r="V2627" s="494">
        <v>120</v>
      </c>
      <c r="W2627" s="2041">
        <f t="shared" si="152"/>
        <v>0.55401234567901247</v>
      </c>
    </row>
    <row r="2628" spans="2:23" s="7" customFormat="1" ht="18" customHeight="1">
      <c r="B2628" s="12" t="s">
        <v>1856</v>
      </c>
      <c r="C2628" s="6" t="s">
        <v>6248</v>
      </c>
      <c r="D2628" s="15" t="s">
        <v>6099</v>
      </c>
      <c r="E2628" s="24">
        <v>3920</v>
      </c>
      <c r="F2628" s="26">
        <v>12</v>
      </c>
      <c r="G2628" s="24" t="s">
        <v>6252</v>
      </c>
      <c r="H2628" s="67">
        <v>30</v>
      </c>
      <c r="I2628" s="68">
        <v>1</v>
      </c>
      <c r="J2628" s="67">
        <f t="shared" si="153"/>
        <v>30</v>
      </c>
      <c r="K2628" s="46">
        <v>0.54</v>
      </c>
      <c r="L2628" s="46">
        <f t="shared" si="154"/>
        <v>16.200000000000003</v>
      </c>
      <c r="M2628" s="162" t="s">
        <v>2219</v>
      </c>
      <c r="N2628" s="39">
        <v>45170</v>
      </c>
      <c r="O2628" s="38">
        <v>5494</v>
      </c>
      <c r="P2628" s="46">
        <f t="shared" si="155"/>
        <v>0.47520000000000001</v>
      </c>
      <c r="Q2628" s="180">
        <v>0.48</v>
      </c>
      <c r="R2628" s="704">
        <f t="shared" si="156"/>
        <v>14.399999999999999</v>
      </c>
      <c r="S2628" s="489">
        <v>28.9</v>
      </c>
      <c r="T2628" s="113">
        <f t="shared" si="157"/>
        <v>867</v>
      </c>
      <c r="U2628" s="489"/>
      <c r="V2628" s="494">
        <v>120</v>
      </c>
      <c r="W2628" s="2041">
        <f t="shared" si="152"/>
        <v>0.55401234567901247</v>
      </c>
    </row>
    <row r="2629" spans="2:23" s="7" customFormat="1" ht="18" customHeight="1">
      <c r="B2629" s="12" t="s">
        <v>1856</v>
      </c>
      <c r="C2629" s="6" t="s">
        <v>6248</v>
      </c>
      <c r="D2629" s="15" t="s">
        <v>6099</v>
      </c>
      <c r="E2629" s="24">
        <v>3920</v>
      </c>
      <c r="F2629" s="26">
        <v>12</v>
      </c>
      <c r="G2629" s="24" t="s">
        <v>6253</v>
      </c>
      <c r="H2629" s="67">
        <v>30</v>
      </c>
      <c r="I2629" s="68">
        <v>1</v>
      </c>
      <c r="J2629" s="67">
        <f t="shared" si="153"/>
        <v>30</v>
      </c>
      <c r="K2629" s="46">
        <v>0.54</v>
      </c>
      <c r="L2629" s="46">
        <f t="shared" si="154"/>
        <v>16.200000000000003</v>
      </c>
      <c r="M2629" s="162" t="s">
        <v>2219</v>
      </c>
      <c r="N2629" s="39">
        <v>45170</v>
      </c>
      <c r="O2629" s="38">
        <v>5494</v>
      </c>
      <c r="P2629" s="46">
        <f t="shared" si="155"/>
        <v>0.47520000000000001</v>
      </c>
      <c r="Q2629" s="180">
        <v>0.48</v>
      </c>
      <c r="R2629" s="704">
        <f t="shared" si="156"/>
        <v>14.399999999999999</v>
      </c>
      <c r="S2629" s="489">
        <v>28.9</v>
      </c>
      <c r="T2629" s="113">
        <f t="shared" si="157"/>
        <v>867</v>
      </c>
      <c r="U2629" s="489"/>
      <c r="V2629" s="494">
        <v>120</v>
      </c>
      <c r="W2629" s="2041">
        <f t="shared" si="152"/>
        <v>0.55401234567901247</v>
      </c>
    </row>
    <row r="2630" spans="2:23" s="7" customFormat="1" ht="18" customHeight="1">
      <c r="B2630" s="12" t="s">
        <v>1856</v>
      </c>
      <c r="C2630" s="6" t="s">
        <v>6248</v>
      </c>
      <c r="D2630" s="15" t="s">
        <v>6099</v>
      </c>
      <c r="E2630" s="24">
        <v>3920</v>
      </c>
      <c r="F2630" s="26">
        <v>12</v>
      </c>
      <c r="G2630" s="24" t="s">
        <v>6254</v>
      </c>
      <c r="H2630" s="67">
        <v>30</v>
      </c>
      <c r="I2630" s="68">
        <v>1</v>
      </c>
      <c r="J2630" s="67">
        <f t="shared" si="153"/>
        <v>30</v>
      </c>
      <c r="K2630" s="46">
        <v>0.54</v>
      </c>
      <c r="L2630" s="46">
        <f t="shared" si="154"/>
        <v>16.200000000000003</v>
      </c>
      <c r="M2630" s="162" t="s">
        <v>2219</v>
      </c>
      <c r="N2630" s="39">
        <v>45170</v>
      </c>
      <c r="O2630" s="38">
        <v>5494</v>
      </c>
      <c r="P2630" s="46">
        <f t="shared" si="155"/>
        <v>0.47520000000000001</v>
      </c>
      <c r="Q2630" s="180">
        <v>0.48</v>
      </c>
      <c r="R2630" s="704">
        <f t="shared" si="156"/>
        <v>14.399999999999999</v>
      </c>
      <c r="S2630" s="489">
        <v>28.9</v>
      </c>
      <c r="T2630" s="113">
        <f t="shared" si="157"/>
        <v>867</v>
      </c>
      <c r="U2630" s="489"/>
      <c r="V2630" s="494">
        <v>120</v>
      </c>
      <c r="W2630" s="2041">
        <f t="shared" si="152"/>
        <v>0.55401234567901247</v>
      </c>
    </row>
    <row r="2631" spans="2:23" s="7" customFormat="1" ht="18" customHeight="1">
      <c r="B2631" s="12" t="s">
        <v>1856</v>
      </c>
      <c r="C2631" s="6" t="s">
        <v>6248</v>
      </c>
      <c r="D2631" s="15" t="s">
        <v>6099</v>
      </c>
      <c r="E2631" s="24">
        <v>3920</v>
      </c>
      <c r="F2631" s="26">
        <v>12</v>
      </c>
      <c r="G2631" s="24" t="s">
        <v>6255</v>
      </c>
      <c r="H2631" s="67">
        <v>30</v>
      </c>
      <c r="I2631" s="68">
        <v>1</v>
      </c>
      <c r="J2631" s="67">
        <f t="shared" si="153"/>
        <v>30</v>
      </c>
      <c r="K2631" s="46">
        <v>0.54</v>
      </c>
      <c r="L2631" s="46">
        <f t="shared" si="154"/>
        <v>16.200000000000003</v>
      </c>
      <c r="M2631" s="162" t="s">
        <v>2219</v>
      </c>
      <c r="N2631" s="39">
        <v>45170</v>
      </c>
      <c r="O2631" s="38">
        <v>5494</v>
      </c>
      <c r="P2631" s="46">
        <f t="shared" si="155"/>
        <v>0.47520000000000001</v>
      </c>
      <c r="Q2631" s="180">
        <v>0.48</v>
      </c>
      <c r="R2631" s="704">
        <f t="shared" si="156"/>
        <v>14.399999999999999</v>
      </c>
      <c r="S2631" s="489">
        <v>28.9</v>
      </c>
      <c r="T2631" s="113">
        <f t="shared" si="157"/>
        <v>867</v>
      </c>
      <c r="U2631" s="489"/>
      <c r="V2631" s="494">
        <v>120</v>
      </c>
      <c r="W2631" s="2041">
        <f t="shared" si="152"/>
        <v>0.55401234567901247</v>
      </c>
    </row>
    <row r="2632" spans="2:23" s="7" customFormat="1" ht="18" customHeight="1">
      <c r="B2632" s="12" t="s">
        <v>1856</v>
      </c>
      <c r="C2632" s="6" t="s">
        <v>6248</v>
      </c>
      <c r="D2632" s="15" t="s">
        <v>6099</v>
      </c>
      <c r="E2632" s="24">
        <v>3920</v>
      </c>
      <c r="F2632" s="26">
        <v>12</v>
      </c>
      <c r="G2632" s="24" t="s">
        <v>6256</v>
      </c>
      <c r="H2632" s="67">
        <v>30</v>
      </c>
      <c r="I2632" s="68">
        <v>1</v>
      </c>
      <c r="J2632" s="67">
        <f t="shared" si="153"/>
        <v>30</v>
      </c>
      <c r="K2632" s="46">
        <v>0.54</v>
      </c>
      <c r="L2632" s="46">
        <f t="shared" si="154"/>
        <v>16.200000000000003</v>
      </c>
      <c r="M2632" s="162" t="s">
        <v>2219</v>
      </c>
      <c r="N2632" s="39">
        <v>45170</v>
      </c>
      <c r="O2632" s="38">
        <v>5494</v>
      </c>
      <c r="P2632" s="46">
        <f t="shared" si="155"/>
        <v>0.47520000000000001</v>
      </c>
      <c r="Q2632" s="180">
        <v>0.48</v>
      </c>
      <c r="R2632" s="704">
        <f t="shared" si="156"/>
        <v>14.399999999999999</v>
      </c>
      <c r="S2632" s="489">
        <v>28.9</v>
      </c>
      <c r="T2632" s="113">
        <f t="shared" si="157"/>
        <v>867</v>
      </c>
      <c r="U2632" s="489"/>
      <c r="V2632" s="494">
        <v>120</v>
      </c>
      <c r="W2632" s="2041">
        <f t="shared" si="152"/>
        <v>0.55401234567901247</v>
      </c>
    </row>
    <row r="2633" spans="2:23" s="7" customFormat="1" ht="18" customHeight="1">
      <c r="B2633" s="12" t="s">
        <v>1856</v>
      </c>
      <c r="C2633" s="6" t="s">
        <v>6248</v>
      </c>
      <c r="D2633" s="15" t="s">
        <v>6099</v>
      </c>
      <c r="E2633" s="24">
        <v>3920</v>
      </c>
      <c r="F2633" s="26">
        <v>19</v>
      </c>
      <c r="G2633" s="24" t="s">
        <v>6257</v>
      </c>
      <c r="H2633" s="67">
        <v>30</v>
      </c>
      <c r="I2633" s="68">
        <v>1</v>
      </c>
      <c r="J2633" s="67">
        <f t="shared" si="153"/>
        <v>30</v>
      </c>
      <c r="K2633" s="46">
        <v>0.76</v>
      </c>
      <c r="L2633" s="46">
        <f t="shared" si="154"/>
        <v>22.8</v>
      </c>
      <c r="M2633" s="162" t="s">
        <v>2219</v>
      </c>
      <c r="N2633" s="39">
        <v>45170</v>
      </c>
      <c r="O2633" s="38">
        <v>5494</v>
      </c>
      <c r="P2633" s="46">
        <f t="shared" si="155"/>
        <v>0.66880000000000006</v>
      </c>
      <c r="Q2633" s="180">
        <v>0.67</v>
      </c>
      <c r="R2633" s="704">
        <f t="shared" si="156"/>
        <v>20.100000000000001</v>
      </c>
      <c r="S2633" s="489">
        <v>40.799999999999997</v>
      </c>
      <c r="T2633" s="113">
        <f t="shared" si="157"/>
        <v>1224</v>
      </c>
      <c r="U2633" s="489"/>
      <c r="V2633" s="494">
        <v>120</v>
      </c>
      <c r="W2633" s="2041">
        <f t="shared" si="152"/>
        <v>0.55263157894736847</v>
      </c>
    </row>
    <row r="2634" spans="2:23" s="7" customFormat="1" ht="18" customHeight="1">
      <c r="B2634" s="12" t="s">
        <v>1856</v>
      </c>
      <c r="C2634" s="6" t="s">
        <v>6248</v>
      </c>
      <c r="D2634" s="15" t="s">
        <v>6099</v>
      </c>
      <c r="E2634" s="24">
        <v>3920</v>
      </c>
      <c r="F2634" s="26">
        <v>19</v>
      </c>
      <c r="G2634" s="24" t="s">
        <v>6258</v>
      </c>
      <c r="H2634" s="67">
        <v>30</v>
      </c>
      <c r="I2634" s="68">
        <v>1</v>
      </c>
      <c r="J2634" s="67">
        <f t="shared" si="153"/>
        <v>30</v>
      </c>
      <c r="K2634" s="46">
        <v>0.76</v>
      </c>
      <c r="L2634" s="46">
        <f t="shared" si="154"/>
        <v>22.8</v>
      </c>
      <c r="M2634" s="162" t="s">
        <v>2219</v>
      </c>
      <c r="N2634" s="39">
        <v>45170</v>
      </c>
      <c r="O2634" s="38">
        <v>5494</v>
      </c>
      <c r="P2634" s="46">
        <f t="shared" si="155"/>
        <v>0.66880000000000006</v>
      </c>
      <c r="Q2634" s="180">
        <v>0.67</v>
      </c>
      <c r="R2634" s="704">
        <f t="shared" si="156"/>
        <v>20.100000000000001</v>
      </c>
      <c r="S2634" s="489">
        <v>40.799999999999997</v>
      </c>
      <c r="T2634" s="113">
        <f t="shared" si="157"/>
        <v>1224</v>
      </c>
      <c r="U2634" s="489"/>
      <c r="V2634" s="494">
        <v>120</v>
      </c>
      <c r="W2634" s="2041">
        <f t="shared" si="152"/>
        <v>0.55263157894736847</v>
      </c>
    </row>
    <row r="2635" spans="2:23" s="7" customFormat="1" ht="18" customHeight="1">
      <c r="B2635" s="12" t="s">
        <v>1856</v>
      </c>
      <c r="C2635" s="6" t="s">
        <v>6248</v>
      </c>
      <c r="D2635" s="15" t="s">
        <v>6099</v>
      </c>
      <c r="E2635" s="24">
        <v>3920</v>
      </c>
      <c r="F2635" s="26">
        <v>19</v>
      </c>
      <c r="G2635" s="24" t="s">
        <v>6259</v>
      </c>
      <c r="H2635" s="67">
        <v>30</v>
      </c>
      <c r="I2635" s="68">
        <v>1</v>
      </c>
      <c r="J2635" s="67">
        <f t="shared" si="153"/>
        <v>30</v>
      </c>
      <c r="K2635" s="46">
        <v>0.76</v>
      </c>
      <c r="L2635" s="46">
        <f t="shared" si="154"/>
        <v>22.8</v>
      </c>
      <c r="M2635" s="162" t="s">
        <v>2219</v>
      </c>
      <c r="N2635" s="39">
        <v>45170</v>
      </c>
      <c r="O2635" s="38">
        <v>5494</v>
      </c>
      <c r="P2635" s="46">
        <f t="shared" si="155"/>
        <v>0.66880000000000006</v>
      </c>
      <c r="Q2635" s="180">
        <v>0.67</v>
      </c>
      <c r="R2635" s="704">
        <f t="shared" si="156"/>
        <v>20.100000000000001</v>
      </c>
      <c r="S2635" s="489">
        <v>40.799999999999997</v>
      </c>
      <c r="T2635" s="113">
        <f t="shared" si="157"/>
        <v>1224</v>
      </c>
      <c r="U2635" s="489"/>
      <c r="V2635" s="494">
        <v>120</v>
      </c>
      <c r="W2635" s="2041">
        <f t="shared" si="152"/>
        <v>0.55263157894736847</v>
      </c>
    </row>
    <row r="2636" spans="2:23" s="7" customFormat="1" ht="18" customHeight="1">
      <c r="B2636" s="12" t="s">
        <v>1856</v>
      </c>
      <c r="C2636" s="6" t="s">
        <v>6248</v>
      </c>
      <c r="D2636" s="15" t="s">
        <v>6099</v>
      </c>
      <c r="E2636" s="24">
        <v>3920</v>
      </c>
      <c r="F2636" s="26">
        <v>19</v>
      </c>
      <c r="G2636" s="24" t="s">
        <v>6260</v>
      </c>
      <c r="H2636" s="67">
        <v>30</v>
      </c>
      <c r="I2636" s="68">
        <v>1</v>
      </c>
      <c r="J2636" s="67">
        <f t="shared" si="153"/>
        <v>30</v>
      </c>
      <c r="K2636" s="46">
        <v>0.76</v>
      </c>
      <c r="L2636" s="46">
        <f t="shared" si="154"/>
        <v>22.8</v>
      </c>
      <c r="M2636" s="162" t="s">
        <v>2219</v>
      </c>
      <c r="N2636" s="39">
        <v>45170</v>
      </c>
      <c r="O2636" s="38">
        <v>5494</v>
      </c>
      <c r="P2636" s="46">
        <f t="shared" si="155"/>
        <v>0.66880000000000006</v>
      </c>
      <c r="Q2636" s="180">
        <v>0.67</v>
      </c>
      <c r="R2636" s="704">
        <f t="shared" si="156"/>
        <v>20.100000000000001</v>
      </c>
      <c r="S2636" s="489">
        <v>40.799999999999997</v>
      </c>
      <c r="T2636" s="113">
        <f t="shared" si="157"/>
        <v>1224</v>
      </c>
      <c r="U2636" s="489"/>
      <c r="V2636" s="494">
        <v>120</v>
      </c>
      <c r="W2636" s="2041">
        <f t="shared" si="152"/>
        <v>0.55263157894736847</v>
      </c>
    </row>
    <row r="2637" spans="2:23" ht="15.95" customHeight="1">
      <c r="C2637" s="6" t="s">
        <v>6248</v>
      </c>
      <c r="D2637" s="15" t="s">
        <v>6099</v>
      </c>
      <c r="E2637" s="24"/>
      <c r="F2637" s="138"/>
      <c r="G2637" s="44" t="s">
        <v>1993</v>
      </c>
      <c r="H2637" s="8"/>
      <c r="I2637" s="41"/>
      <c r="J2637" s="45">
        <v>1</v>
      </c>
      <c r="K2637" s="46">
        <v>12</v>
      </c>
      <c r="L2637" s="46">
        <f t="shared" si="154"/>
        <v>12</v>
      </c>
      <c r="M2637" s="112"/>
      <c r="N2637" s="39">
        <v>45170</v>
      </c>
      <c r="O2637" s="38">
        <v>5494</v>
      </c>
      <c r="P2637" s="179"/>
      <c r="Q2637" s="180">
        <v>12</v>
      </c>
      <c r="R2637" s="180">
        <v>12</v>
      </c>
      <c r="S2637" s="498">
        <v>0</v>
      </c>
      <c r="T2637" s="568">
        <f t="shared" si="157"/>
        <v>0</v>
      </c>
      <c r="U2637" s="511"/>
      <c r="V2637" s="494">
        <v>120</v>
      </c>
      <c r="W2637" s="2041">
        <f t="shared" si="152"/>
        <v>1</v>
      </c>
    </row>
    <row r="2638" spans="2:23" s="314" customFormat="1" ht="15">
      <c r="B2638" s="313"/>
      <c r="C2638" s="302" t="s">
        <v>6248</v>
      </c>
      <c r="D2638" s="303" t="s">
        <v>6099</v>
      </c>
      <c r="E2638" s="371"/>
      <c r="F2638" s="305"/>
      <c r="G2638" s="2049" t="s">
        <v>1227</v>
      </c>
      <c r="H2638" s="307" t="s">
        <v>3438</v>
      </c>
      <c r="I2638" s="308"/>
      <c r="J2638" s="306"/>
      <c r="K2638" s="329">
        <v>29</v>
      </c>
      <c r="L2638" s="329">
        <v>29</v>
      </c>
      <c r="M2638" s="310"/>
      <c r="N2638" s="310">
        <v>45170</v>
      </c>
      <c r="O2638" s="309">
        <v>5494</v>
      </c>
      <c r="P2638" s="302"/>
      <c r="Q2638" s="329">
        <v>29</v>
      </c>
      <c r="R2638" s="329">
        <v>29</v>
      </c>
      <c r="S2638" s="489">
        <v>3222</v>
      </c>
      <c r="T2638" s="489">
        <v>3222</v>
      </c>
      <c r="U2638" s="1115"/>
      <c r="V2638" s="494">
        <v>120</v>
      </c>
      <c r="W2638" s="2041">
        <f t="shared" si="152"/>
        <v>7.4137931034482754E-2</v>
      </c>
    </row>
    <row r="2639" spans="2:23" s="7" customFormat="1" ht="18" customHeight="1">
      <c r="B2639" s="12"/>
      <c r="C2639" s="6" t="s">
        <v>6290</v>
      </c>
      <c r="D2639" s="15" t="s">
        <v>2845</v>
      </c>
      <c r="E2639" s="20" t="s">
        <v>6057</v>
      </c>
      <c r="F2639" s="44"/>
      <c r="G2639" s="44"/>
      <c r="H2639" s="151"/>
      <c r="I2639" s="151"/>
      <c r="J2639" s="151"/>
      <c r="K2639" s="153" t="s">
        <v>134</v>
      </c>
      <c r="L2639" s="213"/>
      <c r="M2639" s="39"/>
      <c r="N2639" s="39">
        <v>45177</v>
      </c>
      <c r="O2639" s="38">
        <v>5511</v>
      </c>
      <c r="P2639" s="6"/>
      <c r="Q2639" s="862"/>
      <c r="U2639" s="23"/>
      <c r="V2639" s="494">
        <v>120</v>
      </c>
      <c r="W2639" s="2041" t="e">
        <f t="shared" si="152"/>
        <v>#VALUE!</v>
      </c>
    </row>
    <row r="2640" spans="2:23" s="7" customFormat="1" ht="17.25" customHeight="1">
      <c r="B2640" s="12" t="s">
        <v>1856</v>
      </c>
      <c r="C2640" s="6" t="s">
        <v>6290</v>
      </c>
      <c r="D2640" s="15" t="s">
        <v>2845</v>
      </c>
      <c r="E2640" s="24" t="s">
        <v>5850</v>
      </c>
      <c r="F2640" s="44"/>
      <c r="G2640" s="44" t="s">
        <v>78</v>
      </c>
      <c r="H2640" s="151"/>
      <c r="I2640" s="152"/>
      <c r="J2640" s="8">
        <v>100</v>
      </c>
      <c r="K2640" s="46">
        <v>0.6</v>
      </c>
      <c r="L2640" s="46">
        <f>K2640*J2640</f>
        <v>60</v>
      </c>
      <c r="M2640" s="162" t="s">
        <v>2607</v>
      </c>
      <c r="N2640" s="39">
        <v>45177</v>
      </c>
      <c r="O2640" s="38">
        <v>5511</v>
      </c>
      <c r="P2640" s="46">
        <f>K2640*(VLOOKUP(B2640,$C$2:$F$6,3,FALSE))</f>
        <v>0.52800000000000002</v>
      </c>
      <c r="Q2640" s="910">
        <v>0.53</v>
      </c>
      <c r="R2640" s="703">
        <f>Q2640*J2640</f>
        <v>53</v>
      </c>
      <c r="S2640" s="7">
        <v>43</v>
      </c>
      <c r="T2640" s="7">
        <f>S2640*J2640</f>
        <v>4300</v>
      </c>
      <c r="U2640" s="503"/>
      <c r="V2640" s="494">
        <v>120</v>
      </c>
      <c r="W2640" s="2041">
        <f t="shared" si="152"/>
        <v>0.40277777777777779</v>
      </c>
    </row>
    <row r="2641" spans="2:23" s="7" customFormat="1" ht="15.95" customHeight="1">
      <c r="B2641" s="12"/>
      <c r="C2641" s="6" t="s">
        <v>6290</v>
      </c>
      <c r="D2641" s="15" t="s">
        <v>2845</v>
      </c>
      <c r="E2641" s="24"/>
      <c r="F2641" s="138"/>
      <c r="G2641" s="44" t="s">
        <v>1993</v>
      </c>
      <c r="H2641" s="8"/>
      <c r="I2641" s="41"/>
      <c r="J2641" s="45">
        <v>1</v>
      </c>
      <c r="K2641" s="46">
        <v>12</v>
      </c>
      <c r="L2641" s="46">
        <f>K2641*J2641</f>
        <v>12</v>
      </c>
      <c r="M2641" s="39"/>
      <c r="N2641" s="39">
        <v>45177</v>
      </c>
      <c r="O2641" s="38">
        <v>5511</v>
      </c>
      <c r="P2641" s="6"/>
      <c r="Q2641" s="483">
        <v>12</v>
      </c>
      <c r="R2641" s="704">
        <f>Q2641*J2641</f>
        <v>12</v>
      </c>
      <c r="S2641" s="489">
        <v>900</v>
      </c>
      <c r="T2641" s="113">
        <f>S2641*J2641</f>
        <v>900</v>
      </c>
      <c r="U2641" s="501"/>
      <c r="V2641" s="494">
        <v>120</v>
      </c>
      <c r="W2641" s="2041">
        <f t="shared" si="152"/>
        <v>0.375</v>
      </c>
    </row>
    <row r="2642" spans="2:23" s="314" customFormat="1" ht="15">
      <c r="B2642" s="313"/>
      <c r="C2642" s="302" t="s">
        <v>6290</v>
      </c>
      <c r="D2642" s="303" t="s">
        <v>2845</v>
      </c>
      <c r="E2642" s="304"/>
      <c r="F2642" s="305"/>
      <c r="G2642" s="305" t="s">
        <v>1227</v>
      </c>
      <c r="H2642" s="307" t="s">
        <v>1228</v>
      </c>
      <c r="I2642" s="308"/>
      <c r="J2642" s="306"/>
      <c r="K2642" s="315">
        <v>0</v>
      </c>
      <c r="L2642" s="310"/>
      <c r="M2642" s="310"/>
      <c r="N2642" s="310">
        <v>45177</v>
      </c>
      <c r="O2642" s="309">
        <v>5511</v>
      </c>
      <c r="P2642" s="302"/>
      <c r="Q2642" s="485">
        <v>0</v>
      </c>
      <c r="S2642" s="535">
        <v>0</v>
      </c>
      <c r="T2642" s="322">
        <v>0</v>
      </c>
      <c r="U2642" s="515"/>
      <c r="V2642" s="494">
        <v>120</v>
      </c>
      <c r="W2642" s="2041" t="e">
        <f t="shared" si="152"/>
        <v>#DIV/0!</v>
      </c>
    </row>
    <row r="2643" spans="2:23" s="7" customFormat="1" ht="15" customHeight="1">
      <c r="B2643" s="12"/>
      <c r="C2643" s="6" t="s">
        <v>6292</v>
      </c>
      <c r="D2643" s="15" t="s">
        <v>6291</v>
      </c>
      <c r="E2643" s="20" t="s">
        <v>6293</v>
      </c>
      <c r="F2643" s="26"/>
      <c r="G2643" s="24"/>
      <c r="H2643" s="67"/>
      <c r="I2643" s="68"/>
      <c r="J2643" s="67"/>
      <c r="K2643" s="17" t="s">
        <v>134</v>
      </c>
      <c r="L2643" s="39"/>
      <c r="M2643" s="39"/>
      <c r="N2643" s="39">
        <v>45183</v>
      </c>
      <c r="O2643" s="38">
        <v>5520</v>
      </c>
      <c r="P2643" s="179" t="s">
        <v>23</v>
      </c>
      <c r="Q2643" s="438" t="s">
        <v>959</v>
      </c>
      <c r="R2643" s="704"/>
      <c r="S2643" s="707"/>
      <c r="T2643" s="113"/>
      <c r="U2643" s="2068"/>
      <c r="V2643" s="494">
        <v>120</v>
      </c>
      <c r="W2643" s="2041" t="e">
        <f t="shared" si="152"/>
        <v>#VALUE!</v>
      </c>
    </row>
    <row r="2644" spans="2:23" s="7" customFormat="1" ht="18" customHeight="1">
      <c r="B2644" s="12" t="s">
        <v>1856</v>
      </c>
      <c r="C2644" s="6" t="s">
        <v>6292</v>
      </c>
      <c r="D2644" s="15" t="s">
        <v>6291</v>
      </c>
      <c r="E2644" s="24" t="s">
        <v>6294</v>
      </c>
      <c r="F2644" s="26">
        <v>20</v>
      </c>
      <c r="G2644" s="24" t="s">
        <v>6295</v>
      </c>
      <c r="H2644" s="67">
        <v>30</v>
      </c>
      <c r="I2644" s="68">
        <v>1</v>
      </c>
      <c r="J2644" s="67">
        <f>H2644*I2644</f>
        <v>30</v>
      </c>
      <c r="K2644" s="46">
        <v>1.49</v>
      </c>
      <c r="L2644" s="46">
        <f>K2644*J2644</f>
        <v>44.7</v>
      </c>
      <c r="M2644" s="162" t="s">
        <v>2219</v>
      </c>
      <c r="N2644" s="39">
        <v>45183</v>
      </c>
      <c r="O2644" s="38">
        <v>5520</v>
      </c>
      <c r="P2644" s="46">
        <f>K2644*(VLOOKUP(B2644,$C$2:$F$6,3,FALSE))</f>
        <v>1.3111999999999999</v>
      </c>
      <c r="Q2644" s="180">
        <v>1.31</v>
      </c>
      <c r="R2644" s="704">
        <f>Q2644*J2644</f>
        <v>39.300000000000004</v>
      </c>
      <c r="S2644" s="489">
        <v>80</v>
      </c>
      <c r="T2644" s="113">
        <f>S2644*J2644</f>
        <v>2400</v>
      </c>
      <c r="U2644" s="489"/>
      <c r="V2644" s="494">
        <v>120</v>
      </c>
      <c r="W2644" s="2041">
        <f t="shared" si="152"/>
        <v>0.55257270693512306</v>
      </c>
    </row>
    <row r="2645" spans="2:23" ht="15.95" customHeight="1">
      <c r="C2645" s="6" t="s">
        <v>6292</v>
      </c>
      <c r="D2645" s="15" t="s">
        <v>6291</v>
      </c>
      <c r="E2645" s="24"/>
      <c r="F2645" s="138"/>
      <c r="G2645" s="44" t="s">
        <v>1993</v>
      </c>
      <c r="H2645" s="8"/>
      <c r="I2645" s="68">
        <v>1</v>
      </c>
      <c r="J2645" s="45">
        <v>1</v>
      </c>
      <c r="K2645" s="46">
        <v>12</v>
      </c>
      <c r="L2645" s="46">
        <f>K2645*J2645</f>
        <v>12</v>
      </c>
      <c r="M2645" s="112"/>
      <c r="N2645" s="39">
        <v>45183</v>
      </c>
      <c r="O2645" s="38">
        <v>5520</v>
      </c>
      <c r="P2645" s="179"/>
      <c r="Q2645" s="180">
        <v>12</v>
      </c>
      <c r="R2645" s="180">
        <v>12</v>
      </c>
      <c r="S2645" s="498">
        <v>1000</v>
      </c>
      <c r="T2645" s="568">
        <f>S2645*J2645</f>
        <v>1000</v>
      </c>
      <c r="U2645" s="511"/>
      <c r="V2645" s="494">
        <v>120</v>
      </c>
      <c r="W2645" s="2041">
        <f t="shared" si="152"/>
        <v>0.30555555555555558</v>
      </c>
    </row>
    <row r="2646" spans="2:23" s="314" customFormat="1" ht="15">
      <c r="B2646" s="313"/>
      <c r="C2646" s="302" t="s">
        <v>6292</v>
      </c>
      <c r="D2646" s="303" t="s">
        <v>6291</v>
      </c>
      <c r="E2646" s="371"/>
      <c r="F2646" s="305"/>
      <c r="G2646" s="2049" t="s">
        <v>1227</v>
      </c>
      <c r="H2646" s="307" t="s">
        <v>1228</v>
      </c>
      <c r="I2646" s="308"/>
      <c r="J2646" s="306"/>
      <c r="K2646" s="315">
        <v>0</v>
      </c>
      <c r="L2646" s="310"/>
      <c r="M2646" s="310"/>
      <c r="N2646" s="310">
        <v>45183</v>
      </c>
      <c r="O2646" s="309">
        <v>5520</v>
      </c>
      <c r="P2646" s="302"/>
      <c r="Q2646" s="485">
        <v>0</v>
      </c>
      <c r="S2646" s="535">
        <v>0</v>
      </c>
      <c r="T2646" s="322">
        <v>0</v>
      </c>
      <c r="U2646" s="515"/>
      <c r="V2646" s="494">
        <v>120</v>
      </c>
      <c r="W2646" s="2041" t="e">
        <f t="shared" si="152"/>
        <v>#DIV/0!</v>
      </c>
    </row>
    <row r="2647" spans="2:23" s="7" customFormat="1" ht="15">
      <c r="B2647" s="12"/>
      <c r="C2647" s="6" t="s">
        <v>6298</v>
      </c>
      <c r="D2647" s="15" t="s">
        <v>3026</v>
      </c>
      <c r="E2647" s="20" t="s">
        <v>408</v>
      </c>
      <c r="F2647" s="44"/>
      <c r="G2647" s="44"/>
      <c r="H2647" s="151"/>
      <c r="I2647" s="151"/>
      <c r="J2647" s="151"/>
      <c r="K2647" s="17" t="s">
        <v>134</v>
      </c>
      <c r="L2647" s="39"/>
      <c r="M2647" s="39"/>
      <c r="N2647" s="39">
        <v>45194</v>
      </c>
      <c r="O2647" s="38">
        <v>5526</v>
      </c>
      <c r="P2647" s="6"/>
      <c r="Q2647" s="524"/>
      <c r="S2647" s="489"/>
      <c r="T2647" s="113"/>
      <c r="U2647" s="501"/>
      <c r="V2647" s="494">
        <v>120</v>
      </c>
      <c r="W2647" s="2041" t="e">
        <f t="shared" si="152"/>
        <v>#VALUE!</v>
      </c>
    </row>
    <row r="2648" spans="2:23" s="7" customFormat="1" ht="15" customHeight="1">
      <c r="B2648" s="12" t="s">
        <v>1856</v>
      </c>
      <c r="C2648" s="6" t="s">
        <v>6298</v>
      </c>
      <c r="D2648" s="15" t="s">
        <v>3026</v>
      </c>
      <c r="E2648" s="24" t="s">
        <v>1219</v>
      </c>
      <c r="F2648" s="26"/>
      <c r="G2648" s="24" t="s">
        <v>17</v>
      </c>
      <c r="H2648" s="67">
        <v>50</v>
      </c>
      <c r="I2648" s="68">
        <v>40</v>
      </c>
      <c r="J2648" s="8">
        <f>H2648*I2648</f>
        <v>2000</v>
      </c>
      <c r="K2648" s="46">
        <v>0.3</v>
      </c>
      <c r="L2648" s="46">
        <f>K2648*J2648</f>
        <v>600</v>
      </c>
      <c r="M2648" s="162" t="s">
        <v>2219</v>
      </c>
      <c r="N2648" s="39">
        <v>45194</v>
      </c>
      <c r="O2648" s="38">
        <v>5526</v>
      </c>
      <c r="P2648" s="46">
        <f>K2648*(VLOOKUP(B2648,$C$2:$F$6,3,FALSE))</f>
        <v>0.26400000000000001</v>
      </c>
      <c r="Q2648" s="482">
        <v>0.26</v>
      </c>
      <c r="R2648" s="704">
        <f>Q2648*J2648</f>
        <v>520</v>
      </c>
      <c r="S2648" s="489">
        <v>18</v>
      </c>
      <c r="T2648" s="113">
        <f>S2648*J2648</f>
        <v>36000</v>
      </c>
      <c r="U2648" s="1603"/>
      <c r="V2648" s="494">
        <v>120</v>
      </c>
      <c r="W2648" s="2041">
        <f t="shared" si="152"/>
        <v>0.5</v>
      </c>
    </row>
    <row r="2649" spans="2:23" s="7" customFormat="1" ht="15" customHeight="1">
      <c r="B2649" s="12" t="s">
        <v>1856</v>
      </c>
      <c r="C2649" s="6" t="s">
        <v>6298</v>
      </c>
      <c r="D2649" s="15" t="s">
        <v>3026</v>
      </c>
      <c r="E2649" s="24" t="s">
        <v>5772</v>
      </c>
      <c r="F2649" s="26"/>
      <c r="G2649" s="24" t="s">
        <v>17</v>
      </c>
      <c r="H2649" s="67">
        <v>50</v>
      </c>
      <c r="I2649" s="68">
        <v>60</v>
      </c>
      <c r="J2649" s="8">
        <f>H2649*I2649</f>
        <v>3000</v>
      </c>
      <c r="K2649" s="46">
        <v>0.26</v>
      </c>
      <c r="L2649" s="46">
        <f>K2649*J2649</f>
        <v>780</v>
      </c>
      <c r="M2649" s="162" t="s">
        <v>2219</v>
      </c>
      <c r="N2649" s="39">
        <v>45194</v>
      </c>
      <c r="O2649" s="38">
        <v>5526</v>
      </c>
      <c r="P2649" s="46">
        <f>K2649*(VLOOKUP(B2649,$C$2:$F$6,3,FALSE))</f>
        <v>0.2288</v>
      </c>
      <c r="Q2649" s="482">
        <v>0.23</v>
      </c>
      <c r="R2649" s="704">
        <f>Q2649*J2649</f>
        <v>690</v>
      </c>
      <c r="S2649" s="489">
        <v>15.1</v>
      </c>
      <c r="T2649" s="113">
        <f>S2649*J2649</f>
        <v>45300</v>
      </c>
      <c r="U2649" s="1603"/>
      <c r="V2649" s="494">
        <v>120</v>
      </c>
      <c r="W2649" s="2041">
        <f t="shared" si="152"/>
        <v>0.51602564102564097</v>
      </c>
    </row>
    <row r="2650" spans="2:23" s="7" customFormat="1" ht="15.95" customHeight="1">
      <c r="B2650" s="12"/>
      <c r="C2650" s="6" t="s">
        <v>6298</v>
      </c>
      <c r="D2650" s="15" t="s">
        <v>3026</v>
      </c>
      <c r="E2650" s="24"/>
      <c r="F2650" s="138"/>
      <c r="G2650" s="44" t="s">
        <v>1993</v>
      </c>
      <c r="H2650" s="8"/>
      <c r="I2650" s="41"/>
      <c r="J2650" s="45">
        <v>1</v>
      </c>
      <c r="K2650" s="46">
        <v>12</v>
      </c>
      <c r="L2650" s="46">
        <f>K2650*J2650</f>
        <v>12</v>
      </c>
      <c r="M2650" s="39"/>
      <c r="N2650" s="39">
        <v>45194</v>
      </c>
      <c r="O2650" s="38">
        <v>5526</v>
      </c>
      <c r="P2650" s="6"/>
      <c r="Q2650" s="483">
        <v>12</v>
      </c>
      <c r="R2650" s="704">
        <f>Q2650*J2650</f>
        <v>12</v>
      </c>
      <c r="S2650" s="489">
        <v>1100</v>
      </c>
      <c r="T2650" s="113">
        <f>S2650*J2650</f>
        <v>1100</v>
      </c>
      <c r="U2650" s="501"/>
      <c r="V2650" s="494">
        <v>120</v>
      </c>
      <c r="W2650" s="2041">
        <f t="shared" si="152"/>
        <v>0.2361111111111111</v>
      </c>
    </row>
    <row r="2651" spans="2:23" s="314" customFormat="1" ht="15.6" customHeight="1">
      <c r="B2651" s="313"/>
      <c r="C2651" s="302" t="s">
        <v>6298</v>
      </c>
      <c r="D2651" s="303" t="s">
        <v>3026</v>
      </c>
      <c r="E2651" s="304"/>
      <c r="F2651" s="305"/>
      <c r="G2651" s="305" t="s">
        <v>1227</v>
      </c>
      <c r="H2651" s="307" t="s">
        <v>3438</v>
      </c>
      <c r="I2651" s="308"/>
      <c r="J2651" s="306"/>
      <c r="K2651" s="315">
        <v>339</v>
      </c>
      <c r="L2651" s="315">
        <v>339</v>
      </c>
      <c r="M2651" s="310"/>
      <c r="N2651" s="310">
        <v>45194</v>
      </c>
      <c r="O2651" s="309">
        <v>5526</v>
      </c>
      <c r="P2651" s="302"/>
      <c r="Q2651" s="315">
        <v>339</v>
      </c>
      <c r="R2651" s="315">
        <v>339</v>
      </c>
      <c r="S2651" s="489">
        <v>38906</v>
      </c>
      <c r="T2651" s="489">
        <v>38906</v>
      </c>
      <c r="U2651" s="515"/>
      <c r="V2651" s="494">
        <v>120</v>
      </c>
      <c r="W2651" s="2041">
        <f t="shared" si="152"/>
        <v>4.3608652900688299E-2</v>
      </c>
    </row>
    <row r="2652" spans="2:23" s="7" customFormat="1" ht="18" customHeight="1">
      <c r="B2652" s="12"/>
      <c r="C2652" s="6" t="s">
        <v>6299</v>
      </c>
      <c r="D2652" s="15" t="s">
        <v>11</v>
      </c>
      <c r="E2652" s="20" t="s">
        <v>27</v>
      </c>
      <c r="F2652" s="150"/>
      <c r="G2652" s="24"/>
      <c r="H2652" s="151"/>
      <c r="I2652" s="152"/>
      <c r="J2652" s="151"/>
      <c r="K2652" s="34" t="s">
        <v>10</v>
      </c>
      <c r="L2652" s="39"/>
      <c r="M2652" s="39"/>
      <c r="N2652" s="39">
        <v>45190</v>
      </c>
      <c r="O2652" s="38">
        <v>5535</v>
      </c>
      <c r="P2652" s="15"/>
      <c r="Q2652" s="483"/>
      <c r="S2652" s="2080" t="s">
        <v>6308</v>
      </c>
      <c r="T2652" s="113"/>
      <c r="U2652" s="506"/>
      <c r="V2652" s="494">
        <v>120</v>
      </c>
    </row>
    <row r="2653" spans="2:23" s="7" customFormat="1" ht="15.75">
      <c r="B2653" s="12" t="s">
        <v>1858</v>
      </c>
      <c r="C2653" s="6" t="s">
        <v>6299</v>
      </c>
      <c r="D2653" s="15" t="s">
        <v>11</v>
      </c>
      <c r="E2653" s="24" t="s">
        <v>536</v>
      </c>
      <c r="F2653" s="150">
        <v>160</v>
      </c>
      <c r="G2653" s="24" t="s">
        <v>6307</v>
      </c>
      <c r="H2653" s="67">
        <v>21</v>
      </c>
      <c r="I2653" s="68">
        <v>1</v>
      </c>
      <c r="J2653" s="8">
        <f t="shared" ref="J2653:J2660" si="158">H2653*I2653</f>
        <v>21</v>
      </c>
      <c r="K2653" s="25">
        <v>5</v>
      </c>
      <c r="L2653" s="46">
        <f t="shared" ref="L2653:L2660" si="159">K2653*J2653</f>
        <v>105</v>
      </c>
      <c r="M2653" s="162" t="s">
        <v>2219</v>
      </c>
      <c r="N2653" s="39">
        <v>45190</v>
      </c>
      <c r="O2653" s="38">
        <v>5535</v>
      </c>
      <c r="P2653" s="46">
        <f t="shared" ref="P2653:P2660" si="160">K2653*(VLOOKUP(B2653,$C$2:$F$6,3,FALSE))</f>
        <v>4.6999999999999993</v>
      </c>
      <c r="Q2653" s="483">
        <v>4.7</v>
      </c>
      <c r="R2653" s="704">
        <f t="shared" ref="R2653:R2660" si="161">Q2653*J2653</f>
        <v>98.7</v>
      </c>
      <c r="S2653" s="532">
        <f t="shared" ref="S2653:S2660" si="162">380+30</f>
        <v>410</v>
      </c>
      <c r="T2653" s="567">
        <f t="shared" ref="T2653:T2660" si="163">S2653*J2653</f>
        <v>8610</v>
      </c>
      <c r="U2653" s="501"/>
      <c r="V2653" s="494">
        <v>120</v>
      </c>
      <c r="W2653" s="2041">
        <f t="shared" ref="W2653:W2692" si="164">(((K2653*V2653)-S2653)/(K2653*V2653))</f>
        <v>0.31666666666666665</v>
      </c>
    </row>
    <row r="2654" spans="2:23" s="7" customFormat="1" ht="15.75">
      <c r="B2654" s="12" t="s">
        <v>1858</v>
      </c>
      <c r="C2654" s="6" t="s">
        <v>6299</v>
      </c>
      <c r="D2654" s="15" t="s">
        <v>11</v>
      </c>
      <c r="E2654" s="24" t="s">
        <v>536</v>
      </c>
      <c r="F2654" s="150">
        <v>160</v>
      </c>
      <c r="G2654" s="24" t="s">
        <v>6307</v>
      </c>
      <c r="H2654" s="67">
        <v>25</v>
      </c>
      <c r="I2654" s="68">
        <v>1</v>
      </c>
      <c r="J2654" s="8">
        <f t="shared" si="158"/>
        <v>25</v>
      </c>
      <c r="K2654" s="25">
        <v>5</v>
      </c>
      <c r="L2654" s="46">
        <f t="shared" si="159"/>
        <v>125</v>
      </c>
      <c r="M2654" s="162" t="s">
        <v>2219</v>
      </c>
      <c r="N2654" s="39">
        <v>45190</v>
      </c>
      <c r="O2654" s="38">
        <v>5535</v>
      </c>
      <c r="P2654" s="46">
        <f t="shared" si="160"/>
        <v>4.6999999999999993</v>
      </c>
      <c r="Q2654" s="483">
        <v>4.7</v>
      </c>
      <c r="R2654" s="704">
        <f t="shared" si="161"/>
        <v>117.5</v>
      </c>
      <c r="S2654" s="532">
        <f t="shared" si="162"/>
        <v>410</v>
      </c>
      <c r="T2654" s="567">
        <f t="shared" si="163"/>
        <v>10250</v>
      </c>
      <c r="U2654" s="501"/>
      <c r="V2654" s="494">
        <v>120</v>
      </c>
      <c r="W2654" s="2041">
        <f t="shared" si="164"/>
        <v>0.31666666666666665</v>
      </c>
    </row>
    <row r="2655" spans="2:23" s="7" customFormat="1" ht="15.75">
      <c r="B2655" s="12" t="s">
        <v>1858</v>
      </c>
      <c r="C2655" s="6" t="s">
        <v>6299</v>
      </c>
      <c r="D2655" s="15" t="s">
        <v>11</v>
      </c>
      <c r="E2655" s="24" t="s">
        <v>536</v>
      </c>
      <c r="F2655" s="150">
        <v>160</v>
      </c>
      <c r="G2655" s="24" t="s">
        <v>6307</v>
      </c>
      <c r="H2655" s="67">
        <v>31</v>
      </c>
      <c r="I2655" s="68">
        <v>1</v>
      </c>
      <c r="J2655" s="8">
        <f t="shared" si="158"/>
        <v>31</v>
      </c>
      <c r="K2655" s="25">
        <v>5</v>
      </c>
      <c r="L2655" s="46">
        <f t="shared" si="159"/>
        <v>155</v>
      </c>
      <c r="M2655" s="162" t="s">
        <v>2219</v>
      </c>
      <c r="N2655" s="39">
        <v>45190</v>
      </c>
      <c r="O2655" s="38">
        <v>5535</v>
      </c>
      <c r="P2655" s="46">
        <f t="shared" si="160"/>
        <v>4.6999999999999993</v>
      </c>
      <c r="Q2655" s="483">
        <v>4.7</v>
      </c>
      <c r="R2655" s="704">
        <f t="shared" si="161"/>
        <v>145.70000000000002</v>
      </c>
      <c r="S2655" s="532">
        <f t="shared" si="162"/>
        <v>410</v>
      </c>
      <c r="T2655" s="567">
        <f t="shared" si="163"/>
        <v>12710</v>
      </c>
      <c r="U2655" s="501"/>
      <c r="V2655" s="494">
        <v>120</v>
      </c>
      <c r="W2655" s="2041">
        <f t="shared" si="164"/>
        <v>0.31666666666666665</v>
      </c>
    </row>
    <row r="2656" spans="2:23" s="7" customFormat="1" ht="15.75">
      <c r="B2656" s="12" t="s">
        <v>1858</v>
      </c>
      <c r="C2656" s="6" t="s">
        <v>6299</v>
      </c>
      <c r="D2656" s="15" t="s">
        <v>11</v>
      </c>
      <c r="E2656" s="24" t="s">
        <v>536</v>
      </c>
      <c r="F2656" s="150">
        <v>160</v>
      </c>
      <c r="G2656" s="24" t="s">
        <v>6307</v>
      </c>
      <c r="H2656" s="67">
        <v>35</v>
      </c>
      <c r="I2656" s="68">
        <v>2</v>
      </c>
      <c r="J2656" s="8">
        <f t="shared" si="158"/>
        <v>70</v>
      </c>
      <c r="K2656" s="25">
        <v>5</v>
      </c>
      <c r="L2656" s="46">
        <f t="shared" si="159"/>
        <v>350</v>
      </c>
      <c r="M2656" s="162" t="s">
        <v>2219</v>
      </c>
      <c r="N2656" s="39">
        <v>45190</v>
      </c>
      <c r="O2656" s="38">
        <v>5535</v>
      </c>
      <c r="P2656" s="46">
        <f t="shared" si="160"/>
        <v>4.6999999999999993</v>
      </c>
      <c r="Q2656" s="483">
        <v>4.7</v>
      </c>
      <c r="R2656" s="704">
        <f t="shared" si="161"/>
        <v>329</v>
      </c>
      <c r="S2656" s="532">
        <f t="shared" si="162"/>
        <v>410</v>
      </c>
      <c r="T2656" s="567">
        <f t="shared" si="163"/>
        <v>28700</v>
      </c>
      <c r="U2656" s="501"/>
      <c r="V2656" s="494">
        <v>120</v>
      </c>
      <c r="W2656" s="2041">
        <f t="shared" si="164"/>
        <v>0.31666666666666665</v>
      </c>
    </row>
    <row r="2657" spans="1:23" s="7" customFormat="1" ht="15.75">
      <c r="B2657" s="12" t="s">
        <v>1858</v>
      </c>
      <c r="C2657" s="6" t="s">
        <v>6299</v>
      </c>
      <c r="D2657" s="15" t="s">
        <v>11</v>
      </c>
      <c r="E2657" s="24" t="s">
        <v>536</v>
      </c>
      <c r="F2657" s="150">
        <v>160</v>
      </c>
      <c r="G2657" s="24" t="s">
        <v>6307</v>
      </c>
      <c r="H2657" s="67">
        <v>36</v>
      </c>
      <c r="I2657" s="68">
        <v>1</v>
      </c>
      <c r="J2657" s="8">
        <f t="shared" si="158"/>
        <v>36</v>
      </c>
      <c r="K2657" s="25">
        <v>5</v>
      </c>
      <c r="L2657" s="46">
        <f t="shared" si="159"/>
        <v>180</v>
      </c>
      <c r="M2657" s="162" t="s">
        <v>2219</v>
      </c>
      <c r="N2657" s="39">
        <v>45190</v>
      </c>
      <c r="O2657" s="38">
        <v>5535</v>
      </c>
      <c r="P2657" s="46">
        <f t="shared" si="160"/>
        <v>4.6999999999999993</v>
      </c>
      <c r="Q2657" s="483">
        <v>4.7</v>
      </c>
      <c r="R2657" s="704">
        <f t="shared" si="161"/>
        <v>169.20000000000002</v>
      </c>
      <c r="S2657" s="532">
        <f t="shared" si="162"/>
        <v>410</v>
      </c>
      <c r="T2657" s="567">
        <f t="shared" si="163"/>
        <v>14760</v>
      </c>
      <c r="U2657" s="501"/>
      <c r="V2657" s="494">
        <v>120</v>
      </c>
      <c r="W2657" s="2041">
        <f t="shared" si="164"/>
        <v>0.31666666666666665</v>
      </c>
    </row>
    <row r="2658" spans="1:23" s="7" customFormat="1" ht="15.75">
      <c r="B2658" s="12" t="s">
        <v>1858</v>
      </c>
      <c r="C2658" s="6" t="s">
        <v>6299</v>
      </c>
      <c r="D2658" s="15" t="s">
        <v>11</v>
      </c>
      <c r="E2658" s="24" t="s">
        <v>536</v>
      </c>
      <c r="F2658" s="150">
        <v>160</v>
      </c>
      <c r="G2658" s="24" t="s">
        <v>6307</v>
      </c>
      <c r="H2658" s="67">
        <v>40</v>
      </c>
      <c r="I2658" s="68">
        <v>1</v>
      </c>
      <c r="J2658" s="8">
        <f t="shared" si="158"/>
        <v>40</v>
      </c>
      <c r="K2658" s="25">
        <v>5</v>
      </c>
      <c r="L2658" s="46">
        <f t="shared" si="159"/>
        <v>200</v>
      </c>
      <c r="M2658" s="162" t="s">
        <v>2219</v>
      </c>
      <c r="N2658" s="39">
        <v>45190</v>
      </c>
      <c r="O2658" s="38">
        <v>5535</v>
      </c>
      <c r="P2658" s="46">
        <f t="shared" si="160"/>
        <v>4.6999999999999993</v>
      </c>
      <c r="Q2658" s="483">
        <v>4.7</v>
      </c>
      <c r="R2658" s="704">
        <f t="shared" si="161"/>
        <v>188</v>
      </c>
      <c r="S2658" s="532">
        <f t="shared" si="162"/>
        <v>410</v>
      </c>
      <c r="T2658" s="567">
        <f t="shared" si="163"/>
        <v>16400</v>
      </c>
      <c r="U2658" s="501"/>
      <c r="V2658" s="494">
        <v>120</v>
      </c>
      <c r="W2658" s="2041">
        <f t="shared" si="164"/>
        <v>0.31666666666666665</v>
      </c>
    </row>
    <row r="2659" spans="1:23" s="7" customFormat="1" ht="15.75">
      <c r="B2659" s="12" t="s">
        <v>1858</v>
      </c>
      <c r="C2659" s="6" t="s">
        <v>6299</v>
      </c>
      <c r="D2659" s="15" t="s">
        <v>11</v>
      </c>
      <c r="E2659" s="24" t="s">
        <v>536</v>
      </c>
      <c r="F2659" s="150">
        <v>160</v>
      </c>
      <c r="G2659" s="24" t="s">
        <v>6301</v>
      </c>
      <c r="H2659" s="67">
        <v>50</v>
      </c>
      <c r="I2659" s="68">
        <v>1</v>
      </c>
      <c r="J2659" s="8">
        <f t="shared" si="158"/>
        <v>50</v>
      </c>
      <c r="K2659" s="25">
        <v>5</v>
      </c>
      <c r="L2659" s="46">
        <f t="shared" si="159"/>
        <v>250</v>
      </c>
      <c r="M2659" s="162" t="s">
        <v>2218</v>
      </c>
      <c r="N2659" s="39">
        <v>45190</v>
      </c>
      <c r="O2659" s="38">
        <v>5535</v>
      </c>
      <c r="P2659" s="46">
        <f t="shared" si="160"/>
        <v>4.6999999999999993</v>
      </c>
      <c r="Q2659" s="483">
        <v>4.7</v>
      </c>
      <c r="R2659" s="704">
        <f t="shared" si="161"/>
        <v>235</v>
      </c>
      <c r="S2659" s="532">
        <f t="shared" si="162"/>
        <v>410</v>
      </c>
      <c r="T2659" s="567">
        <f t="shared" si="163"/>
        <v>20500</v>
      </c>
      <c r="U2659" s="501"/>
      <c r="V2659" s="494">
        <v>120</v>
      </c>
      <c r="W2659" s="2041">
        <f t="shared" si="164"/>
        <v>0.31666666666666665</v>
      </c>
    </row>
    <row r="2660" spans="1:23" s="7" customFormat="1" ht="15.75">
      <c r="B2660" s="12" t="s">
        <v>1858</v>
      </c>
      <c r="C2660" s="6" t="s">
        <v>6299</v>
      </c>
      <c r="D2660" s="15" t="s">
        <v>11</v>
      </c>
      <c r="E2660" s="24" t="s">
        <v>536</v>
      </c>
      <c r="F2660" s="150">
        <v>160</v>
      </c>
      <c r="G2660" s="24" t="s">
        <v>859</v>
      </c>
      <c r="H2660" s="67">
        <v>50</v>
      </c>
      <c r="I2660" s="68">
        <v>2</v>
      </c>
      <c r="J2660" s="8">
        <f t="shared" si="158"/>
        <v>100</v>
      </c>
      <c r="K2660" s="25">
        <v>5</v>
      </c>
      <c r="L2660" s="46">
        <f t="shared" si="159"/>
        <v>500</v>
      </c>
      <c r="M2660" s="162" t="s">
        <v>2218</v>
      </c>
      <c r="N2660" s="39">
        <v>45190</v>
      </c>
      <c r="O2660" s="38">
        <v>5535</v>
      </c>
      <c r="P2660" s="46">
        <f t="shared" si="160"/>
        <v>4.6999999999999993</v>
      </c>
      <c r="Q2660" s="483">
        <v>4.7</v>
      </c>
      <c r="R2660" s="704">
        <f t="shared" si="161"/>
        <v>470</v>
      </c>
      <c r="S2660" s="532">
        <f t="shared" si="162"/>
        <v>410</v>
      </c>
      <c r="T2660" s="567">
        <f t="shared" si="163"/>
        <v>41000</v>
      </c>
      <c r="U2660" s="501"/>
      <c r="V2660" s="494">
        <v>120</v>
      </c>
      <c r="W2660" s="2041">
        <f t="shared" si="164"/>
        <v>0.31666666666666665</v>
      </c>
    </row>
    <row r="2661" spans="1:23" ht="15">
      <c r="C2661" s="6" t="s">
        <v>6299</v>
      </c>
      <c r="D2661" s="15" t="s">
        <v>11</v>
      </c>
      <c r="E2661" s="20" t="s">
        <v>79</v>
      </c>
      <c r="F2661" s="150"/>
      <c r="G2661" s="24"/>
      <c r="H2661" s="151"/>
      <c r="I2661" s="152"/>
      <c r="J2661" s="151"/>
      <c r="K2661" s="153" t="s">
        <v>10</v>
      </c>
      <c r="L2661" s="39"/>
      <c r="M2661" s="39"/>
      <c r="N2661" s="39">
        <v>45190</v>
      </c>
      <c r="O2661" s="38">
        <v>5535</v>
      </c>
      <c r="P2661" s="15"/>
      <c r="Q2661" s="483"/>
      <c r="S2661" s="496"/>
      <c r="T2661" s="113"/>
      <c r="V2661" s="494">
        <v>120</v>
      </c>
      <c r="W2661" s="2041" t="e">
        <f t="shared" si="164"/>
        <v>#VALUE!</v>
      </c>
    </row>
    <row r="2662" spans="1:23" ht="15.75">
      <c r="B2662" s="12" t="s">
        <v>1858</v>
      </c>
      <c r="C2662" s="6" t="s">
        <v>6299</v>
      </c>
      <c r="D2662" s="15" t="s">
        <v>11</v>
      </c>
      <c r="E2662" s="24">
        <v>2440</v>
      </c>
      <c r="F2662" s="150">
        <v>140</v>
      </c>
      <c r="G2662" s="24" t="s">
        <v>30</v>
      </c>
      <c r="H2662" s="67">
        <v>58</v>
      </c>
      <c r="I2662" s="68">
        <v>2</v>
      </c>
      <c r="J2662" s="67">
        <f t="shared" ref="J2662:J2668" si="165">H2662*I2662</f>
        <v>116</v>
      </c>
      <c r="K2662" s="46">
        <v>3.89</v>
      </c>
      <c r="L2662" s="46">
        <f t="shared" ref="L2662:L2668" si="166">K2662*J2662</f>
        <v>451.24</v>
      </c>
      <c r="M2662" s="162" t="s">
        <v>2219</v>
      </c>
      <c r="N2662" s="39">
        <v>45190</v>
      </c>
      <c r="O2662" s="38">
        <v>5535</v>
      </c>
      <c r="P2662" s="46">
        <f t="shared" ref="P2662:P2668" si="167">K2662*(VLOOKUP(B2662,$C$2:$F$6,3,FALSE))</f>
        <v>3.6566000000000001</v>
      </c>
      <c r="Q2662" s="483">
        <v>3.66</v>
      </c>
      <c r="R2662" s="704">
        <f t="shared" ref="R2662:R2668" si="168">Q2662*J2662</f>
        <v>424.56</v>
      </c>
      <c r="S2662" s="489">
        <f t="shared" ref="S2662:S2668" si="169">300+30</f>
        <v>330</v>
      </c>
      <c r="T2662" s="567">
        <f t="shared" ref="T2662:T2669" si="170">S2662*J2662</f>
        <v>38280</v>
      </c>
      <c r="V2662" s="494">
        <v>120</v>
      </c>
      <c r="W2662" s="2041">
        <f t="shared" si="164"/>
        <v>0.29305912596401029</v>
      </c>
    </row>
    <row r="2663" spans="1:23" ht="15.75">
      <c r="B2663" s="12" t="s">
        <v>1858</v>
      </c>
      <c r="C2663" s="6" t="s">
        <v>6299</v>
      </c>
      <c r="D2663" s="15" t="s">
        <v>11</v>
      </c>
      <c r="E2663" s="24">
        <v>2440</v>
      </c>
      <c r="F2663" s="150">
        <v>140</v>
      </c>
      <c r="G2663" s="24" t="s">
        <v>1547</v>
      </c>
      <c r="H2663" s="67">
        <v>58</v>
      </c>
      <c r="I2663" s="68">
        <v>3</v>
      </c>
      <c r="J2663" s="67">
        <f t="shared" si="165"/>
        <v>174</v>
      </c>
      <c r="K2663" s="46">
        <v>3.89</v>
      </c>
      <c r="L2663" s="46">
        <f t="shared" si="166"/>
        <v>676.86</v>
      </c>
      <c r="M2663" s="162" t="s">
        <v>2219</v>
      </c>
      <c r="N2663" s="39">
        <v>45190</v>
      </c>
      <c r="O2663" s="38">
        <v>5535</v>
      </c>
      <c r="P2663" s="46">
        <f t="shared" si="167"/>
        <v>3.6566000000000001</v>
      </c>
      <c r="Q2663" s="483">
        <v>3.66</v>
      </c>
      <c r="R2663" s="704">
        <f t="shared" si="168"/>
        <v>636.84</v>
      </c>
      <c r="S2663" s="489">
        <f t="shared" si="169"/>
        <v>330</v>
      </c>
      <c r="T2663" s="567">
        <f t="shared" si="170"/>
        <v>57420</v>
      </c>
      <c r="V2663" s="494">
        <v>120</v>
      </c>
      <c r="W2663" s="2041">
        <f t="shared" si="164"/>
        <v>0.29305912596401029</v>
      </c>
    </row>
    <row r="2664" spans="1:23" ht="15.75">
      <c r="B2664" s="12" t="s">
        <v>1858</v>
      </c>
      <c r="C2664" s="6" t="s">
        <v>6299</v>
      </c>
      <c r="D2664" s="15" t="s">
        <v>11</v>
      </c>
      <c r="E2664" s="24">
        <v>2440</v>
      </c>
      <c r="F2664" s="150">
        <v>140</v>
      </c>
      <c r="G2664" s="24" t="s">
        <v>2010</v>
      </c>
      <c r="H2664" s="67">
        <v>58</v>
      </c>
      <c r="I2664" s="68">
        <v>3</v>
      </c>
      <c r="J2664" s="67">
        <f t="shared" si="165"/>
        <v>174</v>
      </c>
      <c r="K2664" s="46">
        <v>3.89</v>
      </c>
      <c r="L2664" s="46">
        <f t="shared" si="166"/>
        <v>676.86</v>
      </c>
      <c r="M2664" s="162" t="s">
        <v>2219</v>
      </c>
      <c r="N2664" s="39">
        <v>45190</v>
      </c>
      <c r="O2664" s="38">
        <v>5535</v>
      </c>
      <c r="P2664" s="46">
        <f t="shared" si="167"/>
        <v>3.6566000000000001</v>
      </c>
      <c r="Q2664" s="483">
        <v>3.66</v>
      </c>
      <c r="R2664" s="704">
        <f t="shared" si="168"/>
        <v>636.84</v>
      </c>
      <c r="S2664" s="489">
        <f t="shared" si="169"/>
        <v>330</v>
      </c>
      <c r="T2664" s="567">
        <f t="shared" si="170"/>
        <v>57420</v>
      </c>
      <c r="V2664" s="494">
        <v>120</v>
      </c>
      <c r="W2664" s="2041">
        <f t="shared" si="164"/>
        <v>0.29305912596401029</v>
      </c>
    </row>
    <row r="2665" spans="1:23" ht="15.75">
      <c r="B2665" s="12" t="s">
        <v>1858</v>
      </c>
      <c r="C2665" s="6" t="s">
        <v>6299</v>
      </c>
      <c r="D2665" s="15" t="s">
        <v>11</v>
      </c>
      <c r="E2665" s="24">
        <v>2440</v>
      </c>
      <c r="F2665" s="150">
        <v>140</v>
      </c>
      <c r="G2665" s="24" t="s">
        <v>1298</v>
      </c>
      <c r="H2665" s="67">
        <v>58</v>
      </c>
      <c r="I2665" s="68">
        <v>9</v>
      </c>
      <c r="J2665" s="67">
        <f t="shared" si="165"/>
        <v>522</v>
      </c>
      <c r="K2665" s="46">
        <v>3.89</v>
      </c>
      <c r="L2665" s="46">
        <f t="shared" si="166"/>
        <v>2030.5800000000002</v>
      </c>
      <c r="M2665" s="162" t="s">
        <v>2219</v>
      </c>
      <c r="N2665" s="39">
        <v>45190</v>
      </c>
      <c r="O2665" s="38">
        <v>5535</v>
      </c>
      <c r="P2665" s="46">
        <f t="shared" si="167"/>
        <v>3.6566000000000001</v>
      </c>
      <c r="Q2665" s="483">
        <v>3.66</v>
      </c>
      <c r="R2665" s="704">
        <f t="shared" si="168"/>
        <v>1910.52</v>
      </c>
      <c r="S2665" s="489">
        <f t="shared" si="169"/>
        <v>330</v>
      </c>
      <c r="T2665" s="567">
        <f t="shared" si="170"/>
        <v>172260</v>
      </c>
      <c r="V2665" s="494">
        <v>120</v>
      </c>
      <c r="W2665" s="2041">
        <f t="shared" si="164"/>
        <v>0.29305912596401029</v>
      </c>
    </row>
    <row r="2666" spans="1:23" ht="15.75">
      <c r="B2666" s="12" t="s">
        <v>1858</v>
      </c>
      <c r="C2666" s="6" t="s">
        <v>6299</v>
      </c>
      <c r="D2666" s="15" t="s">
        <v>11</v>
      </c>
      <c r="E2666" s="24">
        <v>2440</v>
      </c>
      <c r="F2666" s="150">
        <v>140</v>
      </c>
      <c r="G2666" s="24" t="s">
        <v>620</v>
      </c>
      <c r="H2666" s="67">
        <v>58</v>
      </c>
      <c r="I2666" s="68">
        <v>15</v>
      </c>
      <c r="J2666" s="67">
        <f t="shared" si="165"/>
        <v>870</v>
      </c>
      <c r="K2666" s="46">
        <v>3.89</v>
      </c>
      <c r="L2666" s="46">
        <f t="shared" si="166"/>
        <v>3384.3</v>
      </c>
      <c r="M2666" s="162" t="s">
        <v>2219</v>
      </c>
      <c r="N2666" s="39">
        <v>45190</v>
      </c>
      <c r="O2666" s="38">
        <v>5535</v>
      </c>
      <c r="P2666" s="46">
        <f t="shared" si="167"/>
        <v>3.6566000000000001</v>
      </c>
      <c r="Q2666" s="483">
        <v>3.66</v>
      </c>
      <c r="R2666" s="704">
        <f t="shared" si="168"/>
        <v>3184.2000000000003</v>
      </c>
      <c r="S2666" s="489">
        <f t="shared" si="169"/>
        <v>330</v>
      </c>
      <c r="T2666" s="567">
        <f t="shared" si="170"/>
        <v>287100</v>
      </c>
      <c r="V2666" s="494">
        <v>120</v>
      </c>
      <c r="W2666" s="2041">
        <f t="shared" si="164"/>
        <v>0.29305912596401029</v>
      </c>
    </row>
    <row r="2667" spans="1:23" ht="15.75">
      <c r="B2667" s="12" t="s">
        <v>1858</v>
      </c>
      <c r="C2667" s="6" t="s">
        <v>6299</v>
      </c>
      <c r="D2667" s="15" t="s">
        <v>11</v>
      </c>
      <c r="E2667" s="24">
        <v>2440</v>
      </c>
      <c r="F2667" s="150">
        <v>140</v>
      </c>
      <c r="G2667" s="24" t="s">
        <v>6302</v>
      </c>
      <c r="H2667" s="67">
        <v>58</v>
      </c>
      <c r="I2667" s="68">
        <v>3</v>
      </c>
      <c r="J2667" s="67">
        <f t="shared" si="165"/>
        <v>174</v>
      </c>
      <c r="K2667" s="46">
        <v>3.89</v>
      </c>
      <c r="L2667" s="46">
        <f t="shared" si="166"/>
        <v>676.86</v>
      </c>
      <c r="M2667" s="162" t="s">
        <v>2219</v>
      </c>
      <c r="N2667" s="39">
        <v>45190</v>
      </c>
      <c r="O2667" s="38">
        <v>5535</v>
      </c>
      <c r="P2667" s="46">
        <f t="shared" si="167"/>
        <v>3.6566000000000001</v>
      </c>
      <c r="Q2667" s="483">
        <v>3.66</v>
      </c>
      <c r="R2667" s="704">
        <f t="shared" si="168"/>
        <v>636.84</v>
      </c>
      <c r="S2667" s="489">
        <f t="shared" si="169"/>
        <v>330</v>
      </c>
      <c r="T2667" s="567">
        <f t="shared" si="170"/>
        <v>57420</v>
      </c>
      <c r="V2667" s="494">
        <v>120</v>
      </c>
      <c r="W2667" s="2041">
        <f t="shared" si="164"/>
        <v>0.29305912596401029</v>
      </c>
    </row>
    <row r="2668" spans="1:23" ht="15.75">
      <c r="B2668" s="12" t="s">
        <v>1858</v>
      </c>
      <c r="C2668" s="6" t="s">
        <v>6299</v>
      </c>
      <c r="D2668" s="15" t="s">
        <v>11</v>
      </c>
      <c r="E2668" s="24">
        <v>2440</v>
      </c>
      <c r="F2668" s="150">
        <v>140</v>
      </c>
      <c r="G2668" s="24" t="s">
        <v>6303</v>
      </c>
      <c r="H2668" s="67">
        <v>58</v>
      </c>
      <c r="I2668" s="68">
        <v>1</v>
      </c>
      <c r="J2668" s="67">
        <f t="shared" si="165"/>
        <v>58</v>
      </c>
      <c r="K2668" s="46">
        <v>3.89</v>
      </c>
      <c r="L2668" s="46">
        <f t="shared" si="166"/>
        <v>225.62</v>
      </c>
      <c r="M2668" s="162" t="s">
        <v>2219</v>
      </c>
      <c r="N2668" s="39">
        <v>45190</v>
      </c>
      <c r="O2668" s="38">
        <v>5535</v>
      </c>
      <c r="P2668" s="46">
        <f t="shared" si="167"/>
        <v>3.6566000000000001</v>
      </c>
      <c r="Q2668" s="483">
        <v>3.66</v>
      </c>
      <c r="R2668" s="704">
        <f t="shared" si="168"/>
        <v>212.28</v>
      </c>
      <c r="S2668" s="489">
        <f t="shared" si="169"/>
        <v>330</v>
      </c>
      <c r="T2668" s="567">
        <f t="shared" si="170"/>
        <v>19140</v>
      </c>
      <c r="V2668" s="494">
        <v>120</v>
      </c>
      <c r="W2668" s="2041">
        <f t="shared" si="164"/>
        <v>0.29305912596401029</v>
      </c>
    </row>
    <row r="2669" spans="1:23" s="217" customFormat="1" ht="15.95" customHeight="1">
      <c r="B2669" s="539"/>
      <c r="C2669" s="6" t="s">
        <v>6299</v>
      </c>
      <c r="D2669" s="109" t="s">
        <v>11</v>
      </c>
      <c r="E2669" s="228"/>
      <c r="F2669" s="160"/>
      <c r="G2669" s="42" t="s">
        <v>1993</v>
      </c>
      <c r="H2669" s="214"/>
      <c r="I2669" s="215"/>
      <c r="J2669" s="43">
        <v>1</v>
      </c>
      <c r="K2669" s="229">
        <v>20</v>
      </c>
      <c r="L2669" s="229">
        <v>0</v>
      </c>
      <c r="M2669" s="969"/>
      <c r="N2669" s="39">
        <v>45190</v>
      </c>
      <c r="O2669" s="38">
        <v>5535</v>
      </c>
      <c r="P2669" s="692"/>
      <c r="Q2669" s="970">
        <v>0</v>
      </c>
      <c r="R2669" s="970">
        <v>0</v>
      </c>
      <c r="S2669" s="971">
        <v>0</v>
      </c>
      <c r="T2669" s="972">
        <f t="shared" si="170"/>
        <v>0</v>
      </c>
      <c r="U2669" s="667"/>
      <c r="V2669" s="547">
        <v>120</v>
      </c>
      <c r="W2669" s="2051">
        <f t="shared" si="164"/>
        <v>1</v>
      </c>
    </row>
    <row r="2670" spans="1:23" s="314" customFormat="1" ht="15" customHeight="1">
      <c r="A2670" s="1"/>
      <c r="B2670" s="313"/>
      <c r="C2670" s="302" t="s">
        <v>6299</v>
      </c>
      <c r="D2670" s="303" t="s">
        <v>11</v>
      </c>
      <c r="E2670" s="304"/>
      <c r="F2670" s="305"/>
      <c r="G2670" s="305" t="s">
        <v>1227</v>
      </c>
      <c r="H2670" s="307" t="s">
        <v>1228</v>
      </c>
      <c r="I2670" s="308"/>
      <c r="J2670" s="306"/>
      <c r="K2670" s="316">
        <v>0</v>
      </c>
      <c r="L2670" s="310"/>
      <c r="M2670" s="310"/>
      <c r="N2670" s="310">
        <v>45190</v>
      </c>
      <c r="O2670" s="309">
        <v>5535</v>
      </c>
      <c r="P2670" s="302"/>
      <c r="Q2670" s="485">
        <v>0</v>
      </c>
      <c r="S2670" s="536">
        <v>0</v>
      </c>
      <c r="T2670" s="322">
        <v>0</v>
      </c>
      <c r="U2670" s="515"/>
      <c r="V2670" s="494">
        <v>120</v>
      </c>
      <c r="W2670" s="2041" t="e">
        <f t="shared" si="164"/>
        <v>#DIV/0!</v>
      </c>
    </row>
    <row r="2671" spans="1:23" s="7" customFormat="1" ht="15" customHeight="1">
      <c r="B2671" s="12"/>
      <c r="C2671" s="6" t="s">
        <v>6309</v>
      </c>
      <c r="D2671" s="15" t="s">
        <v>6291</v>
      </c>
      <c r="E2671" s="20" t="s">
        <v>6310</v>
      </c>
      <c r="F2671" s="26"/>
      <c r="G2671" s="24"/>
      <c r="H2671" s="67"/>
      <c r="I2671" s="68"/>
      <c r="J2671" s="67"/>
      <c r="K2671" s="17" t="s">
        <v>134</v>
      </c>
      <c r="L2671" s="39"/>
      <c r="M2671" s="39"/>
      <c r="N2671" s="39">
        <v>45191</v>
      </c>
      <c r="O2671" s="38">
        <v>5542</v>
      </c>
      <c r="P2671" s="179" t="s">
        <v>23</v>
      </c>
      <c r="Q2671" s="438" t="s">
        <v>959</v>
      </c>
      <c r="R2671" s="704"/>
      <c r="S2671" s="707"/>
      <c r="T2671" s="113"/>
      <c r="U2671" s="2068"/>
      <c r="V2671" s="494">
        <v>120</v>
      </c>
      <c r="W2671" s="2041" t="e">
        <f t="shared" si="164"/>
        <v>#VALUE!</v>
      </c>
    </row>
    <row r="2672" spans="1:23" s="7" customFormat="1" ht="18" customHeight="1">
      <c r="B2672" s="12" t="s">
        <v>1856</v>
      </c>
      <c r="C2672" s="6" t="s">
        <v>6309</v>
      </c>
      <c r="D2672" s="15" t="s">
        <v>6291</v>
      </c>
      <c r="E2672" s="24" t="s">
        <v>6311</v>
      </c>
      <c r="F2672" s="26"/>
      <c r="G2672" s="24" t="s">
        <v>6312</v>
      </c>
      <c r="H2672" s="67">
        <v>50</v>
      </c>
      <c r="I2672" s="68">
        <v>1</v>
      </c>
      <c r="J2672" s="67">
        <f>H2672*I2672</f>
        <v>50</v>
      </c>
      <c r="K2672" s="46">
        <v>3.25</v>
      </c>
      <c r="L2672" s="46">
        <f>K2672*J2672</f>
        <v>162.5</v>
      </c>
      <c r="M2672" s="162" t="s">
        <v>2219</v>
      </c>
      <c r="N2672" s="39">
        <v>45191</v>
      </c>
      <c r="O2672" s="38">
        <v>5542</v>
      </c>
      <c r="P2672" s="46">
        <f>K2672*(VLOOKUP(B2672,$C$2:$F$6,3,FALSE))</f>
        <v>2.86</v>
      </c>
      <c r="Q2672" s="180">
        <v>2.86</v>
      </c>
      <c r="R2672" s="704">
        <f>Q2672*J2672</f>
        <v>143</v>
      </c>
      <c r="S2672" s="489">
        <v>185</v>
      </c>
      <c r="T2672" s="113">
        <f>S2672*J2672</f>
        <v>9250</v>
      </c>
      <c r="U2672" s="489"/>
      <c r="V2672" s="494">
        <v>120</v>
      </c>
      <c r="W2672" s="2041">
        <f t="shared" si="164"/>
        <v>0.52564102564102566</v>
      </c>
    </row>
    <row r="2673" spans="1:23" ht="15.95" customHeight="1">
      <c r="C2673" s="6" t="s">
        <v>6309</v>
      </c>
      <c r="D2673" s="15" t="s">
        <v>6291</v>
      </c>
      <c r="E2673" s="24"/>
      <c r="F2673" s="138"/>
      <c r="G2673" s="44" t="s">
        <v>1993</v>
      </c>
      <c r="H2673" s="8"/>
      <c r="I2673" s="68"/>
      <c r="J2673" s="45">
        <v>1</v>
      </c>
      <c r="K2673" s="46">
        <v>12</v>
      </c>
      <c r="L2673" s="46">
        <f>K2673*J2673</f>
        <v>12</v>
      </c>
      <c r="M2673" s="112"/>
      <c r="N2673" s="39">
        <v>45191</v>
      </c>
      <c r="O2673" s="38">
        <v>5542</v>
      </c>
      <c r="P2673" s="179"/>
      <c r="Q2673" s="180">
        <v>12</v>
      </c>
      <c r="R2673" s="180">
        <v>12</v>
      </c>
      <c r="S2673" s="498">
        <v>1000</v>
      </c>
      <c r="T2673" s="568">
        <f>S2673*J2673</f>
        <v>1000</v>
      </c>
      <c r="U2673" s="511"/>
      <c r="V2673" s="494">
        <v>120</v>
      </c>
      <c r="W2673" s="2041">
        <f t="shared" si="164"/>
        <v>0.30555555555555558</v>
      </c>
    </row>
    <row r="2674" spans="1:23" s="314" customFormat="1" ht="15">
      <c r="B2674" s="313"/>
      <c r="C2674" s="302" t="s">
        <v>6309</v>
      </c>
      <c r="D2674" s="303" t="s">
        <v>6291</v>
      </c>
      <c r="E2674" s="371"/>
      <c r="F2674" s="305"/>
      <c r="G2674" s="2049" t="s">
        <v>1227</v>
      </c>
      <c r="H2674" s="307" t="s">
        <v>1228</v>
      </c>
      <c r="I2674" s="308"/>
      <c r="J2674" s="306"/>
      <c r="K2674" s="315">
        <v>0</v>
      </c>
      <c r="L2674" s="310"/>
      <c r="M2674" s="310"/>
      <c r="N2674" s="310">
        <v>45191</v>
      </c>
      <c r="O2674" s="309">
        <v>5542</v>
      </c>
      <c r="P2674" s="302"/>
      <c r="Q2674" s="485">
        <v>0</v>
      </c>
      <c r="S2674" s="535">
        <v>0</v>
      </c>
      <c r="T2674" s="322">
        <v>0</v>
      </c>
      <c r="U2674" s="515"/>
      <c r="V2674" s="494">
        <v>120</v>
      </c>
      <c r="W2674" s="2041" t="e">
        <f t="shared" si="164"/>
        <v>#DIV/0!</v>
      </c>
    </row>
    <row r="2675" spans="1:23" s="7" customFormat="1" ht="15" customHeight="1">
      <c r="B2675" s="12"/>
      <c r="C2675" s="6" t="s">
        <v>6314</v>
      </c>
      <c r="D2675" s="15" t="s">
        <v>6313</v>
      </c>
      <c r="E2675" s="20" t="s">
        <v>6315</v>
      </c>
      <c r="F2675" s="26"/>
      <c r="G2675" s="24"/>
      <c r="H2675" s="67"/>
      <c r="I2675" s="68"/>
      <c r="J2675" s="67"/>
      <c r="K2675" s="17" t="s">
        <v>134</v>
      </c>
      <c r="L2675" s="39"/>
      <c r="M2675" s="39"/>
      <c r="N2675" s="39">
        <v>45197</v>
      </c>
      <c r="O2675" s="38">
        <v>5552</v>
      </c>
      <c r="P2675" s="179" t="s">
        <v>23</v>
      </c>
      <c r="Q2675" s="438" t="s">
        <v>959</v>
      </c>
      <c r="R2675" s="704"/>
      <c r="S2675" s="707"/>
      <c r="T2675" s="113"/>
      <c r="U2675" s="2068"/>
      <c r="V2675" s="494">
        <v>120</v>
      </c>
      <c r="W2675" s="2041" t="e">
        <f t="shared" si="164"/>
        <v>#VALUE!</v>
      </c>
    </row>
    <row r="2676" spans="1:23" s="7" customFormat="1" ht="18" customHeight="1">
      <c r="B2676" s="12" t="s">
        <v>1856</v>
      </c>
      <c r="C2676" s="6" t="s">
        <v>6314</v>
      </c>
      <c r="D2676" s="15" t="s">
        <v>6313</v>
      </c>
      <c r="E2676" s="24" t="s">
        <v>6119</v>
      </c>
      <c r="F2676" s="26"/>
      <c r="G2676" s="24" t="s">
        <v>78</v>
      </c>
      <c r="H2676" s="67">
        <v>14</v>
      </c>
      <c r="I2676" s="68">
        <v>1</v>
      </c>
      <c r="J2676" s="67">
        <f>H2676*I2676</f>
        <v>14</v>
      </c>
      <c r="K2676" s="46">
        <v>0.8</v>
      </c>
      <c r="L2676" s="46">
        <f>K2676*J2676</f>
        <v>11.200000000000001</v>
      </c>
      <c r="M2676" s="162" t="s">
        <v>2219</v>
      </c>
      <c r="N2676" s="39">
        <v>45197</v>
      </c>
      <c r="O2676" s="38">
        <v>5552</v>
      </c>
      <c r="P2676" s="46">
        <f>K2676*(VLOOKUP(B2676,$C$2:$F$6,3,FALSE))</f>
        <v>0.70400000000000007</v>
      </c>
      <c r="Q2676" s="180">
        <v>0.7</v>
      </c>
      <c r="R2676" s="704">
        <f>Q2676*J2676</f>
        <v>9.7999999999999989</v>
      </c>
      <c r="S2676" s="489">
        <v>55</v>
      </c>
      <c r="T2676" s="113">
        <f>S2676*J2676</f>
        <v>770</v>
      </c>
      <c r="U2676" s="489"/>
      <c r="V2676" s="494">
        <v>120</v>
      </c>
      <c r="W2676" s="2041">
        <f t="shared" si="164"/>
        <v>0.42708333333333331</v>
      </c>
    </row>
    <row r="2677" spans="1:23" ht="15.95" customHeight="1">
      <c r="C2677" s="6" t="s">
        <v>6314</v>
      </c>
      <c r="D2677" s="15" t="s">
        <v>6313</v>
      </c>
      <c r="E2677" s="24"/>
      <c r="F2677" s="138"/>
      <c r="G2677" s="44" t="s">
        <v>1993</v>
      </c>
      <c r="H2677" s="8"/>
      <c r="I2677" s="68"/>
      <c r="J2677" s="45">
        <v>1</v>
      </c>
      <c r="K2677" s="46">
        <v>12</v>
      </c>
      <c r="L2677" s="46">
        <f>K2677*J2677</f>
        <v>12</v>
      </c>
      <c r="M2677" s="112"/>
      <c r="N2677" s="39">
        <v>45197</v>
      </c>
      <c r="O2677" s="38">
        <v>5552</v>
      </c>
      <c r="P2677" s="179"/>
      <c r="Q2677" s="180">
        <v>12</v>
      </c>
      <c r="R2677" s="180">
        <v>12</v>
      </c>
      <c r="S2677" s="498">
        <v>900</v>
      </c>
      <c r="T2677" s="568">
        <f>S2677*J2677</f>
        <v>900</v>
      </c>
      <c r="U2677" s="511"/>
      <c r="V2677" s="494">
        <v>120</v>
      </c>
      <c r="W2677" s="2041">
        <f t="shared" si="164"/>
        <v>0.375</v>
      </c>
    </row>
    <row r="2678" spans="1:23" s="314" customFormat="1" ht="15">
      <c r="B2678" s="313"/>
      <c r="C2678" s="302" t="s">
        <v>6314</v>
      </c>
      <c r="D2678" s="303" t="s">
        <v>6313</v>
      </c>
      <c r="E2678" s="371"/>
      <c r="F2678" s="305"/>
      <c r="G2678" s="2049" t="s">
        <v>1227</v>
      </c>
      <c r="H2678" s="307" t="s">
        <v>1228</v>
      </c>
      <c r="I2678" s="308"/>
      <c r="J2678" s="306"/>
      <c r="K2678" s="315">
        <v>0</v>
      </c>
      <c r="L2678" s="310"/>
      <c r="M2678" s="310"/>
      <c r="N2678" s="310">
        <v>45197</v>
      </c>
      <c r="O2678" s="309">
        <v>5552</v>
      </c>
      <c r="P2678" s="302"/>
      <c r="Q2678" s="485">
        <v>0</v>
      </c>
      <c r="S2678" s="535">
        <v>0</v>
      </c>
      <c r="T2678" s="322">
        <v>0</v>
      </c>
      <c r="U2678" s="515"/>
      <c r="V2678" s="494">
        <v>120</v>
      </c>
      <c r="W2678" s="2041" t="e">
        <f t="shared" si="164"/>
        <v>#DIV/0!</v>
      </c>
    </row>
    <row r="2679" spans="1:23" ht="15">
      <c r="C2679" s="6" t="s">
        <v>6316</v>
      </c>
      <c r="D2679" s="15" t="s">
        <v>1126</v>
      </c>
      <c r="E2679" s="20" t="s">
        <v>1127</v>
      </c>
      <c r="F2679" s="26"/>
      <c r="G2679" s="24"/>
      <c r="H2679" s="67"/>
      <c r="I2679" s="68"/>
      <c r="J2679" s="67"/>
      <c r="K2679" s="17" t="s">
        <v>134</v>
      </c>
      <c r="L2679" s="39"/>
      <c r="M2679" s="39"/>
      <c r="N2679" s="39">
        <v>45205</v>
      </c>
      <c r="O2679" s="38">
        <v>5562</v>
      </c>
      <c r="P2679" s="6"/>
      <c r="Q2679" s="481"/>
      <c r="S2679" s="489"/>
      <c r="T2679" s="113"/>
      <c r="U2679" s="500"/>
      <c r="V2679" s="494">
        <v>120</v>
      </c>
      <c r="W2679" s="2041" t="e">
        <f t="shared" si="164"/>
        <v>#VALUE!</v>
      </c>
    </row>
    <row r="2680" spans="1:23" ht="15.75">
      <c r="B2680" s="28" t="s">
        <v>1856</v>
      </c>
      <c r="C2680" s="6" t="s">
        <v>6316</v>
      </c>
      <c r="D2680" s="15" t="s">
        <v>1126</v>
      </c>
      <c r="E2680" s="24" t="s">
        <v>447</v>
      </c>
      <c r="F2680" s="26"/>
      <c r="G2680" s="24" t="s">
        <v>353</v>
      </c>
      <c r="H2680" s="67">
        <v>50</v>
      </c>
      <c r="I2680" s="68">
        <v>15</v>
      </c>
      <c r="J2680" s="67">
        <f>H2680*I2680</f>
        <v>750</v>
      </c>
      <c r="K2680" s="25">
        <v>0.31</v>
      </c>
      <c r="L2680" s="46">
        <f>K2680*J2680</f>
        <v>232.5</v>
      </c>
      <c r="M2680" s="162" t="s">
        <v>2219</v>
      </c>
      <c r="N2680" s="39">
        <v>45205</v>
      </c>
      <c r="O2680" s="38">
        <v>5562</v>
      </c>
      <c r="P2680" s="46">
        <f>K2680*(VLOOKUP(B2680,$C$2:$F$6,3,FALSE))</f>
        <v>0.27279999999999999</v>
      </c>
      <c r="Q2680" s="483">
        <v>0.27</v>
      </c>
      <c r="R2680" s="704">
        <f>Q2680*J2680</f>
        <v>202.5</v>
      </c>
      <c r="S2680" s="489">
        <v>16.600000000000001</v>
      </c>
      <c r="T2680" s="113">
        <f>S2680*J2680</f>
        <v>12450.000000000002</v>
      </c>
      <c r="U2680" s="1863"/>
      <c r="V2680" s="494">
        <v>120</v>
      </c>
      <c r="W2680" s="2041">
        <f t="shared" si="164"/>
        <v>0.55376344086021501</v>
      </c>
    </row>
    <row r="2681" spans="1:23" s="7" customFormat="1" ht="15" customHeight="1">
      <c r="A2681" s="1"/>
      <c r="B2681" s="12"/>
      <c r="C2681" s="6" t="s">
        <v>6316</v>
      </c>
      <c r="D2681" s="15" t="s">
        <v>1126</v>
      </c>
      <c r="E2681" s="24"/>
      <c r="F2681" s="44"/>
      <c r="G2681" s="44" t="s">
        <v>1949</v>
      </c>
      <c r="H2681" s="45"/>
      <c r="I2681" s="152" ph="1"/>
      <c r="J2681" s="45">
        <v>1</v>
      </c>
      <c r="K2681" s="46">
        <v>12</v>
      </c>
      <c r="L2681" s="46">
        <f>K2681*J2681</f>
        <v>12</v>
      </c>
      <c r="M2681" s="112"/>
      <c r="N2681" s="39">
        <v>45205</v>
      </c>
      <c r="O2681" s="38">
        <v>5562</v>
      </c>
      <c r="P2681" s="6"/>
      <c r="Q2681" s="483">
        <v>12</v>
      </c>
      <c r="R2681" s="704">
        <f>Q2681*J2681</f>
        <v>12</v>
      </c>
      <c r="S2681" s="489">
        <v>1100</v>
      </c>
      <c r="T2681" s="113">
        <f>S2681*J2681</f>
        <v>1100</v>
      </c>
      <c r="U2681" s="501"/>
      <c r="V2681" s="494">
        <v>120</v>
      </c>
      <c r="W2681" s="2041">
        <f t="shared" si="164"/>
        <v>0.2361111111111111</v>
      </c>
    </row>
    <row r="2682" spans="1:23" s="314" customFormat="1" ht="15" customHeight="1">
      <c r="A2682" s="1"/>
      <c r="B2682" s="313"/>
      <c r="C2682" s="302" t="s">
        <v>6316</v>
      </c>
      <c r="D2682" s="303" t="s">
        <v>1126</v>
      </c>
      <c r="E2682" s="304"/>
      <c r="F2682" s="305"/>
      <c r="G2682" s="305" t="s">
        <v>1227</v>
      </c>
      <c r="H2682" s="307" t="s">
        <v>1228</v>
      </c>
      <c r="I2682" s="308"/>
      <c r="J2682" s="306"/>
      <c r="K2682" s="316">
        <v>0</v>
      </c>
      <c r="L2682" s="310"/>
      <c r="M2682" s="310"/>
      <c r="N2682" s="310">
        <v>45205</v>
      </c>
      <c r="O2682" s="309">
        <v>5562</v>
      </c>
      <c r="P2682" s="302"/>
      <c r="Q2682" s="485">
        <v>0</v>
      </c>
      <c r="S2682" s="536">
        <v>0</v>
      </c>
      <c r="T2682" s="322">
        <v>0</v>
      </c>
      <c r="U2682" s="515"/>
      <c r="V2682" s="494">
        <v>120</v>
      </c>
      <c r="W2682" s="2041" t="e">
        <f t="shared" si="164"/>
        <v>#DIV/0!</v>
      </c>
    </row>
    <row r="2683" spans="1:23" ht="15">
      <c r="C2683" s="6" t="s">
        <v>6325</v>
      </c>
      <c r="D2683" s="15" t="s">
        <v>6317</v>
      </c>
      <c r="E2683" s="20" t="s">
        <v>6318</v>
      </c>
      <c r="F2683" s="26"/>
      <c r="G2683" s="24"/>
      <c r="H2683" s="67"/>
      <c r="I2683" s="68"/>
      <c r="J2683" s="67"/>
      <c r="K2683" s="17" t="s">
        <v>134</v>
      </c>
      <c r="L2683" s="39"/>
      <c r="M2683" s="39"/>
      <c r="N2683" s="39">
        <v>45211</v>
      </c>
      <c r="O2683" s="38">
        <v>5569</v>
      </c>
      <c r="P2683" s="6"/>
      <c r="Q2683" s="481"/>
      <c r="S2683" s="489"/>
      <c r="T2683" s="113"/>
      <c r="U2683" s="500"/>
      <c r="V2683" s="494">
        <v>120</v>
      </c>
      <c r="W2683" s="2041" t="e">
        <f t="shared" si="164"/>
        <v>#VALUE!</v>
      </c>
    </row>
    <row r="2684" spans="1:23" ht="15.75">
      <c r="B2684" s="28" t="s">
        <v>1856</v>
      </c>
      <c r="C2684" s="6" t="s">
        <v>6325</v>
      </c>
      <c r="D2684" s="15" t="s">
        <v>6317</v>
      </c>
      <c r="E2684" s="24" t="s">
        <v>6319</v>
      </c>
      <c r="F2684" s="26"/>
      <c r="G2684" s="24" t="s">
        <v>6320</v>
      </c>
      <c r="H2684" s="67"/>
      <c r="I2684" s="68"/>
      <c r="J2684" s="67">
        <v>50</v>
      </c>
      <c r="K2684" s="25">
        <v>0.56000000000000005</v>
      </c>
      <c r="L2684" s="46">
        <f>K2684*J2684</f>
        <v>28.000000000000004</v>
      </c>
      <c r="M2684" s="162" t="s">
        <v>2219</v>
      </c>
      <c r="N2684" s="39">
        <v>45211</v>
      </c>
      <c r="O2684" s="38">
        <v>5569</v>
      </c>
      <c r="P2684" s="46">
        <f>K2684*(VLOOKUP(B2684,$C$2:$F$6,3,FALSE))</f>
        <v>0.49280000000000007</v>
      </c>
      <c r="Q2684" s="483">
        <v>0.49</v>
      </c>
      <c r="R2684" s="704">
        <f>Q2684*J2684</f>
        <v>24.5</v>
      </c>
      <c r="S2684" s="489">
        <v>30</v>
      </c>
      <c r="T2684" s="113">
        <f>S2684*J2684</f>
        <v>1500</v>
      </c>
      <c r="U2684" s="1863"/>
      <c r="V2684" s="494">
        <v>120</v>
      </c>
      <c r="W2684" s="2041">
        <f t="shared" si="164"/>
        <v>0.5535714285714286</v>
      </c>
    </row>
    <row r="2685" spans="1:23" ht="15.75">
      <c r="B2685" s="28" t="s">
        <v>1856</v>
      </c>
      <c r="C2685" s="6" t="s">
        <v>6325</v>
      </c>
      <c r="D2685" s="15" t="s">
        <v>6317</v>
      </c>
      <c r="E2685" s="24" t="s">
        <v>6321</v>
      </c>
      <c r="F2685" s="26"/>
      <c r="G2685" s="24" t="s">
        <v>6322</v>
      </c>
      <c r="H2685" s="67"/>
      <c r="I2685" s="68"/>
      <c r="J2685" s="67">
        <v>50</v>
      </c>
      <c r="K2685" s="25">
        <v>0.74</v>
      </c>
      <c r="L2685" s="46">
        <f>K2685*J2685</f>
        <v>37</v>
      </c>
      <c r="M2685" s="162" t="s">
        <v>2219</v>
      </c>
      <c r="N2685" s="39">
        <v>45211</v>
      </c>
      <c r="O2685" s="38">
        <v>5569</v>
      </c>
      <c r="P2685" s="46">
        <f>K2685*(VLOOKUP(B2685,$C$2:$F$6,3,FALSE))</f>
        <v>0.6512</v>
      </c>
      <c r="Q2685" s="483">
        <v>0.65</v>
      </c>
      <c r="R2685" s="704">
        <f>Q2685*J2685</f>
        <v>32.5</v>
      </c>
      <c r="S2685" s="489">
        <v>40</v>
      </c>
      <c r="T2685" s="113">
        <f>S2685*J2685</f>
        <v>2000</v>
      </c>
      <c r="U2685" s="1863"/>
      <c r="V2685" s="494">
        <v>120</v>
      </c>
      <c r="W2685" s="2041">
        <f t="shared" si="164"/>
        <v>0.54954954954954949</v>
      </c>
    </row>
    <row r="2686" spans="1:23" ht="15.75">
      <c r="B2686" s="28" t="s">
        <v>1862</v>
      </c>
      <c r="C2686" s="6" t="s">
        <v>6325</v>
      </c>
      <c r="D2686" s="15" t="s">
        <v>6317</v>
      </c>
      <c r="E2686" s="24"/>
      <c r="F2686" s="26"/>
      <c r="G2686" s="24" t="s">
        <v>6323</v>
      </c>
      <c r="H2686" s="67"/>
      <c r="I2686" s="68"/>
      <c r="J2686" s="45">
        <v>1</v>
      </c>
      <c r="K2686" s="25">
        <v>70</v>
      </c>
      <c r="L2686" s="46">
        <f>K2686*J2686</f>
        <v>70</v>
      </c>
      <c r="M2686" s="162" t="s">
        <v>2219</v>
      </c>
      <c r="N2686" s="39">
        <v>45211</v>
      </c>
      <c r="O2686" s="38">
        <v>5569</v>
      </c>
      <c r="P2686" s="46">
        <f>K2686*(VLOOKUP(B2686,$C$2:$F$6,3,FALSE))</f>
        <v>70</v>
      </c>
      <c r="Q2686" s="483">
        <v>70</v>
      </c>
      <c r="R2686" s="704">
        <f>Q2686*J2686</f>
        <v>70</v>
      </c>
      <c r="S2686" s="489">
        <v>6000</v>
      </c>
      <c r="T2686" s="113">
        <f>S2686*J2686</f>
        <v>6000</v>
      </c>
      <c r="U2686" s="1863"/>
      <c r="V2686" s="494">
        <v>120</v>
      </c>
      <c r="W2686" s="2041">
        <f t="shared" si="164"/>
        <v>0.2857142857142857</v>
      </c>
    </row>
    <row r="2687" spans="1:23" s="7" customFormat="1" ht="15" customHeight="1">
      <c r="A2687" s="1"/>
      <c r="B2687" s="12"/>
      <c r="C2687" s="6" t="s">
        <v>6325</v>
      </c>
      <c r="D2687" s="15" t="s">
        <v>6317</v>
      </c>
      <c r="E2687" s="24"/>
      <c r="F2687" s="44"/>
      <c r="G2687" s="44" t="s">
        <v>1949</v>
      </c>
      <c r="H2687" s="45"/>
      <c r="I2687" s="152" ph="1"/>
      <c r="J2687" s="45">
        <v>1</v>
      </c>
      <c r="K2687" s="46">
        <v>12</v>
      </c>
      <c r="L2687" s="46">
        <f>K2687*J2687</f>
        <v>12</v>
      </c>
      <c r="M2687" s="112"/>
      <c r="N2687" s="39">
        <v>45211</v>
      </c>
      <c r="O2687" s="38">
        <v>5569</v>
      </c>
      <c r="P2687" s="6"/>
      <c r="Q2687" s="483">
        <v>12</v>
      </c>
      <c r="R2687" s="704">
        <f>Q2687*J2687</f>
        <v>12</v>
      </c>
      <c r="S2687" s="489">
        <v>900</v>
      </c>
      <c r="T2687" s="113">
        <f>S2687*J2687</f>
        <v>900</v>
      </c>
      <c r="U2687" s="501"/>
      <c r="V2687" s="494">
        <v>120</v>
      </c>
      <c r="W2687" s="2041">
        <f t="shared" si="164"/>
        <v>0.375</v>
      </c>
    </row>
    <row r="2688" spans="1:23" s="314" customFormat="1" ht="15" customHeight="1">
      <c r="A2688" s="1"/>
      <c r="B2688" s="313"/>
      <c r="C2688" s="302" t="s">
        <v>6325</v>
      </c>
      <c r="D2688" s="303" t="s">
        <v>6317</v>
      </c>
      <c r="E2688" s="304"/>
      <c r="F2688" s="305"/>
      <c r="G2688" s="305" t="s">
        <v>1227</v>
      </c>
      <c r="H2688" s="307" t="s">
        <v>1228</v>
      </c>
      <c r="I2688" s="308"/>
      <c r="J2688" s="306"/>
      <c r="K2688" s="316">
        <v>0</v>
      </c>
      <c r="L2688" s="310"/>
      <c r="M2688" s="310"/>
      <c r="N2688" s="310">
        <v>45211</v>
      </c>
      <c r="O2688" s="309">
        <v>5569</v>
      </c>
      <c r="P2688" s="302"/>
      <c r="Q2688" s="485">
        <v>0</v>
      </c>
      <c r="S2688" s="536">
        <v>0</v>
      </c>
      <c r="T2688" s="322">
        <v>0</v>
      </c>
      <c r="U2688" s="515"/>
      <c r="V2688" s="494">
        <v>120</v>
      </c>
      <c r="W2688" s="2041" t="e">
        <f t="shared" si="164"/>
        <v>#DIV/0!</v>
      </c>
    </row>
    <row r="2689" spans="2:23" s="7" customFormat="1" ht="18" customHeight="1">
      <c r="B2689" s="12"/>
      <c r="C2689" s="6" t="s">
        <v>6324</v>
      </c>
      <c r="D2689" s="15" t="s">
        <v>2451</v>
      </c>
      <c r="E2689" s="20" t="s">
        <v>79</v>
      </c>
      <c r="F2689" s="150"/>
      <c r="G2689" s="24"/>
      <c r="H2689" s="151"/>
      <c r="I2689" s="152"/>
      <c r="J2689" s="151"/>
      <c r="K2689" s="34" t="s">
        <v>10</v>
      </c>
      <c r="L2689" s="39"/>
      <c r="M2689" s="39"/>
      <c r="N2689" s="39">
        <v>45217</v>
      </c>
      <c r="O2689" s="38">
        <v>5561</v>
      </c>
      <c r="P2689" s="15"/>
      <c r="Q2689" s="483"/>
      <c r="S2689" s="489"/>
      <c r="T2689" s="113"/>
      <c r="U2689" s="506"/>
      <c r="V2689" s="494">
        <v>120</v>
      </c>
      <c r="W2689" s="2041" t="e">
        <f t="shared" si="164"/>
        <v>#VALUE!</v>
      </c>
    </row>
    <row r="2690" spans="2:23" s="7" customFormat="1" ht="15" customHeight="1">
      <c r="B2690" s="12" t="s">
        <v>1858</v>
      </c>
      <c r="C2690" s="6" t="s">
        <v>6324</v>
      </c>
      <c r="D2690" s="15" t="s">
        <v>2451</v>
      </c>
      <c r="E2690" s="24">
        <v>2440</v>
      </c>
      <c r="F2690" s="150">
        <v>140</v>
      </c>
      <c r="G2690" s="24" t="s">
        <v>30</v>
      </c>
      <c r="H2690" s="8">
        <v>58</v>
      </c>
      <c r="I2690" s="41">
        <v>4</v>
      </c>
      <c r="J2690" s="67">
        <f>H2690*I2690</f>
        <v>232</v>
      </c>
      <c r="K2690" s="46">
        <v>4.88</v>
      </c>
      <c r="L2690" s="46">
        <f>K2690*J2690</f>
        <v>1132.1600000000001</v>
      </c>
      <c r="M2690" s="162" t="s">
        <v>2219</v>
      </c>
      <c r="N2690" s="39">
        <v>45217</v>
      </c>
      <c r="O2690" s="38">
        <v>5561</v>
      </c>
      <c r="P2690" s="46">
        <v>4.12</v>
      </c>
      <c r="Q2690" s="483">
        <v>4.12</v>
      </c>
      <c r="R2690" s="704">
        <f>Q2690*J2690</f>
        <v>955.84</v>
      </c>
      <c r="S2690" s="489">
        <v>300</v>
      </c>
      <c r="T2690" s="567">
        <f>S2690*J2690</f>
        <v>69600</v>
      </c>
      <c r="U2690" s="882"/>
      <c r="V2690" s="494">
        <v>120</v>
      </c>
      <c r="W2690" s="2041">
        <f t="shared" si="164"/>
        <v>0.48770491803278693</v>
      </c>
    </row>
    <row r="2691" spans="2:23" s="7" customFormat="1" ht="15" customHeight="1">
      <c r="B2691" s="12" t="s">
        <v>1862</v>
      </c>
      <c r="C2691" s="6" t="s">
        <v>6324</v>
      </c>
      <c r="D2691" s="15" t="s">
        <v>2451</v>
      </c>
      <c r="E2691" s="56"/>
      <c r="F2691" s="138"/>
      <c r="G2691" s="44" t="s">
        <v>1993</v>
      </c>
      <c r="H2691" s="45"/>
      <c r="I2691" s="41"/>
      <c r="J2691" s="45">
        <v>1</v>
      </c>
      <c r="K2691" s="46">
        <v>20</v>
      </c>
      <c r="L2691" s="46">
        <v>0</v>
      </c>
      <c r="M2691" s="112"/>
      <c r="N2691" s="39">
        <v>45217</v>
      </c>
      <c r="O2691" s="38">
        <v>5561</v>
      </c>
      <c r="P2691" s="46">
        <f>K2691*(VLOOKUP(B2691,$C$2:$F$6,3,FALSE))</f>
        <v>20</v>
      </c>
      <c r="Q2691" s="483">
        <v>15</v>
      </c>
      <c r="R2691" s="483">
        <v>15</v>
      </c>
      <c r="S2691" s="489">
        <v>1800</v>
      </c>
      <c r="T2691" s="113">
        <v>1800</v>
      </c>
      <c r="U2691" s="501"/>
      <c r="V2691" s="494">
        <v>120</v>
      </c>
      <c r="W2691" s="2041">
        <f t="shared" si="164"/>
        <v>0.25</v>
      </c>
    </row>
    <row r="2692" spans="2:23" s="378" customFormat="1" ht="15" customHeight="1">
      <c r="B2692" s="312"/>
      <c r="C2692" s="302" t="s">
        <v>6324</v>
      </c>
      <c r="D2692" s="303" t="s">
        <v>2451</v>
      </c>
      <c r="E2692" s="304"/>
      <c r="F2692" s="305"/>
      <c r="G2692" s="305" t="s">
        <v>2371</v>
      </c>
      <c r="H2692" s="307" t="s">
        <v>1442</v>
      </c>
      <c r="I2692" s="308"/>
      <c r="J2692" s="306">
        <v>232</v>
      </c>
      <c r="K2692" s="315">
        <f>0.5*232</f>
        <v>116</v>
      </c>
      <c r="L2692" s="310"/>
      <c r="M2692" s="310"/>
      <c r="N2692" s="310">
        <v>45217</v>
      </c>
      <c r="O2692" s="309">
        <v>5561</v>
      </c>
      <c r="P2692" s="302"/>
      <c r="Q2692" s="315">
        <f>K2692-Q2691</f>
        <v>101</v>
      </c>
      <c r="R2692" s="315">
        <v>101</v>
      </c>
      <c r="S2692" s="537">
        <f>12395</f>
        <v>12395</v>
      </c>
      <c r="T2692" s="537">
        <f>12395</f>
        <v>12395</v>
      </c>
      <c r="U2692" s="515"/>
      <c r="V2692" s="494">
        <v>120</v>
      </c>
      <c r="W2692" s="2041">
        <f t="shared" si="164"/>
        <v>0.10955459770114942</v>
      </c>
    </row>
    <row r="2693" spans="2:23" s="7" customFormat="1" ht="18" customHeight="1">
      <c r="B2693" s="12"/>
      <c r="C2693" s="6" t="s">
        <v>6348</v>
      </c>
      <c r="D2693" s="15" t="s">
        <v>3120</v>
      </c>
      <c r="E2693" s="7" t="s">
        <v>2306</v>
      </c>
      <c r="F2693" s="700"/>
      <c r="G2693" s="640"/>
      <c r="H2693" s="641"/>
      <c r="I2693" s="701"/>
      <c r="J2693" s="702"/>
      <c r="K2693" s="153" t="s">
        <v>10</v>
      </c>
      <c r="L2693" s="219"/>
      <c r="M2693" s="11"/>
      <c r="N2693" s="39">
        <v>45217</v>
      </c>
      <c r="O2693" s="38">
        <v>5579</v>
      </c>
      <c r="P2693" s="6"/>
      <c r="Q2693" s="703"/>
      <c r="U2693" s="46"/>
      <c r="V2693" s="494">
        <v>120</v>
      </c>
    </row>
    <row r="2694" spans="2:23" ht="18" customHeight="1">
      <c r="B2694" s="28" t="s">
        <v>1856</v>
      </c>
      <c r="C2694" s="6" t="s">
        <v>6348</v>
      </c>
      <c r="D2694" s="15" t="s">
        <v>3120</v>
      </c>
      <c r="E2694" s="24" t="s">
        <v>18</v>
      </c>
      <c r="F2694" s="44">
        <v>30</v>
      </c>
      <c r="G2694" s="24" t="s">
        <v>2727</v>
      </c>
      <c r="H2694" s="151">
        <v>30</v>
      </c>
      <c r="I2694" s="152">
        <v>25</v>
      </c>
      <c r="J2694" s="67">
        <f>H2694*I2694</f>
        <v>750</v>
      </c>
      <c r="K2694" s="46">
        <v>4.26</v>
      </c>
      <c r="L2694" s="46">
        <f>K2694*J2694</f>
        <v>3195</v>
      </c>
      <c r="M2694" s="162" t="s">
        <v>2219</v>
      </c>
      <c r="N2694" s="39">
        <v>45217</v>
      </c>
      <c r="O2694" s="38">
        <v>5579</v>
      </c>
      <c r="P2694" s="46">
        <f>K2694*(VLOOKUP(B2694,$C$2:$F$6,3,FALSE))</f>
        <v>3.7487999999999997</v>
      </c>
      <c r="Q2694" s="482">
        <v>3.75</v>
      </c>
      <c r="R2694" s="704">
        <f>Q2694*J2694</f>
        <v>2812.5</v>
      </c>
      <c r="S2694" s="489">
        <v>230</v>
      </c>
      <c r="T2694" s="113">
        <f>S2694*J2694</f>
        <v>172500</v>
      </c>
      <c r="U2694" s="507"/>
      <c r="V2694" s="494">
        <v>120</v>
      </c>
      <c r="W2694" s="2041">
        <f>(((K2694*V2694)-S2694)/(K2694*V2694))</f>
        <v>0.5500782472613458</v>
      </c>
    </row>
    <row r="2695" spans="2:23" ht="18" customHeight="1">
      <c r="B2695" s="28" t="s">
        <v>1856</v>
      </c>
      <c r="C2695" s="6" t="s">
        <v>6348</v>
      </c>
      <c r="D2695" s="15" t="s">
        <v>3120</v>
      </c>
      <c r="E2695" s="24" t="s">
        <v>18</v>
      </c>
      <c r="F2695" s="44">
        <v>30</v>
      </c>
      <c r="G2695" s="24" t="s">
        <v>137</v>
      </c>
      <c r="H2695" s="151">
        <v>30</v>
      </c>
      <c r="I2695" s="152">
        <v>5</v>
      </c>
      <c r="J2695" s="67">
        <f>H2695*I2695</f>
        <v>150</v>
      </c>
      <c r="K2695" s="46">
        <v>4.26</v>
      </c>
      <c r="L2695" s="46">
        <f>K2695*J2695</f>
        <v>639</v>
      </c>
      <c r="M2695" s="162" t="s">
        <v>2219</v>
      </c>
      <c r="N2695" s="39">
        <v>45217</v>
      </c>
      <c r="O2695" s="38">
        <v>5579</v>
      </c>
      <c r="P2695" s="46">
        <f>K2695*(VLOOKUP(B2695,$C$2:$F$6,3,FALSE))</f>
        <v>3.7487999999999997</v>
      </c>
      <c r="Q2695" s="482">
        <v>3.75</v>
      </c>
      <c r="R2695" s="704">
        <f>Q2695*J2695</f>
        <v>562.5</v>
      </c>
      <c r="S2695" s="489">
        <v>230</v>
      </c>
      <c r="T2695" s="113">
        <f>S2695*J2695</f>
        <v>34500</v>
      </c>
      <c r="U2695" s="507"/>
      <c r="V2695" s="494">
        <v>120</v>
      </c>
      <c r="W2695" s="2041">
        <f>(((K2695*V2695)-S2695)/(K2695*V2695))</f>
        <v>0.5500782472613458</v>
      </c>
    </row>
    <row r="2696" spans="2:23" s="314" customFormat="1" ht="15">
      <c r="B2696" s="313"/>
      <c r="C2696" s="302" t="s">
        <v>6348</v>
      </c>
      <c r="D2696" s="303" t="s">
        <v>3120</v>
      </c>
      <c r="E2696" s="371"/>
      <c r="F2696" s="305"/>
      <c r="G2696" s="305" t="s">
        <v>1227</v>
      </c>
      <c r="H2696" s="307" t="s">
        <v>1228</v>
      </c>
      <c r="I2696" s="308"/>
      <c r="J2696" s="306"/>
      <c r="K2696" s="315">
        <v>0</v>
      </c>
      <c r="L2696" s="310"/>
      <c r="M2696" s="310"/>
      <c r="N2696" s="310">
        <v>45217</v>
      </c>
      <c r="O2696" s="309">
        <v>5579</v>
      </c>
      <c r="P2696" s="302"/>
      <c r="Q2696" s="485">
        <v>0</v>
      </c>
      <c r="R2696" s="704">
        <v>0</v>
      </c>
      <c r="S2696" s="536">
        <v>0</v>
      </c>
      <c r="T2696" s="322">
        <v>0</v>
      </c>
      <c r="U2696" s="515"/>
      <c r="V2696" s="494">
        <v>120</v>
      </c>
    </row>
    <row r="2697" spans="2:23" s="7" customFormat="1" ht="15">
      <c r="B2697" s="12"/>
      <c r="C2697" s="6" t="s">
        <v>6347</v>
      </c>
      <c r="D2697" s="15" t="s">
        <v>958</v>
      </c>
      <c r="E2697" s="20" t="s">
        <v>3490</v>
      </c>
      <c r="F2697" s="26"/>
      <c r="G2697" s="24"/>
      <c r="H2697" s="67"/>
      <c r="I2697" s="68"/>
      <c r="J2697" s="67"/>
      <c r="K2697" s="17" t="s">
        <v>10</v>
      </c>
      <c r="L2697" s="213"/>
      <c r="M2697" s="39"/>
      <c r="N2697" s="39">
        <v>45243</v>
      </c>
      <c r="O2697" s="38">
        <v>5618</v>
      </c>
      <c r="P2697" s="6" t="s">
        <v>3</v>
      </c>
      <c r="Q2697" s="703"/>
      <c r="S2697" s="46"/>
      <c r="U2697" s="23"/>
      <c r="V2697" s="494">
        <v>120</v>
      </c>
      <c r="W2697" s="2041" t="e">
        <f>(((K2697*V2697)-S2697)/(K2697*V2697))</f>
        <v>#VALUE!</v>
      </c>
    </row>
    <row r="2698" spans="2:23" s="7" customFormat="1" ht="15.95" customHeight="1">
      <c r="B2698" s="12"/>
      <c r="C2698" s="6" t="s">
        <v>6347</v>
      </c>
      <c r="D2698" s="15" t="s">
        <v>958</v>
      </c>
      <c r="E2698" s="24" t="s">
        <v>5493</v>
      </c>
      <c r="F2698" s="44"/>
      <c r="G2698" s="44" t="s">
        <v>3492</v>
      </c>
      <c r="H2698" s="151">
        <v>6.1</v>
      </c>
      <c r="I2698" s="152">
        <v>300</v>
      </c>
      <c r="J2698" s="67">
        <f>H2698*I2698</f>
        <v>1830</v>
      </c>
      <c r="K2698" s="46">
        <v>8.34</v>
      </c>
      <c r="L2698" s="46">
        <f>K2698*J2698</f>
        <v>15262.199999999999</v>
      </c>
      <c r="M2698" s="162" t="s">
        <v>3736</v>
      </c>
      <c r="N2698" s="39">
        <v>45243</v>
      </c>
      <c r="O2698" s="38">
        <v>5618</v>
      </c>
      <c r="P2698" s="46">
        <f>K2698*0.92</f>
        <v>7.6728000000000005</v>
      </c>
      <c r="Q2698" s="2086">
        <v>7.67</v>
      </c>
      <c r="R2698" s="704">
        <f>Q2698*J2698</f>
        <v>14036.1</v>
      </c>
      <c r="S2698" s="46">
        <f>K2698*0.84</f>
        <v>7.0055999999999994</v>
      </c>
      <c r="T2698" s="1308">
        <f>S2698*J2698</f>
        <v>12820.248</v>
      </c>
      <c r="U2698" s="46"/>
      <c r="V2698" s="494">
        <v>120</v>
      </c>
      <c r="W2698" s="2041"/>
    </row>
    <row r="2699" spans="2:23" s="314" customFormat="1" ht="15.6" customHeight="1">
      <c r="B2699" s="313"/>
      <c r="C2699" s="302" t="s">
        <v>6347</v>
      </c>
      <c r="D2699" s="303" t="s">
        <v>958</v>
      </c>
      <c r="E2699" s="371"/>
      <c r="F2699" s="305"/>
      <c r="G2699" s="305" t="s">
        <v>1227</v>
      </c>
      <c r="H2699" s="307" t="s">
        <v>5693</v>
      </c>
      <c r="I2699" s="308"/>
      <c r="J2699" s="306"/>
      <c r="K2699" s="315">
        <v>0</v>
      </c>
      <c r="L2699" s="310"/>
      <c r="M2699" s="310"/>
      <c r="N2699" s="310">
        <v>45243</v>
      </c>
      <c r="O2699" s="309">
        <v>5618</v>
      </c>
      <c r="P2699" s="302"/>
      <c r="Q2699" s="531">
        <v>0</v>
      </c>
      <c r="S2699" s="535">
        <v>0</v>
      </c>
      <c r="T2699" s="322">
        <v>0</v>
      </c>
      <c r="U2699" s="1115"/>
      <c r="V2699" s="494">
        <v>120</v>
      </c>
      <c r="W2699" s="2041" t="e">
        <f>(((K2699*V2699)-S2699)/(K2699*V2699))</f>
        <v>#DIV/0!</v>
      </c>
    </row>
    <row r="2700" spans="2:23" ht="15">
      <c r="C2700" s="6" t="s">
        <v>6349</v>
      </c>
      <c r="D2700" s="15" t="s">
        <v>1178</v>
      </c>
      <c r="E2700" s="20" t="s">
        <v>2996</v>
      </c>
      <c r="F2700" s="150"/>
      <c r="G2700" s="24"/>
      <c r="H2700" s="151"/>
      <c r="I2700" s="152"/>
      <c r="J2700" s="151"/>
      <c r="K2700" s="153" t="s">
        <v>10</v>
      </c>
      <c r="L2700" s="39"/>
      <c r="M2700" s="39"/>
      <c r="N2700" s="39">
        <v>45219</v>
      </c>
      <c r="O2700" s="38">
        <v>5602</v>
      </c>
      <c r="P2700" s="15"/>
      <c r="Q2700" s="483"/>
      <c r="S2700" s="496"/>
      <c r="T2700" s="113"/>
      <c r="V2700" s="494">
        <v>120</v>
      </c>
      <c r="W2700"/>
    </row>
    <row r="2701" spans="2:23" ht="15.75">
      <c r="B2701" s="12" t="s">
        <v>1858</v>
      </c>
      <c r="C2701" s="6" t="s">
        <v>6349</v>
      </c>
      <c r="D2701" s="15" t="s">
        <v>1178</v>
      </c>
      <c r="E2701" s="24" t="s">
        <v>2989</v>
      </c>
      <c r="F2701" s="150">
        <v>148</v>
      </c>
      <c r="G2701" s="24" t="s">
        <v>2997</v>
      </c>
      <c r="H2701" s="67"/>
      <c r="I2701" s="68"/>
      <c r="J2701" s="19">
        <v>13</v>
      </c>
      <c r="K2701" s="46">
        <v>21.57</v>
      </c>
      <c r="L2701" s="46">
        <f>K2701*J2701</f>
        <v>280.41000000000003</v>
      </c>
      <c r="M2701" s="162" t="s">
        <v>2219</v>
      </c>
      <c r="N2701" s="39">
        <v>45219</v>
      </c>
      <c r="O2701" s="38">
        <v>5602</v>
      </c>
      <c r="P2701" s="46">
        <f>K2701*(VLOOKUP(B2701,$C$2:$F$6,3,FALSE))</f>
        <v>20.2758</v>
      </c>
      <c r="Q2701" s="483">
        <v>20.28</v>
      </c>
      <c r="R2701" s="704">
        <f>Q2701*J2701</f>
        <v>263.64</v>
      </c>
      <c r="S2701" s="532">
        <f>1850+10</f>
        <v>1860</v>
      </c>
      <c r="T2701" s="567">
        <f>S2701*J2701</f>
        <v>24180</v>
      </c>
      <c r="V2701" s="494">
        <v>120</v>
      </c>
      <c r="W2701" s="2041">
        <f>(((K2701*V2701)-S2701)/(K2701*V2701))</f>
        <v>0.28140936485859991</v>
      </c>
    </row>
    <row r="2702" spans="2:23" ht="15.75">
      <c r="B2702" s="12" t="s">
        <v>1858</v>
      </c>
      <c r="C2702" s="6" t="s">
        <v>6349</v>
      </c>
      <c r="D2702" s="15" t="s">
        <v>1178</v>
      </c>
      <c r="E2702" s="24" t="s">
        <v>2989</v>
      </c>
      <c r="F2702" s="150">
        <v>148</v>
      </c>
      <c r="G2702" s="24" t="s">
        <v>3000</v>
      </c>
      <c r="H2702" s="67"/>
      <c r="I2702" s="68"/>
      <c r="J2702" s="19">
        <v>102.7</v>
      </c>
      <c r="K2702" s="46">
        <v>21.57</v>
      </c>
      <c r="L2702" s="46">
        <f>K2702*J2702</f>
        <v>2215.239</v>
      </c>
      <c r="M2702" s="162" t="s">
        <v>2219</v>
      </c>
      <c r="N2702" s="39">
        <v>45219</v>
      </c>
      <c r="O2702" s="38">
        <v>5602</v>
      </c>
      <c r="P2702" s="46">
        <f>K2702*(VLOOKUP(B2702,$C$2:$F$6,3,FALSE))</f>
        <v>20.2758</v>
      </c>
      <c r="Q2702" s="483">
        <v>20.28</v>
      </c>
      <c r="R2702" s="704">
        <f>Q2702*J2702</f>
        <v>2082.7560000000003</v>
      </c>
      <c r="S2702" s="532">
        <f>1850+20</f>
        <v>1870</v>
      </c>
      <c r="T2702" s="567">
        <f>S2702*J2702</f>
        <v>192049</v>
      </c>
      <c r="V2702" s="494">
        <v>120</v>
      </c>
      <c r="W2702" s="2041">
        <f>(((K2702*V2702)-S2702)/(K2702*V2702))</f>
        <v>0.27754597434708705</v>
      </c>
    </row>
    <row r="2703" spans="2:23" ht="15.75">
      <c r="B2703" s="28" t="s">
        <v>1862</v>
      </c>
      <c r="C2703" s="6" t="s">
        <v>6349</v>
      </c>
      <c r="D2703" s="15" t="s">
        <v>1178</v>
      </c>
      <c r="E2703" s="95"/>
      <c r="F2703" s="26"/>
      <c r="G2703" s="24" t="s">
        <v>75</v>
      </c>
      <c r="H2703" s="67"/>
      <c r="I2703" s="68"/>
      <c r="J2703" s="45">
        <v>1</v>
      </c>
      <c r="K2703" s="25">
        <v>0</v>
      </c>
      <c r="L2703" s="2090" t="s">
        <v>6366</v>
      </c>
      <c r="M2703" s="162"/>
      <c r="N2703" s="39">
        <v>45219</v>
      </c>
      <c r="O2703" s="38">
        <v>5602</v>
      </c>
      <c r="P2703" s="46">
        <f>K2703*(VLOOKUP(B2703,$C$2:$F$6,3,FALSE))</f>
        <v>0</v>
      </c>
      <c r="Q2703" s="483">
        <v>0</v>
      </c>
      <c r="R2703" s="704">
        <f>Q2703*J2703</f>
        <v>0</v>
      </c>
      <c r="S2703" s="489">
        <v>2200</v>
      </c>
      <c r="T2703" s="113">
        <f>S2703*J2703</f>
        <v>2200</v>
      </c>
      <c r="U2703" s="1863"/>
      <c r="V2703" s="494">
        <v>120</v>
      </c>
      <c r="W2703" s="2041" t="e">
        <f>(((K2703*V2703)-S2703)/(K2703*V2703))</f>
        <v>#DIV/0!</v>
      </c>
    </row>
    <row r="2704" spans="2:23" s="314" customFormat="1" ht="15.6" customHeight="1">
      <c r="B2704" s="313"/>
      <c r="C2704" s="302" t="s">
        <v>6349</v>
      </c>
      <c r="D2704" s="303" t="s">
        <v>1178</v>
      </c>
      <c r="E2704" s="304"/>
      <c r="F2704" s="305"/>
      <c r="G2704" s="305" t="s">
        <v>1227</v>
      </c>
      <c r="H2704" s="307" t="s">
        <v>1228</v>
      </c>
      <c r="I2704" s="308"/>
      <c r="J2704" s="306"/>
      <c r="K2704" s="315">
        <v>0</v>
      </c>
      <c r="L2704" s="310"/>
      <c r="M2704" s="310"/>
      <c r="N2704" s="310">
        <v>45219</v>
      </c>
      <c r="O2704" s="309">
        <v>5602</v>
      </c>
      <c r="P2704" s="302"/>
      <c r="Q2704" s="485">
        <v>0</v>
      </c>
      <c r="S2704" s="535">
        <v>0</v>
      </c>
      <c r="T2704" s="322">
        <v>0</v>
      </c>
      <c r="U2704" s="515"/>
      <c r="V2704" s="494">
        <v>120</v>
      </c>
    </row>
    <row r="2705" spans="1:23" ht="15">
      <c r="C2705" s="6" t="s">
        <v>6350</v>
      </c>
      <c r="D2705" s="15" t="s">
        <v>1178</v>
      </c>
      <c r="E2705" s="20" t="s">
        <v>6351</v>
      </c>
      <c r="F2705" s="150"/>
      <c r="G2705" s="24"/>
      <c r="H2705" s="151"/>
      <c r="I2705" s="152"/>
      <c r="J2705" s="151"/>
      <c r="K2705" s="153" t="s">
        <v>1027</v>
      </c>
      <c r="L2705" s="39"/>
      <c r="M2705" s="39"/>
      <c r="N2705" s="39">
        <v>45238</v>
      </c>
      <c r="O2705" s="38">
        <v>5657</v>
      </c>
      <c r="P2705" s="15"/>
      <c r="Q2705" s="483"/>
      <c r="S2705" s="496"/>
      <c r="T2705" s="113"/>
      <c r="V2705" s="494">
        <v>120</v>
      </c>
      <c r="W2705"/>
    </row>
    <row r="2706" spans="1:23" ht="18" customHeight="1">
      <c r="B2706" s="28" t="s">
        <v>1856</v>
      </c>
      <c r="C2706" s="6" t="s">
        <v>6350</v>
      </c>
      <c r="D2706" s="15" t="s">
        <v>1178</v>
      </c>
      <c r="E2706" s="24" t="s">
        <v>6352</v>
      </c>
      <c r="F2706" s="44"/>
      <c r="G2706" s="47" t="s">
        <v>6353</v>
      </c>
      <c r="H2706" s="151"/>
      <c r="I2706" s="152"/>
      <c r="J2706" s="2087">
        <v>2000</v>
      </c>
      <c r="K2706" s="46">
        <v>0.24</v>
      </c>
      <c r="L2706" s="46">
        <f>K2706*J2706</f>
        <v>480</v>
      </c>
      <c r="M2706" s="162" t="s">
        <v>2446</v>
      </c>
      <c r="N2706" s="39">
        <v>45238</v>
      </c>
      <c r="O2706" s="38">
        <v>5657</v>
      </c>
      <c r="P2706" s="46">
        <f>K2706*(VLOOKUP(B2706,$C$2:$F$6,3,FALSE))</f>
        <v>0.2112</v>
      </c>
      <c r="Q2706" s="482">
        <v>0.21</v>
      </c>
      <c r="R2706" s="704">
        <f>Q2706*J2706</f>
        <v>420</v>
      </c>
      <c r="S2706" s="489">
        <v>12</v>
      </c>
      <c r="T2706" s="113">
        <f>S2706*J2706</f>
        <v>24000</v>
      </c>
      <c r="U2706" s="507"/>
      <c r="V2706" s="494">
        <v>120</v>
      </c>
      <c r="W2706" s="2041">
        <f t="shared" ref="W2706:W2711" si="171">(((K2706*V2706)-S2706)/(K2706*V2706))</f>
        <v>0.58333333333333326</v>
      </c>
    </row>
    <row r="2707" spans="1:23" ht="18" customHeight="1">
      <c r="B2707" s="28" t="s">
        <v>1856</v>
      </c>
      <c r="C2707" s="6" t="s">
        <v>6350</v>
      </c>
      <c r="D2707" s="15" t="s">
        <v>1178</v>
      </c>
      <c r="E2707" s="24" t="s">
        <v>6352</v>
      </c>
      <c r="F2707" s="44"/>
      <c r="G2707" s="47" t="s">
        <v>6354</v>
      </c>
      <c r="H2707" s="151"/>
      <c r="I2707" s="152"/>
      <c r="J2707" s="2087">
        <v>1000</v>
      </c>
      <c r="K2707" s="46">
        <v>0.24</v>
      </c>
      <c r="L2707" s="46">
        <f>K2707*J2707</f>
        <v>240</v>
      </c>
      <c r="M2707" s="162" t="s">
        <v>2446</v>
      </c>
      <c r="N2707" s="39">
        <v>45238</v>
      </c>
      <c r="O2707" s="38">
        <v>5657</v>
      </c>
      <c r="P2707" s="46">
        <f>K2707*(VLOOKUP(B2707,$C$2:$F$6,3,FALSE))</f>
        <v>0.2112</v>
      </c>
      <c r="Q2707" s="482">
        <v>0.21</v>
      </c>
      <c r="R2707" s="704">
        <f>Q2707*J2707</f>
        <v>210</v>
      </c>
      <c r="S2707" s="489">
        <v>12</v>
      </c>
      <c r="T2707" s="113">
        <f>S2707*J2707</f>
        <v>12000</v>
      </c>
      <c r="U2707" s="507"/>
      <c r="V2707" s="494">
        <v>120</v>
      </c>
      <c r="W2707" s="2041">
        <f t="shared" si="171"/>
        <v>0.58333333333333326</v>
      </c>
    </row>
    <row r="2708" spans="1:23" ht="18" customHeight="1">
      <c r="B2708" s="28" t="s">
        <v>1856</v>
      </c>
      <c r="C2708" s="6" t="s">
        <v>6350</v>
      </c>
      <c r="D2708" s="15" t="s">
        <v>1178</v>
      </c>
      <c r="E2708" s="24" t="s">
        <v>6352</v>
      </c>
      <c r="F2708" s="44"/>
      <c r="G2708" s="47" t="s">
        <v>6355</v>
      </c>
      <c r="H2708" s="151"/>
      <c r="I2708" s="152"/>
      <c r="J2708" s="2087">
        <v>500</v>
      </c>
      <c r="K2708" s="46">
        <v>0.24</v>
      </c>
      <c r="L2708" s="46">
        <f>K2708*J2708</f>
        <v>120</v>
      </c>
      <c r="M2708" s="162" t="s">
        <v>2446</v>
      </c>
      <c r="N2708" s="39">
        <v>45238</v>
      </c>
      <c r="O2708" s="38">
        <v>5657</v>
      </c>
      <c r="P2708" s="46">
        <f>K2708*(VLOOKUP(B2708,$C$2:$F$6,3,FALSE))</f>
        <v>0.2112</v>
      </c>
      <c r="Q2708" s="482">
        <v>0.21</v>
      </c>
      <c r="R2708" s="704">
        <f>Q2708*J2708</f>
        <v>105</v>
      </c>
      <c r="S2708" s="489">
        <v>12</v>
      </c>
      <c r="T2708" s="113">
        <f>S2708*J2708</f>
        <v>6000</v>
      </c>
      <c r="U2708" s="507"/>
      <c r="V2708" s="494">
        <v>120</v>
      </c>
      <c r="W2708" s="2041">
        <f t="shared" si="171"/>
        <v>0.58333333333333326</v>
      </c>
    </row>
    <row r="2709" spans="1:23" ht="15.75">
      <c r="B2709" s="28" t="s">
        <v>1862</v>
      </c>
      <c r="C2709" s="6" t="s">
        <v>6350</v>
      </c>
      <c r="D2709" s="15" t="s">
        <v>1178</v>
      </c>
      <c r="E2709" s="95"/>
      <c r="F2709" s="26"/>
      <c r="G2709" s="24" t="s">
        <v>6356</v>
      </c>
      <c r="H2709" s="67"/>
      <c r="I2709" s="68"/>
      <c r="J2709" s="45">
        <v>3</v>
      </c>
      <c r="K2709" s="25">
        <v>110</v>
      </c>
      <c r="L2709" s="46">
        <f>K2709*J2709</f>
        <v>330</v>
      </c>
      <c r="M2709" s="162" t="s">
        <v>2446</v>
      </c>
      <c r="N2709" s="39">
        <v>45238</v>
      </c>
      <c r="O2709" s="38">
        <v>5657</v>
      </c>
      <c r="P2709" s="46">
        <f>K2709*(VLOOKUP(B2709,$C$2:$F$6,3,FALSE))</f>
        <v>110</v>
      </c>
      <c r="Q2709" s="483">
        <v>110</v>
      </c>
      <c r="R2709" s="704">
        <f>Q2709*J2709</f>
        <v>330</v>
      </c>
      <c r="S2709" s="489">
        <v>10000</v>
      </c>
      <c r="T2709" s="113">
        <f>S2709*J2709</f>
        <v>30000</v>
      </c>
      <c r="U2709" s="1863"/>
      <c r="V2709" s="494">
        <v>120</v>
      </c>
      <c r="W2709" s="2041">
        <f t="shared" si="171"/>
        <v>0.24242424242424243</v>
      </c>
    </row>
    <row r="2710" spans="1:23" s="7" customFormat="1" ht="15" customHeight="1">
      <c r="A2710" s="1"/>
      <c r="B2710" s="12"/>
      <c r="C2710" s="6" t="s">
        <v>6350</v>
      </c>
      <c r="D2710" s="15" t="s">
        <v>1178</v>
      </c>
      <c r="E2710" s="24"/>
      <c r="F2710" s="44"/>
      <c r="G2710" s="44" t="s">
        <v>1949</v>
      </c>
      <c r="H2710" s="45"/>
      <c r="I2710" s="152" ph="1"/>
      <c r="J2710" s="45">
        <v>1</v>
      </c>
      <c r="K2710" s="46">
        <v>12</v>
      </c>
      <c r="L2710" s="46">
        <f>K2710*J2710</f>
        <v>12</v>
      </c>
      <c r="M2710" s="112"/>
      <c r="N2710" s="39">
        <v>45238</v>
      </c>
      <c r="O2710" s="38">
        <v>5657</v>
      </c>
      <c r="P2710" s="6"/>
      <c r="Q2710" s="483">
        <v>12</v>
      </c>
      <c r="R2710" s="704">
        <f>Q2710*J2710</f>
        <v>12</v>
      </c>
      <c r="S2710" s="489">
        <v>0</v>
      </c>
      <c r="T2710" s="113">
        <f>S2710*J2710</f>
        <v>0</v>
      </c>
      <c r="U2710" s="501"/>
      <c r="V2710" s="494">
        <v>120</v>
      </c>
      <c r="W2710" s="2041">
        <f t="shared" si="171"/>
        <v>1</v>
      </c>
    </row>
    <row r="2711" spans="1:23" s="314" customFormat="1" ht="15" customHeight="1">
      <c r="A2711" s="1"/>
      <c r="B2711" s="313"/>
      <c r="C2711" s="302" t="s">
        <v>6350</v>
      </c>
      <c r="D2711" s="303" t="s">
        <v>1178</v>
      </c>
      <c r="E2711" s="304"/>
      <c r="F2711" s="305"/>
      <c r="G2711" s="305" t="s">
        <v>1227</v>
      </c>
      <c r="H2711" s="307" t="s">
        <v>1228</v>
      </c>
      <c r="I2711" s="308"/>
      <c r="J2711" s="306"/>
      <c r="K2711" s="316">
        <v>0</v>
      </c>
      <c r="L2711" s="310"/>
      <c r="M2711" s="310"/>
      <c r="N2711" s="310">
        <v>45238</v>
      </c>
      <c r="O2711" s="309">
        <v>5657</v>
      </c>
      <c r="P2711" s="302"/>
      <c r="Q2711" s="485">
        <v>0</v>
      </c>
      <c r="S2711" s="536">
        <v>0</v>
      </c>
      <c r="T2711" s="322">
        <v>0</v>
      </c>
      <c r="U2711" s="515"/>
      <c r="V2711" s="494">
        <v>120</v>
      </c>
      <c r="W2711" s="2041" t="e">
        <f t="shared" si="171"/>
        <v>#DIV/0!</v>
      </c>
    </row>
    <row r="2712" spans="1:23" s="7" customFormat="1" ht="18" customHeight="1">
      <c r="B2712" s="12"/>
      <c r="C2712" s="6" t="s">
        <v>6396</v>
      </c>
      <c r="D2712" s="15" t="s">
        <v>11</v>
      </c>
      <c r="E2712" s="20" t="s">
        <v>6399</v>
      </c>
      <c r="F2712" s="150"/>
      <c r="G2712" s="24"/>
      <c r="H2712" s="151"/>
      <c r="I2712" s="152"/>
      <c r="J2712" s="151"/>
      <c r="K2712" s="34" t="s">
        <v>10</v>
      </c>
      <c r="L2712" s="39"/>
      <c r="M2712" s="39"/>
      <c r="N2712" s="39">
        <v>45222</v>
      </c>
      <c r="O2712" s="38">
        <v>5609</v>
      </c>
      <c r="P2712" s="15"/>
      <c r="Q2712" s="483"/>
      <c r="S2712" s="2080"/>
      <c r="T2712" s="113"/>
      <c r="U2712" s="506"/>
      <c r="V2712" s="494">
        <v>120</v>
      </c>
    </row>
    <row r="2713" spans="1:23" s="7" customFormat="1" ht="15.75">
      <c r="B2713" s="12" t="s">
        <v>1858</v>
      </c>
      <c r="C2713" s="6" t="s">
        <v>6396</v>
      </c>
      <c r="D2713" s="15" t="s">
        <v>11</v>
      </c>
      <c r="E2713" s="24" t="s">
        <v>536</v>
      </c>
      <c r="F2713" s="150">
        <v>160</v>
      </c>
      <c r="G2713" s="24" t="s">
        <v>6397</v>
      </c>
      <c r="H2713" s="67">
        <v>50</v>
      </c>
      <c r="I2713" s="68">
        <v>1</v>
      </c>
      <c r="J2713" s="8">
        <f>H2713*I2713</f>
        <v>50</v>
      </c>
      <c r="K2713" s="25">
        <v>5</v>
      </c>
      <c r="L2713" s="46">
        <f>K2713*J2713</f>
        <v>250</v>
      </c>
      <c r="M2713" s="162" t="s">
        <v>2218</v>
      </c>
      <c r="N2713" s="39">
        <v>45222</v>
      </c>
      <c r="O2713" s="38">
        <v>5609</v>
      </c>
      <c r="P2713" s="46">
        <f>K2713*(VLOOKUP(B2713,$C$2:$F$6,3,FALSE))</f>
        <v>4.6999999999999993</v>
      </c>
      <c r="Q2713" s="483">
        <v>4.7</v>
      </c>
      <c r="R2713" s="704">
        <f>Q2713*J2713</f>
        <v>235</v>
      </c>
      <c r="S2713" s="532">
        <v>380</v>
      </c>
      <c r="T2713" s="567">
        <f>S2713*J2713</f>
        <v>19000</v>
      </c>
      <c r="U2713" s="501"/>
      <c r="V2713" s="494">
        <v>120</v>
      </c>
      <c r="W2713" s="2041">
        <f>(((K2713*V2713)-S2713)/(K2713*V2713))</f>
        <v>0.36666666666666664</v>
      </c>
    </row>
    <row r="2714" spans="1:23" s="7" customFormat="1" ht="15.75">
      <c r="B2714" s="12" t="s">
        <v>1858</v>
      </c>
      <c r="C2714" s="6" t="s">
        <v>6396</v>
      </c>
      <c r="D2714" s="15" t="s">
        <v>11</v>
      </c>
      <c r="E2714" s="24" t="s">
        <v>536</v>
      </c>
      <c r="F2714" s="150">
        <v>160</v>
      </c>
      <c r="G2714" s="24" t="s">
        <v>6398</v>
      </c>
      <c r="H2714" s="67">
        <v>50</v>
      </c>
      <c r="I2714" s="68">
        <v>1</v>
      </c>
      <c r="J2714" s="8">
        <f>H2714*I2714</f>
        <v>50</v>
      </c>
      <c r="K2714" s="25">
        <v>5</v>
      </c>
      <c r="L2714" s="46">
        <f>K2714*J2714</f>
        <v>250</v>
      </c>
      <c r="M2714" s="162" t="s">
        <v>2218</v>
      </c>
      <c r="N2714" s="39">
        <v>45222</v>
      </c>
      <c r="O2714" s="38">
        <v>5609</v>
      </c>
      <c r="P2714" s="46">
        <f>K2714*(VLOOKUP(B2714,$C$2:$F$6,3,FALSE))</f>
        <v>4.6999999999999993</v>
      </c>
      <c r="Q2714" s="483">
        <v>4.7</v>
      </c>
      <c r="R2714" s="704">
        <f>Q2714*J2714</f>
        <v>235</v>
      </c>
      <c r="S2714" s="532">
        <v>380</v>
      </c>
      <c r="T2714" s="567">
        <f>S2714*J2714</f>
        <v>19000</v>
      </c>
      <c r="U2714" s="501"/>
      <c r="V2714" s="494">
        <v>120</v>
      </c>
      <c r="W2714" s="2041">
        <f>(((K2714*V2714)-S2714)/(K2714*V2714))</f>
        <v>0.36666666666666664</v>
      </c>
    </row>
    <row r="2715" spans="1:23" s="7" customFormat="1" ht="18" customHeight="1">
      <c r="B2715" s="12"/>
      <c r="C2715" s="6" t="s">
        <v>6400</v>
      </c>
      <c r="D2715" s="15" t="s">
        <v>11</v>
      </c>
      <c r="E2715" s="20" t="s">
        <v>6401</v>
      </c>
      <c r="F2715" s="150"/>
      <c r="G2715" s="24"/>
      <c r="H2715" s="151"/>
      <c r="I2715" s="152"/>
      <c r="J2715" s="151"/>
      <c r="K2715" s="34" t="s">
        <v>10</v>
      </c>
      <c r="L2715" s="39"/>
      <c r="M2715" s="39"/>
      <c r="N2715" s="39">
        <v>45222</v>
      </c>
      <c r="O2715" s="38">
        <v>5609</v>
      </c>
      <c r="P2715" s="15"/>
      <c r="Q2715" s="483"/>
      <c r="S2715" s="2080"/>
      <c r="T2715" s="113"/>
      <c r="U2715" s="506"/>
      <c r="V2715" s="494">
        <v>120</v>
      </c>
    </row>
    <row r="2716" spans="1:23" s="7" customFormat="1" ht="15.75">
      <c r="B2716" s="12" t="s">
        <v>1858</v>
      </c>
      <c r="C2716" s="6" t="s">
        <v>6400</v>
      </c>
      <c r="D2716" s="15" t="s">
        <v>11</v>
      </c>
      <c r="E2716" s="24" t="s">
        <v>6362</v>
      </c>
      <c r="F2716" s="150">
        <v>115</v>
      </c>
      <c r="G2716" s="24" t="s">
        <v>6402</v>
      </c>
      <c r="H2716" s="67">
        <v>26</v>
      </c>
      <c r="I2716" s="68">
        <v>2</v>
      </c>
      <c r="J2716" s="8">
        <f>H2716*I2716</f>
        <v>52</v>
      </c>
      <c r="K2716" s="25">
        <v>3.23</v>
      </c>
      <c r="L2716" s="46">
        <f>K2716*J2716</f>
        <v>167.96</v>
      </c>
      <c r="M2716" s="162" t="s">
        <v>2219</v>
      </c>
      <c r="N2716" s="39">
        <v>45222</v>
      </c>
      <c r="O2716" s="38">
        <v>5609</v>
      </c>
      <c r="P2716" s="46">
        <f>K2716*(VLOOKUP(B2716,$C$2:$F$6,3,FALSE))</f>
        <v>3.0362</v>
      </c>
      <c r="Q2716" s="483">
        <v>3.04</v>
      </c>
      <c r="R2716" s="704">
        <f>Q2716*J2716</f>
        <v>158.08000000000001</v>
      </c>
      <c r="S2716" s="532">
        <v>230</v>
      </c>
      <c r="T2716" s="567">
        <f>S2716*J2716</f>
        <v>11960</v>
      </c>
      <c r="U2716" s="501"/>
      <c r="V2716" s="494">
        <v>120</v>
      </c>
      <c r="W2716" s="2041">
        <f t="shared" ref="W2716:W2728" si="172">(((K2716*V2716)-S2716)/(K2716*V2716))</f>
        <v>0.40660474716202272</v>
      </c>
    </row>
    <row r="2717" spans="1:23" s="7" customFormat="1" ht="15.75">
      <c r="B2717" s="12" t="s">
        <v>1858</v>
      </c>
      <c r="C2717" s="6" t="s">
        <v>6400</v>
      </c>
      <c r="D2717" s="15" t="s">
        <v>11</v>
      </c>
      <c r="E2717" s="24" t="s">
        <v>6362</v>
      </c>
      <c r="F2717" s="150">
        <v>115</v>
      </c>
      <c r="G2717" s="24" t="s">
        <v>6403</v>
      </c>
      <c r="H2717" s="67">
        <v>26</v>
      </c>
      <c r="I2717" s="68">
        <v>2</v>
      </c>
      <c r="J2717" s="8">
        <f>H2717*I2717</f>
        <v>52</v>
      </c>
      <c r="K2717" s="25">
        <v>3.23</v>
      </c>
      <c r="L2717" s="46">
        <f>K2717*J2717</f>
        <v>167.96</v>
      </c>
      <c r="M2717" s="162" t="s">
        <v>2219</v>
      </c>
      <c r="N2717" s="39">
        <v>45222</v>
      </c>
      <c r="O2717" s="38">
        <v>5609</v>
      </c>
      <c r="P2717" s="46">
        <f>K2717*(VLOOKUP(B2717,$C$2:$F$6,3,FALSE))</f>
        <v>3.0362</v>
      </c>
      <c r="Q2717" s="483">
        <v>3.04</v>
      </c>
      <c r="R2717" s="704">
        <f>Q2717*J2717</f>
        <v>158.08000000000001</v>
      </c>
      <c r="S2717" s="532">
        <v>230</v>
      </c>
      <c r="T2717" s="567">
        <f>S2717*J2717</f>
        <v>11960</v>
      </c>
      <c r="U2717" s="501"/>
      <c r="V2717" s="494">
        <v>120</v>
      </c>
      <c r="W2717" s="2041">
        <f t="shared" si="172"/>
        <v>0.40660474716202272</v>
      </c>
    </row>
    <row r="2718" spans="1:23" s="217" customFormat="1" ht="15.95" customHeight="1">
      <c r="B2718" s="539"/>
      <c r="C2718" s="6" t="s">
        <v>6404</v>
      </c>
      <c r="D2718" s="109" t="s">
        <v>11</v>
      </c>
      <c r="E2718" s="228"/>
      <c r="F2718" s="160"/>
      <c r="G2718" s="42" t="s">
        <v>1993</v>
      </c>
      <c r="H2718" s="214"/>
      <c r="I2718" s="215"/>
      <c r="J2718" s="43">
        <v>1</v>
      </c>
      <c r="K2718" s="229">
        <v>20</v>
      </c>
      <c r="L2718" s="229">
        <v>0</v>
      </c>
      <c r="M2718" s="969"/>
      <c r="N2718" s="39">
        <v>45222</v>
      </c>
      <c r="O2718" s="38">
        <v>5609</v>
      </c>
      <c r="P2718" s="692"/>
      <c r="Q2718" s="970">
        <v>0</v>
      </c>
      <c r="R2718" s="970">
        <v>0</v>
      </c>
      <c r="S2718" s="498">
        <f>1800+1000</f>
        <v>2800</v>
      </c>
      <c r="T2718" s="498">
        <f>1800+1000</f>
        <v>2800</v>
      </c>
      <c r="U2718" s="667"/>
      <c r="V2718" s="547">
        <v>120</v>
      </c>
      <c r="W2718" s="2051">
        <f t="shared" si="172"/>
        <v>-0.16666666666666666</v>
      </c>
    </row>
    <row r="2719" spans="1:23" s="314" customFormat="1" ht="15" customHeight="1">
      <c r="A2719" s="1"/>
      <c r="B2719" s="313"/>
      <c r="C2719" s="302" t="s">
        <v>6404</v>
      </c>
      <c r="D2719" s="303" t="s">
        <v>11</v>
      </c>
      <c r="E2719" s="304"/>
      <c r="F2719" s="305"/>
      <c r="G2719" s="305" t="s">
        <v>1227</v>
      </c>
      <c r="H2719" s="307" t="s">
        <v>1228</v>
      </c>
      <c r="I2719" s="308"/>
      <c r="J2719" s="306"/>
      <c r="K2719" s="316">
        <v>0</v>
      </c>
      <c r="L2719" s="310"/>
      <c r="M2719" s="310"/>
      <c r="N2719" s="310">
        <v>45222</v>
      </c>
      <c r="O2719" s="309">
        <v>5609</v>
      </c>
      <c r="P2719" s="302"/>
      <c r="Q2719" s="485">
        <v>0</v>
      </c>
      <c r="S2719" s="536">
        <v>0</v>
      </c>
      <c r="T2719" s="322">
        <v>0</v>
      </c>
      <c r="U2719" s="515"/>
      <c r="V2719" s="494">
        <v>120</v>
      </c>
      <c r="W2719" s="2041" t="e">
        <f t="shared" si="172"/>
        <v>#DIV/0!</v>
      </c>
    </row>
    <row r="2720" spans="1:23" ht="15">
      <c r="C2720" s="6" t="s">
        <v>6407</v>
      </c>
      <c r="D2720" s="15" t="s">
        <v>6317</v>
      </c>
      <c r="E2720" s="20" t="s">
        <v>6405</v>
      </c>
      <c r="F2720" s="26"/>
      <c r="G2720" s="24"/>
      <c r="H2720" s="67"/>
      <c r="I2720" s="68"/>
      <c r="J2720" s="67"/>
      <c r="K2720" s="17" t="s">
        <v>134</v>
      </c>
      <c r="L2720" s="39"/>
      <c r="M2720" s="39"/>
      <c r="N2720" s="39">
        <v>45223</v>
      </c>
      <c r="O2720" s="38">
        <v>5613</v>
      </c>
      <c r="P2720" s="6"/>
      <c r="Q2720" s="481"/>
      <c r="S2720" s="489"/>
      <c r="T2720" s="113"/>
      <c r="U2720" s="500"/>
      <c r="V2720" s="494">
        <v>120</v>
      </c>
      <c r="W2720" s="2041" t="e">
        <f t="shared" si="172"/>
        <v>#VALUE!</v>
      </c>
    </row>
    <row r="2721" spans="1:23" ht="15.75">
      <c r="B2721" s="28" t="s">
        <v>1856</v>
      </c>
      <c r="C2721" s="6" t="s">
        <v>6407</v>
      </c>
      <c r="D2721" s="15" t="s">
        <v>6317</v>
      </c>
      <c r="E2721" s="24" t="s">
        <v>6406</v>
      </c>
      <c r="F2721" s="26"/>
      <c r="G2721" s="24" t="s">
        <v>6320</v>
      </c>
      <c r="H2721" s="67"/>
      <c r="I2721" s="68"/>
      <c r="J2721" s="67">
        <v>10</v>
      </c>
      <c r="K2721" s="25">
        <v>1.86</v>
      </c>
      <c r="L2721" s="46">
        <f>K2721*J2721</f>
        <v>18.600000000000001</v>
      </c>
      <c r="M2721" s="162" t="s">
        <v>2219</v>
      </c>
      <c r="N2721" s="39">
        <v>45223</v>
      </c>
      <c r="O2721" s="38">
        <v>5613</v>
      </c>
      <c r="P2721" s="46">
        <f>K2721*(VLOOKUP(B2721,$C$2:$F$6,3,FALSE))</f>
        <v>1.6368</v>
      </c>
      <c r="Q2721" s="483">
        <v>1.64</v>
      </c>
      <c r="R2721" s="704">
        <f>Q2721*J2721</f>
        <v>16.399999999999999</v>
      </c>
      <c r="S2721" s="489">
        <v>128</v>
      </c>
      <c r="T2721" s="113">
        <f>S2721*J2721</f>
        <v>1280</v>
      </c>
      <c r="U2721" s="1863"/>
      <c r="V2721" s="494">
        <v>120</v>
      </c>
      <c r="W2721" s="2041">
        <f t="shared" si="172"/>
        <v>0.42652329749103945</v>
      </c>
    </row>
    <row r="2722" spans="1:23" s="7" customFormat="1" ht="15" customHeight="1">
      <c r="A2722" s="1"/>
      <c r="B2722" s="12"/>
      <c r="C2722" s="6" t="s">
        <v>6407</v>
      </c>
      <c r="D2722" s="15" t="s">
        <v>6317</v>
      </c>
      <c r="E2722" s="24"/>
      <c r="F2722" s="44"/>
      <c r="G2722" s="44" t="s">
        <v>1949</v>
      </c>
      <c r="H2722" s="45"/>
      <c r="I2722" s="152" ph="1"/>
      <c r="J2722" s="45">
        <v>1</v>
      </c>
      <c r="K2722" s="46">
        <v>12</v>
      </c>
      <c r="L2722" s="46">
        <f>K2722*J2722</f>
        <v>12</v>
      </c>
      <c r="M2722" s="112"/>
      <c r="N2722" s="39">
        <v>45223</v>
      </c>
      <c r="O2722" s="38">
        <v>5613</v>
      </c>
      <c r="P2722" s="6"/>
      <c r="Q2722" s="483">
        <v>12</v>
      </c>
      <c r="R2722" s="704">
        <f>Q2722*J2722</f>
        <v>12</v>
      </c>
      <c r="S2722" s="489">
        <v>900</v>
      </c>
      <c r="T2722" s="113">
        <f>S2722*J2722</f>
        <v>900</v>
      </c>
      <c r="U2722" s="501"/>
      <c r="V2722" s="494">
        <v>120</v>
      </c>
      <c r="W2722" s="2041">
        <f t="shared" si="172"/>
        <v>0.375</v>
      </c>
    </row>
    <row r="2723" spans="1:23" s="314" customFormat="1" ht="15" customHeight="1">
      <c r="A2723" s="1"/>
      <c r="B2723" s="313"/>
      <c r="C2723" s="302" t="s">
        <v>6407</v>
      </c>
      <c r="D2723" s="303" t="s">
        <v>6317</v>
      </c>
      <c r="E2723" s="304"/>
      <c r="F2723" s="305"/>
      <c r="G2723" s="305" t="s">
        <v>1227</v>
      </c>
      <c r="H2723" s="307" t="s">
        <v>1228</v>
      </c>
      <c r="I2723" s="308"/>
      <c r="J2723" s="306"/>
      <c r="K2723" s="316">
        <v>0</v>
      </c>
      <c r="L2723" s="310"/>
      <c r="M2723" s="310"/>
      <c r="N2723" s="310">
        <v>45223</v>
      </c>
      <c r="O2723" s="309">
        <v>5613</v>
      </c>
      <c r="P2723" s="302"/>
      <c r="Q2723" s="485">
        <v>0</v>
      </c>
      <c r="S2723" s="536">
        <v>0</v>
      </c>
      <c r="T2723" s="322">
        <v>0</v>
      </c>
      <c r="U2723" s="515"/>
      <c r="V2723" s="494">
        <v>120</v>
      </c>
      <c r="W2723" s="2041" t="e">
        <f t="shared" si="172"/>
        <v>#DIV/0!</v>
      </c>
    </row>
    <row r="2724" spans="1:23" s="7" customFormat="1" ht="15" customHeight="1">
      <c r="B2724" s="12"/>
      <c r="C2724" s="6" t="s">
        <v>6408</v>
      </c>
      <c r="D2724" s="15" t="s">
        <v>958</v>
      </c>
      <c r="E2724" s="20" t="s">
        <v>628</v>
      </c>
      <c r="F2724" s="26"/>
      <c r="G2724" s="24"/>
      <c r="H2724" s="67"/>
      <c r="I2724" s="68"/>
      <c r="J2724" s="67"/>
      <c r="K2724" s="17" t="s">
        <v>134</v>
      </c>
      <c r="L2724" s="39"/>
      <c r="M2724" s="39"/>
      <c r="N2724" s="39">
        <v>45237</v>
      </c>
      <c r="O2724" s="38">
        <v>5616</v>
      </c>
      <c r="P2724" s="179" t="s">
        <v>23</v>
      </c>
      <c r="Q2724" s="438" t="s">
        <v>959</v>
      </c>
      <c r="R2724" s="704"/>
      <c r="S2724" s="489"/>
      <c r="T2724" s="113"/>
      <c r="U2724" s="510"/>
      <c r="V2724" s="494">
        <v>120</v>
      </c>
      <c r="W2724" s="2041" t="e">
        <f t="shared" si="172"/>
        <v>#VALUE!</v>
      </c>
    </row>
    <row r="2725" spans="1:23" s="7" customFormat="1" ht="18" customHeight="1">
      <c r="B2725" s="12" t="s">
        <v>1856</v>
      </c>
      <c r="C2725" s="6" t="s">
        <v>6408</v>
      </c>
      <c r="D2725" s="15" t="s">
        <v>958</v>
      </c>
      <c r="E2725" s="24">
        <v>5291</v>
      </c>
      <c r="F2725" s="26">
        <v>6</v>
      </c>
      <c r="G2725" s="24" t="s">
        <v>29</v>
      </c>
      <c r="H2725" s="67">
        <v>50</v>
      </c>
      <c r="I2725" s="68">
        <v>8</v>
      </c>
      <c r="J2725" s="67">
        <f>H2725*I2725</f>
        <v>400</v>
      </c>
      <c r="K2725" s="46">
        <v>0.51</v>
      </c>
      <c r="L2725" s="46">
        <f>K2725*J2725</f>
        <v>204</v>
      </c>
      <c r="M2725" s="162" t="s">
        <v>2219</v>
      </c>
      <c r="N2725" s="39">
        <v>45237</v>
      </c>
      <c r="O2725" s="38">
        <v>5616</v>
      </c>
      <c r="P2725" s="180">
        <v>0.24</v>
      </c>
      <c r="Q2725" s="180">
        <v>0.24</v>
      </c>
      <c r="R2725" s="704">
        <f>Q2725*J2725</f>
        <v>96</v>
      </c>
      <c r="S2725" s="489">
        <v>14.6</v>
      </c>
      <c r="T2725" s="113">
        <f>S2725*J2725</f>
        <v>5840</v>
      </c>
      <c r="U2725" s="867"/>
      <c r="V2725" s="494">
        <v>120</v>
      </c>
      <c r="W2725" s="2041">
        <f t="shared" si="172"/>
        <v>0.76143790849673199</v>
      </c>
    </row>
    <row r="2726" spans="1:23" s="7" customFormat="1" ht="18" customHeight="1">
      <c r="B2726" s="12" t="s">
        <v>1856</v>
      </c>
      <c r="C2726" s="6" t="s">
        <v>6408</v>
      </c>
      <c r="D2726" s="15" t="s">
        <v>958</v>
      </c>
      <c r="E2726" s="24">
        <v>5291</v>
      </c>
      <c r="F2726" s="26">
        <v>6</v>
      </c>
      <c r="G2726" s="24" t="s">
        <v>499</v>
      </c>
      <c r="H2726" s="67">
        <v>50</v>
      </c>
      <c r="I2726" s="68">
        <v>2</v>
      </c>
      <c r="J2726" s="67">
        <f>H2726*I2726</f>
        <v>100</v>
      </c>
      <c r="K2726" s="46">
        <v>0.51</v>
      </c>
      <c r="L2726" s="46">
        <f>K2726*J2726</f>
        <v>51</v>
      </c>
      <c r="M2726" s="162" t="s">
        <v>2219</v>
      </c>
      <c r="N2726" s="39">
        <v>45237</v>
      </c>
      <c r="O2726" s="38">
        <v>5616</v>
      </c>
      <c r="P2726" s="180">
        <v>0.24</v>
      </c>
      <c r="Q2726" s="180">
        <v>0.24</v>
      </c>
      <c r="R2726" s="704">
        <f>Q2726*J2726</f>
        <v>24</v>
      </c>
      <c r="S2726" s="489">
        <v>14.6</v>
      </c>
      <c r="T2726" s="113">
        <f>S2726*J2726</f>
        <v>1460</v>
      </c>
      <c r="U2726" s="867"/>
      <c r="V2726" s="494">
        <v>120</v>
      </c>
      <c r="W2726" s="2041">
        <f t="shared" si="172"/>
        <v>0.76143790849673199</v>
      </c>
    </row>
    <row r="2727" spans="1:23" ht="15.95" customHeight="1">
      <c r="C2727" s="6" t="s">
        <v>6408</v>
      </c>
      <c r="D2727" s="15" t="s">
        <v>958</v>
      </c>
      <c r="E2727" s="24"/>
      <c r="F2727" s="138"/>
      <c r="G2727" s="44" t="s">
        <v>1993</v>
      </c>
      <c r="H2727" s="8"/>
      <c r="I2727" s="41"/>
      <c r="J2727" s="45">
        <v>1</v>
      </c>
      <c r="K2727" s="46">
        <v>10</v>
      </c>
      <c r="L2727" s="46">
        <v>0</v>
      </c>
      <c r="M2727" s="112"/>
      <c r="N2727" s="39">
        <v>45237</v>
      </c>
      <c r="O2727" s="38">
        <v>5616</v>
      </c>
      <c r="P2727" s="179"/>
      <c r="Q2727" s="180">
        <v>10</v>
      </c>
      <c r="R2727" s="180">
        <v>10</v>
      </c>
      <c r="S2727" s="498">
        <v>850</v>
      </c>
      <c r="T2727" s="568">
        <f>S2727*J2727</f>
        <v>850</v>
      </c>
      <c r="U2727" s="511"/>
      <c r="V2727" s="494">
        <v>120</v>
      </c>
      <c r="W2727" s="2041">
        <f t="shared" si="172"/>
        <v>0.29166666666666669</v>
      </c>
    </row>
    <row r="2728" spans="1:23" s="314" customFormat="1" ht="15" customHeight="1">
      <c r="B2728" s="313"/>
      <c r="C2728" s="302" t="s">
        <v>6408</v>
      </c>
      <c r="D2728" s="303" t="s">
        <v>958</v>
      </c>
      <c r="E2728" s="304"/>
      <c r="F2728" s="305"/>
      <c r="G2728" s="305" t="s">
        <v>1227</v>
      </c>
      <c r="H2728" s="410"/>
      <c r="I2728" s="308"/>
      <c r="J2728" s="410">
        <v>500</v>
      </c>
      <c r="K2728" s="315">
        <f>0.24*500</f>
        <v>120</v>
      </c>
      <c r="L2728" s="315"/>
      <c r="M2728" s="784"/>
      <c r="N2728" s="310">
        <v>45237</v>
      </c>
      <c r="O2728" s="309">
        <v>5616</v>
      </c>
      <c r="P2728" s="302"/>
      <c r="Q2728" s="315">
        <f>K2728-Q2727</f>
        <v>110</v>
      </c>
      <c r="R2728" s="315">
        <v>110</v>
      </c>
      <c r="S2728" s="2094">
        <v>6415</v>
      </c>
      <c r="T2728" s="2094">
        <v>6415</v>
      </c>
      <c r="U2728" s="1084"/>
      <c r="V2728" s="494">
        <v>120</v>
      </c>
      <c r="W2728" s="2041">
        <f t="shared" si="172"/>
        <v>0.55451388888888886</v>
      </c>
    </row>
    <row r="2729" spans="1:23" s="7" customFormat="1" ht="18" customHeight="1">
      <c r="B2729" s="12"/>
      <c r="C2729" s="6" t="s">
        <v>6426</v>
      </c>
      <c r="D2729" s="15" t="s">
        <v>11</v>
      </c>
      <c r="E2729" s="20" t="s">
        <v>27</v>
      </c>
      <c r="F2729" s="150"/>
      <c r="G2729" s="24"/>
      <c r="H2729" s="151"/>
      <c r="I2729" s="152"/>
      <c r="J2729" s="151"/>
      <c r="K2729" s="34" t="s">
        <v>10</v>
      </c>
      <c r="L2729" s="39"/>
      <c r="M2729" s="39"/>
      <c r="N2729" s="39">
        <v>45264</v>
      </c>
      <c r="O2729" s="38">
        <v>5723</v>
      </c>
      <c r="P2729" s="15"/>
      <c r="Q2729" s="483"/>
      <c r="S2729" s="2080"/>
      <c r="T2729" s="113"/>
      <c r="U2729" s="506"/>
      <c r="V2729" s="494">
        <v>120</v>
      </c>
    </row>
    <row r="2730" spans="1:23" s="7" customFormat="1" ht="15.75">
      <c r="B2730" s="12" t="s">
        <v>1858</v>
      </c>
      <c r="C2730" s="6" t="s">
        <v>6426</v>
      </c>
      <c r="D2730" s="15" t="s">
        <v>11</v>
      </c>
      <c r="E2730" s="24" t="s">
        <v>536</v>
      </c>
      <c r="F2730" s="150">
        <v>160</v>
      </c>
      <c r="G2730" s="24" t="s">
        <v>6307</v>
      </c>
      <c r="H2730" s="67">
        <v>50</v>
      </c>
      <c r="I2730" s="68">
        <v>1</v>
      </c>
      <c r="J2730" s="8">
        <f>H2730*I2730</f>
        <v>50</v>
      </c>
      <c r="K2730" s="25">
        <v>5</v>
      </c>
      <c r="L2730" s="46">
        <f>K2730*J2730</f>
        <v>250</v>
      </c>
      <c r="M2730" s="162" t="s">
        <v>2219</v>
      </c>
      <c r="N2730" s="39">
        <v>45264</v>
      </c>
      <c r="O2730" s="38">
        <v>5723</v>
      </c>
      <c r="P2730" s="46">
        <f>K2730*(VLOOKUP(B2730,$C$2:$F$6,3,FALSE))</f>
        <v>4.6999999999999993</v>
      </c>
      <c r="Q2730" s="483">
        <v>4.7</v>
      </c>
      <c r="R2730" s="704">
        <f>Q2730*J2730</f>
        <v>235</v>
      </c>
      <c r="S2730" s="532">
        <v>380</v>
      </c>
      <c r="T2730" s="567">
        <f>S2730*J2730</f>
        <v>19000</v>
      </c>
      <c r="U2730" s="501"/>
      <c r="V2730" s="494">
        <v>120</v>
      </c>
      <c r="W2730" s="2041">
        <f>(((K2730*V2730)-S2730)/(K2730*V2730))</f>
        <v>0.36666666666666664</v>
      </c>
    </row>
    <row r="2731" spans="1:23" s="7" customFormat="1" ht="15.75">
      <c r="B2731" s="12" t="s">
        <v>1858</v>
      </c>
      <c r="C2731" s="6" t="s">
        <v>6426</v>
      </c>
      <c r="D2731" s="15" t="s">
        <v>11</v>
      </c>
      <c r="E2731" s="24" t="s">
        <v>536</v>
      </c>
      <c r="F2731" s="150">
        <v>160</v>
      </c>
      <c r="G2731" s="24" t="s">
        <v>6307</v>
      </c>
      <c r="H2731" s="67">
        <v>51</v>
      </c>
      <c r="I2731" s="68">
        <v>1</v>
      </c>
      <c r="J2731" s="8">
        <f>H2731*I2731</f>
        <v>51</v>
      </c>
      <c r="K2731" s="25">
        <v>5</v>
      </c>
      <c r="L2731" s="46">
        <f>K2731*J2731</f>
        <v>255</v>
      </c>
      <c r="M2731" s="162" t="s">
        <v>2219</v>
      </c>
      <c r="N2731" s="39">
        <v>45264</v>
      </c>
      <c r="O2731" s="38">
        <v>5723</v>
      </c>
      <c r="P2731" s="46">
        <f>K2731*(VLOOKUP(B2731,$C$2:$F$6,3,FALSE))</f>
        <v>4.6999999999999993</v>
      </c>
      <c r="Q2731" s="483">
        <v>4.7</v>
      </c>
      <c r="R2731" s="704">
        <f>Q2731*J2731</f>
        <v>239.70000000000002</v>
      </c>
      <c r="S2731" s="532">
        <v>380</v>
      </c>
      <c r="T2731" s="567">
        <f>S2731*J2731</f>
        <v>19380</v>
      </c>
      <c r="U2731" s="501"/>
      <c r="V2731" s="494">
        <v>120</v>
      </c>
      <c r="W2731" s="2041">
        <f>(((K2731*V2731)-S2731)/(K2731*V2731))</f>
        <v>0.36666666666666664</v>
      </c>
    </row>
    <row r="2732" spans="1:23" s="7" customFormat="1" ht="15.75">
      <c r="B2732" s="12" t="s">
        <v>1858</v>
      </c>
      <c r="C2732" s="6" t="s">
        <v>6426</v>
      </c>
      <c r="D2732" s="15" t="s">
        <v>11</v>
      </c>
      <c r="E2732" s="24" t="s">
        <v>536</v>
      </c>
      <c r="F2732" s="150">
        <v>160</v>
      </c>
      <c r="G2732" s="24" t="s">
        <v>859</v>
      </c>
      <c r="H2732" s="67">
        <v>50</v>
      </c>
      <c r="I2732" s="68">
        <v>2</v>
      </c>
      <c r="J2732" s="8">
        <f>H2732*I2732</f>
        <v>100</v>
      </c>
      <c r="K2732" s="25">
        <v>5</v>
      </c>
      <c r="L2732" s="46">
        <f>K2732*J2732</f>
        <v>500</v>
      </c>
      <c r="M2732" s="162" t="s">
        <v>2218</v>
      </c>
      <c r="N2732" s="39">
        <v>45264</v>
      </c>
      <c r="O2732" s="38">
        <v>5723</v>
      </c>
      <c r="P2732" s="46">
        <f>K2732*(VLOOKUP(B2732,$C$2:$F$6,3,FALSE))</f>
        <v>4.6999999999999993</v>
      </c>
      <c r="Q2732" s="483">
        <v>4.7</v>
      </c>
      <c r="R2732" s="704">
        <f>Q2732*J2732</f>
        <v>470</v>
      </c>
      <c r="S2732" s="532">
        <v>380</v>
      </c>
      <c r="T2732" s="567">
        <f>S2732*J2732</f>
        <v>38000</v>
      </c>
      <c r="U2732" s="501"/>
      <c r="V2732" s="494">
        <v>120</v>
      </c>
      <c r="W2732" s="2041">
        <f>(((K2732*V2732)-S2732)/(K2732*V2732))</f>
        <v>0.36666666666666664</v>
      </c>
    </row>
    <row r="2733" spans="1:23" s="217" customFormat="1" ht="15.95" customHeight="1">
      <c r="B2733" s="539"/>
      <c r="C2733" s="216" t="s">
        <v>6426</v>
      </c>
      <c r="D2733" s="109" t="s">
        <v>11</v>
      </c>
      <c r="E2733" s="228"/>
      <c r="F2733" s="160"/>
      <c r="G2733" s="42" t="s">
        <v>1993</v>
      </c>
      <c r="H2733" s="214"/>
      <c r="I2733" s="215"/>
      <c r="J2733" s="43">
        <v>1</v>
      </c>
      <c r="K2733" s="229">
        <v>20</v>
      </c>
      <c r="L2733" s="229">
        <v>0</v>
      </c>
      <c r="M2733" s="969"/>
      <c r="N2733" s="39">
        <v>45264</v>
      </c>
      <c r="O2733" s="38">
        <v>5723</v>
      </c>
      <c r="P2733" s="692"/>
      <c r="Q2733" s="970">
        <v>0</v>
      </c>
      <c r="R2733" s="970">
        <v>0</v>
      </c>
      <c r="S2733" s="498">
        <v>1800</v>
      </c>
      <c r="T2733" s="568">
        <f>S2733*J2733</f>
        <v>1800</v>
      </c>
      <c r="U2733" s="667"/>
      <c r="V2733" s="547">
        <v>120</v>
      </c>
      <c r="W2733" s="2051">
        <f>(((K2733*V2733)-S2733)/(K2733*V2733))</f>
        <v>0.25</v>
      </c>
    </row>
    <row r="2734" spans="1:23" s="314" customFormat="1" ht="15" customHeight="1">
      <c r="A2734" s="1"/>
      <c r="B2734" s="313"/>
      <c r="C2734" s="302" t="s">
        <v>6426</v>
      </c>
      <c r="D2734" s="303" t="s">
        <v>11</v>
      </c>
      <c r="E2734" s="304"/>
      <c r="F2734" s="305"/>
      <c r="G2734" s="305" t="s">
        <v>1227</v>
      </c>
      <c r="H2734" s="307" t="s">
        <v>1228</v>
      </c>
      <c r="I2734" s="308"/>
      <c r="J2734" s="306"/>
      <c r="K2734" s="316">
        <v>0</v>
      </c>
      <c r="L2734" s="310"/>
      <c r="M2734" s="310"/>
      <c r="N2734" s="310">
        <v>45264</v>
      </c>
      <c r="O2734" s="309">
        <v>5723</v>
      </c>
      <c r="P2734" s="302"/>
      <c r="Q2734" s="485">
        <v>0</v>
      </c>
      <c r="S2734" s="536">
        <v>0</v>
      </c>
      <c r="T2734" s="322">
        <v>0</v>
      </c>
      <c r="U2734" s="515"/>
      <c r="V2734" s="494">
        <v>120</v>
      </c>
      <c r="W2734" s="2041" t="e">
        <f>(((K2734*V2734)-S2734)/(K2734*V2734))</f>
        <v>#DIV/0!</v>
      </c>
    </row>
    <row r="2735" spans="1:23" s="7" customFormat="1" ht="18" customHeight="1">
      <c r="B2735" s="12"/>
      <c r="C2735" s="6" t="s">
        <v>6433</v>
      </c>
      <c r="D2735" s="15" t="s">
        <v>5353</v>
      </c>
      <c r="E2735" s="20" t="s">
        <v>27</v>
      </c>
      <c r="F2735" s="150"/>
      <c r="G2735" s="24"/>
      <c r="H2735" s="151"/>
      <c r="I2735" s="152"/>
      <c r="J2735" s="151"/>
      <c r="K2735" s="153" t="s">
        <v>10</v>
      </c>
      <c r="L2735" s="213"/>
      <c r="M2735" s="39"/>
      <c r="N2735" s="39">
        <v>45260</v>
      </c>
      <c r="O2735" s="38">
        <v>5704</v>
      </c>
      <c r="P2735" s="15"/>
      <c r="Q2735" s="703"/>
      <c r="U2735" s="15"/>
      <c r="V2735" s="494">
        <v>120</v>
      </c>
    </row>
    <row r="2736" spans="1:23" s="7" customFormat="1" ht="18" customHeight="1">
      <c r="B2736" s="12" t="s">
        <v>1858</v>
      </c>
      <c r="C2736" s="6" t="s">
        <v>6433</v>
      </c>
      <c r="D2736" s="15" t="s">
        <v>5353</v>
      </c>
      <c r="E2736" s="24" t="s">
        <v>738</v>
      </c>
      <c r="F2736" s="150">
        <v>152</v>
      </c>
      <c r="G2736" s="24" t="s">
        <v>30</v>
      </c>
      <c r="H2736" s="151">
        <v>30</v>
      </c>
      <c r="I2736" s="152">
        <v>1</v>
      </c>
      <c r="J2736" s="8">
        <f>I2736*H2736</f>
        <v>30</v>
      </c>
      <c r="K2736" s="46">
        <v>4.45</v>
      </c>
      <c r="L2736" s="46">
        <f>K2736*J2736</f>
        <v>133.5</v>
      </c>
      <c r="M2736" s="1336" t="s">
        <v>2218</v>
      </c>
      <c r="N2736" s="39">
        <v>45260</v>
      </c>
      <c r="O2736" s="38">
        <v>5704</v>
      </c>
      <c r="P2736" s="46">
        <f>K2736*(VLOOKUP(B2736,$C$2:$F$6,3,FALSE))</f>
        <v>4.1829999999999998</v>
      </c>
      <c r="Q2736" s="703">
        <v>4.18</v>
      </c>
      <c r="R2736" s="703">
        <f>Q2736*J2736</f>
        <v>125.39999999999999</v>
      </c>
      <c r="S2736" s="7">
        <v>340</v>
      </c>
      <c r="T2736" s="7">
        <f>S2736*J2736</f>
        <v>10200</v>
      </c>
      <c r="U2736" s="23"/>
      <c r="V2736" s="494">
        <v>120</v>
      </c>
      <c r="W2736" s="2041">
        <f>(((K2736*V2736)-S2736)/(K2736*V2736))</f>
        <v>0.36329588014981273</v>
      </c>
    </row>
    <row r="2737" spans="2:23" s="7" customFormat="1" ht="18" customHeight="1">
      <c r="B2737" s="12"/>
      <c r="C2737" s="6" t="s">
        <v>6433</v>
      </c>
      <c r="D2737" s="15" t="s">
        <v>5353</v>
      </c>
      <c r="E2737" s="238"/>
      <c r="F2737" s="44"/>
      <c r="G2737" s="24" t="s">
        <v>5355</v>
      </c>
      <c r="H2737" s="8"/>
      <c r="I2737" s="152" ph="1"/>
      <c r="J2737" s="45">
        <v>1</v>
      </c>
      <c r="K2737" s="46">
        <v>12</v>
      </c>
      <c r="L2737" s="46">
        <f>K2737*J2737</f>
        <v>12</v>
      </c>
      <c r="M2737" s="112"/>
      <c r="N2737" s="39">
        <v>45260</v>
      </c>
      <c r="O2737" s="38">
        <v>5704</v>
      </c>
      <c r="P2737" s="46"/>
      <c r="Q2737" s="703">
        <v>12</v>
      </c>
      <c r="R2737" s="703">
        <f>Q2737*J2737</f>
        <v>12</v>
      </c>
      <c r="S2737" s="7">
        <v>0</v>
      </c>
      <c r="T2737" s="7">
        <f>S2737*J2737</f>
        <v>0</v>
      </c>
      <c r="U2737" s="23"/>
      <c r="V2737" s="494">
        <v>120</v>
      </c>
      <c r="W2737" s="2041">
        <f>(((K2737*V2737)-S2737)/(K2737*V2737))</f>
        <v>1</v>
      </c>
    </row>
    <row r="2738" spans="2:23" s="7" customFormat="1" ht="18" customHeight="1">
      <c r="B2738" s="12"/>
      <c r="C2738" s="6" t="s">
        <v>6433</v>
      </c>
      <c r="D2738" s="15" t="s">
        <v>5353</v>
      </c>
      <c r="E2738" s="238"/>
      <c r="F2738" s="44"/>
      <c r="G2738" s="24" t="s">
        <v>2975</v>
      </c>
      <c r="H2738" s="8"/>
      <c r="I2738" s="152" ph="1"/>
      <c r="J2738" s="45">
        <v>1</v>
      </c>
      <c r="K2738" s="46">
        <v>20</v>
      </c>
      <c r="L2738" s="46">
        <f>K2738*J2738</f>
        <v>20</v>
      </c>
      <c r="M2738" s="112"/>
      <c r="N2738" s="39">
        <v>45260</v>
      </c>
      <c r="O2738" s="38">
        <v>5704</v>
      </c>
      <c r="P2738" s="6"/>
      <c r="Q2738" s="703">
        <v>20</v>
      </c>
      <c r="R2738" s="703">
        <f>Q2738*J2738</f>
        <v>20</v>
      </c>
      <c r="S2738" s="7">
        <v>1000</v>
      </c>
      <c r="T2738" s="7">
        <f>S2738*J2738</f>
        <v>1000</v>
      </c>
      <c r="U2738" s="23"/>
      <c r="V2738" s="494">
        <v>120</v>
      </c>
    </row>
    <row r="2739" spans="2:23" s="314" customFormat="1" ht="18" customHeight="1">
      <c r="B2739" s="313"/>
      <c r="C2739" s="302" t="s">
        <v>6433</v>
      </c>
      <c r="D2739" s="303" t="s">
        <v>5353</v>
      </c>
      <c r="E2739" s="371"/>
      <c r="F2739" s="305"/>
      <c r="G2739" s="305" t="s">
        <v>1227</v>
      </c>
      <c r="H2739" s="307" t="s">
        <v>1228</v>
      </c>
      <c r="I2739" s="308"/>
      <c r="J2739" s="306"/>
      <c r="K2739" s="315">
        <v>0</v>
      </c>
      <c r="L2739" s="310"/>
      <c r="M2739" s="310"/>
      <c r="N2739" s="310">
        <v>45260</v>
      </c>
      <c r="O2739" s="309">
        <v>5704</v>
      </c>
      <c r="P2739" s="302"/>
      <c r="Q2739" s="531">
        <v>0</v>
      </c>
      <c r="S2739" s="535">
        <v>0</v>
      </c>
      <c r="T2739" s="322">
        <v>0</v>
      </c>
      <c r="U2739" s="1115"/>
      <c r="V2739" s="494">
        <v>120</v>
      </c>
    </row>
    <row r="2740" spans="2:23" s="7" customFormat="1" ht="18" customHeight="1">
      <c r="B2740" s="12"/>
      <c r="C2740" s="6" t="s">
        <v>6437</v>
      </c>
      <c r="D2740" s="15" t="s">
        <v>8</v>
      </c>
      <c r="E2740" s="20" t="s">
        <v>6436</v>
      </c>
      <c r="F2740" s="26"/>
      <c r="G2740" s="24"/>
      <c r="H2740" s="67"/>
      <c r="I2740" s="68"/>
      <c r="J2740" s="67"/>
      <c r="K2740" s="17" t="s">
        <v>10</v>
      </c>
      <c r="L2740" s="213"/>
      <c r="M2740" s="39"/>
      <c r="N2740" s="39">
        <v>45240</v>
      </c>
      <c r="O2740" s="38">
        <v>5658</v>
      </c>
      <c r="P2740" s="6" t="s">
        <v>3</v>
      </c>
      <c r="Q2740" s="910"/>
      <c r="U2740" s="175"/>
      <c r="V2740" s="494">
        <v>120</v>
      </c>
      <c r="W2740" s="2041" t="e">
        <f>(((K2740*V2740)-S2740)/(K2740*V2740))</f>
        <v>#VALUE!</v>
      </c>
    </row>
    <row r="2741" spans="2:23" s="7" customFormat="1" ht="43.5" customHeight="1">
      <c r="B2741" s="12" t="s">
        <v>1856</v>
      </c>
      <c r="C2741" s="6" t="s">
        <v>6437</v>
      </c>
      <c r="D2741" s="15" t="s">
        <v>8</v>
      </c>
      <c r="E2741" s="24" t="s">
        <v>6409</v>
      </c>
      <c r="F2741" s="2098" t="s">
        <v>6435</v>
      </c>
      <c r="G2741" s="24" t="s">
        <v>6438</v>
      </c>
      <c r="H2741" s="151">
        <v>25</v>
      </c>
      <c r="I2741" s="2097">
        <v>1</v>
      </c>
      <c r="J2741" s="8">
        <f>I2741*H2741</f>
        <v>25</v>
      </c>
      <c r="K2741" s="46">
        <v>2.85</v>
      </c>
      <c r="L2741" s="46">
        <f>K2741*J2741</f>
        <v>71.25</v>
      </c>
      <c r="M2741" s="162" t="s">
        <v>2219</v>
      </c>
      <c r="N2741" s="39">
        <v>45240</v>
      </c>
      <c r="O2741" s="38">
        <v>5658</v>
      </c>
      <c r="P2741" s="46">
        <f>K2741*(VLOOKUP(B2741,$C$2:$F$6,3,FALSE))</f>
        <v>2.508</v>
      </c>
      <c r="Q2741" s="703">
        <v>2.5099999999999998</v>
      </c>
      <c r="R2741" s="703">
        <f>Q2741*J2741</f>
        <v>62.749999999999993</v>
      </c>
      <c r="S2741" s="7">
        <v>191</v>
      </c>
      <c r="T2741" s="7">
        <f>S2741*J2741</f>
        <v>4775</v>
      </c>
      <c r="U2741" s="1059"/>
      <c r="V2741" s="494">
        <v>120</v>
      </c>
      <c r="W2741" s="2041">
        <f>(((K2741*V2741)-S2741)/(K2741*V2741))</f>
        <v>0.44152046783625731</v>
      </c>
    </row>
    <row r="2742" spans="2:23" s="7" customFormat="1" ht="18" customHeight="1">
      <c r="B2742" s="12"/>
      <c r="C2742" s="6" t="s">
        <v>6437</v>
      </c>
      <c r="D2742" s="15" t="s">
        <v>8</v>
      </c>
      <c r="E2742" s="238"/>
      <c r="F2742" s="44"/>
      <c r="G2742" s="24" t="s">
        <v>2975</v>
      </c>
      <c r="H2742" s="8"/>
      <c r="I2742" s="152" ph="1"/>
      <c r="J2742" s="45">
        <v>1</v>
      </c>
      <c r="K2742" s="46">
        <v>12</v>
      </c>
      <c r="L2742" s="46">
        <f>K2742*J2742</f>
        <v>12</v>
      </c>
      <c r="M2742" s="112"/>
      <c r="N2742" s="39">
        <v>45240</v>
      </c>
      <c r="O2742" s="38">
        <v>5658</v>
      </c>
      <c r="P2742" s="6"/>
      <c r="Q2742" s="703">
        <v>12</v>
      </c>
      <c r="R2742" s="703">
        <f>Q2742*J2742</f>
        <v>12</v>
      </c>
      <c r="S2742" s="7">
        <v>600</v>
      </c>
      <c r="T2742" s="7">
        <f>S2742*J2742</f>
        <v>600</v>
      </c>
      <c r="U2742" s="23"/>
      <c r="V2742" s="494">
        <v>120</v>
      </c>
    </row>
    <row r="2743" spans="2:23" s="314" customFormat="1" ht="18" customHeight="1">
      <c r="B2743" s="313"/>
      <c r="C2743" s="302" t="s">
        <v>6437</v>
      </c>
      <c r="D2743" s="303" t="s">
        <v>8</v>
      </c>
      <c r="E2743" s="371"/>
      <c r="F2743" s="305"/>
      <c r="G2743" s="305" t="s">
        <v>1227</v>
      </c>
      <c r="H2743" s="307" t="s">
        <v>1228</v>
      </c>
      <c r="I2743" s="308"/>
      <c r="J2743" s="306"/>
      <c r="K2743" s="315">
        <v>0</v>
      </c>
      <c r="L2743" s="310"/>
      <c r="M2743" s="310"/>
      <c r="N2743" s="310">
        <v>45240</v>
      </c>
      <c r="O2743" s="309">
        <v>5658</v>
      </c>
      <c r="P2743" s="302"/>
      <c r="Q2743" s="531">
        <v>0</v>
      </c>
      <c r="S2743" s="535">
        <v>0</v>
      </c>
      <c r="T2743" s="322">
        <v>0</v>
      </c>
      <c r="U2743" s="1115"/>
      <c r="V2743" s="494">
        <v>120</v>
      </c>
    </row>
    <row r="2744" spans="2:23" s="80" customFormat="1" ht="15" customHeight="1">
      <c r="B2744" s="540"/>
      <c r="C2744" s="76" t="s">
        <v>6441</v>
      </c>
      <c r="D2744" s="77" t="s">
        <v>6442</v>
      </c>
      <c r="E2744" s="252" t="s">
        <v>628</v>
      </c>
      <c r="F2744" s="78"/>
      <c r="G2744" s="79"/>
      <c r="H2744" s="247"/>
      <c r="I2744" s="248"/>
      <c r="J2744" s="247"/>
      <c r="K2744" s="426" t="s">
        <v>134</v>
      </c>
      <c r="L2744" s="576"/>
      <c r="M2744" s="576"/>
      <c r="N2744" s="576"/>
      <c r="O2744" s="427"/>
      <c r="P2744" s="2113" t="s">
        <v>23</v>
      </c>
      <c r="Q2744" s="2114" t="s">
        <v>959</v>
      </c>
      <c r="R2744" s="2115"/>
      <c r="S2744" s="491"/>
      <c r="T2744" s="563"/>
      <c r="U2744" s="2116"/>
      <c r="V2744" s="546">
        <v>120</v>
      </c>
      <c r="W2744" s="2117" t="e">
        <f t="shared" ref="W2744:W2749" si="173">(((K2744*V2744)-S2744)/(K2744*V2744))</f>
        <v>#VALUE!</v>
      </c>
    </row>
    <row r="2745" spans="2:23" s="80" customFormat="1" ht="18" customHeight="1">
      <c r="B2745" s="540" t="s">
        <v>1856</v>
      </c>
      <c r="C2745" s="76" t="s">
        <v>6441</v>
      </c>
      <c r="D2745" s="77" t="s">
        <v>6442</v>
      </c>
      <c r="E2745" s="249">
        <v>5291</v>
      </c>
      <c r="F2745" s="78">
        <v>6</v>
      </c>
      <c r="G2745" s="79" t="s">
        <v>29</v>
      </c>
      <c r="H2745" s="247">
        <v>50</v>
      </c>
      <c r="I2745" s="248">
        <v>10</v>
      </c>
      <c r="J2745" s="247">
        <f>H2745*I2745</f>
        <v>500</v>
      </c>
      <c r="K2745" s="250">
        <v>0.47</v>
      </c>
      <c r="L2745" s="250">
        <f>K2745*J2745</f>
        <v>235</v>
      </c>
      <c r="M2745" s="2118" t="s">
        <v>2219</v>
      </c>
      <c r="N2745" s="429" t="s">
        <v>96</v>
      </c>
      <c r="O2745" s="427"/>
      <c r="P2745" s="2119">
        <v>0.24</v>
      </c>
      <c r="Q2745" s="2119">
        <v>0.24</v>
      </c>
      <c r="R2745" s="2115">
        <f>Q2745*J2745</f>
        <v>120</v>
      </c>
      <c r="S2745" s="491">
        <v>14.6</v>
      </c>
      <c r="T2745" s="563">
        <f>S2745*J2745</f>
        <v>7300</v>
      </c>
      <c r="U2745" s="2120"/>
      <c r="V2745" s="546">
        <v>120</v>
      </c>
      <c r="W2745" s="2117">
        <f t="shared" si="173"/>
        <v>0.74113475177304966</v>
      </c>
    </row>
    <row r="2746" spans="2:23" s="2127" customFormat="1" ht="15.95" customHeight="1">
      <c r="B2746" s="2121"/>
      <c r="C2746" s="76" t="s">
        <v>6441</v>
      </c>
      <c r="D2746" s="77" t="s">
        <v>6442</v>
      </c>
      <c r="E2746" s="79"/>
      <c r="F2746" s="2122"/>
      <c r="G2746" s="616" t="s">
        <v>1993</v>
      </c>
      <c r="H2746" s="256"/>
      <c r="I2746" s="2123"/>
      <c r="J2746" s="619">
        <v>1</v>
      </c>
      <c r="K2746" s="250">
        <v>10</v>
      </c>
      <c r="L2746" s="250">
        <v>0</v>
      </c>
      <c r="M2746" s="783"/>
      <c r="N2746" s="576"/>
      <c r="O2746" s="427"/>
      <c r="P2746" s="2113"/>
      <c r="Q2746" s="2119">
        <v>10</v>
      </c>
      <c r="R2746" s="2119">
        <v>10</v>
      </c>
      <c r="S2746" s="2124">
        <v>850</v>
      </c>
      <c r="T2746" s="2125">
        <f>S2746*J2746</f>
        <v>850</v>
      </c>
      <c r="U2746" s="2126"/>
      <c r="V2746" s="546">
        <v>120</v>
      </c>
      <c r="W2746" s="2117">
        <f t="shared" si="173"/>
        <v>0.29166666666666669</v>
      </c>
    </row>
    <row r="2747" spans="2:23" s="2127" customFormat="1" ht="15" customHeight="1">
      <c r="B2747" s="2121"/>
      <c r="C2747" s="76" t="s">
        <v>6441</v>
      </c>
      <c r="D2747" s="77" t="s">
        <v>6442</v>
      </c>
      <c r="E2747" s="249"/>
      <c r="F2747" s="616"/>
      <c r="G2747" s="616" t="s">
        <v>1227</v>
      </c>
      <c r="H2747" s="256"/>
      <c r="I2747" s="254"/>
      <c r="J2747" s="256">
        <v>500</v>
      </c>
      <c r="K2747" s="250">
        <f>0.2*500</f>
        <v>100</v>
      </c>
      <c r="L2747" s="250"/>
      <c r="M2747" s="783"/>
      <c r="N2747" s="576"/>
      <c r="O2747" s="427"/>
      <c r="P2747" s="76"/>
      <c r="Q2747" s="250">
        <f>K2747-Q2746</f>
        <v>90</v>
      </c>
      <c r="R2747" s="250">
        <v>90</v>
      </c>
      <c r="S2747" s="2128" t="s">
        <v>855</v>
      </c>
      <c r="T2747" s="2128" t="s">
        <v>855</v>
      </c>
      <c r="U2747" s="2129"/>
      <c r="V2747" s="546">
        <v>120</v>
      </c>
      <c r="W2747" s="2117" t="e">
        <f t="shared" si="173"/>
        <v>#VALUE!</v>
      </c>
    </row>
    <row r="2748" spans="2:23" s="7" customFormat="1" ht="15">
      <c r="B2748" s="12"/>
      <c r="C2748" s="6" t="s">
        <v>6463</v>
      </c>
      <c r="D2748" s="15" t="s">
        <v>1666</v>
      </c>
      <c r="E2748" s="20" t="s">
        <v>3490</v>
      </c>
      <c r="F2748" s="26"/>
      <c r="G2748" s="24"/>
      <c r="H2748" s="67"/>
      <c r="I2748" s="68"/>
      <c r="J2748" s="67"/>
      <c r="K2748" s="17" t="s">
        <v>10</v>
      </c>
      <c r="L2748" s="213"/>
      <c r="M2748" s="39"/>
      <c r="N2748" s="39">
        <v>45254</v>
      </c>
      <c r="O2748" s="38">
        <v>5703</v>
      </c>
      <c r="P2748" s="6" t="s">
        <v>3</v>
      </c>
      <c r="Q2748" s="703"/>
      <c r="S2748" s="46"/>
      <c r="U2748" s="23"/>
      <c r="V2748" s="494">
        <v>120</v>
      </c>
      <c r="W2748" s="2041" t="e">
        <f t="shared" si="173"/>
        <v>#VALUE!</v>
      </c>
    </row>
    <row r="2749" spans="2:23" s="7" customFormat="1" ht="15.95" customHeight="1">
      <c r="B2749" s="12"/>
      <c r="C2749" s="6" t="s">
        <v>6463</v>
      </c>
      <c r="D2749" s="15" t="s">
        <v>1666</v>
      </c>
      <c r="E2749" s="24" t="s">
        <v>5493</v>
      </c>
      <c r="F2749" s="44"/>
      <c r="G2749" s="44" t="s">
        <v>6454</v>
      </c>
      <c r="H2749" s="8"/>
      <c r="I2749" s="8"/>
      <c r="J2749" s="198">
        <v>28.5</v>
      </c>
      <c r="K2749" s="46">
        <v>7.94</v>
      </c>
      <c r="L2749" s="46">
        <f>K2749*J2749</f>
        <v>226.29000000000002</v>
      </c>
      <c r="M2749" s="162" t="s">
        <v>3736</v>
      </c>
      <c r="N2749" s="39">
        <v>45254</v>
      </c>
      <c r="O2749" s="38">
        <v>5703</v>
      </c>
      <c r="P2749" s="46">
        <f>K2749*0.92</f>
        <v>7.3048000000000011</v>
      </c>
      <c r="Q2749" s="703">
        <v>7.3</v>
      </c>
      <c r="R2749" s="704">
        <f>Q2749*J2749</f>
        <v>208.04999999999998</v>
      </c>
      <c r="S2749" s="46">
        <f>K2749*0.84</f>
        <v>6.6696</v>
      </c>
      <c r="T2749" s="1308">
        <f>S2749*J2749</f>
        <v>190.08359999999999</v>
      </c>
      <c r="U2749" s="46"/>
      <c r="V2749" s="494">
        <v>120</v>
      </c>
      <c r="W2749" s="2041">
        <f t="shared" si="173"/>
        <v>0.9930000000000001</v>
      </c>
    </row>
    <row r="2750" spans="2:23" s="7" customFormat="1" ht="15.95" customHeight="1">
      <c r="B2750" s="12"/>
      <c r="C2750" s="6" t="s">
        <v>6463</v>
      </c>
      <c r="D2750" s="15" t="s">
        <v>1666</v>
      </c>
      <c r="E2750" s="24"/>
      <c r="F2750" s="138"/>
      <c r="G2750" s="44" t="s">
        <v>3512</v>
      </c>
      <c r="H2750" s="8"/>
      <c r="I2750" s="41"/>
      <c r="J2750" s="45">
        <v>1</v>
      </c>
      <c r="K2750" s="46">
        <v>40</v>
      </c>
      <c r="L2750" s="46">
        <f>K2750*J2750</f>
        <v>40</v>
      </c>
      <c r="M2750" s="39"/>
      <c r="N2750" s="39">
        <v>45254</v>
      </c>
      <c r="O2750" s="38">
        <v>5703</v>
      </c>
      <c r="P2750" s="46">
        <f>K2750*0.92</f>
        <v>36.800000000000004</v>
      </c>
      <c r="Q2750" s="483">
        <v>36.799999999999997</v>
      </c>
      <c r="R2750" s="704">
        <f>Q2750*J2750</f>
        <v>36.799999999999997</v>
      </c>
      <c r="S2750" s="46">
        <f>K2750*0.84</f>
        <v>33.6</v>
      </c>
      <c r="T2750" s="1308">
        <f>S2750*J2750</f>
        <v>33.6</v>
      </c>
      <c r="U2750" s="501"/>
      <c r="V2750" s="494">
        <v>120</v>
      </c>
    </row>
    <row r="2751" spans="2:23" s="314" customFormat="1" ht="15.6" customHeight="1">
      <c r="B2751" s="313"/>
      <c r="C2751" s="302" t="s">
        <v>6463</v>
      </c>
      <c r="D2751" s="303" t="s">
        <v>1666</v>
      </c>
      <c r="E2751" s="371"/>
      <c r="F2751" s="305"/>
      <c r="G2751" s="305" t="s">
        <v>1227</v>
      </c>
      <c r="H2751" s="307" t="s">
        <v>1228</v>
      </c>
      <c r="I2751" s="308"/>
      <c r="J2751" s="306"/>
      <c r="K2751" s="315">
        <v>0</v>
      </c>
      <c r="L2751" s="310"/>
      <c r="M2751" s="310"/>
      <c r="N2751" s="310">
        <v>45254</v>
      </c>
      <c r="O2751" s="309">
        <v>5703</v>
      </c>
      <c r="P2751" s="302"/>
      <c r="Q2751" s="531">
        <v>0</v>
      </c>
      <c r="S2751" s="535">
        <v>0</v>
      </c>
      <c r="T2751" s="322">
        <v>0</v>
      </c>
      <c r="U2751" s="1115"/>
      <c r="V2751" s="494">
        <v>120</v>
      </c>
    </row>
    <row r="2752" spans="2:23" s="7" customFormat="1" ht="15" customHeight="1">
      <c r="B2752" s="12"/>
      <c r="C2752" s="6" t="s">
        <v>6456</v>
      </c>
      <c r="D2752" s="15" t="s">
        <v>298</v>
      </c>
      <c r="E2752" s="20" t="s">
        <v>6457</v>
      </c>
      <c r="F2752" s="26"/>
      <c r="G2752" s="24"/>
      <c r="H2752" s="67"/>
      <c r="I2752" s="68"/>
      <c r="J2752" s="67"/>
      <c r="K2752" s="17" t="s">
        <v>134</v>
      </c>
      <c r="L2752" s="39"/>
      <c r="M2752" s="39"/>
      <c r="N2752" s="39">
        <v>45254</v>
      </c>
      <c r="O2752" s="38">
        <v>5688</v>
      </c>
      <c r="P2752" s="179" t="s">
        <v>23</v>
      </c>
      <c r="Q2752" s="438" t="s">
        <v>959</v>
      </c>
      <c r="R2752" s="704"/>
      <c r="S2752" s="707"/>
      <c r="T2752" s="113"/>
      <c r="U2752" s="2068"/>
      <c r="V2752" s="494">
        <v>120</v>
      </c>
      <c r="W2752" s="2041" t="e">
        <f t="shared" ref="W2752:W2783" si="174">(((K2752*V2752)-S2752)/(K2752*V2752))</f>
        <v>#VALUE!</v>
      </c>
    </row>
    <row r="2753" spans="1:23" s="7" customFormat="1" ht="18" customHeight="1">
      <c r="B2753" s="12" t="s">
        <v>1856</v>
      </c>
      <c r="C2753" s="6" t="s">
        <v>6456</v>
      </c>
      <c r="D2753" s="15" t="s">
        <v>298</v>
      </c>
      <c r="E2753" s="24">
        <v>12740</v>
      </c>
      <c r="F2753" s="26">
        <v>9</v>
      </c>
      <c r="G2753" s="24" t="s">
        <v>6458</v>
      </c>
      <c r="H2753" s="67">
        <v>10</v>
      </c>
      <c r="I2753" s="68">
        <v>1</v>
      </c>
      <c r="J2753" s="67">
        <f>H2753*I2753</f>
        <v>10</v>
      </c>
      <c r="K2753" s="46">
        <v>1.04</v>
      </c>
      <c r="L2753" s="46">
        <f t="shared" ref="L2753:L2758" si="175">K2753*J2753</f>
        <v>10.4</v>
      </c>
      <c r="M2753" s="162" t="s">
        <v>2219</v>
      </c>
      <c r="N2753" s="39">
        <v>45254</v>
      </c>
      <c r="O2753" s="38">
        <v>5688</v>
      </c>
      <c r="P2753" s="46">
        <f>K2753*(VLOOKUP(B2753,$C$2:$F$6,3,FALSE))</f>
        <v>0.91520000000000001</v>
      </c>
      <c r="Q2753" s="180">
        <v>0.92</v>
      </c>
      <c r="R2753" s="704">
        <f>Q2753*J2753</f>
        <v>9.2000000000000011</v>
      </c>
      <c r="S2753" s="489">
        <v>56</v>
      </c>
      <c r="T2753" s="113">
        <f t="shared" ref="T2753:T2758" si="176">S2753*J2753</f>
        <v>560</v>
      </c>
      <c r="U2753" s="489"/>
      <c r="V2753" s="494">
        <v>120</v>
      </c>
      <c r="W2753" s="2041">
        <f t="shared" si="174"/>
        <v>0.55128205128205132</v>
      </c>
    </row>
    <row r="2754" spans="1:23" s="7" customFormat="1" ht="18" customHeight="1">
      <c r="B2754" s="12" t="s">
        <v>1856</v>
      </c>
      <c r="C2754" s="6" t="s">
        <v>6456</v>
      </c>
      <c r="D2754" s="15" t="s">
        <v>298</v>
      </c>
      <c r="E2754" s="24">
        <v>12740</v>
      </c>
      <c r="F2754" s="26">
        <v>9</v>
      </c>
      <c r="G2754" s="24" t="s">
        <v>6459</v>
      </c>
      <c r="H2754" s="67">
        <v>10</v>
      </c>
      <c r="I2754" s="68">
        <v>2</v>
      </c>
      <c r="J2754" s="67">
        <f>H2754*I2754</f>
        <v>20</v>
      </c>
      <c r="K2754" s="46">
        <v>1.04</v>
      </c>
      <c r="L2754" s="46">
        <f t="shared" si="175"/>
        <v>20.8</v>
      </c>
      <c r="M2754" s="162" t="s">
        <v>2219</v>
      </c>
      <c r="N2754" s="39">
        <v>45254</v>
      </c>
      <c r="O2754" s="38">
        <v>5688</v>
      </c>
      <c r="P2754" s="46">
        <f>K2754*(VLOOKUP(B2754,$C$2:$F$6,3,FALSE))</f>
        <v>0.91520000000000001</v>
      </c>
      <c r="Q2754" s="180">
        <v>0.92</v>
      </c>
      <c r="R2754" s="704">
        <f>Q2754*J2754</f>
        <v>18.400000000000002</v>
      </c>
      <c r="S2754" s="489">
        <v>56</v>
      </c>
      <c r="T2754" s="113">
        <f t="shared" si="176"/>
        <v>1120</v>
      </c>
      <c r="U2754" s="489"/>
      <c r="V2754" s="494">
        <v>120</v>
      </c>
      <c r="W2754" s="2041">
        <f t="shared" si="174"/>
        <v>0.55128205128205132</v>
      </c>
    </row>
    <row r="2755" spans="1:23" s="7" customFormat="1" ht="18" customHeight="1">
      <c r="B2755" s="12" t="s">
        <v>1856</v>
      </c>
      <c r="C2755" s="6" t="s">
        <v>6456</v>
      </c>
      <c r="D2755" s="15" t="s">
        <v>298</v>
      </c>
      <c r="E2755" s="24">
        <v>12740</v>
      </c>
      <c r="F2755" s="26">
        <v>9</v>
      </c>
      <c r="G2755" s="24" t="s">
        <v>6460</v>
      </c>
      <c r="H2755" s="67">
        <v>10</v>
      </c>
      <c r="I2755" s="68">
        <v>1</v>
      </c>
      <c r="J2755" s="67">
        <f>H2755*I2755</f>
        <v>10</v>
      </c>
      <c r="K2755" s="46">
        <v>1.04</v>
      </c>
      <c r="L2755" s="46">
        <f t="shared" si="175"/>
        <v>10.4</v>
      </c>
      <c r="M2755" s="162" t="s">
        <v>2219</v>
      </c>
      <c r="N2755" s="39">
        <v>45254</v>
      </c>
      <c r="O2755" s="38">
        <v>5688</v>
      </c>
      <c r="P2755" s="46">
        <f>K2755*(VLOOKUP(B2755,$C$2:$F$6,3,FALSE))</f>
        <v>0.91520000000000001</v>
      </c>
      <c r="Q2755" s="180">
        <v>0.92</v>
      </c>
      <c r="R2755" s="704">
        <f>Q2755*J2755</f>
        <v>9.2000000000000011</v>
      </c>
      <c r="S2755" s="489">
        <v>56</v>
      </c>
      <c r="T2755" s="113">
        <f t="shared" si="176"/>
        <v>560</v>
      </c>
      <c r="U2755" s="489"/>
      <c r="V2755" s="494">
        <v>120</v>
      </c>
      <c r="W2755" s="2041">
        <f t="shared" si="174"/>
        <v>0.55128205128205132</v>
      </c>
    </row>
    <row r="2756" spans="1:23" s="7" customFormat="1" ht="18" customHeight="1">
      <c r="B2756" s="12" t="s">
        <v>1856</v>
      </c>
      <c r="C2756" s="6" t="s">
        <v>6456</v>
      </c>
      <c r="D2756" s="15" t="s">
        <v>298</v>
      </c>
      <c r="E2756" s="24">
        <v>12740</v>
      </c>
      <c r="F2756" s="26">
        <v>9</v>
      </c>
      <c r="G2756" s="24" t="s">
        <v>6461</v>
      </c>
      <c r="H2756" s="67">
        <v>10</v>
      </c>
      <c r="I2756" s="68">
        <v>1</v>
      </c>
      <c r="J2756" s="67">
        <f>H2756*I2756</f>
        <v>10</v>
      </c>
      <c r="K2756" s="46">
        <v>1.04</v>
      </c>
      <c r="L2756" s="46">
        <f t="shared" si="175"/>
        <v>10.4</v>
      </c>
      <c r="M2756" s="162" t="s">
        <v>2219</v>
      </c>
      <c r="N2756" s="39">
        <v>45254</v>
      </c>
      <c r="O2756" s="38">
        <v>5688</v>
      </c>
      <c r="P2756" s="46">
        <f>K2756*(VLOOKUP(B2756,$C$2:$F$6,3,FALSE))</f>
        <v>0.91520000000000001</v>
      </c>
      <c r="Q2756" s="180">
        <v>0.92</v>
      </c>
      <c r="R2756" s="704">
        <f>Q2756*J2756</f>
        <v>9.2000000000000011</v>
      </c>
      <c r="S2756" s="489">
        <v>56</v>
      </c>
      <c r="T2756" s="113">
        <f t="shared" si="176"/>
        <v>560</v>
      </c>
      <c r="U2756" s="489"/>
      <c r="V2756" s="494">
        <v>120</v>
      </c>
      <c r="W2756" s="2041">
        <f t="shared" si="174"/>
        <v>0.55128205128205132</v>
      </c>
    </row>
    <row r="2757" spans="1:23" s="7" customFormat="1" ht="18" customHeight="1">
      <c r="B2757" s="12" t="s">
        <v>1856</v>
      </c>
      <c r="C2757" s="6" t="s">
        <v>6456</v>
      </c>
      <c r="D2757" s="15" t="s">
        <v>298</v>
      </c>
      <c r="E2757" s="24">
        <v>12740</v>
      </c>
      <c r="F2757" s="26">
        <v>9</v>
      </c>
      <c r="G2757" s="24" t="s">
        <v>6462</v>
      </c>
      <c r="H2757" s="67">
        <v>10</v>
      </c>
      <c r="I2757" s="68">
        <v>1</v>
      </c>
      <c r="J2757" s="67">
        <f>H2757*I2757</f>
        <v>10</v>
      </c>
      <c r="K2757" s="46">
        <v>1.04</v>
      </c>
      <c r="L2757" s="46">
        <f t="shared" si="175"/>
        <v>10.4</v>
      </c>
      <c r="M2757" s="162" t="s">
        <v>2219</v>
      </c>
      <c r="N2757" s="39">
        <v>45254</v>
      </c>
      <c r="O2757" s="38">
        <v>5688</v>
      </c>
      <c r="P2757" s="46">
        <f>K2757*(VLOOKUP(B2757,$C$2:$F$6,3,FALSE))</f>
        <v>0.91520000000000001</v>
      </c>
      <c r="Q2757" s="180">
        <v>0.92</v>
      </c>
      <c r="R2757" s="704">
        <f>Q2757*J2757</f>
        <v>9.2000000000000011</v>
      </c>
      <c r="S2757" s="489">
        <v>56</v>
      </c>
      <c r="T2757" s="113">
        <f t="shared" si="176"/>
        <v>560</v>
      </c>
      <c r="U2757" s="489"/>
      <c r="V2757" s="494">
        <v>120</v>
      </c>
      <c r="W2757" s="2041">
        <f t="shared" si="174"/>
        <v>0.55128205128205132</v>
      </c>
    </row>
    <row r="2758" spans="1:23" ht="15.95" customHeight="1">
      <c r="C2758" s="6" t="s">
        <v>6456</v>
      </c>
      <c r="D2758" s="15" t="s">
        <v>298</v>
      </c>
      <c r="E2758" s="24"/>
      <c r="F2758" s="138"/>
      <c r="G2758" s="44" t="s">
        <v>1993</v>
      </c>
      <c r="H2758" s="8"/>
      <c r="I2758" s="68"/>
      <c r="J2758" s="45">
        <v>1</v>
      </c>
      <c r="K2758" s="46">
        <v>12</v>
      </c>
      <c r="L2758" s="46">
        <f t="shared" si="175"/>
        <v>12</v>
      </c>
      <c r="M2758" s="112"/>
      <c r="N2758" s="39">
        <v>45254</v>
      </c>
      <c r="O2758" s="38">
        <v>5688</v>
      </c>
      <c r="P2758" s="179"/>
      <c r="Q2758" s="180">
        <v>12</v>
      </c>
      <c r="R2758" s="180">
        <v>12</v>
      </c>
      <c r="S2758" s="498">
        <v>0</v>
      </c>
      <c r="T2758" s="568">
        <f t="shared" si="176"/>
        <v>0</v>
      </c>
      <c r="U2758" s="511"/>
      <c r="V2758" s="494">
        <v>120</v>
      </c>
      <c r="W2758" s="2041">
        <f t="shared" si="174"/>
        <v>1</v>
      </c>
    </row>
    <row r="2759" spans="1:23" s="314" customFormat="1" ht="15">
      <c r="B2759" s="313"/>
      <c r="C2759" s="302" t="s">
        <v>6456</v>
      </c>
      <c r="D2759" s="303" t="s">
        <v>298</v>
      </c>
      <c r="E2759" s="371"/>
      <c r="F2759" s="305"/>
      <c r="G2759" s="2049" t="s">
        <v>1227</v>
      </c>
      <c r="H2759" s="307" t="s">
        <v>1228</v>
      </c>
      <c r="I2759" s="308"/>
      <c r="J2759" s="306"/>
      <c r="K2759" s="315">
        <v>0</v>
      </c>
      <c r="L2759" s="310"/>
      <c r="M2759" s="310"/>
      <c r="N2759" s="310">
        <v>45254</v>
      </c>
      <c r="O2759" s="309">
        <v>5688</v>
      </c>
      <c r="P2759" s="302"/>
      <c r="Q2759" s="485">
        <v>0</v>
      </c>
      <c r="S2759" s="535">
        <v>0</v>
      </c>
      <c r="T2759" s="322">
        <v>0</v>
      </c>
      <c r="U2759" s="515"/>
      <c r="V2759" s="494">
        <v>120</v>
      </c>
      <c r="W2759" s="2041" t="e">
        <f t="shared" si="174"/>
        <v>#DIV/0!</v>
      </c>
    </row>
    <row r="2760" spans="1:23" ht="18" customHeight="1">
      <c r="C2760" s="6" t="s">
        <v>6471</v>
      </c>
      <c r="D2760" s="15" t="s">
        <v>6317</v>
      </c>
      <c r="E2760" s="20" t="s">
        <v>6405</v>
      </c>
      <c r="F2760" s="26"/>
      <c r="G2760" s="24"/>
      <c r="H2760" s="67"/>
      <c r="I2760" s="68"/>
      <c r="J2760" s="67"/>
      <c r="K2760" s="17" t="s">
        <v>134</v>
      </c>
      <c r="L2760" s="39"/>
      <c r="M2760" s="39"/>
      <c r="N2760" s="39">
        <v>45260</v>
      </c>
      <c r="O2760" s="38">
        <v>5662</v>
      </c>
      <c r="P2760" s="6"/>
      <c r="Q2760" s="481"/>
      <c r="S2760" s="489"/>
      <c r="T2760" s="113"/>
      <c r="U2760" s="500"/>
      <c r="V2760" s="494">
        <v>120</v>
      </c>
      <c r="W2760" s="2041" t="e">
        <f t="shared" si="174"/>
        <v>#VALUE!</v>
      </c>
    </row>
    <row r="2761" spans="1:23" ht="18" customHeight="1">
      <c r="B2761" s="28" t="s">
        <v>1856</v>
      </c>
      <c r="C2761" s="6" t="s">
        <v>6471</v>
      </c>
      <c r="D2761" s="15" t="s">
        <v>6317</v>
      </c>
      <c r="E2761" s="24" t="s">
        <v>6477</v>
      </c>
      <c r="F2761" s="26"/>
      <c r="G2761" s="24" t="s">
        <v>6320</v>
      </c>
      <c r="H2761" s="67"/>
      <c r="I2761" s="68"/>
      <c r="J2761" s="67">
        <v>12</v>
      </c>
      <c r="K2761" s="25">
        <v>1.86</v>
      </c>
      <c r="L2761" s="46">
        <f>K2761*J2761</f>
        <v>22.32</v>
      </c>
      <c r="M2761" s="162" t="s">
        <v>2219</v>
      </c>
      <c r="N2761" s="39">
        <v>45260</v>
      </c>
      <c r="O2761" s="38">
        <v>5662</v>
      </c>
      <c r="P2761" s="46">
        <f>K2761*(VLOOKUP(B2761,$C$2:$F$6,3,FALSE))</f>
        <v>1.6368</v>
      </c>
      <c r="Q2761" s="483">
        <v>1.64</v>
      </c>
      <c r="R2761" s="704">
        <f>Q2761*J2761</f>
        <v>19.68</v>
      </c>
      <c r="S2761" s="489">
        <v>128</v>
      </c>
      <c r="T2761" s="113">
        <f>S2761*J2761</f>
        <v>1536</v>
      </c>
      <c r="U2761" s="1863"/>
      <c r="V2761" s="494">
        <v>120</v>
      </c>
      <c r="W2761" s="2041">
        <f t="shared" si="174"/>
        <v>0.42652329749103945</v>
      </c>
    </row>
    <row r="2762" spans="1:23" s="7" customFormat="1" ht="18" customHeight="1">
      <c r="A2762" s="1"/>
      <c r="B2762" s="12"/>
      <c r="C2762" s="6" t="s">
        <v>6471</v>
      </c>
      <c r="D2762" s="15" t="s">
        <v>6317</v>
      </c>
      <c r="E2762" s="24"/>
      <c r="F2762" s="44"/>
      <c r="G2762" s="44" t="s">
        <v>1949</v>
      </c>
      <c r="H2762" s="45"/>
      <c r="I2762" s="152" ph="1"/>
      <c r="J2762" s="45">
        <v>1</v>
      </c>
      <c r="K2762" s="46">
        <v>12</v>
      </c>
      <c r="L2762" s="46">
        <f>K2762*J2762</f>
        <v>12</v>
      </c>
      <c r="M2762" s="112"/>
      <c r="N2762" s="39">
        <v>45260</v>
      </c>
      <c r="O2762" s="38">
        <v>5662</v>
      </c>
      <c r="P2762" s="6"/>
      <c r="Q2762" s="483">
        <v>12</v>
      </c>
      <c r="R2762" s="704">
        <f>Q2762*J2762</f>
        <v>12</v>
      </c>
      <c r="S2762" s="489">
        <v>900</v>
      </c>
      <c r="T2762" s="113">
        <f>S2762*J2762</f>
        <v>900</v>
      </c>
      <c r="U2762" s="501"/>
      <c r="V2762" s="494">
        <v>120</v>
      </c>
      <c r="W2762" s="2041">
        <f t="shared" si="174"/>
        <v>0.375</v>
      </c>
    </row>
    <row r="2763" spans="1:23" s="314" customFormat="1" ht="18" customHeight="1">
      <c r="A2763" s="1"/>
      <c r="B2763" s="313"/>
      <c r="C2763" s="302" t="s">
        <v>6471</v>
      </c>
      <c r="D2763" s="303" t="s">
        <v>6317</v>
      </c>
      <c r="E2763" s="304"/>
      <c r="F2763" s="305"/>
      <c r="G2763" s="305" t="s">
        <v>1227</v>
      </c>
      <c r="H2763" s="307" t="s">
        <v>1228</v>
      </c>
      <c r="I2763" s="308"/>
      <c r="J2763" s="306"/>
      <c r="K2763" s="316">
        <v>0</v>
      </c>
      <c r="L2763" s="310"/>
      <c r="M2763" s="310"/>
      <c r="N2763" s="310">
        <v>45260</v>
      </c>
      <c r="O2763" s="309">
        <v>5662</v>
      </c>
      <c r="P2763" s="302"/>
      <c r="Q2763" s="485">
        <v>0</v>
      </c>
      <c r="S2763" s="536">
        <v>0</v>
      </c>
      <c r="T2763" s="322">
        <v>0</v>
      </c>
      <c r="U2763" s="515"/>
      <c r="V2763" s="494">
        <v>120</v>
      </c>
      <c r="W2763" s="2041" t="e">
        <f t="shared" si="174"/>
        <v>#DIV/0!</v>
      </c>
    </row>
    <row r="2764" spans="1:23" ht="18" customHeight="1">
      <c r="C2764" s="6" t="s">
        <v>6479</v>
      </c>
      <c r="D2764" s="15" t="s">
        <v>3329</v>
      </c>
      <c r="E2764" s="20" t="s">
        <v>6478</v>
      </c>
      <c r="F2764" s="26"/>
      <c r="G2764" s="24"/>
      <c r="H2764" s="67"/>
      <c r="I2764" s="68"/>
      <c r="J2764" s="67"/>
      <c r="K2764" s="17" t="s">
        <v>134</v>
      </c>
      <c r="L2764" s="39"/>
      <c r="M2764" s="39"/>
      <c r="N2764" s="39">
        <v>45267</v>
      </c>
      <c r="O2764" s="38">
        <v>5731</v>
      </c>
      <c r="P2764" s="6"/>
      <c r="Q2764" s="481"/>
      <c r="S2764" s="489"/>
      <c r="T2764" s="113"/>
      <c r="U2764" s="500"/>
      <c r="V2764" s="494">
        <v>120</v>
      </c>
      <c r="W2764" s="2041" t="e">
        <f t="shared" si="174"/>
        <v>#VALUE!</v>
      </c>
    </row>
    <row r="2765" spans="1:23" ht="18" customHeight="1">
      <c r="B2765" s="28" t="s">
        <v>1856</v>
      </c>
      <c r="C2765" s="6" t="s">
        <v>6481</v>
      </c>
      <c r="D2765" s="15" t="s">
        <v>3329</v>
      </c>
      <c r="E2765" s="24" t="s">
        <v>6480</v>
      </c>
      <c r="F2765" s="26"/>
      <c r="G2765" s="24" t="s">
        <v>56</v>
      </c>
      <c r="H2765" s="67"/>
      <c r="I2765" s="68"/>
      <c r="J2765" s="8">
        <v>30</v>
      </c>
      <c r="K2765" s="25">
        <v>0.93</v>
      </c>
      <c r="L2765" s="46">
        <f>K2765*J2765</f>
        <v>27.900000000000002</v>
      </c>
      <c r="M2765" s="162" t="s">
        <v>2219</v>
      </c>
      <c r="N2765" s="39">
        <v>45267</v>
      </c>
      <c r="O2765" s="38">
        <v>5731</v>
      </c>
      <c r="P2765" s="46">
        <f>K2765*(VLOOKUP(B2765,$C$2:$F$6,3,FALSE))</f>
        <v>0.81840000000000002</v>
      </c>
      <c r="Q2765" s="483">
        <v>0.82</v>
      </c>
      <c r="R2765" s="704">
        <f>Q2765*J2765</f>
        <v>24.599999999999998</v>
      </c>
      <c r="S2765" s="489">
        <v>50</v>
      </c>
      <c r="T2765" s="113">
        <f>S2765*J2765</f>
        <v>1500</v>
      </c>
      <c r="U2765" s="1863"/>
      <c r="V2765" s="494">
        <v>120</v>
      </c>
      <c r="W2765" s="2041">
        <f t="shared" si="174"/>
        <v>0.55197132616487454</v>
      </c>
    </row>
    <row r="2766" spans="1:23" ht="18" customHeight="1">
      <c r="B2766" s="28" t="s">
        <v>1856</v>
      </c>
      <c r="C2766" s="6" t="s">
        <v>6482</v>
      </c>
      <c r="D2766" s="15" t="s">
        <v>3329</v>
      </c>
      <c r="E2766" s="24" t="s">
        <v>6480</v>
      </c>
      <c r="F2766" s="26"/>
      <c r="G2766" s="24" t="s">
        <v>56</v>
      </c>
      <c r="H2766" s="67"/>
      <c r="I2766" s="68"/>
      <c r="J2766" s="8">
        <v>10</v>
      </c>
      <c r="K2766" s="25">
        <v>0.93</v>
      </c>
      <c r="L2766" s="46">
        <f>K2766*J2766</f>
        <v>9.3000000000000007</v>
      </c>
      <c r="M2766" s="162" t="s">
        <v>2219</v>
      </c>
      <c r="N2766" s="39">
        <v>45267</v>
      </c>
      <c r="O2766" s="38">
        <v>5732</v>
      </c>
      <c r="P2766" s="46">
        <f>K2766*(VLOOKUP(B2766,$C$2:$F$6,3,FALSE))</f>
        <v>0.81840000000000002</v>
      </c>
      <c r="Q2766" s="483">
        <v>0.82</v>
      </c>
      <c r="R2766" s="704">
        <f>Q2766*J2766</f>
        <v>8.1999999999999993</v>
      </c>
      <c r="S2766" s="489">
        <v>50</v>
      </c>
      <c r="T2766" s="113">
        <f>S2766*J2766</f>
        <v>500</v>
      </c>
      <c r="U2766" s="1863"/>
      <c r="V2766" s="494">
        <v>120</v>
      </c>
      <c r="W2766" s="2041">
        <f t="shared" si="174"/>
        <v>0.55197132616487454</v>
      </c>
    </row>
    <row r="2767" spans="1:23" s="7" customFormat="1" ht="18" customHeight="1">
      <c r="A2767" s="1"/>
      <c r="B2767" s="12"/>
      <c r="C2767" s="6" t="s">
        <v>6482</v>
      </c>
      <c r="D2767" s="15" t="s">
        <v>3329</v>
      </c>
      <c r="E2767" s="24"/>
      <c r="F2767" s="44"/>
      <c r="G2767" s="44" t="s">
        <v>1949</v>
      </c>
      <c r="H2767" s="45"/>
      <c r="I2767" s="152" ph="1"/>
      <c r="J2767" s="45">
        <v>1</v>
      </c>
      <c r="K2767" s="46">
        <v>12</v>
      </c>
      <c r="L2767" s="46">
        <f>K2767*J2767</f>
        <v>12</v>
      </c>
      <c r="M2767" s="112"/>
      <c r="N2767" s="39">
        <v>45267</v>
      </c>
      <c r="O2767" s="38">
        <v>5732</v>
      </c>
      <c r="P2767" s="6"/>
      <c r="Q2767" s="483">
        <v>12</v>
      </c>
      <c r="R2767" s="704">
        <f>Q2767*J2767</f>
        <v>12</v>
      </c>
      <c r="S2767" s="489">
        <v>350</v>
      </c>
      <c r="T2767" s="113">
        <f>S2767*J2767</f>
        <v>350</v>
      </c>
      <c r="U2767" s="501"/>
      <c r="V2767" s="494">
        <v>120</v>
      </c>
      <c r="W2767" s="2041">
        <f t="shared" si="174"/>
        <v>0.75694444444444442</v>
      </c>
    </row>
    <row r="2768" spans="1:23" s="314" customFormat="1" ht="18" customHeight="1">
      <c r="A2768" s="1"/>
      <c r="B2768" s="313"/>
      <c r="C2768" s="302" t="s">
        <v>6482</v>
      </c>
      <c r="D2768" s="303" t="s">
        <v>3329</v>
      </c>
      <c r="E2768" s="304"/>
      <c r="F2768" s="305"/>
      <c r="G2768" s="305" t="s">
        <v>1227</v>
      </c>
      <c r="H2768" s="307" t="s">
        <v>1228</v>
      </c>
      <c r="I2768" s="308"/>
      <c r="J2768" s="306"/>
      <c r="K2768" s="316">
        <v>0</v>
      </c>
      <c r="L2768" s="310"/>
      <c r="M2768" s="310"/>
      <c r="N2768" s="310">
        <v>45267</v>
      </c>
      <c r="O2768" s="309">
        <v>5732</v>
      </c>
      <c r="P2768" s="302"/>
      <c r="Q2768" s="485">
        <v>0</v>
      </c>
      <c r="S2768" s="536">
        <v>0</v>
      </c>
      <c r="T2768" s="322">
        <v>0</v>
      </c>
      <c r="U2768" s="515"/>
      <c r="V2768" s="494">
        <v>120</v>
      </c>
      <c r="W2768" s="2041" t="e">
        <f t="shared" si="174"/>
        <v>#DIV/0!</v>
      </c>
    </row>
    <row r="2769" spans="2:23" ht="15">
      <c r="C2769" s="6" t="s">
        <v>6486</v>
      </c>
      <c r="D2769" s="15" t="s">
        <v>5470</v>
      </c>
      <c r="E2769" s="20" t="s">
        <v>5469</v>
      </c>
      <c r="F2769" s="44"/>
      <c r="G2769" s="44"/>
      <c r="H2769" s="151"/>
      <c r="I2769" s="151"/>
      <c r="J2769" s="151"/>
      <c r="K2769" s="34" t="s">
        <v>134</v>
      </c>
      <c r="L2769" s="39"/>
      <c r="M2769" s="39"/>
      <c r="N2769" s="39">
        <v>45266</v>
      </c>
      <c r="O2769" s="38">
        <v>5728</v>
      </c>
      <c r="P2769" s="6"/>
      <c r="Q2769" s="524"/>
      <c r="S2769" s="489"/>
      <c r="T2769" s="113"/>
      <c r="U2769" s="501"/>
      <c r="V2769" s="494">
        <v>120</v>
      </c>
      <c r="W2769" s="2041" t="e">
        <f t="shared" si="174"/>
        <v>#VALUE!</v>
      </c>
    </row>
    <row r="2770" spans="2:23" ht="15.75">
      <c r="B2770" s="28" t="s">
        <v>1856</v>
      </c>
      <c r="C2770" s="6" t="s">
        <v>6486</v>
      </c>
      <c r="D2770" s="15" t="s">
        <v>5483</v>
      </c>
      <c r="E2770" s="24">
        <v>3846</v>
      </c>
      <c r="F2770" s="29">
        <v>10</v>
      </c>
      <c r="G2770" s="24" t="s">
        <v>6487</v>
      </c>
      <c r="H2770" s="67">
        <v>50</v>
      </c>
      <c r="I2770" s="68">
        <v>2</v>
      </c>
      <c r="J2770" s="67">
        <f>H2770*I2770</f>
        <v>100</v>
      </c>
      <c r="K2770" s="46">
        <v>0.84</v>
      </c>
      <c r="L2770" s="46">
        <f t="shared" ref="L2770:L2775" si="177">K2770*J2770</f>
        <v>84</v>
      </c>
      <c r="M2770" s="162" t="s">
        <v>2219</v>
      </c>
      <c r="N2770" s="39">
        <v>45266</v>
      </c>
      <c r="O2770" s="38">
        <v>5728</v>
      </c>
      <c r="P2770" s="46">
        <f t="shared" ref="P2770:P2775" si="178">K2770*(VLOOKUP(B2770,$C$2:$F$6,3,FALSE))</f>
        <v>0.73919999999999997</v>
      </c>
      <c r="Q2770" s="482">
        <v>0.74</v>
      </c>
      <c r="R2770" s="704">
        <f>Q2770*J2770</f>
        <v>74</v>
      </c>
      <c r="S2770" s="489">
        <v>58</v>
      </c>
      <c r="T2770" s="113">
        <f t="shared" ref="T2770:T2775" si="179">S2770*J2770</f>
        <v>5800</v>
      </c>
      <c r="U2770" s="1603"/>
      <c r="V2770" s="494">
        <v>120</v>
      </c>
      <c r="W2770" s="2041">
        <f t="shared" si="174"/>
        <v>0.42460317460317459</v>
      </c>
    </row>
    <row r="2771" spans="2:23" ht="15.75">
      <c r="B2771" s="28" t="s">
        <v>1856</v>
      </c>
      <c r="C2771" s="6" t="s">
        <v>6486</v>
      </c>
      <c r="D2771" s="15" t="s">
        <v>5483</v>
      </c>
      <c r="E2771" s="24">
        <v>3846</v>
      </c>
      <c r="F2771" s="29">
        <v>10</v>
      </c>
      <c r="G2771" s="24" t="s">
        <v>6488</v>
      </c>
      <c r="H2771" s="67">
        <v>50</v>
      </c>
      <c r="I2771" s="68">
        <v>1</v>
      </c>
      <c r="J2771" s="67">
        <f>H2771*I2771</f>
        <v>50</v>
      </c>
      <c r="K2771" s="46">
        <v>0.84</v>
      </c>
      <c r="L2771" s="46">
        <f t="shared" si="177"/>
        <v>42</v>
      </c>
      <c r="M2771" s="162" t="s">
        <v>2219</v>
      </c>
      <c r="N2771" s="39">
        <v>45266</v>
      </c>
      <c r="O2771" s="38">
        <v>5728</v>
      </c>
      <c r="P2771" s="46">
        <f t="shared" si="178"/>
        <v>0.73919999999999997</v>
      </c>
      <c r="Q2771" s="482">
        <v>0.74</v>
      </c>
      <c r="R2771" s="704">
        <f>Q2771*J2771</f>
        <v>37</v>
      </c>
      <c r="S2771" s="489">
        <v>58</v>
      </c>
      <c r="T2771" s="113">
        <f t="shared" si="179"/>
        <v>2900</v>
      </c>
      <c r="U2771" s="1603"/>
      <c r="V2771" s="494">
        <v>120</v>
      </c>
      <c r="W2771" s="2041">
        <f t="shared" si="174"/>
        <v>0.42460317460317459</v>
      </c>
    </row>
    <row r="2772" spans="2:23" ht="15.75">
      <c r="B2772" s="28" t="s">
        <v>1856</v>
      </c>
      <c r="C2772" s="6" t="s">
        <v>6486</v>
      </c>
      <c r="D2772" s="15" t="s">
        <v>5483</v>
      </c>
      <c r="E2772" s="24">
        <v>3846</v>
      </c>
      <c r="F2772" s="29">
        <v>10</v>
      </c>
      <c r="G2772" s="24" t="s">
        <v>6491</v>
      </c>
      <c r="H2772" s="67">
        <v>50</v>
      </c>
      <c r="I2772" s="68">
        <v>2</v>
      </c>
      <c r="J2772" s="67">
        <f>H2772*I2772</f>
        <v>100</v>
      </c>
      <c r="K2772" s="46">
        <v>0.84</v>
      </c>
      <c r="L2772" s="46">
        <f t="shared" si="177"/>
        <v>84</v>
      </c>
      <c r="M2772" s="162" t="s">
        <v>2219</v>
      </c>
      <c r="N2772" s="39">
        <v>45266</v>
      </c>
      <c r="O2772" s="38">
        <v>5728</v>
      </c>
      <c r="P2772" s="46">
        <f t="shared" si="178"/>
        <v>0.73919999999999997</v>
      </c>
      <c r="Q2772" s="482">
        <v>0.74</v>
      </c>
      <c r="R2772" s="704">
        <f>Q2772*J2772</f>
        <v>74</v>
      </c>
      <c r="S2772" s="489">
        <v>58</v>
      </c>
      <c r="T2772" s="113">
        <f t="shared" si="179"/>
        <v>5800</v>
      </c>
      <c r="U2772" s="1603"/>
      <c r="V2772" s="494">
        <v>120</v>
      </c>
      <c r="W2772" s="2041">
        <f t="shared" si="174"/>
        <v>0.42460317460317459</v>
      </c>
    </row>
    <row r="2773" spans="2:23" ht="15.75">
      <c r="B2773" s="28" t="s">
        <v>1856</v>
      </c>
      <c r="C2773" s="6" t="s">
        <v>6486</v>
      </c>
      <c r="D2773" s="15" t="s">
        <v>5483</v>
      </c>
      <c r="E2773" s="24">
        <v>3846</v>
      </c>
      <c r="F2773" s="29">
        <v>10</v>
      </c>
      <c r="G2773" s="24" t="s">
        <v>6489</v>
      </c>
      <c r="H2773" s="67">
        <v>50</v>
      </c>
      <c r="I2773" s="68">
        <v>1</v>
      </c>
      <c r="J2773" s="67">
        <f>H2773*I2773</f>
        <v>50</v>
      </c>
      <c r="K2773" s="46">
        <v>0.84</v>
      </c>
      <c r="L2773" s="46">
        <f t="shared" si="177"/>
        <v>42</v>
      </c>
      <c r="M2773" s="162" t="s">
        <v>2219</v>
      </c>
      <c r="N2773" s="39">
        <v>45266</v>
      </c>
      <c r="O2773" s="38">
        <v>5728</v>
      </c>
      <c r="P2773" s="46">
        <f t="shared" si="178"/>
        <v>0.73919999999999997</v>
      </c>
      <c r="Q2773" s="482">
        <v>0.74</v>
      </c>
      <c r="R2773" s="704">
        <f>Q2773*J2773</f>
        <v>37</v>
      </c>
      <c r="S2773" s="489">
        <v>58</v>
      </c>
      <c r="T2773" s="113">
        <f t="shared" si="179"/>
        <v>2900</v>
      </c>
      <c r="U2773" s="1603"/>
      <c r="V2773" s="494">
        <v>120</v>
      </c>
      <c r="W2773" s="2041">
        <f t="shared" si="174"/>
        <v>0.42460317460317459</v>
      </c>
    </row>
    <row r="2774" spans="2:23" ht="15.75">
      <c r="B2774" s="28" t="s">
        <v>1856</v>
      </c>
      <c r="C2774" s="6" t="s">
        <v>6486</v>
      </c>
      <c r="D2774" s="15" t="s">
        <v>5483</v>
      </c>
      <c r="E2774" s="24">
        <v>3846</v>
      </c>
      <c r="F2774" s="29">
        <v>10</v>
      </c>
      <c r="G2774" s="24" t="s">
        <v>6490</v>
      </c>
      <c r="H2774" s="67">
        <v>50</v>
      </c>
      <c r="I2774" s="68">
        <v>1</v>
      </c>
      <c r="J2774" s="67">
        <f>H2774*I2774</f>
        <v>50</v>
      </c>
      <c r="K2774" s="46">
        <v>0.84</v>
      </c>
      <c r="L2774" s="46">
        <f t="shared" si="177"/>
        <v>42</v>
      </c>
      <c r="M2774" s="162" t="s">
        <v>2219</v>
      </c>
      <c r="N2774" s="39">
        <v>45266</v>
      </c>
      <c r="O2774" s="38">
        <v>5728</v>
      </c>
      <c r="P2774" s="46">
        <f t="shared" si="178"/>
        <v>0.73919999999999997</v>
      </c>
      <c r="Q2774" s="482">
        <v>0.74</v>
      </c>
      <c r="R2774" s="704">
        <f>Q2774*J2774</f>
        <v>37</v>
      </c>
      <c r="S2774" s="489">
        <v>58</v>
      </c>
      <c r="T2774" s="113">
        <f t="shared" si="179"/>
        <v>2900</v>
      </c>
      <c r="U2774" s="1603"/>
      <c r="V2774" s="494">
        <v>120</v>
      </c>
      <c r="W2774" s="2041">
        <f t="shared" si="174"/>
        <v>0.42460317460317459</v>
      </c>
    </row>
    <row r="2775" spans="2:23" ht="15">
      <c r="B2775" s="12" t="s">
        <v>1862</v>
      </c>
      <c r="C2775" s="6" t="s">
        <v>6486</v>
      </c>
      <c r="D2775" s="15" t="s">
        <v>5470</v>
      </c>
      <c r="E2775" s="24"/>
      <c r="F2775" s="138"/>
      <c r="G2775" s="44" t="s">
        <v>1993</v>
      </c>
      <c r="H2775" s="8"/>
      <c r="I2775" s="41"/>
      <c r="J2775" s="45">
        <v>1</v>
      </c>
      <c r="K2775" s="46">
        <v>12</v>
      </c>
      <c r="L2775" s="46">
        <f t="shared" si="177"/>
        <v>12</v>
      </c>
      <c r="M2775" s="112"/>
      <c r="N2775" s="39">
        <v>45266</v>
      </c>
      <c r="O2775" s="38">
        <v>5728</v>
      </c>
      <c r="P2775" s="46">
        <f t="shared" si="178"/>
        <v>12</v>
      </c>
      <c r="Q2775" s="483">
        <v>12</v>
      </c>
      <c r="R2775" s="704">
        <v>12</v>
      </c>
      <c r="S2775" s="489">
        <v>0</v>
      </c>
      <c r="T2775" s="113">
        <f t="shared" si="179"/>
        <v>0</v>
      </c>
      <c r="U2775" s="511"/>
      <c r="V2775" s="494">
        <v>120</v>
      </c>
      <c r="W2775" s="2041">
        <f t="shared" si="174"/>
        <v>1</v>
      </c>
    </row>
    <row r="2776" spans="2:23" s="314" customFormat="1" ht="15">
      <c r="B2776" s="313"/>
      <c r="C2776" s="302" t="s">
        <v>6486</v>
      </c>
      <c r="D2776" s="303" t="s">
        <v>5470</v>
      </c>
      <c r="E2776" s="304"/>
      <c r="F2776" s="305"/>
      <c r="G2776" s="305" t="s">
        <v>1227</v>
      </c>
      <c r="H2776" s="307" t="s">
        <v>1243</v>
      </c>
      <c r="I2776" s="308"/>
      <c r="J2776" s="306"/>
      <c r="K2776" s="329">
        <v>36</v>
      </c>
      <c r="L2776" s="329">
        <v>36</v>
      </c>
      <c r="M2776" s="310"/>
      <c r="N2776" s="310">
        <v>45266</v>
      </c>
      <c r="O2776" s="309">
        <v>5728</v>
      </c>
      <c r="P2776" s="302"/>
      <c r="Q2776" s="329">
        <v>36</v>
      </c>
      <c r="R2776" s="329">
        <v>36</v>
      </c>
      <c r="S2776" s="113">
        <v>4269</v>
      </c>
      <c r="T2776" s="113">
        <v>4269</v>
      </c>
      <c r="U2776" s="515"/>
      <c r="V2776" s="494">
        <v>120</v>
      </c>
      <c r="W2776" s="2041">
        <f t="shared" si="174"/>
        <v>1.1805555555555555E-2</v>
      </c>
    </row>
    <row r="2777" spans="2:23" s="7" customFormat="1" ht="18" customHeight="1">
      <c r="B2777" s="12"/>
      <c r="C2777" s="6" t="s">
        <v>6495</v>
      </c>
      <c r="D2777" s="15" t="s">
        <v>11</v>
      </c>
      <c r="E2777" s="20" t="s">
        <v>27</v>
      </c>
      <c r="F2777" s="150"/>
      <c r="G2777" s="24"/>
      <c r="H2777" s="151"/>
      <c r="I2777" s="152"/>
      <c r="J2777" s="151"/>
      <c r="K2777" s="34" t="s">
        <v>10</v>
      </c>
      <c r="L2777" s="39"/>
      <c r="M2777" s="39"/>
      <c r="N2777" s="39">
        <v>45271</v>
      </c>
      <c r="O2777" s="38">
        <v>5737</v>
      </c>
      <c r="P2777" s="15"/>
      <c r="Q2777" s="483"/>
      <c r="S2777" s="2080" t="s">
        <v>6496</v>
      </c>
      <c r="T2777" s="113"/>
      <c r="U2777" s="506"/>
      <c r="V2777" s="494">
        <v>120</v>
      </c>
      <c r="W2777" s="7" t="e">
        <f t="shared" si="174"/>
        <v>#VALUE!</v>
      </c>
    </row>
    <row r="2778" spans="2:23" s="7" customFormat="1" ht="15.75">
      <c r="B2778" s="12" t="s">
        <v>1858</v>
      </c>
      <c r="C2778" s="6" t="s">
        <v>6495</v>
      </c>
      <c r="D2778" s="15" t="s">
        <v>11</v>
      </c>
      <c r="E2778" s="24" t="s">
        <v>536</v>
      </c>
      <c r="F2778" s="150">
        <v>160</v>
      </c>
      <c r="G2778" s="24" t="s">
        <v>735</v>
      </c>
      <c r="H2778" s="67">
        <v>50</v>
      </c>
      <c r="I2778" s="68">
        <v>6</v>
      </c>
      <c r="J2778" s="8">
        <f>H2778*I2778</f>
        <v>300</v>
      </c>
      <c r="K2778" s="25">
        <v>5</v>
      </c>
      <c r="L2778" s="46">
        <f>K2778*J2778</f>
        <v>1500</v>
      </c>
      <c r="M2778" s="162" t="s">
        <v>2218</v>
      </c>
      <c r="N2778" s="39">
        <v>45271</v>
      </c>
      <c r="O2778" s="38">
        <v>5737</v>
      </c>
      <c r="P2778" s="46">
        <f>K2778*(VLOOKUP(B2778,$C$2:$F$6,3,FALSE))</f>
        <v>4.6999999999999993</v>
      </c>
      <c r="Q2778" s="483">
        <v>4.7</v>
      </c>
      <c r="R2778" s="704">
        <f>Q2778*J2778</f>
        <v>1410</v>
      </c>
      <c r="S2778" s="532">
        <f>380+30</f>
        <v>410</v>
      </c>
      <c r="T2778" s="567">
        <f>S2778*J2778</f>
        <v>123000</v>
      </c>
      <c r="U2778" s="501"/>
      <c r="V2778" s="494">
        <v>120</v>
      </c>
      <c r="W2778" s="2041">
        <f t="shared" si="174"/>
        <v>0.31666666666666665</v>
      </c>
    </row>
    <row r="2779" spans="2:23" ht="15">
      <c r="C2779" s="6" t="s">
        <v>6495</v>
      </c>
      <c r="D2779" s="15" t="s">
        <v>11</v>
      </c>
      <c r="E2779" s="20" t="s">
        <v>79</v>
      </c>
      <c r="F2779" s="150"/>
      <c r="G2779" s="24"/>
      <c r="H2779" s="151"/>
      <c r="I2779" s="152"/>
      <c r="J2779" s="151"/>
      <c r="K2779" s="153" t="s">
        <v>10</v>
      </c>
      <c r="L2779" s="39"/>
      <c r="M2779" s="39"/>
      <c r="N2779" s="39">
        <v>45296</v>
      </c>
      <c r="O2779" s="38">
        <v>5784</v>
      </c>
      <c r="P2779" s="15"/>
      <c r="Q2779" s="483"/>
      <c r="S2779" s="496"/>
      <c r="T2779" s="113"/>
      <c r="V2779" s="494">
        <v>120</v>
      </c>
      <c r="W2779" s="2041" t="e">
        <f t="shared" si="174"/>
        <v>#VALUE!</v>
      </c>
    </row>
    <row r="2780" spans="2:23" s="7" customFormat="1" ht="15.75">
      <c r="B2780" s="12" t="s">
        <v>1858</v>
      </c>
      <c r="C2780" s="6" t="s">
        <v>6495</v>
      </c>
      <c r="D2780" s="15" t="s">
        <v>11</v>
      </c>
      <c r="E2780" s="24" t="s">
        <v>731</v>
      </c>
      <c r="F2780" s="150">
        <v>140</v>
      </c>
      <c r="G2780" s="24" t="s">
        <v>734</v>
      </c>
      <c r="H2780" s="67">
        <v>58</v>
      </c>
      <c r="I2780" s="68">
        <v>3</v>
      </c>
      <c r="J2780" s="67">
        <f>H2780*I2780</f>
        <v>174</v>
      </c>
      <c r="K2780" s="46">
        <v>10</v>
      </c>
      <c r="L2780" s="46">
        <f>K2780*J2780</f>
        <v>1740</v>
      </c>
      <c r="M2780" s="162" t="s">
        <v>2219</v>
      </c>
      <c r="N2780" s="39">
        <v>45296</v>
      </c>
      <c r="O2780" s="38">
        <v>5784</v>
      </c>
      <c r="P2780" s="46">
        <f>K2780*(VLOOKUP(B2780,$C$2:$F$6,3,FALSE))</f>
        <v>9.3999999999999986</v>
      </c>
      <c r="Q2780" s="483">
        <v>9.4</v>
      </c>
      <c r="R2780" s="704">
        <f>Q2780*J2780</f>
        <v>1635.6000000000001</v>
      </c>
      <c r="S2780" s="532">
        <f>740+30</f>
        <v>770</v>
      </c>
      <c r="T2780" s="113">
        <f>S2780*J2780</f>
        <v>133980</v>
      </c>
      <c r="U2780" s="501"/>
      <c r="V2780" s="494">
        <v>120</v>
      </c>
      <c r="W2780" s="2041">
        <f t="shared" si="174"/>
        <v>0.35833333333333334</v>
      </c>
    </row>
    <row r="2781" spans="2:23" s="7" customFormat="1" ht="15.75">
      <c r="B2781" s="12" t="s">
        <v>1858</v>
      </c>
      <c r="C2781" s="6" t="s">
        <v>6495</v>
      </c>
      <c r="D2781" s="15" t="s">
        <v>11</v>
      </c>
      <c r="E2781" s="24" t="s">
        <v>731</v>
      </c>
      <c r="F2781" s="150">
        <v>140</v>
      </c>
      <c r="G2781" s="24" t="s">
        <v>734</v>
      </c>
      <c r="H2781" s="67">
        <v>55</v>
      </c>
      <c r="I2781" s="68">
        <v>2</v>
      </c>
      <c r="J2781" s="67">
        <f>H2781*I2781</f>
        <v>110</v>
      </c>
      <c r="K2781" s="46">
        <v>10</v>
      </c>
      <c r="L2781" s="46">
        <f>K2781*J2781</f>
        <v>1100</v>
      </c>
      <c r="M2781" s="162" t="s">
        <v>2219</v>
      </c>
      <c r="N2781" s="39">
        <v>45296</v>
      </c>
      <c r="O2781" s="38">
        <v>5784</v>
      </c>
      <c r="P2781" s="46">
        <f>K2781*(VLOOKUP(B2781,$C$2:$F$6,3,FALSE))</f>
        <v>9.3999999999999986</v>
      </c>
      <c r="Q2781" s="483">
        <v>9.4</v>
      </c>
      <c r="R2781" s="704">
        <f>Q2781*J2781</f>
        <v>1034</v>
      </c>
      <c r="S2781" s="532">
        <f>740+30</f>
        <v>770</v>
      </c>
      <c r="T2781" s="113">
        <f>S2781*J2781</f>
        <v>84700</v>
      </c>
      <c r="U2781" s="501"/>
      <c r="V2781" s="494">
        <v>120</v>
      </c>
      <c r="W2781" s="2041">
        <f t="shared" si="174"/>
        <v>0.35833333333333334</v>
      </c>
    </row>
    <row r="2782" spans="2:23" s="7" customFormat="1" ht="15.75">
      <c r="B2782" s="12" t="s">
        <v>1858</v>
      </c>
      <c r="C2782" s="6" t="s">
        <v>6495</v>
      </c>
      <c r="D2782" s="15" t="s">
        <v>11</v>
      </c>
      <c r="E2782" s="24" t="s">
        <v>731</v>
      </c>
      <c r="F2782" s="150">
        <v>140</v>
      </c>
      <c r="G2782" s="24" t="s">
        <v>734</v>
      </c>
      <c r="H2782" s="67">
        <v>54</v>
      </c>
      <c r="I2782" s="68">
        <v>1</v>
      </c>
      <c r="J2782" s="67">
        <f>H2782*I2782</f>
        <v>54</v>
      </c>
      <c r="K2782" s="46">
        <v>10</v>
      </c>
      <c r="L2782" s="46">
        <f>K2782*J2782</f>
        <v>540</v>
      </c>
      <c r="M2782" s="162" t="s">
        <v>2219</v>
      </c>
      <c r="N2782" s="39">
        <v>45296</v>
      </c>
      <c r="O2782" s="38">
        <v>5784</v>
      </c>
      <c r="P2782" s="46">
        <f>K2782*(VLOOKUP(B2782,$C$2:$F$6,3,FALSE))</f>
        <v>9.3999999999999986</v>
      </c>
      <c r="Q2782" s="483">
        <v>9.4</v>
      </c>
      <c r="R2782" s="704">
        <f>Q2782*J2782</f>
        <v>507.6</v>
      </c>
      <c r="S2782" s="532">
        <f>740+30</f>
        <v>770</v>
      </c>
      <c r="T2782" s="113">
        <f>S2782*J2782</f>
        <v>41580</v>
      </c>
      <c r="U2782" s="501"/>
      <c r="V2782" s="494">
        <v>120</v>
      </c>
      <c r="W2782" s="2041">
        <f t="shared" si="174"/>
        <v>0.35833333333333334</v>
      </c>
    </row>
    <row r="2783" spans="2:23" ht="15">
      <c r="C2783" s="6" t="s">
        <v>6495</v>
      </c>
      <c r="D2783" s="15" t="s">
        <v>11</v>
      </c>
      <c r="E2783" s="20" t="s">
        <v>79</v>
      </c>
      <c r="F2783" s="150"/>
      <c r="G2783" s="24"/>
      <c r="H2783" s="151"/>
      <c r="I2783" s="152"/>
      <c r="J2783" s="151"/>
      <c r="K2783" s="153" t="s">
        <v>10</v>
      </c>
      <c r="L2783" s="39"/>
      <c r="M2783" s="39"/>
      <c r="N2783" s="39">
        <v>45271</v>
      </c>
      <c r="O2783" s="38">
        <v>5737</v>
      </c>
      <c r="P2783" s="15"/>
      <c r="Q2783" s="483"/>
      <c r="S2783" s="496"/>
      <c r="T2783" s="113"/>
      <c r="V2783" s="494">
        <v>120</v>
      </c>
      <c r="W2783" s="2041" t="e">
        <f t="shared" si="174"/>
        <v>#VALUE!</v>
      </c>
    </row>
    <row r="2784" spans="2:23" ht="15.75">
      <c r="B2784" s="12" t="s">
        <v>1858</v>
      </c>
      <c r="C2784" s="6" t="s">
        <v>6495</v>
      </c>
      <c r="D2784" s="15" t="s">
        <v>11</v>
      </c>
      <c r="E2784" s="24">
        <v>2440</v>
      </c>
      <c r="F2784" s="150">
        <v>140</v>
      </c>
      <c r="G2784" s="24" t="s">
        <v>733</v>
      </c>
      <c r="H2784" s="67">
        <v>58</v>
      </c>
      <c r="I2784" s="68">
        <v>7</v>
      </c>
      <c r="J2784" s="67">
        <f>H2784*I2784</f>
        <v>406</v>
      </c>
      <c r="K2784" s="46">
        <v>3.89</v>
      </c>
      <c r="L2784" s="46">
        <f>K2784*J2784</f>
        <v>1579.3400000000001</v>
      </c>
      <c r="M2784" s="162" t="s">
        <v>2219</v>
      </c>
      <c r="N2784" s="39">
        <v>45271</v>
      </c>
      <c r="O2784" s="38">
        <v>5737</v>
      </c>
      <c r="P2784" s="46">
        <f>K2784*(VLOOKUP(B2784,$C$2:$F$6,3,FALSE))</f>
        <v>3.6566000000000001</v>
      </c>
      <c r="Q2784" s="483">
        <v>3.66</v>
      </c>
      <c r="R2784" s="704">
        <f>Q2784*J2784</f>
        <v>1485.96</v>
      </c>
      <c r="S2784" s="489">
        <f>300+30</f>
        <v>330</v>
      </c>
      <c r="T2784" s="567">
        <f>S2784*J2784</f>
        <v>133980</v>
      </c>
      <c r="V2784" s="494">
        <v>120</v>
      </c>
      <c r="W2784" s="2041">
        <f t="shared" ref="W2784:W2802" si="180">(((K2784*V2784)-S2784)/(K2784*V2784))</f>
        <v>0.29305912596401029</v>
      </c>
    </row>
    <row r="2785" spans="2:23" ht="15.75">
      <c r="B2785" s="12" t="s">
        <v>1858</v>
      </c>
      <c r="C2785" s="6" t="s">
        <v>6495</v>
      </c>
      <c r="D2785" s="15" t="s">
        <v>11</v>
      </c>
      <c r="E2785" s="24">
        <v>2440</v>
      </c>
      <c r="F2785" s="150">
        <v>140</v>
      </c>
      <c r="G2785" s="24" t="s">
        <v>859</v>
      </c>
      <c r="H2785" s="67">
        <v>58</v>
      </c>
      <c r="I2785" s="68">
        <v>3</v>
      </c>
      <c r="J2785" s="67">
        <f>H2785*I2785</f>
        <v>174</v>
      </c>
      <c r="K2785" s="46">
        <v>3.89</v>
      </c>
      <c r="L2785" s="46">
        <f>K2785*J2785</f>
        <v>676.86</v>
      </c>
      <c r="M2785" s="162" t="s">
        <v>2219</v>
      </c>
      <c r="N2785" s="39">
        <v>45271</v>
      </c>
      <c r="O2785" s="38">
        <v>5737</v>
      </c>
      <c r="P2785" s="46">
        <f>K2785*(VLOOKUP(B2785,$C$2:$F$6,3,FALSE))</f>
        <v>3.6566000000000001</v>
      </c>
      <c r="Q2785" s="483">
        <v>3.66</v>
      </c>
      <c r="R2785" s="704">
        <f>Q2785*J2785</f>
        <v>636.84</v>
      </c>
      <c r="S2785" s="489">
        <f>300+30</f>
        <v>330</v>
      </c>
      <c r="T2785" s="567">
        <f>S2785*J2785</f>
        <v>57420</v>
      </c>
      <c r="V2785" s="494">
        <v>120</v>
      </c>
      <c r="W2785" s="2041">
        <f t="shared" si="180"/>
        <v>0.29305912596401029</v>
      </c>
    </row>
    <row r="2786" spans="2:23" ht="15">
      <c r="C2786" s="6" t="s">
        <v>6495</v>
      </c>
      <c r="D2786" s="15" t="s">
        <v>11</v>
      </c>
      <c r="E2786" s="24"/>
      <c r="F2786" s="160"/>
      <c r="G2786" s="228" t="s">
        <v>481</v>
      </c>
      <c r="H2786" s="214"/>
      <c r="I2786" s="215"/>
      <c r="J2786" s="43">
        <v>1</v>
      </c>
      <c r="K2786" s="229">
        <v>20</v>
      </c>
      <c r="L2786" s="417" t="s">
        <v>1676</v>
      </c>
      <c r="M2786" s="417"/>
      <c r="N2786" s="39">
        <v>45271</v>
      </c>
      <c r="O2786" s="38">
        <v>5737</v>
      </c>
      <c r="P2786" s="216"/>
      <c r="Q2786" s="525">
        <v>0</v>
      </c>
      <c r="R2786" s="704">
        <f>Q2786*J2786</f>
        <v>0</v>
      </c>
      <c r="S2786" s="532">
        <v>0</v>
      </c>
      <c r="T2786" s="113">
        <f>S2786*J2786</f>
        <v>0</v>
      </c>
      <c r="V2786" s="494">
        <v>120</v>
      </c>
      <c r="W2786" s="2041">
        <f t="shared" si="180"/>
        <v>1</v>
      </c>
    </row>
    <row r="2787" spans="2:23" s="314" customFormat="1" ht="15">
      <c r="B2787" s="313"/>
      <c r="C2787" s="302" t="s">
        <v>6495</v>
      </c>
      <c r="D2787" s="303" t="s">
        <v>11</v>
      </c>
      <c r="E2787" s="304"/>
      <c r="F2787" s="305"/>
      <c r="G2787" s="305" t="s">
        <v>1227</v>
      </c>
      <c r="H2787" s="307" t="s">
        <v>1228</v>
      </c>
      <c r="I2787" s="308"/>
      <c r="J2787" s="306"/>
      <c r="K2787" s="315">
        <v>0</v>
      </c>
      <c r="L2787" s="310"/>
      <c r="M2787" s="310"/>
      <c r="N2787" s="310">
        <v>45271</v>
      </c>
      <c r="O2787" s="309">
        <v>5737</v>
      </c>
      <c r="P2787" s="302"/>
      <c r="Q2787" s="485">
        <v>0</v>
      </c>
      <c r="S2787" s="535">
        <v>0</v>
      </c>
      <c r="T2787" s="322">
        <v>0</v>
      </c>
      <c r="U2787" s="515"/>
      <c r="V2787" s="494">
        <v>120</v>
      </c>
      <c r="W2787" s="2041" t="e">
        <f t="shared" si="180"/>
        <v>#DIV/0!</v>
      </c>
    </row>
    <row r="2788" spans="2:23" s="7" customFormat="1" ht="18" customHeight="1">
      <c r="B2788" s="12"/>
      <c r="C2788" s="6" t="s">
        <v>6508</v>
      </c>
      <c r="D2788" s="15" t="s">
        <v>5353</v>
      </c>
      <c r="E2788" s="20" t="s">
        <v>27</v>
      </c>
      <c r="F2788" s="150"/>
      <c r="G2788" s="24"/>
      <c r="H2788" s="151"/>
      <c r="I2788" s="152"/>
      <c r="J2788" s="151"/>
      <c r="K2788" s="153" t="s">
        <v>10</v>
      </c>
      <c r="L2788" s="213"/>
      <c r="M2788" s="39"/>
      <c r="N2788" s="39">
        <v>45268</v>
      </c>
      <c r="O2788" s="38">
        <v>5733</v>
      </c>
      <c r="P2788" s="15"/>
      <c r="Q2788" s="703"/>
      <c r="U2788" s="15"/>
      <c r="V2788" s="494">
        <v>120</v>
      </c>
      <c r="W2788" s="2041" t="e">
        <f t="shared" si="180"/>
        <v>#VALUE!</v>
      </c>
    </row>
    <row r="2789" spans="2:23" s="7" customFormat="1" ht="18" customHeight="1">
      <c r="B2789" s="12" t="s">
        <v>1858</v>
      </c>
      <c r="C2789" s="6" t="s">
        <v>6508</v>
      </c>
      <c r="D2789" s="15" t="s">
        <v>5353</v>
      </c>
      <c r="E2789" s="24" t="s">
        <v>736</v>
      </c>
      <c r="F2789" s="150">
        <v>162</v>
      </c>
      <c r="G2789" s="24" t="s">
        <v>5605</v>
      </c>
      <c r="H2789" s="151">
        <v>50</v>
      </c>
      <c r="I2789" s="152">
        <v>4</v>
      </c>
      <c r="J2789" s="8">
        <f>H2789*I2789</f>
        <v>200</v>
      </c>
      <c r="K2789" s="46">
        <v>4.59</v>
      </c>
      <c r="L2789" s="46">
        <f>K2789*J2789</f>
        <v>918</v>
      </c>
      <c r="M2789" s="162" t="s">
        <v>2218</v>
      </c>
      <c r="N2789" s="39">
        <v>45268</v>
      </c>
      <c r="O2789" s="38">
        <v>5733</v>
      </c>
      <c r="P2789" s="46">
        <f>K2789*(VLOOKUP(B2789,$C$2:$F$6,3,FALSE))</f>
        <v>4.3145999999999995</v>
      </c>
      <c r="Q2789" s="703">
        <v>4.3099999999999996</v>
      </c>
      <c r="R2789" s="703">
        <f>Q2789*J2789</f>
        <v>861.99999999999989</v>
      </c>
      <c r="S2789" s="7">
        <v>350</v>
      </c>
      <c r="T2789" s="7">
        <f>S2789*J2789</f>
        <v>70000</v>
      </c>
      <c r="U2789" s="499"/>
      <c r="V2789" s="494">
        <v>120</v>
      </c>
      <c r="W2789" s="2041">
        <f t="shared" si="180"/>
        <v>0.36456063907044295</v>
      </c>
    </row>
    <row r="2790" spans="2:23" s="7" customFormat="1" ht="18" customHeight="1">
      <c r="B2790" s="12"/>
      <c r="C2790" s="6" t="s">
        <v>6508</v>
      </c>
      <c r="D2790" s="15" t="s">
        <v>5353</v>
      </c>
      <c r="E2790" s="238"/>
      <c r="F2790" s="44"/>
      <c r="G2790" s="24" t="s">
        <v>2975</v>
      </c>
      <c r="H2790" s="8"/>
      <c r="I2790" s="152" ph="1"/>
      <c r="J2790" s="45">
        <v>2</v>
      </c>
      <c r="K2790" s="46">
        <v>20</v>
      </c>
      <c r="L2790" s="46">
        <f>K2790*J2790</f>
        <v>40</v>
      </c>
      <c r="M2790" s="112"/>
      <c r="N2790" s="39">
        <v>45268</v>
      </c>
      <c r="O2790" s="38">
        <v>5733</v>
      </c>
      <c r="P2790" s="6"/>
      <c r="Q2790" s="703">
        <v>20</v>
      </c>
      <c r="R2790" s="703">
        <f>Q2790*J2790</f>
        <v>40</v>
      </c>
      <c r="S2790" s="7">
        <v>1800</v>
      </c>
      <c r="T2790" s="7">
        <v>1800</v>
      </c>
      <c r="U2790" s="23"/>
      <c r="V2790" s="494">
        <v>120</v>
      </c>
      <c r="W2790" s="2041">
        <f t="shared" si="180"/>
        <v>0.25</v>
      </c>
    </row>
    <row r="2791" spans="2:23" s="314" customFormat="1" ht="18" customHeight="1">
      <c r="B2791" s="313"/>
      <c r="C2791" s="302" t="s">
        <v>6508</v>
      </c>
      <c r="D2791" s="303" t="s">
        <v>5353</v>
      </c>
      <c r="E2791" s="371"/>
      <c r="F2791" s="305"/>
      <c r="G2791" s="305" t="s">
        <v>1227</v>
      </c>
      <c r="H2791" s="307" t="s">
        <v>1228</v>
      </c>
      <c r="I2791" s="308"/>
      <c r="J2791" s="306"/>
      <c r="K2791" s="315">
        <v>0</v>
      </c>
      <c r="L2791" s="310"/>
      <c r="M2791" s="310"/>
      <c r="N2791" s="310">
        <v>45268</v>
      </c>
      <c r="O2791" s="309">
        <v>5733</v>
      </c>
      <c r="P2791" s="302"/>
      <c r="Q2791" s="531">
        <v>0</v>
      </c>
      <c r="S2791" s="535">
        <v>0</v>
      </c>
      <c r="T2791" s="322">
        <v>0</v>
      </c>
      <c r="U2791" s="1115"/>
      <c r="V2791" s="494">
        <v>120</v>
      </c>
      <c r="W2791" s="2041" t="e">
        <f t="shared" si="180"/>
        <v>#DIV/0!</v>
      </c>
    </row>
    <row r="2792" spans="2:23" s="7" customFormat="1" ht="18" customHeight="1">
      <c r="B2792" s="12"/>
      <c r="C2792" s="6" t="s">
        <v>6551</v>
      </c>
      <c r="D2792" s="15" t="s">
        <v>6552</v>
      </c>
      <c r="E2792" s="20" t="s">
        <v>79</v>
      </c>
      <c r="F2792" s="150"/>
      <c r="G2792" s="24"/>
      <c r="H2792" s="151"/>
      <c r="I2792" s="152"/>
      <c r="J2792" s="151"/>
      <c r="K2792" s="34" t="s">
        <v>10</v>
      </c>
      <c r="L2792" s="39"/>
      <c r="M2792" s="39"/>
      <c r="N2792" s="39">
        <v>45296</v>
      </c>
      <c r="O2792" s="38">
        <v>5789</v>
      </c>
      <c r="P2792" s="15"/>
      <c r="Q2792" s="483"/>
      <c r="S2792" s="489"/>
      <c r="T2792" s="113"/>
      <c r="U2792" s="506"/>
      <c r="V2792" s="494">
        <v>120</v>
      </c>
      <c r="W2792" s="2041" t="e">
        <f t="shared" si="180"/>
        <v>#VALUE!</v>
      </c>
    </row>
    <row r="2793" spans="2:23" s="7" customFormat="1" ht="15" customHeight="1">
      <c r="B2793" s="12" t="s">
        <v>1858</v>
      </c>
      <c r="C2793" s="6" t="s">
        <v>6551</v>
      </c>
      <c r="D2793" s="15" t="s">
        <v>6552</v>
      </c>
      <c r="E2793" s="24">
        <v>2440</v>
      </c>
      <c r="F2793" s="150">
        <v>140</v>
      </c>
      <c r="G2793" s="24" t="s">
        <v>6553</v>
      </c>
      <c r="H2793" s="8"/>
      <c r="I2793" s="41"/>
      <c r="J2793" s="8">
        <v>30</v>
      </c>
      <c r="K2793" s="46">
        <v>4.38</v>
      </c>
      <c r="L2793" s="46">
        <f>K2793*J2793</f>
        <v>131.4</v>
      </c>
      <c r="M2793" s="162" t="s">
        <v>2219</v>
      </c>
      <c r="N2793" s="39">
        <v>45296</v>
      </c>
      <c r="O2793" s="38">
        <v>5789</v>
      </c>
      <c r="P2793" s="46">
        <f>K2793*(VLOOKUP(B2793,$C$2:$F$6,3,FALSE))</f>
        <v>4.1171999999999995</v>
      </c>
      <c r="Q2793" s="703">
        <v>4.12</v>
      </c>
      <c r="R2793" s="704">
        <f>Q2793*J2793</f>
        <v>123.60000000000001</v>
      </c>
      <c r="S2793" s="7">
        <v>300</v>
      </c>
      <c r="T2793" s="567">
        <f>S2793*J2793</f>
        <v>9000</v>
      </c>
      <c r="U2793" s="882"/>
      <c r="V2793" s="494">
        <v>120</v>
      </c>
      <c r="W2793" s="2041">
        <f t="shared" si="180"/>
        <v>0.42922374429223747</v>
      </c>
    </row>
    <row r="2794" spans="2:23" s="7" customFormat="1" ht="15" customHeight="1">
      <c r="B2794" s="12" t="s">
        <v>1858</v>
      </c>
      <c r="C2794" s="6" t="s">
        <v>6551</v>
      </c>
      <c r="D2794" s="15" t="s">
        <v>6552</v>
      </c>
      <c r="E2794" s="24">
        <v>2440</v>
      </c>
      <c r="F2794" s="150">
        <v>140</v>
      </c>
      <c r="G2794" s="24" t="s">
        <v>6554</v>
      </c>
      <c r="H2794" s="8"/>
      <c r="I2794" s="41"/>
      <c r="J2794" s="8">
        <v>30</v>
      </c>
      <c r="K2794" s="46">
        <v>4.38</v>
      </c>
      <c r="L2794" s="46">
        <f>K2794*J2794</f>
        <v>131.4</v>
      </c>
      <c r="M2794" s="162" t="s">
        <v>2219</v>
      </c>
      <c r="N2794" s="39">
        <v>45296</v>
      </c>
      <c r="O2794" s="38">
        <v>5789</v>
      </c>
      <c r="P2794" s="46">
        <f>K2794*(VLOOKUP(B2794,$C$2:$F$6,3,FALSE))</f>
        <v>4.1171999999999995</v>
      </c>
      <c r="Q2794" s="703">
        <v>4.12</v>
      </c>
      <c r="R2794" s="704">
        <f>Q2794*J2794</f>
        <v>123.60000000000001</v>
      </c>
      <c r="S2794" s="7">
        <v>300</v>
      </c>
      <c r="T2794" s="567">
        <f>S2794*J2794</f>
        <v>9000</v>
      </c>
      <c r="U2794" s="882"/>
      <c r="V2794" s="494">
        <v>120</v>
      </c>
      <c r="W2794" s="2041">
        <f t="shared" si="180"/>
        <v>0.42922374429223747</v>
      </c>
    </row>
    <row r="2795" spans="2:23" s="7" customFormat="1" ht="15" customHeight="1">
      <c r="B2795" s="12" t="s">
        <v>1858</v>
      </c>
      <c r="C2795" s="6" t="s">
        <v>6551</v>
      </c>
      <c r="D2795" s="15" t="s">
        <v>6552</v>
      </c>
      <c r="E2795" s="24">
        <v>2440</v>
      </c>
      <c r="F2795" s="150">
        <v>140</v>
      </c>
      <c r="G2795" s="24" t="s">
        <v>5998</v>
      </c>
      <c r="H2795" s="8"/>
      <c r="I2795" s="41"/>
      <c r="J2795" s="8">
        <v>30</v>
      </c>
      <c r="K2795" s="46">
        <v>4.38</v>
      </c>
      <c r="L2795" s="46">
        <f>K2795*J2795</f>
        <v>131.4</v>
      </c>
      <c r="M2795" s="162" t="s">
        <v>2219</v>
      </c>
      <c r="N2795" s="39">
        <v>45296</v>
      </c>
      <c r="O2795" s="38">
        <v>5789</v>
      </c>
      <c r="P2795" s="46">
        <f>K2795*(VLOOKUP(B2795,$C$2:$F$6,3,FALSE))</f>
        <v>4.1171999999999995</v>
      </c>
      <c r="Q2795" s="703">
        <v>4.12</v>
      </c>
      <c r="R2795" s="704">
        <f>Q2795*J2795</f>
        <v>123.60000000000001</v>
      </c>
      <c r="S2795" s="7">
        <v>300</v>
      </c>
      <c r="T2795" s="567">
        <f>S2795*J2795</f>
        <v>9000</v>
      </c>
      <c r="U2795" s="882"/>
      <c r="V2795" s="494">
        <v>120</v>
      </c>
      <c r="W2795" s="2041">
        <f t="shared" si="180"/>
        <v>0.42922374429223747</v>
      </c>
    </row>
    <row r="2796" spans="2:23" s="7" customFormat="1" ht="15.95" customHeight="1">
      <c r="B2796" s="12"/>
      <c r="C2796" s="6" t="s">
        <v>6551</v>
      </c>
      <c r="D2796" s="15" t="s">
        <v>6552</v>
      </c>
      <c r="E2796" s="24"/>
      <c r="F2796" s="138"/>
      <c r="G2796" s="44" t="s">
        <v>75</v>
      </c>
      <c r="H2796" s="8"/>
      <c r="I2796" s="41"/>
      <c r="J2796" s="45">
        <v>3</v>
      </c>
      <c r="K2796" s="46">
        <v>12</v>
      </c>
      <c r="L2796" s="46">
        <f>K2796*J2796</f>
        <v>36</v>
      </c>
      <c r="M2796" s="39"/>
      <c r="N2796" s="39">
        <v>45296</v>
      </c>
      <c r="O2796" s="38">
        <v>5789</v>
      </c>
      <c r="P2796" s="6"/>
      <c r="Q2796" s="483">
        <v>12</v>
      </c>
      <c r="R2796" s="704">
        <f>Q2796*J2796</f>
        <v>36</v>
      </c>
      <c r="S2796" s="489">
        <v>1000</v>
      </c>
      <c r="T2796" s="113">
        <f>S2796*J2796</f>
        <v>3000</v>
      </c>
      <c r="U2796" s="501"/>
      <c r="V2796" s="494">
        <v>120</v>
      </c>
      <c r="W2796" s="2041">
        <f t="shared" si="180"/>
        <v>0.30555555555555558</v>
      </c>
    </row>
    <row r="2797" spans="2:23" s="7" customFormat="1" ht="15.95" customHeight="1">
      <c r="B2797" s="12"/>
      <c r="C2797" s="6" t="s">
        <v>6551</v>
      </c>
      <c r="D2797" s="15" t="s">
        <v>6552</v>
      </c>
      <c r="E2797" s="24"/>
      <c r="F2797" s="138"/>
      <c r="G2797" s="44" t="s">
        <v>1993</v>
      </c>
      <c r="H2797" s="8"/>
      <c r="I2797" s="41"/>
      <c r="J2797" s="45">
        <v>1</v>
      </c>
      <c r="K2797" s="46">
        <v>20</v>
      </c>
      <c r="L2797" s="46">
        <f>K2797*J2797</f>
        <v>20</v>
      </c>
      <c r="M2797" s="39"/>
      <c r="N2797" s="39">
        <v>45296</v>
      </c>
      <c r="O2797" s="38">
        <v>5789</v>
      </c>
      <c r="P2797" s="6"/>
      <c r="Q2797" s="483">
        <v>20</v>
      </c>
      <c r="R2797" s="704">
        <f>Q2797*J2797</f>
        <v>20</v>
      </c>
      <c r="S2797" s="489">
        <v>1000</v>
      </c>
      <c r="T2797" s="113">
        <f>S2797*J2797</f>
        <v>1000</v>
      </c>
      <c r="U2797" s="501"/>
      <c r="V2797" s="494">
        <v>120</v>
      </c>
      <c r="W2797" s="2041">
        <f t="shared" si="180"/>
        <v>0.58333333333333337</v>
      </c>
    </row>
    <row r="2798" spans="2:23" s="314" customFormat="1" ht="15">
      <c r="B2798" s="313"/>
      <c r="C2798" s="302" t="s">
        <v>6551</v>
      </c>
      <c r="D2798" s="303" t="s">
        <v>6552</v>
      </c>
      <c r="E2798" s="304"/>
      <c r="F2798" s="305"/>
      <c r="G2798" s="305" t="s">
        <v>1227</v>
      </c>
      <c r="H2798" s="307" t="s">
        <v>1228</v>
      </c>
      <c r="I2798" s="308"/>
      <c r="J2798" s="306"/>
      <c r="K2798" s="315">
        <v>0</v>
      </c>
      <c r="L2798" s="310"/>
      <c r="M2798" s="310"/>
      <c r="N2798" s="310">
        <v>45296</v>
      </c>
      <c r="O2798" s="309">
        <v>5789</v>
      </c>
      <c r="P2798" s="302"/>
      <c r="Q2798" s="485">
        <v>0</v>
      </c>
      <c r="S2798" s="536">
        <v>0</v>
      </c>
      <c r="T2798" s="322">
        <v>0</v>
      </c>
      <c r="U2798" s="515"/>
      <c r="V2798" s="494">
        <v>120</v>
      </c>
      <c r="W2798" s="2041" t="e">
        <f t="shared" si="180"/>
        <v>#DIV/0!</v>
      </c>
    </row>
    <row r="2799" spans="2:23" s="7" customFormat="1" ht="15">
      <c r="B2799" s="12"/>
      <c r="C2799" s="6"/>
      <c r="D2799" s="61" t="s">
        <v>6558</v>
      </c>
      <c r="E2799" s="20" t="s">
        <v>344</v>
      </c>
      <c r="F2799" s="26"/>
      <c r="G2799" s="24"/>
      <c r="H2799" s="67"/>
      <c r="I2799" s="68"/>
      <c r="J2799" s="67"/>
      <c r="K2799" s="17" t="s">
        <v>134</v>
      </c>
      <c r="L2799" s="39"/>
      <c r="M2799" s="39"/>
      <c r="N2799" s="39"/>
      <c r="O2799" s="38"/>
      <c r="P2799" s="6" t="s">
        <v>23</v>
      </c>
      <c r="Q2799" s="481"/>
      <c r="S2799" s="489"/>
      <c r="T2799" s="113"/>
      <c r="U2799" s="500"/>
      <c r="V2799" s="494">
        <v>120</v>
      </c>
      <c r="W2799" s="2041" t="e">
        <f t="shared" si="180"/>
        <v>#VALUE!</v>
      </c>
    </row>
    <row r="2800" spans="2:23" s="7" customFormat="1" ht="15.75">
      <c r="B2800" s="12" t="s">
        <v>1856</v>
      </c>
      <c r="C2800" s="6"/>
      <c r="D2800" s="61" t="s">
        <v>6558</v>
      </c>
      <c r="E2800" s="95">
        <v>14552</v>
      </c>
      <c r="F2800" s="26">
        <v>38</v>
      </c>
      <c r="G2800" s="24" t="s">
        <v>443</v>
      </c>
      <c r="H2800" s="151">
        <v>30</v>
      </c>
      <c r="I2800" s="152">
        <v>1</v>
      </c>
      <c r="J2800" s="67">
        <f>H2800*I2800</f>
        <v>30</v>
      </c>
      <c r="K2800" s="25">
        <v>1.78</v>
      </c>
      <c r="L2800" s="46">
        <f>K2800*J2800</f>
        <v>53.4</v>
      </c>
      <c r="M2800" s="162" t="s">
        <v>2219</v>
      </c>
      <c r="N2800" s="39"/>
      <c r="O2800" s="38"/>
      <c r="P2800" s="46">
        <f>K2800*(VLOOKUP(B2800,$C$2:$F$6,3,FALSE))</f>
        <v>1.5664</v>
      </c>
      <c r="Q2800" s="482">
        <v>1.57</v>
      </c>
      <c r="R2800" s="704">
        <f>Q2800*J2800</f>
        <v>47.1</v>
      </c>
      <c r="S2800" s="489">
        <v>106</v>
      </c>
      <c r="T2800" s="567">
        <f>S2800*J2800</f>
        <v>3180</v>
      </c>
      <c r="U2800" s="1784"/>
      <c r="V2800" s="494">
        <v>120</v>
      </c>
      <c r="W2800" s="2041">
        <f t="shared" si="180"/>
        <v>0.50374531835205993</v>
      </c>
    </row>
    <row r="2801" spans="1:23" s="7" customFormat="1" ht="15">
      <c r="A2801" s="1"/>
      <c r="B2801" s="12"/>
      <c r="C2801" s="6"/>
      <c r="D2801" s="61" t="s">
        <v>6558</v>
      </c>
      <c r="E2801" s="20" t="s">
        <v>902</v>
      </c>
      <c r="F2801" s="26"/>
      <c r="G2801" s="24"/>
      <c r="H2801" s="36"/>
      <c r="I2801" s="68"/>
      <c r="J2801" s="67"/>
      <c r="K2801" s="17" t="s">
        <v>10</v>
      </c>
      <c r="L2801" s="11"/>
      <c r="M2801" s="11"/>
      <c r="N2801" s="39"/>
      <c r="O2801" s="38"/>
      <c r="P2801" s="6"/>
      <c r="Q2801" s="482"/>
      <c r="S2801" s="489"/>
      <c r="T2801" s="113"/>
      <c r="U2801" s="500"/>
      <c r="V2801" s="494">
        <v>120</v>
      </c>
      <c r="W2801" s="2041" t="e">
        <f t="shared" si="180"/>
        <v>#VALUE!</v>
      </c>
    </row>
    <row r="2802" spans="1:23" s="7" customFormat="1" ht="15.75">
      <c r="A2802" s="1"/>
      <c r="B2802" s="12" t="s">
        <v>1856</v>
      </c>
      <c r="C2802" s="6"/>
      <c r="D2802" s="61" t="s">
        <v>6558</v>
      </c>
      <c r="E2802" s="95" t="s">
        <v>6563</v>
      </c>
      <c r="F2802" s="26">
        <v>38</v>
      </c>
      <c r="G2802" s="24" t="s">
        <v>2610</v>
      </c>
      <c r="H2802" s="8">
        <v>30</v>
      </c>
      <c r="I2802" s="41">
        <v>1</v>
      </c>
      <c r="J2802" s="8">
        <f>H2802*I2802</f>
        <v>30</v>
      </c>
      <c r="K2802" s="25">
        <v>1.65</v>
      </c>
      <c r="L2802" s="46">
        <f>K2802*J2802</f>
        <v>49.5</v>
      </c>
      <c r="M2802" s="162" t="s">
        <v>2219</v>
      </c>
      <c r="N2802" s="39"/>
      <c r="O2802" s="38"/>
      <c r="P2802" s="46">
        <f>K2802*(VLOOKUP(B2802,$C$2:$F$6,3,FALSE))</f>
        <v>1.452</v>
      </c>
      <c r="Q2802" s="482">
        <v>1.45</v>
      </c>
      <c r="R2802" s="704">
        <f>Q2802*J2802</f>
        <v>43.5</v>
      </c>
      <c r="S2802" s="489">
        <v>97.433000000000007</v>
      </c>
      <c r="T2802" s="567">
        <f>S2802*J2802</f>
        <v>2922.9900000000002</v>
      </c>
      <c r="U2802" s="500"/>
      <c r="V2802" s="494">
        <v>120</v>
      </c>
      <c r="W2802" s="2041">
        <f t="shared" si="180"/>
        <v>0.50791414141414137</v>
      </c>
    </row>
    <row r="2803" spans="1:23" s="7" customFormat="1" ht="15">
      <c r="A2803" s="1"/>
      <c r="B2803" s="12"/>
      <c r="C2803" s="6"/>
      <c r="D2803" s="61" t="s">
        <v>6558</v>
      </c>
      <c r="E2803" s="20" t="s">
        <v>1139</v>
      </c>
      <c r="F2803" s="26"/>
      <c r="G2803" s="24"/>
      <c r="H2803" s="45"/>
      <c r="I2803" s="68"/>
      <c r="J2803" s="67"/>
      <c r="K2803" s="17" t="s">
        <v>10</v>
      </c>
      <c r="L2803" s="39"/>
      <c r="M2803" s="39"/>
      <c r="N2803" s="39"/>
      <c r="O2803" s="38"/>
      <c r="P2803" s="6"/>
      <c r="Q2803" s="482"/>
      <c r="S2803" s="489"/>
      <c r="T2803" s="113"/>
      <c r="U2803" s="500"/>
      <c r="V2803" s="494">
        <v>120</v>
      </c>
    </row>
    <row r="2804" spans="1:23" s="7" customFormat="1" ht="15" customHeight="1">
      <c r="A2804" s="1"/>
      <c r="B2804" s="12" t="s">
        <v>1856</v>
      </c>
      <c r="C2804" s="6"/>
      <c r="D2804" s="61" t="s">
        <v>6558</v>
      </c>
      <c r="E2804" s="95">
        <v>3717</v>
      </c>
      <c r="F2804" s="26">
        <v>32</v>
      </c>
      <c r="G2804" s="24" t="s">
        <v>2610</v>
      </c>
      <c r="H2804" s="151">
        <v>30</v>
      </c>
      <c r="I2804" s="152">
        <v>1</v>
      </c>
      <c r="J2804" s="67">
        <f>H2804*I2804</f>
        <v>30</v>
      </c>
      <c r="K2804" s="46">
        <v>0.82</v>
      </c>
      <c r="L2804" s="46">
        <f>K2804*J2804</f>
        <v>24.599999999999998</v>
      </c>
      <c r="M2804" s="162" t="s">
        <v>2219</v>
      </c>
      <c r="N2804" s="39"/>
      <c r="O2804" s="38"/>
      <c r="P2804" s="46">
        <f>K2804*(VLOOKUP(B2804,$C$2:$F$6,3,FALSE))</f>
        <v>0.72159999999999991</v>
      </c>
      <c r="Q2804" s="483">
        <v>0.72</v>
      </c>
      <c r="R2804" s="704">
        <f>Q2804*J2804</f>
        <v>21.599999999999998</v>
      </c>
      <c r="S2804" s="489">
        <v>44</v>
      </c>
      <c r="T2804" s="567">
        <f>S2804*J2804</f>
        <v>1320</v>
      </c>
      <c r="U2804" s="1021" t="s">
        <v>6559</v>
      </c>
      <c r="V2804" s="494">
        <v>120</v>
      </c>
      <c r="W2804" s="2041">
        <f t="shared" ref="W2804:W2809" si="181">(((K2804*V2804)-S2804)/(K2804*V2804))</f>
        <v>0.55284552845528456</v>
      </c>
    </row>
    <row r="2805" spans="1:23" s="7" customFormat="1" ht="15.95" customHeight="1">
      <c r="B2805" s="12"/>
      <c r="C2805" s="6"/>
      <c r="D2805" s="61" t="s">
        <v>6558</v>
      </c>
      <c r="E2805" s="24"/>
      <c r="F2805" s="138"/>
      <c r="G2805" s="44" t="s">
        <v>1993</v>
      </c>
      <c r="H2805" s="8"/>
      <c r="I2805" s="41"/>
      <c r="J2805" s="45">
        <v>1</v>
      </c>
      <c r="K2805" s="46">
        <v>12</v>
      </c>
      <c r="L2805" s="46">
        <f>K2805*J2805</f>
        <v>12</v>
      </c>
      <c r="M2805" s="39"/>
      <c r="N2805" s="39"/>
      <c r="O2805" s="38"/>
      <c r="P2805" s="6"/>
      <c r="Q2805" s="483">
        <v>12</v>
      </c>
      <c r="R2805" s="704">
        <f>Q2805*J2805</f>
        <v>12</v>
      </c>
      <c r="S2805" s="490">
        <v>1100</v>
      </c>
      <c r="T2805" s="1176">
        <f>S2805*J2805</f>
        <v>1100</v>
      </c>
      <c r="U2805" s="501"/>
      <c r="V2805" s="494">
        <v>120</v>
      </c>
      <c r="W2805" s="2041">
        <f t="shared" si="181"/>
        <v>0.2361111111111111</v>
      </c>
    </row>
    <row r="2806" spans="1:23" s="314" customFormat="1" ht="15.6" customHeight="1">
      <c r="B2806" s="313"/>
      <c r="C2806" s="302"/>
      <c r="D2806" s="592" t="s">
        <v>6558</v>
      </c>
      <c r="E2806" s="371"/>
      <c r="F2806" s="305"/>
      <c r="G2806" s="305" t="s">
        <v>1227</v>
      </c>
      <c r="H2806" s="307" t="s">
        <v>1228</v>
      </c>
      <c r="I2806" s="308"/>
      <c r="J2806" s="306"/>
      <c r="K2806" s="315">
        <v>0</v>
      </c>
      <c r="L2806" s="310"/>
      <c r="M2806" s="310"/>
      <c r="N2806" s="310"/>
      <c r="O2806" s="309"/>
      <c r="P2806" s="302"/>
      <c r="Q2806" s="531">
        <v>0</v>
      </c>
      <c r="S2806" s="535">
        <v>0</v>
      </c>
      <c r="T2806" s="322">
        <v>0</v>
      </c>
      <c r="U2806" s="1115"/>
      <c r="V2806" s="494">
        <v>120</v>
      </c>
      <c r="W2806" s="2041" t="e">
        <f t="shared" si="181"/>
        <v>#DIV/0!</v>
      </c>
    </row>
    <row r="2807" spans="1:23" s="7" customFormat="1" ht="18" customHeight="1">
      <c r="B2807" s="12"/>
      <c r="C2807" s="6" t="s">
        <v>6564</v>
      </c>
      <c r="D2807" s="15" t="s">
        <v>6552</v>
      </c>
      <c r="E2807" s="20" t="s">
        <v>6436</v>
      </c>
      <c r="F2807" s="26"/>
      <c r="G2807" s="24"/>
      <c r="H2807" s="67"/>
      <c r="I2807" s="68"/>
      <c r="J2807" s="67"/>
      <c r="K2807" s="17" t="s">
        <v>10</v>
      </c>
      <c r="L2807" s="213"/>
      <c r="M2807" s="39"/>
      <c r="N2807" s="39">
        <v>45301</v>
      </c>
      <c r="O2807" s="38">
        <v>5804</v>
      </c>
      <c r="P2807" s="6" t="s">
        <v>3</v>
      </c>
      <c r="Q2807" s="910"/>
      <c r="U2807" s="175"/>
      <c r="V2807" s="494">
        <v>120</v>
      </c>
      <c r="W2807" s="2041" t="e">
        <f t="shared" si="181"/>
        <v>#VALUE!</v>
      </c>
    </row>
    <row r="2808" spans="1:23" s="7" customFormat="1" ht="43.5" customHeight="1">
      <c r="B2808" s="12" t="s">
        <v>1856</v>
      </c>
      <c r="C2808" s="6" t="s">
        <v>6564</v>
      </c>
      <c r="D2808" s="15" t="s">
        <v>6552</v>
      </c>
      <c r="E2808" s="24" t="s">
        <v>6409</v>
      </c>
      <c r="F2808" s="2098" t="s">
        <v>6560</v>
      </c>
      <c r="G2808" s="24" t="s">
        <v>6561</v>
      </c>
      <c r="H2808" s="151">
        <v>25</v>
      </c>
      <c r="I2808" s="2097">
        <v>1</v>
      </c>
      <c r="J2808" s="8">
        <f>I2808*H2808</f>
        <v>25</v>
      </c>
      <c r="K2808" s="46">
        <v>1.78</v>
      </c>
      <c r="L2808" s="46">
        <f>K2808*J2808</f>
        <v>44.5</v>
      </c>
      <c r="M2808" s="162" t="s">
        <v>2219</v>
      </c>
      <c r="N2808" s="39">
        <v>45301</v>
      </c>
      <c r="O2808" s="38">
        <v>5804</v>
      </c>
      <c r="P2808" s="46">
        <f>K2808*(VLOOKUP(B2808,$C$2:$F$6,3,FALSE))</f>
        <v>1.5664</v>
      </c>
      <c r="Q2808" s="703">
        <v>1.57</v>
      </c>
      <c r="R2808" s="703">
        <f>Q2808*J2808</f>
        <v>39.25</v>
      </c>
      <c r="S2808" s="7">
        <v>121</v>
      </c>
      <c r="T2808" s="7">
        <f>S2808*J2808</f>
        <v>3025</v>
      </c>
      <c r="U2808" s="1059"/>
      <c r="V2808" s="494">
        <v>120</v>
      </c>
      <c r="W2808" s="2041">
        <f t="shared" si="181"/>
        <v>0.43352059925093633</v>
      </c>
    </row>
    <row r="2809" spans="1:23" s="7" customFormat="1" ht="43.5" customHeight="1">
      <c r="B2809" s="12" t="s">
        <v>1856</v>
      </c>
      <c r="C2809" s="6" t="s">
        <v>6564</v>
      </c>
      <c r="D2809" s="15" t="s">
        <v>6552</v>
      </c>
      <c r="E2809" s="24" t="s">
        <v>6409</v>
      </c>
      <c r="F2809" s="2098" t="s">
        <v>6560</v>
      </c>
      <c r="G2809" s="24" t="s">
        <v>6562</v>
      </c>
      <c r="H2809" s="151">
        <v>25</v>
      </c>
      <c r="I2809" s="2097">
        <v>1</v>
      </c>
      <c r="J2809" s="8">
        <f>I2809*H2809</f>
        <v>25</v>
      </c>
      <c r="K2809" s="46">
        <v>1.78</v>
      </c>
      <c r="L2809" s="46">
        <f>K2809*J2809</f>
        <v>44.5</v>
      </c>
      <c r="M2809" s="162" t="s">
        <v>2219</v>
      </c>
      <c r="N2809" s="39">
        <v>45301</v>
      </c>
      <c r="O2809" s="38">
        <v>5804</v>
      </c>
      <c r="P2809" s="46">
        <f>K2809*(VLOOKUP(B2809,$C$2:$F$6,3,FALSE))</f>
        <v>1.5664</v>
      </c>
      <c r="Q2809" s="703">
        <v>1.57</v>
      </c>
      <c r="R2809" s="703">
        <f>Q2809*J2809</f>
        <v>39.25</v>
      </c>
      <c r="S2809" s="7">
        <v>121</v>
      </c>
      <c r="T2809" s="7">
        <f>S2809*J2809</f>
        <v>3025</v>
      </c>
      <c r="U2809" s="1059"/>
      <c r="V2809" s="494">
        <v>120</v>
      </c>
      <c r="W2809" s="2041">
        <f t="shared" si="181"/>
        <v>0.43352059925093633</v>
      </c>
    </row>
    <row r="2810" spans="1:23" s="7" customFormat="1" ht="18" customHeight="1">
      <c r="B2810" s="12"/>
      <c r="C2810" s="6" t="s">
        <v>6564</v>
      </c>
      <c r="D2810" s="15" t="s">
        <v>6552</v>
      </c>
      <c r="E2810" s="238"/>
      <c r="F2810" s="44"/>
      <c r="G2810" s="24" t="s">
        <v>2975</v>
      </c>
      <c r="H2810" s="8"/>
      <c r="I2810" s="152" ph="1"/>
      <c r="J2810" s="45">
        <v>1</v>
      </c>
      <c r="K2810" s="46">
        <v>12</v>
      </c>
      <c r="L2810" s="46">
        <f>K2810*J2810</f>
        <v>12</v>
      </c>
      <c r="M2810" s="112"/>
      <c r="N2810" s="39">
        <v>45301</v>
      </c>
      <c r="O2810" s="38">
        <v>5804</v>
      </c>
      <c r="P2810" s="6"/>
      <c r="Q2810" s="703">
        <v>12</v>
      </c>
      <c r="R2810" s="703">
        <f>Q2810*J2810</f>
        <v>12</v>
      </c>
      <c r="S2810" s="7">
        <v>600</v>
      </c>
      <c r="T2810" s="7">
        <f>S2810*J2810</f>
        <v>600</v>
      </c>
      <c r="U2810" s="23"/>
      <c r="V2810" s="494">
        <v>120</v>
      </c>
    </row>
    <row r="2811" spans="1:23" s="314" customFormat="1" ht="18" customHeight="1">
      <c r="B2811" s="313"/>
      <c r="C2811" s="302" t="s">
        <v>6564</v>
      </c>
      <c r="D2811" s="303" t="s">
        <v>6552</v>
      </c>
      <c r="E2811" s="371"/>
      <c r="F2811" s="305"/>
      <c r="G2811" s="305" t="s">
        <v>1227</v>
      </c>
      <c r="H2811" s="307" t="s">
        <v>1228</v>
      </c>
      <c r="I2811" s="308"/>
      <c r="J2811" s="306"/>
      <c r="K2811" s="315">
        <v>0</v>
      </c>
      <c r="L2811" s="310"/>
      <c r="M2811" s="310"/>
      <c r="N2811" s="310">
        <v>45301</v>
      </c>
      <c r="O2811" s="309">
        <v>5804</v>
      </c>
      <c r="P2811" s="302"/>
      <c r="Q2811" s="531">
        <v>0</v>
      </c>
      <c r="S2811" s="535">
        <v>0</v>
      </c>
      <c r="T2811" s="322">
        <v>0</v>
      </c>
      <c r="U2811" s="1115"/>
      <c r="V2811" s="494">
        <v>120</v>
      </c>
    </row>
    <row r="2812" spans="1:23" s="7" customFormat="1" ht="15">
      <c r="B2812" s="12"/>
      <c r="C2812" s="6" t="s">
        <v>6565</v>
      </c>
      <c r="D2812" s="15" t="s">
        <v>3026</v>
      </c>
      <c r="E2812" s="20" t="s">
        <v>408</v>
      </c>
      <c r="F2812" s="44"/>
      <c r="G2812" s="44"/>
      <c r="H2812" s="151"/>
      <c r="I2812" s="151"/>
      <c r="J2812" s="151"/>
      <c r="K2812" s="17" t="s">
        <v>134</v>
      </c>
      <c r="L2812" s="39"/>
      <c r="M2812" s="39"/>
      <c r="N2812" s="39">
        <v>45310</v>
      </c>
      <c r="O2812" s="38">
        <v>5832</v>
      </c>
      <c r="P2812" s="6"/>
      <c r="Q2812" s="524"/>
      <c r="S2812" s="489"/>
      <c r="T2812" s="113"/>
      <c r="U2812" s="501"/>
      <c r="V2812" s="494">
        <v>120</v>
      </c>
      <c r="W2812" s="2041" t="e">
        <f t="shared" ref="W2812:W2831" si="182">(((K2812*V2812)-S2812)/(K2812*V2812))</f>
        <v>#VALUE!</v>
      </c>
    </row>
    <row r="2813" spans="1:23" s="7" customFormat="1" ht="15" customHeight="1">
      <c r="B2813" s="12" t="s">
        <v>1856</v>
      </c>
      <c r="C2813" s="6" t="s">
        <v>6565</v>
      </c>
      <c r="D2813" s="15" t="s">
        <v>3026</v>
      </c>
      <c r="E2813" s="24" t="s">
        <v>1219</v>
      </c>
      <c r="F2813" s="26"/>
      <c r="G2813" s="24" t="s">
        <v>17</v>
      </c>
      <c r="H2813" s="67">
        <v>50</v>
      </c>
      <c r="I2813" s="68">
        <v>60</v>
      </c>
      <c r="J2813" s="8">
        <f>H2813*I2813</f>
        <v>3000</v>
      </c>
      <c r="K2813" s="46">
        <v>0.3</v>
      </c>
      <c r="L2813" s="46">
        <f>K2813*J2813</f>
        <v>900</v>
      </c>
      <c r="M2813" s="162" t="s">
        <v>2219</v>
      </c>
      <c r="N2813" s="39">
        <v>45310</v>
      </c>
      <c r="O2813" s="38">
        <v>5832</v>
      </c>
      <c r="P2813" s="46">
        <f>K2813*(VLOOKUP(B2813,$C$2:$F$6,3,FALSE))</f>
        <v>0.26400000000000001</v>
      </c>
      <c r="Q2813" s="482">
        <v>0.26</v>
      </c>
      <c r="R2813" s="704">
        <f>Q2813*J2813</f>
        <v>780</v>
      </c>
      <c r="S2813" s="489">
        <v>18</v>
      </c>
      <c r="T2813" s="113">
        <f>S2813*J2813</f>
        <v>54000</v>
      </c>
      <c r="U2813" s="1603"/>
      <c r="V2813" s="494">
        <v>120</v>
      </c>
      <c r="W2813" s="2041">
        <f t="shared" si="182"/>
        <v>0.5</v>
      </c>
    </row>
    <row r="2814" spans="1:23" s="7" customFormat="1" ht="15" customHeight="1">
      <c r="B2814" s="12" t="s">
        <v>1856</v>
      </c>
      <c r="C2814" s="6" t="s">
        <v>6565</v>
      </c>
      <c r="D2814" s="15" t="s">
        <v>3026</v>
      </c>
      <c r="E2814" s="24" t="s">
        <v>5772</v>
      </c>
      <c r="F2814" s="26"/>
      <c r="G2814" s="24" t="s">
        <v>17</v>
      </c>
      <c r="H2814" s="67">
        <v>50</v>
      </c>
      <c r="I2814" s="68">
        <v>60</v>
      </c>
      <c r="J2814" s="8">
        <f>H2814*I2814</f>
        <v>3000</v>
      </c>
      <c r="K2814" s="46">
        <v>0.26</v>
      </c>
      <c r="L2814" s="46">
        <f>K2814*J2814</f>
        <v>780</v>
      </c>
      <c r="M2814" s="162" t="s">
        <v>2219</v>
      </c>
      <c r="N2814" s="39">
        <v>45310</v>
      </c>
      <c r="O2814" s="38">
        <v>5832</v>
      </c>
      <c r="P2814" s="46">
        <f>K2814*(VLOOKUP(B2814,$C$2:$F$6,3,FALSE))</f>
        <v>0.2288</v>
      </c>
      <c r="Q2814" s="482">
        <v>0.23</v>
      </c>
      <c r="R2814" s="704">
        <f>Q2814*J2814</f>
        <v>690</v>
      </c>
      <c r="S2814" s="489">
        <v>15.1</v>
      </c>
      <c r="T2814" s="113">
        <f>S2814*J2814</f>
        <v>45300</v>
      </c>
      <c r="U2814" s="1603"/>
      <c r="V2814" s="494">
        <v>120</v>
      </c>
      <c r="W2814" s="2041">
        <f t="shared" si="182"/>
        <v>0.51602564102564097</v>
      </c>
    </row>
    <row r="2815" spans="1:23" s="7" customFormat="1" ht="15.95" customHeight="1">
      <c r="B2815" s="12"/>
      <c r="C2815" s="6" t="s">
        <v>6565</v>
      </c>
      <c r="D2815" s="15" t="s">
        <v>3026</v>
      </c>
      <c r="E2815" s="24"/>
      <c r="F2815" s="138"/>
      <c r="G2815" s="44" t="s">
        <v>1993</v>
      </c>
      <c r="H2815" s="8"/>
      <c r="I2815" s="41"/>
      <c r="J2815" s="45">
        <v>1</v>
      </c>
      <c r="K2815" s="46">
        <v>12</v>
      </c>
      <c r="L2815" s="46">
        <f>K2815*J2815</f>
        <v>12</v>
      </c>
      <c r="M2815" s="39"/>
      <c r="N2815" s="39">
        <v>45310</v>
      </c>
      <c r="O2815" s="38">
        <v>5832</v>
      </c>
      <c r="P2815" s="6"/>
      <c r="Q2815" s="483">
        <v>12</v>
      </c>
      <c r="R2815" s="704">
        <f>Q2815*J2815</f>
        <v>12</v>
      </c>
      <c r="S2815" s="489">
        <v>1100</v>
      </c>
      <c r="T2815" s="113">
        <f>S2815*J2815</f>
        <v>1100</v>
      </c>
      <c r="U2815" s="501"/>
      <c r="V2815" s="494">
        <v>120</v>
      </c>
      <c r="W2815" s="2041">
        <f t="shared" si="182"/>
        <v>0.2361111111111111</v>
      </c>
    </row>
    <row r="2816" spans="1:23" s="314" customFormat="1" ht="15.6" customHeight="1">
      <c r="B2816" s="313"/>
      <c r="C2816" s="302" t="s">
        <v>6565</v>
      </c>
      <c r="D2816" s="303" t="s">
        <v>3026</v>
      </c>
      <c r="E2816" s="304"/>
      <c r="F2816" s="305"/>
      <c r="G2816" s="305" t="s">
        <v>1227</v>
      </c>
      <c r="H2816" s="307" t="s">
        <v>3438</v>
      </c>
      <c r="I2816" s="308"/>
      <c r="J2816" s="306"/>
      <c r="K2816" s="329">
        <v>370</v>
      </c>
      <c r="L2816" s="329">
        <v>370</v>
      </c>
      <c r="M2816" s="310"/>
      <c r="N2816" s="310">
        <v>45310</v>
      </c>
      <c r="O2816" s="309">
        <v>5832</v>
      </c>
      <c r="P2816" s="302"/>
      <c r="Q2816" s="329">
        <v>370</v>
      </c>
      <c r="R2816" s="329">
        <v>370</v>
      </c>
      <c r="S2816" s="1368">
        <v>45581</v>
      </c>
      <c r="T2816" s="1368">
        <v>45581</v>
      </c>
      <c r="U2816" s="515"/>
      <c r="V2816" s="494">
        <v>120</v>
      </c>
      <c r="W2816" s="2041">
        <f t="shared" si="182"/>
        <v>-2.6599099099099098E-2</v>
      </c>
    </row>
    <row r="2817" spans="1:23" s="7" customFormat="1" ht="15" customHeight="1">
      <c r="B2817" s="12"/>
      <c r="C2817" s="6" t="s">
        <v>6566</v>
      </c>
      <c r="D2817" s="15" t="s">
        <v>6099</v>
      </c>
      <c r="E2817" s="20" t="s">
        <v>6249</v>
      </c>
      <c r="F2817" s="26"/>
      <c r="G2817" s="24"/>
      <c r="H2817" s="67"/>
      <c r="I2817" s="68"/>
      <c r="J2817" s="67"/>
      <c r="K2817" s="17" t="s">
        <v>134</v>
      </c>
      <c r="L2817" s="39"/>
      <c r="M2817" s="39"/>
      <c r="N2817" s="39">
        <v>45302</v>
      </c>
      <c r="O2817" s="38">
        <v>5806</v>
      </c>
      <c r="P2817" s="179" t="s">
        <v>23</v>
      </c>
      <c r="Q2817" s="438" t="s">
        <v>959</v>
      </c>
      <c r="R2817" s="704"/>
      <c r="S2817" s="707"/>
      <c r="T2817" s="113"/>
      <c r="U2817" s="2068"/>
      <c r="V2817" s="494">
        <v>120</v>
      </c>
      <c r="W2817" s="2041" t="e">
        <f t="shared" si="182"/>
        <v>#VALUE!</v>
      </c>
    </row>
    <row r="2818" spans="1:23" s="7" customFormat="1" ht="18" customHeight="1">
      <c r="B2818" s="12" t="s">
        <v>1856</v>
      </c>
      <c r="C2818" s="6" t="s">
        <v>6566</v>
      </c>
      <c r="D2818" s="15" t="s">
        <v>6099</v>
      </c>
      <c r="E2818" s="24">
        <v>3920</v>
      </c>
      <c r="F2818" s="26">
        <v>19</v>
      </c>
      <c r="G2818" s="24" t="s">
        <v>6567</v>
      </c>
      <c r="H2818" s="67">
        <v>30</v>
      </c>
      <c r="I2818" s="68">
        <v>1</v>
      </c>
      <c r="J2818" s="67">
        <f>H2818*I2818</f>
        <v>30</v>
      </c>
      <c r="K2818" s="46">
        <v>0.76</v>
      </c>
      <c r="L2818" s="46">
        <f>K2818*J2818</f>
        <v>22.8</v>
      </c>
      <c r="M2818" s="162" t="s">
        <v>2219</v>
      </c>
      <c r="N2818" s="39">
        <v>45302</v>
      </c>
      <c r="O2818" s="38">
        <v>5806</v>
      </c>
      <c r="P2818" s="46">
        <f>K2818*(VLOOKUP(B2818,$C$2:$F$6,3,FALSE))</f>
        <v>0.66880000000000006</v>
      </c>
      <c r="Q2818" s="180">
        <v>0.67</v>
      </c>
      <c r="R2818" s="704">
        <f>Q2818*J2818</f>
        <v>20.100000000000001</v>
      </c>
      <c r="S2818" s="489">
        <v>40.799999999999997</v>
      </c>
      <c r="T2818" s="113">
        <f>S2818*J2818</f>
        <v>1224</v>
      </c>
      <c r="U2818" s="1369" t="s">
        <v>6569</v>
      </c>
      <c r="V2818" s="494">
        <v>120</v>
      </c>
      <c r="W2818" s="2041">
        <f t="shared" si="182"/>
        <v>0.55263157894736847</v>
      </c>
    </row>
    <row r="2819" spans="1:23" s="7" customFormat="1" ht="18" customHeight="1">
      <c r="B2819" s="12" t="s">
        <v>1856</v>
      </c>
      <c r="C2819" s="6" t="s">
        <v>6566</v>
      </c>
      <c r="D2819" s="15" t="s">
        <v>6099</v>
      </c>
      <c r="E2819" s="24">
        <v>3920</v>
      </c>
      <c r="F2819" s="26">
        <v>19</v>
      </c>
      <c r="G2819" s="24" t="s">
        <v>6568</v>
      </c>
      <c r="H2819" s="67">
        <v>30</v>
      </c>
      <c r="I2819" s="68">
        <v>4</v>
      </c>
      <c r="J2819" s="67">
        <f>H2819*I2819</f>
        <v>120</v>
      </c>
      <c r="K2819" s="46">
        <v>0.76</v>
      </c>
      <c r="L2819" s="46">
        <f>K2819*J2819</f>
        <v>91.2</v>
      </c>
      <c r="M2819" s="162" t="s">
        <v>2219</v>
      </c>
      <c r="N2819" s="39">
        <v>45302</v>
      </c>
      <c r="O2819" s="38">
        <v>5806</v>
      </c>
      <c r="P2819" s="46">
        <f>K2819*(VLOOKUP(B2819,$C$2:$F$6,3,FALSE))</f>
        <v>0.66880000000000006</v>
      </c>
      <c r="Q2819" s="180">
        <v>0.67</v>
      </c>
      <c r="R2819" s="704">
        <f>Q2819*J2819</f>
        <v>80.400000000000006</v>
      </c>
      <c r="S2819" s="489">
        <v>40.799999999999997</v>
      </c>
      <c r="T2819" s="113">
        <f>S2819*J2819</f>
        <v>4896</v>
      </c>
      <c r="U2819" s="1369" t="s">
        <v>6569</v>
      </c>
      <c r="V2819" s="494">
        <v>120</v>
      </c>
      <c r="W2819" s="2041">
        <f t="shared" si="182"/>
        <v>0.55263157894736847</v>
      </c>
    </row>
    <row r="2820" spans="1:23" ht="15.95" customHeight="1">
      <c r="C2820" s="6" t="s">
        <v>6566</v>
      </c>
      <c r="D2820" s="15" t="s">
        <v>6099</v>
      </c>
      <c r="E2820" s="24"/>
      <c r="F2820" s="138"/>
      <c r="G2820" s="44" t="s">
        <v>1993</v>
      </c>
      <c r="H2820" s="8"/>
      <c r="I2820" s="41"/>
      <c r="J2820" s="45">
        <v>1</v>
      </c>
      <c r="K2820" s="46">
        <v>12</v>
      </c>
      <c r="L2820" s="46">
        <f>K2820*J2820</f>
        <v>12</v>
      </c>
      <c r="M2820" s="112"/>
      <c r="N2820" s="39">
        <v>45302</v>
      </c>
      <c r="O2820" s="38">
        <v>5806</v>
      </c>
      <c r="P2820" s="179"/>
      <c r="Q2820" s="180">
        <v>12</v>
      </c>
      <c r="R2820" s="180">
        <v>12</v>
      </c>
      <c r="S2820" s="498">
        <v>0</v>
      </c>
      <c r="T2820" s="568">
        <f>S2820*J2820</f>
        <v>0</v>
      </c>
      <c r="U2820" s="511"/>
      <c r="V2820" s="494">
        <v>120</v>
      </c>
      <c r="W2820" s="2041">
        <f t="shared" si="182"/>
        <v>1</v>
      </c>
    </row>
    <row r="2821" spans="1:23" s="314" customFormat="1" ht="15">
      <c r="B2821" s="313"/>
      <c r="C2821" s="302" t="s">
        <v>6566</v>
      </c>
      <c r="D2821" s="303" t="s">
        <v>6099</v>
      </c>
      <c r="E2821" s="371"/>
      <c r="F2821" s="305"/>
      <c r="G2821" s="2049" t="s">
        <v>1227</v>
      </c>
      <c r="H2821" s="307" t="s">
        <v>3438</v>
      </c>
      <c r="I2821" s="308"/>
      <c r="J2821" s="306"/>
      <c r="K2821" s="329">
        <v>36</v>
      </c>
      <c r="L2821" s="329">
        <v>36</v>
      </c>
      <c r="M2821" s="310"/>
      <c r="N2821" s="310">
        <v>45302</v>
      </c>
      <c r="O2821" s="309">
        <v>5806</v>
      </c>
      <c r="P2821" s="302"/>
      <c r="Q2821" s="329">
        <v>36</v>
      </c>
      <c r="R2821" s="329">
        <v>36</v>
      </c>
      <c r="S2821" s="498">
        <v>2760</v>
      </c>
      <c r="T2821" s="498">
        <v>2760</v>
      </c>
      <c r="U2821" s="1115"/>
      <c r="V2821" s="494">
        <v>120</v>
      </c>
      <c r="W2821" s="2041">
        <f t="shared" si="182"/>
        <v>0.3611111111111111</v>
      </c>
    </row>
    <row r="2822" spans="1:23" s="7" customFormat="1" ht="15" customHeight="1">
      <c r="B2822" s="12"/>
      <c r="C2822" s="6" t="s">
        <v>6572</v>
      </c>
      <c r="D2822" s="15" t="s">
        <v>958</v>
      </c>
      <c r="E2822" s="20" t="s">
        <v>628</v>
      </c>
      <c r="F2822" s="26"/>
      <c r="G2822" s="24"/>
      <c r="H2822" s="67"/>
      <c r="I2822" s="318"/>
      <c r="J2822" s="67"/>
      <c r="K2822" s="17" t="s">
        <v>134</v>
      </c>
      <c r="L2822" s="39"/>
      <c r="M2822" s="39"/>
      <c r="N2822" s="39">
        <v>45313</v>
      </c>
      <c r="O2822" s="38">
        <v>5805</v>
      </c>
      <c r="P2822" s="179" t="s">
        <v>23</v>
      </c>
      <c r="Q2822" s="438" t="s">
        <v>959</v>
      </c>
      <c r="R2822" s="704"/>
      <c r="S2822" s="489"/>
      <c r="T2822" s="113"/>
      <c r="U2822" s="510"/>
      <c r="V2822" s="494">
        <v>120</v>
      </c>
      <c r="W2822" s="2041" t="e">
        <f t="shared" si="182"/>
        <v>#VALUE!</v>
      </c>
    </row>
    <row r="2823" spans="1:23" s="7" customFormat="1" ht="18" customHeight="1">
      <c r="B2823" s="12" t="s">
        <v>1856</v>
      </c>
      <c r="C2823" s="6" t="s">
        <v>6572</v>
      </c>
      <c r="D2823" s="15" t="s">
        <v>958</v>
      </c>
      <c r="E2823" s="24">
        <v>5291</v>
      </c>
      <c r="F2823" s="26">
        <v>6</v>
      </c>
      <c r="G2823" s="24" t="s">
        <v>499</v>
      </c>
      <c r="H2823" s="67">
        <v>50</v>
      </c>
      <c r="I2823" s="68">
        <v>10</v>
      </c>
      <c r="J2823" s="67">
        <f>H2823*I2823</f>
        <v>500</v>
      </c>
      <c r="K2823" s="46">
        <v>0.51</v>
      </c>
      <c r="L2823" s="46">
        <f>K2823*J2823</f>
        <v>255</v>
      </c>
      <c r="M2823" s="162" t="s">
        <v>2219</v>
      </c>
      <c r="N2823" s="39">
        <v>45313</v>
      </c>
      <c r="O2823" s="38">
        <v>5805</v>
      </c>
      <c r="P2823" s="180">
        <v>0.24</v>
      </c>
      <c r="Q2823" s="180">
        <v>0.24</v>
      </c>
      <c r="R2823" s="704">
        <f>Q2823*J2823</f>
        <v>120</v>
      </c>
      <c r="S2823" s="489">
        <v>14.6</v>
      </c>
      <c r="T2823" s="113">
        <f>S2823*J2823</f>
        <v>7300</v>
      </c>
      <c r="U2823" s="867"/>
      <c r="V2823" s="494">
        <v>120</v>
      </c>
      <c r="W2823" s="2041">
        <f t="shared" si="182"/>
        <v>0.76143790849673199</v>
      </c>
    </row>
    <row r="2824" spans="1:23" s="7" customFormat="1" ht="18" customHeight="1">
      <c r="B2824" s="12" t="s">
        <v>1856</v>
      </c>
      <c r="C2824" s="6" t="s">
        <v>6572</v>
      </c>
      <c r="D2824" s="15" t="s">
        <v>958</v>
      </c>
      <c r="E2824" s="24">
        <v>5291</v>
      </c>
      <c r="F2824" s="26">
        <v>6</v>
      </c>
      <c r="G2824" s="24" t="s">
        <v>29</v>
      </c>
      <c r="H2824" s="67">
        <v>50</v>
      </c>
      <c r="I2824" s="68">
        <v>8</v>
      </c>
      <c r="J2824" s="67">
        <f>H2824*I2824</f>
        <v>400</v>
      </c>
      <c r="K2824" s="46">
        <v>0.51</v>
      </c>
      <c r="L2824" s="46">
        <f>K2824*J2824</f>
        <v>204</v>
      </c>
      <c r="M2824" s="162" t="s">
        <v>2219</v>
      </c>
      <c r="N2824" s="39">
        <v>45313</v>
      </c>
      <c r="O2824" s="38">
        <v>5805</v>
      </c>
      <c r="P2824" s="180">
        <v>0.24</v>
      </c>
      <c r="Q2824" s="180">
        <v>0.24</v>
      </c>
      <c r="R2824" s="704">
        <f>Q2824*J2824</f>
        <v>96</v>
      </c>
      <c r="S2824" s="489">
        <v>14.6</v>
      </c>
      <c r="T2824" s="113">
        <f>S2824*J2824</f>
        <v>5840</v>
      </c>
      <c r="U2824" s="867"/>
      <c r="V2824" s="494">
        <v>120</v>
      </c>
      <c r="W2824" s="2041">
        <f t="shared" si="182"/>
        <v>0.76143790849673199</v>
      </c>
    </row>
    <row r="2825" spans="1:23" ht="15.95" customHeight="1">
      <c r="C2825" s="6" t="s">
        <v>6572</v>
      </c>
      <c r="D2825" s="15" t="s">
        <v>958</v>
      </c>
      <c r="E2825" s="24"/>
      <c r="F2825" s="138"/>
      <c r="G2825" s="44" t="s">
        <v>1993</v>
      </c>
      <c r="H2825" s="8"/>
      <c r="I2825" s="41"/>
      <c r="J2825" s="45">
        <v>2</v>
      </c>
      <c r="K2825" s="46">
        <v>20</v>
      </c>
      <c r="L2825" s="46">
        <v>0</v>
      </c>
      <c r="M2825" s="112"/>
      <c r="N2825" s="39">
        <v>45313</v>
      </c>
      <c r="O2825" s="38">
        <v>5805</v>
      </c>
      <c r="P2825" s="179"/>
      <c r="Q2825" s="180">
        <v>20</v>
      </c>
      <c r="R2825" s="180">
        <v>20</v>
      </c>
      <c r="S2825" s="498">
        <v>850</v>
      </c>
      <c r="T2825" s="568">
        <f>S2825*J2825</f>
        <v>1700</v>
      </c>
      <c r="U2825" s="511"/>
      <c r="V2825" s="494">
        <v>120</v>
      </c>
      <c r="W2825" s="2041">
        <f t="shared" si="182"/>
        <v>0.64583333333333337</v>
      </c>
    </row>
    <row r="2826" spans="1:23" s="314" customFormat="1" ht="15" customHeight="1">
      <c r="B2826" s="313"/>
      <c r="C2826" s="302" t="s">
        <v>6572</v>
      </c>
      <c r="D2826" s="303" t="s">
        <v>958</v>
      </c>
      <c r="E2826" s="304"/>
      <c r="F2826" s="305"/>
      <c r="G2826" s="305" t="s">
        <v>1227</v>
      </c>
      <c r="H2826" s="410"/>
      <c r="I2826" s="308"/>
      <c r="J2826" s="410">
        <v>900</v>
      </c>
      <c r="K2826" s="315">
        <f>0.24*900</f>
        <v>216</v>
      </c>
      <c r="L2826" s="315"/>
      <c r="M2826" s="784"/>
      <c r="N2826" s="310">
        <v>45313</v>
      </c>
      <c r="O2826" s="309">
        <v>5805</v>
      </c>
      <c r="P2826" s="302"/>
      <c r="Q2826" s="315">
        <f>K2826-Q2825</f>
        <v>196</v>
      </c>
      <c r="R2826" s="315">
        <v>196</v>
      </c>
      <c r="S2826" s="2094">
        <v>9467</v>
      </c>
      <c r="T2826" s="2094">
        <v>9467</v>
      </c>
      <c r="U2826" s="1084"/>
      <c r="V2826" s="494">
        <v>120</v>
      </c>
      <c r="W2826" s="2041">
        <f t="shared" si="182"/>
        <v>0.6347608024691358</v>
      </c>
    </row>
    <row r="2827" spans="1:23" ht="15">
      <c r="C2827" s="6" t="s">
        <v>6584</v>
      </c>
      <c r="D2827" s="15" t="s">
        <v>2285</v>
      </c>
      <c r="E2827" s="20" t="s">
        <v>6579</v>
      </c>
      <c r="F2827" s="26"/>
      <c r="G2827" s="24"/>
      <c r="H2827" s="67"/>
      <c r="I2827" s="68"/>
      <c r="J2827" s="67"/>
      <c r="K2827" s="17" t="s">
        <v>134</v>
      </c>
      <c r="L2827" s="39"/>
      <c r="M2827" s="39"/>
      <c r="N2827" s="39">
        <v>45303</v>
      </c>
      <c r="O2827" s="38">
        <v>5816</v>
      </c>
      <c r="P2827" s="6"/>
      <c r="Q2827" s="481"/>
      <c r="S2827" s="489"/>
      <c r="T2827" s="113"/>
      <c r="U2827" s="500"/>
      <c r="V2827" s="494">
        <v>120</v>
      </c>
      <c r="W2827" s="2041" t="e">
        <f t="shared" si="182"/>
        <v>#VALUE!</v>
      </c>
    </row>
    <row r="2828" spans="1:23" ht="15.75">
      <c r="B2828" s="28" t="s">
        <v>1856</v>
      </c>
      <c r="C2828" s="6" t="s">
        <v>6584</v>
      </c>
      <c r="D2828" s="15" t="s">
        <v>2285</v>
      </c>
      <c r="E2828" s="24" t="s">
        <v>6574</v>
      </c>
      <c r="F2828" s="26"/>
      <c r="G2828" s="24" t="s">
        <v>6575</v>
      </c>
      <c r="H2828" s="67"/>
      <c r="I2828" s="68"/>
      <c r="J2828" s="67">
        <v>20</v>
      </c>
      <c r="K2828" s="25">
        <v>0.65</v>
      </c>
      <c r="L2828" s="46">
        <f>K2828*J2828</f>
        <v>13</v>
      </c>
      <c r="M2828" s="162" t="s">
        <v>2219</v>
      </c>
      <c r="N2828" s="39">
        <v>45303</v>
      </c>
      <c r="O2828" s="38">
        <v>5816</v>
      </c>
      <c r="P2828" s="46">
        <f>K2828*(VLOOKUP(B2828,$C$2:$F$6,3,FALSE))</f>
        <v>0.57200000000000006</v>
      </c>
      <c r="Q2828" s="483">
        <v>0.56999999999999995</v>
      </c>
      <c r="R2828" s="704">
        <f>Q2828*J2828</f>
        <v>11.399999999999999</v>
      </c>
      <c r="S2828" s="489">
        <v>39</v>
      </c>
      <c r="T2828" s="113">
        <f>S2828*J2828</f>
        <v>780</v>
      </c>
      <c r="U2828" s="1863"/>
      <c r="V2828" s="494">
        <v>120</v>
      </c>
      <c r="W2828" s="2041">
        <f t="shared" si="182"/>
        <v>0.5</v>
      </c>
    </row>
    <row r="2829" spans="1:23" s="7" customFormat="1" ht="15" customHeight="1">
      <c r="A2829" s="1"/>
      <c r="B2829" s="12"/>
      <c r="C2829" s="6" t="s">
        <v>6584</v>
      </c>
      <c r="D2829" s="15" t="s">
        <v>2285</v>
      </c>
      <c r="E2829" s="24"/>
      <c r="F2829" s="44"/>
      <c r="G2829" s="44" t="s">
        <v>1949</v>
      </c>
      <c r="H2829" s="45"/>
      <c r="I2829" s="152" ph="1"/>
      <c r="J2829" s="45">
        <v>1</v>
      </c>
      <c r="K2829" s="46">
        <v>12</v>
      </c>
      <c r="L2829" s="46">
        <f>K2829*J2829</f>
        <v>12</v>
      </c>
      <c r="M2829" s="112"/>
      <c r="N2829" s="39">
        <v>45303</v>
      </c>
      <c r="O2829" s="38">
        <v>5816</v>
      </c>
      <c r="P2829" s="6"/>
      <c r="Q2829" s="483">
        <v>12</v>
      </c>
      <c r="R2829" s="704">
        <f>Q2829*J2829</f>
        <v>12</v>
      </c>
      <c r="S2829" s="489">
        <v>0</v>
      </c>
      <c r="T2829" s="113">
        <f>S2829*J2829</f>
        <v>0</v>
      </c>
      <c r="U2829" s="501"/>
      <c r="V2829" s="494">
        <v>120</v>
      </c>
      <c r="W2829" s="2041">
        <f t="shared" si="182"/>
        <v>1</v>
      </c>
    </row>
    <row r="2830" spans="1:23" s="314" customFormat="1" ht="15" customHeight="1">
      <c r="A2830" s="1"/>
      <c r="B2830" s="313"/>
      <c r="C2830" s="302" t="s">
        <v>6584</v>
      </c>
      <c r="D2830" s="303" t="s">
        <v>2285</v>
      </c>
      <c r="E2830" s="304"/>
      <c r="F2830" s="305"/>
      <c r="G2830" s="305" t="s">
        <v>1227</v>
      </c>
      <c r="H2830" s="307" t="s">
        <v>1228</v>
      </c>
      <c r="I2830" s="308"/>
      <c r="J2830" s="306"/>
      <c r="K2830" s="316">
        <v>0</v>
      </c>
      <c r="L2830" s="310"/>
      <c r="M2830" s="310"/>
      <c r="N2830" s="310">
        <v>45303</v>
      </c>
      <c r="O2830" s="309">
        <v>5816</v>
      </c>
      <c r="P2830" s="302"/>
      <c r="Q2830" s="485">
        <v>0</v>
      </c>
      <c r="S2830" s="536">
        <v>0</v>
      </c>
      <c r="T2830" s="322">
        <v>0</v>
      </c>
      <c r="U2830" s="515"/>
      <c r="V2830" s="494">
        <v>120</v>
      </c>
      <c r="W2830" s="2041" t="e">
        <f t="shared" si="182"/>
        <v>#DIV/0!</v>
      </c>
    </row>
    <row r="2831" spans="1:23" s="7" customFormat="1" ht="15">
      <c r="B2831" s="12"/>
      <c r="C2831" s="6" t="s">
        <v>6580</v>
      </c>
      <c r="D2831" s="15" t="s">
        <v>958</v>
      </c>
      <c r="E2831" s="20" t="s">
        <v>3490</v>
      </c>
      <c r="F2831" s="26"/>
      <c r="G2831" s="24"/>
      <c r="H2831" s="67"/>
      <c r="I2831" s="68"/>
      <c r="J2831" s="67"/>
      <c r="K2831" s="17" t="s">
        <v>10</v>
      </c>
      <c r="L2831" s="213"/>
      <c r="M2831" s="39"/>
      <c r="N2831" s="39">
        <v>45344</v>
      </c>
      <c r="O2831" s="38">
        <v>5833</v>
      </c>
      <c r="P2831" s="6" t="s">
        <v>3</v>
      </c>
      <c r="Q2831" s="703"/>
      <c r="S2831" s="46"/>
      <c r="U2831" s="23"/>
      <c r="V2831" s="494">
        <v>120</v>
      </c>
      <c r="W2831" s="2041" t="e">
        <f t="shared" si="182"/>
        <v>#VALUE!</v>
      </c>
    </row>
    <row r="2832" spans="1:23" s="7" customFormat="1" ht="15.95" customHeight="1">
      <c r="B2832" s="12"/>
      <c r="C2832" s="6" t="s">
        <v>6580</v>
      </c>
      <c r="D2832" s="15" t="s">
        <v>958</v>
      </c>
      <c r="E2832" s="24" t="s">
        <v>5493</v>
      </c>
      <c r="F2832" s="44"/>
      <c r="G2832" s="44" t="s">
        <v>6454</v>
      </c>
      <c r="H2832" s="151"/>
      <c r="I2832" s="2160"/>
      <c r="J2832" s="67">
        <v>2136</v>
      </c>
      <c r="K2832" s="46">
        <v>8.34</v>
      </c>
      <c r="L2832" s="46">
        <f>K2832*J2832</f>
        <v>17814.239999999998</v>
      </c>
      <c r="M2832" s="162" t="s">
        <v>3736</v>
      </c>
      <c r="N2832" s="39">
        <v>45344</v>
      </c>
      <c r="O2832" s="38">
        <v>5833</v>
      </c>
      <c r="P2832" s="46">
        <f>K2832*0.92</f>
        <v>7.6728000000000005</v>
      </c>
      <c r="Q2832" s="2086">
        <v>7.67</v>
      </c>
      <c r="R2832" s="704">
        <f>Q2832*J2832</f>
        <v>16383.119999999999</v>
      </c>
      <c r="S2832" s="46">
        <f>K2832*0.84</f>
        <v>7.0055999999999994</v>
      </c>
      <c r="T2832" s="1308">
        <f>S2832*J2832</f>
        <v>14963.961599999999</v>
      </c>
      <c r="U2832" s="46"/>
      <c r="V2832" s="494">
        <v>120</v>
      </c>
      <c r="W2832" s="2041"/>
    </row>
    <row r="2833" spans="2:23" s="314" customFormat="1" ht="15.6" customHeight="1">
      <c r="B2833" s="313"/>
      <c r="C2833" s="302" t="s">
        <v>6580</v>
      </c>
      <c r="D2833" s="303" t="s">
        <v>958</v>
      </c>
      <c r="E2833" s="371"/>
      <c r="F2833" s="305"/>
      <c r="G2833" s="305" t="s">
        <v>1227</v>
      </c>
      <c r="H2833" s="307" t="s">
        <v>5693</v>
      </c>
      <c r="I2833" s="308"/>
      <c r="J2833" s="306"/>
      <c r="K2833" s="315">
        <v>0</v>
      </c>
      <c r="L2833" s="310"/>
      <c r="M2833" s="310"/>
      <c r="N2833" s="310">
        <v>45344</v>
      </c>
      <c r="O2833" s="309">
        <v>5833</v>
      </c>
      <c r="P2833" s="302"/>
      <c r="Q2833" s="531">
        <v>0</v>
      </c>
      <c r="S2833" s="535">
        <v>0</v>
      </c>
      <c r="T2833" s="322">
        <v>0</v>
      </c>
      <c r="U2833" s="1115"/>
      <c r="V2833" s="494">
        <v>120</v>
      </c>
      <c r="W2833" s="2041" t="e">
        <f>(((K2833*V2833)-S2833)/(K2833*V2833))</f>
        <v>#DIV/0!</v>
      </c>
    </row>
    <row r="2834" spans="2:23" s="7" customFormat="1" ht="18" customHeight="1">
      <c r="B2834" s="12"/>
      <c r="C2834" s="6" t="s">
        <v>6585</v>
      </c>
      <c r="D2834" s="15" t="s">
        <v>5353</v>
      </c>
      <c r="E2834" s="20" t="s">
        <v>27</v>
      </c>
      <c r="F2834" s="150"/>
      <c r="G2834" s="24"/>
      <c r="H2834" s="151"/>
      <c r="I2834" s="152"/>
      <c r="J2834" s="151"/>
      <c r="K2834" s="153" t="s">
        <v>10</v>
      </c>
      <c r="L2834" s="213"/>
      <c r="M2834" s="39"/>
      <c r="N2834" s="39">
        <v>45308</v>
      </c>
      <c r="O2834" s="38">
        <v>5829</v>
      </c>
      <c r="P2834" s="15"/>
      <c r="Q2834" s="703"/>
      <c r="U2834" s="15"/>
      <c r="V2834" s="494">
        <v>120</v>
      </c>
    </row>
    <row r="2835" spans="2:23" s="7" customFormat="1" ht="18" customHeight="1">
      <c r="B2835" s="12" t="s">
        <v>1858</v>
      </c>
      <c r="C2835" s="6" t="s">
        <v>6585</v>
      </c>
      <c r="D2835" s="15" t="s">
        <v>5353</v>
      </c>
      <c r="E2835" s="24" t="s">
        <v>738</v>
      </c>
      <c r="F2835" s="150">
        <v>152</v>
      </c>
      <c r="G2835" s="24" t="s">
        <v>6586</v>
      </c>
      <c r="H2835" s="151">
        <v>50</v>
      </c>
      <c r="I2835" s="152">
        <v>1</v>
      </c>
      <c r="J2835" s="8">
        <f>I2835*H2835</f>
        <v>50</v>
      </c>
      <c r="K2835" s="46">
        <v>4.45</v>
      </c>
      <c r="L2835" s="46">
        <f>K2835*J2835</f>
        <v>222.5</v>
      </c>
      <c r="M2835" s="1336" t="s">
        <v>2218</v>
      </c>
      <c r="N2835" s="39">
        <v>45308</v>
      </c>
      <c r="O2835" s="38">
        <v>5829</v>
      </c>
      <c r="P2835" s="46">
        <f>K2835*(VLOOKUP(B2835,$C$2:$F$6,3,FALSE))</f>
        <v>4.1829999999999998</v>
      </c>
      <c r="Q2835" s="703">
        <v>4.18</v>
      </c>
      <c r="R2835" s="703">
        <f>Q2835*J2835</f>
        <v>209</v>
      </c>
      <c r="S2835" s="7">
        <v>340</v>
      </c>
      <c r="T2835" s="7">
        <f>S2835*J2835</f>
        <v>17000</v>
      </c>
      <c r="U2835" s="23"/>
      <c r="V2835" s="494">
        <v>120</v>
      </c>
      <c r="W2835" s="2041">
        <f>(((K2835*V2835)-S2835)/(K2835*V2835))</f>
        <v>0.36329588014981273</v>
      </c>
    </row>
    <row r="2836" spans="2:23" s="7" customFormat="1" ht="18" customHeight="1">
      <c r="B2836" s="12"/>
      <c r="C2836" s="6" t="s">
        <v>6585</v>
      </c>
      <c r="D2836" s="15" t="s">
        <v>5353</v>
      </c>
      <c r="E2836" s="238"/>
      <c r="F2836" s="44"/>
      <c r="G2836" s="24" t="s">
        <v>2975</v>
      </c>
      <c r="H2836" s="8"/>
      <c r="I2836" s="152" ph="1"/>
      <c r="J2836" s="45">
        <v>1</v>
      </c>
      <c r="K2836" s="46">
        <v>20</v>
      </c>
      <c r="L2836" s="46">
        <f>K2836*J2836</f>
        <v>20</v>
      </c>
      <c r="M2836" s="112"/>
      <c r="N2836" s="39">
        <v>45308</v>
      </c>
      <c r="O2836" s="38">
        <v>5829</v>
      </c>
      <c r="P2836" s="6"/>
      <c r="Q2836" s="703">
        <v>20</v>
      </c>
      <c r="R2836" s="703">
        <f>Q2836*J2836</f>
        <v>20</v>
      </c>
      <c r="S2836" s="7">
        <v>1800</v>
      </c>
      <c r="T2836" s="7">
        <f>S2836*J2836</f>
        <v>1800</v>
      </c>
      <c r="U2836" s="23"/>
      <c r="V2836" s="494">
        <v>120</v>
      </c>
    </row>
    <row r="2837" spans="2:23" s="314" customFormat="1" ht="18" customHeight="1">
      <c r="B2837" s="313"/>
      <c r="C2837" s="302" t="s">
        <v>6585</v>
      </c>
      <c r="D2837" s="303" t="s">
        <v>5353</v>
      </c>
      <c r="E2837" s="371"/>
      <c r="F2837" s="305"/>
      <c r="G2837" s="305" t="s">
        <v>1227</v>
      </c>
      <c r="H2837" s="307" t="s">
        <v>1228</v>
      </c>
      <c r="I2837" s="308"/>
      <c r="J2837" s="306"/>
      <c r="K2837" s="315">
        <v>0</v>
      </c>
      <c r="L2837" s="310"/>
      <c r="M2837" s="310"/>
      <c r="N2837" s="310">
        <v>45308</v>
      </c>
      <c r="O2837" s="309">
        <v>5829</v>
      </c>
      <c r="P2837" s="302"/>
      <c r="Q2837" s="531">
        <v>0</v>
      </c>
      <c r="S2837" s="535">
        <v>0</v>
      </c>
      <c r="T2837" s="322">
        <v>0</v>
      </c>
      <c r="U2837" s="1115"/>
      <c r="V2837" s="494">
        <v>120</v>
      </c>
    </row>
    <row r="2838" spans="2:23" s="7" customFormat="1" ht="15" customHeight="1">
      <c r="B2838" s="12"/>
      <c r="C2838" s="6" t="s">
        <v>6587</v>
      </c>
      <c r="D2838" s="15" t="s">
        <v>6588</v>
      </c>
      <c r="E2838" s="20" t="s">
        <v>628</v>
      </c>
      <c r="F2838" s="26"/>
      <c r="G2838" s="24"/>
      <c r="H2838" s="67"/>
      <c r="I2838" s="68"/>
      <c r="J2838" s="67"/>
      <c r="K2838" s="17" t="s">
        <v>134</v>
      </c>
      <c r="L2838" s="39"/>
      <c r="M2838" s="39"/>
      <c r="N2838" s="39">
        <v>45316</v>
      </c>
      <c r="O2838" s="38">
        <v>5828</v>
      </c>
      <c r="P2838" s="179" t="s">
        <v>23</v>
      </c>
      <c r="Q2838" s="438" t="s">
        <v>959</v>
      </c>
      <c r="R2838" s="704"/>
      <c r="S2838" s="489"/>
      <c r="T2838" s="113"/>
      <c r="U2838" s="510"/>
      <c r="V2838" s="494">
        <v>120</v>
      </c>
      <c r="W2838" s="2041" t="e">
        <f>(((K2838*V2838)-S2838)/(K2838*V2838))</f>
        <v>#VALUE!</v>
      </c>
    </row>
    <row r="2839" spans="2:23" s="7" customFormat="1" ht="18" customHeight="1">
      <c r="B2839" s="12" t="s">
        <v>1856</v>
      </c>
      <c r="C2839" s="6" t="s">
        <v>6587</v>
      </c>
      <c r="D2839" s="15" t="s">
        <v>6588</v>
      </c>
      <c r="E2839" s="24">
        <v>5291</v>
      </c>
      <c r="F2839" s="26">
        <v>8</v>
      </c>
      <c r="G2839" s="24" t="s">
        <v>6589</v>
      </c>
      <c r="H2839" s="67">
        <v>50</v>
      </c>
      <c r="I2839" s="68">
        <v>6</v>
      </c>
      <c r="J2839" s="67">
        <f>H2839*I2839</f>
        <v>300</v>
      </c>
      <c r="K2839" s="46">
        <v>0.9</v>
      </c>
      <c r="L2839" s="46">
        <f>K2839*J2839</f>
        <v>270</v>
      </c>
      <c r="M2839" s="162" t="s">
        <v>2219</v>
      </c>
      <c r="N2839" s="39">
        <v>45316</v>
      </c>
      <c r="O2839" s="38">
        <v>5828</v>
      </c>
      <c r="P2839" s="180">
        <v>0.48</v>
      </c>
      <c r="Q2839" s="180">
        <v>0.48</v>
      </c>
      <c r="R2839" s="704">
        <f>Q2839*J2839</f>
        <v>144</v>
      </c>
      <c r="S2839" s="489">
        <v>25.4</v>
      </c>
      <c r="T2839" s="113">
        <f>S2839*J2839</f>
        <v>7620</v>
      </c>
      <c r="U2839" s="867"/>
      <c r="V2839" s="494">
        <v>120</v>
      </c>
      <c r="W2839" s="2041">
        <f>(((K2839*V2839)-S2839)/(K2839*V2839))</f>
        <v>0.76481481481481473</v>
      </c>
    </row>
    <row r="2840" spans="2:23" ht="15.95" customHeight="1">
      <c r="C2840" s="6" t="s">
        <v>6587</v>
      </c>
      <c r="D2840" s="15" t="s">
        <v>6588</v>
      </c>
      <c r="E2840" s="24"/>
      <c r="F2840" s="138"/>
      <c r="G2840" s="44" t="s">
        <v>1993</v>
      </c>
      <c r="H2840" s="8"/>
      <c r="I2840" s="41"/>
      <c r="J2840" s="45">
        <v>1</v>
      </c>
      <c r="K2840" s="46">
        <v>12</v>
      </c>
      <c r="L2840" s="46">
        <v>0</v>
      </c>
      <c r="M2840" s="112"/>
      <c r="N2840" s="39">
        <v>45316</v>
      </c>
      <c r="O2840" s="38">
        <v>5828</v>
      </c>
      <c r="P2840" s="179"/>
      <c r="Q2840" s="180">
        <v>10</v>
      </c>
      <c r="R2840" s="180">
        <v>10</v>
      </c>
      <c r="S2840" s="498">
        <v>850</v>
      </c>
      <c r="T2840" s="568">
        <f>S2840*J2840</f>
        <v>850</v>
      </c>
      <c r="U2840" s="511"/>
      <c r="V2840" s="494">
        <v>120</v>
      </c>
      <c r="W2840" s="2041">
        <f>(((K2840*V2840)-S2840)/(K2840*V2840))</f>
        <v>0.40972222222222221</v>
      </c>
    </row>
    <row r="2841" spans="2:23" ht="15.95" customHeight="1">
      <c r="C2841" s="6" t="s">
        <v>6587</v>
      </c>
      <c r="D2841" s="15" t="s">
        <v>6588</v>
      </c>
      <c r="E2841" s="24"/>
      <c r="F2841" s="138"/>
      <c r="G2841" s="44" t="s">
        <v>6590</v>
      </c>
      <c r="H2841" s="8"/>
      <c r="I2841" s="41"/>
      <c r="J2841" s="45"/>
      <c r="K2841" s="46">
        <v>0</v>
      </c>
      <c r="L2841" s="46">
        <v>0</v>
      </c>
      <c r="M2841" s="112"/>
      <c r="N2841" s="39">
        <v>45316</v>
      </c>
      <c r="O2841" s="38">
        <v>5828</v>
      </c>
      <c r="P2841" s="179"/>
      <c r="Q2841" s="180">
        <v>0</v>
      </c>
      <c r="R2841" s="180">
        <v>0</v>
      </c>
      <c r="S2841" s="928">
        <v>2762</v>
      </c>
      <c r="T2841" s="928">
        <v>2762</v>
      </c>
      <c r="U2841" s="511"/>
      <c r="V2841" s="494"/>
      <c r="W2841" s="2041"/>
    </row>
    <row r="2842" spans="2:23" s="314" customFormat="1" ht="15" customHeight="1">
      <c r="B2842" s="313"/>
      <c r="C2842" s="302" t="s">
        <v>6587</v>
      </c>
      <c r="D2842" s="303" t="s">
        <v>6588</v>
      </c>
      <c r="E2842" s="304"/>
      <c r="F2842" s="305"/>
      <c r="G2842" s="305" t="s">
        <v>1227</v>
      </c>
      <c r="H2842" s="307" t="s">
        <v>1442</v>
      </c>
      <c r="I2842" s="308"/>
      <c r="J2842" s="410">
        <v>300</v>
      </c>
      <c r="K2842" s="315">
        <f>0.36*J2842</f>
        <v>108</v>
      </c>
      <c r="L2842" s="315"/>
      <c r="M2842" s="784"/>
      <c r="N2842" s="310">
        <v>45316</v>
      </c>
      <c r="O2842" s="309">
        <v>5828</v>
      </c>
      <c r="P2842" s="302"/>
      <c r="Q2842" s="315">
        <f>K2842-Q2840</f>
        <v>98</v>
      </c>
      <c r="R2842" s="315">
        <v>98</v>
      </c>
      <c r="S2842" s="928">
        <v>6545</v>
      </c>
      <c r="T2842" s="928">
        <v>6545</v>
      </c>
      <c r="U2842" s="1084"/>
      <c r="V2842" s="494">
        <v>120</v>
      </c>
      <c r="W2842" s="2041">
        <f t="shared" ref="W2842:W2848" si="183">(((K2842*V2842)-S2842)/(K2842*V2842))</f>
        <v>0.49498456790123457</v>
      </c>
    </row>
    <row r="2843" spans="2:23" s="7" customFormat="1" ht="18" customHeight="1">
      <c r="B2843" s="12"/>
      <c r="C2843" s="6" t="s">
        <v>6602</v>
      </c>
      <c r="D2843" s="15" t="s">
        <v>11</v>
      </c>
      <c r="E2843" s="20" t="s">
        <v>27</v>
      </c>
      <c r="F2843" s="150"/>
      <c r="G2843" s="24"/>
      <c r="H2843" s="151"/>
      <c r="I2843" s="152"/>
      <c r="J2843" s="151"/>
      <c r="K2843" s="34" t="s">
        <v>10</v>
      </c>
      <c r="L2843" s="39"/>
      <c r="M2843" s="39"/>
      <c r="N2843" s="39">
        <v>45313</v>
      </c>
      <c r="O2843" s="38">
        <v>5836</v>
      </c>
      <c r="P2843" s="15"/>
      <c r="Q2843" s="483"/>
      <c r="S2843" s="2080" t="s">
        <v>6496</v>
      </c>
      <c r="T2843" s="113"/>
      <c r="U2843" s="506"/>
      <c r="V2843" s="494">
        <v>120</v>
      </c>
      <c r="W2843" s="7" t="e">
        <f t="shared" si="183"/>
        <v>#VALUE!</v>
      </c>
    </row>
    <row r="2844" spans="2:23" s="7" customFormat="1" ht="15.75">
      <c r="B2844" s="12" t="s">
        <v>1858</v>
      </c>
      <c r="C2844" s="6" t="s">
        <v>6602</v>
      </c>
      <c r="D2844" s="15" t="s">
        <v>11</v>
      </c>
      <c r="E2844" s="24" t="s">
        <v>536</v>
      </c>
      <c r="F2844" s="150">
        <v>160</v>
      </c>
      <c r="G2844" s="24" t="s">
        <v>6603</v>
      </c>
      <c r="H2844" s="67">
        <v>50</v>
      </c>
      <c r="I2844" s="68">
        <v>2</v>
      </c>
      <c r="J2844" s="8">
        <f>H2844*I2844</f>
        <v>100</v>
      </c>
      <c r="K2844" s="25">
        <v>5</v>
      </c>
      <c r="L2844" s="46">
        <f>K2844*J2844</f>
        <v>500</v>
      </c>
      <c r="M2844" s="162" t="s">
        <v>2218</v>
      </c>
      <c r="N2844" s="39">
        <v>45313</v>
      </c>
      <c r="O2844" s="38">
        <v>5836</v>
      </c>
      <c r="P2844" s="46">
        <f>K2844*(VLOOKUP(B2844,$C$2:$F$6,3,FALSE))</f>
        <v>4.6999999999999993</v>
      </c>
      <c r="Q2844" s="483">
        <v>4.7</v>
      </c>
      <c r="R2844" s="704">
        <f>Q2844*J2844</f>
        <v>470</v>
      </c>
      <c r="S2844" s="532">
        <f>380+30</f>
        <v>410</v>
      </c>
      <c r="T2844" s="567">
        <f>S2844*J2844</f>
        <v>41000</v>
      </c>
      <c r="U2844" s="501"/>
      <c r="V2844" s="494">
        <v>120</v>
      </c>
      <c r="W2844" s="2041">
        <f t="shared" si="183"/>
        <v>0.31666666666666665</v>
      </c>
    </row>
    <row r="2845" spans="2:23" s="7" customFormat="1" ht="15.75">
      <c r="B2845" s="12" t="s">
        <v>1858</v>
      </c>
      <c r="C2845" s="6" t="s">
        <v>6602</v>
      </c>
      <c r="D2845" s="15" t="s">
        <v>11</v>
      </c>
      <c r="E2845" s="24" t="s">
        <v>536</v>
      </c>
      <c r="F2845" s="150">
        <v>160</v>
      </c>
      <c r="G2845" s="24" t="s">
        <v>6604</v>
      </c>
      <c r="H2845" s="67">
        <v>50</v>
      </c>
      <c r="I2845" s="68">
        <v>2</v>
      </c>
      <c r="J2845" s="8">
        <f>H2845*I2845</f>
        <v>100</v>
      </c>
      <c r="K2845" s="25">
        <v>5</v>
      </c>
      <c r="L2845" s="46">
        <f>K2845*J2845</f>
        <v>500</v>
      </c>
      <c r="M2845" s="162" t="s">
        <v>2218</v>
      </c>
      <c r="N2845" s="39">
        <v>45313</v>
      </c>
      <c r="O2845" s="38">
        <v>5836</v>
      </c>
      <c r="P2845" s="46">
        <f>K2845*(VLOOKUP(B2845,$C$2:$F$6,3,FALSE))</f>
        <v>4.6999999999999993</v>
      </c>
      <c r="Q2845" s="483">
        <v>4.7</v>
      </c>
      <c r="R2845" s="704">
        <f>Q2845*J2845</f>
        <v>470</v>
      </c>
      <c r="S2845" s="532">
        <f>380+30</f>
        <v>410</v>
      </c>
      <c r="T2845" s="567">
        <f>S2845*J2845</f>
        <v>41000</v>
      </c>
      <c r="U2845" s="501"/>
      <c r="V2845" s="494">
        <v>120</v>
      </c>
      <c r="W2845" s="2041">
        <f t="shared" si="183"/>
        <v>0.31666666666666665</v>
      </c>
    </row>
    <row r="2846" spans="2:23" s="7" customFormat="1" ht="15.75">
      <c r="B2846" s="12" t="s">
        <v>1858</v>
      </c>
      <c r="C2846" s="6" t="s">
        <v>6602</v>
      </c>
      <c r="D2846" s="15" t="s">
        <v>11</v>
      </c>
      <c r="E2846" s="24" t="s">
        <v>536</v>
      </c>
      <c r="F2846" s="150">
        <v>160</v>
      </c>
      <c r="G2846" s="24" t="s">
        <v>6397</v>
      </c>
      <c r="H2846" s="67">
        <v>50</v>
      </c>
      <c r="I2846" s="68">
        <v>7</v>
      </c>
      <c r="J2846" s="8">
        <f>H2846*I2846</f>
        <v>350</v>
      </c>
      <c r="K2846" s="25">
        <v>5</v>
      </c>
      <c r="L2846" s="46">
        <f>K2846*J2846</f>
        <v>1750</v>
      </c>
      <c r="M2846" s="162" t="s">
        <v>2218</v>
      </c>
      <c r="N2846" s="39">
        <v>45313</v>
      </c>
      <c r="O2846" s="38">
        <v>5836</v>
      </c>
      <c r="P2846" s="46">
        <f>K2846*(VLOOKUP(B2846,$C$2:$F$6,3,FALSE))</f>
        <v>4.6999999999999993</v>
      </c>
      <c r="Q2846" s="483">
        <v>4.7</v>
      </c>
      <c r="R2846" s="704">
        <f>Q2846*J2846</f>
        <v>1645</v>
      </c>
      <c r="S2846" s="532">
        <f>380+30</f>
        <v>410</v>
      </c>
      <c r="T2846" s="567">
        <f>S2846*J2846</f>
        <v>143500</v>
      </c>
      <c r="U2846" s="501"/>
      <c r="V2846" s="494">
        <v>120</v>
      </c>
      <c r="W2846" s="2041">
        <f t="shared" si="183"/>
        <v>0.31666666666666665</v>
      </c>
    </row>
    <row r="2847" spans="2:23" ht="15">
      <c r="C2847" s="6" t="s">
        <v>6602</v>
      </c>
      <c r="D2847" s="15" t="s">
        <v>11</v>
      </c>
      <c r="E2847" s="24"/>
      <c r="F2847" s="160"/>
      <c r="G2847" s="228" t="s">
        <v>481</v>
      </c>
      <c r="H2847" s="214"/>
      <c r="I2847" s="215"/>
      <c r="J2847" s="43">
        <v>1</v>
      </c>
      <c r="K2847" s="229">
        <v>20</v>
      </c>
      <c r="L2847" s="417" t="s">
        <v>1676</v>
      </c>
      <c r="M2847" s="417"/>
      <c r="N2847" s="39">
        <v>45313</v>
      </c>
      <c r="O2847" s="38">
        <v>5836</v>
      </c>
      <c r="P2847" s="216"/>
      <c r="Q2847" s="525">
        <v>0</v>
      </c>
      <c r="R2847" s="704">
        <f>Q2847*J2847</f>
        <v>0</v>
      </c>
      <c r="S2847" s="532">
        <v>1800</v>
      </c>
      <c r="T2847" s="113">
        <f>S2847*J2847</f>
        <v>1800</v>
      </c>
      <c r="V2847" s="494">
        <v>120</v>
      </c>
      <c r="W2847" s="2041">
        <f t="shared" si="183"/>
        <v>0.25</v>
      </c>
    </row>
    <row r="2848" spans="2:23" s="314" customFormat="1" ht="15">
      <c r="B2848" s="313"/>
      <c r="C2848" s="302" t="s">
        <v>6602</v>
      </c>
      <c r="D2848" s="303" t="s">
        <v>11</v>
      </c>
      <c r="E2848" s="304"/>
      <c r="F2848" s="305"/>
      <c r="G2848" s="305" t="s">
        <v>1227</v>
      </c>
      <c r="H2848" s="307" t="s">
        <v>1228</v>
      </c>
      <c r="I2848" s="308"/>
      <c r="J2848" s="306"/>
      <c r="K2848" s="315">
        <v>0</v>
      </c>
      <c r="L2848" s="310"/>
      <c r="M2848" s="310"/>
      <c r="N2848" s="310">
        <v>45313</v>
      </c>
      <c r="O2848" s="309">
        <v>5836</v>
      </c>
      <c r="P2848" s="302"/>
      <c r="Q2848" s="485">
        <v>0</v>
      </c>
      <c r="S2848" s="535">
        <v>0</v>
      </c>
      <c r="T2848" s="322">
        <v>0</v>
      </c>
      <c r="U2848" s="515"/>
      <c r="V2848" s="494">
        <v>120</v>
      </c>
      <c r="W2848" s="2041" t="e">
        <f t="shared" si="183"/>
        <v>#DIV/0!</v>
      </c>
    </row>
    <row r="2849" spans="2:25" s="7" customFormat="1" ht="18" customHeight="1">
      <c r="B2849" s="12"/>
      <c r="C2849" s="6" t="s">
        <v>6605</v>
      </c>
      <c r="D2849" s="15" t="s">
        <v>3120</v>
      </c>
      <c r="E2849" s="20" t="s">
        <v>628</v>
      </c>
      <c r="F2849" s="700"/>
      <c r="G2849" s="640"/>
      <c r="H2849" s="641"/>
      <c r="I2849" s="701"/>
      <c r="J2849" s="702"/>
      <c r="K2849" s="153" t="s">
        <v>10</v>
      </c>
      <c r="L2849" s="219"/>
      <c r="M2849" s="11"/>
      <c r="N2849" s="39">
        <v>45320</v>
      </c>
      <c r="O2849" s="38">
        <v>5834</v>
      </c>
      <c r="P2849" s="6"/>
      <c r="Q2849" s="703"/>
      <c r="U2849" s="46"/>
      <c r="V2849" s="494">
        <v>120</v>
      </c>
    </row>
    <row r="2850" spans="2:25" ht="18" customHeight="1">
      <c r="B2850" s="28" t="s">
        <v>1856</v>
      </c>
      <c r="C2850" s="6" t="s">
        <v>6605</v>
      </c>
      <c r="D2850" s="15" t="s">
        <v>3120</v>
      </c>
      <c r="E2850" s="24">
        <v>5291</v>
      </c>
      <c r="F2850" s="26">
        <v>6</v>
      </c>
      <c r="G2850" s="24" t="s">
        <v>2330</v>
      </c>
      <c r="H2850" s="67">
        <v>50</v>
      </c>
      <c r="I2850" s="68">
        <v>13</v>
      </c>
      <c r="J2850" s="67">
        <f>H2850*I2850</f>
        <v>650</v>
      </c>
      <c r="K2850" s="25">
        <v>0.27</v>
      </c>
      <c r="L2850" s="46">
        <f>K2850*J2850</f>
        <v>175.5</v>
      </c>
      <c r="M2850" s="162" t="s">
        <v>2219</v>
      </c>
      <c r="N2850" s="39">
        <v>45320</v>
      </c>
      <c r="O2850" s="38">
        <v>5834</v>
      </c>
      <c r="P2850" s="46">
        <f>K2850*(VLOOKUP(B2850,$C$2:$F$6,3,FALSE))</f>
        <v>0.23760000000000001</v>
      </c>
      <c r="Q2850" s="483">
        <v>0.24</v>
      </c>
      <c r="R2850" s="704">
        <f>Q2850*J2850</f>
        <v>156</v>
      </c>
      <c r="S2850" s="489">
        <v>14.6</v>
      </c>
      <c r="T2850" s="113">
        <f>S2850*J2850</f>
        <v>9490</v>
      </c>
      <c r="U2850" s="867"/>
      <c r="V2850" s="494">
        <v>120</v>
      </c>
      <c r="W2850" s="2041">
        <f>(((K2850*V2850)-S2850)/(K2850*V2850))</f>
        <v>0.54938271604938271</v>
      </c>
      <c r="X2850" s="7"/>
      <c r="Y2850" s="7"/>
    </row>
    <row r="2851" spans="2:25" ht="18" customHeight="1">
      <c r="C2851" s="6" t="s">
        <v>6605</v>
      </c>
      <c r="D2851" s="15" t="s">
        <v>3120</v>
      </c>
      <c r="E2851" s="24"/>
      <c r="F2851" s="138"/>
      <c r="G2851" s="44" t="s">
        <v>1993</v>
      </c>
      <c r="H2851" s="8"/>
      <c r="I2851" s="41"/>
      <c r="J2851" s="45">
        <v>1</v>
      </c>
      <c r="K2851" s="25">
        <v>12</v>
      </c>
      <c r="L2851" s="46">
        <f>K2851*J2851</f>
        <v>12</v>
      </c>
      <c r="M2851" s="112"/>
      <c r="N2851" s="39">
        <v>45320</v>
      </c>
      <c r="O2851" s="38">
        <v>5834</v>
      </c>
      <c r="P2851" s="179"/>
      <c r="Q2851" s="180">
        <v>12</v>
      </c>
      <c r="R2851" s="704">
        <f>Q2851*J2851</f>
        <v>12</v>
      </c>
      <c r="S2851" s="498">
        <v>850</v>
      </c>
      <c r="T2851" s="568">
        <f>S2851*J2851</f>
        <v>850</v>
      </c>
      <c r="U2851" s="511"/>
      <c r="V2851" s="494">
        <v>120</v>
      </c>
      <c r="W2851" s="2041">
        <f>(((K2851*V2851)-S2851)/(K2851*V2851))</f>
        <v>0.40972222222222221</v>
      </c>
    </row>
    <row r="2852" spans="2:25" s="314" customFormat="1" ht="15">
      <c r="B2852" s="313"/>
      <c r="C2852" s="302" t="s">
        <v>6605</v>
      </c>
      <c r="D2852" s="303" t="s">
        <v>3120</v>
      </c>
      <c r="E2852" s="371"/>
      <c r="F2852" s="305"/>
      <c r="G2852" s="305" t="s">
        <v>1227</v>
      </c>
      <c r="H2852" s="307" t="s">
        <v>1228</v>
      </c>
      <c r="I2852" s="308"/>
      <c r="J2852" s="306"/>
      <c r="K2852" s="315">
        <v>0</v>
      </c>
      <c r="L2852" s="310"/>
      <c r="M2852" s="310"/>
      <c r="N2852" s="310">
        <v>45320</v>
      </c>
      <c r="O2852" s="309">
        <v>5834</v>
      </c>
      <c r="P2852" s="302"/>
      <c r="Q2852" s="485">
        <v>0</v>
      </c>
      <c r="R2852" s="704">
        <v>0</v>
      </c>
      <c r="S2852" s="536">
        <v>0</v>
      </c>
      <c r="T2852" s="322">
        <v>0</v>
      </c>
      <c r="U2852" s="515"/>
      <c r="V2852" s="494">
        <v>120</v>
      </c>
    </row>
    <row r="2853" spans="2:25" ht="15">
      <c r="C2853" s="6" t="s">
        <v>6606</v>
      </c>
      <c r="D2853" s="15" t="s">
        <v>3329</v>
      </c>
      <c r="E2853" s="20" t="s">
        <v>79</v>
      </c>
      <c r="F2853" s="150"/>
      <c r="G2853" s="24"/>
      <c r="H2853" s="151"/>
      <c r="I2853" s="152"/>
      <c r="J2853" s="151"/>
      <c r="K2853" s="153" t="s">
        <v>10</v>
      </c>
      <c r="L2853" s="39"/>
      <c r="M2853" s="39"/>
      <c r="N2853" s="39">
        <v>45348</v>
      </c>
      <c r="O2853" s="38">
        <v>5927</v>
      </c>
      <c r="P2853" s="15"/>
      <c r="Q2853" s="483"/>
      <c r="S2853" s="496"/>
      <c r="T2853" s="113"/>
      <c r="V2853" s="494">
        <v>120</v>
      </c>
      <c r="W2853" s="2041" t="e">
        <f t="shared" ref="W2853:W2858" si="184">(((K2853*V2853)-S2853)/(K2853*V2853))</f>
        <v>#VALUE!</v>
      </c>
    </row>
    <row r="2854" spans="2:25" ht="15.75">
      <c r="B2854" s="12" t="s">
        <v>1858</v>
      </c>
      <c r="C2854" s="6" t="s">
        <v>6606</v>
      </c>
      <c r="D2854" s="15" t="s">
        <v>3329</v>
      </c>
      <c r="E2854" s="24" t="s">
        <v>6607</v>
      </c>
      <c r="F2854" s="155"/>
      <c r="G2854" s="24" t="s">
        <v>6608</v>
      </c>
      <c r="H2854" s="8"/>
      <c r="I2854" s="41"/>
      <c r="J2854" s="45">
        <v>1</v>
      </c>
      <c r="K2854" s="46">
        <v>15</v>
      </c>
      <c r="L2854" s="46">
        <f>K2854*J2854</f>
        <v>15</v>
      </c>
      <c r="M2854" s="162" t="s">
        <v>2219</v>
      </c>
      <c r="N2854" s="39">
        <v>45348</v>
      </c>
      <c r="O2854" s="38">
        <v>5927</v>
      </c>
      <c r="P2854" s="46">
        <v>15</v>
      </c>
      <c r="Q2854" s="483">
        <v>15</v>
      </c>
      <c r="R2854" s="704">
        <f>Q2854*J2854</f>
        <v>15</v>
      </c>
      <c r="S2854" s="489">
        <v>1000</v>
      </c>
      <c r="T2854" s="567">
        <f>S2854*J2854</f>
        <v>1000</v>
      </c>
      <c r="V2854" s="494">
        <v>120</v>
      </c>
      <c r="W2854" s="2041">
        <f t="shared" si="184"/>
        <v>0.44444444444444442</v>
      </c>
    </row>
    <row r="2855" spans="2:25" ht="15.75">
      <c r="B2855" s="12" t="s">
        <v>1858</v>
      </c>
      <c r="C2855" s="6" t="s">
        <v>6606</v>
      </c>
      <c r="D2855" s="15" t="s">
        <v>3329</v>
      </c>
      <c r="E2855" s="24" t="s">
        <v>6607</v>
      </c>
      <c r="F2855" s="155"/>
      <c r="G2855" s="24" t="s">
        <v>6609</v>
      </c>
      <c r="H2855" s="8"/>
      <c r="I2855" s="41"/>
      <c r="J2855" s="45">
        <v>1</v>
      </c>
      <c r="K2855" s="46">
        <v>0</v>
      </c>
      <c r="L2855" s="207" t="s">
        <v>6647</v>
      </c>
      <c r="M2855" s="162" t="s">
        <v>2219</v>
      </c>
      <c r="N2855" s="39">
        <v>45348</v>
      </c>
      <c r="O2855" s="38">
        <v>5927</v>
      </c>
      <c r="P2855" s="46">
        <v>0</v>
      </c>
      <c r="Q2855" s="46">
        <v>0</v>
      </c>
      <c r="R2855" s="704">
        <f>Q2855*J2855</f>
        <v>0</v>
      </c>
      <c r="S2855" s="489">
        <v>0</v>
      </c>
      <c r="T2855" s="567">
        <f>S2855*J2855</f>
        <v>0</v>
      </c>
      <c r="V2855" s="494">
        <v>120</v>
      </c>
      <c r="W2855" s="2041" t="e">
        <f t="shared" si="184"/>
        <v>#DIV/0!</v>
      </c>
    </row>
    <row r="2856" spans="2:25" ht="15.75">
      <c r="B2856" s="12" t="s">
        <v>1858</v>
      </c>
      <c r="C2856" s="6" t="s">
        <v>6606</v>
      </c>
      <c r="D2856" s="15" t="s">
        <v>3329</v>
      </c>
      <c r="E2856" s="24" t="s">
        <v>6607</v>
      </c>
      <c r="F2856" s="155"/>
      <c r="G2856" s="24" t="s">
        <v>6610</v>
      </c>
      <c r="H2856" s="8"/>
      <c r="I2856" s="41"/>
      <c r="J2856" s="45">
        <v>1</v>
      </c>
      <c r="K2856" s="46">
        <v>0</v>
      </c>
      <c r="L2856" s="207" t="s">
        <v>6647</v>
      </c>
      <c r="M2856" s="162" t="s">
        <v>2219</v>
      </c>
      <c r="N2856" s="39">
        <v>45348</v>
      </c>
      <c r="O2856" s="38">
        <v>5927</v>
      </c>
      <c r="P2856" s="46">
        <v>0</v>
      </c>
      <c r="Q2856" s="46">
        <v>0</v>
      </c>
      <c r="R2856" s="704">
        <f>Q2856*J2856</f>
        <v>0</v>
      </c>
      <c r="S2856" s="489">
        <v>0</v>
      </c>
      <c r="T2856" s="567">
        <f>S2856*J2856</f>
        <v>0</v>
      </c>
      <c r="V2856" s="494">
        <v>120</v>
      </c>
      <c r="W2856" s="2041" t="e">
        <f t="shared" si="184"/>
        <v>#DIV/0!</v>
      </c>
    </row>
    <row r="2857" spans="2:25" ht="15.75">
      <c r="B2857" s="12" t="s">
        <v>1858</v>
      </c>
      <c r="C2857" s="6" t="s">
        <v>6606</v>
      </c>
      <c r="D2857" s="15" t="s">
        <v>3329</v>
      </c>
      <c r="E2857" s="24" t="s">
        <v>6607</v>
      </c>
      <c r="F2857" s="155"/>
      <c r="G2857" s="24" t="s">
        <v>6611</v>
      </c>
      <c r="H2857" s="8"/>
      <c r="I2857" s="41"/>
      <c r="J2857" s="45">
        <v>1</v>
      </c>
      <c r="K2857" s="46">
        <v>15</v>
      </c>
      <c r="L2857" s="46">
        <f>K2857*J2857</f>
        <v>15</v>
      </c>
      <c r="M2857" s="162" t="s">
        <v>2219</v>
      </c>
      <c r="N2857" s="39">
        <v>45348</v>
      </c>
      <c r="O2857" s="38">
        <v>5927</v>
      </c>
      <c r="P2857" s="46">
        <v>15</v>
      </c>
      <c r="Q2857" s="483">
        <v>15</v>
      </c>
      <c r="R2857" s="704">
        <f>Q2857*J2857</f>
        <v>15</v>
      </c>
      <c r="S2857" s="489">
        <v>1000</v>
      </c>
      <c r="T2857" s="567">
        <f>S2857*J2857</f>
        <v>1000</v>
      </c>
      <c r="V2857" s="494">
        <v>120</v>
      </c>
      <c r="W2857" s="2041">
        <f t="shared" si="184"/>
        <v>0.44444444444444442</v>
      </c>
    </row>
    <row r="2858" spans="2:25" s="314" customFormat="1" ht="15">
      <c r="B2858" s="313"/>
      <c r="C2858" s="302" t="s">
        <v>6606</v>
      </c>
      <c r="D2858" s="303" t="s">
        <v>3329</v>
      </c>
      <c r="E2858" s="304"/>
      <c r="F2858" s="305"/>
      <c r="G2858" s="305" t="s">
        <v>1227</v>
      </c>
      <c r="H2858" s="307" t="s">
        <v>1228</v>
      </c>
      <c r="I2858" s="308"/>
      <c r="J2858" s="306"/>
      <c r="K2858" s="315">
        <v>0</v>
      </c>
      <c r="L2858" s="310"/>
      <c r="M2858" s="310"/>
      <c r="N2858" s="310">
        <v>45348</v>
      </c>
      <c r="O2858" s="309">
        <v>5927</v>
      </c>
      <c r="P2858" s="302"/>
      <c r="Q2858" s="485">
        <v>0</v>
      </c>
      <c r="S2858" s="535">
        <v>0</v>
      </c>
      <c r="T2858" s="322">
        <v>0</v>
      </c>
      <c r="U2858" s="515"/>
      <c r="V2858" s="494">
        <v>120</v>
      </c>
      <c r="W2858" s="2041" t="e">
        <f t="shared" si="184"/>
        <v>#DIV/0!</v>
      </c>
    </row>
    <row r="2859" spans="2:25" s="7" customFormat="1" ht="18" customHeight="1">
      <c r="B2859" s="12"/>
      <c r="C2859" s="6" t="s">
        <v>6614</v>
      </c>
      <c r="D2859" s="15" t="s">
        <v>500</v>
      </c>
      <c r="E2859" s="20" t="s">
        <v>503</v>
      </c>
      <c r="F2859" s="26"/>
      <c r="G2859" s="24"/>
      <c r="H2859" s="67"/>
      <c r="I2859" s="68"/>
      <c r="J2859" s="67"/>
      <c r="K2859" s="17" t="s">
        <v>134</v>
      </c>
      <c r="L2859" s="39"/>
      <c r="M2859" s="39"/>
      <c r="N2859" s="39">
        <v>45316</v>
      </c>
      <c r="O2859" s="38">
        <v>5852</v>
      </c>
      <c r="P2859" s="179" t="s">
        <v>23</v>
      </c>
      <c r="Q2859" s="435"/>
      <c r="S2859" s="489"/>
      <c r="T2859" s="113"/>
      <c r="U2859" s="510"/>
      <c r="V2859" s="494">
        <v>120</v>
      </c>
    </row>
    <row r="2860" spans="2:25" s="7" customFormat="1" ht="18" customHeight="1">
      <c r="B2860" s="12" t="s">
        <v>1856</v>
      </c>
      <c r="C2860" s="6" t="s">
        <v>6614</v>
      </c>
      <c r="D2860" s="15" t="s">
        <v>500</v>
      </c>
      <c r="E2860" s="24">
        <v>5356</v>
      </c>
      <c r="F2860" s="26">
        <v>3</v>
      </c>
      <c r="G2860" s="24" t="s">
        <v>103</v>
      </c>
      <c r="H2860" s="67">
        <v>30</v>
      </c>
      <c r="I2860" s="68">
        <v>2</v>
      </c>
      <c r="J2860" s="67">
        <f>H2860*I2860</f>
        <v>60</v>
      </c>
      <c r="K2860" s="46">
        <v>0.76</v>
      </c>
      <c r="L2860" s="46">
        <f>K2860*J2860</f>
        <v>45.6</v>
      </c>
      <c r="M2860" s="162" t="s">
        <v>2219</v>
      </c>
      <c r="N2860" s="39">
        <v>45316</v>
      </c>
      <c r="O2860" s="38">
        <v>5852</v>
      </c>
      <c r="P2860" s="46">
        <f>K2860*(VLOOKUP(B2860,$C$2:$F$6,3,FALSE))</f>
        <v>0.66880000000000006</v>
      </c>
      <c r="Q2860" s="180">
        <v>0.67</v>
      </c>
      <c r="R2860" s="704">
        <f>Q2860*J2860</f>
        <v>40.200000000000003</v>
      </c>
      <c r="S2860" s="489">
        <v>39</v>
      </c>
      <c r="T2860" s="113">
        <f>S2860*J2860</f>
        <v>2340</v>
      </c>
      <c r="U2860" s="489">
        <v>41</v>
      </c>
      <c r="V2860" s="494">
        <v>120</v>
      </c>
      <c r="W2860" s="2041">
        <f>(((K2860*V2860)-S2860)/(K2860*V2860))</f>
        <v>0.57236842105263164</v>
      </c>
    </row>
    <row r="2861" spans="2:25" ht="18" customHeight="1">
      <c r="C2861" s="6" t="s">
        <v>6614</v>
      </c>
      <c r="D2861" s="15" t="s">
        <v>500</v>
      </c>
      <c r="E2861" s="24"/>
      <c r="F2861" s="138"/>
      <c r="G2861" s="44" t="s">
        <v>1993</v>
      </c>
      <c r="H2861" s="8"/>
      <c r="I2861" s="41"/>
      <c r="J2861" s="45">
        <v>1</v>
      </c>
      <c r="K2861" s="46">
        <v>12</v>
      </c>
      <c r="L2861" s="46">
        <f>K2861*J2861</f>
        <v>12</v>
      </c>
      <c r="M2861" s="112"/>
      <c r="N2861" s="39">
        <v>45316</v>
      </c>
      <c r="O2861" s="38">
        <v>5852</v>
      </c>
      <c r="P2861" s="179"/>
      <c r="Q2861" s="180">
        <v>12</v>
      </c>
      <c r="R2861" s="180">
        <v>12</v>
      </c>
      <c r="S2861" s="498">
        <v>900</v>
      </c>
      <c r="T2861" s="113">
        <f>S2861*J2861</f>
        <v>900</v>
      </c>
      <c r="U2861" s="511"/>
      <c r="V2861" s="494">
        <v>120</v>
      </c>
      <c r="W2861" s="2041">
        <f>(((K2861*V2861)-S2861)/(K2861*V2861))</f>
        <v>0.375</v>
      </c>
    </row>
    <row r="2862" spans="2:25" s="314" customFormat="1" ht="18" customHeight="1">
      <c r="B2862" s="313"/>
      <c r="C2862" s="302" t="s">
        <v>6614</v>
      </c>
      <c r="D2862" s="303" t="s">
        <v>500</v>
      </c>
      <c r="E2862" s="304"/>
      <c r="F2862" s="305"/>
      <c r="G2862" s="305" t="s">
        <v>1227</v>
      </c>
      <c r="H2862" s="307" t="s">
        <v>1228</v>
      </c>
      <c r="I2862" s="308"/>
      <c r="J2862" s="306"/>
      <c r="K2862" s="315">
        <v>0</v>
      </c>
      <c r="L2862" s="310"/>
      <c r="M2862" s="310"/>
      <c r="N2862" s="310">
        <v>45316</v>
      </c>
      <c r="O2862" s="309">
        <v>5852</v>
      </c>
      <c r="P2862" s="302"/>
      <c r="Q2862" s="485">
        <v>0</v>
      </c>
      <c r="S2862" s="536">
        <v>0</v>
      </c>
      <c r="T2862" s="322">
        <v>0</v>
      </c>
      <c r="U2862" s="515"/>
      <c r="V2862" s="494">
        <v>120</v>
      </c>
    </row>
    <row r="2863" spans="2:25" s="7" customFormat="1" ht="15">
      <c r="B2863" s="12"/>
      <c r="C2863" s="6" t="s">
        <v>6625</v>
      </c>
      <c r="D2863" s="15" t="s">
        <v>1171</v>
      </c>
      <c r="E2863" s="20" t="s">
        <v>3323</v>
      </c>
      <c r="F2863" s="44"/>
      <c r="G2863" s="44"/>
      <c r="H2863" s="151"/>
      <c r="I2863" s="151"/>
      <c r="J2863" s="151"/>
      <c r="K2863" s="34" t="s">
        <v>1027</v>
      </c>
      <c r="L2863" s="39"/>
      <c r="M2863" s="39"/>
      <c r="N2863" s="39">
        <v>45349</v>
      </c>
      <c r="O2863" s="38">
        <v>5909</v>
      </c>
      <c r="P2863" s="6"/>
      <c r="Q2863" s="524"/>
      <c r="S2863" s="489"/>
      <c r="T2863" s="113"/>
      <c r="U2863" s="501"/>
      <c r="V2863" s="494">
        <v>120</v>
      </c>
      <c r="W2863" s="2041" t="e">
        <f t="shared" ref="W2863:W2894" si="185">(((K2863*V2863)-S2863)/(K2863*V2863))</f>
        <v>#VALUE!</v>
      </c>
    </row>
    <row r="2864" spans="2:25" s="7" customFormat="1" ht="15" customHeight="1">
      <c r="B2864" s="12" t="s">
        <v>1856</v>
      </c>
      <c r="C2864" s="6" t="s">
        <v>6625</v>
      </c>
      <c r="D2864" s="15" t="s">
        <v>1171</v>
      </c>
      <c r="E2864" s="20" t="s">
        <v>3324</v>
      </c>
      <c r="F2864" s="44" t="s">
        <v>5768</v>
      </c>
      <c r="G2864" s="267" t="s">
        <v>5763</v>
      </c>
      <c r="H2864" s="261"/>
      <c r="I2864" s="261"/>
      <c r="J2864" s="664">
        <v>4</v>
      </c>
      <c r="K2864" s="46">
        <v>2.38</v>
      </c>
      <c r="L2864" s="46">
        <f t="shared" ref="L2864:L2870" si="186">K2864*J2864</f>
        <v>9.52</v>
      </c>
      <c r="M2864" s="162" t="s">
        <v>2219</v>
      </c>
      <c r="N2864" s="39">
        <v>45349</v>
      </c>
      <c r="O2864" s="38">
        <v>5909</v>
      </c>
      <c r="P2864" s="46">
        <f t="shared" ref="P2864:P2869" si="187">K2864*(VLOOKUP(B2864,$C$2:$F$6,3,FALSE))</f>
        <v>2.0943999999999998</v>
      </c>
      <c r="Q2864" s="483">
        <v>2.09</v>
      </c>
      <c r="R2864" s="704">
        <f t="shared" ref="R2864:R2870" si="188">Q2864*J2864</f>
        <v>8.36</v>
      </c>
      <c r="S2864" s="489">
        <v>128.5</v>
      </c>
      <c r="T2864" s="567">
        <f t="shared" ref="T2864:T2870" si="189">S2864*J2864</f>
        <v>514</v>
      </c>
      <c r="U2864" s="507"/>
      <c r="V2864" s="494">
        <v>120</v>
      </c>
      <c r="W2864" s="2041">
        <f t="shared" si="185"/>
        <v>0.55007002801120441</v>
      </c>
    </row>
    <row r="2865" spans="2:23" s="7" customFormat="1" ht="15" customHeight="1">
      <c r="B2865" s="12" t="s">
        <v>1856</v>
      </c>
      <c r="C2865" s="6" t="s">
        <v>6625</v>
      </c>
      <c r="D2865" s="15" t="s">
        <v>1171</v>
      </c>
      <c r="E2865" s="20" t="s">
        <v>3324</v>
      </c>
      <c r="F2865" s="44" t="s">
        <v>5768</v>
      </c>
      <c r="G2865" s="267" t="s">
        <v>6626</v>
      </c>
      <c r="H2865" s="261"/>
      <c r="I2865" s="261"/>
      <c r="J2865" s="664">
        <v>3</v>
      </c>
      <c r="K2865" s="46">
        <v>2.38</v>
      </c>
      <c r="L2865" s="46">
        <f t="shared" si="186"/>
        <v>7.14</v>
      </c>
      <c r="M2865" s="162" t="s">
        <v>2219</v>
      </c>
      <c r="N2865" s="39">
        <v>45349</v>
      </c>
      <c r="O2865" s="38">
        <v>5909</v>
      </c>
      <c r="P2865" s="46">
        <f t="shared" si="187"/>
        <v>2.0943999999999998</v>
      </c>
      <c r="Q2865" s="483">
        <v>2.09</v>
      </c>
      <c r="R2865" s="704">
        <f t="shared" si="188"/>
        <v>6.27</v>
      </c>
      <c r="S2865" s="489">
        <v>128.5</v>
      </c>
      <c r="T2865" s="567">
        <f t="shared" si="189"/>
        <v>385.5</v>
      </c>
      <c r="U2865" s="507"/>
      <c r="V2865" s="494">
        <v>120</v>
      </c>
      <c r="W2865" s="2041">
        <f t="shared" si="185"/>
        <v>0.55007002801120441</v>
      </c>
    </row>
    <row r="2866" spans="2:23" s="7" customFormat="1" ht="15" customHeight="1">
      <c r="B2866" s="12" t="s">
        <v>1856</v>
      </c>
      <c r="C2866" s="6" t="s">
        <v>6625</v>
      </c>
      <c r="D2866" s="15" t="s">
        <v>1171</v>
      </c>
      <c r="E2866" s="20" t="s">
        <v>3324</v>
      </c>
      <c r="F2866" s="44" t="s">
        <v>5768</v>
      </c>
      <c r="G2866" s="267" t="s">
        <v>5764</v>
      </c>
      <c r="H2866" s="261"/>
      <c r="I2866" s="261"/>
      <c r="J2866" s="664">
        <v>80</v>
      </c>
      <c r="K2866" s="46">
        <v>2.38</v>
      </c>
      <c r="L2866" s="46">
        <f t="shared" si="186"/>
        <v>190.39999999999998</v>
      </c>
      <c r="M2866" s="162" t="s">
        <v>2219</v>
      </c>
      <c r="N2866" s="39">
        <v>45349</v>
      </c>
      <c r="O2866" s="38">
        <v>5909</v>
      </c>
      <c r="P2866" s="46">
        <f t="shared" si="187"/>
        <v>2.0943999999999998</v>
      </c>
      <c r="Q2866" s="483">
        <v>2.09</v>
      </c>
      <c r="R2866" s="704">
        <f t="shared" si="188"/>
        <v>167.2</v>
      </c>
      <c r="S2866" s="489">
        <v>128.5</v>
      </c>
      <c r="T2866" s="567">
        <f t="shared" si="189"/>
        <v>10280</v>
      </c>
      <c r="U2866" s="507"/>
      <c r="V2866" s="494">
        <v>120</v>
      </c>
      <c r="W2866" s="2041">
        <f t="shared" si="185"/>
        <v>0.55007002801120441</v>
      </c>
    </row>
    <row r="2867" spans="2:23" s="7" customFormat="1" ht="15" customHeight="1">
      <c r="B2867" s="12" t="s">
        <v>1856</v>
      </c>
      <c r="C2867" s="6" t="s">
        <v>6625</v>
      </c>
      <c r="D2867" s="15" t="s">
        <v>1171</v>
      </c>
      <c r="E2867" s="20" t="s">
        <v>3324</v>
      </c>
      <c r="F2867" s="44" t="s">
        <v>5768</v>
      </c>
      <c r="G2867" s="267" t="s">
        <v>6627</v>
      </c>
      <c r="H2867" s="261"/>
      <c r="I2867" s="261"/>
      <c r="J2867" s="664">
        <v>3</v>
      </c>
      <c r="K2867" s="46">
        <v>2.38</v>
      </c>
      <c r="L2867" s="46">
        <f t="shared" si="186"/>
        <v>7.14</v>
      </c>
      <c r="M2867" s="162" t="s">
        <v>2219</v>
      </c>
      <c r="N2867" s="39">
        <v>45349</v>
      </c>
      <c r="O2867" s="38">
        <v>5909</v>
      </c>
      <c r="P2867" s="46">
        <f t="shared" si="187"/>
        <v>2.0943999999999998</v>
      </c>
      <c r="Q2867" s="483">
        <v>2.09</v>
      </c>
      <c r="R2867" s="704">
        <f t="shared" si="188"/>
        <v>6.27</v>
      </c>
      <c r="S2867" s="489">
        <v>128.5</v>
      </c>
      <c r="T2867" s="567">
        <f t="shared" si="189"/>
        <v>385.5</v>
      </c>
      <c r="U2867" s="507"/>
      <c r="V2867" s="494">
        <v>120</v>
      </c>
      <c r="W2867" s="2041">
        <f t="shared" si="185"/>
        <v>0.55007002801120441</v>
      </c>
    </row>
    <row r="2868" spans="2:23" s="7" customFormat="1" ht="15" customHeight="1">
      <c r="B2868" s="12" t="s">
        <v>1856</v>
      </c>
      <c r="C2868" s="6" t="s">
        <v>6625</v>
      </c>
      <c r="D2868" s="15" t="s">
        <v>1171</v>
      </c>
      <c r="E2868" s="20" t="s">
        <v>3324</v>
      </c>
      <c r="F2868" s="44" t="s">
        <v>5768</v>
      </c>
      <c r="G2868" s="267" t="s">
        <v>5762</v>
      </c>
      <c r="H2868" s="261"/>
      <c r="I2868" s="261"/>
      <c r="J2868" s="664">
        <v>42</v>
      </c>
      <c r="K2868" s="46">
        <v>2.38</v>
      </c>
      <c r="L2868" s="46">
        <f t="shared" si="186"/>
        <v>99.96</v>
      </c>
      <c r="M2868" s="162" t="s">
        <v>2219</v>
      </c>
      <c r="N2868" s="39">
        <v>45349</v>
      </c>
      <c r="O2868" s="38">
        <v>5909</v>
      </c>
      <c r="P2868" s="46">
        <f t="shared" si="187"/>
        <v>2.0943999999999998</v>
      </c>
      <c r="Q2868" s="483">
        <v>2.09</v>
      </c>
      <c r="R2868" s="704">
        <f t="shared" si="188"/>
        <v>87.78</v>
      </c>
      <c r="S2868" s="489">
        <v>128.5</v>
      </c>
      <c r="T2868" s="567">
        <f t="shared" si="189"/>
        <v>5397</v>
      </c>
      <c r="U2868" s="507"/>
      <c r="V2868" s="494">
        <v>120</v>
      </c>
      <c r="W2868" s="2041">
        <f t="shared" si="185"/>
        <v>0.55007002801120441</v>
      </c>
    </row>
    <row r="2869" spans="2:23" s="7" customFormat="1" ht="15" customHeight="1">
      <c r="B2869" s="12" t="s">
        <v>1862</v>
      </c>
      <c r="C2869" s="6" t="s">
        <v>6625</v>
      </c>
      <c r="D2869" s="15" t="s">
        <v>1171</v>
      </c>
      <c r="E2869" s="24"/>
      <c r="F2869" s="138"/>
      <c r="G2869" s="44" t="s">
        <v>2014</v>
      </c>
      <c r="H2869" s="8"/>
      <c r="I2869" s="41"/>
      <c r="J2869" s="45">
        <v>5</v>
      </c>
      <c r="K2869" s="46">
        <v>7</v>
      </c>
      <c r="L2869" s="46">
        <f t="shared" si="186"/>
        <v>35</v>
      </c>
      <c r="M2869" s="162" t="s">
        <v>2219</v>
      </c>
      <c r="N2869" s="39">
        <v>45349</v>
      </c>
      <c r="O2869" s="38">
        <v>5909</v>
      </c>
      <c r="P2869" s="46">
        <f t="shared" si="187"/>
        <v>7</v>
      </c>
      <c r="Q2869" s="483">
        <v>7</v>
      </c>
      <c r="R2869" s="704">
        <f t="shared" si="188"/>
        <v>35</v>
      </c>
      <c r="S2869" s="489">
        <v>500</v>
      </c>
      <c r="T2869" s="567">
        <f t="shared" si="189"/>
        <v>2500</v>
      </c>
      <c r="U2869" s="501"/>
      <c r="V2869" s="494">
        <v>120</v>
      </c>
      <c r="W2869" s="2041">
        <f t="shared" si="185"/>
        <v>0.40476190476190477</v>
      </c>
    </row>
    <row r="2870" spans="2:23" s="7" customFormat="1" ht="15.95" customHeight="1">
      <c r="B2870" s="12"/>
      <c r="C2870" s="6" t="s">
        <v>6625</v>
      </c>
      <c r="D2870" s="15" t="s">
        <v>1171</v>
      </c>
      <c r="E2870" s="24"/>
      <c r="F2870" s="138"/>
      <c r="G2870" s="44" t="s">
        <v>1993</v>
      </c>
      <c r="H2870" s="8"/>
      <c r="I2870" s="41"/>
      <c r="J2870" s="45">
        <v>1</v>
      </c>
      <c r="K2870" s="46">
        <v>12</v>
      </c>
      <c r="L2870" s="46">
        <f t="shared" si="186"/>
        <v>12</v>
      </c>
      <c r="M2870" s="39"/>
      <c r="N2870" s="39">
        <v>45349</v>
      </c>
      <c r="O2870" s="38">
        <v>5909</v>
      </c>
      <c r="P2870" s="6"/>
      <c r="Q2870" s="483">
        <v>12</v>
      </c>
      <c r="R2870" s="704">
        <f t="shared" si="188"/>
        <v>12</v>
      </c>
      <c r="S2870" s="489">
        <v>1100</v>
      </c>
      <c r="T2870" s="113">
        <f t="shared" si="189"/>
        <v>1100</v>
      </c>
      <c r="U2870" s="501"/>
      <c r="V2870" s="494">
        <v>120</v>
      </c>
      <c r="W2870" s="2041">
        <f t="shared" si="185"/>
        <v>0.2361111111111111</v>
      </c>
    </row>
    <row r="2871" spans="2:23" s="314" customFormat="1" ht="15.6" customHeight="1">
      <c r="B2871" s="313"/>
      <c r="C2871" s="302" t="s">
        <v>6625</v>
      </c>
      <c r="D2871" s="303" t="s">
        <v>1171</v>
      </c>
      <c r="E2871" s="304"/>
      <c r="F2871" s="305"/>
      <c r="G2871" s="305" t="s">
        <v>1227</v>
      </c>
      <c r="H2871" s="307" t="s">
        <v>3438</v>
      </c>
      <c r="I2871" s="308"/>
      <c r="J2871" s="306"/>
      <c r="K2871" s="329">
        <v>28</v>
      </c>
      <c r="L2871" s="329">
        <v>28</v>
      </c>
      <c r="M2871" s="310"/>
      <c r="N2871" s="310">
        <v>45349</v>
      </c>
      <c r="O2871" s="309">
        <v>5909</v>
      </c>
      <c r="P2871" s="302"/>
      <c r="Q2871" s="329">
        <v>28</v>
      </c>
      <c r="R2871" s="329">
        <v>28</v>
      </c>
      <c r="S2871" s="1369">
        <v>3360</v>
      </c>
      <c r="T2871" s="1369">
        <v>3360</v>
      </c>
      <c r="U2871" s="515"/>
      <c r="V2871" s="494">
        <v>120</v>
      </c>
      <c r="W2871" s="2041">
        <f t="shared" si="185"/>
        <v>0</v>
      </c>
    </row>
    <row r="2872" spans="2:23" s="7" customFormat="1" ht="15">
      <c r="B2872" s="12"/>
      <c r="C2872" s="6"/>
      <c r="D2872" s="15" t="s">
        <v>1171</v>
      </c>
      <c r="E2872" s="20" t="s">
        <v>408</v>
      </c>
      <c r="F2872" s="44"/>
      <c r="G2872" s="44"/>
      <c r="H2872" s="151"/>
      <c r="I2872" s="151"/>
      <c r="J2872" s="151"/>
      <c r="K2872" s="34" t="s">
        <v>1027</v>
      </c>
      <c r="L2872" s="39"/>
      <c r="M2872" s="39"/>
      <c r="N2872" s="39"/>
      <c r="O2872" s="38"/>
      <c r="P2872" s="6"/>
      <c r="Q2872" s="524"/>
      <c r="S2872" s="489"/>
      <c r="T2872" s="113"/>
      <c r="U2872" s="501"/>
      <c r="V2872" s="494">
        <v>120</v>
      </c>
      <c r="W2872" s="2041" t="e">
        <f t="shared" si="185"/>
        <v>#VALUE!</v>
      </c>
    </row>
    <row r="2873" spans="2:23" s="7" customFormat="1" ht="15" customHeight="1">
      <c r="B2873" s="12" t="s">
        <v>1856</v>
      </c>
      <c r="C2873" s="6"/>
      <c r="D2873" s="15" t="s">
        <v>1171</v>
      </c>
      <c r="E2873" s="95" t="s">
        <v>637</v>
      </c>
      <c r="F2873" s="26"/>
      <c r="G2873" s="24" t="s">
        <v>17</v>
      </c>
      <c r="H2873" s="67">
        <v>50</v>
      </c>
      <c r="I2873" s="68">
        <v>4</v>
      </c>
      <c r="J2873" s="8">
        <f>H2873*I2873</f>
        <v>200</v>
      </c>
      <c r="K2873" s="46">
        <v>0.23</v>
      </c>
      <c r="L2873" s="46">
        <f>K2873*J2873</f>
        <v>46</v>
      </c>
      <c r="M2873" s="162" t="s">
        <v>2219</v>
      </c>
      <c r="N2873" s="39"/>
      <c r="O2873" s="38"/>
      <c r="P2873" s="46">
        <f>K2873*(VLOOKUP(B2873,$C$2:$F$6,3,FALSE))</f>
        <v>0.2024</v>
      </c>
      <c r="Q2873" s="482">
        <v>0.2</v>
      </c>
      <c r="R2873" s="704">
        <f>Q2873*J2873</f>
        <v>40</v>
      </c>
      <c r="S2873" s="489">
        <v>13.1</v>
      </c>
      <c r="T2873" s="113">
        <f>S2873*J2873</f>
        <v>2620</v>
      </c>
      <c r="U2873" s="1603"/>
      <c r="V2873" s="494">
        <v>120</v>
      </c>
      <c r="W2873" s="2041">
        <f t="shared" si="185"/>
        <v>0.52536231884057971</v>
      </c>
    </row>
    <row r="2874" spans="2:23" s="7" customFormat="1" ht="15.95" customHeight="1">
      <c r="B2874" s="12"/>
      <c r="C2874" s="6"/>
      <c r="D2874" s="15" t="s">
        <v>1171</v>
      </c>
      <c r="E2874" s="24"/>
      <c r="F2874" s="138"/>
      <c r="G2874" s="44" t="s">
        <v>1993</v>
      </c>
      <c r="H2874" s="8"/>
      <c r="I2874" s="41"/>
      <c r="J2874" s="45">
        <v>1</v>
      </c>
      <c r="K2874" s="46">
        <v>12</v>
      </c>
      <c r="L2874" s="46">
        <f>K2874*J2874</f>
        <v>12</v>
      </c>
      <c r="M2874" s="39"/>
      <c r="N2874" s="39"/>
      <c r="O2874" s="38"/>
      <c r="P2874" s="6"/>
      <c r="Q2874" s="483">
        <v>12</v>
      </c>
      <c r="R2874" s="704">
        <f>Q2874*J2874</f>
        <v>12</v>
      </c>
      <c r="S2874" s="490">
        <v>1100</v>
      </c>
      <c r="T2874" s="1176">
        <f>S2874*J2874</f>
        <v>1100</v>
      </c>
      <c r="U2874" s="501"/>
      <c r="V2874" s="494">
        <v>120</v>
      </c>
      <c r="W2874" s="2041">
        <f t="shared" si="185"/>
        <v>0.2361111111111111</v>
      </c>
    </row>
    <row r="2875" spans="2:23" s="314" customFormat="1" ht="15.6" customHeight="1">
      <c r="B2875" s="313"/>
      <c r="C2875" s="302" t="s">
        <v>6625</v>
      </c>
      <c r="D2875" s="303" t="s">
        <v>1171</v>
      </c>
      <c r="E2875" s="304"/>
      <c r="F2875" s="305"/>
      <c r="G2875" s="305" t="s">
        <v>1227</v>
      </c>
      <c r="H2875" s="307" t="s">
        <v>3438</v>
      </c>
      <c r="I2875" s="308"/>
      <c r="J2875" s="306"/>
      <c r="K2875" s="329" t="s">
        <v>855</v>
      </c>
      <c r="L2875" s="329" t="s">
        <v>855</v>
      </c>
      <c r="M2875" s="310"/>
      <c r="N2875" s="310"/>
      <c r="O2875" s="309"/>
      <c r="P2875" s="302"/>
      <c r="Q2875" s="329" t="s">
        <v>855</v>
      </c>
      <c r="R2875" s="329" t="s">
        <v>855</v>
      </c>
      <c r="S2875" s="532" t="s">
        <v>855</v>
      </c>
      <c r="T2875" s="532" t="s">
        <v>855</v>
      </c>
      <c r="U2875" s="515"/>
      <c r="V2875" s="494">
        <v>120</v>
      </c>
      <c r="W2875" s="2041" t="e">
        <f t="shared" si="185"/>
        <v>#VALUE!</v>
      </c>
    </row>
    <row r="2876" spans="2:23" s="7" customFormat="1" ht="15">
      <c r="B2876" s="12"/>
      <c r="C2876" s="6" t="s">
        <v>6621</v>
      </c>
      <c r="D2876" s="61" t="s">
        <v>1126</v>
      </c>
      <c r="E2876" s="20" t="s">
        <v>344</v>
      </c>
      <c r="F2876" s="26"/>
      <c r="G2876" s="24"/>
      <c r="H2876" s="67"/>
      <c r="I2876" s="68"/>
      <c r="J2876" s="67"/>
      <c r="K2876" s="17" t="s">
        <v>134</v>
      </c>
      <c r="L2876" s="39"/>
      <c r="M2876" s="39"/>
      <c r="N2876" s="39">
        <v>45330</v>
      </c>
      <c r="O2876" s="38">
        <v>5874</v>
      </c>
      <c r="P2876" s="6" t="s">
        <v>23</v>
      </c>
      <c r="Q2876" s="481"/>
      <c r="S2876" s="489"/>
      <c r="T2876" s="113"/>
      <c r="U2876" s="500"/>
      <c r="V2876" s="494">
        <v>120</v>
      </c>
      <c r="W2876" s="2041" t="e">
        <f t="shared" si="185"/>
        <v>#VALUE!</v>
      </c>
    </row>
    <row r="2877" spans="2:23" s="7" customFormat="1" ht="15.75">
      <c r="B2877" s="12" t="s">
        <v>1856</v>
      </c>
      <c r="C2877" s="6" t="s">
        <v>6621</v>
      </c>
      <c r="D2877" s="61" t="s">
        <v>1126</v>
      </c>
      <c r="E2877" s="24">
        <v>14552</v>
      </c>
      <c r="F2877" s="26">
        <v>38</v>
      </c>
      <c r="G2877" s="24" t="s">
        <v>2721</v>
      </c>
      <c r="H2877" s="151">
        <v>30</v>
      </c>
      <c r="I2877" s="152">
        <v>1</v>
      </c>
      <c r="J2877" s="67">
        <f>H2877*I2877</f>
        <v>30</v>
      </c>
      <c r="K2877" s="25">
        <v>1.78</v>
      </c>
      <c r="L2877" s="46">
        <f>K2877*J2877</f>
        <v>53.4</v>
      </c>
      <c r="M2877" s="162" t="s">
        <v>2219</v>
      </c>
      <c r="N2877" s="39">
        <v>45330</v>
      </c>
      <c r="O2877" s="38">
        <v>5874</v>
      </c>
      <c r="P2877" s="46">
        <f>K2877*(VLOOKUP(B2877,$C$2:$F$6,3,FALSE))</f>
        <v>1.5664</v>
      </c>
      <c r="Q2877" s="482">
        <v>1.57</v>
      </c>
      <c r="R2877" s="704">
        <f>Q2877*J2877</f>
        <v>47.1</v>
      </c>
      <c r="S2877" s="489">
        <v>106</v>
      </c>
      <c r="T2877" s="567">
        <f>S2877*J2877</f>
        <v>3180</v>
      </c>
      <c r="U2877" s="1784"/>
      <c r="V2877" s="494">
        <v>120</v>
      </c>
      <c r="W2877" s="2041">
        <f t="shared" si="185"/>
        <v>0.50374531835205993</v>
      </c>
    </row>
    <row r="2878" spans="2:23" s="7" customFormat="1" ht="15.95" customHeight="1">
      <c r="B2878" s="12"/>
      <c r="C2878" s="6" t="s">
        <v>6621</v>
      </c>
      <c r="D2878" s="61" t="s">
        <v>1126</v>
      </c>
      <c r="E2878" s="24"/>
      <c r="F2878" s="138"/>
      <c r="G2878" s="44" t="s">
        <v>1993</v>
      </c>
      <c r="H2878" s="8"/>
      <c r="I2878" s="41"/>
      <c r="J2878" s="45">
        <v>1</v>
      </c>
      <c r="K2878" s="46">
        <v>12</v>
      </c>
      <c r="L2878" s="46">
        <f>K2878*J2878</f>
        <v>12</v>
      </c>
      <c r="M2878" s="39"/>
      <c r="N2878" s="39">
        <v>45330</v>
      </c>
      <c r="O2878" s="38">
        <v>5874</v>
      </c>
      <c r="P2878" s="6"/>
      <c r="Q2878" s="483">
        <v>12</v>
      </c>
      <c r="R2878" s="704">
        <f>Q2878*J2878</f>
        <v>12</v>
      </c>
      <c r="S2878" s="489">
        <v>1100</v>
      </c>
      <c r="T2878" s="113">
        <f>S2878*J2878</f>
        <v>1100</v>
      </c>
      <c r="U2878" s="501"/>
      <c r="V2878" s="494">
        <v>120</v>
      </c>
      <c r="W2878" s="2041">
        <f t="shared" si="185"/>
        <v>0.2361111111111111</v>
      </c>
    </row>
    <row r="2879" spans="2:23" s="314" customFormat="1" ht="15.6" customHeight="1">
      <c r="B2879" s="313"/>
      <c r="C2879" s="302" t="s">
        <v>6621</v>
      </c>
      <c r="D2879" s="592" t="s">
        <v>1126</v>
      </c>
      <c r="E2879" s="371"/>
      <c r="F2879" s="305"/>
      <c r="G2879" s="305" t="s">
        <v>1227</v>
      </c>
      <c r="H2879" s="307" t="s">
        <v>1228</v>
      </c>
      <c r="I2879" s="308"/>
      <c r="J2879" s="306"/>
      <c r="K2879" s="315">
        <v>0</v>
      </c>
      <c r="L2879" s="310"/>
      <c r="M2879" s="310"/>
      <c r="N2879" s="310">
        <v>45330</v>
      </c>
      <c r="O2879" s="309">
        <v>5874</v>
      </c>
      <c r="P2879" s="302"/>
      <c r="Q2879" s="531">
        <v>0</v>
      </c>
      <c r="S2879" s="535">
        <v>0</v>
      </c>
      <c r="T2879" s="322">
        <v>0</v>
      </c>
      <c r="U2879" s="1115"/>
      <c r="V2879" s="494">
        <v>120</v>
      </c>
      <c r="W2879" s="2041" t="e">
        <f t="shared" si="185"/>
        <v>#DIV/0!</v>
      </c>
    </row>
    <row r="2880" spans="2:23" s="7" customFormat="1" ht="15">
      <c r="B2880" s="12"/>
      <c r="C2880" s="6" t="s">
        <v>6622</v>
      </c>
      <c r="D2880" s="15" t="s">
        <v>6623</v>
      </c>
      <c r="E2880" s="20" t="s">
        <v>408</v>
      </c>
      <c r="F2880" s="44"/>
      <c r="G2880" s="44"/>
      <c r="H2880" s="151"/>
      <c r="I2880" s="151"/>
      <c r="J2880" s="151"/>
      <c r="K2880" s="17" t="s">
        <v>134</v>
      </c>
      <c r="L2880" s="39"/>
      <c r="M2880" s="39"/>
      <c r="N2880" s="39">
        <v>45331</v>
      </c>
      <c r="O2880" s="38">
        <v>5880</v>
      </c>
      <c r="P2880" s="6"/>
      <c r="Q2880" s="524"/>
      <c r="S2880" s="489"/>
      <c r="T2880" s="113"/>
      <c r="U2880" s="501"/>
      <c r="V2880" s="494">
        <v>120</v>
      </c>
      <c r="W2880" s="2041" t="e">
        <f t="shared" si="185"/>
        <v>#VALUE!</v>
      </c>
    </row>
    <row r="2881" spans="2:24" s="7" customFormat="1" ht="15" customHeight="1">
      <c r="B2881" s="12" t="s">
        <v>1856</v>
      </c>
      <c r="C2881" s="6" t="s">
        <v>6622</v>
      </c>
      <c r="D2881" s="15" t="s">
        <v>6623</v>
      </c>
      <c r="E2881" s="24" t="s">
        <v>5772</v>
      </c>
      <c r="F2881" s="26"/>
      <c r="G2881" s="24" t="s">
        <v>17</v>
      </c>
      <c r="H2881" s="67">
        <v>50</v>
      </c>
      <c r="I2881" s="68">
        <v>12</v>
      </c>
      <c r="J2881" s="8">
        <f>H2881*I2881</f>
        <v>600</v>
      </c>
      <c r="K2881" s="46">
        <v>0.26</v>
      </c>
      <c r="L2881" s="46">
        <f>K2881*J2881</f>
        <v>156</v>
      </c>
      <c r="M2881" s="162" t="s">
        <v>2219</v>
      </c>
      <c r="N2881" s="39">
        <v>45331</v>
      </c>
      <c r="O2881" s="38">
        <v>5880</v>
      </c>
      <c r="P2881" s="46">
        <f>K2881*(VLOOKUP(B2881,$C$2:$F$6,3,FALSE))</f>
        <v>0.2288</v>
      </c>
      <c r="Q2881" s="482">
        <v>0.23</v>
      </c>
      <c r="R2881" s="704">
        <f>Q2881*J2881</f>
        <v>138</v>
      </c>
      <c r="S2881" s="489">
        <v>15.1</v>
      </c>
      <c r="T2881" s="113">
        <f>S2881*J2881</f>
        <v>9060</v>
      </c>
      <c r="U2881" s="1603"/>
      <c r="V2881" s="494">
        <v>120</v>
      </c>
      <c r="W2881" s="2041">
        <f t="shared" si="185"/>
        <v>0.51602564102564097</v>
      </c>
    </row>
    <row r="2882" spans="2:24" s="7" customFormat="1" ht="15.95" customHeight="1">
      <c r="B2882" s="12"/>
      <c r="C2882" s="6" t="s">
        <v>6622</v>
      </c>
      <c r="D2882" s="15" t="s">
        <v>6623</v>
      </c>
      <c r="E2882" s="24"/>
      <c r="F2882" s="138"/>
      <c r="G2882" s="44" t="s">
        <v>1993</v>
      </c>
      <c r="H2882" s="8"/>
      <c r="I2882" s="41"/>
      <c r="J2882" s="45">
        <v>1</v>
      </c>
      <c r="K2882" s="46">
        <v>12</v>
      </c>
      <c r="L2882" s="46">
        <f>K2882*J2882</f>
        <v>12</v>
      </c>
      <c r="M2882" s="39"/>
      <c r="N2882" s="39">
        <v>45331</v>
      </c>
      <c r="O2882" s="38">
        <v>5880</v>
      </c>
      <c r="P2882" s="6"/>
      <c r="Q2882" s="483">
        <v>12</v>
      </c>
      <c r="R2882" s="704">
        <f>Q2882*J2882</f>
        <v>12</v>
      </c>
      <c r="S2882" s="489">
        <v>1100</v>
      </c>
      <c r="T2882" s="113">
        <f>S2882*J2882</f>
        <v>1100</v>
      </c>
      <c r="U2882" s="501"/>
      <c r="V2882" s="494">
        <v>120</v>
      </c>
      <c r="W2882" s="2041">
        <f t="shared" si="185"/>
        <v>0.2361111111111111</v>
      </c>
    </row>
    <row r="2883" spans="2:24" s="314" customFormat="1" ht="15.6" customHeight="1">
      <c r="B2883" s="313"/>
      <c r="C2883" s="302" t="s">
        <v>6622</v>
      </c>
      <c r="D2883" s="303" t="s">
        <v>6623</v>
      </c>
      <c r="E2883" s="304"/>
      <c r="F2883" s="305"/>
      <c r="G2883" s="305" t="s">
        <v>1227</v>
      </c>
      <c r="H2883" s="307" t="s">
        <v>1228</v>
      </c>
      <c r="I2883" s="308"/>
      <c r="J2883" s="306"/>
      <c r="K2883" s="315">
        <v>0</v>
      </c>
      <c r="L2883" s="310"/>
      <c r="M2883" s="310"/>
      <c r="N2883" s="310">
        <v>45331</v>
      </c>
      <c r="O2883" s="309">
        <v>5880</v>
      </c>
      <c r="P2883" s="302"/>
      <c r="Q2883" s="531">
        <v>0</v>
      </c>
      <c r="S2883" s="535">
        <v>0</v>
      </c>
      <c r="T2883" s="322">
        <v>0</v>
      </c>
      <c r="U2883" s="1115"/>
      <c r="V2883" s="494">
        <v>120</v>
      </c>
      <c r="W2883" s="2041" t="e">
        <f t="shared" si="185"/>
        <v>#DIV/0!</v>
      </c>
    </row>
    <row r="2884" spans="2:24" s="7" customFormat="1" ht="15" customHeight="1">
      <c r="B2884" s="12"/>
      <c r="C2884" s="6" t="s">
        <v>6629</v>
      </c>
      <c r="D2884" s="15" t="s">
        <v>298</v>
      </c>
      <c r="E2884" s="20" t="s">
        <v>6457</v>
      </c>
      <c r="F2884" s="26"/>
      <c r="G2884" s="24"/>
      <c r="H2884" s="67"/>
      <c r="I2884" s="68"/>
      <c r="J2884" s="67"/>
      <c r="K2884" s="17" t="s">
        <v>134</v>
      </c>
      <c r="L2884" s="39"/>
      <c r="M2884" s="39"/>
      <c r="N2884" s="39">
        <v>45336</v>
      </c>
      <c r="O2884" s="38">
        <v>5892</v>
      </c>
      <c r="P2884" s="179" t="s">
        <v>23</v>
      </c>
      <c r="Q2884" s="438" t="s">
        <v>959</v>
      </c>
      <c r="R2884" s="704"/>
      <c r="S2884" s="707"/>
      <c r="T2884" s="113"/>
      <c r="U2884" s="2068"/>
      <c r="V2884" s="494">
        <v>120</v>
      </c>
      <c r="W2884" s="2041" t="e">
        <f t="shared" si="185"/>
        <v>#VALUE!</v>
      </c>
    </row>
    <row r="2885" spans="2:24" s="7" customFormat="1" ht="18" customHeight="1">
      <c r="B2885" s="12" t="s">
        <v>1856</v>
      </c>
      <c r="C2885" s="6" t="s">
        <v>6629</v>
      </c>
      <c r="D2885" s="15" t="s">
        <v>298</v>
      </c>
      <c r="E2885" s="24">
        <v>12740</v>
      </c>
      <c r="F2885" s="26">
        <v>19</v>
      </c>
      <c r="G2885" s="24" t="s">
        <v>6630</v>
      </c>
      <c r="H2885" s="67">
        <v>10</v>
      </c>
      <c r="I2885" s="68">
        <v>2</v>
      </c>
      <c r="J2885" s="67">
        <f>H2885*I2885</f>
        <v>20</v>
      </c>
      <c r="K2885" s="46">
        <v>1.5</v>
      </c>
      <c r="L2885" s="46">
        <f>K2885*J2885</f>
        <v>30</v>
      </c>
      <c r="M2885" s="162" t="s">
        <v>2219</v>
      </c>
      <c r="N2885" s="39">
        <v>45336</v>
      </c>
      <c r="O2885" s="38">
        <v>5892</v>
      </c>
      <c r="P2885" s="46">
        <f>K2885*(VLOOKUP(B2885,$C$2:$F$6,3,FALSE))</f>
        <v>1.32</v>
      </c>
      <c r="Q2885" s="180">
        <v>1.32</v>
      </c>
      <c r="R2885" s="704">
        <f>Q2885*J2885</f>
        <v>26.400000000000002</v>
      </c>
      <c r="S2885" s="489">
        <v>89</v>
      </c>
      <c r="T2885" s="113">
        <f>S2885*J2885</f>
        <v>1780</v>
      </c>
      <c r="U2885" s="489"/>
      <c r="V2885" s="494">
        <v>120</v>
      </c>
      <c r="W2885" s="2041">
        <f t="shared" si="185"/>
        <v>0.50555555555555554</v>
      </c>
    </row>
    <row r="2886" spans="2:24" ht="15.95" customHeight="1">
      <c r="C2886" s="6" t="s">
        <v>6629</v>
      </c>
      <c r="D2886" s="15" t="s">
        <v>298</v>
      </c>
      <c r="E2886" s="24"/>
      <c r="F2886" s="138"/>
      <c r="G2886" s="44" t="s">
        <v>1993</v>
      </c>
      <c r="H2886" s="8"/>
      <c r="I2886" s="68"/>
      <c r="J2886" s="45">
        <v>1</v>
      </c>
      <c r="K2886" s="46">
        <v>12</v>
      </c>
      <c r="L2886" s="46">
        <f>K2886*J2886</f>
        <v>12</v>
      </c>
      <c r="M2886" s="112"/>
      <c r="N2886" s="39">
        <v>45336</v>
      </c>
      <c r="O2886" s="38">
        <v>5892</v>
      </c>
      <c r="P2886" s="179"/>
      <c r="Q2886" s="180">
        <v>12</v>
      </c>
      <c r="R2886" s="180">
        <v>12</v>
      </c>
      <c r="S2886" s="498">
        <v>0</v>
      </c>
      <c r="T2886" s="568">
        <f>S2886*J2886</f>
        <v>0</v>
      </c>
      <c r="U2886" s="511"/>
      <c r="V2886" s="494">
        <v>120</v>
      </c>
      <c r="W2886" s="2041">
        <f t="shared" si="185"/>
        <v>1</v>
      </c>
    </row>
    <row r="2887" spans="2:24" s="314" customFormat="1" ht="15">
      <c r="B2887" s="313"/>
      <c r="C2887" s="302" t="s">
        <v>6629</v>
      </c>
      <c r="D2887" s="303" t="s">
        <v>298</v>
      </c>
      <c r="E2887" s="371"/>
      <c r="F2887" s="305"/>
      <c r="G2887" s="2049" t="s">
        <v>1227</v>
      </c>
      <c r="H2887" s="307" t="s">
        <v>1228</v>
      </c>
      <c r="I2887" s="308"/>
      <c r="J2887" s="306"/>
      <c r="K2887" s="315">
        <v>0</v>
      </c>
      <c r="L2887" s="310"/>
      <c r="M2887" s="310"/>
      <c r="N2887" s="310">
        <v>45336</v>
      </c>
      <c r="O2887" s="309">
        <v>5892</v>
      </c>
      <c r="P2887" s="302"/>
      <c r="Q2887" s="485">
        <v>0</v>
      </c>
      <c r="S2887" s="535">
        <v>0</v>
      </c>
      <c r="T2887" s="322">
        <v>0</v>
      </c>
      <c r="U2887" s="515"/>
      <c r="V2887" s="494">
        <v>120</v>
      </c>
      <c r="W2887" s="2041" t="e">
        <f t="shared" si="185"/>
        <v>#DIV/0!</v>
      </c>
    </row>
    <row r="2888" spans="2:24" s="7" customFormat="1" ht="15" customHeight="1">
      <c r="B2888" s="12"/>
      <c r="C2888" s="6" t="s">
        <v>6631</v>
      </c>
      <c r="D2888" s="15" t="s">
        <v>6632</v>
      </c>
      <c r="E2888" s="20" t="s">
        <v>6633</v>
      </c>
      <c r="F2888" s="26"/>
      <c r="G2888" s="24"/>
      <c r="H2888" s="67"/>
      <c r="I2888" s="68"/>
      <c r="J2888" s="67"/>
      <c r="K2888" s="17" t="s">
        <v>6635</v>
      </c>
      <c r="L2888" s="39"/>
      <c r="M2888" s="39"/>
      <c r="N2888" s="39">
        <v>45337</v>
      </c>
      <c r="O2888" s="38">
        <v>5899</v>
      </c>
      <c r="P2888" s="179" t="s">
        <v>23</v>
      </c>
      <c r="Q2888" s="438" t="s">
        <v>959</v>
      </c>
      <c r="R2888" s="704"/>
      <c r="S2888" s="707"/>
      <c r="T2888" s="113"/>
      <c r="U2888" s="2068"/>
      <c r="V2888" s="494">
        <v>120</v>
      </c>
      <c r="W2888" s="2041" t="e">
        <f t="shared" si="185"/>
        <v>#VALUE!</v>
      </c>
    </row>
    <row r="2889" spans="2:24" s="7" customFormat="1" ht="18" customHeight="1">
      <c r="B2889" s="12" t="s">
        <v>1862</v>
      </c>
      <c r="C2889" s="6" t="s">
        <v>6631</v>
      </c>
      <c r="D2889" s="15" t="s">
        <v>6632</v>
      </c>
      <c r="E2889" s="24" t="s">
        <v>6634</v>
      </c>
      <c r="F2889" s="138"/>
      <c r="G2889" s="44"/>
      <c r="H2889" s="8"/>
      <c r="I2889" s="68"/>
      <c r="J2889" s="45">
        <v>1</v>
      </c>
      <c r="K2889" s="46">
        <v>10</v>
      </c>
      <c r="L2889" s="46">
        <f>K2889*J2889</f>
        <v>10</v>
      </c>
      <c r="M2889" s="162" t="s">
        <v>2219</v>
      </c>
      <c r="N2889" s="39">
        <v>45337</v>
      </c>
      <c r="O2889" s="38">
        <v>5899</v>
      </c>
      <c r="P2889" s="46">
        <f>K2889*(VLOOKUP(B2889,$C$2:$F$6,3,FALSE))</f>
        <v>10</v>
      </c>
      <c r="Q2889" s="180">
        <v>10</v>
      </c>
      <c r="R2889" s="704">
        <f>Q2889*J2889</f>
        <v>10</v>
      </c>
      <c r="S2889" s="498">
        <v>0</v>
      </c>
      <c r="T2889" s="568">
        <f>S2889*J2889</f>
        <v>0</v>
      </c>
      <c r="U2889" s="511"/>
      <c r="V2889" s="494">
        <v>120</v>
      </c>
      <c r="W2889" s="2041">
        <f t="shared" si="185"/>
        <v>1</v>
      </c>
      <c r="X2889" s="1"/>
    </row>
    <row r="2890" spans="2:24" s="7" customFormat="1" ht="18" customHeight="1">
      <c r="B2890" s="12" t="s">
        <v>1862</v>
      </c>
      <c r="C2890" s="6" t="s">
        <v>6631</v>
      </c>
      <c r="D2890" s="15" t="s">
        <v>6632</v>
      </c>
      <c r="E2890" s="24" t="s">
        <v>6636</v>
      </c>
      <c r="F2890" s="138"/>
      <c r="G2890" s="44"/>
      <c r="H2890" s="8"/>
      <c r="I2890" s="68"/>
      <c r="J2890" s="45">
        <v>1</v>
      </c>
      <c r="K2890" s="46">
        <v>10</v>
      </c>
      <c r="L2890" s="46">
        <f>K2890*J2890</f>
        <v>10</v>
      </c>
      <c r="M2890" s="162" t="s">
        <v>2219</v>
      </c>
      <c r="N2890" s="39">
        <v>45337</v>
      </c>
      <c r="O2890" s="38">
        <v>5899</v>
      </c>
      <c r="P2890" s="46">
        <f>K2890*(VLOOKUP(B2890,$C$2:$F$6,3,FALSE))</f>
        <v>10</v>
      </c>
      <c r="Q2890" s="180">
        <v>10</v>
      </c>
      <c r="R2890" s="704">
        <f>Q2890*J2890</f>
        <v>10</v>
      </c>
      <c r="S2890" s="498">
        <v>0</v>
      </c>
      <c r="T2890" s="568">
        <f>S2890*J2890</f>
        <v>0</v>
      </c>
      <c r="U2890" s="511"/>
      <c r="V2890" s="494">
        <v>120</v>
      </c>
      <c r="W2890" s="2041">
        <f t="shared" si="185"/>
        <v>1</v>
      </c>
      <c r="X2890" s="1"/>
    </row>
    <row r="2891" spans="2:24" s="7" customFormat="1" ht="18" customHeight="1">
      <c r="B2891" s="12" t="s">
        <v>1862</v>
      </c>
      <c r="C2891" s="6" t="s">
        <v>6631</v>
      </c>
      <c r="D2891" s="15" t="s">
        <v>6632</v>
      </c>
      <c r="E2891" s="24" t="s">
        <v>6637</v>
      </c>
      <c r="F2891" s="138"/>
      <c r="G2891" s="44"/>
      <c r="H2891" s="8"/>
      <c r="I2891" s="68"/>
      <c r="J2891" s="45">
        <v>1</v>
      </c>
      <c r="K2891" s="46">
        <v>10</v>
      </c>
      <c r="L2891" s="46">
        <f>K2891*J2891</f>
        <v>10</v>
      </c>
      <c r="M2891" s="162" t="s">
        <v>2219</v>
      </c>
      <c r="N2891" s="39">
        <v>45337</v>
      </c>
      <c r="O2891" s="38">
        <v>5899</v>
      </c>
      <c r="P2891" s="46">
        <f>K2891*(VLOOKUP(B2891,$C$2:$F$6,3,FALSE))</f>
        <v>10</v>
      </c>
      <c r="Q2891" s="180">
        <v>10</v>
      </c>
      <c r="R2891" s="704">
        <f>Q2891*J2891</f>
        <v>10</v>
      </c>
      <c r="S2891" s="498">
        <v>0</v>
      </c>
      <c r="T2891" s="568">
        <f>S2891*J2891</f>
        <v>0</v>
      </c>
      <c r="U2891" s="511"/>
      <c r="V2891" s="494">
        <v>120</v>
      </c>
      <c r="W2891" s="2041">
        <f t="shared" si="185"/>
        <v>1</v>
      </c>
      <c r="X2891" s="1"/>
    </row>
    <row r="2892" spans="2:24" s="7" customFormat="1" ht="18" customHeight="1">
      <c r="B2892" s="12" t="s">
        <v>1862</v>
      </c>
      <c r="C2892" s="6" t="s">
        <v>6631</v>
      </c>
      <c r="D2892" s="15" t="s">
        <v>6632</v>
      </c>
      <c r="E2892" s="24" t="s">
        <v>6638</v>
      </c>
      <c r="F2892" s="138"/>
      <c r="G2892" s="44"/>
      <c r="H2892" s="8"/>
      <c r="I2892" s="68"/>
      <c r="J2892" s="45">
        <v>1</v>
      </c>
      <c r="K2892" s="46">
        <v>120</v>
      </c>
      <c r="L2892" s="46">
        <f>K2892*J2892</f>
        <v>120</v>
      </c>
      <c r="M2892" s="162" t="s">
        <v>2219</v>
      </c>
      <c r="N2892" s="39">
        <v>45337</v>
      </c>
      <c r="O2892" s="38">
        <v>5899</v>
      </c>
      <c r="P2892" s="46">
        <f>K2892*(VLOOKUP(B2892,$C$2:$F$6,3,FALSE))</f>
        <v>120</v>
      </c>
      <c r="Q2892" s="180">
        <v>120</v>
      </c>
      <c r="R2892" s="704">
        <f>Q2892*J2892</f>
        <v>120</v>
      </c>
      <c r="S2892" s="498">
        <v>10000</v>
      </c>
      <c r="T2892" s="568">
        <f>S2892*J2892</f>
        <v>10000</v>
      </c>
      <c r="U2892" s="511"/>
      <c r="V2892" s="494">
        <v>120</v>
      </c>
      <c r="W2892" s="2041">
        <f t="shared" si="185"/>
        <v>0.30555555555555558</v>
      </c>
      <c r="X2892" s="1"/>
    </row>
    <row r="2893" spans="2:24" ht="15.95" customHeight="1">
      <c r="C2893" s="6" t="s">
        <v>6631</v>
      </c>
      <c r="D2893" s="15" t="s">
        <v>6632</v>
      </c>
      <c r="E2893" s="24"/>
      <c r="F2893" s="138"/>
      <c r="G2893" s="44" t="s">
        <v>1993</v>
      </c>
      <c r="H2893" s="8"/>
      <c r="I2893" s="68"/>
      <c r="J2893" s="45">
        <v>1</v>
      </c>
      <c r="K2893" s="46">
        <v>0</v>
      </c>
      <c r="L2893" s="46">
        <f>K2893*J2893</f>
        <v>0</v>
      </c>
      <c r="M2893" s="112"/>
      <c r="N2893" s="39">
        <v>45337</v>
      </c>
      <c r="O2893" s="38">
        <v>5899</v>
      </c>
      <c r="P2893" s="179"/>
      <c r="Q2893" s="180">
        <v>0</v>
      </c>
      <c r="R2893" s="180">
        <v>0</v>
      </c>
      <c r="S2893" s="498">
        <v>1000</v>
      </c>
      <c r="T2893" s="568">
        <f>S2893*J2893</f>
        <v>1000</v>
      </c>
      <c r="U2893" s="511"/>
      <c r="V2893" s="494">
        <v>120</v>
      </c>
      <c r="W2893" s="2041" t="e">
        <f t="shared" si="185"/>
        <v>#DIV/0!</v>
      </c>
    </row>
    <row r="2894" spans="2:24" s="314" customFormat="1" ht="15">
      <c r="B2894" s="313"/>
      <c r="C2894" s="302" t="s">
        <v>6631</v>
      </c>
      <c r="D2894" s="303" t="s">
        <v>6748</v>
      </c>
      <c r="E2894" s="371"/>
      <c r="F2894" s="305"/>
      <c r="G2894" s="2049" t="s">
        <v>1227</v>
      </c>
      <c r="H2894" s="307" t="s">
        <v>1228</v>
      </c>
      <c r="I2894" s="308"/>
      <c r="J2894" s="306"/>
      <c r="K2894" s="315">
        <v>0</v>
      </c>
      <c r="L2894" s="310"/>
      <c r="M2894" s="310"/>
      <c r="N2894" s="310">
        <v>45337</v>
      </c>
      <c r="O2894" s="309">
        <v>5899</v>
      </c>
      <c r="P2894" s="302"/>
      <c r="Q2894" s="485">
        <v>0</v>
      </c>
      <c r="S2894" s="535">
        <v>0</v>
      </c>
      <c r="T2894" s="322">
        <v>0</v>
      </c>
      <c r="U2894" s="515"/>
      <c r="V2894" s="494">
        <v>120</v>
      </c>
      <c r="W2894" s="2041" t="e">
        <f t="shared" si="185"/>
        <v>#DIV/0!</v>
      </c>
    </row>
    <row r="2895" spans="2:24" s="7" customFormat="1" ht="18" customHeight="1">
      <c r="B2895" s="12"/>
      <c r="C2895" s="6" t="s">
        <v>6639</v>
      </c>
      <c r="D2895" s="15" t="s">
        <v>6552</v>
      </c>
      <c r="E2895" s="20" t="s">
        <v>79</v>
      </c>
      <c r="F2895" s="150"/>
      <c r="G2895" s="24"/>
      <c r="H2895" s="151"/>
      <c r="I2895" s="152"/>
      <c r="J2895" s="151"/>
      <c r="K2895" s="34" t="s">
        <v>10</v>
      </c>
      <c r="L2895" s="39"/>
      <c r="M2895" s="39"/>
      <c r="N2895" s="39">
        <v>45344</v>
      </c>
      <c r="O2895" s="38">
        <v>5907</v>
      </c>
      <c r="P2895" s="15"/>
      <c r="Q2895" s="483"/>
      <c r="S2895" s="489"/>
      <c r="T2895" s="113"/>
      <c r="U2895" s="506"/>
      <c r="V2895" s="494">
        <v>120</v>
      </c>
      <c r="W2895" s="2041" t="e">
        <f t="shared" ref="W2895:W2926" si="190">(((K2895*V2895)-S2895)/(K2895*V2895))</f>
        <v>#VALUE!</v>
      </c>
    </row>
    <row r="2896" spans="2:24" s="7" customFormat="1" ht="15" customHeight="1">
      <c r="B2896" s="12" t="s">
        <v>1858</v>
      </c>
      <c r="C2896" s="6" t="s">
        <v>6639</v>
      </c>
      <c r="D2896" s="15" t="s">
        <v>6552</v>
      </c>
      <c r="E2896" s="24">
        <v>2440</v>
      </c>
      <c r="F2896" s="150">
        <v>140</v>
      </c>
      <c r="G2896" s="24" t="s">
        <v>6640</v>
      </c>
      <c r="H2896" s="8"/>
      <c r="I2896" s="41"/>
      <c r="J2896" s="8">
        <v>16</v>
      </c>
      <c r="K2896" s="46">
        <v>4.38</v>
      </c>
      <c r="L2896" s="46">
        <f>K2896*J2896</f>
        <v>70.08</v>
      </c>
      <c r="M2896" s="162" t="s">
        <v>2219</v>
      </c>
      <c r="N2896" s="39">
        <v>45344</v>
      </c>
      <c r="O2896" s="38">
        <v>5907</v>
      </c>
      <c r="P2896" s="46">
        <f>K2896*(VLOOKUP(B2896,$C$2:$F$6,3,FALSE))</f>
        <v>4.1171999999999995</v>
      </c>
      <c r="Q2896" s="703">
        <v>4.12</v>
      </c>
      <c r="R2896" s="704">
        <f>Q2896*J2896</f>
        <v>65.92</v>
      </c>
      <c r="S2896" s="7">
        <v>300</v>
      </c>
      <c r="T2896" s="567">
        <f>S2896*J2896</f>
        <v>4800</v>
      </c>
      <c r="U2896" s="882"/>
      <c r="V2896" s="494">
        <v>120</v>
      </c>
      <c r="W2896" s="2041">
        <f t="shared" si="190"/>
        <v>0.42922374429223747</v>
      </c>
    </row>
    <row r="2897" spans="2:24" s="7" customFormat="1" ht="15.95" customHeight="1">
      <c r="B2897" s="12"/>
      <c r="C2897" s="6" t="s">
        <v>6639</v>
      </c>
      <c r="D2897" s="15" t="s">
        <v>6552</v>
      </c>
      <c r="E2897" s="24"/>
      <c r="F2897" s="138"/>
      <c r="G2897" s="44" t="s">
        <v>75</v>
      </c>
      <c r="H2897" s="8"/>
      <c r="I2897" s="41"/>
      <c r="J2897" s="45">
        <v>1</v>
      </c>
      <c r="K2897" s="46">
        <v>12</v>
      </c>
      <c r="L2897" s="46">
        <f>K2897*J2897</f>
        <v>12</v>
      </c>
      <c r="M2897" s="39"/>
      <c r="N2897" s="39">
        <v>45344</v>
      </c>
      <c r="O2897" s="38">
        <v>5907</v>
      </c>
      <c r="P2897" s="6"/>
      <c r="Q2897" s="483">
        <v>12</v>
      </c>
      <c r="R2897" s="704">
        <f>Q2897*J2897</f>
        <v>12</v>
      </c>
      <c r="S2897" s="489">
        <v>1000</v>
      </c>
      <c r="T2897" s="113">
        <f>S2897*J2897</f>
        <v>1000</v>
      </c>
      <c r="U2897" s="501"/>
      <c r="V2897" s="494">
        <v>120</v>
      </c>
      <c r="W2897" s="2041">
        <f t="shared" si="190"/>
        <v>0.30555555555555558</v>
      </c>
    </row>
    <row r="2898" spans="2:24" s="7" customFormat="1" ht="15.95" customHeight="1">
      <c r="B2898" s="12"/>
      <c r="C2898" s="6" t="s">
        <v>6639</v>
      </c>
      <c r="D2898" s="15" t="s">
        <v>6552</v>
      </c>
      <c r="E2898" s="24"/>
      <c r="F2898" s="138"/>
      <c r="G2898" s="44" t="s">
        <v>1993</v>
      </c>
      <c r="H2898" s="8"/>
      <c r="I2898" s="41"/>
      <c r="J2898" s="45">
        <v>1</v>
      </c>
      <c r="K2898" s="46">
        <v>20</v>
      </c>
      <c r="L2898" s="46">
        <f>K2898*J2898</f>
        <v>20</v>
      </c>
      <c r="M2898" s="39"/>
      <c r="N2898" s="39">
        <v>45344</v>
      </c>
      <c r="O2898" s="38">
        <v>5907</v>
      </c>
      <c r="P2898" s="6"/>
      <c r="Q2898" s="483">
        <v>20</v>
      </c>
      <c r="R2898" s="704">
        <f>Q2898*J2898</f>
        <v>20</v>
      </c>
      <c r="S2898" s="489">
        <v>1000</v>
      </c>
      <c r="T2898" s="113">
        <f>S2898*J2898</f>
        <v>1000</v>
      </c>
      <c r="U2898" s="501"/>
      <c r="V2898" s="494">
        <v>120</v>
      </c>
      <c r="W2898" s="2041">
        <f t="shared" si="190"/>
        <v>0.58333333333333337</v>
      </c>
    </row>
    <row r="2899" spans="2:24" s="314" customFormat="1" ht="15">
      <c r="B2899" s="313"/>
      <c r="C2899" s="302" t="s">
        <v>6639</v>
      </c>
      <c r="D2899" s="303" t="s">
        <v>6552</v>
      </c>
      <c r="E2899" s="304"/>
      <c r="F2899" s="305"/>
      <c r="G2899" s="305" t="s">
        <v>1227</v>
      </c>
      <c r="H2899" s="307" t="s">
        <v>1228</v>
      </c>
      <c r="I2899" s="308"/>
      <c r="J2899" s="306"/>
      <c r="K2899" s="315">
        <v>0</v>
      </c>
      <c r="L2899" s="310"/>
      <c r="M2899" s="310"/>
      <c r="N2899" s="310">
        <v>45344</v>
      </c>
      <c r="O2899" s="309">
        <v>5907</v>
      </c>
      <c r="P2899" s="302"/>
      <c r="Q2899" s="485">
        <v>0</v>
      </c>
      <c r="S2899" s="536">
        <v>0</v>
      </c>
      <c r="T2899" s="322">
        <v>0</v>
      </c>
      <c r="U2899" s="515"/>
      <c r="V2899" s="494">
        <v>120</v>
      </c>
      <c r="W2899" s="2041" t="e">
        <f t="shared" si="190"/>
        <v>#DIV/0!</v>
      </c>
    </row>
    <row r="2900" spans="2:24" s="7" customFormat="1" ht="18" customHeight="1">
      <c r="B2900" s="12"/>
      <c r="C2900" s="6" t="s">
        <v>6641</v>
      </c>
      <c r="D2900" s="15" t="s">
        <v>6552</v>
      </c>
      <c r="E2900" s="20" t="s">
        <v>79</v>
      </c>
      <c r="F2900" s="150"/>
      <c r="G2900" s="24"/>
      <c r="H2900" s="151"/>
      <c r="I2900" s="152"/>
      <c r="J2900" s="151"/>
      <c r="K2900" s="34" t="s">
        <v>10</v>
      </c>
      <c r="L2900" s="39"/>
      <c r="M2900" s="39"/>
      <c r="N2900" s="39">
        <v>45348</v>
      </c>
      <c r="O2900" s="38">
        <v>5915</v>
      </c>
      <c r="P2900" s="15"/>
      <c r="Q2900" s="483"/>
      <c r="S2900" s="489"/>
      <c r="T2900" s="113"/>
      <c r="U2900" s="506"/>
      <c r="V2900" s="494">
        <v>120</v>
      </c>
      <c r="W2900" s="2041" t="e">
        <f t="shared" si="190"/>
        <v>#VALUE!</v>
      </c>
    </row>
    <row r="2901" spans="2:24" s="7" customFormat="1" ht="15" customHeight="1">
      <c r="B2901" s="12" t="s">
        <v>1858</v>
      </c>
      <c r="C2901" s="6" t="s">
        <v>6641</v>
      </c>
      <c r="D2901" s="15" t="s">
        <v>6552</v>
      </c>
      <c r="E2901" s="24">
        <v>2440</v>
      </c>
      <c r="F2901" s="150">
        <v>140</v>
      </c>
      <c r="G2901" s="24" t="s">
        <v>6642</v>
      </c>
      <c r="H2901" s="8"/>
      <c r="I2901" s="41"/>
      <c r="J2901" s="8">
        <v>20</v>
      </c>
      <c r="K2901" s="46">
        <v>4.38</v>
      </c>
      <c r="L2901" s="46">
        <f>K2901*J2901</f>
        <v>87.6</v>
      </c>
      <c r="M2901" s="162" t="s">
        <v>2219</v>
      </c>
      <c r="N2901" s="39">
        <v>45348</v>
      </c>
      <c r="O2901" s="38">
        <v>5915</v>
      </c>
      <c r="P2901" s="46">
        <f>K2901*(VLOOKUP(B2901,$C$2:$F$6,3,FALSE))</f>
        <v>4.1171999999999995</v>
      </c>
      <c r="Q2901" s="703">
        <v>4.12</v>
      </c>
      <c r="R2901" s="704">
        <f>Q2901*J2901</f>
        <v>82.4</v>
      </c>
      <c r="S2901" s="7">
        <v>300</v>
      </c>
      <c r="T2901" s="567">
        <f>S2901*J2901</f>
        <v>6000</v>
      </c>
      <c r="U2901" s="882"/>
      <c r="V2901" s="494">
        <v>120</v>
      </c>
      <c r="W2901" s="2041">
        <f t="shared" si="190"/>
        <v>0.42922374429223747</v>
      </c>
    </row>
    <row r="2902" spans="2:24" s="7" customFormat="1" ht="15.95" customHeight="1">
      <c r="B2902" s="12"/>
      <c r="C2902" s="6" t="s">
        <v>6641</v>
      </c>
      <c r="D2902" s="15" t="s">
        <v>6552</v>
      </c>
      <c r="E2902" s="24"/>
      <c r="F2902" s="138"/>
      <c r="G2902" s="44" t="s">
        <v>75</v>
      </c>
      <c r="H2902" s="8"/>
      <c r="I2902" s="41"/>
      <c r="J2902" s="45">
        <v>1</v>
      </c>
      <c r="K2902" s="46">
        <v>12</v>
      </c>
      <c r="L2902" s="46">
        <f>K2902*J2902</f>
        <v>12</v>
      </c>
      <c r="M2902" s="39"/>
      <c r="N2902" s="39">
        <v>45348</v>
      </c>
      <c r="O2902" s="38">
        <v>5915</v>
      </c>
      <c r="P2902" s="6"/>
      <c r="Q2902" s="483">
        <v>12</v>
      </c>
      <c r="R2902" s="704">
        <f>Q2902*J2902</f>
        <v>12</v>
      </c>
      <c r="S2902" s="489">
        <v>1000</v>
      </c>
      <c r="T2902" s="113">
        <f>S2902*J2902</f>
        <v>1000</v>
      </c>
      <c r="U2902" s="501"/>
      <c r="V2902" s="494">
        <v>120</v>
      </c>
      <c r="W2902" s="2041">
        <f t="shared" si="190"/>
        <v>0.30555555555555558</v>
      </c>
    </row>
    <row r="2903" spans="2:24" s="7" customFormat="1" ht="15.95" customHeight="1">
      <c r="B2903" s="12"/>
      <c r="C2903" s="6" t="s">
        <v>6641</v>
      </c>
      <c r="D2903" s="15" t="s">
        <v>6552</v>
      </c>
      <c r="E2903" s="24"/>
      <c r="F2903" s="138"/>
      <c r="G2903" s="44" t="s">
        <v>1993</v>
      </c>
      <c r="H2903" s="8"/>
      <c r="I2903" s="41"/>
      <c r="J2903" s="45">
        <v>1</v>
      </c>
      <c r="K2903" s="46">
        <v>10</v>
      </c>
      <c r="L2903" s="46">
        <f>K2903*J2903</f>
        <v>10</v>
      </c>
      <c r="M2903" s="39"/>
      <c r="N2903" s="39">
        <v>45348</v>
      </c>
      <c r="O2903" s="38">
        <v>5915</v>
      </c>
      <c r="P2903" s="6"/>
      <c r="Q2903" s="483">
        <v>10</v>
      </c>
      <c r="R2903" s="704">
        <f>Q2903*J2903</f>
        <v>10</v>
      </c>
      <c r="S2903" s="489">
        <v>1000</v>
      </c>
      <c r="T2903" s="113">
        <f>S2903*J2903</f>
        <v>1000</v>
      </c>
      <c r="U2903" s="501"/>
      <c r="V2903" s="494">
        <v>120</v>
      </c>
      <c r="W2903" s="2041">
        <f t="shared" si="190"/>
        <v>0.16666666666666666</v>
      </c>
    </row>
    <row r="2904" spans="2:24" s="314" customFormat="1" ht="15">
      <c r="B2904" s="313"/>
      <c r="C2904" s="302" t="s">
        <v>6641</v>
      </c>
      <c r="D2904" s="303" t="s">
        <v>6552</v>
      </c>
      <c r="E2904" s="304"/>
      <c r="F2904" s="305"/>
      <c r="G2904" s="305" t="s">
        <v>1227</v>
      </c>
      <c r="H2904" s="307" t="s">
        <v>1228</v>
      </c>
      <c r="I2904" s="308"/>
      <c r="J2904" s="306"/>
      <c r="K2904" s="315">
        <v>0</v>
      </c>
      <c r="L2904" s="310"/>
      <c r="M2904" s="310"/>
      <c r="N2904" s="310">
        <v>45348</v>
      </c>
      <c r="O2904" s="309">
        <v>5915</v>
      </c>
      <c r="P2904" s="302"/>
      <c r="Q2904" s="485">
        <v>0</v>
      </c>
      <c r="S2904" s="536">
        <v>0</v>
      </c>
      <c r="T2904" s="322">
        <v>0</v>
      </c>
      <c r="U2904" s="515"/>
      <c r="V2904" s="494">
        <v>120</v>
      </c>
      <c r="W2904" s="2041" t="e">
        <f t="shared" si="190"/>
        <v>#DIV/0!</v>
      </c>
    </row>
    <row r="2905" spans="2:24" ht="15">
      <c r="C2905" s="6" t="s">
        <v>6666</v>
      </c>
      <c r="D2905" s="15" t="s">
        <v>6552</v>
      </c>
      <c r="E2905" s="20" t="s">
        <v>79</v>
      </c>
      <c r="F2905" s="150"/>
      <c r="G2905" s="24"/>
      <c r="H2905" s="151"/>
      <c r="I2905" s="152"/>
      <c r="J2905" s="151"/>
      <c r="K2905" s="153" t="s">
        <v>10</v>
      </c>
      <c r="L2905" s="39"/>
      <c r="M2905" s="39"/>
      <c r="N2905" s="39">
        <v>45355</v>
      </c>
      <c r="O2905" s="38">
        <v>5943</v>
      </c>
      <c r="P2905" s="15"/>
      <c r="Q2905" s="483"/>
      <c r="S2905" s="707" t="s">
        <v>6643</v>
      </c>
      <c r="T2905" s="113"/>
      <c r="V2905" s="494">
        <v>120</v>
      </c>
      <c r="W2905" s="2041" t="e">
        <f t="shared" si="190"/>
        <v>#VALUE!</v>
      </c>
    </row>
    <row r="2906" spans="2:24" ht="15.75">
      <c r="B2906" s="12" t="s">
        <v>1858</v>
      </c>
      <c r="C2906" s="6" t="s">
        <v>6666</v>
      </c>
      <c r="D2906" s="15" t="s">
        <v>6552</v>
      </c>
      <c r="E2906" s="24" t="s">
        <v>6607</v>
      </c>
      <c r="F2906" s="150">
        <v>148</v>
      </c>
      <c r="G2906" s="24" t="s">
        <v>116</v>
      </c>
      <c r="H2906" s="8"/>
      <c r="I2906" s="41"/>
      <c r="J2906" s="8">
        <v>15</v>
      </c>
      <c r="K2906" s="46">
        <v>15.4</v>
      </c>
      <c r="L2906" s="46">
        <f>K2906*J2906</f>
        <v>231</v>
      </c>
      <c r="M2906" s="162" t="s">
        <v>2219</v>
      </c>
      <c r="N2906" s="39">
        <v>45355</v>
      </c>
      <c r="O2906" s="38">
        <v>5943</v>
      </c>
      <c r="P2906" s="46">
        <f>K2906*(VLOOKUP(B2906,$C$2:$F$6,3,FALSE))</f>
        <v>14.475999999999999</v>
      </c>
      <c r="Q2906" s="483">
        <v>14.48</v>
      </c>
      <c r="R2906" s="704">
        <f>Q2906*J2906</f>
        <v>217.20000000000002</v>
      </c>
      <c r="S2906" s="489">
        <f>1260+400</f>
        <v>1660</v>
      </c>
      <c r="T2906" s="567">
        <f>S2906*J2906</f>
        <v>24900</v>
      </c>
      <c r="V2906" s="494">
        <v>120</v>
      </c>
      <c r="W2906" s="2041">
        <f t="shared" si="190"/>
        <v>0.10173160173160173</v>
      </c>
    </row>
    <row r="2907" spans="2:24" s="7" customFormat="1" ht="15.95" customHeight="1">
      <c r="B2907" s="12"/>
      <c r="C2907" s="6" t="s">
        <v>6666</v>
      </c>
      <c r="D2907" s="15" t="s">
        <v>6552</v>
      </c>
      <c r="E2907" s="24"/>
      <c r="F2907" s="138"/>
      <c r="G2907" s="44" t="s">
        <v>1993</v>
      </c>
      <c r="H2907" s="8"/>
      <c r="I2907" s="41"/>
      <c r="J2907" s="45">
        <v>1</v>
      </c>
      <c r="K2907" s="46">
        <v>20</v>
      </c>
      <c r="L2907" s="46">
        <f>K2907*J2907</f>
        <v>20</v>
      </c>
      <c r="M2907" s="39"/>
      <c r="N2907" s="39">
        <v>45355</v>
      </c>
      <c r="O2907" s="38">
        <v>5943</v>
      </c>
      <c r="P2907" s="6"/>
      <c r="Q2907" s="483">
        <v>20</v>
      </c>
      <c r="R2907" s="704">
        <f>Q2907*J2907</f>
        <v>20</v>
      </c>
      <c r="S2907" s="489">
        <v>0</v>
      </c>
      <c r="T2907" s="113">
        <f>S2907*J2907</f>
        <v>0</v>
      </c>
      <c r="U2907" s="501"/>
      <c r="V2907" s="494">
        <v>120</v>
      </c>
      <c r="W2907" s="2041">
        <f t="shared" si="190"/>
        <v>1</v>
      </c>
    </row>
    <row r="2908" spans="2:24" s="314" customFormat="1" ht="15">
      <c r="B2908" s="313"/>
      <c r="C2908" s="302" t="s">
        <v>6666</v>
      </c>
      <c r="D2908" s="303" t="s">
        <v>6552</v>
      </c>
      <c r="E2908" s="304"/>
      <c r="F2908" s="305"/>
      <c r="G2908" s="305" t="s">
        <v>1227</v>
      </c>
      <c r="H2908" s="307" t="s">
        <v>1228</v>
      </c>
      <c r="I2908" s="308"/>
      <c r="J2908" s="306"/>
      <c r="K2908" s="315">
        <v>0</v>
      </c>
      <c r="L2908" s="310"/>
      <c r="M2908" s="310"/>
      <c r="N2908" s="310">
        <v>45355</v>
      </c>
      <c r="O2908" s="309">
        <v>5943</v>
      </c>
      <c r="P2908" s="302"/>
      <c r="Q2908" s="485">
        <v>0</v>
      </c>
      <c r="S2908" s="536">
        <v>0</v>
      </c>
      <c r="T2908" s="322">
        <v>0</v>
      </c>
      <c r="U2908" s="515"/>
      <c r="V2908" s="494">
        <v>120</v>
      </c>
      <c r="W2908" s="2041" t="e">
        <f t="shared" si="190"/>
        <v>#DIV/0!</v>
      </c>
    </row>
    <row r="2909" spans="2:24" s="7" customFormat="1" ht="15" customHeight="1">
      <c r="B2909" s="12"/>
      <c r="C2909" s="6" t="s">
        <v>6680</v>
      </c>
      <c r="D2909" s="15" t="s">
        <v>6679</v>
      </c>
      <c r="E2909" s="20" t="s">
        <v>6633</v>
      </c>
      <c r="F2909" s="26"/>
      <c r="G2909" s="24"/>
      <c r="H2909" s="67"/>
      <c r="I2909" s="68"/>
      <c r="J2909" s="67"/>
      <c r="K2909" s="17" t="s">
        <v>140</v>
      </c>
      <c r="L2909" s="39"/>
      <c r="M2909" s="39"/>
      <c r="N2909" s="39">
        <v>45357</v>
      </c>
      <c r="O2909" s="38">
        <v>5961</v>
      </c>
      <c r="P2909" s="179" t="s">
        <v>23</v>
      </c>
      <c r="Q2909" s="438" t="s">
        <v>959</v>
      </c>
      <c r="R2909" s="704"/>
      <c r="S2909" s="707"/>
      <c r="T2909" s="113"/>
      <c r="U2909" s="2068"/>
      <c r="V2909" s="494">
        <v>120</v>
      </c>
      <c r="W2909" s="2041" t="e">
        <f t="shared" si="190"/>
        <v>#VALUE!</v>
      </c>
    </row>
    <row r="2910" spans="2:24" s="7" customFormat="1" ht="18" customHeight="1">
      <c r="B2910" s="12" t="s">
        <v>1862</v>
      </c>
      <c r="C2910" s="6" t="s">
        <v>6680</v>
      </c>
      <c r="D2910" s="15" t="s">
        <v>6679</v>
      </c>
      <c r="E2910" s="24" t="s">
        <v>6634</v>
      </c>
      <c r="F2910" s="138"/>
      <c r="G2910" s="44"/>
      <c r="H2910" s="8"/>
      <c r="I2910" s="68"/>
      <c r="J2910" s="45">
        <v>1</v>
      </c>
      <c r="K2910" s="46">
        <v>10</v>
      </c>
      <c r="L2910" s="46">
        <f>K2910*J2910</f>
        <v>10</v>
      </c>
      <c r="M2910" s="162" t="s">
        <v>2219</v>
      </c>
      <c r="N2910" s="39">
        <v>45357</v>
      </c>
      <c r="O2910" s="38">
        <v>5961</v>
      </c>
      <c r="P2910" s="46">
        <f>K2910*(VLOOKUP(B2910,$C$2:$F$6,3,FALSE))</f>
        <v>10</v>
      </c>
      <c r="Q2910" s="180">
        <v>10</v>
      </c>
      <c r="R2910" s="704">
        <f>Q2910*J2910</f>
        <v>10</v>
      </c>
      <c r="S2910" s="498">
        <v>0</v>
      </c>
      <c r="T2910" s="568">
        <f>S2910*J2910</f>
        <v>0</v>
      </c>
      <c r="U2910" s="511"/>
      <c r="V2910" s="494">
        <v>120</v>
      </c>
      <c r="W2910" s="2041">
        <f t="shared" si="190"/>
        <v>1</v>
      </c>
      <c r="X2910" s="1"/>
    </row>
    <row r="2911" spans="2:24" s="314" customFormat="1" ht="15">
      <c r="B2911" s="313"/>
      <c r="C2911" s="302" t="s">
        <v>6680</v>
      </c>
      <c r="D2911" s="303" t="s">
        <v>6679</v>
      </c>
      <c r="E2911" s="371"/>
      <c r="F2911" s="305"/>
      <c r="G2911" s="2049" t="s">
        <v>1227</v>
      </c>
      <c r="H2911" s="307" t="s">
        <v>1228</v>
      </c>
      <c r="I2911" s="308"/>
      <c r="J2911" s="306"/>
      <c r="K2911" s="315">
        <v>0</v>
      </c>
      <c r="L2911" s="310"/>
      <c r="M2911" s="310"/>
      <c r="N2911" s="310">
        <v>45357</v>
      </c>
      <c r="O2911" s="309">
        <v>5961</v>
      </c>
      <c r="P2911" s="302"/>
      <c r="Q2911" s="485">
        <v>0</v>
      </c>
      <c r="S2911" s="535">
        <v>0</v>
      </c>
      <c r="T2911" s="322">
        <v>0</v>
      </c>
      <c r="U2911" s="515"/>
      <c r="V2911" s="494">
        <v>120</v>
      </c>
      <c r="W2911" s="2041" t="e">
        <f t="shared" si="190"/>
        <v>#DIV/0!</v>
      </c>
    </row>
    <row r="2912" spans="2:24" s="7" customFormat="1" ht="15" customHeight="1">
      <c r="B2912" s="12"/>
      <c r="C2912" s="6" t="s">
        <v>6681</v>
      </c>
      <c r="D2912" s="15" t="s">
        <v>298</v>
      </c>
      <c r="E2912" s="20" t="s">
        <v>6457</v>
      </c>
      <c r="F2912" s="26"/>
      <c r="G2912" s="24"/>
      <c r="H2912" s="67"/>
      <c r="I2912" s="68"/>
      <c r="J2912" s="67"/>
      <c r="K2912" s="17" t="s">
        <v>134</v>
      </c>
      <c r="L2912" s="39"/>
      <c r="M2912" s="39"/>
      <c r="N2912" s="39">
        <v>45358</v>
      </c>
      <c r="O2912" s="38">
        <v>5964</v>
      </c>
      <c r="P2912" s="179" t="s">
        <v>23</v>
      </c>
      <c r="Q2912" s="438" t="s">
        <v>959</v>
      </c>
      <c r="R2912" s="704"/>
      <c r="S2912" s="707"/>
      <c r="T2912" s="113"/>
      <c r="U2912" s="2068"/>
      <c r="V2912" s="494">
        <v>120</v>
      </c>
      <c r="W2912" s="2041" t="e">
        <f t="shared" si="190"/>
        <v>#VALUE!</v>
      </c>
    </row>
    <row r="2913" spans="2:24" s="7" customFormat="1" ht="18" customHeight="1">
      <c r="B2913" s="12" t="s">
        <v>1856</v>
      </c>
      <c r="C2913" s="6" t="s">
        <v>6681</v>
      </c>
      <c r="D2913" s="15" t="s">
        <v>298</v>
      </c>
      <c r="E2913" s="24">
        <v>12740</v>
      </c>
      <c r="F2913" s="26">
        <v>9</v>
      </c>
      <c r="G2913" s="24" t="s">
        <v>6458</v>
      </c>
      <c r="H2913" s="67">
        <v>10</v>
      </c>
      <c r="I2913" s="68">
        <v>2</v>
      </c>
      <c r="J2913" s="67">
        <f>H2913*I2913</f>
        <v>20</v>
      </c>
      <c r="K2913" s="46">
        <v>1.04</v>
      </c>
      <c r="L2913" s="46">
        <f>K2913*J2913</f>
        <v>20.8</v>
      </c>
      <c r="M2913" s="162" t="s">
        <v>2219</v>
      </c>
      <c r="N2913" s="39">
        <v>45358</v>
      </c>
      <c r="O2913" s="38">
        <v>5964</v>
      </c>
      <c r="P2913" s="46">
        <f>K2913*(VLOOKUP(B2913,$C$2:$F$6,3,FALSE))</f>
        <v>0.91520000000000001</v>
      </c>
      <c r="Q2913" s="180">
        <v>0.92</v>
      </c>
      <c r="R2913" s="704">
        <f>Q2913*J2913</f>
        <v>18.400000000000002</v>
      </c>
      <c r="S2913" s="489">
        <v>61.6</v>
      </c>
      <c r="T2913" s="113">
        <f>S2913*J2913</f>
        <v>1232</v>
      </c>
      <c r="U2913" s="489"/>
      <c r="V2913" s="494">
        <v>120</v>
      </c>
      <c r="W2913" s="2041">
        <f t="shared" si="190"/>
        <v>0.5064102564102565</v>
      </c>
    </row>
    <row r="2914" spans="2:24" ht="15.95" customHeight="1">
      <c r="C2914" s="6" t="s">
        <v>6681</v>
      </c>
      <c r="D2914" s="15" t="s">
        <v>298</v>
      </c>
      <c r="E2914" s="24"/>
      <c r="F2914" s="138"/>
      <c r="G2914" s="44" t="s">
        <v>1993</v>
      </c>
      <c r="H2914" s="8"/>
      <c r="I2914" s="68"/>
      <c r="J2914" s="45">
        <v>1</v>
      </c>
      <c r="K2914" s="46">
        <v>12</v>
      </c>
      <c r="L2914" s="46">
        <f>K2914*J2914</f>
        <v>12</v>
      </c>
      <c r="M2914" s="112"/>
      <c r="N2914" s="39">
        <v>45358</v>
      </c>
      <c r="O2914" s="38">
        <v>5964</v>
      </c>
      <c r="P2914" s="179"/>
      <c r="Q2914" s="180">
        <v>12</v>
      </c>
      <c r="R2914" s="180">
        <v>12</v>
      </c>
      <c r="S2914" s="498">
        <v>0</v>
      </c>
      <c r="T2914" s="568">
        <f>S2914*J2914</f>
        <v>0</v>
      </c>
      <c r="U2914" s="511"/>
      <c r="V2914" s="494">
        <v>120</v>
      </c>
      <c r="W2914" s="2041">
        <f t="shared" si="190"/>
        <v>1</v>
      </c>
    </row>
    <row r="2915" spans="2:24" s="314" customFormat="1" ht="15">
      <c r="B2915" s="313"/>
      <c r="C2915" s="302" t="s">
        <v>6681</v>
      </c>
      <c r="D2915" s="303" t="s">
        <v>298</v>
      </c>
      <c r="E2915" s="371"/>
      <c r="F2915" s="305"/>
      <c r="G2915" s="2049" t="s">
        <v>1227</v>
      </c>
      <c r="H2915" s="307" t="s">
        <v>1228</v>
      </c>
      <c r="I2915" s="308"/>
      <c r="J2915" s="306"/>
      <c r="K2915" s="315">
        <v>0</v>
      </c>
      <c r="L2915" s="310"/>
      <c r="M2915" s="310"/>
      <c r="N2915" s="310">
        <v>45358</v>
      </c>
      <c r="O2915" s="309">
        <v>5964</v>
      </c>
      <c r="P2915" s="302"/>
      <c r="Q2915" s="485">
        <v>0</v>
      </c>
      <c r="S2915" s="535">
        <v>0</v>
      </c>
      <c r="T2915" s="322">
        <v>0</v>
      </c>
      <c r="U2915" s="515"/>
      <c r="V2915" s="494">
        <v>120</v>
      </c>
      <c r="W2915" s="2041" t="e">
        <f t="shared" si="190"/>
        <v>#DIV/0!</v>
      </c>
    </row>
    <row r="2916" spans="2:24" s="7" customFormat="1" ht="15" customHeight="1">
      <c r="B2916" s="12"/>
      <c r="C2916" s="6" t="s">
        <v>6479</v>
      </c>
      <c r="D2916" s="15" t="s">
        <v>6682</v>
      </c>
      <c r="E2916" s="20" t="s">
        <v>6633</v>
      </c>
      <c r="F2916" s="26"/>
      <c r="G2916" s="24"/>
      <c r="H2916" s="67"/>
      <c r="I2916" s="68"/>
      <c r="J2916" s="67"/>
      <c r="K2916" s="17" t="s">
        <v>140</v>
      </c>
      <c r="L2916" s="39"/>
      <c r="M2916" s="39"/>
      <c r="N2916" s="39">
        <v>45362</v>
      </c>
      <c r="O2916" s="38">
        <v>5967</v>
      </c>
      <c r="P2916" s="179" t="s">
        <v>23</v>
      </c>
      <c r="Q2916" s="438" t="s">
        <v>959</v>
      </c>
      <c r="R2916" s="704"/>
      <c r="S2916" s="707"/>
      <c r="T2916" s="113"/>
      <c r="U2916" s="2068"/>
      <c r="V2916" s="494">
        <v>120</v>
      </c>
      <c r="W2916" s="2041" t="e">
        <f t="shared" si="190"/>
        <v>#VALUE!</v>
      </c>
    </row>
    <row r="2917" spans="2:24" s="7" customFormat="1" ht="18" customHeight="1">
      <c r="B2917" s="12" t="s">
        <v>1862</v>
      </c>
      <c r="C2917" s="6" t="s">
        <v>6479</v>
      </c>
      <c r="D2917" s="15" t="s">
        <v>6682</v>
      </c>
      <c r="E2917" s="24" t="s">
        <v>6634</v>
      </c>
      <c r="F2917" s="138"/>
      <c r="G2917" s="44"/>
      <c r="H2917" s="8"/>
      <c r="I2917" s="68"/>
      <c r="J2917" s="45">
        <v>1</v>
      </c>
      <c r="K2917" s="46">
        <v>10</v>
      </c>
      <c r="L2917" s="46">
        <f>K2917*J2917</f>
        <v>10</v>
      </c>
      <c r="M2917" s="162" t="s">
        <v>2219</v>
      </c>
      <c r="N2917" s="39">
        <v>45362</v>
      </c>
      <c r="O2917" s="38">
        <v>5967</v>
      </c>
      <c r="P2917" s="46">
        <f>K2917*(VLOOKUP(B2917,$C$2:$F$6,3,FALSE))</f>
        <v>10</v>
      </c>
      <c r="Q2917" s="180">
        <v>10</v>
      </c>
      <c r="R2917" s="704">
        <f>Q2917*J2917</f>
        <v>10</v>
      </c>
      <c r="S2917" s="498">
        <v>0</v>
      </c>
      <c r="T2917" s="568">
        <f>S2917*J2917</f>
        <v>0</v>
      </c>
      <c r="U2917" s="511"/>
      <c r="V2917" s="494">
        <v>120</v>
      </c>
      <c r="W2917" s="2041">
        <f t="shared" si="190"/>
        <v>1</v>
      </c>
      <c r="X2917" s="1"/>
    </row>
    <row r="2918" spans="2:24" s="7" customFormat="1" ht="18" customHeight="1">
      <c r="B2918" s="12" t="s">
        <v>1862</v>
      </c>
      <c r="C2918" s="6" t="s">
        <v>6479</v>
      </c>
      <c r="D2918" s="15" t="s">
        <v>6682</v>
      </c>
      <c r="E2918" s="24" t="s">
        <v>6636</v>
      </c>
      <c r="F2918" s="138"/>
      <c r="G2918" s="44"/>
      <c r="H2918" s="8"/>
      <c r="I2918" s="68"/>
      <c r="J2918" s="45">
        <v>1</v>
      </c>
      <c r="K2918" s="46">
        <v>10</v>
      </c>
      <c r="L2918" s="46">
        <f>K2918*J2918</f>
        <v>10</v>
      </c>
      <c r="M2918" s="162" t="s">
        <v>2219</v>
      </c>
      <c r="N2918" s="39">
        <v>45362</v>
      </c>
      <c r="O2918" s="38">
        <v>5967</v>
      </c>
      <c r="P2918" s="46">
        <f>K2918*(VLOOKUP(B2918,$C$2:$F$6,3,FALSE))</f>
        <v>10</v>
      </c>
      <c r="Q2918" s="180">
        <v>10</v>
      </c>
      <c r="R2918" s="704">
        <f>Q2918*J2918</f>
        <v>10</v>
      </c>
      <c r="S2918" s="498">
        <v>0</v>
      </c>
      <c r="T2918" s="568">
        <f>S2918*J2918</f>
        <v>0</v>
      </c>
      <c r="U2918" s="511"/>
      <c r="V2918" s="494">
        <v>120</v>
      </c>
      <c r="W2918" s="2041">
        <f t="shared" si="190"/>
        <v>1</v>
      </c>
      <c r="X2918" s="1"/>
    </row>
    <row r="2919" spans="2:24" ht="18" customHeight="1">
      <c r="C2919" s="6" t="s">
        <v>6479</v>
      </c>
      <c r="D2919" s="15" t="s">
        <v>6682</v>
      </c>
      <c r="E2919" s="20" t="s">
        <v>260</v>
      </c>
      <c r="F2919" s="44"/>
      <c r="G2919" s="44"/>
      <c r="H2919" s="151"/>
      <c r="I2919" s="151"/>
      <c r="J2919" s="151"/>
      <c r="K2919" s="34" t="s">
        <v>134</v>
      </c>
      <c r="L2919" s="39"/>
      <c r="M2919" s="39"/>
      <c r="N2919" s="39">
        <v>45362</v>
      </c>
      <c r="O2919" s="38">
        <v>5967</v>
      </c>
      <c r="P2919" s="6"/>
      <c r="Q2919" s="524"/>
      <c r="S2919" s="1995" t="s">
        <v>5749</v>
      </c>
      <c r="T2919" s="113"/>
      <c r="U2919" s="501"/>
      <c r="V2919" s="494">
        <v>120</v>
      </c>
      <c r="W2919" s="2041" t="e">
        <f t="shared" si="190"/>
        <v>#VALUE!</v>
      </c>
    </row>
    <row r="2920" spans="2:24" ht="18" customHeight="1">
      <c r="B2920" s="28" t="s">
        <v>1856</v>
      </c>
      <c r="C2920" s="6" t="s">
        <v>6479</v>
      </c>
      <c r="D2920" s="15" t="s">
        <v>6682</v>
      </c>
      <c r="E2920" s="24">
        <v>4141</v>
      </c>
      <c r="F2920" s="44">
        <v>9</v>
      </c>
      <c r="G2920" s="24" t="s">
        <v>6683</v>
      </c>
      <c r="H2920" s="67"/>
      <c r="I2920" s="41"/>
      <c r="J2920" s="8">
        <v>2</v>
      </c>
      <c r="K2920" s="46">
        <v>2.4500000000000002</v>
      </c>
      <c r="L2920" s="46">
        <f>K2920*J2920</f>
        <v>4.9000000000000004</v>
      </c>
      <c r="M2920" s="162" t="s">
        <v>2219</v>
      </c>
      <c r="N2920" s="39">
        <v>45362</v>
      </c>
      <c r="O2920" s="38">
        <v>5967</v>
      </c>
      <c r="P2920" s="46">
        <f>K2920*(VLOOKUP(B2920,$C$2:$F$6,3,FALSE))</f>
        <v>2.1560000000000001</v>
      </c>
      <c r="Q2920" s="482">
        <v>2.16</v>
      </c>
      <c r="R2920" s="704">
        <f>Q2920*J2920</f>
        <v>4.32</v>
      </c>
      <c r="S2920" s="489">
        <f>97*1.5</f>
        <v>145.5</v>
      </c>
      <c r="T2920" s="113">
        <f>S2920*J2920</f>
        <v>291</v>
      </c>
      <c r="U2920" s="699" t="s">
        <v>6685</v>
      </c>
      <c r="V2920" s="494">
        <v>120</v>
      </c>
      <c r="W2920" s="2041">
        <f t="shared" si="190"/>
        <v>0.50510204081632648</v>
      </c>
    </row>
    <row r="2921" spans="2:24" ht="18" customHeight="1">
      <c r="C2921" s="6" t="s">
        <v>6479</v>
      </c>
      <c r="D2921" s="15" t="s">
        <v>6682</v>
      </c>
      <c r="E2921" s="20" t="s">
        <v>2271</v>
      </c>
      <c r="F2921" s="44"/>
      <c r="G2921" s="44"/>
      <c r="H2921" s="151"/>
      <c r="I2921" s="151"/>
      <c r="J2921" s="151"/>
      <c r="K2921" s="34" t="s">
        <v>134</v>
      </c>
      <c r="L2921" s="39"/>
      <c r="M2921" s="39"/>
      <c r="N2921" s="39">
        <v>45362</v>
      </c>
      <c r="O2921" s="38">
        <v>5967</v>
      </c>
      <c r="P2921" s="6"/>
      <c r="Q2921" s="524"/>
      <c r="R2921" s="704"/>
      <c r="S2921" s="489"/>
      <c r="T2921" s="113"/>
      <c r="U2921" s="501"/>
      <c r="V2921" s="494">
        <v>120</v>
      </c>
      <c r="W2921" s="2041" t="e">
        <f t="shared" si="190"/>
        <v>#VALUE!</v>
      </c>
    </row>
    <row r="2922" spans="2:24" ht="18" customHeight="1">
      <c r="B2922" s="28" t="s">
        <v>1856</v>
      </c>
      <c r="C2922" s="6" t="s">
        <v>6479</v>
      </c>
      <c r="D2922" s="15" t="s">
        <v>6682</v>
      </c>
      <c r="E2922" s="24">
        <v>4142</v>
      </c>
      <c r="F2922" s="44">
        <v>9</v>
      </c>
      <c r="G2922" s="24" t="s">
        <v>6683</v>
      </c>
      <c r="H2922" s="151"/>
      <c r="I2922" s="152"/>
      <c r="J2922" s="8">
        <v>2</v>
      </c>
      <c r="K2922" s="46">
        <v>2.67</v>
      </c>
      <c r="L2922" s="46">
        <f>K2922*J2922</f>
        <v>5.34</v>
      </c>
      <c r="M2922" s="162" t="s">
        <v>2219</v>
      </c>
      <c r="N2922" s="39">
        <v>45362</v>
      </c>
      <c r="O2922" s="38">
        <v>5967</v>
      </c>
      <c r="P2922" s="46">
        <f>K2922*(VLOOKUP(B2922,$C$2:$F$6,3,FALSE))</f>
        <v>2.3496000000000001</v>
      </c>
      <c r="Q2922" s="482">
        <v>2.35</v>
      </c>
      <c r="R2922" s="704">
        <f>Q2922*J2922</f>
        <v>4.7</v>
      </c>
      <c r="S2922" s="489">
        <f>106*1.5</f>
        <v>159</v>
      </c>
      <c r="T2922" s="113">
        <f>S2922*J2922</f>
        <v>318</v>
      </c>
      <c r="U2922" s="699" t="s">
        <v>6684</v>
      </c>
      <c r="V2922" s="494">
        <v>120</v>
      </c>
      <c r="W2922" s="2041">
        <f t="shared" si="190"/>
        <v>0.50374531835205993</v>
      </c>
    </row>
    <row r="2923" spans="2:24" ht="17.45" customHeight="1">
      <c r="C2923" s="6" t="s">
        <v>6479</v>
      </c>
      <c r="D2923" s="15" t="s">
        <v>6682</v>
      </c>
      <c r="E2923" s="24"/>
      <c r="F2923" s="138"/>
      <c r="G2923" s="44" t="s">
        <v>1993</v>
      </c>
      <c r="H2923" s="8"/>
      <c r="I2923" s="41"/>
      <c r="J2923" s="45">
        <v>1</v>
      </c>
      <c r="K2923" s="46">
        <v>12</v>
      </c>
      <c r="L2923" s="46">
        <f>K2923*J2923</f>
        <v>12</v>
      </c>
      <c r="M2923" s="112"/>
      <c r="N2923" s="39">
        <v>45362</v>
      </c>
      <c r="O2923" s="38">
        <v>5967</v>
      </c>
      <c r="P2923" s="46"/>
      <c r="Q2923" s="180">
        <v>12</v>
      </c>
      <c r="R2923" s="180">
        <v>12</v>
      </c>
      <c r="S2923" s="498">
        <v>1100</v>
      </c>
      <c r="T2923" s="568">
        <f>S2923*J2923</f>
        <v>1100</v>
      </c>
      <c r="U2923" s="511"/>
      <c r="V2923" s="494">
        <v>120</v>
      </c>
      <c r="W2923" s="2041">
        <f t="shared" si="190"/>
        <v>0.2361111111111111</v>
      </c>
    </row>
    <row r="2924" spans="2:24" s="314" customFormat="1" ht="15">
      <c r="B2924" s="313"/>
      <c r="C2924" s="302" t="s">
        <v>6479</v>
      </c>
      <c r="D2924" s="303" t="s">
        <v>6682</v>
      </c>
      <c r="E2924" s="371"/>
      <c r="F2924" s="305"/>
      <c r="G2924" s="2049" t="s">
        <v>1227</v>
      </c>
      <c r="H2924" s="307" t="s">
        <v>1228</v>
      </c>
      <c r="I2924" s="308"/>
      <c r="J2924" s="306"/>
      <c r="K2924" s="315">
        <v>0</v>
      </c>
      <c r="L2924" s="310"/>
      <c r="M2924" s="310"/>
      <c r="N2924" s="310">
        <v>45362</v>
      </c>
      <c r="O2924" s="309">
        <v>5967</v>
      </c>
      <c r="P2924" s="302"/>
      <c r="Q2924" s="485">
        <v>0</v>
      </c>
      <c r="S2924" s="535">
        <v>0</v>
      </c>
      <c r="T2924" s="322">
        <v>0</v>
      </c>
      <c r="U2924" s="515"/>
      <c r="V2924" s="494">
        <v>120</v>
      </c>
      <c r="W2924" s="2041" t="e">
        <f t="shared" si="190"/>
        <v>#DIV/0!</v>
      </c>
    </row>
    <row r="2925" spans="2:24" ht="15">
      <c r="C2925" s="6" t="s">
        <v>6758</v>
      </c>
      <c r="D2925" s="15" t="s">
        <v>6552</v>
      </c>
      <c r="E2925" s="20" t="s">
        <v>79</v>
      </c>
      <c r="F2925" s="150"/>
      <c r="G2925" s="24"/>
      <c r="H2925" s="151"/>
      <c r="I2925" s="152"/>
      <c r="J2925" s="151"/>
      <c r="K2925" s="153" t="s">
        <v>10</v>
      </c>
      <c r="L2925" s="39"/>
      <c r="M2925" s="39"/>
      <c r="N2925" s="39">
        <v>45370</v>
      </c>
      <c r="O2925" s="38">
        <v>5986</v>
      </c>
      <c r="P2925" s="15"/>
      <c r="Q2925" s="483"/>
      <c r="S2925" s="707"/>
      <c r="T2925" s="113"/>
      <c r="V2925" s="494">
        <v>120</v>
      </c>
      <c r="W2925" s="2041" t="e">
        <f t="shared" si="190"/>
        <v>#VALUE!</v>
      </c>
    </row>
    <row r="2926" spans="2:24" ht="15.75">
      <c r="B2926" s="12" t="s">
        <v>1858</v>
      </c>
      <c r="C2926" s="6" t="s">
        <v>6759</v>
      </c>
      <c r="D2926" s="15" t="s">
        <v>6552</v>
      </c>
      <c r="E2926" s="24" t="s">
        <v>6607</v>
      </c>
      <c r="F2926" s="150">
        <v>148</v>
      </c>
      <c r="G2926" s="24" t="s">
        <v>6737</v>
      </c>
      <c r="H2926" s="67">
        <v>50</v>
      </c>
      <c r="I2926" s="68">
        <v>1</v>
      </c>
      <c r="J2926" s="67">
        <f>H2926*I2926</f>
        <v>50</v>
      </c>
      <c r="K2926" s="46">
        <v>12</v>
      </c>
      <c r="L2926" s="46">
        <f>K2926*J2926</f>
        <v>600</v>
      </c>
      <c r="M2926" s="162" t="s">
        <v>2219</v>
      </c>
      <c r="N2926" s="39">
        <v>45370</v>
      </c>
      <c r="O2926" s="38">
        <v>5986</v>
      </c>
      <c r="P2926" s="46">
        <f>K2926*(VLOOKUP(B2926,$C$2:$F$6,3,FALSE))</f>
        <v>11.28</v>
      </c>
      <c r="Q2926" s="483">
        <v>11.28</v>
      </c>
      <c r="R2926" s="704">
        <f>Q2926*J2926</f>
        <v>564</v>
      </c>
      <c r="S2926" s="489">
        <v>1260</v>
      </c>
      <c r="T2926" s="567">
        <f>S2926*J2926</f>
        <v>63000</v>
      </c>
      <c r="V2926" s="494">
        <v>120</v>
      </c>
      <c r="W2926" s="2041">
        <f t="shared" si="190"/>
        <v>0.125</v>
      </c>
    </row>
    <row r="2927" spans="2:24" ht="15.75">
      <c r="B2927" s="12" t="s">
        <v>1858</v>
      </c>
      <c r="C2927" s="6" t="s">
        <v>6759</v>
      </c>
      <c r="D2927" s="15" t="s">
        <v>6552</v>
      </c>
      <c r="E2927" s="24" t="s">
        <v>6607</v>
      </c>
      <c r="F2927" s="150">
        <v>148</v>
      </c>
      <c r="G2927" s="20" t="s">
        <v>6738</v>
      </c>
      <c r="H2927" s="67">
        <v>48</v>
      </c>
      <c r="I2927" s="68">
        <v>1</v>
      </c>
      <c r="J2927" s="67">
        <f>H2927*I2927</f>
        <v>48</v>
      </c>
      <c r="K2927" s="46">
        <v>19.8</v>
      </c>
      <c r="L2927" s="46">
        <f>K2927*J2927</f>
        <v>950.40000000000009</v>
      </c>
      <c r="M2927" s="162" t="s">
        <v>2219</v>
      </c>
      <c r="N2927" s="39">
        <v>45401</v>
      </c>
      <c r="O2927" s="38">
        <v>6086</v>
      </c>
      <c r="P2927" s="46">
        <f>K2927*(VLOOKUP(B2927,$C$2:$F$6,3,FALSE))</f>
        <v>18.611999999999998</v>
      </c>
      <c r="Q2927" s="483">
        <v>18.61</v>
      </c>
      <c r="R2927" s="704">
        <f>Q2927*J2927</f>
        <v>893.28</v>
      </c>
      <c r="S2927" s="489">
        <v>2130</v>
      </c>
      <c r="T2927" s="567">
        <f>S2927*J2927</f>
        <v>102240</v>
      </c>
      <c r="V2927" s="494">
        <v>120</v>
      </c>
      <c r="W2927" s="2041">
        <f t="shared" ref="W2927:W2933" si="191">(((K2927*V2927)-S2927)/(K2927*V2927))</f>
        <v>0.10353535353535354</v>
      </c>
    </row>
    <row r="2928" spans="2:24" ht="15.75">
      <c r="B2928" s="12" t="s">
        <v>1858</v>
      </c>
      <c r="C2928" s="6" t="s">
        <v>6759</v>
      </c>
      <c r="D2928" s="15" t="s">
        <v>6552</v>
      </c>
      <c r="E2928" s="24" t="s">
        <v>6607</v>
      </c>
      <c r="F2928" s="150">
        <v>148</v>
      </c>
      <c r="G2928" s="20" t="s">
        <v>6739</v>
      </c>
      <c r="H2928" s="67">
        <v>48</v>
      </c>
      <c r="I2928" s="68">
        <v>1</v>
      </c>
      <c r="J2928" s="67">
        <f>H2928*I2928</f>
        <v>48</v>
      </c>
      <c r="K2928" s="46">
        <v>19.8</v>
      </c>
      <c r="L2928" s="46">
        <f>K2928*J2928</f>
        <v>950.40000000000009</v>
      </c>
      <c r="M2928" s="162" t="s">
        <v>2219</v>
      </c>
      <c r="N2928" s="39">
        <v>45401</v>
      </c>
      <c r="O2928" s="38">
        <v>6086</v>
      </c>
      <c r="P2928" s="46">
        <f>K2928*(VLOOKUP(B2928,$C$2:$F$6,3,FALSE))</f>
        <v>18.611999999999998</v>
      </c>
      <c r="Q2928" s="483">
        <v>18.61</v>
      </c>
      <c r="R2928" s="704">
        <f>Q2928*J2928</f>
        <v>893.28</v>
      </c>
      <c r="S2928" s="489">
        <v>2130</v>
      </c>
      <c r="T2928" s="567">
        <f>S2928*J2928</f>
        <v>102240</v>
      </c>
      <c r="V2928" s="494">
        <v>120</v>
      </c>
      <c r="W2928" s="2041">
        <f t="shared" si="191"/>
        <v>0.10353535353535354</v>
      </c>
    </row>
    <row r="2929" spans="1:23" s="314" customFormat="1" ht="15">
      <c r="B2929" s="313"/>
      <c r="C2929" s="302" t="s">
        <v>6759</v>
      </c>
      <c r="D2929" s="303" t="s">
        <v>6552</v>
      </c>
      <c r="E2929" s="304"/>
      <c r="F2929" s="305"/>
      <c r="G2929" s="305" t="s">
        <v>1227</v>
      </c>
      <c r="H2929" s="307" t="s">
        <v>1228</v>
      </c>
      <c r="I2929" s="308"/>
      <c r="J2929" s="306"/>
      <c r="K2929" s="315">
        <v>0</v>
      </c>
      <c r="L2929" s="310"/>
      <c r="M2929" s="310"/>
      <c r="N2929" s="310">
        <v>45401</v>
      </c>
      <c r="O2929" s="309">
        <v>6086</v>
      </c>
      <c r="P2929" s="302"/>
      <c r="Q2929" s="485">
        <v>0</v>
      </c>
      <c r="S2929" s="536">
        <v>0</v>
      </c>
      <c r="T2929" s="322">
        <v>0</v>
      </c>
      <c r="U2929" s="515"/>
      <c r="V2929" s="494">
        <v>120</v>
      </c>
      <c r="W2929" s="2041" t="e">
        <f t="shared" si="191"/>
        <v>#DIV/0!</v>
      </c>
    </row>
    <row r="2930" spans="1:23" s="7" customFormat="1" ht="18" customHeight="1">
      <c r="B2930" s="12"/>
      <c r="C2930" s="6" t="s">
        <v>6744</v>
      </c>
      <c r="D2930" s="15" t="s">
        <v>5353</v>
      </c>
      <c r="E2930" s="20" t="s">
        <v>27</v>
      </c>
      <c r="F2930" s="150"/>
      <c r="G2930" s="24"/>
      <c r="H2930" s="151"/>
      <c r="I2930" s="152"/>
      <c r="J2930" s="151"/>
      <c r="K2930" s="153" t="s">
        <v>10</v>
      </c>
      <c r="L2930" s="213"/>
      <c r="M2930" s="39"/>
      <c r="N2930" s="39">
        <v>45372</v>
      </c>
      <c r="O2930" s="38">
        <v>5993</v>
      </c>
      <c r="P2930" s="15"/>
      <c r="Q2930" s="703"/>
      <c r="U2930" s="15"/>
      <c r="V2930" s="494">
        <v>120</v>
      </c>
      <c r="W2930" s="2041" t="e">
        <f t="shared" si="191"/>
        <v>#VALUE!</v>
      </c>
    </row>
    <row r="2931" spans="1:23" s="7" customFormat="1" ht="18" customHeight="1">
      <c r="B2931" s="12" t="s">
        <v>1858</v>
      </c>
      <c r="C2931" s="6" t="s">
        <v>6744</v>
      </c>
      <c r="D2931" s="15" t="s">
        <v>5353</v>
      </c>
      <c r="E2931" s="24" t="s">
        <v>736</v>
      </c>
      <c r="F2931" s="150">
        <v>162</v>
      </c>
      <c r="G2931" s="24" t="s">
        <v>6745</v>
      </c>
      <c r="H2931" s="151">
        <v>50</v>
      </c>
      <c r="I2931" s="152">
        <v>1</v>
      </c>
      <c r="J2931" s="8">
        <f>H2931*I2931</f>
        <v>50</v>
      </c>
      <c r="K2931" s="46">
        <v>4.59</v>
      </c>
      <c r="L2931" s="46">
        <f>K2931*J2931</f>
        <v>229.5</v>
      </c>
      <c r="M2931" s="162" t="s">
        <v>2218</v>
      </c>
      <c r="N2931" s="39">
        <v>45372</v>
      </c>
      <c r="O2931" s="38">
        <v>5993</v>
      </c>
      <c r="P2931" s="46">
        <f>K2931*(VLOOKUP(B2931,$C$2:$F$6,3,FALSE))</f>
        <v>4.3145999999999995</v>
      </c>
      <c r="Q2931" s="703">
        <v>4.3099999999999996</v>
      </c>
      <c r="R2931" s="703">
        <f>Q2931*J2931</f>
        <v>215.49999999999997</v>
      </c>
      <c r="S2931" s="7">
        <v>370</v>
      </c>
      <c r="T2931" s="7">
        <f>S2931*J2931</f>
        <v>18500</v>
      </c>
      <c r="U2931" s="499"/>
      <c r="V2931" s="494">
        <v>120</v>
      </c>
      <c r="W2931" s="2041">
        <f t="shared" si="191"/>
        <v>0.32824981844589685</v>
      </c>
    </row>
    <row r="2932" spans="1:23" s="7" customFormat="1" ht="18" customHeight="1">
      <c r="B2932" s="12"/>
      <c r="C2932" s="6" t="s">
        <v>6744</v>
      </c>
      <c r="D2932" s="15" t="s">
        <v>5353</v>
      </c>
      <c r="E2932" s="238"/>
      <c r="F2932" s="44"/>
      <c r="G2932" s="24" t="s">
        <v>2975</v>
      </c>
      <c r="H2932" s="8"/>
      <c r="I2932" s="152" ph="1"/>
      <c r="J2932" s="45">
        <v>1</v>
      </c>
      <c r="K2932" s="46">
        <v>20</v>
      </c>
      <c r="L2932" s="46">
        <f>K2932*J2932</f>
        <v>20</v>
      </c>
      <c r="M2932" s="112"/>
      <c r="N2932" s="39">
        <v>45372</v>
      </c>
      <c r="O2932" s="38">
        <v>5993</v>
      </c>
      <c r="P2932" s="6"/>
      <c r="Q2932" s="703">
        <v>20</v>
      </c>
      <c r="R2932" s="703">
        <f>Q2932*J2932</f>
        <v>20</v>
      </c>
      <c r="S2932" s="7">
        <v>1800</v>
      </c>
      <c r="T2932" s="7">
        <v>1800</v>
      </c>
      <c r="U2932" s="23"/>
      <c r="V2932" s="494">
        <v>120</v>
      </c>
      <c r="W2932" s="2041">
        <f t="shared" si="191"/>
        <v>0.25</v>
      </c>
    </row>
    <row r="2933" spans="1:23" s="314" customFormat="1" ht="18" customHeight="1">
      <c r="B2933" s="313"/>
      <c r="C2933" s="302" t="s">
        <v>6744</v>
      </c>
      <c r="D2933" s="303" t="s">
        <v>5353</v>
      </c>
      <c r="E2933" s="371"/>
      <c r="F2933" s="305"/>
      <c r="G2933" s="305" t="s">
        <v>1227</v>
      </c>
      <c r="H2933" s="307" t="s">
        <v>1228</v>
      </c>
      <c r="I2933" s="308"/>
      <c r="J2933" s="306"/>
      <c r="K2933" s="315">
        <v>0</v>
      </c>
      <c r="L2933" s="310"/>
      <c r="M2933" s="310"/>
      <c r="N2933" s="310">
        <v>45372</v>
      </c>
      <c r="O2933" s="309">
        <v>5993</v>
      </c>
      <c r="P2933" s="302"/>
      <c r="Q2933" s="531">
        <v>0</v>
      </c>
      <c r="S2933" s="535">
        <v>0</v>
      </c>
      <c r="T2933" s="322">
        <v>0</v>
      </c>
      <c r="U2933" s="1115"/>
      <c r="V2933" s="494">
        <v>120</v>
      </c>
      <c r="W2933" s="2041" t="e">
        <f t="shared" si="191"/>
        <v>#DIV/0!</v>
      </c>
    </row>
    <row r="2934" spans="1:23" s="7" customFormat="1" ht="18" customHeight="1">
      <c r="A2934" s="1"/>
      <c r="B2934" s="12"/>
      <c r="C2934" s="6" t="s">
        <v>6817</v>
      </c>
      <c r="D2934" s="15" t="s">
        <v>6552</v>
      </c>
      <c r="E2934" s="20" t="s">
        <v>2801</v>
      </c>
      <c r="F2934" s="24"/>
      <c r="G2934" s="44"/>
      <c r="H2934" s="151"/>
      <c r="I2934" s="151"/>
      <c r="J2934" s="151"/>
      <c r="K2934" s="153" t="s">
        <v>10</v>
      </c>
      <c r="L2934" s="39"/>
      <c r="M2934" s="39"/>
      <c r="N2934" s="39">
        <v>45380</v>
      </c>
      <c r="O2934" s="38">
        <v>6015</v>
      </c>
      <c r="P2934" s="6"/>
      <c r="Q2934" s="411"/>
      <c r="S2934" s="489"/>
      <c r="T2934" s="113"/>
      <c r="U2934" s="501"/>
      <c r="V2934" s="494">
        <v>120</v>
      </c>
    </row>
    <row r="2935" spans="1:23" s="7" customFormat="1" ht="15.95" customHeight="1">
      <c r="A2935" s="1"/>
      <c r="B2935" s="12" t="s">
        <v>1856</v>
      </c>
      <c r="C2935" s="6" t="s">
        <v>6817</v>
      </c>
      <c r="D2935" s="15" t="s">
        <v>6552</v>
      </c>
      <c r="E2935" s="1010" t="s">
        <v>6747</v>
      </c>
      <c r="F2935" s="44"/>
      <c r="G2935" s="44" t="s">
        <v>6819</v>
      </c>
      <c r="H2935" s="8"/>
      <c r="I2935" s="41"/>
      <c r="J2935" s="67">
        <v>37</v>
      </c>
      <c r="K2935" s="1007">
        <v>1.88</v>
      </c>
      <c r="L2935" s="46">
        <f>K2935*J2935</f>
        <v>69.56</v>
      </c>
      <c r="M2935" s="162" t="s">
        <v>2219</v>
      </c>
      <c r="N2935" s="39">
        <v>45380</v>
      </c>
      <c r="O2935" s="38">
        <v>6015</v>
      </c>
      <c r="P2935" s="180">
        <f>K2935*(VLOOKUP(B2935,$C$2:$F$6,3,FALSE))</f>
        <v>1.6543999999999999</v>
      </c>
      <c r="Q2935" s="483">
        <v>1.65</v>
      </c>
      <c r="R2935" s="704">
        <f>Q2935*J2935</f>
        <v>61.05</v>
      </c>
      <c r="S2935" s="489">
        <v>135</v>
      </c>
      <c r="T2935" s="113">
        <f>S2935*J2935</f>
        <v>4995</v>
      </c>
      <c r="U2935" s="517"/>
      <c r="V2935" s="494">
        <v>120</v>
      </c>
      <c r="W2935" s="2041">
        <f t="shared" ref="W2935:W2940" si="192">(((K2935*V2935)-S2935)/(K2935*V2935))</f>
        <v>0.40159574468085107</v>
      </c>
    </row>
    <row r="2936" spans="1:23" s="7" customFormat="1" ht="15.95" customHeight="1">
      <c r="A2936" s="1"/>
      <c r="B2936" s="12" t="s">
        <v>1856</v>
      </c>
      <c r="C2936" s="6" t="s">
        <v>6817</v>
      </c>
      <c r="D2936" s="15" t="s">
        <v>6552</v>
      </c>
      <c r="E2936" s="1010" t="s">
        <v>6747</v>
      </c>
      <c r="F2936" s="44"/>
      <c r="G2936" s="44" t="s">
        <v>6820</v>
      </c>
      <c r="H2936" s="8"/>
      <c r="I2936" s="41"/>
      <c r="J2936" s="67">
        <v>37</v>
      </c>
      <c r="K2936" s="1007">
        <v>1.88</v>
      </c>
      <c r="L2936" s="46">
        <f>K2936*J2936</f>
        <v>69.56</v>
      </c>
      <c r="M2936" s="162" t="s">
        <v>2219</v>
      </c>
      <c r="N2936" s="39">
        <v>45380</v>
      </c>
      <c r="O2936" s="38">
        <v>6015</v>
      </c>
      <c r="P2936" s="180">
        <f>K2936*(VLOOKUP(B2936,$C$2:$F$6,3,FALSE))</f>
        <v>1.6543999999999999</v>
      </c>
      <c r="Q2936" s="483">
        <v>1.65</v>
      </c>
      <c r="R2936" s="704">
        <f>Q2936*J2936</f>
        <v>61.05</v>
      </c>
      <c r="S2936" s="489">
        <v>135</v>
      </c>
      <c r="T2936" s="113">
        <f>S2936*J2936</f>
        <v>4995</v>
      </c>
      <c r="U2936" s="517"/>
      <c r="V2936" s="494">
        <v>120</v>
      </c>
      <c r="W2936" s="2041">
        <f t="shared" si="192"/>
        <v>0.40159574468085107</v>
      </c>
    </row>
    <row r="2937" spans="1:23" s="7" customFormat="1" ht="15.95" customHeight="1">
      <c r="A2937" s="1"/>
      <c r="B2937" s="12" t="s">
        <v>1856</v>
      </c>
      <c r="C2937" s="6" t="s">
        <v>6817</v>
      </c>
      <c r="D2937" s="15" t="s">
        <v>6552</v>
      </c>
      <c r="E2937" s="1010" t="s">
        <v>6747</v>
      </c>
      <c r="F2937" s="44"/>
      <c r="G2937" s="44" t="s">
        <v>6821</v>
      </c>
      <c r="H2937" s="8"/>
      <c r="I2937" s="41"/>
      <c r="J2937" s="67">
        <v>37</v>
      </c>
      <c r="K2937" s="1007">
        <v>1.88</v>
      </c>
      <c r="L2937" s="46">
        <f>K2937*J2937</f>
        <v>69.56</v>
      </c>
      <c r="M2937" s="162" t="s">
        <v>2219</v>
      </c>
      <c r="N2937" s="39">
        <v>45380</v>
      </c>
      <c r="O2937" s="38">
        <v>6015</v>
      </c>
      <c r="P2937" s="180">
        <f>K2937*(VLOOKUP(B2937,$C$2:$F$6,3,FALSE))</f>
        <v>1.6543999999999999</v>
      </c>
      <c r="Q2937" s="483">
        <v>1.65</v>
      </c>
      <c r="R2937" s="704">
        <f>Q2937*J2937</f>
        <v>61.05</v>
      </c>
      <c r="S2937" s="489">
        <v>135</v>
      </c>
      <c r="T2937" s="113">
        <f>S2937*J2937</f>
        <v>4995</v>
      </c>
      <c r="U2937" s="517"/>
      <c r="V2937" s="494">
        <v>120</v>
      </c>
      <c r="W2937" s="2041">
        <f t="shared" si="192"/>
        <v>0.40159574468085107</v>
      </c>
    </row>
    <row r="2938" spans="1:23" s="7" customFormat="1" ht="18" customHeight="1">
      <c r="B2938" s="12" t="s">
        <v>6753</v>
      </c>
      <c r="C2938" s="6" t="s">
        <v>6817</v>
      </c>
      <c r="D2938" s="15" t="s">
        <v>6552</v>
      </c>
      <c r="E2938" s="238"/>
      <c r="F2938" s="44"/>
      <c r="G2938" s="24" t="s">
        <v>6752</v>
      </c>
      <c r="H2938" s="8"/>
      <c r="I2938" s="152" ph="1"/>
      <c r="J2938" s="45">
        <v>3</v>
      </c>
      <c r="K2938" s="46">
        <v>75</v>
      </c>
      <c r="L2938" s="46">
        <f>K2938*J2938</f>
        <v>225</v>
      </c>
      <c r="M2938" s="112"/>
      <c r="N2938" s="39">
        <v>45380</v>
      </c>
      <c r="O2938" s="38">
        <v>6015</v>
      </c>
      <c r="P2938" s="180">
        <f>K2938*(VLOOKUP(B2938,$C$2:$F$6,3,FALSE))</f>
        <v>75</v>
      </c>
      <c r="Q2938" s="703">
        <v>75</v>
      </c>
      <c r="R2938" s="703">
        <f>Q2938*J2938</f>
        <v>225</v>
      </c>
      <c r="S2938" s="7">
        <v>7000</v>
      </c>
      <c r="T2938" s="113">
        <f>S2938*J2938</f>
        <v>21000</v>
      </c>
      <c r="U2938" s="23"/>
      <c r="V2938" s="494">
        <v>120</v>
      </c>
      <c r="W2938" s="2041">
        <f t="shared" si="192"/>
        <v>0.22222222222222221</v>
      </c>
    </row>
    <row r="2939" spans="1:23" s="7" customFormat="1" ht="18" customHeight="1">
      <c r="B2939" s="12"/>
      <c r="C2939" s="6" t="s">
        <v>6817</v>
      </c>
      <c r="D2939" s="15" t="s">
        <v>6552</v>
      </c>
      <c r="E2939" s="238"/>
      <c r="F2939" s="44"/>
      <c r="G2939" s="24" t="s">
        <v>704</v>
      </c>
      <c r="H2939" s="8"/>
      <c r="I2939" s="152" ph="1"/>
      <c r="J2939" s="45">
        <v>1</v>
      </c>
      <c r="K2939" s="46">
        <v>12</v>
      </c>
      <c r="L2939" s="46">
        <f>K2939*J2939</f>
        <v>12</v>
      </c>
      <c r="M2939" s="112"/>
      <c r="N2939" s="39">
        <v>45380</v>
      </c>
      <c r="O2939" s="38">
        <v>6015</v>
      </c>
      <c r="P2939" s="6"/>
      <c r="Q2939" s="703">
        <v>12</v>
      </c>
      <c r="R2939" s="703">
        <f>Q2939*J2939</f>
        <v>12</v>
      </c>
      <c r="S2939" s="7">
        <v>0</v>
      </c>
      <c r="T2939" s="113">
        <f>S2939*J2939</f>
        <v>0</v>
      </c>
      <c r="U2939" s="23"/>
      <c r="V2939" s="494">
        <v>120</v>
      </c>
      <c r="W2939" s="2041">
        <f t="shared" si="192"/>
        <v>1</v>
      </c>
    </row>
    <row r="2940" spans="1:23" s="314" customFormat="1" ht="18" customHeight="1">
      <c r="B2940" s="313"/>
      <c r="C2940" s="302" t="s">
        <v>6817</v>
      </c>
      <c r="D2940" s="303" t="s">
        <v>6552</v>
      </c>
      <c r="E2940" s="371"/>
      <c r="F2940" s="305"/>
      <c r="G2940" s="305" t="s">
        <v>1227</v>
      </c>
      <c r="H2940" s="307" t="s">
        <v>1228</v>
      </c>
      <c r="I2940" s="308"/>
      <c r="J2940" s="306"/>
      <c r="K2940" s="315">
        <v>0</v>
      </c>
      <c r="L2940" s="310"/>
      <c r="M2940" s="310"/>
      <c r="N2940" s="310">
        <v>45380</v>
      </c>
      <c r="O2940" s="309">
        <v>6015</v>
      </c>
      <c r="P2940" s="302"/>
      <c r="Q2940" s="531">
        <v>0</v>
      </c>
      <c r="S2940" s="535">
        <v>0</v>
      </c>
      <c r="T2940" s="322">
        <v>0</v>
      </c>
      <c r="U2940" s="1115"/>
      <c r="V2940" s="494">
        <v>120</v>
      </c>
      <c r="W2940" s="2041" t="e">
        <f t="shared" si="192"/>
        <v>#DIV/0!</v>
      </c>
    </row>
    <row r="2941" spans="1:23" s="7" customFormat="1" ht="18" customHeight="1">
      <c r="A2941" s="1"/>
      <c r="B2941" s="12"/>
      <c r="C2941" s="6" t="s">
        <v>6818</v>
      </c>
      <c r="D2941" s="15" t="s">
        <v>6552</v>
      </c>
      <c r="E2941" s="20" t="s">
        <v>2801</v>
      </c>
      <c r="F2941" s="24"/>
      <c r="G2941" s="44"/>
      <c r="H2941" s="151"/>
      <c r="I2941" s="151"/>
      <c r="J2941" s="151"/>
      <c r="K2941" s="153" t="s">
        <v>10</v>
      </c>
      <c r="L2941" s="39"/>
      <c r="M2941" s="39"/>
      <c r="N2941" s="39">
        <v>45380</v>
      </c>
      <c r="O2941" s="38">
        <v>6016</v>
      </c>
      <c r="P2941" s="6"/>
      <c r="Q2941" s="411"/>
      <c r="S2941" s="489"/>
      <c r="T2941" s="113"/>
      <c r="U2941" s="501"/>
      <c r="V2941" s="494">
        <v>120</v>
      </c>
    </row>
    <row r="2942" spans="1:23" s="7" customFormat="1" ht="15.95" customHeight="1">
      <c r="A2942" s="1"/>
      <c r="B2942" s="12" t="s">
        <v>1856</v>
      </c>
      <c r="C2942" s="6" t="s">
        <v>6818</v>
      </c>
      <c r="D2942" s="15" t="s">
        <v>6552</v>
      </c>
      <c r="E2942" s="1010" t="s">
        <v>6747</v>
      </c>
      <c r="F2942" s="44"/>
      <c r="G2942" s="44" t="s">
        <v>6819</v>
      </c>
      <c r="H2942" s="8"/>
      <c r="I2942" s="41"/>
      <c r="J2942" s="67">
        <v>3</v>
      </c>
      <c r="K2942" s="1007">
        <v>1.88</v>
      </c>
      <c r="L2942" s="46">
        <f>K2942*J2942</f>
        <v>5.64</v>
      </c>
      <c r="M2942" s="162" t="s">
        <v>2219</v>
      </c>
      <c r="N2942" s="39">
        <v>45380</v>
      </c>
      <c r="O2942" s="38">
        <v>6016</v>
      </c>
      <c r="P2942" s="180">
        <f>K2942*(VLOOKUP(B2942,$C$2:$F$6,3,FALSE))</f>
        <v>1.6543999999999999</v>
      </c>
      <c r="Q2942" s="483">
        <v>1.65</v>
      </c>
      <c r="R2942" s="704">
        <f>Q2942*J2942</f>
        <v>4.9499999999999993</v>
      </c>
      <c r="S2942" s="489">
        <v>135</v>
      </c>
      <c r="T2942" s="113">
        <f>S2942*J2942</f>
        <v>405</v>
      </c>
      <c r="U2942" s="517"/>
      <c r="V2942" s="494">
        <v>120</v>
      </c>
      <c r="W2942" s="2041">
        <f t="shared" ref="W2942:W2972" si="193">(((K2942*V2942)-S2942)/(K2942*V2942))</f>
        <v>0.40159574468085107</v>
      </c>
    </row>
    <row r="2943" spans="1:23" s="7" customFormat="1" ht="15.95" customHeight="1">
      <c r="A2943" s="1"/>
      <c r="B2943" s="12" t="s">
        <v>1856</v>
      </c>
      <c r="C2943" s="6" t="s">
        <v>6818</v>
      </c>
      <c r="D2943" s="15" t="s">
        <v>6552</v>
      </c>
      <c r="E2943" s="1010" t="s">
        <v>6747</v>
      </c>
      <c r="F2943" s="44"/>
      <c r="G2943" s="44" t="s">
        <v>6820</v>
      </c>
      <c r="H2943" s="8"/>
      <c r="I2943" s="41"/>
      <c r="J2943" s="67">
        <v>3</v>
      </c>
      <c r="K2943" s="1007">
        <v>1.88</v>
      </c>
      <c r="L2943" s="46">
        <f>K2943*J2943</f>
        <v>5.64</v>
      </c>
      <c r="M2943" s="162" t="s">
        <v>2219</v>
      </c>
      <c r="N2943" s="39">
        <v>45380</v>
      </c>
      <c r="O2943" s="38">
        <v>6016</v>
      </c>
      <c r="P2943" s="180">
        <f>K2943*(VLOOKUP(B2943,$C$2:$F$6,3,FALSE))</f>
        <v>1.6543999999999999</v>
      </c>
      <c r="Q2943" s="483">
        <v>1.65</v>
      </c>
      <c r="R2943" s="704">
        <f>Q2943*J2943</f>
        <v>4.9499999999999993</v>
      </c>
      <c r="S2943" s="489">
        <v>135</v>
      </c>
      <c r="T2943" s="113">
        <f>S2943*J2943</f>
        <v>405</v>
      </c>
      <c r="U2943" s="517"/>
      <c r="V2943" s="494">
        <v>120</v>
      </c>
      <c r="W2943" s="2041">
        <f t="shared" si="193"/>
        <v>0.40159574468085107</v>
      </c>
    </row>
    <row r="2944" spans="1:23" s="7" customFormat="1" ht="15.95" customHeight="1">
      <c r="A2944" s="1"/>
      <c r="B2944" s="12" t="s">
        <v>1856</v>
      </c>
      <c r="C2944" s="6" t="s">
        <v>6818</v>
      </c>
      <c r="D2944" s="15" t="s">
        <v>6552</v>
      </c>
      <c r="E2944" s="1010" t="s">
        <v>6747</v>
      </c>
      <c r="F2944" s="44"/>
      <c r="G2944" s="44" t="s">
        <v>6821</v>
      </c>
      <c r="H2944" s="8"/>
      <c r="I2944" s="41"/>
      <c r="J2944" s="67">
        <v>3</v>
      </c>
      <c r="K2944" s="1007">
        <v>1.88</v>
      </c>
      <c r="L2944" s="46">
        <f>K2944*J2944</f>
        <v>5.64</v>
      </c>
      <c r="M2944" s="162" t="s">
        <v>2219</v>
      </c>
      <c r="N2944" s="39">
        <v>45380</v>
      </c>
      <c r="O2944" s="38">
        <v>6016</v>
      </c>
      <c r="P2944" s="180">
        <f>K2944*(VLOOKUP(B2944,$C$2:$F$6,3,FALSE))</f>
        <v>1.6543999999999999</v>
      </c>
      <c r="Q2944" s="483">
        <v>1.65</v>
      </c>
      <c r="R2944" s="704">
        <f>Q2944*J2944</f>
        <v>4.9499999999999993</v>
      </c>
      <c r="S2944" s="489">
        <v>135</v>
      </c>
      <c r="T2944" s="113">
        <f>S2944*J2944</f>
        <v>405</v>
      </c>
      <c r="U2944" s="517"/>
      <c r="V2944" s="494">
        <v>120</v>
      </c>
      <c r="W2944" s="2041">
        <f t="shared" si="193"/>
        <v>0.40159574468085107</v>
      </c>
    </row>
    <row r="2945" spans="2:23" s="314" customFormat="1" ht="18" customHeight="1">
      <c r="B2945" s="313"/>
      <c r="C2945" s="302" t="s">
        <v>6818</v>
      </c>
      <c r="D2945" s="303" t="s">
        <v>6552</v>
      </c>
      <c r="E2945" s="371"/>
      <c r="F2945" s="305"/>
      <c r="G2945" s="305" t="s">
        <v>1227</v>
      </c>
      <c r="H2945" s="307" t="s">
        <v>1228</v>
      </c>
      <c r="I2945" s="308"/>
      <c r="J2945" s="306"/>
      <c r="K2945" s="315">
        <v>0</v>
      </c>
      <c r="L2945" s="310"/>
      <c r="M2945" s="310"/>
      <c r="N2945" s="310">
        <v>45380</v>
      </c>
      <c r="O2945" s="309">
        <v>6016</v>
      </c>
      <c r="P2945" s="302"/>
      <c r="Q2945" s="531">
        <v>0</v>
      </c>
      <c r="S2945" s="535">
        <v>0</v>
      </c>
      <c r="T2945" s="322">
        <v>0</v>
      </c>
      <c r="U2945" s="1115"/>
      <c r="V2945" s="494">
        <v>120</v>
      </c>
      <c r="W2945" s="2041" t="e">
        <f t="shared" si="193"/>
        <v>#DIV/0!</v>
      </c>
    </row>
    <row r="2946" spans="2:23" ht="15">
      <c r="C2946" s="6" t="s">
        <v>6754</v>
      </c>
      <c r="D2946" s="15" t="s">
        <v>5470</v>
      </c>
      <c r="E2946" s="20" t="s">
        <v>5469</v>
      </c>
      <c r="F2946" s="44"/>
      <c r="G2946" s="44"/>
      <c r="H2946" s="151"/>
      <c r="I2946" s="151"/>
      <c r="J2946" s="151"/>
      <c r="K2946" s="34" t="s">
        <v>134</v>
      </c>
      <c r="L2946" s="39"/>
      <c r="M2946" s="39"/>
      <c r="N2946" s="39">
        <v>45369</v>
      </c>
      <c r="O2946" s="38">
        <v>5984</v>
      </c>
      <c r="P2946" s="6"/>
      <c r="Q2946" s="524"/>
      <c r="S2946" s="489"/>
      <c r="T2946" s="113"/>
      <c r="U2946" s="501"/>
      <c r="V2946" s="494">
        <v>120</v>
      </c>
      <c r="W2946" s="2041" t="e">
        <f t="shared" si="193"/>
        <v>#VALUE!</v>
      </c>
    </row>
    <row r="2947" spans="2:23" ht="15.75">
      <c r="B2947" s="28" t="s">
        <v>1856</v>
      </c>
      <c r="C2947" s="6" t="s">
        <v>6754</v>
      </c>
      <c r="D2947" s="15" t="s">
        <v>5483</v>
      </c>
      <c r="E2947" s="24">
        <v>3846</v>
      </c>
      <c r="F2947" s="29">
        <v>10</v>
      </c>
      <c r="G2947" s="24" t="s">
        <v>6755</v>
      </c>
      <c r="H2947" s="67">
        <v>50</v>
      </c>
      <c r="I2947" s="68">
        <v>2</v>
      </c>
      <c r="J2947" s="67">
        <f>H2947*I2947</f>
        <v>100</v>
      </c>
      <c r="K2947" s="46">
        <v>0.84</v>
      </c>
      <c r="L2947" s="46">
        <f>K2947*J2947</f>
        <v>84</v>
      </c>
      <c r="M2947" s="162" t="s">
        <v>2219</v>
      </c>
      <c r="N2947" s="39">
        <v>45369</v>
      </c>
      <c r="O2947" s="38">
        <v>5984</v>
      </c>
      <c r="P2947" s="46">
        <f>K2947*(VLOOKUP(B2947,$C$2:$F$6,3,FALSE))</f>
        <v>0.73919999999999997</v>
      </c>
      <c r="Q2947" s="482">
        <v>0.74</v>
      </c>
      <c r="R2947" s="704">
        <f>Q2947*J2947</f>
        <v>74</v>
      </c>
      <c r="S2947" s="489">
        <v>58</v>
      </c>
      <c r="T2947" s="113">
        <f>S2947*J2947</f>
        <v>5800</v>
      </c>
      <c r="U2947" s="1603"/>
      <c r="V2947" s="494">
        <v>120</v>
      </c>
      <c r="W2947" s="2041">
        <f t="shared" si="193"/>
        <v>0.42460317460317459</v>
      </c>
    </row>
    <row r="2948" spans="2:23" ht="15.75">
      <c r="B2948" s="28" t="s">
        <v>1856</v>
      </c>
      <c r="C2948" s="6" t="s">
        <v>6754</v>
      </c>
      <c r="D2948" s="15" t="s">
        <v>5483</v>
      </c>
      <c r="E2948" s="24">
        <v>3846</v>
      </c>
      <c r="F2948" s="29">
        <v>10</v>
      </c>
      <c r="G2948" s="24" t="s">
        <v>6756</v>
      </c>
      <c r="H2948" s="67">
        <v>50</v>
      </c>
      <c r="I2948" s="68">
        <v>1</v>
      </c>
      <c r="J2948" s="67">
        <f>H2948*I2948</f>
        <v>50</v>
      </c>
      <c r="K2948" s="46">
        <v>0.84</v>
      </c>
      <c r="L2948" s="46">
        <f>K2948*J2948</f>
        <v>42</v>
      </c>
      <c r="M2948" s="162" t="s">
        <v>2219</v>
      </c>
      <c r="N2948" s="39">
        <v>45369</v>
      </c>
      <c r="O2948" s="38">
        <v>5984</v>
      </c>
      <c r="P2948" s="46">
        <f>K2948*(VLOOKUP(B2948,$C$2:$F$6,3,FALSE))</f>
        <v>0.73919999999999997</v>
      </c>
      <c r="Q2948" s="482">
        <v>0.74</v>
      </c>
      <c r="R2948" s="704">
        <f>Q2948*J2948</f>
        <v>37</v>
      </c>
      <c r="S2948" s="489">
        <v>58</v>
      </c>
      <c r="T2948" s="113">
        <f>S2948*J2948</f>
        <v>2900</v>
      </c>
      <c r="U2948" s="1603"/>
      <c r="V2948" s="494">
        <v>120</v>
      </c>
      <c r="W2948" s="2041">
        <f t="shared" si="193"/>
        <v>0.42460317460317459</v>
      </c>
    </row>
    <row r="2949" spans="2:23" ht="15.75">
      <c r="B2949" s="28" t="s">
        <v>1856</v>
      </c>
      <c r="C2949" s="6" t="s">
        <v>6754</v>
      </c>
      <c r="D2949" s="15" t="s">
        <v>5483</v>
      </c>
      <c r="E2949" s="24">
        <v>3846</v>
      </c>
      <c r="F2949" s="29">
        <v>10</v>
      </c>
      <c r="G2949" s="24" t="s">
        <v>6757</v>
      </c>
      <c r="H2949" s="67">
        <v>50</v>
      </c>
      <c r="I2949" s="68">
        <v>3</v>
      </c>
      <c r="J2949" s="67">
        <f>H2949*I2949</f>
        <v>150</v>
      </c>
      <c r="K2949" s="46">
        <v>0.84</v>
      </c>
      <c r="L2949" s="46">
        <f>K2949*J2949</f>
        <v>126</v>
      </c>
      <c r="M2949" s="162" t="s">
        <v>2219</v>
      </c>
      <c r="N2949" s="39">
        <v>45369</v>
      </c>
      <c r="O2949" s="38">
        <v>5984</v>
      </c>
      <c r="P2949" s="46">
        <f>K2949*(VLOOKUP(B2949,$C$2:$F$6,3,FALSE))</f>
        <v>0.73919999999999997</v>
      </c>
      <c r="Q2949" s="482">
        <v>0.74</v>
      </c>
      <c r="R2949" s="704">
        <f>Q2949*J2949</f>
        <v>111</v>
      </c>
      <c r="S2949" s="489">
        <v>58</v>
      </c>
      <c r="T2949" s="113">
        <f>S2949*J2949</f>
        <v>8700</v>
      </c>
      <c r="U2949" s="1603"/>
      <c r="V2949" s="494">
        <v>120</v>
      </c>
      <c r="W2949" s="2041">
        <f t="shared" si="193"/>
        <v>0.42460317460317459</v>
      </c>
    </row>
    <row r="2950" spans="2:23" ht="15">
      <c r="B2950" s="12" t="s">
        <v>1862</v>
      </c>
      <c r="C2950" s="6" t="s">
        <v>6754</v>
      </c>
      <c r="D2950" s="15" t="s">
        <v>5470</v>
      </c>
      <c r="E2950" s="24"/>
      <c r="F2950" s="138"/>
      <c r="G2950" s="44" t="s">
        <v>1993</v>
      </c>
      <c r="H2950" s="8"/>
      <c r="I2950" s="41"/>
      <c r="J2950" s="45">
        <v>1</v>
      </c>
      <c r="K2950" s="46">
        <v>12</v>
      </c>
      <c r="L2950" s="46">
        <f>K2950*J2950</f>
        <v>12</v>
      </c>
      <c r="M2950" s="112"/>
      <c r="N2950" s="39">
        <v>45369</v>
      </c>
      <c r="O2950" s="38">
        <v>5984</v>
      </c>
      <c r="P2950" s="46">
        <f>K2950*(VLOOKUP(B2950,$C$2:$F$6,3,FALSE))</f>
        <v>12</v>
      </c>
      <c r="Q2950" s="483">
        <v>12</v>
      </c>
      <c r="R2950" s="704">
        <v>12</v>
      </c>
      <c r="S2950" s="489">
        <v>1100</v>
      </c>
      <c r="T2950" s="113">
        <f>S2950*J2950</f>
        <v>1100</v>
      </c>
      <c r="U2950" s="511"/>
      <c r="V2950" s="494">
        <v>120</v>
      </c>
      <c r="W2950" s="2041">
        <f t="shared" si="193"/>
        <v>0.2361111111111111</v>
      </c>
    </row>
    <row r="2951" spans="2:23" s="314" customFormat="1" ht="15">
      <c r="B2951" s="313"/>
      <c r="C2951" s="302" t="s">
        <v>6754</v>
      </c>
      <c r="D2951" s="303" t="s">
        <v>5470</v>
      </c>
      <c r="E2951" s="304"/>
      <c r="F2951" s="305"/>
      <c r="G2951" s="305" t="s">
        <v>1227</v>
      </c>
      <c r="H2951" s="307" t="s">
        <v>1243</v>
      </c>
      <c r="I2951" s="308"/>
      <c r="J2951" s="306"/>
      <c r="K2951" s="329">
        <v>33</v>
      </c>
      <c r="L2951" s="329">
        <v>33</v>
      </c>
      <c r="M2951" s="310"/>
      <c r="N2951" s="310">
        <v>45369</v>
      </c>
      <c r="O2951" s="309">
        <v>5984</v>
      </c>
      <c r="P2951" s="302"/>
      <c r="Q2951" s="329">
        <v>33</v>
      </c>
      <c r="R2951" s="329">
        <f>$K$2951</f>
        <v>33</v>
      </c>
      <c r="S2951" s="113">
        <v>3929</v>
      </c>
      <c r="T2951" s="113">
        <v>3929</v>
      </c>
      <c r="U2951" s="515"/>
      <c r="V2951" s="494">
        <v>120</v>
      </c>
      <c r="W2951" s="2041">
        <f t="shared" si="193"/>
        <v>7.8282828282828284E-3</v>
      </c>
    </row>
    <row r="2952" spans="2:23" s="7" customFormat="1" ht="15" customHeight="1">
      <c r="B2952" s="12"/>
      <c r="C2952" s="6" t="s">
        <v>6783</v>
      </c>
      <c r="D2952" s="15" t="s">
        <v>958</v>
      </c>
      <c r="E2952" s="2013" t="s">
        <v>5978</v>
      </c>
      <c r="F2952" s="26"/>
      <c r="G2952" s="24"/>
      <c r="H2952" s="67"/>
      <c r="I2952" s="68"/>
      <c r="J2952" s="67"/>
      <c r="K2952" s="17" t="s">
        <v>134</v>
      </c>
      <c r="L2952" s="39"/>
      <c r="M2952" s="39"/>
      <c r="N2952" s="39">
        <v>45400</v>
      </c>
      <c r="O2952" s="38">
        <v>6000</v>
      </c>
      <c r="P2952" s="179" t="s">
        <v>23</v>
      </c>
      <c r="Q2952" s="438" t="s">
        <v>959</v>
      </c>
      <c r="R2952" s="704"/>
      <c r="S2952" s="489"/>
      <c r="T2952" s="113"/>
      <c r="U2952" s="510"/>
      <c r="V2952" s="494">
        <v>120</v>
      </c>
      <c r="W2952" s="2041" t="e">
        <f t="shared" si="193"/>
        <v>#VALUE!</v>
      </c>
    </row>
    <row r="2953" spans="2:23" s="7" customFormat="1" ht="18" customHeight="1">
      <c r="B2953" s="12" t="s">
        <v>1856</v>
      </c>
      <c r="C2953" s="6" t="s">
        <v>6783</v>
      </c>
      <c r="D2953" s="15" t="s">
        <v>958</v>
      </c>
      <c r="E2953" s="24" t="s">
        <v>5973</v>
      </c>
      <c r="F2953" s="246">
        <v>10</v>
      </c>
      <c r="G2953" s="24" t="s">
        <v>6147</v>
      </c>
      <c r="H2953" s="151">
        <v>100</v>
      </c>
      <c r="I2953" s="152">
        <v>4</v>
      </c>
      <c r="J2953" s="8">
        <f>H2953*I2953</f>
        <v>400</v>
      </c>
      <c r="K2953" s="46">
        <v>1.01</v>
      </c>
      <c r="L2953" s="46">
        <f>K2953*J2953</f>
        <v>404</v>
      </c>
      <c r="M2953" s="162" t="s">
        <v>2219</v>
      </c>
      <c r="N2953" s="39">
        <v>45400</v>
      </c>
      <c r="O2953" s="38">
        <v>6000</v>
      </c>
      <c r="P2953" s="180">
        <v>0.72</v>
      </c>
      <c r="Q2953" s="180">
        <v>0.72</v>
      </c>
      <c r="R2953" s="704">
        <f>Q2953*J2953</f>
        <v>288</v>
      </c>
      <c r="S2953" s="489">
        <v>44</v>
      </c>
      <c r="T2953" s="113">
        <f>S2953*J2953</f>
        <v>17600</v>
      </c>
      <c r="U2953" s="867"/>
      <c r="V2953" s="494">
        <v>120</v>
      </c>
      <c r="W2953" s="2041">
        <f t="shared" si="193"/>
        <v>0.63696369636963701</v>
      </c>
    </row>
    <row r="2954" spans="2:23" ht="15.95" customHeight="1">
      <c r="C2954" s="6" t="s">
        <v>6783</v>
      </c>
      <c r="D2954" s="15" t="s">
        <v>958</v>
      </c>
      <c r="E2954" s="24"/>
      <c r="F2954" s="138"/>
      <c r="G2954" s="44" t="s">
        <v>6148</v>
      </c>
      <c r="H2954" s="8"/>
      <c r="I2954" s="41"/>
      <c r="J2954" s="45">
        <v>1</v>
      </c>
      <c r="K2954" s="46">
        <v>190</v>
      </c>
      <c r="L2954" s="46">
        <v>190</v>
      </c>
      <c r="M2954" s="112"/>
      <c r="N2954" s="39">
        <v>45400</v>
      </c>
      <c r="O2954" s="38">
        <v>6000</v>
      </c>
      <c r="P2954" s="179"/>
      <c r="Q2954" s="180">
        <v>190</v>
      </c>
      <c r="R2954" s="704">
        <f>Q2954*J2954</f>
        <v>190</v>
      </c>
      <c r="S2954" s="498">
        <v>18000</v>
      </c>
      <c r="T2954" s="568">
        <f>S2954*J2954</f>
        <v>18000</v>
      </c>
      <c r="U2954" s="511"/>
      <c r="V2954" s="494">
        <v>120</v>
      </c>
      <c r="W2954" s="2041">
        <f t="shared" si="193"/>
        <v>0.21052631578947367</v>
      </c>
    </row>
    <row r="2955" spans="2:23" s="314" customFormat="1" ht="15" customHeight="1">
      <c r="B2955" s="313"/>
      <c r="C2955" s="302" t="s">
        <v>6783</v>
      </c>
      <c r="D2955" s="303" t="s">
        <v>958</v>
      </c>
      <c r="E2955" s="304"/>
      <c r="F2955" s="305"/>
      <c r="G2955" s="305" t="s">
        <v>1227</v>
      </c>
      <c r="H2955" s="307" t="s">
        <v>1442</v>
      </c>
      <c r="I2955" s="308"/>
      <c r="J2955" s="410">
        <v>400</v>
      </c>
      <c r="K2955" s="315">
        <f>0.19*J2955</f>
        <v>76</v>
      </c>
      <c r="L2955" s="315"/>
      <c r="M2955" s="784"/>
      <c r="N2955" s="310">
        <v>45400</v>
      </c>
      <c r="O2955" s="309">
        <v>6000</v>
      </c>
      <c r="P2955" s="302"/>
      <c r="Q2955" s="315">
        <v>76</v>
      </c>
      <c r="R2955" s="315">
        <v>76</v>
      </c>
      <c r="S2955" s="928">
        <v>5092</v>
      </c>
      <c r="T2955" s="928">
        <v>5092</v>
      </c>
      <c r="U2955" s="1084"/>
      <c r="V2955" s="494">
        <v>120</v>
      </c>
      <c r="W2955" s="2041">
        <f t="shared" si="193"/>
        <v>0.44166666666666665</v>
      </c>
    </row>
    <row r="2956" spans="2:23" ht="15">
      <c r="C2956" s="6" t="s">
        <v>6760</v>
      </c>
      <c r="D2956" s="15" t="s">
        <v>11</v>
      </c>
      <c r="E2956" s="20" t="s">
        <v>79</v>
      </c>
      <c r="F2956" s="150"/>
      <c r="G2956" s="24"/>
      <c r="H2956" s="151"/>
      <c r="I2956" s="152"/>
      <c r="J2956" s="151"/>
      <c r="K2956" s="153" t="s">
        <v>10</v>
      </c>
      <c r="L2956" s="39"/>
      <c r="M2956" s="39"/>
      <c r="N2956" s="39">
        <v>45373</v>
      </c>
      <c r="O2956" s="38">
        <v>5992</v>
      </c>
      <c r="P2956" s="15"/>
      <c r="Q2956" s="483"/>
      <c r="S2956" s="2208" t="s">
        <v>6773</v>
      </c>
      <c r="T2956" s="113"/>
      <c r="V2956" s="494">
        <v>120</v>
      </c>
      <c r="W2956" s="2041" t="e">
        <f t="shared" si="193"/>
        <v>#VALUE!</v>
      </c>
    </row>
    <row r="2957" spans="2:23" ht="15.75">
      <c r="B2957" s="12" t="s">
        <v>1858</v>
      </c>
      <c r="C2957" s="6" t="s">
        <v>6760</v>
      </c>
      <c r="D2957" s="15" t="s">
        <v>11</v>
      </c>
      <c r="E2957" s="24">
        <v>2440</v>
      </c>
      <c r="F2957" s="150">
        <v>140</v>
      </c>
      <c r="G2957" s="24" t="s">
        <v>30</v>
      </c>
      <c r="H2957" s="67">
        <v>58</v>
      </c>
      <c r="I2957" s="68">
        <v>7</v>
      </c>
      <c r="J2957" s="67">
        <f t="shared" ref="J2957:J2970" si="194">H2957*I2957</f>
        <v>406</v>
      </c>
      <c r="K2957" s="46">
        <v>3.89</v>
      </c>
      <c r="L2957" s="46">
        <f t="shared" ref="L2957:L2970" si="195">K2957*J2957</f>
        <v>1579.3400000000001</v>
      </c>
      <c r="M2957" s="162" t="s">
        <v>2219</v>
      </c>
      <c r="N2957" s="39">
        <v>45373</v>
      </c>
      <c r="O2957" s="38">
        <v>5992</v>
      </c>
      <c r="P2957" s="46">
        <f t="shared" ref="P2957:P2970" si="196">K2957*(VLOOKUP(B2957,$C$2:$F$6,3,FALSE))</f>
        <v>3.6566000000000001</v>
      </c>
      <c r="Q2957" s="483">
        <v>3.66</v>
      </c>
      <c r="R2957" s="704">
        <f t="shared" ref="R2957:R2971" si="197">Q2957*J2957</f>
        <v>1485.96</v>
      </c>
      <c r="S2957" s="489">
        <f t="shared" ref="S2957:S2970" si="198">300+30</f>
        <v>330</v>
      </c>
      <c r="T2957" s="567">
        <f t="shared" ref="T2957:T2971" si="199">S2957*J2957</f>
        <v>133980</v>
      </c>
      <c r="V2957" s="494">
        <v>120</v>
      </c>
      <c r="W2957" s="2041">
        <f t="shared" si="193"/>
        <v>0.29305912596401029</v>
      </c>
    </row>
    <row r="2958" spans="2:23" ht="15.75">
      <c r="B2958" s="12" t="s">
        <v>1858</v>
      </c>
      <c r="C2958" s="6" t="s">
        <v>6760</v>
      </c>
      <c r="D2958" s="15" t="s">
        <v>11</v>
      </c>
      <c r="E2958" s="24">
        <v>2440</v>
      </c>
      <c r="F2958" s="150">
        <v>140</v>
      </c>
      <c r="G2958" s="24" t="s">
        <v>6761</v>
      </c>
      <c r="H2958" s="67">
        <v>58</v>
      </c>
      <c r="I2958" s="68">
        <v>1</v>
      </c>
      <c r="J2958" s="67">
        <f t="shared" si="194"/>
        <v>58</v>
      </c>
      <c r="K2958" s="46">
        <v>3.89</v>
      </c>
      <c r="L2958" s="46">
        <f t="shared" si="195"/>
        <v>225.62</v>
      </c>
      <c r="M2958" s="162" t="s">
        <v>2219</v>
      </c>
      <c r="N2958" s="39">
        <v>45373</v>
      </c>
      <c r="O2958" s="38">
        <v>5992</v>
      </c>
      <c r="P2958" s="46">
        <f t="shared" si="196"/>
        <v>3.6566000000000001</v>
      </c>
      <c r="Q2958" s="483">
        <v>3.66</v>
      </c>
      <c r="R2958" s="704">
        <f t="shared" si="197"/>
        <v>212.28</v>
      </c>
      <c r="S2958" s="489">
        <f t="shared" si="198"/>
        <v>330</v>
      </c>
      <c r="T2958" s="567">
        <f t="shared" si="199"/>
        <v>19140</v>
      </c>
      <c r="V2958" s="494">
        <v>120</v>
      </c>
      <c r="W2958" s="2041">
        <f t="shared" si="193"/>
        <v>0.29305912596401029</v>
      </c>
    </row>
    <row r="2959" spans="2:23" ht="15.75">
      <c r="B2959" s="12" t="s">
        <v>1858</v>
      </c>
      <c r="C2959" s="6" t="s">
        <v>6760</v>
      </c>
      <c r="D2959" s="15" t="s">
        <v>11</v>
      </c>
      <c r="E2959" s="24">
        <v>2440</v>
      </c>
      <c r="F2959" s="150">
        <v>140</v>
      </c>
      <c r="G2959" s="24" t="s">
        <v>6762</v>
      </c>
      <c r="H2959" s="67">
        <v>58</v>
      </c>
      <c r="I2959" s="68">
        <v>2</v>
      </c>
      <c r="J2959" s="67">
        <f t="shared" si="194"/>
        <v>116</v>
      </c>
      <c r="K2959" s="46">
        <v>3.89</v>
      </c>
      <c r="L2959" s="46">
        <f t="shared" si="195"/>
        <v>451.24</v>
      </c>
      <c r="M2959" s="162" t="s">
        <v>2219</v>
      </c>
      <c r="N2959" s="39">
        <v>45373</v>
      </c>
      <c r="O2959" s="38">
        <v>5992</v>
      </c>
      <c r="P2959" s="46">
        <f t="shared" si="196"/>
        <v>3.6566000000000001</v>
      </c>
      <c r="Q2959" s="483">
        <v>3.66</v>
      </c>
      <c r="R2959" s="704">
        <f t="shared" si="197"/>
        <v>424.56</v>
      </c>
      <c r="S2959" s="489">
        <f t="shared" si="198"/>
        <v>330</v>
      </c>
      <c r="T2959" s="567">
        <f t="shared" si="199"/>
        <v>38280</v>
      </c>
      <c r="V2959" s="494">
        <v>120</v>
      </c>
      <c r="W2959" s="2041">
        <f t="shared" si="193"/>
        <v>0.29305912596401029</v>
      </c>
    </row>
    <row r="2960" spans="2:23" ht="15.75">
      <c r="B2960" s="12" t="s">
        <v>1858</v>
      </c>
      <c r="C2960" s="6" t="s">
        <v>6760</v>
      </c>
      <c r="D2960" s="15" t="s">
        <v>11</v>
      </c>
      <c r="E2960" s="24">
        <v>2440</v>
      </c>
      <c r="F2960" s="150">
        <v>140</v>
      </c>
      <c r="G2960" s="24" t="s">
        <v>6763</v>
      </c>
      <c r="H2960" s="67">
        <v>58</v>
      </c>
      <c r="I2960" s="68">
        <v>8</v>
      </c>
      <c r="J2960" s="67">
        <f t="shared" si="194"/>
        <v>464</v>
      </c>
      <c r="K2960" s="46">
        <v>3.89</v>
      </c>
      <c r="L2960" s="46">
        <f t="shared" si="195"/>
        <v>1804.96</v>
      </c>
      <c r="M2960" s="162" t="s">
        <v>2219</v>
      </c>
      <c r="N2960" s="39">
        <v>45373</v>
      </c>
      <c r="O2960" s="38">
        <v>5992</v>
      </c>
      <c r="P2960" s="46">
        <f t="shared" si="196"/>
        <v>3.6566000000000001</v>
      </c>
      <c r="Q2960" s="483">
        <v>3.66</v>
      </c>
      <c r="R2960" s="704">
        <f t="shared" si="197"/>
        <v>1698.24</v>
      </c>
      <c r="S2960" s="489">
        <f t="shared" si="198"/>
        <v>330</v>
      </c>
      <c r="T2960" s="567">
        <f t="shared" si="199"/>
        <v>153120</v>
      </c>
      <c r="V2960" s="494">
        <v>120</v>
      </c>
      <c r="W2960" s="2041">
        <f t="shared" si="193"/>
        <v>0.29305912596401029</v>
      </c>
    </row>
    <row r="2961" spans="1:23" ht="15.75">
      <c r="B2961" s="12" t="s">
        <v>1858</v>
      </c>
      <c r="C2961" s="6" t="s">
        <v>6760</v>
      </c>
      <c r="D2961" s="15" t="s">
        <v>11</v>
      </c>
      <c r="E2961" s="24">
        <v>2440</v>
      </c>
      <c r="F2961" s="150">
        <v>140</v>
      </c>
      <c r="G2961" s="24" t="s">
        <v>6764</v>
      </c>
      <c r="H2961" s="67">
        <v>58</v>
      </c>
      <c r="I2961" s="68">
        <v>1</v>
      </c>
      <c r="J2961" s="67">
        <f t="shared" si="194"/>
        <v>58</v>
      </c>
      <c r="K2961" s="46">
        <v>3.89</v>
      </c>
      <c r="L2961" s="46">
        <f t="shared" si="195"/>
        <v>225.62</v>
      </c>
      <c r="M2961" s="162" t="s">
        <v>2219</v>
      </c>
      <c r="N2961" s="39">
        <v>45373</v>
      </c>
      <c r="O2961" s="38">
        <v>5992</v>
      </c>
      <c r="P2961" s="46">
        <f t="shared" si="196"/>
        <v>3.6566000000000001</v>
      </c>
      <c r="Q2961" s="483">
        <v>3.66</v>
      </c>
      <c r="R2961" s="704">
        <f t="shared" si="197"/>
        <v>212.28</v>
      </c>
      <c r="S2961" s="489">
        <f t="shared" si="198"/>
        <v>330</v>
      </c>
      <c r="T2961" s="567">
        <f t="shared" si="199"/>
        <v>19140</v>
      </c>
      <c r="V2961" s="494">
        <v>120</v>
      </c>
      <c r="W2961" s="2041">
        <f t="shared" si="193"/>
        <v>0.29305912596401029</v>
      </c>
    </row>
    <row r="2962" spans="1:23" ht="15.75">
      <c r="B2962" s="12" t="s">
        <v>1858</v>
      </c>
      <c r="C2962" s="6" t="s">
        <v>6760</v>
      </c>
      <c r="D2962" s="15" t="s">
        <v>11</v>
      </c>
      <c r="E2962" s="24">
        <v>2440</v>
      </c>
      <c r="F2962" s="150">
        <v>140</v>
      </c>
      <c r="G2962" s="24" t="s">
        <v>6765</v>
      </c>
      <c r="H2962" s="67">
        <v>58</v>
      </c>
      <c r="I2962" s="68">
        <v>2</v>
      </c>
      <c r="J2962" s="67">
        <f t="shared" si="194"/>
        <v>116</v>
      </c>
      <c r="K2962" s="46">
        <v>3.89</v>
      </c>
      <c r="L2962" s="46">
        <f t="shared" si="195"/>
        <v>451.24</v>
      </c>
      <c r="M2962" s="162" t="s">
        <v>2219</v>
      </c>
      <c r="N2962" s="39">
        <v>45373</v>
      </c>
      <c r="O2962" s="38">
        <v>5992</v>
      </c>
      <c r="P2962" s="46">
        <f t="shared" si="196"/>
        <v>3.6566000000000001</v>
      </c>
      <c r="Q2962" s="483">
        <v>3.66</v>
      </c>
      <c r="R2962" s="704">
        <f t="shared" si="197"/>
        <v>424.56</v>
      </c>
      <c r="S2962" s="489">
        <f t="shared" si="198"/>
        <v>330</v>
      </c>
      <c r="T2962" s="567">
        <f t="shared" si="199"/>
        <v>38280</v>
      </c>
      <c r="V2962" s="494">
        <v>120</v>
      </c>
      <c r="W2962" s="2041">
        <f t="shared" si="193"/>
        <v>0.29305912596401029</v>
      </c>
    </row>
    <row r="2963" spans="1:23" ht="15.75">
      <c r="B2963" s="12" t="s">
        <v>1858</v>
      </c>
      <c r="C2963" s="6" t="s">
        <v>6760</v>
      </c>
      <c r="D2963" s="15" t="s">
        <v>11</v>
      </c>
      <c r="E2963" s="24">
        <v>2440</v>
      </c>
      <c r="F2963" s="150">
        <v>140</v>
      </c>
      <c r="G2963" s="24" t="s">
        <v>1299</v>
      </c>
      <c r="H2963" s="67">
        <v>61</v>
      </c>
      <c r="I2963" s="68">
        <v>1</v>
      </c>
      <c r="J2963" s="67">
        <f t="shared" si="194"/>
        <v>61</v>
      </c>
      <c r="K2963" s="46">
        <v>3.89</v>
      </c>
      <c r="L2963" s="46">
        <f t="shared" si="195"/>
        <v>237.29000000000002</v>
      </c>
      <c r="M2963" s="162" t="s">
        <v>2219</v>
      </c>
      <c r="N2963" s="39">
        <v>45373</v>
      </c>
      <c r="O2963" s="38">
        <v>5992</v>
      </c>
      <c r="P2963" s="46">
        <f t="shared" si="196"/>
        <v>3.6566000000000001</v>
      </c>
      <c r="Q2963" s="483">
        <v>3.66</v>
      </c>
      <c r="R2963" s="704">
        <f t="shared" si="197"/>
        <v>223.26000000000002</v>
      </c>
      <c r="S2963" s="489">
        <f t="shared" si="198"/>
        <v>330</v>
      </c>
      <c r="T2963" s="567">
        <f t="shared" si="199"/>
        <v>20130</v>
      </c>
      <c r="V2963" s="494">
        <v>120</v>
      </c>
      <c r="W2963" s="2041">
        <f t="shared" si="193"/>
        <v>0.29305912596401029</v>
      </c>
    </row>
    <row r="2964" spans="1:23" ht="15.75">
      <c r="B2964" s="12" t="s">
        <v>1858</v>
      </c>
      <c r="C2964" s="6" t="s">
        <v>6760</v>
      </c>
      <c r="D2964" s="15" t="s">
        <v>11</v>
      </c>
      <c r="E2964" s="24">
        <v>2440</v>
      </c>
      <c r="F2964" s="150">
        <v>140</v>
      </c>
      <c r="G2964" s="24" t="s">
        <v>6766</v>
      </c>
      <c r="H2964" s="67">
        <v>58</v>
      </c>
      <c r="I2964" s="68">
        <v>3</v>
      </c>
      <c r="J2964" s="67">
        <f t="shared" si="194"/>
        <v>174</v>
      </c>
      <c r="K2964" s="46">
        <v>3.89</v>
      </c>
      <c r="L2964" s="46">
        <f t="shared" si="195"/>
        <v>676.86</v>
      </c>
      <c r="M2964" s="162" t="s">
        <v>2219</v>
      </c>
      <c r="N2964" s="39">
        <v>45373</v>
      </c>
      <c r="O2964" s="38">
        <v>5992</v>
      </c>
      <c r="P2964" s="46">
        <f t="shared" si="196"/>
        <v>3.6566000000000001</v>
      </c>
      <c r="Q2964" s="483">
        <v>3.66</v>
      </c>
      <c r="R2964" s="704">
        <f t="shared" si="197"/>
        <v>636.84</v>
      </c>
      <c r="S2964" s="489">
        <f t="shared" si="198"/>
        <v>330</v>
      </c>
      <c r="T2964" s="567">
        <f t="shared" si="199"/>
        <v>57420</v>
      </c>
      <c r="V2964" s="494">
        <v>120</v>
      </c>
      <c r="W2964" s="2041">
        <f t="shared" si="193"/>
        <v>0.29305912596401029</v>
      </c>
    </row>
    <row r="2965" spans="1:23" ht="15.75">
      <c r="B2965" s="12" t="s">
        <v>1858</v>
      </c>
      <c r="C2965" s="6" t="s">
        <v>6760</v>
      </c>
      <c r="D2965" s="15" t="s">
        <v>11</v>
      </c>
      <c r="E2965" s="24">
        <v>2440</v>
      </c>
      <c r="F2965" s="150">
        <v>140</v>
      </c>
      <c r="G2965" s="24" t="s">
        <v>6767</v>
      </c>
      <c r="H2965" s="67">
        <v>58</v>
      </c>
      <c r="I2965" s="68">
        <v>3</v>
      </c>
      <c r="J2965" s="67">
        <f t="shared" si="194"/>
        <v>174</v>
      </c>
      <c r="K2965" s="46">
        <v>3.89</v>
      </c>
      <c r="L2965" s="46">
        <f t="shared" si="195"/>
        <v>676.86</v>
      </c>
      <c r="M2965" s="162" t="s">
        <v>2219</v>
      </c>
      <c r="N2965" s="39">
        <v>45373</v>
      </c>
      <c r="O2965" s="38">
        <v>5992</v>
      </c>
      <c r="P2965" s="46">
        <f t="shared" si="196"/>
        <v>3.6566000000000001</v>
      </c>
      <c r="Q2965" s="483">
        <v>3.66</v>
      </c>
      <c r="R2965" s="704">
        <f t="shared" si="197"/>
        <v>636.84</v>
      </c>
      <c r="S2965" s="489">
        <f t="shared" si="198"/>
        <v>330</v>
      </c>
      <c r="T2965" s="567">
        <f t="shared" si="199"/>
        <v>57420</v>
      </c>
      <c r="V2965" s="494">
        <v>120</v>
      </c>
      <c r="W2965" s="2041">
        <f t="shared" si="193"/>
        <v>0.29305912596401029</v>
      </c>
    </row>
    <row r="2966" spans="1:23" ht="15.75">
      <c r="B2966" s="12" t="s">
        <v>1858</v>
      </c>
      <c r="C2966" s="6" t="s">
        <v>6760</v>
      </c>
      <c r="D2966" s="15" t="s">
        <v>11</v>
      </c>
      <c r="E2966" s="24">
        <v>2440</v>
      </c>
      <c r="F2966" s="150">
        <v>140</v>
      </c>
      <c r="G2966" s="24" t="s">
        <v>6768</v>
      </c>
      <c r="H2966" s="67">
        <v>58</v>
      </c>
      <c r="I2966" s="68">
        <v>1</v>
      </c>
      <c r="J2966" s="67">
        <f t="shared" si="194"/>
        <v>58</v>
      </c>
      <c r="K2966" s="46">
        <v>3.89</v>
      </c>
      <c r="L2966" s="46">
        <f t="shared" si="195"/>
        <v>225.62</v>
      </c>
      <c r="M2966" s="162" t="s">
        <v>2219</v>
      </c>
      <c r="N2966" s="39">
        <v>45373</v>
      </c>
      <c r="O2966" s="38">
        <v>5992</v>
      </c>
      <c r="P2966" s="46">
        <f t="shared" si="196"/>
        <v>3.6566000000000001</v>
      </c>
      <c r="Q2966" s="483">
        <v>3.66</v>
      </c>
      <c r="R2966" s="704">
        <f t="shared" si="197"/>
        <v>212.28</v>
      </c>
      <c r="S2966" s="489">
        <f t="shared" si="198"/>
        <v>330</v>
      </c>
      <c r="T2966" s="567">
        <f t="shared" si="199"/>
        <v>19140</v>
      </c>
      <c r="V2966" s="494">
        <v>120</v>
      </c>
      <c r="W2966" s="2041">
        <f t="shared" si="193"/>
        <v>0.29305912596401029</v>
      </c>
    </row>
    <row r="2967" spans="1:23" ht="15.75">
      <c r="B2967" s="12" t="s">
        <v>1858</v>
      </c>
      <c r="C2967" s="6" t="s">
        <v>6760</v>
      </c>
      <c r="D2967" s="15" t="s">
        <v>11</v>
      </c>
      <c r="E2967" s="24">
        <v>2440</v>
      </c>
      <c r="F2967" s="150">
        <v>140</v>
      </c>
      <c r="G2967" s="24" t="s">
        <v>6769</v>
      </c>
      <c r="H2967" s="67">
        <v>58</v>
      </c>
      <c r="I2967" s="68">
        <v>7</v>
      </c>
      <c r="J2967" s="67">
        <f t="shared" si="194"/>
        <v>406</v>
      </c>
      <c r="K2967" s="46">
        <v>3.89</v>
      </c>
      <c r="L2967" s="46">
        <f t="shared" si="195"/>
        <v>1579.3400000000001</v>
      </c>
      <c r="M2967" s="162" t="s">
        <v>2219</v>
      </c>
      <c r="N2967" s="39">
        <v>45373</v>
      </c>
      <c r="O2967" s="38">
        <v>5992</v>
      </c>
      <c r="P2967" s="46">
        <f t="shared" si="196"/>
        <v>3.6566000000000001</v>
      </c>
      <c r="Q2967" s="483">
        <v>3.66</v>
      </c>
      <c r="R2967" s="704">
        <f t="shared" si="197"/>
        <v>1485.96</v>
      </c>
      <c r="S2967" s="489">
        <f t="shared" si="198"/>
        <v>330</v>
      </c>
      <c r="T2967" s="567">
        <f t="shared" si="199"/>
        <v>133980</v>
      </c>
      <c r="V2967" s="494">
        <v>120</v>
      </c>
      <c r="W2967" s="2041">
        <f t="shared" si="193"/>
        <v>0.29305912596401029</v>
      </c>
    </row>
    <row r="2968" spans="1:23" ht="15.75">
      <c r="B2968" s="12" t="s">
        <v>1858</v>
      </c>
      <c r="C2968" s="6" t="s">
        <v>6760</v>
      </c>
      <c r="D2968" s="15" t="s">
        <v>11</v>
      </c>
      <c r="E2968" s="24">
        <v>2440</v>
      </c>
      <c r="F2968" s="150">
        <v>140</v>
      </c>
      <c r="G2968" s="24" t="s">
        <v>6770</v>
      </c>
      <c r="H2968" s="67">
        <v>58</v>
      </c>
      <c r="I2968" s="68">
        <v>1</v>
      </c>
      <c r="J2968" s="67">
        <f t="shared" si="194"/>
        <v>58</v>
      </c>
      <c r="K2968" s="46">
        <v>3.89</v>
      </c>
      <c r="L2968" s="46">
        <f t="shared" si="195"/>
        <v>225.62</v>
      </c>
      <c r="M2968" s="162" t="s">
        <v>2219</v>
      </c>
      <c r="N2968" s="39">
        <v>45373</v>
      </c>
      <c r="O2968" s="38">
        <v>5992</v>
      </c>
      <c r="P2968" s="46">
        <f t="shared" si="196"/>
        <v>3.6566000000000001</v>
      </c>
      <c r="Q2968" s="483">
        <v>3.66</v>
      </c>
      <c r="R2968" s="704">
        <f t="shared" si="197"/>
        <v>212.28</v>
      </c>
      <c r="S2968" s="489">
        <f t="shared" si="198"/>
        <v>330</v>
      </c>
      <c r="T2968" s="567">
        <f t="shared" si="199"/>
        <v>19140</v>
      </c>
      <c r="V2968" s="494">
        <v>120</v>
      </c>
      <c r="W2968" s="2041">
        <f t="shared" si="193"/>
        <v>0.29305912596401029</v>
      </c>
    </row>
    <row r="2969" spans="1:23" ht="15.75">
      <c r="B2969" s="12" t="s">
        <v>1858</v>
      </c>
      <c r="C2969" s="6" t="s">
        <v>6760</v>
      </c>
      <c r="D2969" s="15" t="s">
        <v>11</v>
      </c>
      <c r="E2969" s="24">
        <v>2440</v>
      </c>
      <c r="F2969" s="150">
        <v>140</v>
      </c>
      <c r="G2969" s="24" t="s">
        <v>6771</v>
      </c>
      <c r="H2969" s="67">
        <v>58</v>
      </c>
      <c r="I2969" s="68">
        <v>4</v>
      </c>
      <c r="J2969" s="67">
        <f t="shared" si="194"/>
        <v>232</v>
      </c>
      <c r="K2969" s="46">
        <v>3.89</v>
      </c>
      <c r="L2969" s="46">
        <f t="shared" si="195"/>
        <v>902.48</v>
      </c>
      <c r="M2969" s="162" t="s">
        <v>2219</v>
      </c>
      <c r="N2969" s="39">
        <v>45373</v>
      </c>
      <c r="O2969" s="38">
        <v>5992</v>
      </c>
      <c r="P2969" s="46">
        <f t="shared" si="196"/>
        <v>3.6566000000000001</v>
      </c>
      <c r="Q2969" s="483">
        <v>3.66</v>
      </c>
      <c r="R2969" s="704">
        <f t="shared" si="197"/>
        <v>849.12</v>
      </c>
      <c r="S2969" s="489">
        <f t="shared" si="198"/>
        <v>330</v>
      </c>
      <c r="T2969" s="567">
        <f t="shared" si="199"/>
        <v>76560</v>
      </c>
      <c r="V2969" s="494">
        <v>120</v>
      </c>
      <c r="W2969" s="2041">
        <f t="shared" si="193"/>
        <v>0.29305912596401029</v>
      </c>
    </row>
    <row r="2970" spans="1:23" ht="15.75">
      <c r="B2970" s="12" t="s">
        <v>1858</v>
      </c>
      <c r="C2970" s="6" t="s">
        <v>6760</v>
      </c>
      <c r="D2970" s="15" t="s">
        <v>11</v>
      </c>
      <c r="E2970" s="24">
        <v>2440</v>
      </c>
      <c r="F2970" s="150">
        <v>140</v>
      </c>
      <c r="G2970" s="24" t="s">
        <v>6772</v>
      </c>
      <c r="H2970" s="67">
        <v>58</v>
      </c>
      <c r="I2970" s="68">
        <v>2</v>
      </c>
      <c r="J2970" s="67">
        <f t="shared" si="194"/>
        <v>116</v>
      </c>
      <c r="K2970" s="46">
        <v>3.89</v>
      </c>
      <c r="L2970" s="46">
        <f t="shared" si="195"/>
        <v>451.24</v>
      </c>
      <c r="M2970" s="162" t="s">
        <v>2219</v>
      </c>
      <c r="N2970" s="39">
        <v>45373</v>
      </c>
      <c r="O2970" s="38">
        <v>5992</v>
      </c>
      <c r="P2970" s="46">
        <f t="shared" si="196"/>
        <v>3.6566000000000001</v>
      </c>
      <c r="Q2970" s="483">
        <v>3.66</v>
      </c>
      <c r="R2970" s="704">
        <f t="shared" si="197"/>
        <v>424.56</v>
      </c>
      <c r="S2970" s="489">
        <f t="shared" si="198"/>
        <v>330</v>
      </c>
      <c r="T2970" s="567">
        <f t="shared" si="199"/>
        <v>38280</v>
      </c>
      <c r="V2970" s="494">
        <v>120</v>
      </c>
      <c r="W2970" s="2041">
        <f t="shared" si="193"/>
        <v>0.29305912596401029</v>
      </c>
    </row>
    <row r="2971" spans="1:23" ht="15">
      <c r="C2971" s="6" t="s">
        <v>6760</v>
      </c>
      <c r="D2971" s="15" t="s">
        <v>11</v>
      </c>
      <c r="E2971" s="24"/>
      <c r="F2971" s="160"/>
      <c r="G2971" s="228" t="s">
        <v>481</v>
      </c>
      <c r="H2971" s="214"/>
      <c r="I2971" s="215"/>
      <c r="J2971" s="43">
        <v>1</v>
      </c>
      <c r="K2971" s="229">
        <v>20</v>
      </c>
      <c r="L2971" s="417" t="s">
        <v>1676</v>
      </c>
      <c r="M2971" s="417"/>
      <c r="N2971" s="39">
        <v>45373</v>
      </c>
      <c r="O2971" s="38">
        <v>5992</v>
      </c>
      <c r="P2971" s="216"/>
      <c r="Q2971" s="525">
        <v>0</v>
      </c>
      <c r="R2971" s="704">
        <f t="shared" si="197"/>
        <v>0</v>
      </c>
      <c r="S2971" s="532">
        <v>0</v>
      </c>
      <c r="T2971" s="113">
        <f t="shared" si="199"/>
        <v>0</v>
      </c>
      <c r="V2971" s="494">
        <v>120</v>
      </c>
      <c r="W2971" s="2041">
        <f t="shared" si="193"/>
        <v>1</v>
      </c>
    </row>
    <row r="2972" spans="1:23" s="314" customFormat="1" ht="15">
      <c r="B2972" s="313"/>
      <c r="C2972" s="302" t="s">
        <v>6760</v>
      </c>
      <c r="D2972" s="303" t="s">
        <v>11</v>
      </c>
      <c r="E2972" s="304"/>
      <c r="F2972" s="305"/>
      <c r="G2972" s="305" t="s">
        <v>1227</v>
      </c>
      <c r="H2972" s="307" t="s">
        <v>1228</v>
      </c>
      <c r="I2972" s="308"/>
      <c r="J2972" s="306"/>
      <c r="K2972" s="315">
        <v>0</v>
      </c>
      <c r="L2972" s="310"/>
      <c r="M2972" s="310"/>
      <c r="N2972" s="310">
        <v>45373</v>
      </c>
      <c r="O2972" s="309">
        <v>5992</v>
      </c>
      <c r="P2972" s="302"/>
      <c r="Q2972" s="485">
        <v>0</v>
      </c>
      <c r="S2972" s="535">
        <v>0</v>
      </c>
      <c r="T2972" s="322">
        <v>0</v>
      </c>
      <c r="U2972" s="515"/>
      <c r="V2972" s="494">
        <v>120</v>
      </c>
      <c r="W2972" s="2041" t="e">
        <f t="shared" si="193"/>
        <v>#DIV/0!</v>
      </c>
    </row>
    <row r="2973" spans="1:23" s="222" customFormat="1" ht="18" customHeight="1">
      <c r="A2973" s="1048"/>
      <c r="B2973" s="232"/>
      <c r="C2973" s="220" t="s">
        <v>6774</v>
      </c>
      <c r="D2973" s="224" t="s">
        <v>6775</v>
      </c>
      <c r="E2973" s="991" t="s">
        <v>2801</v>
      </c>
      <c r="F2973" s="177"/>
      <c r="G2973" s="187"/>
      <c r="H2973" s="223"/>
      <c r="I2973" s="223"/>
      <c r="J2973" s="223"/>
      <c r="K2973" s="1022" t="s">
        <v>10</v>
      </c>
      <c r="L2973" s="994"/>
      <c r="M2973" s="994"/>
      <c r="N2973" s="786" t="s">
        <v>96</v>
      </c>
      <c r="O2973" s="786" t="s">
        <v>96</v>
      </c>
      <c r="P2973" s="220"/>
      <c r="Q2973" s="1023"/>
      <c r="S2973" s="493"/>
      <c r="T2973" s="566"/>
      <c r="U2973" s="2227"/>
      <c r="V2973" s="495">
        <v>120</v>
      </c>
    </row>
    <row r="2974" spans="1:23" s="222" customFormat="1" ht="15.95" customHeight="1">
      <c r="A2974" s="1048"/>
      <c r="B2974" s="232" t="s">
        <v>1856</v>
      </c>
      <c r="C2974" s="220" t="s">
        <v>6774</v>
      </c>
      <c r="D2974" s="224" t="s">
        <v>6775</v>
      </c>
      <c r="E2974" s="2228" t="s">
        <v>6776</v>
      </c>
      <c r="F2974" s="187"/>
      <c r="G2974" s="187" t="s">
        <v>78</v>
      </c>
      <c r="H2974" s="226"/>
      <c r="I2974" s="227"/>
      <c r="J2974" s="221">
        <v>4</v>
      </c>
      <c r="K2974" s="2229">
        <v>0.35</v>
      </c>
      <c r="L2974" s="201">
        <f>K2974*J2974</f>
        <v>1.4</v>
      </c>
      <c r="M2974" s="1000" t="s">
        <v>2219</v>
      </c>
      <c r="N2974" s="786" t="s">
        <v>96</v>
      </c>
      <c r="O2974" s="786" t="s">
        <v>96</v>
      </c>
      <c r="P2974" s="2230">
        <f>K2974*(VLOOKUP(B2974,$C$2:$F$6,3,FALSE))</f>
        <v>0.308</v>
      </c>
      <c r="Q2974" s="484">
        <v>0.31</v>
      </c>
      <c r="R2974" s="2231">
        <f>Q2974*J2974</f>
        <v>1.24</v>
      </c>
      <c r="S2974" s="493">
        <v>21</v>
      </c>
      <c r="T2974" s="566">
        <f>S2974*J2974</f>
        <v>84</v>
      </c>
      <c r="U2974" s="2232"/>
      <c r="V2974" s="495">
        <v>120</v>
      </c>
      <c r="W2974" s="2233">
        <f t="shared" ref="W2974:W3010" si="200">(((K2974*V2974)-S2974)/(K2974*V2974))</f>
        <v>0.5</v>
      </c>
    </row>
    <row r="2975" spans="1:23" s="222" customFormat="1" ht="15.95" customHeight="1">
      <c r="A2975" s="1048"/>
      <c r="B2975" s="232" t="s">
        <v>1856</v>
      </c>
      <c r="C2975" s="220" t="s">
        <v>6774</v>
      </c>
      <c r="D2975" s="224" t="s">
        <v>6775</v>
      </c>
      <c r="E2975" s="2228" t="s">
        <v>6777</v>
      </c>
      <c r="F2975" s="187"/>
      <c r="G2975" s="187" t="s">
        <v>78</v>
      </c>
      <c r="H2975" s="226"/>
      <c r="I2975" s="227"/>
      <c r="J2975" s="221">
        <v>4</v>
      </c>
      <c r="K2975" s="2229">
        <v>0.64</v>
      </c>
      <c r="L2975" s="201">
        <f>K2975*J2975</f>
        <v>2.56</v>
      </c>
      <c r="M2975" s="1000" t="s">
        <v>2219</v>
      </c>
      <c r="N2975" s="786" t="s">
        <v>96</v>
      </c>
      <c r="O2975" s="786" t="s">
        <v>96</v>
      </c>
      <c r="P2975" s="2230">
        <f>K2975*(VLOOKUP(B2975,$C$2:$F$6,3,FALSE))</f>
        <v>0.56320000000000003</v>
      </c>
      <c r="Q2975" s="484">
        <v>0.56000000000000005</v>
      </c>
      <c r="R2975" s="2231">
        <f>Q2975*J2975</f>
        <v>2.2400000000000002</v>
      </c>
      <c r="S2975" s="493">
        <v>38</v>
      </c>
      <c r="T2975" s="566">
        <f>S2975*J2975</f>
        <v>152</v>
      </c>
      <c r="U2975" s="2232"/>
      <c r="V2975" s="495">
        <v>120</v>
      </c>
      <c r="W2975" s="2233">
        <f t="shared" si="200"/>
        <v>0.50520833333333337</v>
      </c>
    </row>
    <row r="2976" spans="1:23" s="222" customFormat="1" ht="15.95" customHeight="1">
      <c r="A2976" s="1048"/>
      <c r="B2976" s="232" t="s">
        <v>1856</v>
      </c>
      <c r="C2976" s="220" t="s">
        <v>6774</v>
      </c>
      <c r="D2976" s="224" t="s">
        <v>6775</v>
      </c>
      <c r="E2976" s="2228" t="s">
        <v>6778</v>
      </c>
      <c r="F2976" s="187"/>
      <c r="G2976" s="187" t="s">
        <v>78</v>
      </c>
      <c r="H2976" s="226"/>
      <c r="I2976" s="227"/>
      <c r="J2976" s="221">
        <v>4</v>
      </c>
      <c r="K2976" s="2229">
        <v>0.52</v>
      </c>
      <c r="L2976" s="201">
        <f>K2976*J2976</f>
        <v>2.08</v>
      </c>
      <c r="M2976" s="1000" t="s">
        <v>2219</v>
      </c>
      <c r="N2976" s="786" t="s">
        <v>96</v>
      </c>
      <c r="O2976" s="786" t="s">
        <v>96</v>
      </c>
      <c r="P2976" s="2230">
        <f>K2976*(VLOOKUP(B2976,$C$2:$F$6,3,FALSE))</f>
        <v>0.45760000000000001</v>
      </c>
      <c r="Q2976" s="484">
        <v>0.46</v>
      </c>
      <c r="R2976" s="2231">
        <f>Q2976*J2976</f>
        <v>1.84</v>
      </c>
      <c r="S2976" s="493">
        <v>31</v>
      </c>
      <c r="T2976" s="566">
        <f>S2976*J2976</f>
        <v>124</v>
      </c>
      <c r="U2976" s="2232"/>
      <c r="V2976" s="495">
        <v>120</v>
      </c>
      <c r="W2976" s="2233">
        <f t="shared" si="200"/>
        <v>0.5032051282051283</v>
      </c>
    </row>
    <row r="2977" spans="1:23" s="222" customFormat="1" ht="15.95" customHeight="1">
      <c r="A2977" s="1048"/>
      <c r="B2977" s="232" t="s">
        <v>1856</v>
      </c>
      <c r="C2977" s="220" t="s">
        <v>6774</v>
      </c>
      <c r="D2977" s="224" t="s">
        <v>6775</v>
      </c>
      <c r="E2977" s="2228" t="s">
        <v>826</v>
      </c>
      <c r="F2977" s="187"/>
      <c r="G2977" s="187" t="s">
        <v>78</v>
      </c>
      <c r="H2977" s="226"/>
      <c r="I2977" s="227"/>
      <c r="J2977" s="221">
        <v>4</v>
      </c>
      <c r="K2977" s="2229">
        <v>0.49</v>
      </c>
      <c r="L2977" s="201">
        <f>K2977*J2977</f>
        <v>1.96</v>
      </c>
      <c r="M2977" s="1000" t="s">
        <v>2219</v>
      </c>
      <c r="N2977" s="786" t="s">
        <v>96</v>
      </c>
      <c r="O2977" s="786" t="s">
        <v>96</v>
      </c>
      <c r="P2977" s="2230">
        <f>K2977*(VLOOKUP(B2977,$C$2:$F$6,3,FALSE))</f>
        <v>0.43119999999999997</v>
      </c>
      <c r="Q2977" s="484">
        <v>0.43</v>
      </c>
      <c r="R2977" s="2231">
        <f>Q2977*J2977</f>
        <v>1.72</v>
      </c>
      <c r="S2977" s="493">
        <v>29</v>
      </c>
      <c r="T2977" s="566">
        <f>S2977*J2977</f>
        <v>116</v>
      </c>
      <c r="U2977" s="2232"/>
      <c r="V2977" s="495">
        <v>120</v>
      </c>
      <c r="W2977" s="2233">
        <f t="shared" si="200"/>
        <v>0.50680272108843538</v>
      </c>
    </row>
    <row r="2978" spans="1:23" s="1048" customFormat="1" ht="15">
      <c r="B2978" s="232" t="s">
        <v>1862</v>
      </c>
      <c r="C2978" s="220" t="s">
        <v>6774</v>
      </c>
      <c r="D2978" s="224" t="s">
        <v>6775</v>
      </c>
      <c r="E2978" s="177"/>
      <c r="F2978" s="2234"/>
      <c r="G2978" s="187" t="s">
        <v>1993</v>
      </c>
      <c r="H2978" s="226"/>
      <c r="I2978" s="227"/>
      <c r="J2978" s="1043">
        <v>1</v>
      </c>
      <c r="K2978" s="201">
        <v>12</v>
      </c>
      <c r="L2978" s="201">
        <f>K2978*J2978</f>
        <v>12</v>
      </c>
      <c r="M2978" s="2235"/>
      <c r="N2978" s="786" t="s">
        <v>96</v>
      </c>
      <c r="O2978" s="786" t="s">
        <v>96</v>
      </c>
      <c r="P2978" s="201">
        <f>K2978*(VLOOKUP(B2978,$C$2:$F$6,3,FALSE))</f>
        <v>12</v>
      </c>
      <c r="Q2978" s="484">
        <v>12</v>
      </c>
      <c r="R2978" s="2231">
        <v>12</v>
      </c>
      <c r="S2978" s="2236">
        <v>900</v>
      </c>
      <c r="T2978" s="2237">
        <f>S2978*J2978</f>
        <v>900</v>
      </c>
      <c r="U2978" s="2238"/>
      <c r="V2978" s="495">
        <v>120</v>
      </c>
      <c r="W2978" s="2233">
        <f t="shared" si="200"/>
        <v>0.375</v>
      </c>
    </row>
    <row r="2979" spans="1:23" s="1048" customFormat="1" ht="15">
      <c r="B2979" s="1042"/>
      <c r="C2979" s="220" t="s">
        <v>6774</v>
      </c>
      <c r="D2979" s="224" t="s">
        <v>6775</v>
      </c>
      <c r="E2979" s="225"/>
      <c r="F2979" s="187"/>
      <c r="G2979" s="187" t="s">
        <v>1227</v>
      </c>
      <c r="H2979" s="1043" t="s">
        <v>3438</v>
      </c>
      <c r="I2979" s="231"/>
      <c r="J2979" s="223"/>
      <c r="K2979" s="2239" t="s">
        <v>6779</v>
      </c>
      <c r="L2979" s="2239" t="s">
        <v>6779</v>
      </c>
      <c r="M2979" s="994"/>
      <c r="N2979" s="786" t="s">
        <v>96</v>
      </c>
      <c r="O2979" s="786" t="s">
        <v>96</v>
      </c>
      <c r="P2979" s="220"/>
      <c r="Q2979" s="2239" t="s">
        <v>6779</v>
      </c>
      <c r="R2979" s="2239" t="s">
        <v>6779</v>
      </c>
      <c r="S2979" s="2239" t="s">
        <v>6779</v>
      </c>
      <c r="T2979" s="2239" t="s">
        <v>6779</v>
      </c>
      <c r="U2979" s="1047"/>
      <c r="V2979" s="495">
        <v>120</v>
      </c>
      <c r="W2979" s="2233" t="e">
        <f t="shared" si="200"/>
        <v>#VALUE!</v>
      </c>
    </row>
    <row r="2980" spans="1:23" s="7" customFormat="1" ht="18" customHeight="1">
      <c r="B2980" s="12"/>
      <c r="C2980" s="6" t="s">
        <v>6780</v>
      </c>
      <c r="D2980" s="15" t="s">
        <v>6552</v>
      </c>
      <c r="E2980" s="20" t="s">
        <v>79</v>
      </c>
      <c r="F2980" s="150"/>
      <c r="G2980" s="24"/>
      <c r="H2980" s="151"/>
      <c r="I2980" s="152"/>
      <c r="J2980" s="151"/>
      <c r="K2980" s="34" t="s">
        <v>10</v>
      </c>
      <c r="L2980" s="39"/>
      <c r="M2980" s="39"/>
      <c r="N2980" s="39">
        <v>45372</v>
      </c>
      <c r="O2980" s="38">
        <v>5994</v>
      </c>
      <c r="P2980" s="15"/>
      <c r="Q2980" s="483"/>
      <c r="S2980" s="489"/>
      <c r="T2980" s="113"/>
      <c r="U2980" s="506"/>
      <c r="V2980" s="494">
        <v>120</v>
      </c>
      <c r="W2980" s="2041" t="e">
        <f t="shared" si="200"/>
        <v>#VALUE!</v>
      </c>
    </row>
    <row r="2981" spans="1:23" s="7" customFormat="1" ht="15" customHeight="1">
      <c r="B2981" s="12" t="s">
        <v>1858</v>
      </c>
      <c r="C2981" s="6" t="s">
        <v>6780</v>
      </c>
      <c r="D2981" s="15" t="s">
        <v>6552</v>
      </c>
      <c r="E2981" s="24">
        <v>2440</v>
      </c>
      <c r="F2981" s="150">
        <v>140</v>
      </c>
      <c r="G2981" s="24" t="s">
        <v>6781</v>
      </c>
      <c r="H2981" s="8"/>
      <c r="I2981" s="41"/>
      <c r="J2981" s="8">
        <v>40</v>
      </c>
      <c r="K2981" s="46">
        <v>4.38</v>
      </c>
      <c r="L2981" s="46">
        <f>K2981*J2981</f>
        <v>175.2</v>
      </c>
      <c r="M2981" s="162" t="s">
        <v>2219</v>
      </c>
      <c r="N2981" s="39">
        <v>45372</v>
      </c>
      <c r="O2981" s="38">
        <v>5994</v>
      </c>
      <c r="P2981" s="46">
        <f>K2981*(VLOOKUP(B2981,$C$2:$F$6,3,FALSE))</f>
        <v>4.1171999999999995</v>
      </c>
      <c r="Q2981" s="703">
        <v>4.12</v>
      </c>
      <c r="R2981" s="704">
        <f>Q2981*J2981</f>
        <v>164.8</v>
      </c>
      <c r="S2981" s="7">
        <v>300</v>
      </c>
      <c r="T2981" s="567">
        <f>S2981*J2981</f>
        <v>12000</v>
      </c>
      <c r="U2981" s="882"/>
      <c r="V2981" s="494">
        <v>120</v>
      </c>
      <c r="W2981" s="2041">
        <f t="shared" si="200"/>
        <v>0.42922374429223747</v>
      </c>
    </row>
    <row r="2982" spans="1:23" s="7" customFormat="1" ht="15" customHeight="1">
      <c r="B2982" s="12" t="s">
        <v>1858</v>
      </c>
      <c r="C2982" s="6" t="s">
        <v>6780</v>
      </c>
      <c r="D2982" s="15" t="s">
        <v>6552</v>
      </c>
      <c r="E2982" s="24">
        <v>2440</v>
      </c>
      <c r="F2982" s="150">
        <v>140</v>
      </c>
      <c r="G2982" s="24" t="s">
        <v>6782</v>
      </c>
      <c r="H2982" s="8"/>
      <c r="I2982" s="41"/>
      <c r="J2982" s="8">
        <v>40</v>
      </c>
      <c r="K2982" s="46">
        <v>4.38</v>
      </c>
      <c r="L2982" s="46">
        <f>K2982*J2982</f>
        <v>175.2</v>
      </c>
      <c r="M2982" s="162" t="s">
        <v>2219</v>
      </c>
      <c r="N2982" s="39">
        <v>45372</v>
      </c>
      <c r="O2982" s="38">
        <v>5994</v>
      </c>
      <c r="P2982" s="46">
        <f>K2982*(VLOOKUP(B2982,$C$2:$F$6,3,FALSE))</f>
        <v>4.1171999999999995</v>
      </c>
      <c r="Q2982" s="703">
        <v>4.12</v>
      </c>
      <c r="R2982" s="704">
        <f>Q2982*J2982</f>
        <v>164.8</v>
      </c>
      <c r="S2982" s="7">
        <v>300</v>
      </c>
      <c r="T2982" s="567">
        <f>S2982*J2982</f>
        <v>12000</v>
      </c>
      <c r="U2982" s="882"/>
      <c r="V2982" s="494">
        <v>120</v>
      </c>
      <c r="W2982" s="2041">
        <f t="shared" si="200"/>
        <v>0.42922374429223747</v>
      </c>
    </row>
    <row r="2983" spans="1:23" s="7" customFormat="1" ht="15.95" customHeight="1">
      <c r="B2983" s="12"/>
      <c r="C2983" s="6" t="s">
        <v>6780</v>
      </c>
      <c r="D2983" s="15" t="s">
        <v>6552</v>
      </c>
      <c r="E2983" s="24"/>
      <c r="F2983" s="138"/>
      <c r="G2983" s="44" t="s">
        <v>75</v>
      </c>
      <c r="H2983" s="8"/>
      <c r="I2983" s="41"/>
      <c r="J2983" s="45">
        <v>2</v>
      </c>
      <c r="K2983" s="46">
        <v>12</v>
      </c>
      <c r="L2983" s="46">
        <f>K2983*J2983</f>
        <v>24</v>
      </c>
      <c r="M2983" s="39"/>
      <c r="N2983" s="39">
        <v>45372</v>
      </c>
      <c r="O2983" s="38">
        <v>5994</v>
      </c>
      <c r="P2983" s="6"/>
      <c r="Q2983" s="483">
        <v>12</v>
      </c>
      <c r="R2983" s="704">
        <f>Q2983*J2983</f>
        <v>24</v>
      </c>
      <c r="S2983" s="489">
        <v>1000</v>
      </c>
      <c r="T2983" s="113">
        <f>S2983*J2983</f>
        <v>2000</v>
      </c>
      <c r="U2983" s="501"/>
      <c r="V2983" s="494">
        <v>120</v>
      </c>
      <c r="W2983" s="2041">
        <f t="shared" si="200"/>
        <v>0.30555555555555558</v>
      </c>
    </row>
    <row r="2984" spans="1:23" s="7" customFormat="1" ht="18" customHeight="1">
      <c r="B2984" s="12"/>
      <c r="C2984" s="6" t="s">
        <v>6780</v>
      </c>
      <c r="D2984" s="15" t="s">
        <v>6552</v>
      </c>
      <c r="E2984" s="238"/>
      <c r="F2984" s="44"/>
      <c r="G2984" s="24" t="s">
        <v>2975</v>
      </c>
      <c r="H2984" s="8"/>
      <c r="I2984" s="152" ph="1"/>
      <c r="J2984" s="45">
        <v>1</v>
      </c>
      <c r="K2984" s="46">
        <v>20</v>
      </c>
      <c r="L2984" s="46">
        <f>K2984*J2984</f>
        <v>20</v>
      </c>
      <c r="M2984" s="112"/>
      <c r="N2984" s="39">
        <v>45372</v>
      </c>
      <c r="O2984" s="38">
        <v>5994</v>
      </c>
      <c r="P2984" s="6"/>
      <c r="Q2984" s="703">
        <v>20</v>
      </c>
      <c r="R2984" s="703">
        <f>Q2984*J2984</f>
        <v>20</v>
      </c>
      <c r="S2984" s="7">
        <v>1000</v>
      </c>
      <c r="T2984" s="7">
        <v>1000</v>
      </c>
      <c r="U2984" s="23"/>
      <c r="V2984" s="494">
        <v>120</v>
      </c>
      <c r="W2984" s="2041">
        <f t="shared" si="200"/>
        <v>0.58333333333333337</v>
      </c>
    </row>
    <row r="2985" spans="1:23" s="314" customFormat="1" ht="15">
      <c r="B2985" s="313"/>
      <c r="C2985" s="302" t="s">
        <v>6780</v>
      </c>
      <c r="D2985" s="303" t="s">
        <v>6552</v>
      </c>
      <c r="E2985" s="304"/>
      <c r="F2985" s="305"/>
      <c r="G2985" s="305" t="s">
        <v>1227</v>
      </c>
      <c r="H2985" s="307" t="s">
        <v>1228</v>
      </c>
      <c r="I2985" s="308"/>
      <c r="J2985" s="306"/>
      <c r="K2985" s="315">
        <v>0</v>
      </c>
      <c r="L2985" s="310"/>
      <c r="M2985" s="310"/>
      <c r="N2985" s="310">
        <v>45372</v>
      </c>
      <c r="O2985" s="309">
        <v>5994</v>
      </c>
      <c r="P2985" s="302"/>
      <c r="Q2985" s="485">
        <v>0</v>
      </c>
      <c r="S2985" s="536">
        <v>0</v>
      </c>
      <c r="T2985" s="322">
        <v>0</v>
      </c>
      <c r="U2985" s="515"/>
      <c r="V2985" s="494">
        <v>120</v>
      </c>
      <c r="W2985" s="2041" t="e">
        <f t="shared" si="200"/>
        <v>#DIV/0!</v>
      </c>
    </row>
    <row r="2986" spans="1:23" ht="18" customHeight="1">
      <c r="C2986" s="6" t="s">
        <v>6805</v>
      </c>
      <c r="D2986" s="15" t="s">
        <v>6806</v>
      </c>
      <c r="E2986" s="20" t="s">
        <v>260</v>
      </c>
      <c r="F2986" s="44"/>
      <c r="G2986" s="44"/>
      <c r="H2986" s="151"/>
      <c r="I2986" s="151"/>
      <c r="J2986" s="151"/>
      <c r="K2986" s="34" t="s">
        <v>134</v>
      </c>
      <c r="L2986" s="39"/>
      <c r="M2986" s="39"/>
      <c r="N2986" s="39">
        <v>45378</v>
      </c>
      <c r="O2986" s="38">
        <v>6003</v>
      </c>
      <c r="P2986" s="6"/>
      <c r="Q2986" s="524"/>
      <c r="S2986" s="1995"/>
      <c r="T2986" s="113"/>
      <c r="U2986" s="501"/>
      <c r="V2986" s="494">
        <v>120</v>
      </c>
      <c r="W2986" s="2041" t="e">
        <f t="shared" si="200"/>
        <v>#VALUE!</v>
      </c>
    </row>
    <row r="2987" spans="1:23" ht="18" customHeight="1">
      <c r="B2987" s="28" t="s">
        <v>1856</v>
      </c>
      <c r="C2987" s="6" t="s">
        <v>6805</v>
      </c>
      <c r="D2987" s="15" t="s">
        <v>6806</v>
      </c>
      <c r="E2987" s="24">
        <v>4141</v>
      </c>
      <c r="F2987" s="44">
        <v>6</v>
      </c>
      <c r="G2987" s="24" t="s">
        <v>6807</v>
      </c>
      <c r="H2987" s="67">
        <v>20</v>
      </c>
      <c r="I2987" s="68">
        <v>25</v>
      </c>
      <c r="J2987" s="67">
        <f>H2987*I2987</f>
        <v>500</v>
      </c>
      <c r="K2987" s="46">
        <v>1.47</v>
      </c>
      <c r="L2987" s="46">
        <f>K2987*J2987</f>
        <v>735</v>
      </c>
      <c r="M2987" s="162" t="s">
        <v>2219</v>
      </c>
      <c r="N2987" s="39">
        <v>45378</v>
      </c>
      <c r="O2987" s="38">
        <v>6003</v>
      </c>
      <c r="P2987" s="46">
        <f>K2987*(VLOOKUP(B2987,$C$2:$F$6,3,FALSE))</f>
        <v>1.2936000000000001</v>
      </c>
      <c r="Q2987" s="482">
        <v>1.29</v>
      </c>
      <c r="R2987" s="704">
        <f>Q2987*J2987</f>
        <v>645</v>
      </c>
      <c r="S2987" s="489">
        <v>87</v>
      </c>
      <c r="T2987" s="113">
        <f>S2987*J2987</f>
        <v>43500</v>
      </c>
      <c r="U2987" s="699"/>
      <c r="V2987" s="494">
        <v>120</v>
      </c>
      <c r="W2987" s="2041">
        <f t="shared" si="200"/>
        <v>0.50680272108843538</v>
      </c>
    </row>
    <row r="2988" spans="1:23" ht="18" customHeight="1">
      <c r="B2988" s="28" t="s">
        <v>1856</v>
      </c>
      <c r="C2988" s="6" t="s">
        <v>6805</v>
      </c>
      <c r="D2988" s="15" t="s">
        <v>6806</v>
      </c>
      <c r="E2988" s="24">
        <v>4141</v>
      </c>
      <c r="F2988" s="44">
        <v>6</v>
      </c>
      <c r="G2988" s="24" t="s">
        <v>3096</v>
      </c>
      <c r="H2988" s="67">
        <v>20</v>
      </c>
      <c r="I2988" s="68">
        <v>30</v>
      </c>
      <c r="J2988" s="67">
        <f>H2988*I2988</f>
        <v>600</v>
      </c>
      <c r="K2988" s="46">
        <v>1.47</v>
      </c>
      <c r="L2988" s="46">
        <f>K2988*J2988</f>
        <v>882</v>
      </c>
      <c r="M2988" s="162" t="s">
        <v>2219</v>
      </c>
      <c r="N2988" s="39">
        <v>45378</v>
      </c>
      <c r="O2988" s="38">
        <v>6003</v>
      </c>
      <c r="P2988" s="46">
        <f>K2988*(VLOOKUP(B2988,$C$2:$F$6,3,FALSE))</f>
        <v>1.2936000000000001</v>
      </c>
      <c r="Q2988" s="482">
        <v>1.29</v>
      </c>
      <c r="R2988" s="704">
        <f>Q2988*J2988</f>
        <v>774</v>
      </c>
      <c r="S2988" s="489">
        <v>87</v>
      </c>
      <c r="T2988" s="113">
        <f>S2988*J2988</f>
        <v>52200</v>
      </c>
      <c r="U2988" s="699"/>
      <c r="V2988" s="494">
        <v>120</v>
      </c>
      <c r="W2988" s="2041">
        <f t="shared" si="200"/>
        <v>0.50680272108843538</v>
      </c>
    </row>
    <row r="2989" spans="1:23" s="7" customFormat="1" ht="18" customHeight="1">
      <c r="B2989" s="12"/>
      <c r="C2989" s="6" t="s">
        <v>6805</v>
      </c>
      <c r="D2989" s="15" t="s">
        <v>6806</v>
      </c>
      <c r="E2989" s="238"/>
      <c r="F2989" s="44"/>
      <c r="G2989" s="24" t="s">
        <v>2975</v>
      </c>
      <c r="H2989" s="8"/>
      <c r="I2989" s="152" ph="1"/>
      <c r="J2989" s="45">
        <v>1</v>
      </c>
      <c r="K2989" s="46">
        <v>12</v>
      </c>
      <c r="L2989" s="46">
        <f>K2989*J2989</f>
        <v>12</v>
      </c>
      <c r="M2989" s="112"/>
      <c r="N2989" s="39">
        <v>45378</v>
      </c>
      <c r="O2989" s="38">
        <v>6003</v>
      </c>
      <c r="P2989" s="6"/>
      <c r="Q2989" s="703">
        <v>12</v>
      </c>
      <c r="R2989" s="703">
        <f>Q2989*J2989</f>
        <v>12</v>
      </c>
      <c r="S2989" s="7">
        <v>0</v>
      </c>
      <c r="T2989" s="113">
        <f>S2989*J2989</f>
        <v>0</v>
      </c>
      <c r="U2989" s="23"/>
      <c r="V2989" s="494">
        <v>120</v>
      </c>
      <c r="W2989" s="2041">
        <f t="shared" si="200"/>
        <v>1</v>
      </c>
    </row>
    <row r="2990" spans="1:23" s="314" customFormat="1" ht="15">
      <c r="B2990" s="313"/>
      <c r="C2990" s="302" t="s">
        <v>6805</v>
      </c>
      <c r="D2990" s="303" t="s">
        <v>6806</v>
      </c>
      <c r="E2990" s="304"/>
      <c r="F2990" s="305"/>
      <c r="G2990" s="305" t="s">
        <v>1227</v>
      </c>
      <c r="H2990" s="307" t="s">
        <v>1228</v>
      </c>
      <c r="I2990" s="308"/>
      <c r="J2990" s="306"/>
      <c r="K2990" s="315">
        <v>0</v>
      </c>
      <c r="L2990" s="310"/>
      <c r="M2990" s="310"/>
      <c r="N2990" s="310">
        <v>45378</v>
      </c>
      <c r="O2990" s="309">
        <v>6003</v>
      </c>
      <c r="P2990" s="302"/>
      <c r="Q2990" s="485">
        <v>0</v>
      </c>
      <c r="S2990" s="536">
        <v>0</v>
      </c>
      <c r="T2990" s="322">
        <v>0</v>
      </c>
      <c r="U2990" s="515"/>
      <c r="V2990" s="494">
        <v>120</v>
      </c>
      <c r="W2990" s="2041" t="e">
        <f t="shared" si="200"/>
        <v>#DIV/0!</v>
      </c>
    </row>
    <row r="2991" spans="1:23" s="7" customFormat="1" ht="15">
      <c r="B2991" s="12"/>
      <c r="C2991" s="6" t="s">
        <v>6816</v>
      </c>
      <c r="D2991" s="15" t="s">
        <v>6623</v>
      </c>
      <c r="E2991" s="20" t="s">
        <v>408</v>
      </c>
      <c r="F2991" s="44"/>
      <c r="G2991" s="44"/>
      <c r="H2991" s="151"/>
      <c r="I2991" s="151"/>
      <c r="J2991" s="151"/>
      <c r="K2991" s="17" t="s">
        <v>134</v>
      </c>
      <c r="L2991" s="39"/>
      <c r="M2991" s="39"/>
      <c r="N2991" s="39">
        <v>45393</v>
      </c>
      <c r="O2991" s="38">
        <v>6017</v>
      </c>
      <c r="P2991" s="6"/>
      <c r="Q2991" s="524"/>
      <c r="S2991" s="489"/>
      <c r="T2991" s="113"/>
      <c r="U2991" s="501"/>
      <c r="V2991" s="494">
        <v>120</v>
      </c>
      <c r="W2991" s="2041" t="e">
        <f t="shared" si="200"/>
        <v>#VALUE!</v>
      </c>
    </row>
    <row r="2992" spans="1:23" s="7" customFormat="1" ht="15" customHeight="1">
      <c r="B2992" s="12" t="s">
        <v>1856</v>
      </c>
      <c r="C2992" s="6" t="s">
        <v>6816</v>
      </c>
      <c r="D2992" s="15" t="s">
        <v>6623</v>
      </c>
      <c r="E2992" s="24" t="s">
        <v>5772</v>
      </c>
      <c r="F2992" s="26"/>
      <c r="G2992" s="24" t="s">
        <v>17</v>
      </c>
      <c r="H2992" s="67">
        <v>50</v>
      </c>
      <c r="I2992" s="68">
        <v>120</v>
      </c>
      <c r="J2992" s="8">
        <f>H2992*I2992</f>
        <v>6000</v>
      </c>
      <c r="K2992" s="46">
        <v>0.26</v>
      </c>
      <c r="L2992" s="46">
        <f>K2992*J2992</f>
        <v>1560</v>
      </c>
      <c r="M2992" s="162" t="s">
        <v>2219</v>
      </c>
      <c r="N2992" s="39">
        <v>45393</v>
      </c>
      <c r="O2992" s="38">
        <v>6017</v>
      </c>
      <c r="P2992" s="46">
        <f>K2992*(VLOOKUP(B2992,$C$2:$F$6,3,FALSE))</f>
        <v>0.2288</v>
      </c>
      <c r="Q2992" s="482">
        <v>0.23</v>
      </c>
      <c r="R2992" s="704">
        <f>Q2992*J2992</f>
        <v>1380</v>
      </c>
      <c r="S2992" s="489">
        <v>15.1</v>
      </c>
      <c r="T2992" s="113">
        <f>S2992*J2992</f>
        <v>90600</v>
      </c>
      <c r="U2992" s="1603"/>
      <c r="V2992" s="494">
        <v>120</v>
      </c>
      <c r="W2992" s="2041">
        <f t="shared" si="200"/>
        <v>0.51602564102564097</v>
      </c>
    </row>
    <row r="2993" spans="2:23" s="7" customFormat="1" ht="15.95" customHeight="1">
      <c r="B2993" s="12"/>
      <c r="C2993" s="6" t="s">
        <v>6816</v>
      </c>
      <c r="D2993" s="15" t="s">
        <v>6623</v>
      </c>
      <c r="E2993" s="24"/>
      <c r="F2993" s="138"/>
      <c r="G2993" s="44" t="s">
        <v>1993</v>
      </c>
      <c r="H2993" s="8"/>
      <c r="I2993" s="41"/>
      <c r="J2993" s="45">
        <v>1</v>
      </c>
      <c r="K2993" s="46">
        <v>12</v>
      </c>
      <c r="L2993" s="46">
        <f>K2993*J2993</f>
        <v>12</v>
      </c>
      <c r="M2993" s="39"/>
      <c r="N2993" s="39">
        <v>45393</v>
      </c>
      <c r="O2993" s="38">
        <v>6017</v>
      </c>
      <c r="P2993" s="6"/>
      <c r="Q2993" s="483">
        <v>12</v>
      </c>
      <c r="R2993" s="704">
        <f>Q2993*J2993</f>
        <v>12</v>
      </c>
      <c r="S2993" s="489">
        <v>1100</v>
      </c>
      <c r="T2993" s="113">
        <f>S2993*J2993</f>
        <v>1100</v>
      </c>
      <c r="U2993" s="501"/>
      <c r="V2993" s="494">
        <v>120</v>
      </c>
      <c r="W2993" s="2041">
        <f t="shared" si="200"/>
        <v>0.2361111111111111</v>
      </c>
    </row>
    <row r="2994" spans="2:23" s="314" customFormat="1" ht="15.6" customHeight="1">
      <c r="B2994" s="313"/>
      <c r="C2994" s="302" t="s">
        <v>6816</v>
      </c>
      <c r="D2994" s="303" t="s">
        <v>6623</v>
      </c>
      <c r="E2994" s="304"/>
      <c r="F2994" s="305"/>
      <c r="G2994" s="305" t="s">
        <v>1227</v>
      </c>
      <c r="H2994" s="307" t="s">
        <v>1228</v>
      </c>
      <c r="I2994" s="308"/>
      <c r="J2994" s="306"/>
      <c r="K2994" s="315">
        <v>0</v>
      </c>
      <c r="L2994" s="310"/>
      <c r="M2994" s="310"/>
      <c r="N2994" s="310">
        <v>45393</v>
      </c>
      <c r="O2994" s="309">
        <v>6017</v>
      </c>
      <c r="P2994" s="302"/>
      <c r="Q2994" s="531">
        <v>0</v>
      </c>
      <c r="S2994" s="535">
        <v>0</v>
      </c>
      <c r="T2994" s="322">
        <v>0</v>
      </c>
      <c r="U2994" s="1115"/>
      <c r="V2994" s="494">
        <v>120</v>
      </c>
      <c r="W2994" s="2041" t="e">
        <f t="shared" si="200"/>
        <v>#DIV/0!</v>
      </c>
    </row>
    <row r="2995" spans="2:23" ht="18" customHeight="1">
      <c r="C2995" s="6"/>
      <c r="D2995" s="15" t="s">
        <v>6682</v>
      </c>
      <c r="E2995" s="20" t="s">
        <v>260</v>
      </c>
      <c r="F2995" s="44"/>
      <c r="G2995" s="44"/>
      <c r="H2995" s="151"/>
      <c r="I2995" s="151"/>
      <c r="J2995" s="151"/>
      <c r="K2995" s="34" t="s">
        <v>134</v>
      </c>
      <c r="L2995" s="39"/>
      <c r="M2995" s="39"/>
      <c r="N2995" s="39"/>
      <c r="O2995" s="38"/>
      <c r="P2995" s="6"/>
      <c r="Q2995" s="524"/>
      <c r="S2995" s="1995"/>
      <c r="T2995" s="113"/>
      <c r="U2995" s="501"/>
      <c r="V2995" s="494">
        <v>120</v>
      </c>
      <c r="W2995" s="2041" t="e">
        <f t="shared" si="200"/>
        <v>#VALUE!</v>
      </c>
    </row>
    <row r="2996" spans="2:23" ht="18" customHeight="1">
      <c r="B2996" s="28" t="s">
        <v>1856</v>
      </c>
      <c r="C2996" s="6"/>
      <c r="D2996" s="15" t="s">
        <v>6682</v>
      </c>
      <c r="E2996" s="95" t="s">
        <v>6823</v>
      </c>
      <c r="F2996" s="44">
        <v>9</v>
      </c>
      <c r="G2996" s="24" t="s">
        <v>2926</v>
      </c>
      <c r="H2996" s="8"/>
      <c r="I2996" s="41"/>
      <c r="J2996" s="45">
        <v>1</v>
      </c>
      <c r="K2996" s="46">
        <v>65</v>
      </c>
      <c r="L2996" s="46">
        <f>K2996*J2996</f>
        <v>65</v>
      </c>
      <c r="M2996" s="162" t="s">
        <v>2219</v>
      </c>
      <c r="N2996" s="39"/>
      <c r="O2996" s="38"/>
      <c r="P2996" s="46">
        <f>K2996*(VLOOKUP(B2996,$C$2:$F$6,3,FALSE))</f>
        <v>57.2</v>
      </c>
      <c r="Q2996" s="482">
        <v>57.2</v>
      </c>
      <c r="R2996" s="704">
        <f>Q2996*J2996</f>
        <v>57.2</v>
      </c>
      <c r="S2996" s="489">
        <v>6000</v>
      </c>
      <c r="T2996" s="113">
        <f>S2996*J2996</f>
        <v>6000</v>
      </c>
      <c r="U2996" s="699"/>
      <c r="V2996" s="494">
        <v>120</v>
      </c>
      <c r="W2996" s="2041">
        <f t="shared" si="200"/>
        <v>0.23076923076923078</v>
      </c>
    </row>
    <row r="2997" spans="2:23" ht="18" customHeight="1">
      <c r="B2997" s="28" t="s">
        <v>1856</v>
      </c>
      <c r="C2997" s="6"/>
      <c r="D2997" s="15" t="s">
        <v>6682</v>
      </c>
      <c r="E2997" s="95">
        <v>4141</v>
      </c>
      <c r="F2997" s="44">
        <v>9</v>
      </c>
      <c r="G2997" s="24" t="s">
        <v>2926</v>
      </c>
      <c r="H2997" s="67">
        <v>20</v>
      </c>
      <c r="I2997" s="68">
        <v>1</v>
      </c>
      <c r="J2997" s="67">
        <f>H2997*I2997</f>
        <v>20</v>
      </c>
      <c r="K2997" s="46">
        <v>1.63</v>
      </c>
      <c r="L2997" s="46">
        <f>K2997*J2997</f>
        <v>32.599999999999994</v>
      </c>
      <c r="M2997" s="162" t="s">
        <v>2219</v>
      </c>
      <c r="N2997" s="39"/>
      <c r="O2997" s="38"/>
      <c r="P2997" s="46">
        <f>K2997*(VLOOKUP(B2997,$C$2:$F$6,3,FALSE))</f>
        <v>1.4343999999999999</v>
      </c>
      <c r="Q2997" s="482">
        <v>1.43</v>
      </c>
      <c r="R2997" s="704">
        <f>Q2997*J2997</f>
        <v>28.599999999999998</v>
      </c>
      <c r="S2997" s="489">
        <v>97</v>
      </c>
      <c r="T2997" s="113">
        <f>S2997*J2997</f>
        <v>1940</v>
      </c>
      <c r="U2997" s="699"/>
      <c r="V2997" s="494">
        <v>120</v>
      </c>
      <c r="W2997" s="2041">
        <f t="shared" si="200"/>
        <v>0.50408997955010226</v>
      </c>
    </row>
    <row r="2998" spans="2:23" s="7" customFormat="1" ht="15.95" customHeight="1">
      <c r="B2998" s="12" t="s">
        <v>6822</v>
      </c>
      <c r="C2998" s="6"/>
      <c r="D2998" s="15" t="s">
        <v>6682</v>
      </c>
      <c r="E2998" s="24"/>
      <c r="F2998" s="138"/>
      <c r="G2998" s="44" t="s">
        <v>704</v>
      </c>
      <c r="H2998" s="8"/>
      <c r="I2998" s="41"/>
      <c r="J2998" s="45">
        <v>1</v>
      </c>
      <c r="K2998" s="46">
        <v>285</v>
      </c>
      <c r="L2998" s="46">
        <f>K2998*J2998</f>
        <v>285</v>
      </c>
      <c r="M2998" s="39"/>
      <c r="N2998" s="39"/>
      <c r="O2998" s="38"/>
      <c r="P2998" s="46">
        <f>K2998*(VLOOKUP(B2998,$C$2:$F$6,3,FALSE))</f>
        <v>285</v>
      </c>
      <c r="Q2998" s="483">
        <v>285</v>
      </c>
      <c r="R2998" s="704">
        <f>Q2998*J2998</f>
        <v>285</v>
      </c>
      <c r="S2998" s="489">
        <v>27000</v>
      </c>
      <c r="T2998" s="113">
        <f>S2998*J2998</f>
        <v>27000</v>
      </c>
      <c r="U2998" s="501"/>
      <c r="V2998" s="494">
        <v>120</v>
      </c>
      <c r="W2998" s="2041">
        <f t="shared" si="200"/>
        <v>0.21052631578947367</v>
      </c>
    </row>
    <row r="2999" spans="2:23" s="7" customFormat="1" ht="15.95" customHeight="1">
      <c r="B2999" s="12"/>
      <c r="C2999" s="6"/>
      <c r="D2999" s="15" t="s">
        <v>6682</v>
      </c>
      <c r="E2999" s="24"/>
      <c r="F2999" s="138"/>
      <c r="G2999" s="44" t="s">
        <v>1993</v>
      </c>
      <c r="H2999" s="8"/>
      <c r="I2999" s="41"/>
      <c r="J2999" s="45">
        <v>1</v>
      </c>
      <c r="K2999" s="46">
        <v>12</v>
      </c>
      <c r="L2999" s="46">
        <f>K2999*J2999</f>
        <v>12</v>
      </c>
      <c r="M2999" s="39"/>
      <c r="N2999" s="39"/>
      <c r="O2999" s="38"/>
      <c r="P2999" s="6"/>
      <c r="Q2999" s="483">
        <v>12</v>
      </c>
      <c r="R2999" s="704">
        <f>Q2999*J2999</f>
        <v>12</v>
      </c>
      <c r="S2999" s="490">
        <v>1100</v>
      </c>
      <c r="T2999" s="1176">
        <f>S2999*J2999</f>
        <v>1100</v>
      </c>
      <c r="U2999" s="501"/>
      <c r="V2999" s="494">
        <v>120</v>
      </c>
      <c r="W2999" s="2041">
        <f t="shared" si="200"/>
        <v>0.2361111111111111</v>
      </c>
    </row>
    <row r="3000" spans="2:23" s="314" customFormat="1" ht="15.6" customHeight="1">
      <c r="B3000" s="313"/>
      <c r="C3000" s="302"/>
      <c r="D3000" s="303" t="s">
        <v>6682</v>
      </c>
      <c r="E3000" s="304"/>
      <c r="F3000" s="305"/>
      <c r="G3000" s="305" t="s">
        <v>1227</v>
      </c>
      <c r="H3000" s="307" t="s">
        <v>1228</v>
      </c>
      <c r="I3000" s="308"/>
      <c r="J3000" s="306"/>
      <c r="K3000" s="315">
        <v>0</v>
      </c>
      <c r="L3000" s="310"/>
      <c r="M3000" s="310"/>
      <c r="N3000" s="310"/>
      <c r="O3000" s="309"/>
      <c r="P3000" s="302"/>
      <c r="Q3000" s="531">
        <v>0</v>
      </c>
      <c r="S3000" s="535">
        <v>0</v>
      </c>
      <c r="T3000" s="322">
        <v>0</v>
      </c>
      <c r="U3000" s="1115"/>
      <c r="V3000" s="494">
        <v>120</v>
      </c>
      <c r="W3000" s="2041" t="e">
        <f t="shared" si="200"/>
        <v>#DIV/0!</v>
      </c>
    </row>
    <row r="3001" spans="2:23" s="7" customFormat="1" ht="18" customHeight="1">
      <c r="B3001" s="12"/>
      <c r="C3001" s="6" t="s">
        <v>6829</v>
      </c>
      <c r="D3001" s="15" t="s">
        <v>2451</v>
      </c>
      <c r="E3001" s="20" t="s">
        <v>79</v>
      </c>
      <c r="F3001" s="150"/>
      <c r="G3001" s="24"/>
      <c r="H3001" s="151"/>
      <c r="I3001" s="152"/>
      <c r="J3001" s="151"/>
      <c r="K3001" s="34" t="s">
        <v>10</v>
      </c>
      <c r="L3001" s="39"/>
      <c r="M3001" s="39"/>
      <c r="N3001" s="39">
        <v>45420</v>
      </c>
      <c r="O3001" s="38">
        <v>6108</v>
      </c>
      <c r="P3001" s="15"/>
      <c r="Q3001" s="483"/>
      <c r="S3001" s="489"/>
      <c r="T3001" s="113"/>
      <c r="U3001" s="506"/>
      <c r="V3001" s="494">
        <v>120</v>
      </c>
      <c r="W3001" s="2041" t="e">
        <f t="shared" si="200"/>
        <v>#VALUE!</v>
      </c>
    </row>
    <row r="3002" spans="2:23" s="7" customFormat="1" ht="15" customHeight="1">
      <c r="B3002" s="12" t="s">
        <v>1858</v>
      </c>
      <c r="C3002" s="6" t="s">
        <v>6829</v>
      </c>
      <c r="D3002" s="15" t="s">
        <v>2451</v>
      </c>
      <c r="E3002" s="24">
        <v>2440</v>
      </c>
      <c r="F3002" s="150">
        <v>140</v>
      </c>
      <c r="G3002" s="24" t="s">
        <v>30</v>
      </c>
      <c r="H3002" s="8">
        <v>58</v>
      </c>
      <c r="I3002" s="41">
        <v>7</v>
      </c>
      <c r="J3002" s="67">
        <f t="shared" ref="J3002:J3008" si="201">H3002*I3002</f>
        <v>406</v>
      </c>
      <c r="K3002" s="46">
        <v>4.88</v>
      </c>
      <c r="L3002" s="46">
        <f t="shared" ref="L3002:L3008" si="202">K3002*J3002</f>
        <v>1981.28</v>
      </c>
      <c r="M3002" s="162" t="s">
        <v>2219</v>
      </c>
      <c r="N3002" s="39">
        <v>45420</v>
      </c>
      <c r="O3002" s="38">
        <v>6108</v>
      </c>
      <c r="P3002" s="46">
        <v>4.12</v>
      </c>
      <c r="Q3002" s="483">
        <v>4.12</v>
      </c>
      <c r="R3002" s="704">
        <f t="shared" ref="R3002:R3008" si="203">Q3002*J3002</f>
        <v>1672.72</v>
      </c>
      <c r="S3002" s="489">
        <v>300</v>
      </c>
      <c r="T3002" s="567">
        <f t="shared" ref="T3002:T3008" si="204">S3002*J3002</f>
        <v>121800</v>
      </c>
      <c r="U3002" s="882"/>
      <c r="V3002" s="494">
        <v>120</v>
      </c>
      <c r="W3002" s="2041">
        <f t="shared" si="200"/>
        <v>0.48770491803278693</v>
      </c>
    </row>
    <row r="3003" spans="2:23" s="7" customFormat="1" ht="15" customHeight="1">
      <c r="B3003" s="12" t="s">
        <v>1858</v>
      </c>
      <c r="C3003" s="6" t="s">
        <v>6829</v>
      </c>
      <c r="D3003" s="15" t="s">
        <v>2451</v>
      </c>
      <c r="E3003" s="24" t="s">
        <v>3067</v>
      </c>
      <c r="F3003" s="150">
        <v>152</v>
      </c>
      <c r="G3003" s="24" t="s">
        <v>6827</v>
      </c>
      <c r="H3003" s="8">
        <v>50</v>
      </c>
      <c r="I3003" s="41">
        <v>1</v>
      </c>
      <c r="J3003" s="67">
        <f t="shared" si="201"/>
        <v>50</v>
      </c>
      <c r="K3003" s="46">
        <v>4.88</v>
      </c>
      <c r="L3003" s="46">
        <f t="shared" si="202"/>
        <v>244</v>
      </c>
      <c r="M3003" s="162" t="s">
        <v>2219</v>
      </c>
      <c r="N3003" s="39">
        <v>45420</v>
      </c>
      <c r="O3003" s="38">
        <v>6108</v>
      </c>
      <c r="P3003" s="46">
        <v>4.12</v>
      </c>
      <c r="Q3003" s="483">
        <v>4.12</v>
      </c>
      <c r="R3003" s="704">
        <f t="shared" si="203"/>
        <v>206</v>
      </c>
      <c r="S3003" s="489">
        <v>250</v>
      </c>
      <c r="T3003" s="567">
        <f t="shared" si="204"/>
        <v>12500</v>
      </c>
      <c r="U3003" s="882"/>
      <c r="V3003" s="494">
        <v>120</v>
      </c>
      <c r="W3003" s="2041">
        <f t="shared" si="200"/>
        <v>0.57308743169398912</v>
      </c>
    </row>
    <row r="3004" spans="2:23" s="7" customFormat="1" ht="15" customHeight="1">
      <c r="B3004" s="12" t="s">
        <v>1858</v>
      </c>
      <c r="C3004" s="6" t="s">
        <v>6829</v>
      </c>
      <c r="D3004" s="15" t="s">
        <v>2451</v>
      </c>
      <c r="E3004" s="24" t="s">
        <v>3067</v>
      </c>
      <c r="F3004" s="150">
        <v>152</v>
      </c>
      <c r="G3004" s="24" t="s">
        <v>6827</v>
      </c>
      <c r="H3004" s="8">
        <v>53</v>
      </c>
      <c r="I3004" s="41">
        <v>1</v>
      </c>
      <c r="J3004" s="67">
        <f t="shared" si="201"/>
        <v>53</v>
      </c>
      <c r="K3004" s="46">
        <v>4.88</v>
      </c>
      <c r="L3004" s="46">
        <f t="shared" si="202"/>
        <v>258.64</v>
      </c>
      <c r="M3004" s="162" t="s">
        <v>2219</v>
      </c>
      <c r="N3004" s="39">
        <v>45420</v>
      </c>
      <c r="O3004" s="38">
        <v>6108</v>
      </c>
      <c r="P3004" s="46">
        <v>4.12</v>
      </c>
      <c r="Q3004" s="483">
        <v>4.12</v>
      </c>
      <c r="R3004" s="704">
        <f t="shared" si="203"/>
        <v>218.36</v>
      </c>
      <c r="S3004" s="489">
        <v>250</v>
      </c>
      <c r="T3004" s="567">
        <f t="shared" si="204"/>
        <v>13250</v>
      </c>
      <c r="U3004" s="882"/>
      <c r="V3004" s="494">
        <v>120</v>
      </c>
      <c r="W3004" s="2041">
        <f t="shared" si="200"/>
        <v>0.57308743169398912</v>
      </c>
    </row>
    <row r="3005" spans="2:23" s="7" customFormat="1" ht="15" customHeight="1">
      <c r="B3005" s="12" t="s">
        <v>1858</v>
      </c>
      <c r="C3005" s="6" t="s">
        <v>6829</v>
      </c>
      <c r="D3005" s="15" t="s">
        <v>2451</v>
      </c>
      <c r="E3005" s="24" t="s">
        <v>3067</v>
      </c>
      <c r="F3005" s="150">
        <v>152</v>
      </c>
      <c r="G3005" s="24" t="s">
        <v>6827</v>
      </c>
      <c r="H3005" s="8">
        <v>54</v>
      </c>
      <c r="I3005" s="41">
        <v>3</v>
      </c>
      <c r="J3005" s="67">
        <f t="shared" si="201"/>
        <v>162</v>
      </c>
      <c r="K3005" s="46">
        <v>4.88</v>
      </c>
      <c r="L3005" s="46">
        <f t="shared" si="202"/>
        <v>790.56</v>
      </c>
      <c r="M3005" s="162" t="s">
        <v>2219</v>
      </c>
      <c r="N3005" s="39">
        <v>45420</v>
      </c>
      <c r="O3005" s="38">
        <v>6108</v>
      </c>
      <c r="P3005" s="46">
        <v>4.12</v>
      </c>
      <c r="Q3005" s="483">
        <v>4.12</v>
      </c>
      <c r="R3005" s="704">
        <f t="shared" si="203"/>
        <v>667.44</v>
      </c>
      <c r="S3005" s="489">
        <v>250</v>
      </c>
      <c r="T3005" s="567">
        <f t="shared" si="204"/>
        <v>40500</v>
      </c>
      <c r="U3005" s="882"/>
      <c r="V3005" s="494">
        <v>120</v>
      </c>
      <c r="W3005" s="2041">
        <f t="shared" si="200"/>
        <v>0.57308743169398912</v>
      </c>
    </row>
    <row r="3006" spans="2:23" s="7" customFormat="1" ht="15" customHeight="1">
      <c r="B3006" s="12" t="s">
        <v>1858</v>
      </c>
      <c r="C3006" s="6" t="s">
        <v>6829</v>
      </c>
      <c r="D3006" s="15" t="s">
        <v>2451</v>
      </c>
      <c r="E3006" s="24" t="s">
        <v>3067</v>
      </c>
      <c r="F3006" s="150">
        <v>152</v>
      </c>
      <c r="G3006" s="24" t="s">
        <v>6827</v>
      </c>
      <c r="H3006" s="8">
        <v>55</v>
      </c>
      <c r="I3006" s="41">
        <v>3</v>
      </c>
      <c r="J3006" s="67">
        <f t="shared" si="201"/>
        <v>165</v>
      </c>
      <c r="K3006" s="46">
        <v>4.88</v>
      </c>
      <c r="L3006" s="46">
        <f t="shared" si="202"/>
        <v>805.19999999999993</v>
      </c>
      <c r="M3006" s="162" t="s">
        <v>2219</v>
      </c>
      <c r="N3006" s="39">
        <v>45420</v>
      </c>
      <c r="O3006" s="38">
        <v>6108</v>
      </c>
      <c r="P3006" s="46">
        <v>4.12</v>
      </c>
      <c r="Q3006" s="483">
        <v>4.12</v>
      </c>
      <c r="R3006" s="704">
        <f t="shared" si="203"/>
        <v>679.80000000000007</v>
      </c>
      <c r="S3006" s="489">
        <v>250</v>
      </c>
      <c r="T3006" s="567">
        <f t="shared" si="204"/>
        <v>41250</v>
      </c>
      <c r="U3006" s="882"/>
      <c r="V3006" s="494">
        <v>120</v>
      </c>
      <c r="W3006" s="2041">
        <f t="shared" si="200"/>
        <v>0.57308743169398912</v>
      </c>
    </row>
    <row r="3007" spans="2:23" s="7" customFormat="1" ht="15" customHeight="1">
      <c r="B3007" s="12" t="s">
        <v>1858</v>
      </c>
      <c r="C3007" s="6" t="s">
        <v>6829</v>
      </c>
      <c r="D3007" s="15" t="s">
        <v>2451</v>
      </c>
      <c r="E3007" s="24" t="s">
        <v>3067</v>
      </c>
      <c r="F3007" s="150">
        <v>152</v>
      </c>
      <c r="G3007" s="24" t="s">
        <v>6827</v>
      </c>
      <c r="H3007" s="8">
        <v>56</v>
      </c>
      <c r="I3007" s="41">
        <v>1</v>
      </c>
      <c r="J3007" s="67">
        <f t="shared" si="201"/>
        <v>56</v>
      </c>
      <c r="K3007" s="46">
        <v>4.88</v>
      </c>
      <c r="L3007" s="46">
        <f t="shared" si="202"/>
        <v>273.27999999999997</v>
      </c>
      <c r="M3007" s="162" t="s">
        <v>2219</v>
      </c>
      <c r="N3007" s="39">
        <v>45420</v>
      </c>
      <c r="O3007" s="38">
        <v>6108</v>
      </c>
      <c r="P3007" s="46">
        <v>4.12</v>
      </c>
      <c r="Q3007" s="483">
        <v>4.12</v>
      </c>
      <c r="R3007" s="704">
        <f t="shared" si="203"/>
        <v>230.72</v>
      </c>
      <c r="S3007" s="489">
        <v>250</v>
      </c>
      <c r="T3007" s="567">
        <f t="shared" si="204"/>
        <v>14000</v>
      </c>
      <c r="U3007" s="882"/>
      <c r="V3007" s="494">
        <v>120</v>
      </c>
      <c r="W3007" s="2041">
        <f t="shared" si="200"/>
        <v>0.57308743169398912</v>
      </c>
    </row>
    <row r="3008" spans="2:23" s="7" customFormat="1" ht="15" customHeight="1">
      <c r="B3008" s="12" t="s">
        <v>1858</v>
      </c>
      <c r="C3008" s="6" t="s">
        <v>6829</v>
      </c>
      <c r="D3008" s="15" t="s">
        <v>2451</v>
      </c>
      <c r="E3008" s="24" t="s">
        <v>3067</v>
      </c>
      <c r="F3008" s="150">
        <v>152</v>
      </c>
      <c r="G3008" s="24" t="s">
        <v>6827</v>
      </c>
      <c r="H3008" s="8">
        <v>58</v>
      </c>
      <c r="I3008" s="41">
        <v>25</v>
      </c>
      <c r="J3008" s="67">
        <f t="shared" si="201"/>
        <v>1450</v>
      </c>
      <c r="K3008" s="46">
        <v>4.88</v>
      </c>
      <c r="L3008" s="46">
        <f t="shared" si="202"/>
        <v>7076</v>
      </c>
      <c r="M3008" s="162" t="s">
        <v>2219</v>
      </c>
      <c r="N3008" s="39">
        <v>45420</v>
      </c>
      <c r="O3008" s="38">
        <v>6108</v>
      </c>
      <c r="P3008" s="46">
        <v>4.12</v>
      </c>
      <c r="Q3008" s="483">
        <v>4.12</v>
      </c>
      <c r="R3008" s="704">
        <f t="shared" si="203"/>
        <v>5974</v>
      </c>
      <c r="S3008" s="489">
        <v>250</v>
      </c>
      <c r="T3008" s="567">
        <f t="shared" si="204"/>
        <v>362500</v>
      </c>
      <c r="U3008" s="882"/>
      <c r="V3008" s="494">
        <v>120</v>
      </c>
      <c r="W3008" s="2041">
        <f t="shared" si="200"/>
        <v>0.57308743169398912</v>
      </c>
    </row>
    <row r="3009" spans="2:23" s="7" customFormat="1" ht="15" customHeight="1">
      <c r="B3009" s="12" t="s">
        <v>1862</v>
      </c>
      <c r="C3009" s="6" t="s">
        <v>6829</v>
      </c>
      <c r="D3009" s="15" t="s">
        <v>2451</v>
      </c>
      <c r="E3009" s="56"/>
      <c r="F3009" s="138"/>
      <c r="G3009" s="44" t="s">
        <v>1993</v>
      </c>
      <c r="H3009" s="45"/>
      <c r="I3009" s="41"/>
      <c r="J3009" s="45">
        <v>1</v>
      </c>
      <c r="K3009" s="46">
        <v>20</v>
      </c>
      <c r="L3009" s="46">
        <v>0</v>
      </c>
      <c r="M3009" s="112"/>
      <c r="N3009" s="39">
        <v>45420</v>
      </c>
      <c r="O3009" s="38">
        <v>6108</v>
      </c>
      <c r="P3009" s="46">
        <f>K3009*(VLOOKUP(B3009,$C$2:$F$6,3,FALSE))</f>
        <v>20</v>
      </c>
      <c r="Q3009" s="483">
        <v>15</v>
      </c>
      <c r="R3009" s="483">
        <v>15</v>
      </c>
      <c r="S3009" s="489">
        <f>1800</f>
        <v>1800</v>
      </c>
      <c r="T3009" s="489">
        <f>1800</f>
        <v>1800</v>
      </c>
      <c r="U3009" s="501"/>
      <c r="V3009" s="494">
        <v>120</v>
      </c>
      <c r="W3009" s="2041">
        <f t="shared" si="200"/>
        <v>0.25</v>
      </c>
    </row>
    <row r="3010" spans="2:23" s="378" customFormat="1" ht="15" customHeight="1">
      <c r="B3010" s="312"/>
      <c r="C3010" s="302" t="s">
        <v>6829</v>
      </c>
      <c r="D3010" s="303" t="s">
        <v>2451</v>
      </c>
      <c r="E3010" s="304"/>
      <c r="F3010" s="305"/>
      <c r="G3010" s="305" t="s">
        <v>2371</v>
      </c>
      <c r="H3010" s="307" t="s">
        <v>1442</v>
      </c>
      <c r="I3010" s="308"/>
      <c r="J3010" s="306">
        <v>2342</v>
      </c>
      <c r="K3010" s="315">
        <f>0.5*2342</f>
        <v>1171</v>
      </c>
      <c r="L3010" s="310"/>
      <c r="M3010" s="310"/>
      <c r="N3010" s="310">
        <v>45420</v>
      </c>
      <c r="O3010" s="309">
        <v>6108</v>
      </c>
      <c r="P3010" s="302"/>
      <c r="Q3010" s="315">
        <v>1156</v>
      </c>
      <c r="R3010" s="315">
        <v>1156</v>
      </c>
      <c r="S3010" s="537">
        <f>77740+3000</f>
        <v>80740</v>
      </c>
      <c r="T3010" s="537">
        <f>77740+3000</f>
        <v>80740</v>
      </c>
      <c r="U3010" s="515"/>
      <c r="V3010" s="494">
        <v>120</v>
      </c>
      <c r="W3010" s="2041">
        <f t="shared" si="200"/>
        <v>0.42541986905778539</v>
      </c>
    </row>
    <row r="3011" spans="2:23" s="7" customFormat="1" ht="18" customHeight="1">
      <c r="B3011" s="12"/>
      <c r="C3011" s="6" t="s">
        <v>6830</v>
      </c>
      <c r="D3011" s="15" t="s">
        <v>5353</v>
      </c>
      <c r="E3011" s="20" t="s">
        <v>27</v>
      </c>
      <c r="F3011" s="150"/>
      <c r="G3011" s="24"/>
      <c r="H3011" s="151"/>
      <c r="I3011" s="152"/>
      <c r="J3011" s="151"/>
      <c r="K3011" s="153" t="s">
        <v>10</v>
      </c>
      <c r="L3011" s="213"/>
      <c r="M3011" s="39"/>
      <c r="N3011" s="39">
        <v>45385</v>
      </c>
      <c r="O3011" s="38">
        <v>6025</v>
      </c>
      <c r="P3011" s="15"/>
      <c r="Q3011" s="703"/>
      <c r="U3011" s="15"/>
      <c r="V3011" s="494">
        <v>120</v>
      </c>
    </row>
    <row r="3012" spans="2:23" s="7" customFormat="1" ht="18" customHeight="1">
      <c r="B3012" s="12" t="s">
        <v>1858</v>
      </c>
      <c r="C3012" s="6" t="s">
        <v>6830</v>
      </c>
      <c r="D3012" s="15" t="s">
        <v>5353</v>
      </c>
      <c r="E3012" s="24" t="s">
        <v>738</v>
      </c>
      <c r="F3012" s="150">
        <v>152</v>
      </c>
      <c r="G3012" s="24" t="s">
        <v>1768</v>
      </c>
      <c r="H3012" s="151">
        <v>30</v>
      </c>
      <c r="I3012" s="152">
        <v>1</v>
      </c>
      <c r="J3012" s="8">
        <f>I3012*H3012</f>
        <v>30</v>
      </c>
      <c r="K3012" s="46">
        <v>4.45</v>
      </c>
      <c r="L3012" s="46">
        <f>K3012*J3012</f>
        <v>133.5</v>
      </c>
      <c r="M3012" s="1336" t="s">
        <v>2218</v>
      </c>
      <c r="N3012" s="39">
        <v>45385</v>
      </c>
      <c r="O3012" s="38">
        <v>6025</v>
      </c>
      <c r="P3012" s="46">
        <f>K3012*(VLOOKUP(B3012,$C$2:$F$6,3,FALSE))</f>
        <v>4.1829999999999998</v>
      </c>
      <c r="Q3012" s="703">
        <v>4.18</v>
      </c>
      <c r="R3012" s="703">
        <f>Q3012*J3012</f>
        <v>125.39999999999999</v>
      </c>
      <c r="S3012" s="7">
        <v>340</v>
      </c>
      <c r="T3012" s="7">
        <f>S3012*J3012</f>
        <v>10200</v>
      </c>
      <c r="U3012" s="23"/>
      <c r="V3012" s="494">
        <v>120</v>
      </c>
      <c r="W3012" s="2041">
        <f>(((K3012*V3012)-S3012)/(K3012*V3012))</f>
        <v>0.36329588014981273</v>
      </c>
    </row>
    <row r="3013" spans="2:23" s="7" customFormat="1" ht="18" customHeight="1">
      <c r="B3013" s="12"/>
      <c r="C3013" s="6" t="s">
        <v>6830</v>
      </c>
      <c r="D3013" s="15" t="s">
        <v>5353</v>
      </c>
      <c r="E3013" s="238"/>
      <c r="F3013" s="44"/>
      <c r="G3013" s="24" t="s">
        <v>5355</v>
      </c>
      <c r="H3013" s="8"/>
      <c r="I3013" s="152" ph="1"/>
      <c r="J3013" s="45">
        <v>1</v>
      </c>
      <c r="K3013" s="46">
        <v>12</v>
      </c>
      <c r="L3013" s="46">
        <f>K3013*J3013</f>
        <v>12</v>
      </c>
      <c r="M3013" s="112"/>
      <c r="N3013" s="39">
        <v>45385</v>
      </c>
      <c r="O3013" s="38">
        <v>6025</v>
      </c>
      <c r="P3013" s="6"/>
      <c r="Q3013" s="703">
        <v>12</v>
      </c>
      <c r="R3013" s="703">
        <f>Q3013*J3013</f>
        <v>12</v>
      </c>
      <c r="S3013" s="7">
        <v>1000</v>
      </c>
      <c r="T3013" s="7">
        <f>S3013*J3013</f>
        <v>1000</v>
      </c>
      <c r="U3013" s="23"/>
      <c r="V3013" s="494">
        <v>120</v>
      </c>
    </row>
    <row r="3014" spans="2:23" s="7" customFormat="1" ht="18" customHeight="1">
      <c r="B3014" s="12"/>
      <c r="C3014" s="6" t="s">
        <v>6830</v>
      </c>
      <c r="D3014" s="15" t="s">
        <v>5353</v>
      </c>
      <c r="E3014" s="238"/>
      <c r="F3014" s="44"/>
      <c r="G3014" s="24" t="s">
        <v>2975</v>
      </c>
      <c r="H3014" s="8"/>
      <c r="I3014" s="152" ph="1"/>
      <c r="J3014" s="45">
        <v>1</v>
      </c>
      <c r="K3014" s="46">
        <v>20</v>
      </c>
      <c r="L3014" s="46">
        <f>K3014*J3014</f>
        <v>20</v>
      </c>
      <c r="M3014" s="112"/>
      <c r="N3014" s="39">
        <v>45385</v>
      </c>
      <c r="O3014" s="38">
        <v>6025</v>
      </c>
      <c r="P3014" s="6"/>
      <c r="Q3014" s="703">
        <v>20</v>
      </c>
      <c r="R3014" s="703">
        <f>Q3014*J3014</f>
        <v>20</v>
      </c>
      <c r="S3014" s="7">
        <v>1000</v>
      </c>
      <c r="T3014" s="7">
        <f>S3014*J3014</f>
        <v>1000</v>
      </c>
      <c r="U3014" s="23"/>
      <c r="V3014" s="494">
        <v>120</v>
      </c>
    </row>
    <row r="3015" spans="2:23" s="314" customFormat="1" ht="18" customHeight="1">
      <c r="B3015" s="313"/>
      <c r="C3015" s="302" t="s">
        <v>6830</v>
      </c>
      <c r="D3015" s="303" t="s">
        <v>5353</v>
      </c>
      <c r="E3015" s="371"/>
      <c r="F3015" s="305"/>
      <c r="G3015" s="305" t="s">
        <v>1227</v>
      </c>
      <c r="H3015" s="307" t="s">
        <v>1228</v>
      </c>
      <c r="I3015" s="308"/>
      <c r="J3015" s="306"/>
      <c r="K3015" s="315">
        <v>0</v>
      </c>
      <c r="L3015" s="310"/>
      <c r="M3015" s="310"/>
      <c r="N3015" s="310">
        <v>45385</v>
      </c>
      <c r="O3015" s="309">
        <v>6025</v>
      </c>
      <c r="P3015" s="302"/>
      <c r="Q3015" s="531">
        <v>0</v>
      </c>
      <c r="S3015" s="535">
        <v>0</v>
      </c>
      <c r="T3015" s="322">
        <v>0</v>
      </c>
      <c r="U3015" s="1115"/>
      <c r="V3015" s="494">
        <v>120</v>
      </c>
    </row>
    <row r="3016" spans="2:23" s="7" customFormat="1" ht="15" customHeight="1">
      <c r="B3016" s="12"/>
      <c r="C3016" s="6" t="s">
        <v>6831</v>
      </c>
      <c r="D3016" s="15" t="s">
        <v>6313</v>
      </c>
      <c r="E3016" s="20" t="s">
        <v>6315</v>
      </c>
      <c r="F3016" s="26"/>
      <c r="G3016" s="24"/>
      <c r="H3016" s="67"/>
      <c r="I3016" s="68"/>
      <c r="J3016" s="67"/>
      <c r="K3016" s="17" t="s">
        <v>134</v>
      </c>
      <c r="L3016" s="39"/>
      <c r="M3016" s="39"/>
      <c r="N3016" s="39">
        <v>45386</v>
      </c>
      <c r="O3016" s="38">
        <v>6030</v>
      </c>
      <c r="P3016" s="179" t="s">
        <v>23</v>
      </c>
      <c r="Q3016" s="438" t="s">
        <v>959</v>
      </c>
      <c r="R3016" s="704"/>
      <c r="S3016" s="707"/>
      <c r="T3016" s="113"/>
      <c r="U3016" s="2068"/>
      <c r="V3016" s="494">
        <v>120</v>
      </c>
      <c r="W3016" s="2041" t="e">
        <f t="shared" ref="W3016:W3023" si="205">(((K3016*V3016)-S3016)/(K3016*V3016))</f>
        <v>#VALUE!</v>
      </c>
    </row>
    <row r="3017" spans="2:23" s="7" customFormat="1" ht="18" customHeight="1">
      <c r="B3017" s="12" t="s">
        <v>1856</v>
      </c>
      <c r="C3017" s="6" t="s">
        <v>6831</v>
      </c>
      <c r="D3017" s="15" t="s">
        <v>6313</v>
      </c>
      <c r="E3017" s="24" t="s">
        <v>6832</v>
      </c>
      <c r="F3017" s="26"/>
      <c r="G3017" s="24" t="s">
        <v>78</v>
      </c>
      <c r="H3017" s="67">
        <v>14</v>
      </c>
      <c r="I3017" s="68">
        <v>2</v>
      </c>
      <c r="J3017" s="67">
        <f>H3017*I3017</f>
        <v>28</v>
      </c>
      <c r="K3017" s="46">
        <v>0.98</v>
      </c>
      <c r="L3017" s="46">
        <f>K3017*J3017</f>
        <v>27.439999999999998</v>
      </c>
      <c r="M3017" s="162" t="s">
        <v>2219</v>
      </c>
      <c r="N3017" s="39">
        <v>45386</v>
      </c>
      <c r="O3017" s="38">
        <v>6030</v>
      </c>
      <c r="P3017" s="46">
        <f>K3017*(VLOOKUP(B3017,$C$2:$F$6,3,FALSE))</f>
        <v>0.86239999999999994</v>
      </c>
      <c r="Q3017" s="180">
        <v>0.86</v>
      </c>
      <c r="R3017" s="704">
        <f>Q3017*J3017</f>
        <v>24.08</v>
      </c>
      <c r="S3017" s="489">
        <v>70</v>
      </c>
      <c r="T3017" s="113">
        <f>S3017*J3017</f>
        <v>1960</v>
      </c>
      <c r="U3017" s="489"/>
      <c r="V3017" s="494">
        <v>120</v>
      </c>
      <c r="W3017" s="2041">
        <f t="shared" si="205"/>
        <v>0.40476190476190471</v>
      </c>
    </row>
    <row r="3018" spans="2:23" ht="15.95" customHeight="1">
      <c r="C3018" s="6" t="s">
        <v>6831</v>
      </c>
      <c r="D3018" s="15" t="s">
        <v>6313</v>
      </c>
      <c r="E3018" s="24"/>
      <c r="F3018" s="138"/>
      <c r="G3018" s="44" t="s">
        <v>1993</v>
      </c>
      <c r="H3018" s="8"/>
      <c r="I3018" s="68"/>
      <c r="J3018" s="45">
        <v>1</v>
      </c>
      <c r="K3018" s="46">
        <v>12</v>
      </c>
      <c r="L3018" s="46">
        <f>K3018*J3018</f>
        <v>12</v>
      </c>
      <c r="M3018" s="112"/>
      <c r="N3018" s="39">
        <v>45386</v>
      </c>
      <c r="O3018" s="38">
        <v>6030</v>
      </c>
      <c r="P3018" s="179"/>
      <c r="Q3018" s="180">
        <v>12</v>
      </c>
      <c r="R3018" s="180">
        <v>12</v>
      </c>
      <c r="S3018" s="498">
        <v>900</v>
      </c>
      <c r="T3018" s="568">
        <f>S3018*J3018</f>
        <v>900</v>
      </c>
      <c r="U3018" s="511"/>
      <c r="V3018" s="494">
        <v>120</v>
      </c>
      <c r="W3018" s="2041">
        <f t="shared" si="205"/>
        <v>0.375</v>
      </c>
    </row>
    <row r="3019" spans="2:23" s="314" customFormat="1" ht="15">
      <c r="B3019" s="313"/>
      <c r="C3019" s="302" t="s">
        <v>6831</v>
      </c>
      <c r="D3019" s="303" t="s">
        <v>6313</v>
      </c>
      <c r="E3019" s="371"/>
      <c r="F3019" s="305"/>
      <c r="G3019" s="2049" t="s">
        <v>1227</v>
      </c>
      <c r="H3019" s="307" t="s">
        <v>1228</v>
      </c>
      <c r="I3019" s="308"/>
      <c r="J3019" s="306"/>
      <c r="K3019" s="315">
        <v>0</v>
      </c>
      <c r="L3019" s="310"/>
      <c r="M3019" s="310"/>
      <c r="N3019" s="310">
        <v>45386</v>
      </c>
      <c r="O3019" s="309">
        <v>6030</v>
      </c>
      <c r="P3019" s="302"/>
      <c r="Q3019" s="485">
        <v>0</v>
      </c>
      <c r="S3019" s="535">
        <v>0</v>
      </c>
      <c r="T3019" s="322">
        <v>0</v>
      </c>
      <c r="U3019" s="515"/>
      <c r="V3019" s="494">
        <v>120</v>
      </c>
      <c r="W3019" s="2041" t="e">
        <f t="shared" si="205"/>
        <v>#DIV/0!</v>
      </c>
    </row>
    <row r="3020" spans="2:23" s="7" customFormat="1" ht="15" customHeight="1">
      <c r="B3020" s="12"/>
      <c r="C3020" s="6" t="s">
        <v>6875</v>
      </c>
      <c r="D3020" s="15" t="s">
        <v>6872</v>
      </c>
      <c r="E3020" s="20" t="s">
        <v>6873</v>
      </c>
      <c r="F3020" s="26"/>
      <c r="G3020" s="24"/>
      <c r="H3020" s="67"/>
      <c r="I3020" s="68"/>
      <c r="J3020" s="67"/>
      <c r="K3020" s="17" t="s">
        <v>134</v>
      </c>
      <c r="L3020" s="39"/>
      <c r="M3020" s="39"/>
      <c r="N3020" s="39">
        <v>45387</v>
      </c>
      <c r="O3020" s="38">
        <v>6034</v>
      </c>
      <c r="P3020" s="179" t="s">
        <v>23</v>
      </c>
      <c r="Q3020" s="438" t="s">
        <v>959</v>
      </c>
      <c r="R3020" s="704"/>
      <c r="S3020" s="707"/>
      <c r="T3020" s="113"/>
      <c r="U3020" s="2068"/>
      <c r="V3020" s="494">
        <v>120</v>
      </c>
      <c r="W3020" s="2041" t="e">
        <f t="shared" si="205"/>
        <v>#VALUE!</v>
      </c>
    </row>
    <row r="3021" spans="2:23" s="7" customFormat="1" ht="18" customHeight="1">
      <c r="B3021" s="12" t="s">
        <v>1856</v>
      </c>
      <c r="C3021" s="6" t="s">
        <v>6875</v>
      </c>
      <c r="D3021" s="15" t="s">
        <v>6872</v>
      </c>
      <c r="E3021" s="24" t="s">
        <v>6810</v>
      </c>
      <c r="F3021" s="26"/>
      <c r="G3021" s="24" t="s">
        <v>6874</v>
      </c>
      <c r="H3021" s="67"/>
      <c r="I3021" s="68"/>
      <c r="J3021" s="67">
        <v>10</v>
      </c>
      <c r="K3021" s="46">
        <v>0.22</v>
      </c>
      <c r="L3021" s="46">
        <f>K3021*J3021</f>
        <v>2.2000000000000002</v>
      </c>
      <c r="M3021" s="162" t="s">
        <v>2219</v>
      </c>
      <c r="N3021" s="39">
        <v>45387</v>
      </c>
      <c r="O3021" s="38">
        <v>6034</v>
      </c>
      <c r="P3021" s="46">
        <f>K3021*(VLOOKUP(B3021,$C$2:$F$6,3,FALSE))</f>
        <v>0.19359999999999999</v>
      </c>
      <c r="Q3021" s="180">
        <v>0.19</v>
      </c>
      <c r="R3021" s="704">
        <f>Q3021*J3021</f>
        <v>1.9</v>
      </c>
      <c r="S3021" s="489">
        <v>13.2</v>
      </c>
      <c r="T3021" s="113">
        <f>S3021*J3021</f>
        <v>132</v>
      </c>
      <c r="U3021" s="489"/>
      <c r="V3021" s="494">
        <v>120</v>
      </c>
      <c r="W3021" s="2041">
        <f t="shared" si="205"/>
        <v>0.5</v>
      </c>
    </row>
    <row r="3022" spans="2:23" ht="15.95" customHeight="1">
      <c r="C3022" s="6" t="s">
        <v>6875</v>
      </c>
      <c r="D3022" s="15" t="s">
        <v>6872</v>
      </c>
      <c r="E3022" s="24"/>
      <c r="F3022" s="138"/>
      <c r="G3022" s="44" t="s">
        <v>31</v>
      </c>
      <c r="H3022" s="8"/>
      <c r="I3022" s="68"/>
      <c r="J3022" s="45">
        <v>1</v>
      </c>
      <c r="K3022" s="46">
        <v>12</v>
      </c>
      <c r="L3022" s="46">
        <f>K3022*J3022</f>
        <v>12</v>
      </c>
      <c r="M3022" s="112"/>
      <c r="N3022" s="39">
        <v>45387</v>
      </c>
      <c r="O3022" s="38">
        <v>6034</v>
      </c>
      <c r="P3022" s="179"/>
      <c r="Q3022" s="180">
        <v>12</v>
      </c>
      <c r="R3022" s="180">
        <v>12</v>
      </c>
      <c r="S3022" s="498">
        <v>0</v>
      </c>
      <c r="T3022" s="568">
        <f>S3022*J3022</f>
        <v>0</v>
      </c>
      <c r="U3022" s="511"/>
      <c r="V3022" s="494">
        <v>120</v>
      </c>
      <c r="W3022" s="2041">
        <f t="shared" si="205"/>
        <v>1</v>
      </c>
    </row>
    <row r="3023" spans="2:23" s="314" customFormat="1" ht="15">
      <c r="B3023" s="313"/>
      <c r="C3023" s="302" t="s">
        <v>6875</v>
      </c>
      <c r="D3023" s="303" t="s">
        <v>6872</v>
      </c>
      <c r="E3023" s="371"/>
      <c r="F3023" s="305"/>
      <c r="G3023" s="2049" t="s">
        <v>1227</v>
      </c>
      <c r="H3023" s="307" t="s">
        <v>1228</v>
      </c>
      <c r="I3023" s="308"/>
      <c r="J3023" s="306"/>
      <c r="K3023" s="315">
        <v>0</v>
      </c>
      <c r="L3023" s="310"/>
      <c r="M3023" s="310"/>
      <c r="N3023" s="310">
        <v>45387</v>
      </c>
      <c r="O3023" s="309">
        <v>6034</v>
      </c>
      <c r="P3023" s="302"/>
      <c r="Q3023" s="485">
        <v>0</v>
      </c>
      <c r="S3023" s="535">
        <v>0</v>
      </c>
      <c r="T3023" s="322">
        <v>0</v>
      </c>
      <c r="U3023" s="515"/>
      <c r="V3023" s="494">
        <v>120</v>
      </c>
      <c r="W3023" s="2041" t="e">
        <f t="shared" si="205"/>
        <v>#DIV/0!</v>
      </c>
    </row>
    <row r="3024" spans="2:23" s="7" customFormat="1" ht="18" customHeight="1">
      <c r="B3024" s="12"/>
      <c r="C3024" s="6" t="s">
        <v>6876</v>
      </c>
      <c r="D3024" s="15" t="s">
        <v>6877</v>
      </c>
      <c r="E3024" s="20" t="s">
        <v>628</v>
      </c>
      <c r="F3024" s="700"/>
      <c r="G3024" s="640"/>
      <c r="H3024" s="641"/>
      <c r="I3024" s="701"/>
      <c r="J3024" s="702"/>
      <c r="K3024" s="153" t="s">
        <v>10</v>
      </c>
      <c r="L3024" s="219"/>
      <c r="M3024" s="11"/>
      <c r="N3024" s="39">
        <v>45392</v>
      </c>
      <c r="O3024" s="38">
        <v>6053</v>
      </c>
      <c r="P3024" s="6"/>
      <c r="Q3024" s="703"/>
      <c r="U3024" s="46"/>
      <c r="V3024" s="494">
        <v>120</v>
      </c>
    </row>
    <row r="3025" spans="2:25" ht="18" customHeight="1">
      <c r="B3025" s="28" t="s">
        <v>1856</v>
      </c>
      <c r="C3025" s="6" t="s">
        <v>6876</v>
      </c>
      <c r="D3025" s="15" t="s">
        <v>6877</v>
      </c>
      <c r="E3025" s="24">
        <v>5291</v>
      </c>
      <c r="F3025" s="26">
        <v>4</v>
      </c>
      <c r="G3025" s="24" t="s">
        <v>2330</v>
      </c>
      <c r="H3025" s="67">
        <v>50</v>
      </c>
      <c r="I3025" s="68">
        <v>2</v>
      </c>
      <c r="J3025" s="67">
        <f>H3025*I3025</f>
        <v>100</v>
      </c>
      <c r="K3025" s="25">
        <v>0.13</v>
      </c>
      <c r="L3025" s="46">
        <f>K3025*J3025</f>
        <v>13</v>
      </c>
      <c r="M3025" s="162" t="s">
        <v>2219</v>
      </c>
      <c r="N3025" s="39">
        <v>45392</v>
      </c>
      <c r="O3025" s="38">
        <v>6053</v>
      </c>
      <c r="P3025" s="46">
        <f>K3025*(VLOOKUP(B3025,$C$2:$F$6,3,FALSE))</f>
        <v>0.1144</v>
      </c>
      <c r="Q3025" s="483">
        <v>0.11</v>
      </c>
      <c r="R3025" s="704">
        <f>Q3025*J3025</f>
        <v>11</v>
      </c>
      <c r="S3025" s="489">
        <v>7.7</v>
      </c>
      <c r="T3025" s="113">
        <f>S3025*J3025</f>
        <v>770</v>
      </c>
      <c r="U3025" s="867"/>
      <c r="V3025" s="494">
        <v>120</v>
      </c>
      <c r="W3025" s="2041">
        <f>(((K3025*V3025)-S3025)/(K3025*V3025))</f>
        <v>0.5064102564102565</v>
      </c>
      <c r="X3025" s="7"/>
      <c r="Y3025" s="7"/>
    </row>
    <row r="3026" spans="2:25" ht="18" customHeight="1">
      <c r="C3026" s="6" t="s">
        <v>6876</v>
      </c>
      <c r="D3026" s="15" t="s">
        <v>6877</v>
      </c>
      <c r="E3026" s="24"/>
      <c r="F3026" s="138"/>
      <c r="G3026" s="44" t="s">
        <v>1993</v>
      </c>
      <c r="H3026" s="8"/>
      <c r="I3026" s="41"/>
      <c r="J3026" s="45">
        <v>1</v>
      </c>
      <c r="K3026" s="25">
        <v>12</v>
      </c>
      <c r="L3026" s="46">
        <f>K3026*J3026</f>
        <v>12</v>
      </c>
      <c r="M3026" s="112"/>
      <c r="N3026" s="39">
        <v>45392</v>
      </c>
      <c r="O3026" s="38">
        <v>6053</v>
      </c>
      <c r="P3026" s="179"/>
      <c r="Q3026" s="180">
        <v>12</v>
      </c>
      <c r="R3026" s="704">
        <f>Q3026*J3026</f>
        <v>12</v>
      </c>
      <c r="S3026" s="498">
        <v>850</v>
      </c>
      <c r="T3026" s="568">
        <f>S3026*J3026</f>
        <v>850</v>
      </c>
      <c r="U3026" s="511"/>
      <c r="V3026" s="494">
        <v>120</v>
      </c>
      <c r="W3026" s="2041">
        <f>(((K3026*V3026)-S3026)/(K3026*V3026))</f>
        <v>0.40972222222222221</v>
      </c>
    </row>
    <row r="3027" spans="2:25" s="314" customFormat="1" ht="15">
      <c r="B3027" s="313"/>
      <c r="C3027" s="302" t="s">
        <v>6876</v>
      </c>
      <c r="D3027" s="303" t="s">
        <v>6877</v>
      </c>
      <c r="E3027" s="371"/>
      <c r="F3027" s="305"/>
      <c r="G3027" s="305" t="s">
        <v>1227</v>
      </c>
      <c r="H3027" s="307" t="s">
        <v>3438</v>
      </c>
      <c r="I3027" s="308"/>
      <c r="J3027" s="306"/>
      <c r="K3027" s="315">
        <v>31</v>
      </c>
      <c r="L3027" s="315">
        <v>31</v>
      </c>
      <c r="M3027" s="310"/>
      <c r="N3027" s="310">
        <v>45392</v>
      </c>
      <c r="O3027" s="309">
        <v>6053</v>
      </c>
      <c r="P3027" s="302"/>
      <c r="Q3027" s="315">
        <v>31</v>
      </c>
      <c r="R3027" s="315">
        <v>31</v>
      </c>
      <c r="S3027" s="537">
        <v>2765</v>
      </c>
      <c r="T3027" s="537">
        <v>2765</v>
      </c>
      <c r="U3027" s="515"/>
      <c r="V3027" s="494">
        <v>120</v>
      </c>
    </row>
    <row r="3028" spans="2:25" s="7" customFormat="1" ht="18" customHeight="1">
      <c r="B3028" s="12"/>
      <c r="C3028" s="6" t="s">
        <v>6878</v>
      </c>
      <c r="D3028" s="15" t="s">
        <v>8</v>
      </c>
      <c r="E3028" s="20" t="s">
        <v>6436</v>
      </c>
      <c r="F3028" s="26"/>
      <c r="G3028" s="24"/>
      <c r="H3028" s="67"/>
      <c r="I3028" s="68"/>
      <c r="J3028" s="67"/>
      <c r="K3028" s="17" t="s">
        <v>10</v>
      </c>
      <c r="L3028" s="213"/>
      <c r="M3028" s="39"/>
      <c r="N3028" s="39">
        <v>45400</v>
      </c>
      <c r="O3028" s="38">
        <v>6065</v>
      </c>
      <c r="P3028" s="6" t="s">
        <v>3</v>
      </c>
      <c r="Q3028" s="910"/>
      <c r="U3028" s="175"/>
      <c r="V3028" s="494">
        <v>120</v>
      </c>
      <c r="W3028" s="2041" t="e">
        <f>(((K3028*V3028)-S3028)/(K3028*V3028))</f>
        <v>#VALUE!</v>
      </c>
    </row>
    <row r="3029" spans="2:25" s="7" customFormat="1" ht="43.5" customHeight="1">
      <c r="B3029" s="12" t="s">
        <v>1856</v>
      </c>
      <c r="C3029" s="6" t="s">
        <v>6878</v>
      </c>
      <c r="D3029" s="15" t="s">
        <v>8</v>
      </c>
      <c r="E3029" s="24" t="s">
        <v>6409</v>
      </c>
      <c r="F3029" s="2098" t="s">
        <v>6435</v>
      </c>
      <c r="G3029" s="24" t="s">
        <v>6438</v>
      </c>
      <c r="H3029" s="151">
        <v>25</v>
      </c>
      <c r="I3029" s="2097">
        <v>54</v>
      </c>
      <c r="J3029" s="8">
        <f>I3029*H3029</f>
        <v>1350</v>
      </c>
      <c r="K3029" s="46">
        <v>2.85</v>
      </c>
      <c r="L3029" s="46">
        <f>K3029*J3029</f>
        <v>3847.5</v>
      </c>
      <c r="M3029" s="162" t="s">
        <v>2219</v>
      </c>
      <c r="N3029" s="39">
        <v>45400</v>
      </c>
      <c r="O3029" s="38">
        <v>6065</v>
      </c>
      <c r="P3029" s="46">
        <f>K3029*(VLOOKUP(B3029,$C$2:$F$6,3,FALSE))</f>
        <v>2.508</v>
      </c>
      <c r="Q3029" s="703">
        <v>2.5099999999999998</v>
      </c>
      <c r="R3029" s="703">
        <f>Q3029*J3029</f>
        <v>3388.4999999999995</v>
      </c>
      <c r="S3029" s="7">
        <v>191</v>
      </c>
      <c r="T3029" s="7">
        <f>S3029*J3029</f>
        <v>257850</v>
      </c>
      <c r="U3029" s="1059"/>
      <c r="V3029" s="494">
        <v>120</v>
      </c>
      <c r="W3029" s="2041">
        <f>(((K3029*V3029)-S3029)/(K3029*V3029))</f>
        <v>0.44152046783625731</v>
      </c>
    </row>
    <row r="3030" spans="2:25" s="314" customFormat="1" ht="18" customHeight="1">
      <c r="B3030" s="313"/>
      <c r="C3030" s="302" t="s">
        <v>6878</v>
      </c>
      <c r="D3030" s="303" t="s">
        <v>8</v>
      </c>
      <c r="E3030" s="371"/>
      <c r="F3030" s="305"/>
      <c r="G3030" s="305" t="s">
        <v>1227</v>
      </c>
      <c r="H3030" s="307" t="s">
        <v>1228</v>
      </c>
      <c r="I3030" s="308"/>
      <c r="J3030" s="306"/>
      <c r="K3030" s="315">
        <v>0</v>
      </c>
      <c r="L3030" s="310"/>
      <c r="M3030" s="310"/>
      <c r="N3030" s="310">
        <v>45400</v>
      </c>
      <c r="O3030" s="309">
        <v>6065</v>
      </c>
      <c r="P3030" s="302"/>
      <c r="Q3030" s="531">
        <v>0</v>
      </c>
      <c r="S3030" s="535">
        <v>0</v>
      </c>
      <c r="T3030" s="322">
        <v>0</v>
      </c>
      <c r="U3030" s="1115"/>
      <c r="V3030" s="494">
        <v>120</v>
      </c>
    </row>
    <row r="3031" spans="2:25" s="7" customFormat="1" ht="18" customHeight="1">
      <c r="B3031" s="12"/>
      <c r="C3031" s="6" t="s">
        <v>6879</v>
      </c>
      <c r="D3031" s="15" t="s">
        <v>6880</v>
      </c>
      <c r="E3031" s="20" t="s">
        <v>6881</v>
      </c>
      <c r="F3031" s="700"/>
      <c r="G3031" s="640"/>
      <c r="H3031" s="641"/>
      <c r="I3031" s="701"/>
      <c r="J3031" s="702"/>
      <c r="K3031" s="153" t="s">
        <v>10</v>
      </c>
      <c r="L3031" s="219"/>
      <c r="M3031" s="11"/>
      <c r="N3031" s="39">
        <v>45404</v>
      </c>
      <c r="O3031" s="38">
        <v>6066</v>
      </c>
      <c r="P3031" s="6"/>
      <c r="Q3031" s="703"/>
      <c r="U3031" s="46"/>
      <c r="V3031" s="494">
        <v>120</v>
      </c>
    </row>
    <row r="3032" spans="2:25" ht="18" customHeight="1">
      <c r="B3032" s="28" t="s">
        <v>1856</v>
      </c>
      <c r="C3032" s="6" t="s">
        <v>6879</v>
      </c>
      <c r="D3032" s="15" t="s">
        <v>6880</v>
      </c>
      <c r="E3032" s="24" t="s">
        <v>6882</v>
      </c>
      <c r="F3032" s="26">
        <v>11</v>
      </c>
      <c r="G3032" s="24" t="s">
        <v>117</v>
      </c>
      <c r="H3032" s="67">
        <v>30</v>
      </c>
      <c r="I3032" s="68">
        <v>13</v>
      </c>
      <c r="J3032" s="67">
        <f>H3032*I3032</f>
        <v>390</v>
      </c>
      <c r="K3032" s="25">
        <v>1.25</v>
      </c>
      <c r="L3032" s="46">
        <f>K3032*J3032</f>
        <v>487.5</v>
      </c>
      <c r="M3032" s="162" t="s">
        <v>2219</v>
      </c>
      <c r="N3032" s="39">
        <v>45404</v>
      </c>
      <c r="O3032" s="38">
        <v>6066</v>
      </c>
      <c r="P3032" s="46">
        <f>K3032*(VLOOKUP(B3032,$C$2:$F$6,3,FALSE))</f>
        <v>1.1000000000000001</v>
      </c>
      <c r="Q3032" s="483">
        <v>1.1000000000000001</v>
      </c>
      <c r="R3032" s="704">
        <f>Q3032*J3032</f>
        <v>429.00000000000006</v>
      </c>
      <c r="S3032" s="489">
        <v>75</v>
      </c>
      <c r="T3032" s="113">
        <f>S3032*J3032</f>
        <v>29250</v>
      </c>
      <c r="U3032" s="867"/>
      <c r="V3032" s="494">
        <v>120</v>
      </c>
      <c r="W3032" s="2041">
        <f>(((K3032*V3032)-S3032)/(K3032*V3032))</f>
        <v>0.5</v>
      </c>
      <c r="X3032" s="7"/>
      <c r="Y3032" s="7"/>
    </row>
    <row r="3033" spans="2:25" ht="18" customHeight="1">
      <c r="C3033" s="6" t="s">
        <v>6879</v>
      </c>
      <c r="D3033" s="15" t="s">
        <v>6880</v>
      </c>
      <c r="E3033" s="24"/>
      <c r="F3033" s="138"/>
      <c r="G3033" s="44" t="s">
        <v>1993</v>
      </c>
      <c r="H3033" s="8"/>
      <c r="I3033" s="41"/>
      <c r="J3033" s="45">
        <v>1</v>
      </c>
      <c r="K3033" s="25">
        <v>12</v>
      </c>
      <c r="L3033" s="46">
        <f>K3033*J3033</f>
        <v>12</v>
      </c>
      <c r="M3033" s="112"/>
      <c r="N3033" s="39">
        <v>45404</v>
      </c>
      <c r="O3033" s="38">
        <v>6066</v>
      </c>
      <c r="P3033" s="179"/>
      <c r="Q3033" s="180">
        <v>12</v>
      </c>
      <c r="R3033" s="704">
        <f>Q3033*J3033</f>
        <v>12</v>
      </c>
      <c r="S3033" s="498">
        <v>1000</v>
      </c>
      <c r="T3033" s="568">
        <f>S3033*J3033</f>
        <v>1000</v>
      </c>
      <c r="U3033" s="511"/>
      <c r="V3033" s="494">
        <v>120</v>
      </c>
      <c r="W3033" s="2041">
        <f>(((K3033*V3033)-S3033)/(K3033*V3033))</f>
        <v>0.30555555555555558</v>
      </c>
    </row>
    <row r="3034" spans="2:25" s="314" customFormat="1" ht="15">
      <c r="B3034" s="313"/>
      <c r="C3034" s="302" t="s">
        <v>6879</v>
      </c>
      <c r="D3034" s="303" t="s">
        <v>6880</v>
      </c>
      <c r="E3034" s="371"/>
      <c r="F3034" s="305"/>
      <c r="G3034" s="305" t="s">
        <v>1227</v>
      </c>
      <c r="H3034" s="307" t="s">
        <v>1228</v>
      </c>
      <c r="I3034" s="308"/>
      <c r="J3034" s="306"/>
      <c r="K3034" s="315">
        <v>0</v>
      </c>
      <c r="L3034" s="310"/>
      <c r="M3034" s="310"/>
      <c r="N3034" s="310">
        <v>45404</v>
      </c>
      <c r="O3034" s="309">
        <v>6066</v>
      </c>
      <c r="P3034" s="302"/>
      <c r="Q3034" s="531">
        <v>0</v>
      </c>
      <c r="S3034" s="535">
        <v>0</v>
      </c>
      <c r="T3034" s="322">
        <v>0</v>
      </c>
      <c r="U3034" s="1115"/>
      <c r="V3034" s="494">
        <v>120</v>
      </c>
    </row>
    <row r="3035" spans="2:25" s="7" customFormat="1" ht="15">
      <c r="B3035" s="12"/>
      <c r="C3035" s="6" t="s">
        <v>6887</v>
      </c>
      <c r="D3035" s="15" t="s">
        <v>3026</v>
      </c>
      <c r="E3035" s="20" t="s">
        <v>408</v>
      </c>
      <c r="F3035" s="44"/>
      <c r="G3035" s="44"/>
      <c r="H3035" s="151"/>
      <c r="I3035" s="151"/>
      <c r="J3035" s="151"/>
      <c r="K3035" s="17" t="s">
        <v>134</v>
      </c>
      <c r="L3035" s="39"/>
      <c r="M3035" s="39"/>
      <c r="N3035" s="39">
        <v>45406</v>
      </c>
      <c r="O3035" s="38">
        <v>6095</v>
      </c>
      <c r="P3035" s="6"/>
      <c r="Q3035" s="524"/>
      <c r="S3035" s="489"/>
      <c r="T3035" s="113"/>
      <c r="U3035" s="501"/>
      <c r="V3035" s="494">
        <v>120</v>
      </c>
      <c r="W3035" s="2041" t="e">
        <f t="shared" ref="W3035:W3041" si="206">(((K3035*V3035)-S3035)/(K3035*V3035))</f>
        <v>#VALUE!</v>
      </c>
    </row>
    <row r="3036" spans="2:25" s="7" customFormat="1" ht="15" customHeight="1">
      <c r="B3036" s="12" t="s">
        <v>1856</v>
      </c>
      <c r="C3036" s="6" t="s">
        <v>6887</v>
      </c>
      <c r="D3036" s="15" t="s">
        <v>3026</v>
      </c>
      <c r="E3036" s="24" t="s">
        <v>1219</v>
      </c>
      <c r="F3036" s="26"/>
      <c r="G3036" s="24" t="s">
        <v>17</v>
      </c>
      <c r="H3036" s="67">
        <v>50</v>
      </c>
      <c r="I3036" s="68">
        <v>30</v>
      </c>
      <c r="J3036" s="8">
        <f>H3036*I3036</f>
        <v>1500</v>
      </c>
      <c r="K3036" s="46">
        <v>0.3</v>
      </c>
      <c r="L3036" s="46">
        <f>K3036*J3036</f>
        <v>450</v>
      </c>
      <c r="M3036" s="162" t="s">
        <v>2219</v>
      </c>
      <c r="N3036" s="39">
        <v>45406</v>
      </c>
      <c r="O3036" s="38">
        <v>6095</v>
      </c>
      <c r="P3036" s="46">
        <f>K3036*(VLOOKUP(B3036,$C$2:$F$6,3,FALSE))</f>
        <v>0.26400000000000001</v>
      </c>
      <c r="Q3036" s="482">
        <v>0.26</v>
      </c>
      <c r="R3036" s="704">
        <f>Q3036*J3036</f>
        <v>390</v>
      </c>
      <c r="S3036" s="489">
        <v>18</v>
      </c>
      <c r="T3036" s="113">
        <f>S3036*J3036</f>
        <v>27000</v>
      </c>
      <c r="U3036" s="1603"/>
      <c r="V3036" s="494">
        <v>120</v>
      </c>
      <c r="W3036" s="2041">
        <f t="shared" si="206"/>
        <v>0.5</v>
      </c>
    </row>
    <row r="3037" spans="2:25" s="7" customFormat="1" ht="15" customHeight="1">
      <c r="B3037" s="12" t="s">
        <v>1856</v>
      </c>
      <c r="C3037" s="6" t="s">
        <v>6887</v>
      </c>
      <c r="D3037" s="15" t="s">
        <v>3026</v>
      </c>
      <c r="E3037" s="24" t="s">
        <v>5772</v>
      </c>
      <c r="F3037" s="26"/>
      <c r="G3037" s="24" t="s">
        <v>17</v>
      </c>
      <c r="H3037" s="67">
        <v>50</v>
      </c>
      <c r="I3037" s="68">
        <v>40</v>
      </c>
      <c r="J3037" s="8">
        <f>H3037*I3037</f>
        <v>2000</v>
      </c>
      <c r="K3037" s="46">
        <v>0.26</v>
      </c>
      <c r="L3037" s="46">
        <f>K3037*J3037</f>
        <v>520</v>
      </c>
      <c r="M3037" s="162" t="s">
        <v>2219</v>
      </c>
      <c r="N3037" s="39">
        <v>45406</v>
      </c>
      <c r="O3037" s="38">
        <v>6095</v>
      </c>
      <c r="P3037" s="46">
        <f>K3037*(VLOOKUP(B3037,$C$2:$F$6,3,FALSE))</f>
        <v>0.2288</v>
      </c>
      <c r="Q3037" s="482">
        <v>0.23</v>
      </c>
      <c r="R3037" s="704">
        <f>Q3037*J3037</f>
        <v>460</v>
      </c>
      <c r="S3037" s="489">
        <v>15.1</v>
      </c>
      <c r="T3037" s="113">
        <f>S3037*J3037</f>
        <v>30200</v>
      </c>
      <c r="U3037" s="1603"/>
      <c r="V3037" s="494">
        <v>120</v>
      </c>
      <c r="W3037" s="2041">
        <f t="shared" si="206"/>
        <v>0.51602564102564097</v>
      </c>
    </row>
    <row r="3038" spans="2:25" s="7" customFormat="1" ht="15.95" customHeight="1">
      <c r="B3038" s="12"/>
      <c r="C3038" s="6" t="s">
        <v>6887</v>
      </c>
      <c r="D3038" s="15" t="s">
        <v>3026</v>
      </c>
      <c r="E3038" s="24"/>
      <c r="F3038" s="138"/>
      <c r="G3038" s="44" t="s">
        <v>1993</v>
      </c>
      <c r="H3038" s="8"/>
      <c r="I3038" s="41"/>
      <c r="J3038" s="45">
        <v>1</v>
      </c>
      <c r="K3038" s="46">
        <v>12</v>
      </c>
      <c r="L3038" s="46">
        <f>K3038*J3038</f>
        <v>12</v>
      </c>
      <c r="M3038" s="39"/>
      <c r="N3038" s="39">
        <v>45406</v>
      </c>
      <c r="O3038" s="38">
        <v>6095</v>
      </c>
      <c r="P3038" s="6"/>
      <c r="Q3038" s="483">
        <v>12</v>
      </c>
      <c r="R3038" s="704">
        <f>Q3038*J3038</f>
        <v>12</v>
      </c>
      <c r="S3038" s="489">
        <v>1100</v>
      </c>
      <c r="T3038" s="113">
        <f>S3038*J3038</f>
        <v>1100</v>
      </c>
      <c r="U3038" s="501"/>
      <c r="V3038" s="494">
        <v>120</v>
      </c>
      <c r="W3038" s="2041">
        <f t="shared" si="206"/>
        <v>0.2361111111111111</v>
      </c>
    </row>
    <row r="3039" spans="2:25" s="314" customFormat="1" ht="15.6" customHeight="1">
      <c r="B3039" s="313"/>
      <c r="C3039" s="302" t="s">
        <v>6887</v>
      </c>
      <c r="D3039" s="303" t="s">
        <v>3026</v>
      </c>
      <c r="E3039" s="304"/>
      <c r="F3039" s="305"/>
      <c r="G3039" s="305" t="s">
        <v>1227</v>
      </c>
      <c r="H3039" s="307" t="s">
        <v>3438</v>
      </c>
      <c r="I3039" s="308"/>
      <c r="J3039" s="306"/>
      <c r="K3039" s="329">
        <v>241</v>
      </c>
      <c r="L3039" s="329">
        <v>241</v>
      </c>
      <c r="M3039" s="310"/>
      <c r="N3039" s="310">
        <v>45406</v>
      </c>
      <c r="O3039" s="309">
        <v>6095</v>
      </c>
      <c r="P3039" s="302"/>
      <c r="Q3039" s="329">
        <v>241</v>
      </c>
      <c r="R3039" s="329">
        <v>241</v>
      </c>
      <c r="S3039" s="113">
        <v>25460</v>
      </c>
      <c r="T3039" s="113">
        <v>25460</v>
      </c>
      <c r="U3039" s="515"/>
      <c r="V3039" s="494">
        <v>120</v>
      </c>
      <c r="W3039" s="2041">
        <f t="shared" si="206"/>
        <v>0.11964038727524205</v>
      </c>
    </row>
    <row r="3040" spans="2:25" s="7" customFormat="1" ht="15" customHeight="1">
      <c r="B3040" s="12"/>
      <c r="C3040" s="6" t="s">
        <v>6888</v>
      </c>
      <c r="D3040" s="15" t="s">
        <v>6889</v>
      </c>
      <c r="E3040" s="20" t="s">
        <v>6457</v>
      </c>
      <c r="F3040" s="26"/>
      <c r="G3040" s="24"/>
      <c r="H3040" s="67"/>
      <c r="I3040" s="68"/>
      <c r="J3040" s="67"/>
      <c r="K3040" s="17" t="s">
        <v>134</v>
      </c>
      <c r="L3040" s="39"/>
      <c r="M3040" s="39"/>
      <c r="N3040" s="39">
        <v>45421</v>
      </c>
      <c r="O3040" s="38">
        <v>6099</v>
      </c>
      <c r="P3040" s="179" t="s">
        <v>23</v>
      </c>
      <c r="Q3040" s="438" t="s">
        <v>959</v>
      </c>
      <c r="R3040" s="704"/>
      <c r="S3040" s="707"/>
      <c r="T3040" s="113"/>
      <c r="U3040" s="2068"/>
      <c r="V3040" s="494">
        <v>120</v>
      </c>
      <c r="W3040" s="2041" t="e">
        <f t="shared" si="206"/>
        <v>#VALUE!</v>
      </c>
    </row>
    <row r="3041" spans="2:23" s="7" customFormat="1" ht="18" customHeight="1">
      <c r="B3041" s="12" t="s">
        <v>1856</v>
      </c>
      <c r="C3041" s="6" t="s">
        <v>6888</v>
      </c>
      <c r="D3041" s="15" t="s">
        <v>6889</v>
      </c>
      <c r="E3041" s="24">
        <v>12740</v>
      </c>
      <c r="F3041" s="26">
        <v>9</v>
      </c>
      <c r="G3041" s="24" t="s">
        <v>6461</v>
      </c>
      <c r="H3041" s="67">
        <v>10</v>
      </c>
      <c r="I3041" s="68">
        <v>84</v>
      </c>
      <c r="J3041" s="67">
        <f>H3041*I3041</f>
        <v>840</v>
      </c>
      <c r="K3041" s="46">
        <v>1.21</v>
      </c>
      <c r="L3041" s="46">
        <f>K3041*J3041</f>
        <v>1016.4</v>
      </c>
      <c r="M3041" s="162" t="s">
        <v>2219</v>
      </c>
      <c r="N3041" s="39">
        <v>45421</v>
      </c>
      <c r="O3041" s="38">
        <v>6099</v>
      </c>
      <c r="P3041" s="46">
        <v>0.92</v>
      </c>
      <c r="Q3041" s="180">
        <v>0.92</v>
      </c>
      <c r="R3041" s="704">
        <f>Q3041*J3041</f>
        <v>772.80000000000007</v>
      </c>
      <c r="S3041" s="489">
        <v>61.6</v>
      </c>
      <c r="T3041" s="113">
        <f>S3041*J3041</f>
        <v>51744</v>
      </c>
      <c r="U3041" s="489"/>
      <c r="V3041" s="494">
        <v>120</v>
      </c>
      <c r="W3041" s="2041">
        <f t="shared" si="206"/>
        <v>0.5757575757575758</v>
      </c>
    </row>
    <row r="3042" spans="2:23" s="314" customFormat="1" ht="15">
      <c r="B3042" s="313"/>
      <c r="C3042" s="302" t="s">
        <v>6888</v>
      </c>
      <c r="D3042" s="303" t="s">
        <v>6889</v>
      </c>
      <c r="E3042" s="304"/>
      <c r="F3042" s="305"/>
      <c r="G3042" s="305" t="s">
        <v>1227</v>
      </c>
      <c r="H3042" s="307"/>
      <c r="I3042" s="308" t="s">
        <v>2370</v>
      </c>
      <c r="J3042" s="410">
        <v>840</v>
      </c>
      <c r="K3042" s="315">
        <f>0.17*J3042</f>
        <v>142.80000000000001</v>
      </c>
      <c r="L3042" s="310"/>
      <c r="M3042" s="310"/>
      <c r="N3042" s="310">
        <v>45421</v>
      </c>
      <c r="O3042" s="309">
        <v>6099</v>
      </c>
      <c r="P3042" s="302"/>
      <c r="Q3042" s="315">
        <v>142.80000000000001</v>
      </c>
      <c r="R3042" s="315">
        <v>142.80000000000001</v>
      </c>
      <c r="S3042" s="1142">
        <f>6236+3000</f>
        <v>9236</v>
      </c>
      <c r="T3042" s="1142">
        <f>6236+3000</f>
        <v>9236</v>
      </c>
      <c r="U3042" s="515"/>
      <c r="V3042" s="494">
        <v>120</v>
      </c>
    </row>
    <row r="3043" spans="2:23" ht="15">
      <c r="C3043" s="6" t="s">
        <v>6891</v>
      </c>
      <c r="D3043" s="15" t="s">
        <v>2309</v>
      </c>
      <c r="E3043" s="20" t="s">
        <v>79</v>
      </c>
      <c r="F3043" s="150"/>
      <c r="G3043" s="24"/>
      <c r="H3043" s="151"/>
      <c r="I3043" s="152"/>
      <c r="J3043" s="151"/>
      <c r="K3043" s="153" t="s">
        <v>10</v>
      </c>
      <c r="L3043" s="39"/>
      <c r="M3043" s="39"/>
      <c r="N3043" s="39">
        <v>45407</v>
      </c>
      <c r="O3043" s="38">
        <v>6098</v>
      </c>
      <c r="P3043" s="15"/>
      <c r="Q3043" s="483"/>
      <c r="S3043" s="496"/>
      <c r="T3043" s="113"/>
      <c r="V3043" s="494">
        <v>120</v>
      </c>
      <c r="W3043"/>
    </row>
    <row r="3044" spans="2:23" ht="15.75">
      <c r="B3044" s="12" t="s">
        <v>1858</v>
      </c>
      <c r="C3044" s="6" t="s">
        <v>6891</v>
      </c>
      <c r="D3044" s="15" t="s">
        <v>2309</v>
      </c>
      <c r="E3044" s="24">
        <v>5081</v>
      </c>
      <c r="F3044" s="150">
        <v>140</v>
      </c>
      <c r="G3044" s="24" t="s">
        <v>363</v>
      </c>
      <c r="H3044" s="67">
        <v>10</v>
      </c>
      <c r="I3044" s="68">
        <v>1</v>
      </c>
      <c r="J3044" s="67">
        <f>H3044*I3044</f>
        <v>10</v>
      </c>
      <c r="K3044" s="46">
        <v>10.52</v>
      </c>
      <c r="L3044" s="46">
        <f>K3044*J3044</f>
        <v>105.19999999999999</v>
      </c>
      <c r="M3044" s="162" t="s">
        <v>2219</v>
      </c>
      <c r="N3044" s="39">
        <v>45407</v>
      </c>
      <c r="O3044" s="38">
        <v>6098</v>
      </c>
      <c r="P3044" s="46">
        <f>K3044*(VLOOKUP(B3044,$C$2:$F$6,3,FALSE))</f>
        <v>9.8887999999999998</v>
      </c>
      <c r="Q3044" s="483">
        <v>9.89</v>
      </c>
      <c r="R3044" s="704">
        <f>Q3044*J3044</f>
        <v>98.9</v>
      </c>
      <c r="S3044" s="532">
        <v>820</v>
      </c>
      <c r="T3044" s="567">
        <f>S3044*J3044</f>
        <v>8200</v>
      </c>
      <c r="V3044" s="494">
        <v>120</v>
      </c>
      <c r="W3044" s="2041">
        <f t="shared" ref="W3044:W3052" si="207">(((K3044*V3044)-S3044)/(K3044*V3044))</f>
        <v>0.35044359949302906</v>
      </c>
    </row>
    <row r="3045" spans="2:23" s="7" customFormat="1" ht="15.95" customHeight="1">
      <c r="B3045" s="12"/>
      <c r="C3045" s="6" t="s">
        <v>6891</v>
      </c>
      <c r="D3045" s="15" t="s">
        <v>2309</v>
      </c>
      <c r="E3045" s="24"/>
      <c r="F3045" s="138"/>
      <c r="G3045" s="44" t="s">
        <v>1075</v>
      </c>
      <c r="H3045" s="8"/>
      <c r="I3045" s="41"/>
      <c r="J3045" s="45">
        <v>1</v>
      </c>
      <c r="K3045" s="46">
        <v>15</v>
      </c>
      <c r="L3045" s="46">
        <f>K3045*J3045</f>
        <v>15</v>
      </c>
      <c r="M3045" s="39"/>
      <c r="N3045" s="39">
        <v>45407</v>
      </c>
      <c r="O3045" s="38">
        <v>6098</v>
      </c>
      <c r="P3045" s="6"/>
      <c r="Q3045" s="483">
        <v>12</v>
      </c>
      <c r="R3045" s="704">
        <f>Q3045*J3045</f>
        <v>12</v>
      </c>
      <c r="S3045" s="489">
        <v>1000</v>
      </c>
      <c r="T3045" s="113">
        <f>S3045*J3045</f>
        <v>1000</v>
      </c>
      <c r="U3045" s="501"/>
      <c r="V3045" s="494">
        <v>120</v>
      </c>
      <c r="W3045" s="2041">
        <f t="shared" si="207"/>
        <v>0.44444444444444442</v>
      </c>
    </row>
    <row r="3046" spans="2:23" s="7" customFormat="1" ht="15.95" customHeight="1">
      <c r="B3046" s="12"/>
      <c r="C3046" s="6" t="s">
        <v>6891</v>
      </c>
      <c r="D3046" s="15" t="s">
        <v>2309</v>
      </c>
      <c r="E3046" s="24"/>
      <c r="F3046" s="138"/>
      <c r="G3046" s="44" t="s">
        <v>1993</v>
      </c>
      <c r="H3046" s="8"/>
      <c r="I3046" s="41"/>
      <c r="J3046" s="45">
        <v>1</v>
      </c>
      <c r="K3046" s="46">
        <v>20</v>
      </c>
      <c r="L3046" s="46">
        <f>K3046*J3046</f>
        <v>20</v>
      </c>
      <c r="M3046" s="39"/>
      <c r="N3046" s="39">
        <v>45407</v>
      </c>
      <c r="O3046" s="38">
        <v>6098</v>
      </c>
      <c r="P3046" s="6"/>
      <c r="Q3046" s="483">
        <v>20</v>
      </c>
      <c r="R3046" s="704">
        <f>Q3046*J3046</f>
        <v>20</v>
      </c>
      <c r="S3046" s="489">
        <v>1000</v>
      </c>
      <c r="T3046" s="113">
        <f>S3046*J3046</f>
        <v>1000</v>
      </c>
      <c r="U3046" s="501"/>
      <c r="V3046" s="494">
        <v>120</v>
      </c>
      <c r="W3046" s="2041">
        <f t="shared" si="207"/>
        <v>0.58333333333333337</v>
      </c>
    </row>
    <row r="3047" spans="2:23" s="314" customFormat="1" ht="15">
      <c r="B3047" s="313"/>
      <c r="C3047" s="302" t="s">
        <v>6891</v>
      </c>
      <c r="D3047" s="303" t="s">
        <v>2309</v>
      </c>
      <c r="E3047" s="304"/>
      <c r="F3047" s="305"/>
      <c r="G3047" s="305" t="s">
        <v>1227</v>
      </c>
      <c r="H3047" s="307" t="s">
        <v>1243</v>
      </c>
      <c r="I3047" s="308"/>
      <c r="J3047" s="306"/>
      <c r="K3047" s="329">
        <v>42</v>
      </c>
      <c r="L3047" s="329">
        <v>42</v>
      </c>
      <c r="M3047" s="310"/>
      <c r="N3047" s="310">
        <v>45407</v>
      </c>
      <c r="O3047" s="309">
        <v>6098</v>
      </c>
      <c r="P3047" s="685"/>
      <c r="Q3047" s="329">
        <v>42</v>
      </c>
      <c r="R3047" s="329">
        <v>42</v>
      </c>
      <c r="S3047" s="1368">
        <v>4370</v>
      </c>
      <c r="T3047" s="1368">
        <v>4370</v>
      </c>
      <c r="U3047" s="688"/>
      <c r="V3047" s="494">
        <v>120</v>
      </c>
      <c r="W3047" s="2041">
        <f t="shared" si="207"/>
        <v>0.13293650793650794</v>
      </c>
    </row>
    <row r="3048" spans="2:23" s="7" customFormat="1" ht="15" customHeight="1">
      <c r="B3048" s="12"/>
      <c r="C3048" s="6" t="s">
        <v>6892</v>
      </c>
      <c r="D3048" s="15" t="s">
        <v>6893</v>
      </c>
      <c r="E3048" s="20" t="s">
        <v>6315</v>
      </c>
      <c r="F3048" s="26"/>
      <c r="G3048" s="24"/>
      <c r="H3048" s="67"/>
      <c r="I3048" s="68"/>
      <c r="J3048" s="67"/>
      <c r="K3048" s="17" t="s">
        <v>134</v>
      </c>
      <c r="L3048" s="39"/>
      <c r="M3048" s="39"/>
      <c r="N3048" s="39">
        <v>45412</v>
      </c>
      <c r="O3048" s="38">
        <v>6107</v>
      </c>
      <c r="P3048" s="179" t="s">
        <v>23</v>
      </c>
      <c r="Q3048" s="438" t="s">
        <v>959</v>
      </c>
      <c r="R3048" s="704"/>
      <c r="S3048" s="707"/>
      <c r="T3048" s="113"/>
      <c r="U3048" s="2068"/>
      <c r="V3048" s="494">
        <v>120</v>
      </c>
      <c r="W3048" s="2041" t="e">
        <f t="shared" si="207"/>
        <v>#VALUE!</v>
      </c>
    </row>
    <row r="3049" spans="2:23" s="7" customFormat="1" ht="18" customHeight="1">
      <c r="B3049" s="12" t="s">
        <v>1856</v>
      </c>
      <c r="C3049" s="6" t="s">
        <v>6892</v>
      </c>
      <c r="D3049" s="15" t="s">
        <v>6893</v>
      </c>
      <c r="E3049" s="24" t="s">
        <v>6894</v>
      </c>
      <c r="F3049" s="26"/>
      <c r="G3049" s="24" t="s">
        <v>78</v>
      </c>
      <c r="H3049" s="67">
        <v>14</v>
      </c>
      <c r="I3049" s="68">
        <v>1</v>
      </c>
      <c r="J3049" s="67">
        <f>H3049*I3049</f>
        <v>14</v>
      </c>
      <c r="K3049" s="46">
        <v>1.08</v>
      </c>
      <c r="L3049" s="46">
        <f>K3049*J3049</f>
        <v>15.120000000000001</v>
      </c>
      <c r="M3049" s="162" t="s">
        <v>2219</v>
      </c>
      <c r="N3049" s="39">
        <v>45412</v>
      </c>
      <c r="O3049" s="38">
        <v>6107</v>
      </c>
      <c r="P3049" s="46">
        <f>K3049*(VLOOKUP(B3049,$C$2:$F$6,3,FALSE))</f>
        <v>0.95040000000000002</v>
      </c>
      <c r="Q3049" s="180">
        <v>0.95</v>
      </c>
      <c r="R3049" s="704">
        <f>Q3049*J3049</f>
        <v>13.299999999999999</v>
      </c>
      <c r="S3049" s="489">
        <v>75</v>
      </c>
      <c r="T3049" s="113">
        <f>S3049*J3049</f>
        <v>1050</v>
      </c>
      <c r="U3049" s="489"/>
      <c r="V3049" s="494">
        <v>120</v>
      </c>
      <c r="W3049" s="2041">
        <f t="shared" si="207"/>
        <v>0.42129629629629639</v>
      </c>
    </row>
    <row r="3050" spans="2:23" ht="15.95" customHeight="1">
      <c r="C3050" s="6" t="s">
        <v>6892</v>
      </c>
      <c r="D3050" s="15" t="s">
        <v>6893</v>
      </c>
      <c r="E3050" s="24"/>
      <c r="F3050" s="138"/>
      <c r="G3050" s="44" t="s">
        <v>1993</v>
      </c>
      <c r="H3050" s="8"/>
      <c r="I3050" s="68"/>
      <c r="J3050" s="45">
        <v>1</v>
      </c>
      <c r="K3050" s="46">
        <v>12</v>
      </c>
      <c r="L3050" s="46">
        <f>K3050*J3050</f>
        <v>12</v>
      </c>
      <c r="M3050" s="112"/>
      <c r="N3050" s="39">
        <v>45412</v>
      </c>
      <c r="O3050" s="38">
        <v>6107</v>
      </c>
      <c r="P3050" s="179"/>
      <c r="Q3050" s="180">
        <v>12</v>
      </c>
      <c r="R3050" s="180">
        <v>12</v>
      </c>
      <c r="S3050" s="498">
        <v>900</v>
      </c>
      <c r="T3050" s="568">
        <f>S3050*J3050</f>
        <v>900</v>
      </c>
      <c r="U3050" s="511"/>
      <c r="V3050" s="494">
        <v>120</v>
      </c>
      <c r="W3050" s="2041">
        <f t="shared" si="207"/>
        <v>0.375</v>
      </c>
    </row>
    <row r="3051" spans="2:23" s="314" customFormat="1" ht="15">
      <c r="B3051" s="313"/>
      <c r="C3051" s="302" t="s">
        <v>6892</v>
      </c>
      <c r="D3051" s="303" t="s">
        <v>6893</v>
      </c>
      <c r="E3051" s="371"/>
      <c r="F3051" s="305"/>
      <c r="G3051" s="2049" t="s">
        <v>1227</v>
      </c>
      <c r="H3051" s="307" t="s">
        <v>1243</v>
      </c>
      <c r="I3051" s="308"/>
      <c r="J3051" s="306"/>
      <c r="K3051" s="329">
        <v>30</v>
      </c>
      <c r="L3051" s="329">
        <v>30</v>
      </c>
      <c r="M3051" s="310"/>
      <c r="N3051" s="310">
        <v>45412</v>
      </c>
      <c r="O3051" s="309">
        <v>6107</v>
      </c>
      <c r="P3051" s="685"/>
      <c r="Q3051" s="329">
        <v>30</v>
      </c>
      <c r="R3051" s="329">
        <v>30</v>
      </c>
      <c r="S3051" s="113">
        <v>3175</v>
      </c>
      <c r="T3051" s="113">
        <v>3175</v>
      </c>
      <c r="U3051" s="688"/>
      <c r="V3051" s="494">
        <v>120</v>
      </c>
      <c r="W3051" s="2041">
        <f t="shared" si="207"/>
        <v>0.11805555555555555</v>
      </c>
    </row>
    <row r="3052" spans="2:23" s="80" customFormat="1" ht="15">
      <c r="B3052" s="540"/>
      <c r="C3052" s="76" t="s">
        <v>6897</v>
      </c>
      <c r="D3052" s="77" t="s">
        <v>2285</v>
      </c>
      <c r="E3052" s="252" t="s">
        <v>6898</v>
      </c>
      <c r="F3052" s="78"/>
      <c r="G3052" s="79"/>
      <c r="H3052" s="247"/>
      <c r="I3052" s="248"/>
      <c r="J3052" s="247"/>
      <c r="K3052" s="426" t="s">
        <v>6901</v>
      </c>
      <c r="L3052" s="428"/>
      <c r="M3052" s="576"/>
      <c r="N3052" s="576"/>
      <c r="O3052" s="427"/>
      <c r="P3052" s="76" t="s">
        <v>3</v>
      </c>
      <c r="Q3052" s="2243"/>
      <c r="S3052" s="250"/>
      <c r="U3052" s="2244"/>
      <c r="V3052" s="546">
        <v>120</v>
      </c>
      <c r="W3052" s="2117" t="e">
        <f t="shared" si="207"/>
        <v>#VALUE!</v>
      </c>
    </row>
    <row r="3053" spans="2:23" s="80" customFormat="1" ht="15.95" customHeight="1">
      <c r="B3053" s="540"/>
      <c r="C3053" s="76" t="s">
        <v>6897</v>
      </c>
      <c r="D3053" s="77" t="s">
        <v>2285</v>
      </c>
      <c r="E3053" s="249" t="s">
        <v>6899</v>
      </c>
      <c r="F3053" s="616"/>
      <c r="G3053" s="616" t="s">
        <v>6900</v>
      </c>
      <c r="H3053" s="253"/>
      <c r="I3053" s="2245"/>
      <c r="J3053" s="2246">
        <v>3600</v>
      </c>
      <c r="K3053" s="250">
        <v>0.91</v>
      </c>
      <c r="L3053" s="250">
        <f>K3053*J3053</f>
        <v>3276</v>
      </c>
      <c r="M3053" s="2118" t="s">
        <v>3736</v>
      </c>
      <c r="N3053" s="2247" t="s">
        <v>6911</v>
      </c>
      <c r="O3053" s="2247" t="s">
        <v>6911</v>
      </c>
      <c r="P3053" s="250">
        <f>K3053*0.92</f>
        <v>0.83720000000000006</v>
      </c>
      <c r="Q3053" s="2243">
        <v>0.84</v>
      </c>
      <c r="R3053" s="2115">
        <f>Q3053*J3053</f>
        <v>3024</v>
      </c>
      <c r="S3053" s="250">
        <f>K3053*0.84</f>
        <v>0.76439999999999997</v>
      </c>
      <c r="T3053" s="2248">
        <f>S3053*J3053</f>
        <v>2751.8399999999997</v>
      </c>
      <c r="U3053" s="250"/>
      <c r="V3053" s="546">
        <v>120</v>
      </c>
      <c r="W3053" s="2117"/>
    </row>
    <row r="3054" spans="2:23" s="2127" customFormat="1" ht="15.6" customHeight="1">
      <c r="B3054" s="2121"/>
      <c r="C3054" s="76" t="s">
        <v>6897</v>
      </c>
      <c r="D3054" s="77" t="s">
        <v>2285</v>
      </c>
      <c r="E3054" s="79"/>
      <c r="F3054" s="616"/>
      <c r="G3054" s="616" t="s">
        <v>1227</v>
      </c>
      <c r="H3054" s="619" t="s">
        <v>5693</v>
      </c>
      <c r="I3054" s="254"/>
      <c r="J3054" s="253"/>
      <c r="K3054" s="250">
        <v>0</v>
      </c>
      <c r="L3054" s="576"/>
      <c r="M3054" s="576"/>
      <c r="N3054" s="576"/>
      <c r="O3054" s="427"/>
      <c r="P3054" s="76"/>
      <c r="Q3054" s="2249">
        <v>0</v>
      </c>
      <c r="S3054" s="546">
        <v>0</v>
      </c>
      <c r="T3054" s="2250">
        <v>0</v>
      </c>
      <c r="U3054" s="2251"/>
      <c r="V3054" s="546">
        <v>120</v>
      </c>
      <c r="W3054" s="2117" t="e">
        <f>(((K3054*V3054)-S3054)/(K3054*V3054))</f>
        <v>#DIV/0!</v>
      </c>
    </row>
    <row r="3055" spans="2:23" s="7" customFormat="1" ht="15">
      <c r="B3055" s="12"/>
      <c r="C3055" s="6" t="s">
        <v>6907</v>
      </c>
      <c r="D3055" s="15" t="s">
        <v>169</v>
      </c>
      <c r="E3055" s="20" t="s">
        <v>6908</v>
      </c>
      <c r="F3055" s="26"/>
      <c r="G3055" s="24"/>
      <c r="H3055" s="67"/>
      <c r="I3055" s="68"/>
      <c r="J3055" s="67"/>
      <c r="K3055" s="17" t="s">
        <v>10</v>
      </c>
      <c r="L3055" s="213"/>
      <c r="M3055" s="39"/>
      <c r="N3055" s="39">
        <v>45469</v>
      </c>
      <c r="O3055" s="38">
        <v>6209</v>
      </c>
      <c r="P3055" s="6" t="s">
        <v>3</v>
      </c>
      <c r="Q3055" s="703"/>
      <c r="S3055" s="46"/>
      <c r="U3055" s="23"/>
      <c r="V3055" s="494">
        <v>120</v>
      </c>
      <c r="W3055" s="2041" t="e">
        <f>(((K3055*V3055)-S3055)/(K3055*V3055))</f>
        <v>#VALUE!</v>
      </c>
    </row>
    <row r="3056" spans="2:23" s="7" customFormat="1" ht="15.95" customHeight="1">
      <c r="B3056" s="12"/>
      <c r="C3056" s="6" t="s">
        <v>6907</v>
      </c>
      <c r="D3056" s="15" t="s">
        <v>169</v>
      </c>
      <c r="E3056" s="24" t="s">
        <v>6909</v>
      </c>
      <c r="F3056" s="44"/>
      <c r="G3056" s="44" t="s">
        <v>6900</v>
      </c>
      <c r="H3056" s="19">
        <v>6.1</v>
      </c>
      <c r="I3056" s="2087">
        <v>3</v>
      </c>
      <c r="J3056" s="19">
        <f>H3056*I3056</f>
        <v>18.299999999999997</v>
      </c>
      <c r="K3056" s="46">
        <v>60.36</v>
      </c>
      <c r="L3056" s="46">
        <f>K3056*J3056</f>
        <v>1104.5879999999997</v>
      </c>
      <c r="M3056" s="162" t="s">
        <v>3736</v>
      </c>
      <c r="N3056" s="39">
        <v>45469</v>
      </c>
      <c r="O3056" s="38">
        <v>6209</v>
      </c>
      <c r="P3056" s="46">
        <f>K3056*0.92</f>
        <v>55.531199999999998</v>
      </c>
      <c r="Q3056" s="703">
        <v>55.53</v>
      </c>
      <c r="R3056" s="704">
        <f>Q3056*J3056</f>
        <v>1016.1989999999998</v>
      </c>
      <c r="S3056" s="46">
        <f>K3056*0.84</f>
        <v>50.702399999999997</v>
      </c>
      <c r="T3056" s="1308">
        <f>S3056*J3056</f>
        <v>927.85391999999979</v>
      </c>
      <c r="U3056" s="46"/>
      <c r="V3056" s="494">
        <v>120</v>
      </c>
      <c r="W3056" s="2041"/>
    </row>
    <row r="3057" spans="1:23" s="314" customFormat="1" ht="15.6" customHeight="1">
      <c r="B3057" s="313"/>
      <c r="C3057" s="302" t="s">
        <v>6907</v>
      </c>
      <c r="D3057" s="303" t="s">
        <v>169</v>
      </c>
      <c r="E3057" s="371"/>
      <c r="F3057" s="305"/>
      <c r="G3057" s="305" t="s">
        <v>1227</v>
      </c>
      <c r="H3057" s="307" t="s">
        <v>5693</v>
      </c>
      <c r="I3057" s="308"/>
      <c r="J3057" s="306"/>
      <c r="K3057" s="329">
        <v>82.1</v>
      </c>
      <c r="L3057" s="329">
        <v>82.1</v>
      </c>
      <c r="M3057" s="310"/>
      <c r="N3057" s="310">
        <v>45469</v>
      </c>
      <c r="O3057" s="309">
        <v>6209</v>
      </c>
      <c r="P3057" s="329" t="s">
        <v>6910</v>
      </c>
      <c r="Q3057" s="329" t="s">
        <v>6910</v>
      </c>
      <c r="S3057" s="329" t="s">
        <v>6910</v>
      </c>
      <c r="T3057" s="329" t="s">
        <v>6910</v>
      </c>
      <c r="U3057" s="1115"/>
      <c r="V3057" s="494">
        <v>120</v>
      </c>
      <c r="W3057" s="2041" t="e">
        <f>(((K3057*V3057)-S3057)/(K3057*V3057))</f>
        <v>#VALUE!</v>
      </c>
    </row>
    <row r="3058" spans="1:23" s="7" customFormat="1" ht="18" customHeight="1">
      <c r="A3058" s="1"/>
      <c r="B3058" s="12"/>
      <c r="C3058" s="6" t="s">
        <v>6920</v>
      </c>
      <c r="D3058" s="15" t="s">
        <v>5251</v>
      </c>
      <c r="E3058" s="20" t="s">
        <v>6923</v>
      </c>
      <c r="F3058" s="24"/>
      <c r="G3058" s="44"/>
      <c r="H3058" s="151"/>
      <c r="I3058" s="151"/>
      <c r="J3058" s="151"/>
      <c r="K3058" s="153" t="s">
        <v>10</v>
      </c>
      <c r="L3058" s="39"/>
      <c r="M3058" s="39"/>
      <c r="N3058" s="39">
        <v>45427</v>
      </c>
      <c r="O3058" s="38">
        <v>6132</v>
      </c>
      <c r="P3058" s="6"/>
      <c r="Q3058" s="411"/>
      <c r="S3058" s="489"/>
      <c r="T3058" s="113"/>
      <c r="U3058" s="501"/>
      <c r="V3058" s="494">
        <v>120</v>
      </c>
    </row>
    <row r="3059" spans="1:23" s="7" customFormat="1" ht="15.95" customHeight="1">
      <c r="A3059" s="1"/>
      <c r="B3059" s="12" t="s">
        <v>1856</v>
      </c>
      <c r="C3059" s="6" t="s">
        <v>6914</v>
      </c>
      <c r="D3059" s="15" t="s">
        <v>5251</v>
      </c>
      <c r="E3059" s="1010" t="s">
        <v>6913</v>
      </c>
      <c r="F3059" s="44"/>
      <c r="G3059" s="24" t="s">
        <v>78</v>
      </c>
      <c r="H3059" s="8"/>
      <c r="I3059" s="41"/>
      <c r="J3059" s="67">
        <v>5</v>
      </c>
      <c r="K3059" s="1007">
        <v>0.59</v>
      </c>
      <c r="L3059" s="46">
        <f>K3059*J3059</f>
        <v>2.9499999999999997</v>
      </c>
      <c r="M3059" s="162" t="s">
        <v>2219</v>
      </c>
      <c r="N3059" s="39">
        <v>45427</v>
      </c>
      <c r="O3059" s="38">
        <v>6132</v>
      </c>
      <c r="P3059" s="180">
        <f>K3059*(VLOOKUP(B3059,$C$2:$F$6,3,FALSE))</f>
        <v>0.51919999999999999</v>
      </c>
      <c r="Q3059" s="483">
        <v>0.52</v>
      </c>
      <c r="R3059" s="704">
        <f>Q3059*J3059</f>
        <v>2.6</v>
      </c>
      <c r="S3059" s="489">
        <v>42</v>
      </c>
      <c r="T3059" s="113">
        <f>S3059*J3059</f>
        <v>210</v>
      </c>
      <c r="U3059" s="517"/>
      <c r="V3059" s="494">
        <v>120</v>
      </c>
      <c r="W3059" s="2041">
        <f>(((K3059*V3059)-S3059)/(K3059*V3059))</f>
        <v>0.40677966101694912</v>
      </c>
    </row>
    <row r="3060" spans="1:23" ht="15.95" customHeight="1">
      <c r="C3060" s="6" t="s">
        <v>6914</v>
      </c>
      <c r="D3060" s="15" t="s">
        <v>5251</v>
      </c>
      <c r="E3060" s="24"/>
      <c r="F3060" s="138"/>
      <c r="G3060" s="44" t="s">
        <v>1993</v>
      </c>
      <c r="H3060" s="8"/>
      <c r="I3060" s="68"/>
      <c r="J3060" s="45">
        <v>1</v>
      </c>
      <c r="K3060" s="46">
        <v>12</v>
      </c>
      <c r="L3060" s="46">
        <f>K3060*J3060</f>
        <v>12</v>
      </c>
      <c r="M3060" s="112"/>
      <c r="N3060" s="39">
        <v>45427</v>
      </c>
      <c r="O3060" s="38">
        <v>6132</v>
      </c>
      <c r="P3060" s="179"/>
      <c r="Q3060" s="180">
        <v>12</v>
      </c>
      <c r="R3060" s="180">
        <v>12</v>
      </c>
      <c r="S3060" s="498">
        <v>900</v>
      </c>
      <c r="T3060" s="568">
        <f>S3060*J3060</f>
        <v>900</v>
      </c>
      <c r="U3060" s="511"/>
      <c r="V3060" s="494">
        <v>120</v>
      </c>
      <c r="W3060" s="2041">
        <f>(((K3060*V3060)-S3060)/(K3060*V3060))</f>
        <v>0.375</v>
      </c>
    </row>
    <row r="3061" spans="1:23" s="314" customFormat="1" ht="18" customHeight="1">
      <c r="B3061" s="313"/>
      <c r="C3061" s="302" t="s">
        <v>6914</v>
      </c>
      <c r="D3061" s="303" t="s">
        <v>5251</v>
      </c>
      <c r="E3061" s="371"/>
      <c r="F3061" s="305"/>
      <c r="G3061" s="305" t="s">
        <v>1227</v>
      </c>
      <c r="H3061" s="307" t="s">
        <v>1228</v>
      </c>
      <c r="I3061" s="308"/>
      <c r="J3061" s="306"/>
      <c r="K3061" s="315">
        <v>0</v>
      </c>
      <c r="L3061" s="310"/>
      <c r="M3061" s="310"/>
      <c r="N3061" s="310">
        <v>45427</v>
      </c>
      <c r="O3061" s="309">
        <v>6132</v>
      </c>
      <c r="P3061" s="302"/>
      <c r="Q3061" s="531">
        <v>0</v>
      </c>
      <c r="S3061" s="535">
        <v>0</v>
      </c>
      <c r="T3061" s="322">
        <v>0</v>
      </c>
      <c r="U3061" s="1115"/>
      <c r="V3061" s="494">
        <v>120</v>
      </c>
      <c r="W3061" s="2041" t="e">
        <f>(((K3061*V3061)-S3061)/(K3061*V3061))</f>
        <v>#DIV/0!</v>
      </c>
    </row>
    <row r="3062" spans="1:23" s="7" customFormat="1" ht="18" customHeight="1">
      <c r="A3062" s="1"/>
      <c r="B3062" s="12"/>
      <c r="C3062" s="6"/>
      <c r="D3062" s="15" t="s">
        <v>5251</v>
      </c>
      <c r="E3062" s="20" t="s">
        <v>6915</v>
      </c>
      <c r="F3062" s="24"/>
      <c r="G3062" s="44"/>
      <c r="H3062" s="151"/>
      <c r="I3062" s="151"/>
      <c r="J3062" s="151"/>
      <c r="K3062" s="153" t="s">
        <v>10</v>
      </c>
      <c r="L3062" s="39"/>
      <c r="M3062" s="39"/>
      <c r="N3062" s="39"/>
      <c r="O3062" s="38"/>
      <c r="P3062" s="6"/>
      <c r="Q3062" s="411"/>
      <c r="S3062" s="489"/>
      <c r="T3062" s="113"/>
      <c r="U3062" s="501"/>
      <c r="V3062" s="494">
        <v>120</v>
      </c>
    </row>
    <row r="3063" spans="1:23" s="7" customFormat="1" ht="15.95" customHeight="1">
      <c r="A3063" s="1"/>
      <c r="B3063" s="12" t="s">
        <v>1856</v>
      </c>
      <c r="C3063" s="6"/>
      <c r="D3063" s="15" t="s">
        <v>5251</v>
      </c>
      <c r="E3063" s="2252" t="s">
        <v>6913</v>
      </c>
      <c r="F3063" s="44"/>
      <c r="G3063" s="24" t="s">
        <v>6916</v>
      </c>
      <c r="H3063" s="8"/>
      <c r="I3063" s="41"/>
      <c r="J3063" s="67">
        <v>10</v>
      </c>
      <c r="K3063" s="1007">
        <v>1.56</v>
      </c>
      <c r="L3063" s="46">
        <f>K3063*J3063</f>
        <v>15.600000000000001</v>
      </c>
      <c r="M3063" s="162" t="s">
        <v>2219</v>
      </c>
      <c r="N3063" s="417" t="s">
        <v>6924</v>
      </c>
      <c r="O3063" s="38"/>
      <c r="P3063" s="180">
        <f>K3063*(VLOOKUP(B3063,$C$2:$F$6,3,FALSE))</f>
        <v>1.3728</v>
      </c>
      <c r="Q3063" s="483">
        <v>1.37</v>
      </c>
      <c r="R3063" s="704">
        <f>Q3063*J3063</f>
        <v>13.700000000000001</v>
      </c>
      <c r="S3063" s="489">
        <v>42</v>
      </c>
      <c r="T3063" s="113">
        <f>S3063*J3063</f>
        <v>420</v>
      </c>
      <c r="U3063" s="517"/>
      <c r="V3063" s="494">
        <v>120</v>
      </c>
      <c r="W3063" s="2041">
        <f t="shared" ref="W3063:W3095" si="208">(((K3063*V3063)-S3063)/(K3063*V3063))</f>
        <v>0.77564102564102566</v>
      </c>
    </row>
    <row r="3064" spans="1:23" s="7" customFormat="1" ht="15.95" customHeight="1">
      <c r="A3064" s="1"/>
      <c r="B3064" s="12" t="s">
        <v>1856</v>
      </c>
      <c r="C3064" s="6"/>
      <c r="D3064" s="15" t="s">
        <v>5251</v>
      </c>
      <c r="E3064" s="2252" t="s">
        <v>6913</v>
      </c>
      <c r="F3064" s="44"/>
      <c r="G3064" s="24" t="s">
        <v>6917</v>
      </c>
      <c r="H3064" s="8"/>
      <c r="I3064" s="41"/>
      <c r="J3064" s="67">
        <v>10</v>
      </c>
      <c r="K3064" s="1007">
        <v>1.56</v>
      </c>
      <c r="L3064" s="46">
        <f>K3064*J3064</f>
        <v>15.600000000000001</v>
      </c>
      <c r="M3064" s="162" t="s">
        <v>2219</v>
      </c>
      <c r="N3064" s="417" t="s">
        <v>6924</v>
      </c>
      <c r="O3064" s="38"/>
      <c r="P3064" s="180">
        <f>K3064*(VLOOKUP(B3064,$C$2:$F$6,3,FALSE))</f>
        <v>1.3728</v>
      </c>
      <c r="Q3064" s="483">
        <v>1.37</v>
      </c>
      <c r="R3064" s="704">
        <f>Q3064*J3064</f>
        <v>13.700000000000001</v>
      </c>
      <c r="S3064" s="489">
        <v>42</v>
      </c>
      <c r="T3064" s="113">
        <f>S3064*J3064</f>
        <v>420</v>
      </c>
      <c r="U3064" s="517"/>
      <c r="V3064" s="494">
        <v>120</v>
      </c>
      <c r="W3064" s="2041">
        <f t="shared" si="208"/>
        <v>0.77564102564102566</v>
      </c>
    </row>
    <row r="3065" spans="1:23" s="7" customFormat="1" ht="15.95" customHeight="1">
      <c r="A3065" s="1"/>
      <c r="B3065" s="12" t="s">
        <v>1856</v>
      </c>
      <c r="C3065" s="6"/>
      <c r="D3065" s="15" t="s">
        <v>5251</v>
      </c>
      <c r="E3065" s="2252" t="s">
        <v>6913</v>
      </c>
      <c r="F3065" s="44"/>
      <c r="G3065" s="24" t="s">
        <v>6918</v>
      </c>
      <c r="H3065" s="8"/>
      <c r="I3065" s="41"/>
      <c r="J3065" s="67">
        <v>10</v>
      </c>
      <c r="K3065" s="1007">
        <v>1.56</v>
      </c>
      <c r="L3065" s="46">
        <f>K3065*J3065</f>
        <v>15.600000000000001</v>
      </c>
      <c r="M3065" s="162" t="s">
        <v>2219</v>
      </c>
      <c r="N3065" s="417" t="s">
        <v>6924</v>
      </c>
      <c r="O3065" s="38"/>
      <c r="P3065" s="180">
        <f>K3065*(VLOOKUP(B3065,$C$2:$F$6,3,FALSE))</f>
        <v>1.3728</v>
      </c>
      <c r="Q3065" s="483">
        <v>1.37</v>
      </c>
      <c r="R3065" s="704">
        <f>Q3065*J3065</f>
        <v>13.700000000000001</v>
      </c>
      <c r="S3065" s="489">
        <v>42</v>
      </c>
      <c r="T3065" s="113">
        <f>S3065*J3065</f>
        <v>420</v>
      </c>
      <c r="U3065" s="517"/>
      <c r="V3065" s="494">
        <v>120</v>
      </c>
      <c r="W3065" s="2041">
        <f t="shared" si="208"/>
        <v>0.77564102564102566</v>
      </c>
    </row>
    <row r="3066" spans="1:23" ht="15.95" customHeight="1">
      <c r="C3066" s="6"/>
      <c r="D3066" s="15" t="s">
        <v>5251</v>
      </c>
      <c r="E3066" s="24"/>
      <c r="F3066" s="138"/>
      <c r="G3066" s="44" t="s">
        <v>256</v>
      </c>
      <c r="H3066" s="8"/>
      <c r="I3066" s="68"/>
      <c r="J3066" s="45">
        <v>3</v>
      </c>
      <c r="K3066" s="46">
        <v>75</v>
      </c>
      <c r="L3066" s="46">
        <f>K3066*J3066</f>
        <v>225</v>
      </c>
      <c r="M3066" s="112"/>
      <c r="N3066" s="417" t="s">
        <v>6924</v>
      </c>
      <c r="O3066" s="38"/>
      <c r="P3066" s="179"/>
      <c r="Q3066" s="180">
        <v>75</v>
      </c>
      <c r="R3066" s="704">
        <f>Q3066*J3066</f>
        <v>225</v>
      </c>
      <c r="S3066" s="498">
        <v>7000</v>
      </c>
      <c r="T3066" s="568">
        <f>S3066*J3066</f>
        <v>21000</v>
      </c>
      <c r="U3066" s="511"/>
      <c r="V3066" s="494">
        <v>120</v>
      </c>
      <c r="W3066" s="2041">
        <f t="shared" si="208"/>
        <v>0.22222222222222221</v>
      </c>
    </row>
    <row r="3067" spans="1:23" s="314" customFormat="1" ht="18" customHeight="1">
      <c r="B3067" s="313"/>
      <c r="C3067" s="302"/>
      <c r="D3067" s="303" t="s">
        <v>5251</v>
      </c>
      <c r="E3067" s="371"/>
      <c r="F3067" s="305"/>
      <c r="G3067" s="305" t="s">
        <v>1227</v>
      </c>
      <c r="H3067" s="307" t="s">
        <v>1228</v>
      </c>
      <c r="I3067" s="308"/>
      <c r="J3067" s="306"/>
      <c r="K3067" s="315">
        <v>0</v>
      </c>
      <c r="L3067" s="310"/>
      <c r="M3067" s="310"/>
      <c r="N3067" s="310"/>
      <c r="O3067" s="309"/>
      <c r="P3067" s="302"/>
      <c r="Q3067" s="531">
        <v>0</v>
      </c>
      <c r="S3067" s="535">
        <v>0</v>
      </c>
      <c r="T3067" s="322">
        <v>0</v>
      </c>
      <c r="U3067" s="1115"/>
      <c r="V3067" s="494">
        <v>120</v>
      </c>
      <c r="W3067" s="2041" t="e">
        <f t="shared" si="208"/>
        <v>#DIV/0!</v>
      </c>
    </row>
    <row r="3068" spans="1:23" s="7" customFormat="1" ht="18" customHeight="1">
      <c r="B3068" s="12"/>
      <c r="C3068" s="6" t="s">
        <v>6948</v>
      </c>
      <c r="D3068" s="15" t="s">
        <v>2451</v>
      </c>
      <c r="E3068" s="20" t="s">
        <v>79</v>
      </c>
      <c r="F3068" s="150"/>
      <c r="G3068" s="24"/>
      <c r="H3068" s="151"/>
      <c r="I3068" s="152"/>
      <c r="J3068" s="151"/>
      <c r="K3068" s="34" t="s">
        <v>10</v>
      </c>
      <c r="L3068" s="39"/>
      <c r="M3068" s="39"/>
      <c r="N3068" s="39">
        <v>45483</v>
      </c>
      <c r="O3068" s="38">
        <v>6226</v>
      </c>
      <c r="P3068" s="15"/>
      <c r="Q3068" s="483"/>
      <c r="S3068" s="489"/>
      <c r="T3068" s="113"/>
      <c r="U3068" s="506"/>
      <c r="V3068" s="494">
        <v>120</v>
      </c>
      <c r="W3068" s="2041" t="e">
        <f t="shared" si="208"/>
        <v>#VALUE!</v>
      </c>
    </row>
    <row r="3069" spans="1:23" s="7" customFormat="1" ht="15" customHeight="1">
      <c r="B3069" s="12" t="s">
        <v>1858</v>
      </c>
      <c r="C3069" s="6" t="s">
        <v>6948</v>
      </c>
      <c r="D3069" s="15" t="s">
        <v>2451</v>
      </c>
      <c r="E3069" s="24">
        <v>2440</v>
      </c>
      <c r="F3069" s="150">
        <v>140</v>
      </c>
      <c r="G3069" s="24" t="s">
        <v>6922</v>
      </c>
      <c r="H3069" s="8">
        <v>52</v>
      </c>
      <c r="I3069" s="41">
        <v>2</v>
      </c>
      <c r="J3069" s="67">
        <f t="shared" ref="J3069:J3079" si="209">H3069*I3069</f>
        <v>104</v>
      </c>
      <c r="K3069" s="46">
        <v>4.88</v>
      </c>
      <c r="L3069" s="46">
        <f t="shared" ref="L3069:L3080" si="210">K3069*J3069</f>
        <v>507.52</v>
      </c>
      <c r="M3069" s="162" t="s">
        <v>2219</v>
      </c>
      <c r="N3069" s="39">
        <v>45483</v>
      </c>
      <c r="O3069" s="38">
        <v>6226</v>
      </c>
      <c r="P3069" s="46">
        <v>4.12</v>
      </c>
      <c r="Q3069" s="483">
        <v>4.12</v>
      </c>
      <c r="R3069" s="704">
        <f t="shared" ref="R3069:R3079" si="211">Q3069*J3069</f>
        <v>428.48</v>
      </c>
      <c r="S3069" s="489">
        <v>250</v>
      </c>
      <c r="T3069" s="567">
        <f t="shared" ref="T3069:T3079" si="212">S3069*J3069</f>
        <v>26000</v>
      </c>
      <c r="U3069" s="882"/>
      <c r="V3069" s="494">
        <v>120</v>
      </c>
      <c r="W3069" s="2041">
        <f t="shared" si="208"/>
        <v>0.57308743169398912</v>
      </c>
    </row>
    <row r="3070" spans="1:23" s="7" customFormat="1" ht="15" customHeight="1">
      <c r="B3070" s="12" t="s">
        <v>1858</v>
      </c>
      <c r="C3070" s="6" t="s">
        <v>6948</v>
      </c>
      <c r="D3070" s="15" t="s">
        <v>2451</v>
      </c>
      <c r="E3070" s="24">
        <v>2440</v>
      </c>
      <c r="F3070" s="150">
        <v>140</v>
      </c>
      <c r="G3070" s="24" t="s">
        <v>6922</v>
      </c>
      <c r="H3070" s="8">
        <v>57</v>
      </c>
      <c r="I3070" s="41">
        <v>1</v>
      </c>
      <c r="J3070" s="67">
        <f t="shared" si="209"/>
        <v>57</v>
      </c>
      <c r="K3070" s="46">
        <v>4.88</v>
      </c>
      <c r="L3070" s="46">
        <f t="shared" si="210"/>
        <v>278.15999999999997</v>
      </c>
      <c r="M3070" s="162" t="s">
        <v>2219</v>
      </c>
      <c r="N3070" s="39">
        <v>45483</v>
      </c>
      <c r="O3070" s="38">
        <v>6226</v>
      </c>
      <c r="P3070" s="46">
        <v>4.12</v>
      </c>
      <c r="Q3070" s="483">
        <v>4.12</v>
      </c>
      <c r="R3070" s="704">
        <f t="shared" si="211"/>
        <v>234.84</v>
      </c>
      <c r="S3070" s="489">
        <v>250</v>
      </c>
      <c r="T3070" s="567">
        <f t="shared" si="212"/>
        <v>14250</v>
      </c>
      <c r="U3070" s="882"/>
      <c r="V3070" s="494">
        <v>120</v>
      </c>
      <c r="W3070" s="2041">
        <f t="shared" si="208"/>
        <v>0.57308743169398912</v>
      </c>
    </row>
    <row r="3071" spans="1:23" s="7" customFormat="1" ht="15.75">
      <c r="B3071" s="12" t="s">
        <v>1858</v>
      </c>
      <c r="C3071" s="6" t="s">
        <v>6948</v>
      </c>
      <c r="D3071" s="15" t="s">
        <v>2451</v>
      </c>
      <c r="E3071" s="24">
        <v>2440</v>
      </c>
      <c r="F3071" s="150">
        <v>140</v>
      </c>
      <c r="G3071" s="24" t="s">
        <v>6922</v>
      </c>
      <c r="H3071" s="8">
        <v>58</v>
      </c>
      <c r="I3071" s="41">
        <v>15</v>
      </c>
      <c r="J3071" s="67">
        <f t="shared" si="209"/>
        <v>870</v>
      </c>
      <c r="K3071" s="46">
        <v>4.88</v>
      </c>
      <c r="L3071" s="46">
        <f t="shared" si="210"/>
        <v>4245.5999999999995</v>
      </c>
      <c r="M3071" s="162" t="s">
        <v>2219</v>
      </c>
      <c r="N3071" s="39">
        <v>45483</v>
      </c>
      <c r="O3071" s="38">
        <v>6226</v>
      </c>
      <c r="P3071" s="46">
        <v>4.12</v>
      </c>
      <c r="Q3071" s="483">
        <v>4.12</v>
      </c>
      <c r="R3071" s="704">
        <f t="shared" si="211"/>
        <v>3584.4</v>
      </c>
      <c r="S3071" s="489">
        <v>250</v>
      </c>
      <c r="T3071" s="567">
        <f t="shared" si="212"/>
        <v>217500</v>
      </c>
      <c r="U3071" s="882"/>
      <c r="V3071" s="494">
        <v>120</v>
      </c>
      <c r="W3071" s="2041">
        <f t="shared" si="208"/>
        <v>0.57308743169398912</v>
      </c>
    </row>
    <row r="3072" spans="1:23" s="7" customFormat="1" ht="15.75">
      <c r="B3072" s="12" t="s">
        <v>1858</v>
      </c>
      <c r="C3072" s="6" t="s">
        <v>6948</v>
      </c>
      <c r="D3072" s="15" t="s">
        <v>2451</v>
      </c>
      <c r="E3072" s="24">
        <v>2440</v>
      </c>
      <c r="F3072" s="150">
        <v>140</v>
      </c>
      <c r="G3072" s="24" t="s">
        <v>6922</v>
      </c>
      <c r="H3072" s="8">
        <v>58</v>
      </c>
      <c r="I3072" s="41">
        <v>12</v>
      </c>
      <c r="J3072" s="67">
        <f t="shared" si="209"/>
        <v>696</v>
      </c>
      <c r="K3072" s="46">
        <v>4.88</v>
      </c>
      <c r="L3072" s="46">
        <f t="shared" si="210"/>
        <v>3396.48</v>
      </c>
      <c r="M3072" s="162" t="s">
        <v>2219</v>
      </c>
      <c r="N3072" s="39">
        <v>45483</v>
      </c>
      <c r="O3072" s="38">
        <v>6226</v>
      </c>
      <c r="P3072" s="46">
        <v>4.12</v>
      </c>
      <c r="Q3072" s="483">
        <v>4.12</v>
      </c>
      <c r="R3072" s="704">
        <f t="shared" si="211"/>
        <v>2867.52</v>
      </c>
      <c r="S3072" s="489">
        <v>300</v>
      </c>
      <c r="T3072" s="567">
        <f t="shared" si="212"/>
        <v>208800</v>
      </c>
      <c r="U3072" s="882"/>
      <c r="V3072" s="494">
        <v>120</v>
      </c>
      <c r="W3072" s="2041">
        <f t="shared" si="208"/>
        <v>0.48770491803278693</v>
      </c>
    </row>
    <row r="3073" spans="2:23" s="7" customFormat="1" ht="15" customHeight="1">
      <c r="B3073" s="12" t="s">
        <v>1858</v>
      </c>
      <c r="C3073" s="6" t="s">
        <v>6948</v>
      </c>
      <c r="D3073" s="15" t="s">
        <v>2451</v>
      </c>
      <c r="E3073" s="24">
        <v>2440</v>
      </c>
      <c r="F3073" s="150">
        <v>140</v>
      </c>
      <c r="G3073" s="24" t="s">
        <v>6922</v>
      </c>
      <c r="H3073" s="8">
        <v>55</v>
      </c>
      <c r="I3073" s="41">
        <v>1</v>
      </c>
      <c r="J3073" s="67">
        <f t="shared" si="209"/>
        <v>55</v>
      </c>
      <c r="K3073" s="46">
        <v>4.88</v>
      </c>
      <c r="L3073" s="46">
        <f t="shared" si="210"/>
        <v>268.39999999999998</v>
      </c>
      <c r="M3073" s="162" t="s">
        <v>2219</v>
      </c>
      <c r="N3073" s="39">
        <v>45483</v>
      </c>
      <c r="O3073" s="38">
        <v>6226</v>
      </c>
      <c r="P3073" s="46">
        <v>4.12</v>
      </c>
      <c r="Q3073" s="483">
        <v>4.12</v>
      </c>
      <c r="R3073" s="704">
        <f t="shared" si="211"/>
        <v>226.6</v>
      </c>
      <c r="S3073" s="489">
        <v>300</v>
      </c>
      <c r="T3073" s="567">
        <f t="shared" si="212"/>
        <v>16500</v>
      </c>
      <c r="U3073" s="882"/>
      <c r="V3073" s="494">
        <v>120</v>
      </c>
      <c r="W3073" s="2041">
        <f t="shared" si="208"/>
        <v>0.48770491803278693</v>
      </c>
    </row>
    <row r="3074" spans="2:23" s="7" customFormat="1" ht="15" customHeight="1">
      <c r="B3074" s="12" t="s">
        <v>1858</v>
      </c>
      <c r="C3074" s="6" t="s">
        <v>6948</v>
      </c>
      <c r="D3074" s="15" t="s">
        <v>2451</v>
      </c>
      <c r="E3074" s="24">
        <v>2440</v>
      </c>
      <c r="F3074" s="150">
        <v>140</v>
      </c>
      <c r="G3074" s="24" t="s">
        <v>6922</v>
      </c>
      <c r="H3074" s="8">
        <v>16</v>
      </c>
      <c r="I3074" s="41">
        <v>1</v>
      </c>
      <c r="J3074" s="67">
        <f t="shared" si="209"/>
        <v>16</v>
      </c>
      <c r="K3074" s="46">
        <v>4.88</v>
      </c>
      <c r="L3074" s="46">
        <f t="shared" si="210"/>
        <v>78.08</v>
      </c>
      <c r="M3074" s="162" t="s">
        <v>2219</v>
      </c>
      <c r="N3074" s="39">
        <v>45483</v>
      </c>
      <c r="O3074" s="38">
        <v>6226</v>
      </c>
      <c r="P3074" s="46">
        <v>4.12</v>
      </c>
      <c r="Q3074" s="483">
        <v>4.12</v>
      </c>
      <c r="R3074" s="704">
        <f t="shared" si="211"/>
        <v>65.92</v>
      </c>
      <c r="S3074" s="489">
        <v>300</v>
      </c>
      <c r="T3074" s="567">
        <f t="shared" si="212"/>
        <v>4800</v>
      </c>
      <c r="U3074" s="882"/>
      <c r="V3074" s="494">
        <v>120</v>
      </c>
      <c r="W3074" s="2041">
        <f t="shared" si="208"/>
        <v>0.48770491803278693</v>
      </c>
    </row>
    <row r="3075" spans="2:23" s="7" customFormat="1" ht="15" customHeight="1">
      <c r="B3075" s="12" t="s">
        <v>1858</v>
      </c>
      <c r="C3075" s="6" t="s">
        <v>6948</v>
      </c>
      <c r="D3075" s="15" t="s">
        <v>2451</v>
      </c>
      <c r="E3075" s="24">
        <v>2440</v>
      </c>
      <c r="F3075" s="150">
        <v>140</v>
      </c>
      <c r="G3075" s="24" t="s">
        <v>6922</v>
      </c>
      <c r="H3075" s="8">
        <v>45</v>
      </c>
      <c r="I3075" s="41">
        <v>1</v>
      </c>
      <c r="J3075" s="67">
        <f t="shared" si="209"/>
        <v>45</v>
      </c>
      <c r="K3075" s="46">
        <v>4.88</v>
      </c>
      <c r="L3075" s="46">
        <f t="shared" si="210"/>
        <v>219.6</v>
      </c>
      <c r="M3075" s="162" t="s">
        <v>2219</v>
      </c>
      <c r="N3075" s="39">
        <v>45483</v>
      </c>
      <c r="O3075" s="38">
        <v>6226</v>
      </c>
      <c r="P3075" s="46">
        <v>4.12</v>
      </c>
      <c r="Q3075" s="483">
        <v>4.12</v>
      </c>
      <c r="R3075" s="704">
        <f t="shared" si="211"/>
        <v>185.4</v>
      </c>
      <c r="S3075" s="489">
        <v>300</v>
      </c>
      <c r="T3075" s="567">
        <f t="shared" si="212"/>
        <v>13500</v>
      </c>
      <c r="U3075" s="882"/>
      <c r="V3075" s="494">
        <v>120</v>
      </c>
      <c r="W3075" s="2041">
        <f t="shared" si="208"/>
        <v>0.48770491803278693</v>
      </c>
    </row>
    <row r="3076" spans="2:23" s="7" customFormat="1" ht="15" customHeight="1">
      <c r="B3076" s="12" t="s">
        <v>1858</v>
      </c>
      <c r="C3076" s="6" t="s">
        <v>6948</v>
      </c>
      <c r="D3076" s="15" t="s">
        <v>2451</v>
      </c>
      <c r="E3076" s="24">
        <v>2440</v>
      </c>
      <c r="F3076" s="150">
        <v>140</v>
      </c>
      <c r="G3076" s="24" t="s">
        <v>6922</v>
      </c>
      <c r="H3076" s="8">
        <v>27</v>
      </c>
      <c r="I3076" s="41">
        <v>1</v>
      </c>
      <c r="J3076" s="67">
        <f t="shared" si="209"/>
        <v>27</v>
      </c>
      <c r="K3076" s="46">
        <v>4.88</v>
      </c>
      <c r="L3076" s="46">
        <f t="shared" si="210"/>
        <v>131.76</v>
      </c>
      <c r="M3076" s="162" t="s">
        <v>2219</v>
      </c>
      <c r="N3076" s="39">
        <v>45483</v>
      </c>
      <c r="O3076" s="38">
        <v>6226</v>
      </c>
      <c r="P3076" s="46">
        <v>4.12</v>
      </c>
      <c r="Q3076" s="483">
        <v>4.12</v>
      </c>
      <c r="R3076" s="704">
        <f t="shared" si="211"/>
        <v>111.24000000000001</v>
      </c>
      <c r="S3076" s="489">
        <v>300</v>
      </c>
      <c r="T3076" s="567">
        <f t="shared" si="212"/>
        <v>8100</v>
      </c>
      <c r="U3076" s="882"/>
      <c r="V3076" s="494">
        <v>120</v>
      </c>
      <c r="W3076" s="2041">
        <f t="shared" si="208"/>
        <v>0.48770491803278693</v>
      </c>
    </row>
    <row r="3077" spans="2:23" s="7" customFormat="1" ht="15" customHeight="1">
      <c r="B3077" s="12" t="s">
        <v>1858</v>
      </c>
      <c r="C3077" s="6" t="s">
        <v>6948</v>
      </c>
      <c r="D3077" s="15" t="s">
        <v>2451</v>
      </c>
      <c r="E3077" s="24">
        <v>2440</v>
      </c>
      <c r="F3077" s="150">
        <v>140</v>
      </c>
      <c r="G3077" s="24" t="s">
        <v>30</v>
      </c>
      <c r="H3077" s="8">
        <v>58</v>
      </c>
      <c r="I3077" s="41">
        <v>28</v>
      </c>
      <c r="J3077" s="67">
        <f t="shared" si="209"/>
        <v>1624</v>
      </c>
      <c r="K3077" s="46">
        <v>4.88</v>
      </c>
      <c r="L3077" s="46">
        <f t="shared" si="210"/>
        <v>7925.12</v>
      </c>
      <c r="M3077" s="162" t="s">
        <v>2219</v>
      </c>
      <c r="N3077" s="39">
        <v>45483</v>
      </c>
      <c r="O3077" s="38">
        <v>6226</v>
      </c>
      <c r="P3077" s="46">
        <v>4.12</v>
      </c>
      <c r="Q3077" s="483">
        <v>4.12</v>
      </c>
      <c r="R3077" s="704">
        <f t="shared" si="211"/>
        <v>6690.88</v>
      </c>
      <c r="S3077" s="489">
        <v>300</v>
      </c>
      <c r="T3077" s="567">
        <f t="shared" si="212"/>
        <v>487200</v>
      </c>
      <c r="U3077" s="882"/>
      <c r="V3077" s="494">
        <v>120</v>
      </c>
      <c r="W3077" s="2041">
        <f t="shared" si="208"/>
        <v>0.48770491803278693</v>
      </c>
    </row>
    <row r="3078" spans="2:23" s="7" customFormat="1" ht="15" customHeight="1">
      <c r="B3078" s="12" t="s">
        <v>1858</v>
      </c>
      <c r="C3078" s="6" t="s">
        <v>6948</v>
      </c>
      <c r="D3078" s="15" t="s">
        <v>2451</v>
      </c>
      <c r="E3078" s="24">
        <v>2440</v>
      </c>
      <c r="F3078" s="150">
        <v>140</v>
      </c>
      <c r="G3078" s="24" t="s">
        <v>30</v>
      </c>
      <c r="H3078" s="8">
        <v>58</v>
      </c>
      <c r="I3078" s="41">
        <v>2</v>
      </c>
      <c r="J3078" s="67">
        <f t="shared" si="209"/>
        <v>116</v>
      </c>
      <c r="K3078" s="46">
        <v>4.88</v>
      </c>
      <c r="L3078" s="46">
        <f t="shared" si="210"/>
        <v>566.08000000000004</v>
      </c>
      <c r="M3078" s="162" t="s">
        <v>2219</v>
      </c>
      <c r="N3078" s="39">
        <v>45483</v>
      </c>
      <c r="O3078" s="38">
        <v>6226</v>
      </c>
      <c r="P3078" s="46">
        <v>4.12</v>
      </c>
      <c r="Q3078" s="483">
        <v>4.12</v>
      </c>
      <c r="R3078" s="704">
        <f t="shared" si="211"/>
        <v>477.92</v>
      </c>
      <c r="S3078" s="489">
        <v>300</v>
      </c>
      <c r="T3078" s="567">
        <f t="shared" si="212"/>
        <v>34800</v>
      </c>
      <c r="U3078" s="882"/>
      <c r="V3078" s="494">
        <v>120</v>
      </c>
      <c r="W3078" s="2041">
        <f t="shared" si="208"/>
        <v>0.48770491803278693</v>
      </c>
    </row>
    <row r="3079" spans="2:23" s="7" customFormat="1" ht="15" customHeight="1">
      <c r="B3079" s="12" t="s">
        <v>1858</v>
      </c>
      <c r="C3079" s="6" t="s">
        <v>6948</v>
      </c>
      <c r="D3079" s="15" t="s">
        <v>2451</v>
      </c>
      <c r="E3079" s="24">
        <v>2440</v>
      </c>
      <c r="F3079" s="150">
        <v>140</v>
      </c>
      <c r="G3079" s="24" t="s">
        <v>6921</v>
      </c>
      <c r="H3079" s="8">
        <v>58</v>
      </c>
      <c r="I3079" s="41">
        <v>6</v>
      </c>
      <c r="J3079" s="8">
        <f t="shared" si="209"/>
        <v>348</v>
      </c>
      <c r="K3079" s="46">
        <v>4.88</v>
      </c>
      <c r="L3079" s="46">
        <f t="shared" si="210"/>
        <v>1698.24</v>
      </c>
      <c r="M3079" s="162" t="s">
        <v>2219</v>
      </c>
      <c r="N3079" s="39">
        <v>45483</v>
      </c>
      <c r="O3079" s="38">
        <v>6226</v>
      </c>
      <c r="P3079" s="46">
        <v>4.12</v>
      </c>
      <c r="Q3079" s="483">
        <v>4.12</v>
      </c>
      <c r="R3079" s="704">
        <f t="shared" si="211"/>
        <v>1433.76</v>
      </c>
      <c r="S3079" s="489">
        <v>300</v>
      </c>
      <c r="T3079" s="567">
        <f t="shared" si="212"/>
        <v>104400</v>
      </c>
      <c r="U3079" s="882"/>
      <c r="V3079" s="494">
        <v>120</v>
      </c>
      <c r="W3079" s="2041">
        <f t="shared" si="208"/>
        <v>0.48770491803278693</v>
      </c>
    </row>
    <row r="3080" spans="2:23" s="7" customFormat="1" ht="15" customHeight="1">
      <c r="B3080" s="12" t="s">
        <v>1862</v>
      </c>
      <c r="C3080" s="6" t="s">
        <v>6948</v>
      </c>
      <c r="D3080" s="15" t="s">
        <v>2451</v>
      </c>
      <c r="E3080" s="24"/>
      <c r="F3080" s="138"/>
      <c r="G3080" s="44" t="s">
        <v>5355</v>
      </c>
      <c r="H3080" s="45"/>
      <c r="I3080" s="41"/>
      <c r="J3080" s="45">
        <v>1</v>
      </c>
      <c r="K3080" s="46">
        <v>12</v>
      </c>
      <c r="L3080" s="46">
        <f t="shared" si="210"/>
        <v>12</v>
      </c>
      <c r="M3080" s="112"/>
      <c r="N3080" s="39">
        <v>45483</v>
      </c>
      <c r="O3080" s="38">
        <v>6226</v>
      </c>
      <c r="P3080" s="46"/>
      <c r="Q3080" s="483">
        <v>12</v>
      </c>
      <c r="R3080" s="483">
        <v>12</v>
      </c>
      <c r="S3080" s="489">
        <v>1000</v>
      </c>
      <c r="T3080" s="489">
        <v>1000</v>
      </c>
      <c r="U3080" s="501"/>
      <c r="V3080" s="494">
        <v>120</v>
      </c>
      <c r="W3080" s="2041">
        <f t="shared" si="208"/>
        <v>0.30555555555555558</v>
      </c>
    </row>
    <row r="3081" spans="2:23" s="7" customFormat="1" ht="15" customHeight="1">
      <c r="B3081" s="12" t="s">
        <v>1862</v>
      </c>
      <c r="C3081" s="6" t="s">
        <v>6948</v>
      </c>
      <c r="D3081" s="15" t="s">
        <v>2451</v>
      </c>
      <c r="E3081" s="24"/>
      <c r="F3081" s="138"/>
      <c r="G3081" s="44" t="s">
        <v>5355</v>
      </c>
      <c r="H3081" s="45"/>
      <c r="I3081" s="41"/>
      <c r="J3081" s="45">
        <v>1</v>
      </c>
      <c r="K3081" s="46">
        <v>12</v>
      </c>
      <c r="L3081" s="46">
        <v>0</v>
      </c>
      <c r="M3081" s="112"/>
      <c r="N3081" s="39">
        <v>45483</v>
      </c>
      <c r="O3081" s="38">
        <v>6226</v>
      </c>
      <c r="P3081" s="46"/>
      <c r="Q3081" s="483">
        <v>12</v>
      </c>
      <c r="R3081" s="483">
        <v>12</v>
      </c>
      <c r="S3081" s="489">
        <v>1000</v>
      </c>
      <c r="T3081" s="489">
        <v>1000</v>
      </c>
      <c r="U3081" s="501"/>
      <c r="V3081" s="494">
        <v>120</v>
      </c>
      <c r="W3081" s="2041">
        <f t="shared" si="208"/>
        <v>0.30555555555555558</v>
      </c>
    </row>
    <row r="3082" spans="2:23" s="7" customFormat="1" ht="15" customHeight="1">
      <c r="B3082" s="12" t="s">
        <v>1862</v>
      </c>
      <c r="C3082" s="6" t="s">
        <v>6948</v>
      </c>
      <c r="D3082" s="15" t="s">
        <v>2451</v>
      </c>
      <c r="E3082" s="24"/>
      <c r="F3082" s="138"/>
      <c r="G3082" s="44" t="s">
        <v>1993</v>
      </c>
      <c r="H3082" s="45"/>
      <c r="I3082" s="41"/>
      <c r="J3082" s="45">
        <v>1</v>
      </c>
      <c r="K3082" s="46">
        <v>20</v>
      </c>
      <c r="L3082" s="46">
        <v>0</v>
      </c>
      <c r="M3082" s="112"/>
      <c r="N3082" s="39">
        <v>45483</v>
      </c>
      <c r="O3082" s="38">
        <v>6226</v>
      </c>
      <c r="P3082" s="46"/>
      <c r="Q3082" s="483">
        <v>15</v>
      </c>
      <c r="R3082" s="483">
        <v>15</v>
      </c>
      <c r="S3082" s="489">
        <v>1800</v>
      </c>
      <c r="T3082" s="489">
        <v>1800</v>
      </c>
      <c r="U3082" s="501"/>
      <c r="V3082" s="494">
        <v>120</v>
      </c>
      <c r="W3082" s="2041">
        <f t="shared" si="208"/>
        <v>0.25</v>
      </c>
    </row>
    <row r="3083" spans="2:23" s="7" customFormat="1" ht="15" customHeight="1">
      <c r="B3083" s="12" t="s">
        <v>1862</v>
      </c>
      <c r="C3083" s="6" t="s">
        <v>6948</v>
      </c>
      <c r="D3083" s="15" t="s">
        <v>2451</v>
      </c>
      <c r="E3083" s="24"/>
      <c r="F3083" s="138"/>
      <c r="G3083" s="44" t="s">
        <v>1993</v>
      </c>
      <c r="H3083" s="45"/>
      <c r="I3083" s="41"/>
      <c r="J3083" s="45">
        <v>1</v>
      </c>
      <c r="K3083" s="46">
        <v>20</v>
      </c>
      <c r="L3083" s="46">
        <v>0</v>
      </c>
      <c r="M3083" s="112"/>
      <c r="N3083" s="39">
        <v>45483</v>
      </c>
      <c r="O3083" s="38">
        <v>6226</v>
      </c>
      <c r="P3083" s="46"/>
      <c r="Q3083" s="483">
        <v>15</v>
      </c>
      <c r="R3083" s="483">
        <v>15</v>
      </c>
      <c r="S3083" s="489">
        <v>1800</v>
      </c>
      <c r="T3083" s="489">
        <v>1800</v>
      </c>
      <c r="U3083" s="501"/>
      <c r="V3083" s="494">
        <v>120</v>
      </c>
      <c r="W3083" s="2041">
        <f t="shared" si="208"/>
        <v>0.25</v>
      </c>
    </row>
    <row r="3084" spans="2:23" s="7" customFormat="1" ht="15" customHeight="1">
      <c r="B3084" s="12" t="s">
        <v>1862</v>
      </c>
      <c r="C3084" s="6" t="s">
        <v>6948</v>
      </c>
      <c r="D3084" s="15" t="s">
        <v>2451</v>
      </c>
      <c r="E3084" s="56"/>
      <c r="F3084" s="138"/>
      <c r="G3084" s="44" t="s">
        <v>1993</v>
      </c>
      <c r="H3084" s="45"/>
      <c r="I3084" s="41"/>
      <c r="J3084" s="45">
        <v>1</v>
      </c>
      <c r="K3084" s="46">
        <v>20</v>
      </c>
      <c r="L3084" s="46">
        <v>0</v>
      </c>
      <c r="M3084" s="112"/>
      <c r="N3084" s="39">
        <v>45483</v>
      </c>
      <c r="O3084" s="38">
        <v>6226</v>
      </c>
      <c r="P3084" s="46"/>
      <c r="Q3084" s="483">
        <v>0</v>
      </c>
      <c r="R3084" s="483">
        <v>0</v>
      </c>
      <c r="S3084" s="489">
        <v>1000</v>
      </c>
      <c r="T3084" s="489">
        <v>1000</v>
      </c>
      <c r="U3084" s="501"/>
      <c r="V3084" s="494">
        <v>120</v>
      </c>
      <c r="W3084" s="2041">
        <f t="shared" si="208"/>
        <v>0.58333333333333337</v>
      </c>
    </row>
    <row r="3085" spans="2:23" s="378" customFormat="1" ht="15" customHeight="1">
      <c r="B3085" s="312"/>
      <c r="C3085" s="302" t="s">
        <v>6948</v>
      </c>
      <c r="D3085" s="303" t="s">
        <v>2451</v>
      </c>
      <c r="E3085" s="304"/>
      <c r="F3085" s="305"/>
      <c r="G3085" s="305" t="s">
        <v>2371</v>
      </c>
      <c r="H3085" s="307" t="s">
        <v>1442</v>
      </c>
      <c r="I3085" s="308"/>
      <c r="J3085" s="306">
        <v>3770</v>
      </c>
      <c r="K3085" s="315">
        <f>0.5*3770</f>
        <v>1885</v>
      </c>
      <c r="L3085" s="310"/>
      <c r="M3085" s="310"/>
      <c r="N3085" s="310">
        <v>45483</v>
      </c>
      <c r="O3085" s="309">
        <v>6226</v>
      </c>
      <c r="P3085" s="302"/>
      <c r="Q3085" s="315">
        <v>1843</v>
      </c>
      <c r="R3085" s="315">
        <v>1843</v>
      </c>
      <c r="S3085" s="537">
        <f>105387+5510</f>
        <v>110897</v>
      </c>
      <c r="T3085" s="537">
        <f>105387+5510</f>
        <v>110897</v>
      </c>
      <c r="U3085" s="515"/>
      <c r="V3085" s="494">
        <v>120</v>
      </c>
      <c r="W3085" s="2041">
        <f t="shared" si="208"/>
        <v>0.50973916887709991</v>
      </c>
    </row>
    <row r="3086" spans="2:23" s="7" customFormat="1" ht="15">
      <c r="B3086" s="12"/>
      <c r="C3086" s="6" t="s">
        <v>6932</v>
      </c>
      <c r="D3086" s="15" t="s">
        <v>1171</v>
      </c>
      <c r="E3086" s="20" t="s">
        <v>3323</v>
      </c>
      <c r="F3086" s="44"/>
      <c r="G3086" s="44"/>
      <c r="H3086" s="151"/>
      <c r="I3086" s="151"/>
      <c r="J3086" s="151"/>
      <c r="K3086" s="34" t="s">
        <v>1027</v>
      </c>
      <c r="L3086" s="39"/>
      <c r="M3086" s="39"/>
      <c r="N3086" s="39">
        <v>45450</v>
      </c>
      <c r="O3086" s="38">
        <v>6194</v>
      </c>
      <c r="P3086" s="6"/>
      <c r="Q3086" s="524"/>
      <c r="S3086" s="489"/>
      <c r="T3086" s="113"/>
      <c r="U3086" s="501"/>
      <c r="V3086" s="494">
        <v>120</v>
      </c>
      <c r="W3086" s="2041" t="e">
        <f t="shared" si="208"/>
        <v>#VALUE!</v>
      </c>
    </row>
    <row r="3087" spans="2:23" s="7" customFormat="1" ht="15" customHeight="1">
      <c r="B3087" s="12" t="s">
        <v>1856</v>
      </c>
      <c r="C3087" s="6" t="s">
        <v>6932</v>
      </c>
      <c r="D3087" s="15" t="s">
        <v>1171</v>
      </c>
      <c r="E3087" s="20" t="s">
        <v>3324</v>
      </c>
      <c r="F3087" s="44" t="s">
        <v>5768</v>
      </c>
      <c r="G3087" s="267" t="s">
        <v>6933</v>
      </c>
      <c r="H3087" s="261"/>
      <c r="I3087" s="261"/>
      <c r="J3087" s="664">
        <v>38</v>
      </c>
      <c r="K3087" s="46">
        <v>2.38</v>
      </c>
      <c r="L3087" s="46">
        <f t="shared" ref="L3087:L3092" si="213">K3087*J3087</f>
        <v>90.44</v>
      </c>
      <c r="M3087" s="162" t="s">
        <v>2219</v>
      </c>
      <c r="N3087" s="39">
        <v>45450</v>
      </c>
      <c r="O3087" s="38">
        <v>6194</v>
      </c>
      <c r="P3087" s="46">
        <f>K3087*(VLOOKUP(B3087,$C$2:$F$6,3,FALSE))</f>
        <v>2.0943999999999998</v>
      </c>
      <c r="Q3087" s="483">
        <v>2.09</v>
      </c>
      <c r="R3087" s="704">
        <f t="shared" ref="R3087:R3092" si="214">Q3087*J3087</f>
        <v>79.419999999999987</v>
      </c>
      <c r="S3087" s="489">
        <v>128.5</v>
      </c>
      <c r="T3087" s="567">
        <f t="shared" ref="T3087:T3092" si="215">S3087*J3087</f>
        <v>4883</v>
      </c>
      <c r="U3087" s="507"/>
      <c r="V3087" s="494">
        <v>120</v>
      </c>
      <c r="W3087" s="2041">
        <f t="shared" si="208"/>
        <v>0.55007002801120441</v>
      </c>
    </row>
    <row r="3088" spans="2:23" s="7" customFormat="1" ht="15" customHeight="1">
      <c r="B3088" s="12" t="s">
        <v>1856</v>
      </c>
      <c r="C3088" s="6" t="s">
        <v>6932</v>
      </c>
      <c r="D3088" s="15" t="s">
        <v>1171</v>
      </c>
      <c r="E3088" s="20" t="s">
        <v>3324</v>
      </c>
      <c r="F3088" s="44" t="s">
        <v>5768</v>
      </c>
      <c r="G3088" s="267" t="s">
        <v>6934</v>
      </c>
      <c r="H3088" s="261"/>
      <c r="I3088" s="261"/>
      <c r="J3088" s="664">
        <v>110</v>
      </c>
      <c r="K3088" s="46">
        <v>2.38</v>
      </c>
      <c r="L3088" s="46">
        <f t="shared" si="213"/>
        <v>261.8</v>
      </c>
      <c r="M3088" s="162" t="s">
        <v>2219</v>
      </c>
      <c r="N3088" s="39">
        <v>45450</v>
      </c>
      <c r="O3088" s="38">
        <v>6194</v>
      </c>
      <c r="P3088" s="46">
        <f>K3088*(VLOOKUP(B3088,$C$2:$F$6,3,FALSE))</f>
        <v>2.0943999999999998</v>
      </c>
      <c r="Q3088" s="483">
        <v>2.09</v>
      </c>
      <c r="R3088" s="704">
        <f t="shared" si="214"/>
        <v>229.89999999999998</v>
      </c>
      <c r="S3088" s="489">
        <v>128.5</v>
      </c>
      <c r="T3088" s="567">
        <f t="shared" si="215"/>
        <v>14135</v>
      </c>
      <c r="U3088" s="507"/>
      <c r="V3088" s="494">
        <v>120</v>
      </c>
      <c r="W3088" s="2041">
        <f t="shared" si="208"/>
        <v>0.55007002801120441</v>
      </c>
    </row>
    <row r="3089" spans="2:23" s="7" customFormat="1" ht="15" customHeight="1">
      <c r="B3089" s="12" t="s">
        <v>1856</v>
      </c>
      <c r="C3089" s="6" t="s">
        <v>6932</v>
      </c>
      <c r="D3089" s="15" t="s">
        <v>1171</v>
      </c>
      <c r="E3089" s="20" t="s">
        <v>3324</v>
      </c>
      <c r="F3089" s="44" t="s">
        <v>5768</v>
      </c>
      <c r="G3089" s="267" t="s">
        <v>6935</v>
      </c>
      <c r="H3089" s="261"/>
      <c r="I3089" s="261"/>
      <c r="J3089" s="664">
        <v>38</v>
      </c>
      <c r="K3089" s="46">
        <v>2.38</v>
      </c>
      <c r="L3089" s="46">
        <f t="shared" si="213"/>
        <v>90.44</v>
      </c>
      <c r="M3089" s="162" t="s">
        <v>2219</v>
      </c>
      <c r="N3089" s="39">
        <v>45450</v>
      </c>
      <c r="O3089" s="38">
        <v>6194</v>
      </c>
      <c r="P3089" s="46">
        <f>K3089*(VLOOKUP(B3089,$C$2:$F$6,3,FALSE))</f>
        <v>2.0943999999999998</v>
      </c>
      <c r="Q3089" s="483">
        <v>2.09</v>
      </c>
      <c r="R3089" s="704">
        <f t="shared" si="214"/>
        <v>79.419999999999987</v>
      </c>
      <c r="S3089" s="489">
        <v>128.5</v>
      </c>
      <c r="T3089" s="567">
        <f t="shared" si="215"/>
        <v>4883</v>
      </c>
      <c r="U3089" s="507"/>
      <c r="V3089" s="494">
        <v>120</v>
      </c>
      <c r="W3089" s="2041">
        <f t="shared" si="208"/>
        <v>0.55007002801120441</v>
      </c>
    </row>
    <row r="3090" spans="2:23" s="7" customFormat="1" ht="15" customHeight="1">
      <c r="B3090" s="12" t="s">
        <v>1856</v>
      </c>
      <c r="C3090" s="6" t="s">
        <v>6932</v>
      </c>
      <c r="D3090" s="15" t="s">
        <v>1171</v>
      </c>
      <c r="E3090" s="20" t="s">
        <v>3324</v>
      </c>
      <c r="F3090" s="44" t="s">
        <v>5768</v>
      </c>
      <c r="G3090" s="267" t="s">
        <v>6936</v>
      </c>
      <c r="H3090" s="261"/>
      <c r="I3090" s="261"/>
      <c r="J3090" s="664">
        <v>100</v>
      </c>
      <c r="K3090" s="46">
        <v>2.38</v>
      </c>
      <c r="L3090" s="46">
        <f t="shared" si="213"/>
        <v>238</v>
      </c>
      <c r="M3090" s="162" t="s">
        <v>2219</v>
      </c>
      <c r="N3090" s="39">
        <v>45450</v>
      </c>
      <c r="O3090" s="38">
        <v>6194</v>
      </c>
      <c r="P3090" s="46">
        <f>K3090*(VLOOKUP(B3090,$C$2:$F$6,3,FALSE))</f>
        <v>2.0943999999999998</v>
      </c>
      <c r="Q3090" s="483">
        <v>2.09</v>
      </c>
      <c r="R3090" s="704">
        <f t="shared" si="214"/>
        <v>209</v>
      </c>
      <c r="S3090" s="489">
        <v>128.5</v>
      </c>
      <c r="T3090" s="567">
        <f t="shared" si="215"/>
        <v>12850</v>
      </c>
      <c r="U3090" s="507"/>
      <c r="V3090" s="494">
        <v>120</v>
      </c>
      <c r="W3090" s="2041">
        <f t="shared" si="208"/>
        <v>0.55007002801120441</v>
      </c>
    </row>
    <row r="3091" spans="2:23" s="7" customFormat="1" ht="15" customHeight="1">
      <c r="B3091" s="12" t="s">
        <v>1862</v>
      </c>
      <c r="C3091" s="6" t="s">
        <v>6932</v>
      </c>
      <c r="D3091" s="15" t="s">
        <v>1171</v>
      </c>
      <c r="E3091" s="24"/>
      <c r="F3091" s="138"/>
      <c r="G3091" s="44" t="s">
        <v>2014</v>
      </c>
      <c r="H3091" s="8"/>
      <c r="I3091" s="41"/>
      <c r="J3091" s="45">
        <v>2</v>
      </c>
      <c r="K3091" s="46">
        <v>7</v>
      </c>
      <c r="L3091" s="46">
        <f t="shared" si="213"/>
        <v>14</v>
      </c>
      <c r="M3091" s="162" t="s">
        <v>2219</v>
      </c>
      <c r="N3091" s="39">
        <v>45450</v>
      </c>
      <c r="O3091" s="38">
        <v>6194</v>
      </c>
      <c r="P3091" s="46">
        <f>K3091*(VLOOKUP(B3091,$C$2:$F$6,3,FALSE))</f>
        <v>7</v>
      </c>
      <c r="Q3091" s="483">
        <v>7</v>
      </c>
      <c r="R3091" s="704">
        <f t="shared" si="214"/>
        <v>14</v>
      </c>
      <c r="S3091" s="489">
        <v>500</v>
      </c>
      <c r="T3091" s="567">
        <f t="shared" si="215"/>
        <v>1000</v>
      </c>
      <c r="U3091" s="501"/>
      <c r="V3091" s="494">
        <v>120</v>
      </c>
      <c r="W3091" s="2041">
        <f t="shared" si="208"/>
        <v>0.40476190476190477</v>
      </c>
    </row>
    <row r="3092" spans="2:23" s="7" customFormat="1" ht="15.95" customHeight="1">
      <c r="B3092" s="12"/>
      <c r="C3092" s="6" t="s">
        <v>6932</v>
      </c>
      <c r="D3092" s="15" t="s">
        <v>1171</v>
      </c>
      <c r="E3092" s="24"/>
      <c r="F3092" s="138"/>
      <c r="G3092" s="44" t="s">
        <v>1993</v>
      </c>
      <c r="H3092" s="8"/>
      <c r="I3092" s="41"/>
      <c r="J3092" s="45">
        <v>1</v>
      </c>
      <c r="K3092" s="46">
        <v>12</v>
      </c>
      <c r="L3092" s="46">
        <f t="shared" si="213"/>
        <v>12</v>
      </c>
      <c r="M3092" s="39"/>
      <c r="N3092" s="39">
        <v>45450</v>
      </c>
      <c r="O3092" s="38">
        <v>6194</v>
      </c>
      <c r="P3092" s="6"/>
      <c r="Q3092" s="483">
        <v>12</v>
      </c>
      <c r="R3092" s="704">
        <f t="shared" si="214"/>
        <v>12</v>
      </c>
      <c r="S3092" s="489">
        <v>1100</v>
      </c>
      <c r="T3092" s="113">
        <f t="shared" si="215"/>
        <v>1100</v>
      </c>
      <c r="U3092" s="501"/>
      <c r="V3092" s="494">
        <v>120</v>
      </c>
      <c r="W3092" s="2041">
        <f t="shared" si="208"/>
        <v>0.2361111111111111</v>
      </c>
    </row>
    <row r="3093" spans="2:23" s="314" customFormat="1" ht="15.6" customHeight="1">
      <c r="B3093" s="313"/>
      <c r="C3093" s="302" t="s">
        <v>6932</v>
      </c>
      <c r="D3093" s="303" t="s">
        <v>1171</v>
      </c>
      <c r="E3093" s="304"/>
      <c r="F3093" s="305"/>
      <c r="G3093" s="305" t="s">
        <v>1227</v>
      </c>
      <c r="H3093" s="307" t="s">
        <v>3438</v>
      </c>
      <c r="I3093" s="308"/>
      <c r="J3093" s="306"/>
      <c r="K3093" s="329">
        <v>46</v>
      </c>
      <c r="L3093" s="329">
        <v>46</v>
      </c>
      <c r="M3093" s="310"/>
      <c r="N3093" s="310">
        <v>45450</v>
      </c>
      <c r="O3093" s="309">
        <v>6194</v>
      </c>
      <c r="P3093" s="302"/>
      <c r="Q3093" s="329">
        <v>46</v>
      </c>
      <c r="R3093" s="329">
        <v>46</v>
      </c>
      <c r="S3093" s="661">
        <v>5571</v>
      </c>
      <c r="T3093" s="661">
        <v>5571</v>
      </c>
      <c r="U3093" s="515"/>
      <c r="V3093" s="494">
        <v>120</v>
      </c>
      <c r="W3093" s="2041">
        <f t="shared" si="208"/>
        <v>-9.2391304347826091E-3</v>
      </c>
    </row>
    <row r="3094" spans="2:23" s="7" customFormat="1" ht="15" customHeight="1">
      <c r="B3094" s="12"/>
      <c r="C3094" s="6" t="s">
        <v>6938</v>
      </c>
      <c r="D3094" s="15" t="s">
        <v>6889</v>
      </c>
      <c r="E3094" s="20" t="s">
        <v>6457</v>
      </c>
      <c r="F3094" s="26"/>
      <c r="G3094" s="24"/>
      <c r="H3094" s="67"/>
      <c r="I3094" s="68"/>
      <c r="J3094" s="67"/>
      <c r="K3094" s="17" t="s">
        <v>134</v>
      </c>
      <c r="L3094" s="39"/>
      <c r="M3094" s="39"/>
      <c r="N3094" s="39">
        <v>45436</v>
      </c>
      <c r="O3094" s="38">
        <v>6150</v>
      </c>
      <c r="P3094" s="179" t="s">
        <v>23</v>
      </c>
      <c r="Q3094" s="438" t="s">
        <v>959</v>
      </c>
      <c r="R3094" s="704"/>
      <c r="S3094" s="707"/>
      <c r="T3094" s="113"/>
      <c r="U3094" s="2068"/>
      <c r="V3094" s="494">
        <v>120</v>
      </c>
      <c r="W3094" s="2041" t="e">
        <f t="shared" si="208"/>
        <v>#VALUE!</v>
      </c>
    </row>
    <row r="3095" spans="2:23" s="7" customFormat="1" ht="18" customHeight="1">
      <c r="B3095" s="12" t="s">
        <v>1856</v>
      </c>
      <c r="C3095" s="6" t="s">
        <v>6938</v>
      </c>
      <c r="D3095" s="15" t="s">
        <v>6889</v>
      </c>
      <c r="E3095" s="24">
        <v>12740</v>
      </c>
      <c r="F3095" s="26">
        <v>9</v>
      </c>
      <c r="G3095" s="24" t="s">
        <v>6939</v>
      </c>
      <c r="H3095" s="67">
        <v>10</v>
      </c>
      <c r="I3095" s="68">
        <v>3</v>
      </c>
      <c r="J3095" s="67">
        <f>H3095*I3095</f>
        <v>30</v>
      </c>
      <c r="K3095" s="46">
        <v>2.02</v>
      </c>
      <c r="L3095" s="46">
        <f>K3095*J3095</f>
        <v>60.6</v>
      </c>
      <c r="M3095" s="162" t="s">
        <v>2219</v>
      </c>
      <c r="N3095" s="39">
        <v>45436</v>
      </c>
      <c r="O3095" s="38">
        <v>6150</v>
      </c>
      <c r="P3095" s="46">
        <v>0.92</v>
      </c>
      <c r="Q3095" s="180">
        <v>0.92</v>
      </c>
      <c r="R3095" s="704">
        <f>Q3095*J3095</f>
        <v>27.6</v>
      </c>
      <c r="S3095" s="489">
        <v>61.6</v>
      </c>
      <c r="T3095" s="113">
        <f>S3095*J3095</f>
        <v>1848</v>
      </c>
      <c r="U3095" s="489"/>
      <c r="V3095" s="494">
        <v>120</v>
      </c>
      <c r="W3095" s="2041">
        <f t="shared" si="208"/>
        <v>0.74587458745874591</v>
      </c>
    </row>
    <row r="3096" spans="2:23" s="314" customFormat="1" ht="15">
      <c r="B3096" s="313"/>
      <c r="C3096" s="302" t="s">
        <v>6938</v>
      </c>
      <c r="D3096" s="303" t="s">
        <v>6889</v>
      </c>
      <c r="E3096" s="304"/>
      <c r="F3096" s="305"/>
      <c r="G3096" s="305" t="s">
        <v>1227</v>
      </c>
      <c r="H3096" s="307"/>
      <c r="I3096" s="308" t="s">
        <v>6941</v>
      </c>
      <c r="J3096" s="410">
        <v>30</v>
      </c>
      <c r="K3096" s="315">
        <f>0.98*J3096</f>
        <v>29.4</v>
      </c>
      <c r="L3096" s="310"/>
      <c r="M3096" s="310"/>
      <c r="N3096" s="310">
        <v>45436</v>
      </c>
      <c r="O3096" s="309">
        <v>6150</v>
      </c>
      <c r="P3096" s="302"/>
      <c r="Q3096" s="315">
        <v>29.4</v>
      </c>
      <c r="R3096" s="315">
        <v>29.4</v>
      </c>
      <c r="S3096" s="1142">
        <v>2025</v>
      </c>
      <c r="T3096" s="1142">
        <v>2025</v>
      </c>
      <c r="U3096" s="515"/>
      <c r="V3096" s="494">
        <v>120</v>
      </c>
    </row>
    <row r="3097" spans="2:23" ht="15">
      <c r="C3097" s="6" t="s">
        <v>6943</v>
      </c>
      <c r="D3097" s="15" t="s">
        <v>169</v>
      </c>
      <c r="E3097" s="20" t="s">
        <v>6942</v>
      </c>
      <c r="F3097" s="150"/>
      <c r="G3097" s="24"/>
      <c r="H3097" s="151"/>
      <c r="I3097" s="152"/>
      <c r="J3097" s="151"/>
      <c r="K3097" s="153" t="s">
        <v>10</v>
      </c>
      <c r="L3097" s="39"/>
      <c r="M3097" s="39"/>
      <c r="N3097" s="39">
        <v>45441</v>
      </c>
      <c r="O3097" s="38">
        <v>6146</v>
      </c>
      <c r="P3097" s="15"/>
      <c r="Q3097" s="483"/>
      <c r="S3097" s="2208"/>
      <c r="T3097" s="113"/>
      <c r="V3097" s="494">
        <v>120</v>
      </c>
      <c r="W3097" s="2041" t="e">
        <f t="shared" ref="W3097:W3113" si="216">(((K3097*V3097)-S3097)/(K3097*V3097))</f>
        <v>#VALUE!</v>
      </c>
    </row>
    <row r="3098" spans="2:23" ht="15.75">
      <c r="B3098" s="12" t="s">
        <v>1858</v>
      </c>
      <c r="C3098" s="6" t="s">
        <v>6943</v>
      </c>
      <c r="D3098" s="15" t="s">
        <v>169</v>
      </c>
      <c r="E3098" s="407" t="s">
        <v>3315</v>
      </c>
      <c r="F3098" s="202" t="s">
        <v>6088</v>
      </c>
      <c r="G3098" s="1207" t="s">
        <v>6073</v>
      </c>
      <c r="H3098" s="19">
        <v>42.7</v>
      </c>
      <c r="I3098" s="68">
        <v>1</v>
      </c>
      <c r="J3098" s="198">
        <f>H3098*I3098</f>
        <v>42.7</v>
      </c>
      <c r="K3098" s="703">
        <v>20.84</v>
      </c>
      <c r="L3098" s="46">
        <f>K3098*J3098</f>
        <v>889.86800000000005</v>
      </c>
      <c r="M3098" s="162" t="s">
        <v>2219</v>
      </c>
      <c r="N3098" s="39">
        <v>45441</v>
      </c>
      <c r="O3098" s="38">
        <v>6146</v>
      </c>
      <c r="P3098" s="46">
        <f>K3098*(VLOOKUP(B3098,$C$2:$F$6,3,FALSE))</f>
        <v>19.589599999999997</v>
      </c>
      <c r="Q3098" s="483">
        <v>19.59</v>
      </c>
      <c r="R3098" s="704">
        <f>Q3098*J3098</f>
        <v>836.49300000000005</v>
      </c>
      <c r="S3098" s="532">
        <v>1930</v>
      </c>
      <c r="T3098" s="567">
        <f>S3098*J3098</f>
        <v>82411</v>
      </c>
      <c r="V3098" s="494">
        <v>120</v>
      </c>
      <c r="W3098" s="2041">
        <f t="shared" si="216"/>
        <v>0.22824696097248887</v>
      </c>
    </row>
    <row r="3099" spans="2:23" s="7" customFormat="1" ht="15.95" customHeight="1">
      <c r="B3099" s="12"/>
      <c r="C3099" s="6" t="s">
        <v>6943</v>
      </c>
      <c r="D3099" s="15" t="s">
        <v>169</v>
      </c>
      <c r="E3099" s="24"/>
      <c r="F3099" s="138"/>
      <c r="G3099" s="44" t="s">
        <v>1993</v>
      </c>
      <c r="H3099" s="8"/>
      <c r="I3099" s="41"/>
      <c r="J3099" s="45">
        <v>1</v>
      </c>
      <c r="K3099" s="46">
        <v>20</v>
      </c>
      <c r="L3099" s="46">
        <f>K3099*J3099</f>
        <v>20</v>
      </c>
      <c r="M3099" s="39"/>
      <c r="N3099" s="39">
        <v>45441</v>
      </c>
      <c r="O3099" s="38">
        <v>6146</v>
      </c>
      <c r="P3099" s="6"/>
      <c r="Q3099" s="483">
        <v>20</v>
      </c>
      <c r="R3099" s="704">
        <f>Q3099*J3099</f>
        <v>20</v>
      </c>
      <c r="S3099" s="489">
        <v>0</v>
      </c>
      <c r="T3099" s="113">
        <f>S3099*J3099</f>
        <v>0</v>
      </c>
      <c r="U3099" s="501"/>
      <c r="V3099" s="494">
        <v>120</v>
      </c>
      <c r="W3099" s="2041">
        <f t="shared" si="216"/>
        <v>1</v>
      </c>
    </row>
    <row r="3100" spans="2:23" s="314" customFormat="1" ht="15.6" customHeight="1">
      <c r="B3100" s="313"/>
      <c r="C3100" s="302" t="s">
        <v>6943</v>
      </c>
      <c r="D3100" s="303" t="s">
        <v>169</v>
      </c>
      <c r="E3100" s="304"/>
      <c r="F3100" s="305"/>
      <c r="G3100" s="305" t="s">
        <v>1227</v>
      </c>
      <c r="H3100" s="307" t="s">
        <v>3438</v>
      </c>
      <c r="I3100" s="308"/>
      <c r="J3100" s="306"/>
      <c r="K3100" s="329">
        <v>285</v>
      </c>
      <c r="L3100" s="329">
        <v>285</v>
      </c>
      <c r="M3100" s="310"/>
      <c r="N3100" s="310">
        <v>45441</v>
      </c>
      <c r="O3100" s="309">
        <v>6146</v>
      </c>
      <c r="P3100" s="302"/>
      <c r="Q3100" s="329">
        <v>285</v>
      </c>
      <c r="R3100" s="329">
        <v>285</v>
      </c>
      <c r="S3100" s="661">
        <v>33370</v>
      </c>
      <c r="T3100" s="661">
        <v>33370</v>
      </c>
      <c r="U3100" s="515"/>
      <c r="V3100" s="494">
        <v>120</v>
      </c>
      <c r="W3100" s="2041">
        <f t="shared" si="216"/>
        <v>2.4269005847953218E-2</v>
      </c>
    </row>
    <row r="3101" spans="2:23" s="7" customFormat="1" ht="15" customHeight="1">
      <c r="B3101" s="12"/>
      <c r="C3101" s="6" t="s">
        <v>6946</v>
      </c>
      <c r="D3101" s="15" t="s">
        <v>298</v>
      </c>
      <c r="E3101" s="20" t="s">
        <v>6457</v>
      </c>
      <c r="F3101" s="26"/>
      <c r="G3101" s="24"/>
      <c r="H3101" s="67"/>
      <c r="I3101" s="68"/>
      <c r="J3101" s="67"/>
      <c r="K3101" s="17" t="s">
        <v>134</v>
      </c>
      <c r="L3101" s="39"/>
      <c r="M3101" s="39"/>
      <c r="N3101" s="39">
        <v>45434</v>
      </c>
      <c r="O3101" s="38">
        <v>6142</v>
      </c>
      <c r="P3101" s="179" t="s">
        <v>23</v>
      </c>
      <c r="Q3101" s="438" t="s">
        <v>959</v>
      </c>
      <c r="R3101" s="704"/>
      <c r="S3101" s="707"/>
      <c r="T3101" s="113"/>
      <c r="U3101" s="2068"/>
      <c r="V3101" s="494">
        <v>120</v>
      </c>
      <c r="W3101" s="2041" t="e">
        <f t="shared" si="216"/>
        <v>#VALUE!</v>
      </c>
    </row>
    <row r="3102" spans="2:23" s="7" customFormat="1" ht="18" customHeight="1">
      <c r="B3102" s="12" t="s">
        <v>1856</v>
      </c>
      <c r="C3102" s="6" t="s">
        <v>6946</v>
      </c>
      <c r="D3102" s="15" t="s">
        <v>298</v>
      </c>
      <c r="E3102" s="24">
        <v>12740</v>
      </c>
      <c r="F3102" s="26">
        <v>9</v>
      </c>
      <c r="G3102" s="24" t="s">
        <v>6940</v>
      </c>
      <c r="H3102" s="67">
        <v>10</v>
      </c>
      <c r="I3102" s="68">
        <v>1</v>
      </c>
      <c r="J3102" s="67">
        <f>H3102*I3102</f>
        <v>10</v>
      </c>
      <c r="K3102" s="46">
        <v>1.04</v>
      </c>
      <c r="L3102" s="46">
        <f>K3102*J3102</f>
        <v>10.4</v>
      </c>
      <c r="M3102" s="162" t="s">
        <v>2219</v>
      </c>
      <c r="N3102" s="39">
        <v>45434</v>
      </c>
      <c r="O3102" s="38">
        <v>6142</v>
      </c>
      <c r="P3102" s="46">
        <f>K3102*(VLOOKUP(B3102,$C$2:$F$6,3,FALSE))</f>
        <v>0.91520000000000001</v>
      </c>
      <c r="Q3102" s="180">
        <v>0.92</v>
      </c>
      <c r="R3102" s="704">
        <f>Q3102*J3102</f>
        <v>9.2000000000000011</v>
      </c>
      <c r="S3102" s="489">
        <v>61.6</v>
      </c>
      <c r="T3102" s="113">
        <f>S3102*J3102</f>
        <v>616</v>
      </c>
      <c r="U3102" s="489"/>
      <c r="V3102" s="494">
        <v>120</v>
      </c>
      <c r="W3102" s="2041">
        <f t="shared" si="216"/>
        <v>0.5064102564102565</v>
      </c>
    </row>
    <row r="3103" spans="2:23" ht="15.95" customHeight="1">
      <c r="C3103" s="6" t="s">
        <v>6946</v>
      </c>
      <c r="D3103" s="15" t="s">
        <v>298</v>
      </c>
      <c r="E3103" s="24"/>
      <c r="F3103" s="138"/>
      <c r="G3103" s="44" t="s">
        <v>1993</v>
      </c>
      <c r="H3103" s="8"/>
      <c r="I3103" s="68"/>
      <c r="J3103" s="45">
        <v>1</v>
      </c>
      <c r="K3103" s="46">
        <v>12</v>
      </c>
      <c r="L3103" s="46">
        <f>K3103*J3103</f>
        <v>12</v>
      </c>
      <c r="M3103" s="112"/>
      <c r="N3103" s="39">
        <v>45434</v>
      </c>
      <c r="O3103" s="38">
        <v>6142</v>
      </c>
      <c r="P3103" s="179"/>
      <c r="Q3103" s="180">
        <v>12</v>
      </c>
      <c r="R3103" s="180">
        <v>12</v>
      </c>
      <c r="S3103" s="498">
        <v>0</v>
      </c>
      <c r="T3103" s="568">
        <f>S3103*J3103</f>
        <v>0</v>
      </c>
      <c r="U3103" s="511"/>
      <c r="V3103" s="494">
        <v>120</v>
      </c>
      <c r="W3103" s="2041">
        <f t="shared" si="216"/>
        <v>1</v>
      </c>
    </row>
    <row r="3104" spans="2:23" s="314" customFormat="1" ht="15">
      <c r="B3104" s="313"/>
      <c r="C3104" s="302" t="s">
        <v>6946</v>
      </c>
      <c r="D3104" s="303" t="s">
        <v>298</v>
      </c>
      <c r="E3104" s="304"/>
      <c r="F3104" s="305"/>
      <c r="G3104" s="305" t="s">
        <v>1227</v>
      </c>
      <c r="H3104" s="307" t="s">
        <v>1228</v>
      </c>
      <c r="I3104" s="308"/>
      <c r="J3104" s="306"/>
      <c r="K3104" s="315">
        <v>0</v>
      </c>
      <c r="L3104" s="310"/>
      <c r="M3104" s="310"/>
      <c r="N3104" s="310">
        <v>45434</v>
      </c>
      <c r="O3104" s="309">
        <v>6142</v>
      </c>
      <c r="P3104" s="302"/>
      <c r="Q3104" s="531">
        <v>0</v>
      </c>
      <c r="S3104" s="535">
        <v>0</v>
      </c>
      <c r="T3104" s="322">
        <v>0</v>
      </c>
      <c r="U3104" s="1115"/>
      <c r="V3104" s="494">
        <v>120</v>
      </c>
      <c r="W3104" s="2041" t="e">
        <f t="shared" si="216"/>
        <v>#DIV/0!</v>
      </c>
    </row>
    <row r="3105" spans="1:23" s="7" customFormat="1" ht="15">
      <c r="B3105" s="12"/>
      <c r="C3105" s="6" t="s">
        <v>6962</v>
      </c>
      <c r="D3105" s="15" t="s">
        <v>2609</v>
      </c>
      <c r="E3105" s="20" t="s">
        <v>6950</v>
      </c>
      <c r="F3105" s="44"/>
      <c r="G3105" s="44"/>
      <c r="H3105" s="151"/>
      <c r="I3105" s="151"/>
      <c r="J3105" s="151"/>
      <c r="K3105" s="34" t="s">
        <v>1027</v>
      </c>
      <c r="L3105" s="39"/>
      <c r="M3105" s="39"/>
      <c r="N3105" s="39">
        <v>45447</v>
      </c>
      <c r="O3105" s="38">
        <v>6179</v>
      </c>
      <c r="P3105" s="6"/>
      <c r="Q3105" s="524"/>
      <c r="S3105" s="489"/>
      <c r="T3105" s="113"/>
      <c r="U3105" s="501"/>
      <c r="V3105" s="494">
        <v>120</v>
      </c>
      <c r="W3105" s="2041" t="e">
        <f t="shared" si="216"/>
        <v>#VALUE!</v>
      </c>
    </row>
    <row r="3106" spans="1:23" s="7" customFormat="1" ht="15" customHeight="1">
      <c r="B3106" s="12" t="s">
        <v>1856</v>
      </c>
      <c r="C3106" s="6" t="s">
        <v>6962</v>
      </c>
      <c r="D3106" s="15" t="s">
        <v>2609</v>
      </c>
      <c r="E3106" s="20" t="s">
        <v>6951</v>
      </c>
      <c r="F3106" s="44" t="s">
        <v>6956</v>
      </c>
      <c r="G3106" s="267" t="s">
        <v>6957</v>
      </c>
      <c r="H3106" s="261"/>
      <c r="I3106" s="261"/>
      <c r="J3106" s="664">
        <v>3</v>
      </c>
      <c r="K3106" s="46">
        <v>1.39</v>
      </c>
      <c r="L3106" s="46">
        <f t="shared" ref="L3106:L3112" si="217">K3106*J3106</f>
        <v>4.17</v>
      </c>
      <c r="M3106" s="162" t="s">
        <v>2219</v>
      </c>
      <c r="N3106" s="39">
        <v>45447</v>
      </c>
      <c r="O3106" s="38">
        <v>6179</v>
      </c>
      <c r="P3106" s="46">
        <f t="shared" ref="P3106:P3111" si="218">K3106*(VLOOKUP(B3106,$C$2:$F$6,3,FALSE))</f>
        <v>1.2231999999999998</v>
      </c>
      <c r="Q3106" s="483">
        <v>1.22</v>
      </c>
      <c r="R3106" s="704">
        <f t="shared" ref="R3106:R3112" si="219">Q3106*J3106</f>
        <v>3.66</v>
      </c>
      <c r="S3106" s="489">
        <v>74.900000000000006</v>
      </c>
      <c r="T3106" s="567">
        <f t="shared" ref="T3106:T3112" si="220">S3106*J3106</f>
        <v>224.70000000000002</v>
      </c>
      <c r="U3106" s="507"/>
      <c r="V3106" s="494">
        <v>120</v>
      </c>
      <c r="W3106" s="2041">
        <f t="shared" si="216"/>
        <v>0.55095923261390878</v>
      </c>
    </row>
    <row r="3107" spans="1:23" s="7" customFormat="1" ht="15" customHeight="1">
      <c r="B3107" s="12" t="s">
        <v>1856</v>
      </c>
      <c r="C3107" s="6" t="s">
        <v>6962</v>
      </c>
      <c r="D3107" s="15" t="s">
        <v>2609</v>
      </c>
      <c r="E3107" s="20" t="s">
        <v>6952</v>
      </c>
      <c r="F3107" s="44" t="s">
        <v>6956</v>
      </c>
      <c r="G3107" s="267" t="s">
        <v>6958</v>
      </c>
      <c r="H3107" s="261"/>
      <c r="I3107" s="261"/>
      <c r="J3107" s="664">
        <v>3</v>
      </c>
      <c r="K3107" s="46">
        <v>1.19</v>
      </c>
      <c r="L3107" s="46">
        <f t="shared" si="217"/>
        <v>3.57</v>
      </c>
      <c r="M3107" s="162" t="s">
        <v>2219</v>
      </c>
      <c r="N3107" s="39">
        <v>45447</v>
      </c>
      <c r="O3107" s="38">
        <v>6179</v>
      </c>
      <c r="P3107" s="46">
        <f t="shared" si="218"/>
        <v>1.0471999999999999</v>
      </c>
      <c r="Q3107" s="483">
        <v>1.05</v>
      </c>
      <c r="R3107" s="704">
        <f t="shared" si="219"/>
        <v>3.1500000000000004</v>
      </c>
      <c r="S3107" s="489">
        <v>63.8</v>
      </c>
      <c r="T3107" s="567">
        <f t="shared" si="220"/>
        <v>191.39999999999998</v>
      </c>
      <c r="U3107" s="507"/>
      <c r="V3107" s="494">
        <v>120</v>
      </c>
      <c r="W3107" s="2041">
        <f t="shared" si="216"/>
        <v>0.55322128851540608</v>
      </c>
    </row>
    <row r="3108" spans="1:23" s="7" customFormat="1" ht="15" customHeight="1">
      <c r="B3108" s="12" t="s">
        <v>1856</v>
      </c>
      <c r="C3108" s="6" t="s">
        <v>6962</v>
      </c>
      <c r="D3108" s="15" t="s">
        <v>2609</v>
      </c>
      <c r="E3108" s="20" t="s">
        <v>6953</v>
      </c>
      <c r="F3108" s="44" t="s">
        <v>6956</v>
      </c>
      <c r="G3108" s="267" t="s">
        <v>6961</v>
      </c>
      <c r="H3108" s="261"/>
      <c r="I3108" s="261"/>
      <c r="J3108" s="664">
        <v>3</v>
      </c>
      <c r="K3108" s="46">
        <v>1.76</v>
      </c>
      <c r="L3108" s="46">
        <f t="shared" si="217"/>
        <v>5.28</v>
      </c>
      <c r="M3108" s="162" t="s">
        <v>2219</v>
      </c>
      <c r="N3108" s="39">
        <v>45447</v>
      </c>
      <c r="O3108" s="38">
        <v>6179</v>
      </c>
      <c r="P3108" s="46">
        <f t="shared" si="218"/>
        <v>1.5488</v>
      </c>
      <c r="Q3108" s="483">
        <v>1.55</v>
      </c>
      <c r="R3108" s="704">
        <f t="shared" si="219"/>
        <v>4.6500000000000004</v>
      </c>
      <c r="S3108" s="489">
        <v>94.7</v>
      </c>
      <c r="T3108" s="567">
        <f t="shared" si="220"/>
        <v>284.10000000000002</v>
      </c>
      <c r="U3108" s="507"/>
      <c r="V3108" s="494">
        <v>120</v>
      </c>
      <c r="W3108" s="2041">
        <f t="shared" si="216"/>
        <v>0.5516098484848484</v>
      </c>
    </row>
    <row r="3109" spans="1:23" s="7" customFormat="1" ht="15" customHeight="1">
      <c r="B3109" s="12" t="s">
        <v>1856</v>
      </c>
      <c r="C3109" s="6" t="s">
        <v>6962</v>
      </c>
      <c r="D3109" s="15" t="s">
        <v>2609</v>
      </c>
      <c r="E3109" s="20" t="s">
        <v>6954</v>
      </c>
      <c r="F3109" s="44" t="s">
        <v>6956</v>
      </c>
      <c r="G3109" s="267" t="s">
        <v>6959</v>
      </c>
      <c r="H3109" s="261"/>
      <c r="I3109" s="261"/>
      <c r="J3109" s="664">
        <v>3</v>
      </c>
      <c r="K3109" s="46">
        <v>1.31</v>
      </c>
      <c r="L3109" s="46">
        <f t="shared" si="217"/>
        <v>3.93</v>
      </c>
      <c r="M3109" s="162" t="s">
        <v>2219</v>
      </c>
      <c r="N3109" s="39">
        <v>45447</v>
      </c>
      <c r="O3109" s="38">
        <v>6179</v>
      </c>
      <c r="P3109" s="46">
        <f t="shared" si="218"/>
        <v>1.1528</v>
      </c>
      <c r="Q3109" s="483">
        <v>1.1499999999999999</v>
      </c>
      <c r="R3109" s="704">
        <f t="shared" si="219"/>
        <v>3.4499999999999997</v>
      </c>
      <c r="S3109" s="489">
        <v>70.599999999999994</v>
      </c>
      <c r="T3109" s="567">
        <f t="shared" si="220"/>
        <v>211.79999999999998</v>
      </c>
      <c r="U3109" s="507"/>
      <c r="V3109" s="494">
        <v>120</v>
      </c>
      <c r="W3109" s="2041">
        <f t="shared" si="216"/>
        <v>0.5508905852417304</v>
      </c>
    </row>
    <row r="3110" spans="1:23" s="7" customFormat="1" ht="15" customHeight="1">
      <c r="B3110" s="12" t="s">
        <v>1856</v>
      </c>
      <c r="C3110" s="6" t="s">
        <v>6962</v>
      </c>
      <c r="D3110" s="15" t="s">
        <v>2609</v>
      </c>
      <c r="E3110" s="20" t="s">
        <v>6955</v>
      </c>
      <c r="F3110" s="44" t="s">
        <v>6956</v>
      </c>
      <c r="G3110" s="267" t="s">
        <v>6960</v>
      </c>
      <c r="H3110" s="261"/>
      <c r="I3110" s="261"/>
      <c r="J3110" s="664">
        <v>3</v>
      </c>
      <c r="K3110" s="46">
        <v>1.39</v>
      </c>
      <c r="L3110" s="46">
        <f t="shared" si="217"/>
        <v>4.17</v>
      </c>
      <c r="M3110" s="162" t="s">
        <v>2219</v>
      </c>
      <c r="N3110" s="39">
        <v>45447</v>
      </c>
      <c r="O3110" s="38">
        <v>6179</v>
      </c>
      <c r="P3110" s="46">
        <f t="shared" si="218"/>
        <v>1.2231999999999998</v>
      </c>
      <c r="Q3110" s="483">
        <v>1.22</v>
      </c>
      <c r="R3110" s="704">
        <f t="shared" si="219"/>
        <v>3.66</v>
      </c>
      <c r="S3110" s="489">
        <v>74.5</v>
      </c>
      <c r="T3110" s="567">
        <f t="shared" si="220"/>
        <v>223.5</v>
      </c>
      <c r="U3110" s="507"/>
      <c r="V3110" s="494">
        <v>120</v>
      </c>
      <c r="W3110" s="2041">
        <f t="shared" si="216"/>
        <v>0.55335731414868106</v>
      </c>
    </row>
    <row r="3111" spans="1:23" s="7" customFormat="1" ht="15" customHeight="1">
      <c r="B3111" s="12" t="s">
        <v>1862</v>
      </c>
      <c r="C3111" s="6" t="s">
        <v>6962</v>
      </c>
      <c r="D3111" s="15" t="s">
        <v>2609</v>
      </c>
      <c r="E3111" s="24"/>
      <c r="F3111" s="138"/>
      <c r="G3111" s="44" t="s">
        <v>2014</v>
      </c>
      <c r="H3111" s="8"/>
      <c r="I3111" s="41"/>
      <c r="J3111" s="45">
        <v>5</v>
      </c>
      <c r="K3111" s="46">
        <v>7</v>
      </c>
      <c r="L3111" s="46">
        <f t="shared" si="217"/>
        <v>35</v>
      </c>
      <c r="M3111" s="162" t="s">
        <v>2219</v>
      </c>
      <c r="N3111" s="39">
        <v>45447</v>
      </c>
      <c r="O3111" s="38">
        <v>6179</v>
      </c>
      <c r="P3111" s="46">
        <f t="shared" si="218"/>
        <v>7</v>
      </c>
      <c r="Q3111" s="483">
        <v>7</v>
      </c>
      <c r="R3111" s="704">
        <f t="shared" si="219"/>
        <v>35</v>
      </c>
      <c r="S3111" s="489">
        <v>500</v>
      </c>
      <c r="T3111" s="567">
        <f t="shared" si="220"/>
        <v>2500</v>
      </c>
      <c r="U3111" s="501"/>
      <c r="V3111" s="494">
        <v>120</v>
      </c>
      <c r="W3111" s="2041">
        <f t="shared" si="216"/>
        <v>0.40476190476190477</v>
      </c>
    </row>
    <row r="3112" spans="1:23" s="7" customFormat="1" ht="15.95" customHeight="1">
      <c r="B3112" s="12"/>
      <c r="C3112" s="6" t="s">
        <v>6962</v>
      </c>
      <c r="D3112" s="15" t="s">
        <v>2609</v>
      </c>
      <c r="E3112" s="24"/>
      <c r="F3112" s="138"/>
      <c r="G3112" s="44" t="s">
        <v>1993</v>
      </c>
      <c r="H3112" s="8"/>
      <c r="I3112" s="41"/>
      <c r="J3112" s="45">
        <v>1</v>
      </c>
      <c r="K3112" s="46">
        <v>12</v>
      </c>
      <c r="L3112" s="46">
        <f t="shared" si="217"/>
        <v>12</v>
      </c>
      <c r="M3112" s="39"/>
      <c r="N3112" s="39">
        <v>45447</v>
      </c>
      <c r="O3112" s="38">
        <v>6179</v>
      </c>
      <c r="P3112" s="6"/>
      <c r="Q3112" s="483">
        <v>12</v>
      </c>
      <c r="R3112" s="704">
        <f t="shared" si="219"/>
        <v>12</v>
      </c>
      <c r="S3112" s="489">
        <v>1100</v>
      </c>
      <c r="T3112" s="113">
        <f t="shared" si="220"/>
        <v>1100</v>
      </c>
      <c r="U3112" s="501"/>
      <c r="V3112" s="494">
        <v>120</v>
      </c>
      <c r="W3112" s="2041">
        <f t="shared" si="216"/>
        <v>0.2361111111111111</v>
      </c>
    </row>
    <row r="3113" spans="1:23" s="314" customFormat="1" ht="15.6" customHeight="1">
      <c r="B3113" s="313"/>
      <c r="C3113" s="302" t="s">
        <v>6962</v>
      </c>
      <c r="D3113" s="303" t="s">
        <v>2609</v>
      </c>
      <c r="E3113" s="304"/>
      <c r="F3113" s="305"/>
      <c r="G3113" s="305" t="s">
        <v>1227</v>
      </c>
      <c r="H3113" s="307" t="s">
        <v>1228</v>
      </c>
      <c r="I3113" s="308"/>
      <c r="J3113" s="306"/>
      <c r="K3113" s="315">
        <v>0</v>
      </c>
      <c r="L3113" s="310"/>
      <c r="M3113" s="310"/>
      <c r="N3113" s="310">
        <v>45447</v>
      </c>
      <c r="O3113" s="309">
        <v>6179</v>
      </c>
      <c r="P3113" s="302"/>
      <c r="Q3113" s="531">
        <v>0</v>
      </c>
      <c r="S3113" s="535">
        <v>0</v>
      </c>
      <c r="T3113" s="322">
        <v>0</v>
      </c>
      <c r="U3113" s="1115"/>
      <c r="V3113" s="494">
        <v>120</v>
      </c>
      <c r="W3113" s="2041" t="e">
        <f t="shared" si="216"/>
        <v>#DIV/0!</v>
      </c>
    </row>
    <row r="3114" spans="1:23" s="7" customFormat="1" ht="18" customHeight="1">
      <c r="A3114" s="1"/>
      <c r="B3114" s="12"/>
      <c r="C3114" s="6" t="s">
        <v>7043</v>
      </c>
      <c r="D3114" s="15" t="s">
        <v>6992</v>
      </c>
      <c r="E3114" s="20" t="s">
        <v>6993</v>
      </c>
      <c r="F3114" s="24"/>
      <c r="G3114" s="44"/>
      <c r="H3114" s="151"/>
      <c r="I3114" s="151"/>
      <c r="J3114" s="151"/>
      <c r="K3114" s="153" t="s">
        <v>10</v>
      </c>
      <c r="L3114" s="39"/>
      <c r="M3114" s="39"/>
      <c r="N3114" s="39">
        <v>45450</v>
      </c>
      <c r="O3114" s="38">
        <v>6202</v>
      </c>
      <c r="P3114" s="6"/>
      <c r="Q3114" s="411"/>
      <c r="S3114" s="489"/>
      <c r="T3114" s="113"/>
      <c r="U3114" s="501"/>
      <c r="V3114" s="494">
        <v>120</v>
      </c>
    </row>
    <row r="3115" spans="1:23" s="7" customFormat="1" ht="15.95" customHeight="1">
      <c r="A3115" s="1"/>
      <c r="B3115" s="12" t="s">
        <v>1856</v>
      </c>
      <c r="C3115" s="6" t="s">
        <v>7043</v>
      </c>
      <c r="D3115" s="15" t="s">
        <v>6992</v>
      </c>
      <c r="E3115" s="1010" t="s">
        <v>6994</v>
      </c>
      <c r="F3115" s="44"/>
      <c r="G3115" s="24" t="s">
        <v>6995</v>
      </c>
      <c r="H3115" s="8"/>
      <c r="I3115" s="41"/>
      <c r="J3115" s="67">
        <v>3</v>
      </c>
      <c r="K3115" s="1007">
        <v>1.39</v>
      </c>
      <c r="L3115" s="46">
        <f>K3115*J3115</f>
        <v>4.17</v>
      </c>
      <c r="M3115" s="162" t="s">
        <v>2219</v>
      </c>
      <c r="N3115" s="39">
        <v>45450</v>
      </c>
      <c r="O3115" s="38">
        <v>6202</v>
      </c>
      <c r="P3115" s="180">
        <f>K3115*(VLOOKUP(B3115,$C$2:$F$6,3,FALSE))</f>
        <v>1.2231999999999998</v>
      </c>
      <c r="Q3115" s="483">
        <v>1.22</v>
      </c>
      <c r="R3115" s="704">
        <f>Q3115*J3115</f>
        <v>3.66</v>
      </c>
      <c r="S3115" s="489">
        <v>100</v>
      </c>
      <c r="T3115" s="113">
        <f>S3115*J3115</f>
        <v>300</v>
      </c>
      <c r="U3115" s="517"/>
      <c r="V3115" s="494">
        <v>120</v>
      </c>
      <c r="W3115" s="2041">
        <f>(((K3115*V3115)-S3115)/(K3115*V3115))</f>
        <v>0.40047961630695439</v>
      </c>
    </row>
    <row r="3116" spans="1:23" s="7" customFormat="1" ht="15.95" customHeight="1">
      <c r="A3116" s="1"/>
      <c r="B3116" s="12" t="s">
        <v>1856</v>
      </c>
      <c r="C3116" s="6" t="s">
        <v>7043</v>
      </c>
      <c r="D3116" s="15" t="s">
        <v>6992</v>
      </c>
      <c r="E3116" s="1010" t="s">
        <v>6996</v>
      </c>
      <c r="F3116" s="44"/>
      <c r="G3116" s="24" t="s">
        <v>6995</v>
      </c>
      <c r="H3116" s="8"/>
      <c r="I3116" s="41"/>
      <c r="J3116" s="67">
        <v>3</v>
      </c>
      <c r="K3116" s="1007">
        <v>1.39</v>
      </c>
      <c r="L3116" s="46">
        <f>K3116*J3116</f>
        <v>4.17</v>
      </c>
      <c r="M3116" s="162" t="s">
        <v>2219</v>
      </c>
      <c r="N3116" s="39">
        <v>45450</v>
      </c>
      <c r="O3116" s="38">
        <v>6202</v>
      </c>
      <c r="P3116" s="180">
        <f>K3116*(VLOOKUP(B3116,$C$2:$F$6,3,FALSE))</f>
        <v>1.2231999999999998</v>
      </c>
      <c r="Q3116" s="483">
        <v>1.22</v>
      </c>
      <c r="R3116" s="704">
        <f>Q3116*J3116</f>
        <v>3.66</v>
      </c>
      <c r="S3116" s="489">
        <v>100</v>
      </c>
      <c r="T3116" s="113">
        <f>S3116*J3116</f>
        <v>300</v>
      </c>
      <c r="U3116" s="517"/>
      <c r="V3116" s="494">
        <v>120</v>
      </c>
      <c r="W3116" s="2041">
        <f>(((K3116*V3116)-S3116)/(K3116*V3116))</f>
        <v>0.40047961630695439</v>
      </c>
    </row>
    <row r="3117" spans="1:23" s="7" customFormat="1" ht="18" customHeight="1">
      <c r="A3117" s="1"/>
      <c r="B3117" s="12"/>
      <c r="C3117" s="6" t="s">
        <v>7043</v>
      </c>
      <c r="D3117" s="15" t="s">
        <v>6992</v>
      </c>
      <c r="E3117" s="20" t="s">
        <v>7012</v>
      </c>
      <c r="F3117" s="24"/>
      <c r="G3117" s="44"/>
      <c r="H3117" s="151"/>
      <c r="I3117" s="151"/>
      <c r="J3117" s="151"/>
      <c r="K3117" s="153" t="s">
        <v>10</v>
      </c>
      <c r="L3117" s="39"/>
      <c r="M3117" s="39"/>
      <c r="N3117" s="39">
        <v>45450</v>
      </c>
      <c r="O3117" s="38">
        <v>6202</v>
      </c>
      <c r="P3117" s="6"/>
      <c r="Q3117" s="411"/>
      <c r="S3117" s="489"/>
      <c r="T3117" s="113"/>
      <c r="U3117" s="501"/>
      <c r="V3117" s="494">
        <v>120</v>
      </c>
    </row>
    <row r="3118" spans="1:23" s="7" customFormat="1" ht="15.95" customHeight="1">
      <c r="A3118" s="1"/>
      <c r="B3118" s="12" t="s">
        <v>1858</v>
      </c>
      <c r="C3118" s="6" t="s">
        <v>7043</v>
      </c>
      <c r="D3118" s="15" t="s">
        <v>6992</v>
      </c>
      <c r="E3118" s="1010" t="s">
        <v>7003</v>
      </c>
      <c r="F3118" s="44" t="s">
        <v>7014</v>
      </c>
      <c r="G3118" s="24" t="s">
        <v>5875</v>
      </c>
      <c r="H3118" s="8"/>
      <c r="I3118" s="41"/>
      <c r="J3118" s="67">
        <v>3</v>
      </c>
      <c r="K3118" s="1007">
        <v>15.49</v>
      </c>
      <c r="L3118" s="46">
        <f>K3118*J3118</f>
        <v>46.47</v>
      </c>
      <c r="M3118" s="162" t="s">
        <v>2219</v>
      </c>
      <c r="N3118" s="39">
        <v>45450</v>
      </c>
      <c r="O3118" s="38">
        <v>6202</v>
      </c>
      <c r="P3118" s="180">
        <f>K3118*(VLOOKUP(B3118,$C$2:$F$6,3,FALSE))</f>
        <v>14.560599999999999</v>
      </c>
      <c r="Q3118" s="483">
        <v>14.56</v>
      </c>
      <c r="R3118" s="704">
        <f>Q3118*J3118</f>
        <v>43.68</v>
      </c>
      <c r="S3118" s="489">
        <v>1280</v>
      </c>
      <c r="T3118" s="113">
        <f>S3118*J3118</f>
        <v>3840</v>
      </c>
      <c r="U3118" s="517"/>
      <c r="V3118" s="494">
        <v>130</v>
      </c>
      <c r="W3118" s="2041">
        <f t="shared" ref="W3118:W3130" si="221">(((K3118*V3118)-S3118)/(K3118*V3118))</f>
        <v>0.36435417390872527</v>
      </c>
    </row>
    <row r="3119" spans="1:23" s="7" customFormat="1" ht="15.95" customHeight="1">
      <c r="A3119" s="1"/>
      <c r="B3119" s="12" t="s">
        <v>1858</v>
      </c>
      <c r="C3119" s="6" t="s">
        <v>7043</v>
      </c>
      <c r="D3119" s="15" t="s">
        <v>6992</v>
      </c>
      <c r="E3119" s="1010" t="s">
        <v>7004</v>
      </c>
      <c r="F3119" s="44" t="s">
        <v>7014</v>
      </c>
      <c r="G3119" s="24" t="s">
        <v>5875</v>
      </c>
      <c r="H3119" s="8"/>
      <c r="I3119" s="41"/>
      <c r="J3119" s="67">
        <v>3</v>
      </c>
      <c r="K3119" s="1007">
        <v>15.49</v>
      </c>
      <c r="L3119" s="46">
        <f>K3119*J3119</f>
        <v>46.47</v>
      </c>
      <c r="M3119" s="162" t="s">
        <v>2219</v>
      </c>
      <c r="N3119" s="39">
        <v>45450</v>
      </c>
      <c r="O3119" s="38">
        <v>6202</v>
      </c>
      <c r="P3119" s="180">
        <f>K3119*(VLOOKUP(B3119,$C$2:$F$6,3,FALSE))</f>
        <v>14.560599999999999</v>
      </c>
      <c r="Q3119" s="483">
        <v>14.56</v>
      </c>
      <c r="R3119" s="704">
        <f>Q3119*J3119</f>
        <v>43.68</v>
      </c>
      <c r="S3119" s="489">
        <v>1280</v>
      </c>
      <c r="T3119" s="113">
        <f>S3119*J3119</f>
        <v>3840</v>
      </c>
      <c r="U3119" s="517"/>
      <c r="V3119" s="494">
        <v>130</v>
      </c>
      <c r="W3119" s="2041">
        <f t="shared" si="221"/>
        <v>0.36435417390872527</v>
      </c>
    </row>
    <row r="3120" spans="1:23" s="7" customFormat="1" ht="15.95" customHeight="1">
      <c r="B3120" s="12"/>
      <c r="C3120" s="6" t="s">
        <v>7043</v>
      </c>
      <c r="D3120" s="15" t="s">
        <v>6992</v>
      </c>
      <c r="E3120" s="24"/>
      <c r="F3120" s="138"/>
      <c r="G3120" s="44" t="s">
        <v>1993</v>
      </c>
      <c r="H3120" s="8"/>
      <c r="I3120" s="41"/>
      <c r="J3120" s="45">
        <v>1</v>
      </c>
      <c r="K3120" s="46">
        <v>20</v>
      </c>
      <c r="L3120" s="46">
        <f>K3120*J3120</f>
        <v>20</v>
      </c>
      <c r="M3120" s="39"/>
      <c r="N3120" s="39">
        <v>45450</v>
      </c>
      <c r="O3120" s="38">
        <v>6202</v>
      </c>
      <c r="P3120" s="6"/>
      <c r="Q3120" s="483">
        <v>20</v>
      </c>
      <c r="R3120" s="704">
        <f>Q3120*J3120</f>
        <v>20</v>
      </c>
      <c r="S3120" s="489">
        <f>1000*2+900+900</f>
        <v>3800</v>
      </c>
      <c r="T3120" s="113">
        <f>S3120*J3120</f>
        <v>3800</v>
      </c>
      <c r="U3120" s="501"/>
      <c r="V3120" s="494">
        <v>120</v>
      </c>
      <c r="W3120" s="2041">
        <f t="shared" si="221"/>
        <v>-0.58333333333333337</v>
      </c>
    </row>
    <row r="3121" spans="1:23" s="314" customFormat="1" ht="18" customHeight="1">
      <c r="B3121" s="313"/>
      <c r="C3121" s="302" t="s">
        <v>7043</v>
      </c>
      <c r="D3121" s="303" t="s">
        <v>6992</v>
      </c>
      <c r="E3121" s="371"/>
      <c r="F3121" s="305"/>
      <c r="G3121" s="305" t="s">
        <v>1227</v>
      </c>
      <c r="H3121" s="307" t="s">
        <v>1228</v>
      </c>
      <c r="I3121" s="308"/>
      <c r="J3121" s="306"/>
      <c r="K3121" s="315">
        <v>0</v>
      </c>
      <c r="L3121" s="310"/>
      <c r="M3121" s="310"/>
      <c r="N3121" s="310">
        <v>45450</v>
      </c>
      <c r="O3121" s="309">
        <v>6202</v>
      </c>
      <c r="P3121" s="302"/>
      <c r="Q3121" s="531">
        <v>0</v>
      </c>
      <c r="S3121" s="535">
        <v>0</v>
      </c>
      <c r="T3121" s="322">
        <v>0</v>
      </c>
      <c r="U3121" s="1115"/>
      <c r="V3121" s="494">
        <v>120</v>
      </c>
      <c r="W3121" s="2041" t="e">
        <f t="shared" si="221"/>
        <v>#DIV/0!</v>
      </c>
    </row>
    <row r="3122" spans="1:23" s="7" customFormat="1" ht="15" customHeight="1">
      <c r="A3122" s="1"/>
      <c r="B3122" s="12"/>
      <c r="C3122" s="6"/>
      <c r="D3122" s="15" t="s">
        <v>169</v>
      </c>
      <c r="E3122" s="20" t="s">
        <v>192</v>
      </c>
      <c r="F3122" s="26"/>
      <c r="G3122" s="24"/>
      <c r="H3122" s="67"/>
      <c r="I3122" s="68"/>
      <c r="J3122" s="67"/>
      <c r="K3122" s="17" t="s">
        <v>10</v>
      </c>
      <c r="L3122" s="39"/>
      <c r="M3122" s="39"/>
      <c r="N3122" s="213"/>
      <c r="O3122" s="38"/>
      <c r="P3122" s="180" t="e">
        <f>K3122*(VLOOKUP(B3122,$C$2:$F$6,3,FALSE))</f>
        <v>#VALUE!</v>
      </c>
      <c r="Q3122" s="483"/>
      <c r="R3122" s="704"/>
      <c r="S3122" s="489"/>
      <c r="T3122" s="113">
        <f>S3122*J3122</f>
        <v>0</v>
      </c>
      <c r="U3122" s="517"/>
      <c r="V3122" s="494">
        <v>120</v>
      </c>
      <c r="W3122" s="2041" t="e">
        <f t="shared" si="221"/>
        <v>#VALUE!</v>
      </c>
    </row>
    <row r="3123" spans="1:23" s="7" customFormat="1" ht="15.75" customHeight="1">
      <c r="A3123" s="1"/>
      <c r="B3123" s="12" t="s">
        <v>1856</v>
      </c>
      <c r="C3123" s="6"/>
      <c r="D3123" s="15" t="s">
        <v>169</v>
      </c>
      <c r="E3123" s="95" t="s">
        <v>7006</v>
      </c>
      <c r="F3123" s="26"/>
      <c r="G3123" s="24" t="s">
        <v>78</v>
      </c>
      <c r="H3123" s="151">
        <v>14</v>
      </c>
      <c r="I3123" s="41">
        <v>1</v>
      </c>
      <c r="J3123" s="67">
        <f>H3123*I3123</f>
        <v>14</v>
      </c>
      <c r="K3123" s="25">
        <v>9.64</v>
      </c>
      <c r="L3123" s="46">
        <f>K3123*J3123</f>
        <v>134.96</v>
      </c>
      <c r="M3123" s="162" t="s">
        <v>2219</v>
      </c>
      <c r="N3123" s="213"/>
      <c r="O3123" s="38"/>
      <c r="P3123" s="180">
        <f>K3123*(VLOOKUP(B3123,$C$2:$F$6,3,FALSE))</f>
        <v>8.4832000000000001</v>
      </c>
      <c r="Q3123" s="483">
        <v>8.48</v>
      </c>
      <c r="R3123" s="704">
        <f>Q3123*J3123</f>
        <v>118.72</v>
      </c>
      <c r="S3123" s="489">
        <v>590</v>
      </c>
      <c r="T3123" s="113">
        <f>S3123*J3123</f>
        <v>8260</v>
      </c>
      <c r="U3123" s="517"/>
      <c r="V3123" s="494">
        <v>120</v>
      </c>
      <c r="W3123" s="2041">
        <f t="shared" si="221"/>
        <v>0.48997233748271102</v>
      </c>
    </row>
    <row r="3124" spans="1:23" s="7" customFormat="1" ht="15.75" customHeight="1">
      <c r="A3124" s="1"/>
      <c r="B3124" s="12" t="s">
        <v>1858</v>
      </c>
      <c r="C3124" s="6"/>
      <c r="D3124" s="15" t="s">
        <v>169</v>
      </c>
      <c r="E3124" s="95" t="s">
        <v>424</v>
      </c>
      <c r="F3124" s="26" t="s">
        <v>7007</v>
      </c>
      <c r="G3124" s="24" t="s">
        <v>78</v>
      </c>
      <c r="H3124" s="151">
        <v>19.8</v>
      </c>
      <c r="I3124" s="41">
        <v>1</v>
      </c>
      <c r="J3124" s="19">
        <f>H3124*I3124</f>
        <v>19.8</v>
      </c>
      <c r="K3124" s="25">
        <v>11.2</v>
      </c>
      <c r="L3124" s="46">
        <f>K3124*J3124</f>
        <v>221.76</v>
      </c>
      <c r="M3124" s="39"/>
      <c r="N3124" s="213"/>
      <c r="O3124" s="38"/>
      <c r="P3124" s="180">
        <f>K3124*(VLOOKUP(B3124,$C$2:$F$6,3,FALSE))</f>
        <v>10.527999999999999</v>
      </c>
      <c r="Q3124" s="483">
        <v>10.53</v>
      </c>
      <c r="R3124" s="704">
        <f>Q3124*J3124</f>
        <v>208.494</v>
      </c>
      <c r="S3124" s="489">
        <v>940</v>
      </c>
      <c r="T3124" s="113">
        <f>S3124*J3124</f>
        <v>18612</v>
      </c>
      <c r="U3124" s="517"/>
      <c r="V3124" s="494">
        <v>120</v>
      </c>
      <c r="W3124" s="2041">
        <f t="shared" si="221"/>
        <v>0.30059523809523808</v>
      </c>
    </row>
    <row r="3125" spans="1:23" s="7" customFormat="1" ht="15.75" customHeight="1">
      <c r="A3125" s="1"/>
      <c r="B3125" s="12" t="s">
        <v>1858</v>
      </c>
      <c r="C3125" s="6"/>
      <c r="D3125" s="15" t="s">
        <v>169</v>
      </c>
      <c r="E3125" s="95" t="s">
        <v>425</v>
      </c>
      <c r="F3125" s="26" t="s">
        <v>7007</v>
      </c>
      <c r="G3125" s="24" t="s">
        <v>78</v>
      </c>
      <c r="H3125" s="151">
        <v>19.8</v>
      </c>
      <c r="I3125" s="41">
        <v>1</v>
      </c>
      <c r="J3125" s="19">
        <f>H3125*I3125</f>
        <v>19.8</v>
      </c>
      <c r="K3125" s="25">
        <v>15</v>
      </c>
      <c r="L3125" s="46">
        <f>K3125*J3125</f>
        <v>297</v>
      </c>
      <c r="M3125" s="39"/>
      <c r="N3125" s="213"/>
      <c r="O3125" s="38"/>
      <c r="P3125" s="180">
        <f>K3125*(VLOOKUP(B3125,$C$2:$F$6,3,FALSE))</f>
        <v>14.1</v>
      </c>
      <c r="Q3125" s="483">
        <v>14.1</v>
      </c>
      <c r="R3125" s="704">
        <f>Q3125*J3125</f>
        <v>279.18</v>
      </c>
      <c r="S3125" s="489">
        <v>1290</v>
      </c>
      <c r="T3125" s="113">
        <f>S3125*J3125</f>
        <v>25542</v>
      </c>
      <c r="U3125" s="517"/>
      <c r="V3125" s="494">
        <v>120</v>
      </c>
      <c r="W3125" s="2041">
        <f t="shared" si="221"/>
        <v>0.28333333333333333</v>
      </c>
    </row>
    <row r="3126" spans="1:23" s="314" customFormat="1" ht="15">
      <c r="A3126" s="1"/>
      <c r="B3126" s="313"/>
      <c r="C3126" s="302"/>
      <c r="D3126" s="303" t="s">
        <v>169</v>
      </c>
      <c r="E3126" s="304"/>
      <c r="F3126" s="305"/>
      <c r="G3126" s="305" t="s">
        <v>1227</v>
      </c>
      <c r="H3126" s="307" t="s">
        <v>1228</v>
      </c>
      <c r="I3126" s="308"/>
      <c r="J3126" s="306"/>
      <c r="K3126" s="315">
        <v>0</v>
      </c>
      <c r="L3126" s="310"/>
      <c r="M3126" s="310"/>
      <c r="N3126" s="310"/>
      <c r="O3126" s="309"/>
      <c r="P3126" s="302"/>
      <c r="Q3126" s="531">
        <v>0</v>
      </c>
      <c r="S3126" s="535">
        <v>0</v>
      </c>
      <c r="T3126" s="322">
        <v>0</v>
      </c>
      <c r="U3126" s="1115"/>
      <c r="V3126" s="494">
        <v>120</v>
      </c>
      <c r="W3126" s="2041" t="e">
        <f t="shared" si="221"/>
        <v>#DIV/0!</v>
      </c>
    </row>
    <row r="3127" spans="1:23" s="7" customFormat="1" ht="15" customHeight="1">
      <c r="B3127" s="12"/>
      <c r="C3127" s="6" t="s">
        <v>7051</v>
      </c>
      <c r="D3127" s="15" t="s">
        <v>6552</v>
      </c>
      <c r="E3127" s="2013" t="s">
        <v>7019</v>
      </c>
      <c r="F3127" s="26"/>
      <c r="G3127" s="24"/>
      <c r="H3127" s="67"/>
      <c r="I3127" s="68"/>
      <c r="J3127" s="67"/>
      <c r="K3127" s="17" t="s">
        <v>134</v>
      </c>
      <c r="L3127" s="39"/>
      <c r="M3127" s="39"/>
      <c r="N3127" s="39">
        <v>45454</v>
      </c>
      <c r="O3127" s="38">
        <v>6210</v>
      </c>
      <c r="P3127" s="179" t="s">
        <v>23</v>
      </c>
      <c r="Q3127" s="438" t="s">
        <v>959</v>
      </c>
      <c r="R3127" s="704"/>
      <c r="S3127" s="489"/>
      <c r="T3127" s="113"/>
      <c r="U3127" s="510"/>
      <c r="V3127" s="494">
        <v>120</v>
      </c>
      <c r="W3127" s="2041" t="e">
        <f t="shared" si="221"/>
        <v>#VALUE!</v>
      </c>
    </row>
    <row r="3128" spans="1:23" s="7" customFormat="1" ht="18" customHeight="1">
      <c r="B3128" s="12" t="s">
        <v>1856</v>
      </c>
      <c r="C3128" s="6" t="s">
        <v>7051</v>
      </c>
      <c r="D3128" s="15" t="s">
        <v>6552</v>
      </c>
      <c r="E3128" s="24" t="s">
        <v>6971</v>
      </c>
      <c r="F3128" s="246"/>
      <c r="G3128" s="24" t="s">
        <v>1661</v>
      </c>
      <c r="H3128" s="151">
        <v>50</v>
      </c>
      <c r="I3128" s="152">
        <v>1</v>
      </c>
      <c r="J3128" s="8">
        <f>H3128*I3128</f>
        <v>50</v>
      </c>
      <c r="K3128" s="46">
        <v>0.64</v>
      </c>
      <c r="L3128" s="46">
        <f>K3128*J3128</f>
        <v>32</v>
      </c>
      <c r="M3128" s="162" t="s">
        <v>2219</v>
      </c>
      <c r="N3128" s="39">
        <v>45454</v>
      </c>
      <c r="O3128" s="38">
        <v>6210</v>
      </c>
      <c r="P3128" s="180">
        <f>K3128*(VLOOKUP(B3128,$C$2:$F$6,3,FALSE))</f>
        <v>0.56320000000000003</v>
      </c>
      <c r="Q3128" s="180">
        <v>0.56000000000000005</v>
      </c>
      <c r="R3128" s="704">
        <f>Q3128*J3128</f>
        <v>28.000000000000004</v>
      </c>
      <c r="S3128" s="489">
        <v>34</v>
      </c>
      <c r="T3128" s="113">
        <f>S3128*J3128</f>
        <v>1700</v>
      </c>
      <c r="U3128" s="867"/>
      <c r="V3128" s="494">
        <v>120</v>
      </c>
      <c r="W3128" s="2041">
        <f t="shared" si="221"/>
        <v>0.55729166666666663</v>
      </c>
    </row>
    <row r="3129" spans="1:23" s="7" customFormat="1" ht="15.95" customHeight="1">
      <c r="B3129" s="12"/>
      <c r="C3129" s="6" t="s">
        <v>7051</v>
      </c>
      <c r="D3129" s="15" t="s">
        <v>6552</v>
      </c>
      <c r="E3129" s="24"/>
      <c r="F3129" s="138"/>
      <c r="G3129" s="44" t="s">
        <v>1993</v>
      </c>
      <c r="H3129" s="8"/>
      <c r="I3129" s="41"/>
      <c r="J3129" s="45">
        <v>1</v>
      </c>
      <c r="K3129" s="46">
        <v>12</v>
      </c>
      <c r="L3129" s="46">
        <f>K3129*J3129</f>
        <v>12</v>
      </c>
      <c r="M3129" s="39"/>
      <c r="N3129" s="39">
        <v>45454</v>
      </c>
      <c r="O3129" s="38">
        <v>6210</v>
      </c>
      <c r="P3129" s="6"/>
      <c r="Q3129" s="483">
        <v>12</v>
      </c>
      <c r="R3129" s="704">
        <f>Q3129*J3129</f>
        <v>12</v>
      </c>
      <c r="S3129" s="489">
        <v>1000</v>
      </c>
      <c r="T3129" s="113">
        <f>S3129*J3129</f>
        <v>1000</v>
      </c>
      <c r="U3129" s="501"/>
      <c r="V3129" s="494">
        <v>120</v>
      </c>
      <c r="W3129" s="2041">
        <f t="shared" si="221"/>
        <v>0.30555555555555558</v>
      </c>
    </row>
    <row r="3130" spans="1:23" s="314" customFormat="1" ht="15">
      <c r="A3130" s="1"/>
      <c r="B3130" s="313"/>
      <c r="C3130" s="302" t="s">
        <v>7051</v>
      </c>
      <c r="D3130" s="303" t="s">
        <v>6552</v>
      </c>
      <c r="E3130" s="304"/>
      <c r="F3130" s="305"/>
      <c r="G3130" s="305" t="s">
        <v>1227</v>
      </c>
      <c r="H3130" s="307" t="s">
        <v>1228</v>
      </c>
      <c r="I3130" s="308"/>
      <c r="J3130" s="306"/>
      <c r="K3130" s="315">
        <v>0</v>
      </c>
      <c r="L3130" s="310"/>
      <c r="M3130" s="310"/>
      <c r="N3130" s="310">
        <v>45454</v>
      </c>
      <c r="O3130" s="309">
        <v>6210</v>
      </c>
      <c r="P3130" s="302"/>
      <c r="Q3130" s="531">
        <v>0</v>
      </c>
      <c r="S3130" s="535">
        <v>0</v>
      </c>
      <c r="T3130" s="322">
        <v>0</v>
      </c>
      <c r="U3130" s="1115"/>
      <c r="V3130" s="494">
        <v>120</v>
      </c>
      <c r="W3130" s="2041" t="e">
        <f t="shared" si="221"/>
        <v>#DIV/0!</v>
      </c>
    </row>
    <row r="3131" spans="1:23" ht="15">
      <c r="C3131" s="6" t="s">
        <v>7022</v>
      </c>
      <c r="D3131" s="15" t="s">
        <v>2309</v>
      </c>
      <c r="E3131" s="20" t="s">
        <v>79</v>
      </c>
      <c r="F3131" s="150"/>
      <c r="G3131" s="24"/>
      <c r="H3131" s="151"/>
      <c r="I3131" s="152"/>
      <c r="J3131" s="151"/>
      <c r="K3131" s="153" t="s">
        <v>10</v>
      </c>
      <c r="L3131" s="39"/>
      <c r="M3131" s="39"/>
      <c r="N3131" s="39">
        <v>45461</v>
      </c>
      <c r="O3131" s="38">
        <v>6232</v>
      </c>
      <c r="P3131" s="15"/>
      <c r="Q3131" s="483"/>
      <c r="S3131" s="496"/>
      <c r="T3131" s="113"/>
      <c r="V3131" s="494">
        <v>120</v>
      </c>
      <c r="W3131"/>
    </row>
    <row r="3132" spans="1:23" ht="15.75">
      <c r="B3132" s="12" t="s">
        <v>1858</v>
      </c>
      <c r="C3132" s="6" t="s">
        <v>7022</v>
      </c>
      <c r="D3132" s="15" t="s">
        <v>2309</v>
      </c>
      <c r="E3132" s="56">
        <v>5081</v>
      </c>
      <c r="F3132" s="150">
        <v>140</v>
      </c>
      <c r="G3132" s="24" t="s">
        <v>7023</v>
      </c>
      <c r="H3132" s="67"/>
      <c r="I3132" s="68"/>
      <c r="J3132" s="67">
        <v>3</v>
      </c>
      <c r="K3132" s="46">
        <v>10.52</v>
      </c>
      <c r="L3132" s="46">
        <f>K3132*J3132</f>
        <v>31.56</v>
      </c>
      <c r="M3132" s="162" t="s">
        <v>2219</v>
      </c>
      <c r="N3132" s="39">
        <v>45461</v>
      </c>
      <c r="O3132" s="38">
        <v>6232</v>
      </c>
      <c r="P3132" s="46">
        <f>K3132*(VLOOKUP(B3132,$C$2:$F$6,3,FALSE))</f>
        <v>9.8887999999999998</v>
      </c>
      <c r="Q3132" s="483">
        <v>9.89</v>
      </c>
      <c r="R3132" s="704">
        <f>Q3132*J3132</f>
        <v>29.67</v>
      </c>
      <c r="S3132" s="532">
        <v>820</v>
      </c>
      <c r="T3132" s="567">
        <f>S3132*J3132</f>
        <v>2460</v>
      </c>
      <c r="V3132" s="494">
        <v>120</v>
      </c>
      <c r="W3132" s="2041">
        <f t="shared" ref="W3132:W3145" si="222">(((K3132*V3132)-S3132)/(K3132*V3132))</f>
        <v>0.35044359949302906</v>
      </c>
    </row>
    <row r="3133" spans="1:23" s="7" customFormat="1" ht="15.95" customHeight="1">
      <c r="B3133" s="12"/>
      <c r="C3133" s="6" t="s">
        <v>7022</v>
      </c>
      <c r="D3133" s="15" t="s">
        <v>2309</v>
      </c>
      <c r="E3133" s="24"/>
      <c r="F3133" s="138"/>
      <c r="G3133" s="44" t="s">
        <v>1075</v>
      </c>
      <c r="H3133" s="8"/>
      <c r="I3133" s="41"/>
      <c r="J3133" s="45">
        <v>1</v>
      </c>
      <c r="K3133" s="46">
        <v>15</v>
      </c>
      <c r="L3133" s="46">
        <f>K3133*J3133</f>
        <v>15</v>
      </c>
      <c r="M3133" s="39"/>
      <c r="N3133" s="39">
        <v>45461</v>
      </c>
      <c r="O3133" s="38">
        <v>6232</v>
      </c>
      <c r="P3133" s="6"/>
      <c r="Q3133" s="483">
        <v>15</v>
      </c>
      <c r="R3133" s="704">
        <f>Q3133*J3133</f>
        <v>15</v>
      </c>
      <c r="S3133" s="489">
        <v>1000</v>
      </c>
      <c r="T3133" s="113">
        <f>S3133*J3133</f>
        <v>1000</v>
      </c>
      <c r="U3133" s="501"/>
      <c r="V3133" s="494">
        <v>120</v>
      </c>
      <c r="W3133" s="2041">
        <f t="shared" si="222"/>
        <v>0.44444444444444442</v>
      </c>
    </row>
    <row r="3134" spans="1:23" s="7" customFormat="1" ht="15.95" customHeight="1">
      <c r="B3134" s="12"/>
      <c r="C3134" s="6" t="s">
        <v>7022</v>
      </c>
      <c r="D3134" s="15" t="s">
        <v>2309</v>
      </c>
      <c r="E3134" s="24"/>
      <c r="F3134" s="138"/>
      <c r="G3134" s="44" t="s">
        <v>1993</v>
      </c>
      <c r="H3134" s="8"/>
      <c r="I3134" s="41"/>
      <c r="J3134" s="45">
        <v>1</v>
      </c>
      <c r="K3134" s="46">
        <v>20</v>
      </c>
      <c r="L3134" s="46">
        <f>K3134*J3134</f>
        <v>20</v>
      </c>
      <c r="M3134" s="39"/>
      <c r="N3134" s="39">
        <v>45461</v>
      </c>
      <c r="O3134" s="38">
        <v>6232</v>
      </c>
      <c r="P3134" s="6"/>
      <c r="Q3134" s="482">
        <v>20</v>
      </c>
      <c r="R3134" s="704">
        <f>Q3134*J3134</f>
        <v>20</v>
      </c>
      <c r="S3134" s="489">
        <v>1000</v>
      </c>
      <c r="T3134" s="113">
        <f>S3134*J3134</f>
        <v>1000</v>
      </c>
      <c r="U3134" s="501"/>
      <c r="V3134" s="494">
        <v>120</v>
      </c>
      <c r="W3134" s="2041">
        <f t="shared" si="222"/>
        <v>0.58333333333333337</v>
      </c>
    </row>
    <row r="3135" spans="1:23" s="314" customFormat="1" ht="15">
      <c r="B3135" s="313"/>
      <c r="C3135" s="302" t="s">
        <v>7022</v>
      </c>
      <c r="D3135" s="303" t="s">
        <v>2309</v>
      </c>
      <c r="E3135" s="304"/>
      <c r="F3135" s="305"/>
      <c r="G3135" s="305" t="s">
        <v>1227</v>
      </c>
      <c r="H3135" s="307" t="s">
        <v>1243</v>
      </c>
      <c r="I3135" s="308"/>
      <c r="J3135" s="306"/>
      <c r="K3135" s="329">
        <v>33</v>
      </c>
      <c r="L3135" s="329">
        <v>33</v>
      </c>
      <c r="M3135" s="310"/>
      <c r="N3135" s="310">
        <v>45461</v>
      </c>
      <c r="O3135" s="309">
        <v>6232</v>
      </c>
      <c r="P3135" s="685"/>
      <c r="Q3135" s="329">
        <v>33</v>
      </c>
      <c r="R3135" s="329">
        <v>33</v>
      </c>
      <c r="S3135" s="2272">
        <v>3950</v>
      </c>
      <c r="T3135" s="2272">
        <v>3950</v>
      </c>
      <c r="U3135" s="688"/>
      <c r="V3135" s="494">
        <v>120</v>
      </c>
      <c r="W3135" s="2041">
        <f t="shared" si="222"/>
        <v>2.5252525252525255E-3</v>
      </c>
    </row>
    <row r="3136" spans="1:23" s="80" customFormat="1" ht="15" customHeight="1">
      <c r="B3136" s="540"/>
      <c r="C3136" s="76" t="s">
        <v>7060</v>
      </c>
      <c r="D3136" s="77" t="s">
        <v>2374</v>
      </c>
      <c r="E3136" s="2273" t="s">
        <v>7061</v>
      </c>
      <c r="F3136" s="78"/>
      <c r="G3136" s="79"/>
      <c r="H3136" s="247"/>
      <c r="I3136" s="248"/>
      <c r="J3136" s="247"/>
      <c r="K3136" s="426" t="s">
        <v>134</v>
      </c>
      <c r="L3136" s="576"/>
      <c r="M3136" s="576"/>
      <c r="N3136" s="429" t="s">
        <v>96</v>
      </c>
      <c r="O3136" s="429" t="s">
        <v>96</v>
      </c>
      <c r="P3136" s="2113" t="s">
        <v>23</v>
      </c>
      <c r="Q3136" s="2114" t="s">
        <v>959</v>
      </c>
      <c r="R3136" s="2115"/>
      <c r="S3136" s="491"/>
      <c r="T3136" s="563"/>
      <c r="U3136" s="2116"/>
      <c r="V3136" s="546">
        <v>120</v>
      </c>
      <c r="W3136" s="2117" t="e">
        <f t="shared" si="222"/>
        <v>#VALUE!</v>
      </c>
    </row>
    <row r="3137" spans="1:23" s="80" customFormat="1" ht="18" customHeight="1">
      <c r="B3137" s="540" t="s">
        <v>1856</v>
      </c>
      <c r="C3137" s="76" t="s">
        <v>7060</v>
      </c>
      <c r="D3137" s="77" t="s">
        <v>2374</v>
      </c>
      <c r="E3137" s="255" t="s">
        <v>7057</v>
      </c>
      <c r="F3137" s="2274">
        <v>10</v>
      </c>
      <c r="G3137" s="79" t="s">
        <v>7062</v>
      </c>
      <c r="H3137" s="253">
        <v>100</v>
      </c>
      <c r="I3137" s="254">
        <v>1</v>
      </c>
      <c r="J3137" s="256">
        <f>H3137*I3137</f>
        <v>100</v>
      </c>
      <c r="K3137" s="250">
        <v>0.77</v>
      </c>
      <c r="L3137" s="250">
        <f>K3137*J3137</f>
        <v>77</v>
      </c>
      <c r="M3137" s="2118" t="s">
        <v>2219</v>
      </c>
      <c r="N3137" s="429" t="s">
        <v>96</v>
      </c>
      <c r="O3137" s="429" t="s">
        <v>96</v>
      </c>
      <c r="P3137" s="2119">
        <f>K3137*(VLOOKUP(B3137,$C$2:$F$6,3,FALSE))</f>
        <v>0.67759999999999998</v>
      </c>
      <c r="Q3137" s="2119">
        <v>0.68</v>
      </c>
      <c r="R3137" s="2115">
        <f>Q3137*J3137</f>
        <v>68</v>
      </c>
      <c r="S3137" s="491">
        <v>46</v>
      </c>
      <c r="T3137" s="563">
        <f>S3137*J3137</f>
        <v>4600</v>
      </c>
      <c r="U3137" s="2120"/>
      <c r="V3137" s="546">
        <v>120</v>
      </c>
      <c r="W3137" s="2117">
        <f t="shared" si="222"/>
        <v>0.50216450216450215</v>
      </c>
    </row>
    <row r="3138" spans="1:23" s="80" customFormat="1" ht="18" customHeight="1">
      <c r="B3138" s="540" t="s">
        <v>1856</v>
      </c>
      <c r="C3138" s="76" t="s">
        <v>7060</v>
      </c>
      <c r="D3138" s="77" t="s">
        <v>2374</v>
      </c>
      <c r="E3138" s="255" t="s">
        <v>7057</v>
      </c>
      <c r="F3138" s="2274">
        <v>10</v>
      </c>
      <c r="G3138" s="79" t="s">
        <v>944</v>
      </c>
      <c r="H3138" s="253">
        <v>100</v>
      </c>
      <c r="I3138" s="254">
        <v>1</v>
      </c>
      <c r="J3138" s="256">
        <f>H3138*I3138</f>
        <v>100</v>
      </c>
      <c r="K3138" s="250">
        <v>0.77</v>
      </c>
      <c r="L3138" s="250">
        <f>K3138*J3138</f>
        <v>77</v>
      </c>
      <c r="M3138" s="2118" t="s">
        <v>2219</v>
      </c>
      <c r="N3138" s="429" t="s">
        <v>96</v>
      </c>
      <c r="O3138" s="429" t="s">
        <v>96</v>
      </c>
      <c r="P3138" s="2119">
        <f>K3138*(VLOOKUP(B3138,$C$2:$F$6,3,FALSE))</f>
        <v>0.67759999999999998</v>
      </c>
      <c r="Q3138" s="2119">
        <v>0.68</v>
      </c>
      <c r="R3138" s="2115">
        <f>Q3138*J3138</f>
        <v>68</v>
      </c>
      <c r="S3138" s="491">
        <v>46</v>
      </c>
      <c r="T3138" s="563">
        <f>S3138*J3138</f>
        <v>4600</v>
      </c>
      <c r="U3138" s="2120"/>
      <c r="V3138" s="546">
        <v>120</v>
      </c>
      <c r="W3138" s="2117">
        <f t="shared" si="222"/>
        <v>0.50216450216450215</v>
      </c>
    </row>
    <row r="3139" spans="1:23" s="80" customFormat="1" ht="15.95" customHeight="1">
      <c r="B3139" s="540"/>
      <c r="C3139" s="76" t="s">
        <v>7060</v>
      </c>
      <c r="D3139" s="77" t="s">
        <v>2374</v>
      </c>
      <c r="E3139" s="79"/>
      <c r="F3139" s="2122"/>
      <c r="G3139" s="616" t="s">
        <v>256</v>
      </c>
      <c r="H3139" s="256"/>
      <c r="I3139" s="2123"/>
      <c r="J3139" s="619">
        <v>2</v>
      </c>
      <c r="K3139" s="250">
        <v>190</v>
      </c>
      <c r="L3139" s="250">
        <f>K3139*J3139</f>
        <v>380</v>
      </c>
      <c r="M3139" s="576"/>
      <c r="N3139" s="429" t="s">
        <v>96</v>
      </c>
      <c r="O3139" s="429" t="s">
        <v>96</v>
      </c>
      <c r="P3139" s="76"/>
      <c r="Q3139" s="2249">
        <v>190</v>
      </c>
      <c r="R3139" s="2115">
        <f>Q3139*J3139</f>
        <v>380</v>
      </c>
      <c r="S3139" s="491">
        <v>18000</v>
      </c>
      <c r="T3139" s="563">
        <f>S3139*J3139</f>
        <v>36000</v>
      </c>
      <c r="U3139" s="2275"/>
      <c r="V3139" s="546">
        <v>120</v>
      </c>
      <c r="W3139" s="2117">
        <f t="shared" si="222"/>
        <v>0.21052631578947367</v>
      </c>
    </row>
    <row r="3140" spans="1:23" s="80" customFormat="1" ht="15.95" customHeight="1">
      <c r="B3140" s="540"/>
      <c r="C3140" s="76" t="s">
        <v>7060</v>
      </c>
      <c r="D3140" s="77" t="s">
        <v>2374</v>
      </c>
      <c r="E3140" s="79"/>
      <c r="F3140" s="2122"/>
      <c r="G3140" s="616" t="s">
        <v>1993</v>
      </c>
      <c r="H3140" s="256"/>
      <c r="I3140" s="2123"/>
      <c r="J3140" s="619">
        <v>1</v>
      </c>
      <c r="K3140" s="250">
        <v>12</v>
      </c>
      <c r="L3140" s="250">
        <f>K3140*J3140</f>
        <v>12</v>
      </c>
      <c r="M3140" s="576"/>
      <c r="N3140" s="429" t="s">
        <v>96</v>
      </c>
      <c r="O3140" s="429" t="s">
        <v>96</v>
      </c>
      <c r="P3140" s="76"/>
      <c r="Q3140" s="2249">
        <v>12</v>
      </c>
      <c r="R3140" s="2115">
        <f>Q3140*J3140</f>
        <v>12</v>
      </c>
      <c r="S3140" s="491">
        <v>1000</v>
      </c>
      <c r="T3140" s="563">
        <f>S3140*J3140</f>
        <v>1000</v>
      </c>
      <c r="U3140" s="2275"/>
      <c r="V3140" s="546">
        <v>120</v>
      </c>
      <c r="W3140" s="2117">
        <f t="shared" si="222"/>
        <v>0.30555555555555558</v>
      </c>
    </row>
    <row r="3141" spans="1:23" s="2127" customFormat="1" ht="15">
      <c r="B3141" s="2121"/>
      <c r="C3141" s="76" t="s">
        <v>7060</v>
      </c>
      <c r="D3141" s="77" t="s">
        <v>2374</v>
      </c>
      <c r="E3141" s="249"/>
      <c r="F3141" s="616"/>
      <c r="G3141" s="616" t="s">
        <v>1227</v>
      </c>
      <c r="H3141" s="619" t="s">
        <v>1228</v>
      </c>
      <c r="I3141" s="254"/>
      <c r="J3141" s="253"/>
      <c r="K3141" s="250">
        <v>0</v>
      </c>
      <c r="L3141" s="576"/>
      <c r="M3141" s="576"/>
      <c r="N3141" s="429" t="s">
        <v>96</v>
      </c>
      <c r="O3141" s="429" t="s">
        <v>96</v>
      </c>
      <c r="P3141" s="76"/>
      <c r="Q3141" s="2249">
        <v>0</v>
      </c>
      <c r="S3141" s="546">
        <v>0</v>
      </c>
      <c r="T3141" s="2250">
        <v>0</v>
      </c>
      <c r="U3141" s="2251"/>
      <c r="V3141" s="546">
        <v>120</v>
      </c>
      <c r="W3141" s="2117" t="e">
        <f t="shared" si="222"/>
        <v>#DIV/0!</v>
      </c>
    </row>
    <row r="3142" spans="1:23" s="7" customFormat="1" ht="18" customHeight="1">
      <c r="B3142" s="12"/>
      <c r="C3142" s="6" t="s">
        <v>7067</v>
      </c>
      <c r="D3142" s="15" t="s">
        <v>8</v>
      </c>
      <c r="E3142" s="20" t="s">
        <v>6436</v>
      </c>
      <c r="F3142" s="26"/>
      <c r="G3142" s="24"/>
      <c r="H3142" s="67"/>
      <c r="I3142" s="68"/>
      <c r="J3142" s="67"/>
      <c r="K3142" s="17" t="s">
        <v>10</v>
      </c>
      <c r="L3142" s="213"/>
      <c r="M3142" s="39"/>
      <c r="N3142" s="39">
        <v>45468</v>
      </c>
      <c r="O3142" s="38">
        <v>6246</v>
      </c>
      <c r="P3142" s="6" t="s">
        <v>3</v>
      </c>
      <c r="Q3142" s="910"/>
      <c r="U3142" s="175"/>
      <c r="V3142" s="494">
        <v>120</v>
      </c>
      <c r="W3142" s="2041" t="e">
        <f t="shared" si="222"/>
        <v>#VALUE!</v>
      </c>
    </row>
    <row r="3143" spans="1:23" s="7" customFormat="1" ht="43.5" customHeight="1">
      <c r="B3143" s="12" t="s">
        <v>1856</v>
      </c>
      <c r="C3143" s="6" t="s">
        <v>7067</v>
      </c>
      <c r="D3143" s="15" t="s">
        <v>8</v>
      </c>
      <c r="E3143" s="24" t="s">
        <v>6409</v>
      </c>
      <c r="F3143" s="2098" t="s">
        <v>6435</v>
      </c>
      <c r="G3143" s="24" t="s">
        <v>6438</v>
      </c>
      <c r="H3143" s="151">
        <v>25</v>
      </c>
      <c r="I3143" s="2097">
        <v>3</v>
      </c>
      <c r="J3143" s="8">
        <f>I3143*H3143</f>
        <v>75</v>
      </c>
      <c r="K3143" s="46">
        <v>2.85</v>
      </c>
      <c r="L3143" s="46">
        <f>K3143*J3143</f>
        <v>213.75</v>
      </c>
      <c r="M3143" s="162" t="s">
        <v>2219</v>
      </c>
      <c r="N3143" s="39">
        <v>45468</v>
      </c>
      <c r="O3143" s="38">
        <v>6246</v>
      </c>
      <c r="P3143" s="46">
        <f>K3143*(VLOOKUP(B3143,$C$2:$F$6,3,FALSE))</f>
        <v>2.508</v>
      </c>
      <c r="Q3143" s="703">
        <v>2.5099999999999998</v>
      </c>
      <c r="R3143" s="703">
        <f>Q3143*J3143</f>
        <v>188.24999999999997</v>
      </c>
      <c r="S3143" s="7">
        <v>191</v>
      </c>
      <c r="T3143" s="7">
        <f>S3143*J3143</f>
        <v>14325</v>
      </c>
      <c r="U3143" s="1059"/>
      <c r="V3143" s="494">
        <v>120</v>
      </c>
      <c r="W3143" s="2041">
        <f t="shared" si="222"/>
        <v>0.44152046783625731</v>
      </c>
    </row>
    <row r="3144" spans="1:23" s="7" customFormat="1" ht="15.95" customHeight="1">
      <c r="B3144" s="12"/>
      <c r="C3144" s="6" t="s">
        <v>7067</v>
      </c>
      <c r="D3144" s="15" t="s">
        <v>8</v>
      </c>
      <c r="E3144" s="24"/>
      <c r="F3144" s="138"/>
      <c r="G3144" s="44" t="s">
        <v>1993</v>
      </c>
      <c r="H3144" s="8"/>
      <c r="I3144" s="41"/>
      <c r="J3144" s="45">
        <v>1</v>
      </c>
      <c r="K3144" s="46">
        <v>12</v>
      </c>
      <c r="L3144" s="46">
        <f>K3144*J3144</f>
        <v>12</v>
      </c>
      <c r="M3144" s="39"/>
      <c r="N3144" s="39">
        <v>45468</v>
      </c>
      <c r="O3144" s="38">
        <v>6246</v>
      </c>
      <c r="P3144" s="6"/>
      <c r="Q3144" s="483">
        <v>12</v>
      </c>
      <c r="R3144" s="704">
        <f>Q3144*J3144</f>
        <v>12</v>
      </c>
      <c r="S3144" s="489">
        <v>600</v>
      </c>
      <c r="T3144" s="113">
        <f>S3144*J3144</f>
        <v>600</v>
      </c>
      <c r="U3144" s="501"/>
      <c r="V3144" s="494">
        <v>120</v>
      </c>
      <c r="W3144" s="2041">
        <f t="shared" si="222"/>
        <v>0.58333333333333337</v>
      </c>
    </row>
    <row r="3145" spans="1:23" s="314" customFormat="1" ht="18" customHeight="1">
      <c r="B3145" s="313"/>
      <c r="C3145" s="302" t="s">
        <v>7067</v>
      </c>
      <c r="D3145" s="303" t="s">
        <v>8</v>
      </c>
      <c r="E3145" s="371"/>
      <c r="F3145" s="305"/>
      <c r="G3145" s="305" t="s">
        <v>1227</v>
      </c>
      <c r="H3145" s="307" t="s">
        <v>1228</v>
      </c>
      <c r="I3145" s="308"/>
      <c r="J3145" s="306"/>
      <c r="K3145" s="315">
        <v>0</v>
      </c>
      <c r="L3145" s="310"/>
      <c r="M3145" s="310"/>
      <c r="N3145" s="310">
        <v>45468</v>
      </c>
      <c r="O3145" s="309">
        <v>6246</v>
      </c>
      <c r="P3145" s="302"/>
      <c r="Q3145" s="531">
        <v>0</v>
      </c>
      <c r="S3145" s="535">
        <v>0</v>
      </c>
      <c r="T3145" s="322">
        <v>0</v>
      </c>
      <c r="U3145" s="1115"/>
      <c r="V3145" s="494">
        <v>120</v>
      </c>
      <c r="W3145" s="2041" t="e">
        <f t="shared" si="222"/>
        <v>#DIV/0!</v>
      </c>
    </row>
    <row r="3146" spans="1:23" s="7" customFormat="1" ht="18" customHeight="1">
      <c r="A3146" s="1"/>
      <c r="B3146" s="12"/>
      <c r="C3146" s="6" t="s">
        <v>7069</v>
      </c>
      <c r="D3146" s="15" t="s">
        <v>5251</v>
      </c>
      <c r="E3146" s="20" t="s">
        <v>6993</v>
      </c>
      <c r="F3146" s="24"/>
      <c r="G3146" s="44"/>
      <c r="H3146" s="151"/>
      <c r="I3146" s="151"/>
      <c r="J3146" s="151"/>
      <c r="K3146" s="153" t="s">
        <v>10</v>
      </c>
      <c r="L3146" s="39"/>
      <c r="M3146" s="39"/>
      <c r="N3146" s="39">
        <v>45470</v>
      </c>
      <c r="O3146" s="38">
        <v>6250</v>
      </c>
      <c r="P3146" s="6"/>
      <c r="Q3146" s="411"/>
      <c r="S3146" s="489"/>
      <c r="T3146" s="113"/>
      <c r="U3146" s="501"/>
      <c r="V3146" s="494">
        <v>120</v>
      </c>
    </row>
    <row r="3147" spans="1:23" s="7" customFormat="1" ht="15.95" customHeight="1">
      <c r="A3147" s="1"/>
      <c r="B3147" s="12" t="s">
        <v>1856</v>
      </c>
      <c r="C3147" s="6" t="s">
        <v>7069</v>
      </c>
      <c r="D3147" s="15" t="s">
        <v>5251</v>
      </c>
      <c r="E3147" s="1010" t="s">
        <v>7068</v>
      </c>
      <c r="F3147" s="44"/>
      <c r="G3147" s="24" t="s">
        <v>6995</v>
      </c>
      <c r="H3147" s="8"/>
      <c r="I3147" s="41"/>
      <c r="J3147" s="67">
        <v>15</v>
      </c>
      <c r="K3147" s="1007">
        <v>1.44</v>
      </c>
      <c r="L3147" s="46">
        <f>K3147*J3147</f>
        <v>21.599999999999998</v>
      </c>
      <c r="M3147" s="162" t="s">
        <v>2219</v>
      </c>
      <c r="N3147" s="39">
        <v>45470</v>
      </c>
      <c r="O3147" s="38">
        <v>6250</v>
      </c>
      <c r="P3147" s="180">
        <f>K3147*(VLOOKUP(B3147,$C$2:$F$6,3,FALSE))</f>
        <v>1.2671999999999999</v>
      </c>
      <c r="Q3147" s="483">
        <v>1.27</v>
      </c>
      <c r="R3147" s="704">
        <f>Q3147*J3147</f>
        <v>19.05</v>
      </c>
      <c r="S3147" s="489">
        <v>103</v>
      </c>
      <c r="T3147" s="113">
        <f>S3147*J3147</f>
        <v>1545</v>
      </c>
      <c r="U3147" s="517"/>
      <c r="V3147" s="494">
        <v>120</v>
      </c>
      <c r="W3147" s="2041">
        <f>(((K3147*V3147)-S3147)/(K3147*V3147))</f>
        <v>0.40393518518518512</v>
      </c>
    </row>
    <row r="3148" spans="1:23" s="7" customFormat="1" ht="15.95" customHeight="1">
      <c r="B3148" s="12"/>
      <c r="C3148" s="6" t="s">
        <v>7069</v>
      </c>
      <c r="D3148" s="15" t="s">
        <v>5251</v>
      </c>
      <c r="E3148" s="24"/>
      <c r="F3148" s="138"/>
      <c r="G3148" s="44" t="s">
        <v>1993</v>
      </c>
      <c r="H3148" s="8"/>
      <c r="I3148" s="41"/>
      <c r="J3148" s="45">
        <v>1</v>
      </c>
      <c r="K3148" s="46">
        <v>12</v>
      </c>
      <c r="L3148" s="46">
        <f>K3148*J3148</f>
        <v>12</v>
      </c>
      <c r="M3148" s="39"/>
      <c r="N3148" s="39">
        <v>45470</v>
      </c>
      <c r="O3148" s="38">
        <v>6250</v>
      </c>
      <c r="P3148" s="6"/>
      <c r="Q3148" s="483">
        <v>12</v>
      </c>
      <c r="R3148" s="704">
        <f>Q3148*J3148</f>
        <v>12</v>
      </c>
      <c r="S3148" s="489">
        <v>900</v>
      </c>
      <c r="T3148" s="113">
        <f>S3148*J3148</f>
        <v>900</v>
      </c>
      <c r="U3148" s="501"/>
      <c r="V3148" s="494">
        <v>120</v>
      </c>
      <c r="W3148" s="2041">
        <f>(((K3148*V3148)-S3148)/(K3148*V3148))</f>
        <v>0.375</v>
      </c>
    </row>
    <row r="3149" spans="1:23" s="314" customFormat="1" ht="18" customHeight="1">
      <c r="B3149" s="313"/>
      <c r="C3149" s="302" t="s">
        <v>7069</v>
      </c>
      <c r="D3149" s="303" t="s">
        <v>5251</v>
      </c>
      <c r="E3149" s="371"/>
      <c r="F3149" s="305"/>
      <c r="G3149" s="305" t="s">
        <v>1227</v>
      </c>
      <c r="H3149" s="307" t="s">
        <v>1228</v>
      </c>
      <c r="I3149" s="308"/>
      <c r="J3149" s="306"/>
      <c r="K3149" s="315">
        <v>0</v>
      </c>
      <c r="L3149" s="310"/>
      <c r="M3149" s="310"/>
      <c r="N3149" s="310">
        <v>45470</v>
      </c>
      <c r="O3149" s="309">
        <v>6250</v>
      </c>
      <c r="P3149" s="302"/>
      <c r="Q3149" s="531">
        <v>0</v>
      </c>
      <c r="S3149" s="535">
        <v>0</v>
      </c>
      <c r="T3149" s="322">
        <v>0</v>
      </c>
      <c r="U3149" s="1115"/>
      <c r="V3149" s="494">
        <v>120</v>
      </c>
      <c r="W3149" s="2041" t="e">
        <f>(((K3149*V3149)-S3149)/(K3149*V3149))</f>
        <v>#DIV/0!</v>
      </c>
    </row>
    <row r="3150" spans="1:23" s="7" customFormat="1" ht="18" customHeight="1">
      <c r="A3150" s="1"/>
      <c r="B3150" s="12"/>
      <c r="C3150" s="6"/>
      <c r="D3150" s="15" t="s">
        <v>6552</v>
      </c>
      <c r="E3150" s="20" t="s">
        <v>2801</v>
      </c>
      <c r="F3150" s="24"/>
      <c r="G3150" s="44"/>
      <c r="H3150" s="151"/>
      <c r="I3150" s="151"/>
      <c r="J3150" s="151"/>
      <c r="K3150" s="153" t="s">
        <v>10</v>
      </c>
      <c r="L3150" s="39"/>
      <c r="M3150" s="39"/>
      <c r="N3150" s="39"/>
      <c r="O3150" s="38"/>
      <c r="P3150" s="6"/>
      <c r="Q3150" s="411"/>
      <c r="S3150" s="489"/>
      <c r="T3150" s="113"/>
      <c r="U3150" s="501"/>
      <c r="V3150" s="494">
        <v>120</v>
      </c>
    </row>
    <row r="3151" spans="1:23" s="7" customFormat="1" ht="15.95" customHeight="1">
      <c r="A3151" s="1"/>
      <c r="B3151" s="12" t="s">
        <v>1856</v>
      </c>
      <c r="C3151" s="6"/>
      <c r="D3151" s="15" t="s">
        <v>6552</v>
      </c>
      <c r="E3151" s="2252" t="s">
        <v>7073</v>
      </c>
      <c r="F3151" s="44"/>
      <c r="G3151" s="44" t="s">
        <v>7074</v>
      </c>
      <c r="H3151" s="8"/>
      <c r="I3151" s="41"/>
      <c r="J3151" s="67">
        <v>10</v>
      </c>
      <c r="K3151" s="1007">
        <v>1.38</v>
      </c>
      <c r="L3151" s="46">
        <f>K3151*J3151</f>
        <v>13.799999999999999</v>
      </c>
      <c r="M3151" s="162" t="s">
        <v>2219</v>
      </c>
      <c r="N3151" s="39"/>
      <c r="O3151" s="38"/>
      <c r="P3151" s="180">
        <f>K3151*(VLOOKUP(B3151,$C$2:$F$6,3,FALSE))</f>
        <v>1.2143999999999999</v>
      </c>
      <c r="Q3151" s="483">
        <v>1.21</v>
      </c>
      <c r="R3151" s="704">
        <f>Q3151*J3151</f>
        <v>12.1</v>
      </c>
      <c r="S3151" s="489">
        <v>99</v>
      </c>
      <c r="T3151" s="113">
        <f>S3151*J3151</f>
        <v>990</v>
      </c>
      <c r="U3151" s="517"/>
      <c r="V3151" s="494">
        <v>120</v>
      </c>
      <c r="W3151" s="2041">
        <f>(((K3151*V3151)-S3151)/(K3151*V3151))</f>
        <v>0.40217391304347822</v>
      </c>
    </row>
    <row r="3152" spans="1:23" s="7" customFormat="1" ht="15.95" customHeight="1">
      <c r="A3152" s="1"/>
      <c r="B3152" s="12" t="s">
        <v>1856</v>
      </c>
      <c r="C3152" s="6"/>
      <c r="D3152" s="15" t="s">
        <v>6552</v>
      </c>
      <c r="E3152" s="2252" t="s">
        <v>7073</v>
      </c>
      <c r="F3152" s="44"/>
      <c r="G3152" s="44" t="s">
        <v>7075</v>
      </c>
      <c r="H3152" s="8"/>
      <c r="I3152" s="41"/>
      <c r="J3152" s="67">
        <v>10</v>
      </c>
      <c r="K3152" s="1007">
        <v>1.38</v>
      </c>
      <c r="L3152" s="46">
        <f>K3152*J3152</f>
        <v>13.799999999999999</v>
      </c>
      <c r="M3152" s="162" t="s">
        <v>2219</v>
      </c>
      <c r="N3152" s="39"/>
      <c r="O3152" s="38"/>
      <c r="P3152" s="180">
        <f>K3152*(VLOOKUP(B3152,$C$2:$F$6,3,FALSE))</f>
        <v>1.2143999999999999</v>
      </c>
      <c r="Q3152" s="483">
        <v>1.21</v>
      </c>
      <c r="R3152" s="704">
        <f>Q3152*J3152</f>
        <v>12.1</v>
      </c>
      <c r="S3152" s="489">
        <v>99</v>
      </c>
      <c r="T3152" s="113">
        <f>S3152*J3152</f>
        <v>990</v>
      </c>
      <c r="U3152" s="517"/>
      <c r="V3152" s="494">
        <v>120</v>
      </c>
      <c r="W3152" s="2041">
        <f>(((K3152*V3152)-S3152)/(K3152*V3152))</f>
        <v>0.40217391304347822</v>
      </c>
    </row>
    <row r="3153" spans="1:23" s="7" customFormat="1" ht="15.95" customHeight="1">
      <c r="A3153" s="1"/>
      <c r="B3153" s="12" t="s">
        <v>1856</v>
      </c>
      <c r="C3153" s="6"/>
      <c r="D3153" s="15" t="s">
        <v>6552</v>
      </c>
      <c r="E3153" s="2252" t="s">
        <v>7073</v>
      </c>
      <c r="F3153" s="44"/>
      <c r="G3153" s="44" t="s">
        <v>7076</v>
      </c>
      <c r="H3153" s="8"/>
      <c r="I3153" s="41"/>
      <c r="J3153" s="67">
        <v>10</v>
      </c>
      <c r="K3153" s="1007">
        <v>1.38</v>
      </c>
      <c r="L3153" s="46">
        <f>K3153*J3153</f>
        <v>13.799999999999999</v>
      </c>
      <c r="M3153" s="162" t="s">
        <v>2219</v>
      </c>
      <c r="N3153" s="39"/>
      <c r="O3153" s="38"/>
      <c r="P3153" s="180">
        <f>K3153*(VLOOKUP(B3153,$C$2:$F$6,3,FALSE))</f>
        <v>1.2143999999999999</v>
      </c>
      <c r="Q3153" s="483">
        <v>1.21</v>
      </c>
      <c r="R3153" s="704">
        <f>Q3153*J3153</f>
        <v>12.1</v>
      </c>
      <c r="S3153" s="489">
        <v>99</v>
      </c>
      <c r="T3153" s="113">
        <f>S3153*J3153</f>
        <v>990</v>
      </c>
      <c r="U3153" s="517"/>
      <c r="V3153" s="494">
        <v>120</v>
      </c>
      <c r="W3153" s="2041">
        <f>(((K3153*V3153)-S3153)/(K3153*V3153))</f>
        <v>0.40217391304347822</v>
      </c>
    </row>
    <row r="3154" spans="1:23" s="7" customFormat="1" ht="15.95" customHeight="1">
      <c r="A3154" s="1"/>
      <c r="B3154" s="12" t="s">
        <v>1856</v>
      </c>
      <c r="C3154" s="6"/>
      <c r="D3154" s="15" t="s">
        <v>6552</v>
      </c>
      <c r="E3154" s="2252" t="s">
        <v>7073</v>
      </c>
      <c r="F3154" s="44"/>
      <c r="G3154" s="44" t="s">
        <v>7077</v>
      </c>
      <c r="H3154" s="8"/>
      <c r="I3154" s="41"/>
      <c r="J3154" s="67">
        <v>10</v>
      </c>
      <c r="K3154" s="1007">
        <v>1.38</v>
      </c>
      <c r="L3154" s="46">
        <f>K3154*J3154</f>
        <v>13.799999999999999</v>
      </c>
      <c r="M3154" s="162" t="s">
        <v>2219</v>
      </c>
      <c r="N3154" s="39"/>
      <c r="O3154" s="38"/>
      <c r="P3154" s="180">
        <f>K3154*(VLOOKUP(B3154,$C$2:$F$6,3,FALSE))</f>
        <v>1.2143999999999999</v>
      </c>
      <c r="Q3154" s="483">
        <v>1.21</v>
      </c>
      <c r="R3154" s="704">
        <f>Q3154*J3154</f>
        <v>12.1</v>
      </c>
      <c r="S3154" s="489">
        <v>99</v>
      </c>
      <c r="T3154" s="113">
        <f>S3154*J3154</f>
        <v>990</v>
      </c>
      <c r="U3154" s="517"/>
      <c r="V3154" s="494">
        <v>120</v>
      </c>
      <c r="W3154" s="2041">
        <f>(((K3154*V3154)-S3154)/(K3154*V3154))</f>
        <v>0.40217391304347822</v>
      </c>
    </row>
    <row r="3155" spans="1:23" s="7" customFormat="1" ht="18" customHeight="1">
      <c r="A3155" s="1"/>
      <c r="B3155" s="12"/>
      <c r="C3155" s="6"/>
      <c r="D3155" s="15" t="s">
        <v>6552</v>
      </c>
      <c r="E3155" s="20" t="s">
        <v>2801</v>
      </c>
      <c r="F3155" s="24"/>
      <c r="G3155" s="44"/>
      <c r="H3155" s="151"/>
      <c r="I3155" s="151"/>
      <c r="J3155" s="151"/>
      <c r="K3155" s="153" t="s">
        <v>10</v>
      </c>
      <c r="L3155" s="39"/>
      <c r="M3155" s="39"/>
      <c r="N3155" s="39"/>
      <c r="O3155" s="38"/>
      <c r="P3155" s="6"/>
      <c r="Q3155" s="411"/>
      <c r="S3155" s="489"/>
      <c r="T3155" s="113"/>
      <c r="U3155" s="501"/>
      <c r="V3155" s="494">
        <v>120</v>
      </c>
    </row>
    <row r="3156" spans="1:23" s="7" customFormat="1" ht="15.95" customHeight="1">
      <c r="A3156" s="1"/>
      <c r="B3156" s="12" t="s">
        <v>1856</v>
      </c>
      <c r="C3156" s="6"/>
      <c r="D3156" s="15" t="s">
        <v>6552</v>
      </c>
      <c r="E3156" s="2252" t="s">
        <v>7078</v>
      </c>
      <c r="F3156" s="44"/>
      <c r="G3156" s="44" t="s">
        <v>7074</v>
      </c>
      <c r="H3156" s="8"/>
      <c r="I3156" s="41"/>
      <c r="J3156" s="67">
        <v>10</v>
      </c>
      <c r="K3156" s="1007">
        <v>1.85</v>
      </c>
      <c r="L3156" s="46">
        <f t="shared" ref="L3156:L3161" si="223">K3156*J3156</f>
        <v>18.5</v>
      </c>
      <c r="M3156" s="162" t="s">
        <v>2219</v>
      </c>
      <c r="N3156" s="39"/>
      <c r="O3156" s="38"/>
      <c r="P3156" s="180">
        <f>K3156*(VLOOKUP(B3156,$C$2:$F$6,3,FALSE))</f>
        <v>1.6280000000000001</v>
      </c>
      <c r="Q3156" s="483">
        <v>1.63</v>
      </c>
      <c r="R3156" s="704">
        <f t="shared" ref="R3156:R3161" si="224">Q3156*J3156</f>
        <v>16.299999999999997</v>
      </c>
      <c r="S3156" s="489">
        <v>133</v>
      </c>
      <c r="T3156" s="113">
        <f t="shared" ref="T3156:T3161" si="225">S3156*J3156</f>
        <v>1330</v>
      </c>
      <c r="U3156" s="517"/>
      <c r="V3156" s="494">
        <v>120</v>
      </c>
      <c r="W3156" s="2041">
        <f t="shared" ref="W3156:W3173" si="226">(((K3156*V3156)-S3156)/(K3156*V3156))</f>
        <v>0.40090090090090091</v>
      </c>
    </row>
    <row r="3157" spans="1:23" s="7" customFormat="1" ht="15.95" customHeight="1">
      <c r="A3157" s="1"/>
      <c r="B3157" s="12" t="s">
        <v>1856</v>
      </c>
      <c r="C3157" s="6"/>
      <c r="D3157" s="15" t="s">
        <v>6552</v>
      </c>
      <c r="E3157" s="2252" t="s">
        <v>7078</v>
      </c>
      <c r="F3157" s="44"/>
      <c r="G3157" s="44" t="s">
        <v>7075</v>
      </c>
      <c r="H3157" s="8"/>
      <c r="I3157" s="41"/>
      <c r="J3157" s="67">
        <v>10</v>
      </c>
      <c r="K3157" s="1007">
        <v>1.85</v>
      </c>
      <c r="L3157" s="46">
        <f t="shared" si="223"/>
        <v>18.5</v>
      </c>
      <c r="M3157" s="162" t="s">
        <v>2219</v>
      </c>
      <c r="N3157" s="39"/>
      <c r="O3157" s="38"/>
      <c r="P3157" s="180">
        <f>K3157*(VLOOKUP(B3157,$C$2:$F$6,3,FALSE))</f>
        <v>1.6280000000000001</v>
      </c>
      <c r="Q3157" s="483">
        <v>1.63</v>
      </c>
      <c r="R3157" s="704">
        <f t="shared" si="224"/>
        <v>16.299999999999997</v>
      </c>
      <c r="S3157" s="489">
        <v>133</v>
      </c>
      <c r="T3157" s="113">
        <f t="shared" si="225"/>
        <v>1330</v>
      </c>
      <c r="U3157" s="517"/>
      <c r="V3157" s="494">
        <v>120</v>
      </c>
      <c r="W3157" s="2041">
        <f t="shared" si="226"/>
        <v>0.40090090090090091</v>
      </c>
    </row>
    <row r="3158" spans="1:23" s="7" customFormat="1" ht="15.95" customHeight="1">
      <c r="A3158" s="1"/>
      <c r="B3158" s="12" t="s">
        <v>1856</v>
      </c>
      <c r="C3158" s="6"/>
      <c r="D3158" s="15" t="s">
        <v>6552</v>
      </c>
      <c r="E3158" s="2252" t="s">
        <v>7078</v>
      </c>
      <c r="F3158" s="44"/>
      <c r="G3158" s="44" t="s">
        <v>7076</v>
      </c>
      <c r="H3158" s="8"/>
      <c r="I3158" s="41"/>
      <c r="J3158" s="67">
        <v>10</v>
      </c>
      <c r="K3158" s="1007">
        <v>1.85</v>
      </c>
      <c r="L3158" s="46">
        <f t="shared" si="223"/>
        <v>18.5</v>
      </c>
      <c r="M3158" s="162" t="s">
        <v>2219</v>
      </c>
      <c r="N3158" s="39"/>
      <c r="O3158" s="38"/>
      <c r="P3158" s="180">
        <f>K3158*(VLOOKUP(B3158,$C$2:$F$6,3,FALSE))</f>
        <v>1.6280000000000001</v>
      </c>
      <c r="Q3158" s="483">
        <v>1.63</v>
      </c>
      <c r="R3158" s="704">
        <f t="shared" si="224"/>
        <v>16.299999999999997</v>
      </c>
      <c r="S3158" s="489">
        <v>133</v>
      </c>
      <c r="T3158" s="113">
        <f t="shared" si="225"/>
        <v>1330</v>
      </c>
      <c r="U3158" s="517"/>
      <c r="V3158" s="494">
        <v>120</v>
      </c>
      <c r="W3158" s="2041">
        <f t="shared" si="226"/>
        <v>0.40090090090090091</v>
      </c>
    </row>
    <row r="3159" spans="1:23" s="7" customFormat="1" ht="15.95" customHeight="1">
      <c r="A3159" s="1"/>
      <c r="B3159" s="12" t="s">
        <v>1856</v>
      </c>
      <c r="C3159" s="6"/>
      <c r="D3159" s="15" t="s">
        <v>6552</v>
      </c>
      <c r="E3159" s="2252" t="s">
        <v>7078</v>
      </c>
      <c r="F3159" s="44"/>
      <c r="G3159" s="44" t="s">
        <v>7077</v>
      </c>
      <c r="H3159" s="8"/>
      <c r="I3159" s="41"/>
      <c r="J3159" s="67">
        <v>10</v>
      </c>
      <c r="K3159" s="1007">
        <v>1.85</v>
      </c>
      <c r="L3159" s="46">
        <f t="shared" si="223"/>
        <v>18.5</v>
      </c>
      <c r="M3159" s="162" t="s">
        <v>2219</v>
      </c>
      <c r="N3159" s="39"/>
      <c r="O3159" s="38"/>
      <c r="P3159" s="180">
        <f>K3159*(VLOOKUP(B3159,$C$2:$F$6,3,FALSE))</f>
        <v>1.6280000000000001</v>
      </c>
      <c r="Q3159" s="483">
        <v>1.63</v>
      </c>
      <c r="R3159" s="704">
        <f t="shared" si="224"/>
        <v>16.299999999999997</v>
      </c>
      <c r="S3159" s="489">
        <v>133</v>
      </c>
      <c r="T3159" s="113">
        <f t="shared" si="225"/>
        <v>1330</v>
      </c>
      <c r="U3159" s="517"/>
      <c r="V3159" s="494">
        <v>120</v>
      </c>
      <c r="W3159" s="2041">
        <f t="shared" si="226"/>
        <v>0.40090090090090091</v>
      </c>
    </row>
    <row r="3160" spans="1:23" s="7" customFormat="1" ht="18" customHeight="1">
      <c r="B3160" s="12" t="s">
        <v>1862</v>
      </c>
      <c r="C3160" s="6"/>
      <c r="D3160" s="15" t="s">
        <v>6552</v>
      </c>
      <c r="E3160" s="238"/>
      <c r="F3160" s="44"/>
      <c r="G3160" s="24" t="s">
        <v>704</v>
      </c>
      <c r="H3160" s="8"/>
      <c r="I3160" s="152" ph="1"/>
      <c r="J3160" s="45">
        <v>4</v>
      </c>
      <c r="K3160" s="46">
        <v>75</v>
      </c>
      <c r="L3160" s="46">
        <f t="shared" si="223"/>
        <v>300</v>
      </c>
      <c r="M3160" s="112"/>
      <c r="N3160" s="39"/>
      <c r="O3160" s="38"/>
      <c r="P3160" s="180">
        <f>K3160*(VLOOKUP(B3160,$C$2:$F$6,3,FALSE))</f>
        <v>75</v>
      </c>
      <c r="Q3160" s="703">
        <v>75</v>
      </c>
      <c r="R3160" s="703">
        <f t="shared" si="224"/>
        <v>300</v>
      </c>
      <c r="S3160" s="7">
        <v>7000</v>
      </c>
      <c r="T3160" s="113">
        <f t="shared" si="225"/>
        <v>28000</v>
      </c>
      <c r="U3160" s="23"/>
      <c r="V3160" s="494">
        <v>120</v>
      </c>
      <c r="W3160" s="2041">
        <f t="shared" si="226"/>
        <v>0.22222222222222221</v>
      </c>
    </row>
    <row r="3161" spans="1:23" s="7" customFormat="1" ht="18" customHeight="1">
      <c r="B3161" s="12"/>
      <c r="C3161" s="6"/>
      <c r="D3161" s="15" t="s">
        <v>6552</v>
      </c>
      <c r="E3161" s="238"/>
      <c r="F3161" s="44"/>
      <c r="G3161" s="24" t="s">
        <v>2975</v>
      </c>
      <c r="H3161" s="8"/>
      <c r="I3161" s="152" ph="1"/>
      <c r="J3161" s="45">
        <v>1</v>
      </c>
      <c r="K3161" s="46">
        <v>12</v>
      </c>
      <c r="L3161" s="46">
        <f t="shared" si="223"/>
        <v>12</v>
      </c>
      <c r="M3161" s="112"/>
      <c r="N3161" s="39"/>
      <c r="O3161" s="38"/>
      <c r="P3161" s="6"/>
      <c r="Q3161" s="703">
        <v>12</v>
      </c>
      <c r="R3161" s="703">
        <f t="shared" si="224"/>
        <v>12</v>
      </c>
      <c r="S3161" s="7">
        <v>0</v>
      </c>
      <c r="T3161" s="113">
        <f t="shared" si="225"/>
        <v>0</v>
      </c>
      <c r="U3161" s="23"/>
      <c r="V3161" s="494">
        <v>120</v>
      </c>
      <c r="W3161" s="2041">
        <f t="shared" si="226"/>
        <v>1</v>
      </c>
    </row>
    <row r="3162" spans="1:23" s="314" customFormat="1" ht="18" customHeight="1">
      <c r="B3162" s="313"/>
      <c r="C3162" s="302"/>
      <c r="D3162" s="303" t="s">
        <v>6552</v>
      </c>
      <c r="E3162" s="371"/>
      <c r="F3162" s="305"/>
      <c r="G3162" s="305" t="s">
        <v>1227</v>
      </c>
      <c r="H3162" s="307" t="s">
        <v>1228</v>
      </c>
      <c r="I3162" s="308"/>
      <c r="J3162" s="306"/>
      <c r="K3162" s="315">
        <v>0</v>
      </c>
      <c r="L3162" s="310"/>
      <c r="M3162" s="310"/>
      <c r="N3162" s="310"/>
      <c r="O3162" s="309"/>
      <c r="P3162" s="302"/>
      <c r="Q3162" s="531">
        <v>0</v>
      </c>
      <c r="S3162" s="535">
        <v>0</v>
      </c>
      <c r="T3162" s="322">
        <v>0</v>
      </c>
      <c r="U3162" s="1115"/>
      <c r="V3162" s="494">
        <v>120</v>
      </c>
      <c r="W3162" s="2041" t="e">
        <f t="shared" si="226"/>
        <v>#DIV/0!</v>
      </c>
    </row>
    <row r="3163" spans="1:23" s="7" customFormat="1" ht="15" customHeight="1">
      <c r="A3163" s="1"/>
      <c r="B3163" s="12"/>
      <c r="C3163" s="6" t="s">
        <v>7079</v>
      </c>
      <c r="D3163" s="15" t="s">
        <v>169</v>
      </c>
      <c r="E3163" s="20" t="s">
        <v>7141</v>
      </c>
      <c r="F3163" s="26"/>
      <c r="G3163" s="24"/>
      <c r="H3163" s="67"/>
      <c r="I3163" s="68"/>
      <c r="J3163" s="67"/>
      <c r="K3163" s="17" t="s">
        <v>10</v>
      </c>
      <c r="L3163" s="39"/>
      <c r="M3163" s="39"/>
      <c r="N3163" s="39">
        <v>45478</v>
      </c>
      <c r="O3163" s="38">
        <v>6273</v>
      </c>
      <c r="P3163" s="180" t="e">
        <f>K3163*(VLOOKUP(B3163,$C$2:$F$6,3,FALSE))</f>
        <v>#VALUE!</v>
      </c>
      <c r="Q3163" s="483"/>
      <c r="R3163" s="704"/>
      <c r="S3163" s="489"/>
      <c r="T3163" s="113">
        <f t="shared" ref="T3163:T3168" si="227">S3163*J3163</f>
        <v>0</v>
      </c>
      <c r="U3163" s="517"/>
      <c r="V3163" s="494">
        <v>120</v>
      </c>
      <c r="W3163" s="2041" t="e">
        <f t="shared" si="226"/>
        <v>#VALUE!</v>
      </c>
    </row>
    <row r="3164" spans="1:23" s="7" customFormat="1" ht="15.75" customHeight="1">
      <c r="A3164" s="1"/>
      <c r="B3164" s="12" t="s">
        <v>1856</v>
      </c>
      <c r="C3164" s="6" t="s">
        <v>7079</v>
      </c>
      <c r="D3164" s="15" t="s">
        <v>169</v>
      </c>
      <c r="E3164" s="24" t="s">
        <v>7080</v>
      </c>
      <c r="F3164" s="26"/>
      <c r="G3164" s="24" t="s">
        <v>78</v>
      </c>
      <c r="H3164" s="151">
        <v>14</v>
      </c>
      <c r="I3164" s="41">
        <v>5</v>
      </c>
      <c r="J3164" s="67">
        <f>H3164*I3164</f>
        <v>70</v>
      </c>
      <c r="K3164" s="25">
        <v>5.56</v>
      </c>
      <c r="L3164" s="46">
        <f>K3164*J3164</f>
        <v>389.2</v>
      </c>
      <c r="M3164" s="162" t="s">
        <v>2219</v>
      </c>
      <c r="N3164" s="39">
        <v>45478</v>
      </c>
      <c r="O3164" s="38">
        <v>6273</v>
      </c>
      <c r="P3164" s="180">
        <f>K3164*(VLOOKUP(B3164,$C$2:$F$6,3,FALSE))</f>
        <v>4.8927999999999994</v>
      </c>
      <c r="Q3164" s="483">
        <v>4.8899999999999997</v>
      </c>
      <c r="R3164" s="704">
        <f>Q3164*J3164</f>
        <v>342.29999999999995</v>
      </c>
      <c r="S3164" s="489">
        <v>400</v>
      </c>
      <c r="T3164" s="113">
        <f t="shared" si="227"/>
        <v>28000</v>
      </c>
      <c r="U3164" s="517"/>
      <c r="V3164" s="494">
        <v>120</v>
      </c>
      <c r="W3164" s="2041">
        <f t="shared" si="226"/>
        <v>0.40047961630695439</v>
      </c>
    </row>
    <row r="3165" spans="1:23" s="7" customFormat="1" ht="15.75" customHeight="1">
      <c r="A3165" s="1"/>
      <c r="B3165" s="12" t="s">
        <v>1856</v>
      </c>
      <c r="C3165" s="6" t="s">
        <v>7079</v>
      </c>
      <c r="D3165" s="15" t="s">
        <v>169</v>
      </c>
      <c r="E3165" s="24" t="s">
        <v>7081</v>
      </c>
      <c r="F3165" s="26"/>
      <c r="G3165" s="24" t="s">
        <v>56</v>
      </c>
      <c r="H3165" s="151">
        <v>14</v>
      </c>
      <c r="I3165" s="41">
        <v>2</v>
      </c>
      <c r="J3165" s="67">
        <f>H3165*I3165</f>
        <v>28</v>
      </c>
      <c r="K3165" s="46">
        <v>6.67</v>
      </c>
      <c r="L3165" s="46">
        <f>K3165*J3165</f>
        <v>186.76</v>
      </c>
      <c r="M3165" s="162" t="s">
        <v>2219</v>
      </c>
      <c r="N3165" s="39">
        <v>45478</v>
      </c>
      <c r="O3165" s="38">
        <v>6273</v>
      </c>
      <c r="P3165" s="180">
        <f>K3165*(VLOOKUP(B3165,$C$2:$F$6,3,FALSE))</f>
        <v>5.8696000000000002</v>
      </c>
      <c r="Q3165" s="483">
        <v>5.87</v>
      </c>
      <c r="R3165" s="704">
        <f>Q3165*J3165</f>
        <v>164.36</v>
      </c>
      <c r="S3165" s="532">
        <v>480</v>
      </c>
      <c r="T3165" s="113">
        <f t="shared" si="227"/>
        <v>13440</v>
      </c>
      <c r="U3165" s="517"/>
      <c r="V3165" s="494">
        <v>120</v>
      </c>
      <c r="W3165" s="2041">
        <f t="shared" si="226"/>
        <v>0.40029985007496249</v>
      </c>
    </row>
    <row r="3166" spans="1:23" s="7" customFormat="1" ht="15.75" customHeight="1">
      <c r="A3166" s="1"/>
      <c r="B3166" s="12" t="s">
        <v>1856</v>
      </c>
      <c r="C3166" s="6" t="s">
        <v>7079</v>
      </c>
      <c r="D3166" s="15" t="s">
        <v>169</v>
      </c>
      <c r="E3166" s="24" t="s">
        <v>7006</v>
      </c>
      <c r="F3166" s="26"/>
      <c r="G3166" s="24" t="s">
        <v>78</v>
      </c>
      <c r="H3166" s="151">
        <v>14</v>
      </c>
      <c r="I3166" s="41">
        <v>6</v>
      </c>
      <c r="J3166" s="67">
        <f>H3166*I3166</f>
        <v>84</v>
      </c>
      <c r="K3166" s="25">
        <v>9.64</v>
      </c>
      <c r="L3166" s="46">
        <f>K3166*J3166</f>
        <v>809.76</v>
      </c>
      <c r="M3166" s="162" t="s">
        <v>2219</v>
      </c>
      <c r="N3166" s="39">
        <v>45478</v>
      </c>
      <c r="O3166" s="38">
        <v>6273</v>
      </c>
      <c r="P3166" s="180">
        <f>K3166*(VLOOKUP(B3166,$C$2:$F$6,3,FALSE))</f>
        <v>8.4832000000000001</v>
      </c>
      <c r="Q3166" s="483">
        <v>8.48</v>
      </c>
      <c r="R3166" s="704">
        <f>Q3166*J3166</f>
        <v>712.32</v>
      </c>
      <c r="S3166" s="489">
        <v>590</v>
      </c>
      <c r="T3166" s="113">
        <f t="shared" si="227"/>
        <v>49560</v>
      </c>
      <c r="U3166" s="517"/>
      <c r="V3166" s="494">
        <v>120</v>
      </c>
      <c r="W3166" s="2041">
        <f t="shared" si="226"/>
        <v>0.48997233748271102</v>
      </c>
    </row>
    <row r="3167" spans="1:23" s="7" customFormat="1" ht="15.75" customHeight="1">
      <c r="A3167" s="1"/>
      <c r="B3167" s="12" t="s">
        <v>1856</v>
      </c>
      <c r="C3167" s="6" t="s">
        <v>7079</v>
      </c>
      <c r="D3167" s="15" t="s">
        <v>169</v>
      </c>
      <c r="E3167" s="24" t="s">
        <v>2611</v>
      </c>
      <c r="F3167" s="26"/>
      <c r="G3167" s="24" t="s">
        <v>78</v>
      </c>
      <c r="H3167" s="151">
        <v>14</v>
      </c>
      <c r="I3167" s="41">
        <v>7</v>
      </c>
      <c r="J3167" s="67">
        <f>H3167*I3167</f>
        <v>98</v>
      </c>
      <c r="K3167" s="25">
        <v>3.89</v>
      </c>
      <c r="L3167" s="46">
        <f>K3167*J3167</f>
        <v>381.22</v>
      </c>
      <c r="M3167" s="162" t="s">
        <v>2219</v>
      </c>
      <c r="N3167" s="39">
        <v>45478</v>
      </c>
      <c r="O3167" s="38">
        <v>6273</v>
      </c>
      <c r="P3167" s="180">
        <f>K3167*(VLOOKUP(B3167,$C$2:$F$6,3,FALSE))</f>
        <v>3.4232</v>
      </c>
      <c r="Q3167" s="483">
        <v>3.42</v>
      </c>
      <c r="R3167" s="704">
        <f>Q3167*J3167</f>
        <v>335.15999999999997</v>
      </c>
      <c r="S3167" s="489">
        <v>280</v>
      </c>
      <c r="T3167" s="113">
        <f t="shared" si="227"/>
        <v>27440</v>
      </c>
      <c r="U3167" s="517"/>
      <c r="V3167" s="494">
        <v>120</v>
      </c>
      <c r="W3167" s="2041">
        <f t="shared" si="226"/>
        <v>0.40017137960582694</v>
      </c>
    </row>
    <row r="3168" spans="1:23" s="7" customFormat="1" ht="18" customHeight="1">
      <c r="B3168" s="12"/>
      <c r="C3168" s="6" t="s">
        <v>7079</v>
      </c>
      <c r="D3168" s="15" t="s">
        <v>169</v>
      </c>
      <c r="E3168" s="238"/>
      <c r="F3168" s="44"/>
      <c r="G3168" s="24" t="s">
        <v>2975</v>
      </c>
      <c r="H3168" s="8"/>
      <c r="I3168" s="152" ph="1"/>
      <c r="J3168" s="45">
        <v>1</v>
      </c>
      <c r="K3168" s="46">
        <v>12</v>
      </c>
      <c r="L3168" s="46">
        <f>K3168*J3168</f>
        <v>12</v>
      </c>
      <c r="M3168" s="112"/>
      <c r="N3168" s="39">
        <v>45478</v>
      </c>
      <c r="O3168" s="38">
        <v>6273</v>
      </c>
      <c r="P3168" s="6"/>
      <c r="Q3168" s="703">
        <v>12</v>
      </c>
      <c r="R3168" s="703">
        <f>Q3168*J3168</f>
        <v>12</v>
      </c>
      <c r="S3168" s="7">
        <v>0</v>
      </c>
      <c r="T3168" s="113">
        <f t="shared" si="227"/>
        <v>0</v>
      </c>
      <c r="U3168" s="23"/>
      <c r="V3168" s="494">
        <v>120</v>
      </c>
      <c r="W3168" s="2041">
        <f t="shared" si="226"/>
        <v>1</v>
      </c>
    </row>
    <row r="3169" spans="1:24" s="314" customFormat="1" ht="15">
      <c r="A3169" s="1"/>
      <c r="B3169" s="313"/>
      <c r="C3169" s="302" t="s">
        <v>7079</v>
      </c>
      <c r="D3169" s="303" t="s">
        <v>169</v>
      </c>
      <c r="E3169" s="304"/>
      <c r="F3169" s="305"/>
      <c r="G3169" s="305" t="s">
        <v>1227</v>
      </c>
      <c r="H3169" s="307" t="s">
        <v>3438</v>
      </c>
      <c r="I3169" s="308"/>
      <c r="J3169" s="306"/>
      <c r="K3169" s="315">
        <v>60</v>
      </c>
      <c r="L3169" s="315">
        <v>60</v>
      </c>
      <c r="M3169" s="310"/>
      <c r="N3169" s="310">
        <v>45478</v>
      </c>
      <c r="O3169" s="309">
        <v>6273</v>
      </c>
      <c r="P3169" s="302"/>
      <c r="Q3169" s="315">
        <v>60</v>
      </c>
      <c r="R3169" s="315">
        <v>60</v>
      </c>
      <c r="S3169" s="536">
        <v>6799</v>
      </c>
      <c r="T3169" s="536">
        <v>6799</v>
      </c>
      <c r="U3169" s="1115"/>
      <c r="V3169" s="494">
        <v>120</v>
      </c>
      <c r="W3169" s="2041">
        <f t="shared" si="226"/>
        <v>5.5694444444444442E-2</v>
      </c>
    </row>
    <row r="3170" spans="1:24" s="7" customFormat="1" ht="15" customHeight="1">
      <c r="B3170" s="12"/>
      <c r="C3170" s="6" t="s">
        <v>7090</v>
      </c>
      <c r="D3170" s="15" t="s">
        <v>8</v>
      </c>
      <c r="E3170" s="20" t="s">
        <v>6633</v>
      </c>
      <c r="F3170" s="26"/>
      <c r="G3170" s="24"/>
      <c r="H3170" s="67"/>
      <c r="I3170" s="68"/>
      <c r="J3170" s="67"/>
      <c r="K3170" s="17" t="s">
        <v>140</v>
      </c>
      <c r="L3170" s="39"/>
      <c r="M3170" s="39"/>
      <c r="N3170" s="39">
        <v>45475</v>
      </c>
      <c r="O3170" s="38">
        <v>6259</v>
      </c>
      <c r="P3170" s="179" t="s">
        <v>23</v>
      </c>
      <c r="Q3170" s="438" t="s">
        <v>959</v>
      </c>
      <c r="R3170" s="704"/>
      <c r="S3170" s="707"/>
      <c r="T3170" s="113"/>
      <c r="U3170" s="2068"/>
      <c r="V3170" s="494">
        <v>120</v>
      </c>
      <c r="W3170" s="2041" t="e">
        <f t="shared" si="226"/>
        <v>#VALUE!</v>
      </c>
    </row>
    <row r="3171" spans="1:24" s="7" customFormat="1" ht="18" customHeight="1">
      <c r="B3171" s="12" t="s">
        <v>1862</v>
      </c>
      <c r="C3171" s="6" t="s">
        <v>7090</v>
      </c>
      <c r="D3171" s="15" t="s">
        <v>8</v>
      </c>
      <c r="E3171" s="24" t="s">
        <v>7091</v>
      </c>
      <c r="F3171" s="138"/>
      <c r="G3171" s="44"/>
      <c r="H3171" s="8"/>
      <c r="I3171" s="68"/>
      <c r="J3171" s="45">
        <v>1</v>
      </c>
      <c r="K3171" s="46">
        <v>10</v>
      </c>
      <c r="L3171" s="46">
        <f>K3171*J3171</f>
        <v>10</v>
      </c>
      <c r="M3171" s="162" t="s">
        <v>2219</v>
      </c>
      <c r="N3171" s="39">
        <v>45475</v>
      </c>
      <c r="O3171" s="38">
        <v>6259</v>
      </c>
      <c r="P3171" s="46">
        <f>K3171*(VLOOKUP(B3171,$C$2:$F$6,3,FALSE))</f>
        <v>10</v>
      </c>
      <c r="Q3171" s="180">
        <v>10</v>
      </c>
      <c r="R3171" s="704">
        <f>Q3171*J3171</f>
        <v>10</v>
      </c>
      <c r="S3171" s="498">
        <v>0</v>
      </c>
      <c r="T3171" s="568">
        <f>S3171*J3171</f>
        <v>0</v>
      </c>
      <c r="U3171" s="511"/>
      <c r="V3171" s="494">
        <v>120</v>
      </c>
      <c r="W3171" s="2041">
        <f t="shared" si="226"/>
        <v>1</v>
      </c>
      <c r="X3171" s="1"/>
    </row>
    <row r="3172" spans="1:24" s="7" customFormat="1" ht="18" customHeight="1">
      <c r="B3172" s="12" t="s">
        <v>1862</v>
      </c>
      <c r="C3172" s="6" t="s">
        <v>7090</v>
      </c>
      <c r="D3172" s="15" t="s">
        <v>8</v>
      </c>
      <c r="E3172" s="24" t="s">
        <v>7092</v>
      </c>
      <c r="F3172" s="138"/>
      <c r="G3172" s="44"/>
      <c r="H3172" s="8"/>
      <c r="I3172" s="68"/>
      <c r="J3172" s="45">
        <v>1</v>
      </c>
      <c r="K3172" s="46">
        <v>10</v>
      </c>
      <c r="L3172" s="46">
        <f>K3172*J3172</f>
        <v>10</v>
      </c>
      <c r="M3172" s="162" t="s">
        <v>2219</v>
      </c>
      <c r="N3172" s="39">
        <v>45475</v>
      </c>
      <c r="O3172" s="38">
        <v>6259</v>
      </c>
      <c r="P3172" s="46">
        <f>K3172*(VLOOKUP(B3172,$C$2:$F$6,3,FALSE))</f>
        <v>10</v>
      </c>
      <c r="Q3172" s="180">
        <v>10</v>
      </c>
      <c r="R3172" s="704">
        <f>Q3172*J3172</f>
        <v>10</v>
      </c>
      <c r="S3172" s="498">
        <v>0</v>
      </c>
      <c r="T3172" s="568">
        <f>S3172*J3172</f>
        <v>0</v>
      </c>
      <c r="U3172" s="511"/>
      <c r="V3172" s="494">
        <v>120</v>
      </c>
      <c r="W3172" s="2041">
        <f t="shared" si="226"/>
        <v>1</v>
      </c>
      <c r="X3172" s="1"/>
    </row>
    <row r="3173" spans="1:24" s="314" customFormat="1" ht="15">
      <c r="B3173" s="313"/>
      <c r="C3173" s="302" t="s">
        <v>7090</v>
      </c>
      <c r="D3173" s="303" t="s">
        <v>8</v>
      </c>
      <c r="E3173" s="371"/>
      <c r="F3173" s="305"/>
      <c r="G3173" s="2049" t="s">
        <v>1227</v>
      </c>
      <c r="H3173" s="307" t="s">
        <v>1228</v>
      </c>
      <c r="I3173" s="308"/>
      <c r="J3173" s="306"/>
      <c r="K3173" s="315">
        <v>0</v>
      </c>
      <c r="L3173" s="310"/>
      <c r="M3173" s="310"/>
      <c r="N3173" s="310">
        <v>45475</v>
      </c>
      <c r="O3173" s="309">
        <v>6259</v>
      </c>
      <c r="P3173" s="302"/>
      <c r="Q3173" s="485">
        <v>0</v>
      </c>
      <c r="S3173" s="535">
        <v>0</v>
      </c>
      <c r="T3173" s="322">
        <v>0</v>
      </c>
      <c r="U3173" s="515"/>
      <c r="V3173" s="494">
        <v>120</v>
      </c>
      <c r="W3173" s="2041" t="e">
        <f t="shared" si="226"/>
        <v>#DIV/0!</v>
      </c>
    </row>
    <row r="3174" spans="1:24" ht="15">
      <c r="C3174" s="6" t="s">
        <v>7093</v>
      </c>
      <c r="D3174" s="15" t="s">
        <v>2309</v>
      </c>
      <c r="E3174" s="20" t="s">
        <v>79</v>
      </c>
      <c r="F3174" s="150"/>
      <c r="G3174" s="24"/>
      <c r="H3174" s="151"/>
      <c r="I3174" s="152"/>
      <c r="J3174" s="151"/>
      <c r="K3174" s="153" t="s">
        <v>10</v>
      </c>
      <c r="L3174" s="39"/>
      <c r="M3174" s="39"/>
      <c r="N3174" s="39">
        <v>45477</v>
      </c>
      <c r="O3174" s="38">
        <v>6264</v>
      </c>
      <c r="P3174" s="15"/>
      <c r="Q3174" s="483"/>
      <c r="S3174" s="2272"/>
      <c r="T3174" s="2272"/>
      <c r="V3174" s="494">
        <v>120</v>
      </c>
      <c r="W3174"/>
    </row>
    <row r="3175" spans="1:24" ht="15.75">
      <c r="B3175" s="12" t="s">
        <v>1858</v>
      </c>
      <c r="C3175" s="6" t="s">
        <v>7093</v>
      </c>
      <c r="D3175" s="15" t="s">
        <v>2309</v>
      </c>
      <c r="E3175" s="24">
        <v>5521</v>
      </c>
      <c r="F3175" s="150">
        <v>148</v>
      </c>
      <c r="G3175" s="24" t="s">
        <v>83</v>
      </c>
      <c r="H3175" s="67"/>
      <c r="I3175" s="68"/>
      <c r="J3175" s="67">
        <v>7</v>
      </c>
      <c r="K3175" s="46">
        <v>7.95</v>
      </c>
      <c r="L3175" s="46">
        <f>K3175*J3175</f>
        <v>55.65</v>
      </c>
      <c r="M3175" s="162" t="s">
        <v>2219</v>
      </c>
      <c r="N3175" s="39">
        <v>45477</v>
      </c>
      <c r="O3175" s="38">
        <v>6264</v>
      </c>
      <c r="P3175" s="46">
        <f>K3175*(VLOOKUP(B3175,$C$2:$F$6,3,FALSE))</f>
        <v>7.4729999999999999</v>
      </c>
      <c r="Q3175" s="483">
        <v>7.47</v>
      </c>
      <c r="R3175" s="704">
        <f>Q3175*J3175</f>
        <v>52.29</v>
      </c>
      <c r="S3175" s="532">
        <v>620</v>
      </c>
      <c r="T3175" s="567">
        <f>S3175*J3175</f>
        <v>4340</v>
      </c>
      <c r="V3175" s="494">
        <v>120</v>
      </c>
      <c r="W3175" s="2041">
        <f t="shared" ref="W3175:W3202" si="228">(((K3175*V3175)-S3175)/(K3175*V3175))</f>
        <v>0.35010482180293501</v>
      </c>
    </row>
    <row r="3176" spans="1:24" s="7" customFormat="1" ht="15.95" customHeight="1">
      <c r="B3176" s="12"/>
      <c r="C3176" s="6" t="s">
        <v>7093</v>
      </c>
      <c r="D3176" s="15" t="s">
        <v>2309</v>
      </c>
      <c r="E3176" s="24"/>
      <c r="F3176" s="138"/>
      <c r="G3176" s="44" t="s">
        <v>1075</v>
      </c>
      <c r="H3176" s="8"/>
      <c r="I3176" s="41"/>
      <c r="J3176" s="45">
        <v>1</v>
      </c>
      <c r="K3176" s="46">
        <v>15</v>
      </c>
      <c r="L3176" s="46">
        <f>K3176*J3176</f>
        <v>15</v>
      </c>
      <c r="M3176" s="39"/>
      <c r="N3176" s="39">
        <v>45477</v>
      </c>
      <c r="O3176" s="38">
        <v>6264</v>
      </c>
      <c r="P3176" s="6"/>
      <c r="Q3176" s="483">
        <v>15</v>
      </c>
      <c r="R3176" s="704">
        <f>Q3176*J3176</f>
        <v>15</v>
      </c>
      <c r="S3176" s="489">
        <v>1000</v>
      </c>
      <c r="T3176" s="113">
        <f>S3176*J3176</f>
        <v>1000</v>
      </c>
      <c r="U3176" s="501"/>
      <c r="V3176" s="494">
        <v>120</v>
      </c>
      <c r="W3176" s="2041">
        <f t="shared" si="228"/>
        <v>0.44444444444444442</v>
      </c>
    </row>
    <row r="3177" spans="1:24" s="7" customFormat="1" ht="15.95" customHeight="1">
      <c r="B3177" s="12"/>
      <c r="C3177" s="6" t="s">
        <v>7093</v>
      </c>
      <c r="D3177" s="15" t="s">
        <v>2309</v>
      </c>
      <c r="E3177" s="24"/>
      <c r="F3177" s="138"/>
      <c r="G3177" s="44" t="s">
        <v>1993</v>
      </c>
      <c r="H3177" s="8"/>
      <c r="I3177" s="41"/>
      <c r="J3177" s="45">
        <v>1</v>
      </c>
      <c r="K3177" s="46">
        <v>20</v>
      </c>
      <c r="L3177" s="46">
        <f>K3177*J3177</f>
        <v>20</v>
      </c>
      <c r="M3177" s="39"/>
      <c r="N3177" s="39">
        <v>45477</v>
      </c>
      <c r="O3177" s="38">
        <v>6264</v>
      </c>
      <c r="P3177" s="6"/>
      <c r="Q3177" s="483">
        <v>20</v>
      </c>
      <c r="R3177" s="704">
        <f>Q3177*J3177</f>
        <v>20</v>
      </c>
      <c r="S3177" s="489">
        <v>1000</v>
      </c>
      <c r="T3177" s="113">
        <f>S3177*J3177</f>
        <v>1000</v>
      </c>
      <c r="U3177" s="501"/>
      <c r="V3177" s="494">
        <v>120</v>
      </c>
      <c r="W3177" s="2041">
        <f t="shared" si="228"/>
        <v>0.58333333333333337</v>
      </c>
    </row>
    <row r="3178" spans="1:24" s="314" customFormat="1" ht="15">
      <c r="B3178" s="313"/>
      <c r="C3178" s="302" t="s">
        <v>7093</v>
      </c>
      <c r="D3178" s="303" t="s">
        <v>2309</v>
      </c>
      <c r="E3178" s="304"/>
      <c r="F3178" s="305"/>
      <c r="G3178" s="305" t="s">
        <v>1227</v>
      </c>
      <c r="H3178" s="307" t="s">
        <v>1243</v>
      </c>
      <c r="I3178" s="308"/>
      <c r="J3178" s="306"/>
      <c r="K3178" s="329">
        <v>26</v>
      </c>
      <c r="L3178" s="329">
        <v>26</v>
      </c>
      <c r="M3178" s="310"/>
      <c r="N3178" s="310">
        <v>45477</v>
      </c>
      <c r="O3178" s="309">
        <v>6264</v>
      </c>
      <c r="P3178" s="685"/>
      <c r="Q3178" s="329">
        <v>26</v>
      </c>
      <c r="R3178" s="329">
        <v>26</v>
      </c>
      <c r="S3178" s="489">
        <v>3097</v>
      </c>
      <c r="T3178" s="489">
        <v>3097</v>
      </c>
      <c r="U3178" s="688"/>
      <c r="V3178" s="494">
        <v>120</v>
      </c>
      <c r="W3178" s="2041">
        <f t="shared" si="228"/>
        <v>7.3717948717948716E-3</v>
      </c>
    </row>
    <row r="3179" spans="1:24" s="7" customFormat="1" ht="15">
      <c r="B3179" s="12"/>
      <c r="C3179" s="6" t="s">
        <v>7094</v>
      </c>
      <c r="D3179" s="15" t="s">
        <v>3026</v>
      </c>
      <c r="E3179" s="20" t="s">
        <v>408</v>
      </c>
      <c r="F3179" s="44"/>
      <c r="G3179" s="44"/>
      <c r="H3179" s="151"/>
      <c r="I3179" s="151"/>
      <c r="J3179" s="151"/>
      <c r="K3179" s="17" t="s">
        <v>134</v>
      </c>
      <c r="L3179" s="39"/>
      <c r="M3179" s="39"/>
      <c r="N3179" s="39">
        <v>45489</v>
      </c>
      <c r="O3179" s="38">
        <v>6288</v>
      </c>
      <c r="P3179" s="6"/>
      <c r="Q3179" s="524"/>
      <c r="S3179" s="489"/>
      <c r="T3179" s="113"/>
      <c r="U3179" s="501"/>
      <c r="V3179" s="494">
        <v>120</v>
      </c>
      <c r="W3179" s="2041" t="e">
        <f t="shared" si="228"/>
        <v>#VALUE!</v>
      </c>
    </row>
    <row r="3180" spans="1:24" s="7" customFormat="1" ht="15" customHeight="1">
      <c r="B3180" s="12" t="s">
        <v>1856</v>
      </c>
      <c r="C3180" s="6" t="s">
        <v>7094</v>
      </c>
      <c r="D3180" s="15" t="s">
        <v>3026</v>
      </c>
      <c r="E3180" s="24" t="s">
        <v>1219</v>
      </c>
      <c r="F3180" s="26"/>
      <c r="G3180" s="24" t="s">
        <v>17</v>
      </c>
      <c r="H3180" s="67">
        <v>50</v>
      </c>
      <c r="I3180" s="68">
        <v>60</v>
      </c>
      <c r="J3180" s="8">
        <f>H3180*I3180</f>
        <v>3000</v>
      </c>
      <c r="K3180" s="46">
        <v>0.3</v>
      </c>
      <c r="L3180" s="46">
        <f>K3180*J3180</f>
        <v>900</v>
      </c>
      <c r="M3180" s="162" t="s">
        <v>2219</v>
      </c>
      <c r="N3180" s="39">
        <v>45489</v>
      </c>
      <c r="O3180" s="38">
        <v>6288</v>
      </c>
      <c r="P3180" s="46">
        <f>K3180*(VLOOKUP(B3180,$C$2:$F$6,3,FALSE))</f>
        <v>0.26400000000000001</v>
      </c>
      <c r="Q3180" s="482">
        <v>0.26</v>
      </c>
      <c r="R3180" s="704">
        <f>Q3180*J3180</f>
        <v>780</v>
      </c>
      <c r="S3180" s="489">
        <v>18</v>
      </c>
      <c r="T3180" s="113">
        <f>S3180*J3180</f>
        <v>54000</v>
      </c>
      <c r="U3180" s="1603"/>
      <c r="V3180" s="494">
        <v>120</v>
      </c>
      <c r="W3180" s="2041">
        <f t="shared" si="228"/>
        <v>0.5</v>
      </c>
    </row>
    <row r="3181" spans="1:24" s="7" customFormat="1" ht="15" customHeight="1">
      <c r="B3181" s="12" t="s">
        <v>1856</v>
      </c>
      <c r="C3181" s="6" t="s">
        <v>7094</v>
      </c>
      <c r="D3181" s="15" t="s">
        <v>3026</v>
      </c>
      <c r="E3181" s="24" t="s">
        <v>5772</v>
      </c>
      <c r="F3181" s="26"/>
      <c r="G3181" s="24" t="s">
        <v>17</v>
      </c>
      <c r="H3181" s="67">
        <v>50</v>
      </c>
      <c r="I3181" s="68">
        <v>60</v>
      </c>
      <c r="J3181" s="8">
        <f>H3181*I3181</f>
        <v>3000</v>
      </c>
      <c r="K3181" s="46">
        <v>0.26</v>
      </c>
      <c r="L3181" s="46">
        <f>K3181*J3181</f>
        <v>780</v>
      </c>
      <c r="M3181" s="162" t="s">
        <v>2219</v>
      </c>
      <c r="N3181" s="39">
        <v>45489</v>
      </c>
      <c r="O3181" s="38">
        <v>6288</v>
      </c>
      <c r="P3181" s="46">
        <f>K3181*(VLOOKUP(B3181,$C$2:$F$6,3,FALSE))</f>
        <v>0.2288</v>
      </c>
      <c r="Q3181" s="482">
        <v>0.23</v>
      </c>
      <c r="R3181" s="704">
        <f>Q3181*J3181</f>
        <v>690</v>
      </c>
      <c r="S3181" s="489">
        <v>15.1</v>
      </c>
      <c r="T3181" s="113">
        <f>S3181*J3181</f>
        <v>45300</v>
      </c>
      <c r="U3181" s="1603"/>
      <c r="V3181" s="494">
        <v>120</v>
      </c>
      <c r="W3181" s="2041">
        <f t="shared" si="228"/>
        <v>0.51602564102564097</v>
      </c>
    </row>
    <row r="3182" spans="1:24" s="7" customFormat="1" ht="15.95" customHeight="1">
      <c r="B3182" s="12"/>
      <c r="C3182" s="6" t="s">
        <v>7094</v>
      </c>
      <c r="D3182" s="15" t="s">
        <v>3026</v>
      </c>
      <c r="E3182" s="24"/>
      <c r="F3182" s="138"/>
      <c r="G3182" s="44" t="s">
        <v>1993</v>
      </c>
      <c r="H3182" s="8"/>
      <c r="I3182" s="41"/>
      <c r="J3182" s="45">
        <v>1</v>
      </c>
      <c r="K3182" s="46">
        <v>12</v>
      </c>
      <c r="L3182" s="46">
        <f>K3182*J3182</f>
        <v>12</v>
      </c>
      <c r="M3182" s="39"/>
      <c r="N3182" s="39">
        <v>45489</v>
      </c>
      <c r="O3182" s="38">
        <v>6288</v>
      </c>
      <c r="P3182" s="6"/>
      <c r="Q3182" s="483">
        <v>12</v>
      </c>
      <c r="R3182" s="704">
        <f>Q3182*J3182</f>
        <v>12</v>
      </c>
      <c r="S3182" s="489">
        <v>1100</v>
      </c>
      <c r="T3182" s="113">
        <f>S3182*J3182</f>
        <v>1100</v>
      </c>
      <c r="U3182" s="501"/>
      <c r="V3182" s="494">
        <v>120</v>
      </c>
      <c r="W3182" s="2041">
        <f t="shared" si="228"/>
        <v>0.2361111111111111</v>
      </c>
    </row>
    <row r="3183" spans="1:24" s="314" customFormat="1" ht="15.6" customHeight="1">
      <c r="B3183" s="313"/>
      <c r="C3183" s="302" t="s">
        <v>7094</v>
      </c>
      <c r="D3183" s="303" t="s">
        <v>3026</v>
      </c>
      <c r="E3183" s="304"/>
      <c r="F3183" s="305"/>
      <c r="G3183" s="305" t="s">
        <v>1227</v>
      </c>
      <c r="H3183" s="307" t="s">
        <v>3438</v>
      </c>
      <c r="I3183" s="308"/>
      <c r="J3183" s="306"/>
      <c r="K3183" s="329">
        <v>360</v>
      </c>
      <c r="L3183" s="329">
        <v>360</v>
      </c>
      <c r="M3183" s="310"/>
      <c r="N3183" s="310">
        <v>45489</v>
      </c>
      <c r="O3183" s="309">
        <v>6288</v>
      </c>
      <c r="P3183" s="685"/>
      <c r="Q3183" s="329">
        <v>360</v>
      </c>
      <c r="R3183" s="329">
        <v>360</v>
      </c>
      <c r="S3183" s="2291">
        <v>42081</v>
      </c>
      <c r="T3183" s="2291">
        <v>42081</v>
      </c>
      <c r="U3183" s="688"/>
      <c r="V3183" s="494">
        <v>120</v>
      </c>
      <c r="W3183" s="2041">
        <f t="shared" si="228"/>
        <v>2.5902777777777778E-2</v>
      </c>
    </row>
    <row r="3184" spans="1:24" s="7" customFormat="1" ht="18" customHeight="1">
      <c r="A3184" s="1"/>
      <c r="B3184" s="12"/>
      <c r="C3184" s="6" t="s">
        <v>7096</v>
      </c>
      <c r="D3184" s="15" t="s">
        <v>7095</v>
      </c>
      <c r="E3184" s="20" t="s">
        <v>2663</v>
      </c>
      <c r="F3184" s="24"/>
      <c r="G3184" s="44"/>
      <c r="H3184" s="151"/>
      <c r="I3184" s="151"/>
      <c r="J3184" s="151"/>
      <c r="K3184" s="153" t="s">
        <v>10</v>
      </c>
      <c r="L3184" s="39"/>
      <c r="M3184" s="39"/>
      <c r="N3184" s="39">
        <v>45476</v>
      </c>
      <c r="O3184" s="38">
        <v>6263</v>
      </c>
      <c r="P3184" s="6"/>
      <c r="Q3184" s="411"/>
      <c r="S3184" s="489"/>
      <c r="T3184" s="113"/>
      <c r="U3184" s="501"/>
      <c r="V3184" s="494">
        <v>120</v>
      </c>
      <c r="W3184" s="2041" t="e">
        <f t="shared" si="228"/>
        <v>#VALUE!</v>
      </c>
    </row>
    <row r="3185" spans="1:23" s="7" customFormat="1" ht="15.95" customHeight="1">
      <c r="A3185" s="1"/>
      <c r="B3185" s="12" t="s">
        <v>1856</v>
      </c>
      <c r="C3185" s="6" t="s">
        <v>7096</v>
      </c>
      <c r="D3185" s="15" t="s">
        <v>7095</v>
      </c>
      <c r="E3185" s="24">
        <v>5659</v>
      </c>
      <c r="F3185" s="44" t="s">
        <v>502</v>
      </c>
      <c r="G3185" s="44" t="s">
        <v>2707</v>
      </c>
      <c r="H3185" s="8">
        <v>50</v>
      </c>
      <c r="I3185" s="41">
        <v>1</v>
      </c>
      <c r="J3185" s="67">
        <f>H3185*I3185</f>
        <v>50</v>
      </c>
      <c r="K3185" s="46">
        <v>0.66</v>
      </c>
      <c r="L3185" s="46">
        <f>K3185*J3185</f>
        <v>33</v>
      </c>
      <c r="M3185" s="162" t="s">
        <v>2219</v>
      </c>
      <c r="N3185" s="39">
        <v>45476</v>
      </c>
      <c r="O3185" s="38">
        <v>6263</v>
      </c>
      <c r="P3185" s="46">
        <f>K3185*(VLOOKUP(B3185,$C$2:$F$6,3,FALSE))</f>
        <v>0.58079999999999998</v>
      </c>
      <c r="Q3185" s="483">
        <v>0.57999999999999996</v>
      </c>
      <c r="R3185" s="704">
        <f>Q3185*J3185</f>
        <v>28.999999999999996</v>
      </c>
      <c r="S3185" s="489">
        <v>37.1</v>
      </c>
      <c r="T3185" s="113">
        <f>S3185*J3185</f>
        <v>1855</v>
      </c>
      <c r="U3185" s="517"/>
      <c r="V3185" s="494">
        <v>120</v>
      </c>
      <c r="W3185" s="2041">
        <f t="shared" si="228"/>
        <v>0.53156565656565657</v>
      </c>
    </row>
    <row r="3186" spans="1:23" s="7" customFormat="1" ht="15.95" customHeight="1">
      <c r="B3186" s="12"/>
      <c r="C3186" s="6" t="s">
        <v>7096</v>
      </c>
      <c r="D3186" s="15" t="s">
        <v>7095</v>
      </c>
      <c r="E3186" s="24"/>
      <c r="F3186" s="138"/>
      <c r="G3186" s="44" t="s">
        <v>1993</v>
      </c>
      <c r="H3186" s="8"/>
      <c r="I3186" s="41"/>
      <c r="J3186" s="45">
        <v>1</v>
      </c>
      <c r="K3186" s="46">
        <v>12</v>
      </c>
      <c r="L3186" s="46">
        <f>K3186*J3186</f>
        <v>12</v>
      </c>
      <c r="M3186" s="39"/>
      <c r="N3186" s="39">
        <v>45476</v>
      </c>
      <c r="O3186" s="38">
        <v>6263</v>
      </c>
      <c r="P3186" s="6"/>
      <c r="Q3186" s="483">
        <v>12</v>
      </c>
      <c r="R3186" s="704">
        <f>Q3186*J3186</f>
        <v>12</v>
      </c>
      <c r="S3186" s="489">
        <v>1100</v>
      </c>
      <c r="T3186" s="113">
        <f>S3186*J3186</f>
        <v>1100</v>
      </c>
      <c r="U3186" s="501"/>
      <c r="V3186" s="494">
        <v>120</v>
      </c>
      <c r="W3186" s="2041">
        <f t="shared" si="228"/>
        <v>0.2361111111111111</v>
      </c>
    </row>
    <row r="3187" spans="1:23" s="314" customFormat="1" ht="15">
      <c r="A3187" s="1"/>
      <c r="B3187" s="313"/>
      <c r="C3187" s="302" t="s">
        <v>7096</v>
      </c>
      <c r="D3187" s="303" t="s">
        <v>7095</v>
      </c>
      <c r="E3187" s="304"/>
      <c r="F3187" s="305"/>
      <c r="G3187" s="305" t="s">
        <v>1227</v>
      </c>
      <c r="H3187" s="307" t="s">
        <v>1228</v>
      </c>
      <c r="I3187" s="308"/>
      <c r="J3187" s="306"/>
      <c r="K3187" s="315">
        <v>0</v>
      </c>
      <c r="L3187" s="310"/>
      <c r="M3187" s="310"/>
      <c r="N3187" s="310">
        <v>45476</v>
      </c>
      <c r="O3187" s="309">
        <v>6263</v>
      </c>
      <c r="P3187" s="302"/>
      <c r="Q3187" s="485">
        <v>0</v>
      </c>
      <c r="S3187" s="535">
        <v>0</v>
      </c>
      <c r="T3187" s="322">
        <v>0</v>
      </c>
      <c r="U3187" s="515"/>
      <c r="V3187" s="494">
        <v>120</v>
      </c>
      <c r="W3187" s="2041" t="e">
        <f t="shared" si="228"/>
        <v>#DIV/0!</v>
      </c>
    </row>
    <row r="3188" spans="1:23" s="7" customFormat="1" ht="15" customHeight="1">
      <c r="B3188" s="12"/>
      <c r="C3188" s="6" t="s">
        <v>7174</v>
      </c>
      <c r="D3188" s="15" t="s">
        <v>958</v>
      </c>
      <c r="E3188" s="20" t="s">
        <v>628</v>
      </c>
      <c r="F3188" s="26"/>
      <c r="G3188" s="24"/>
      <c r="H3188" s="67"/>
      <c r="I3188" s="318"/>
      <c r="J3188" s="67"/>
      <c r="K3188" s="17" t="s">
        <v>134</v>
      </c>
      <c r="L3188" s="39"/>
      <c r="M3188" s="39"/>
      <c r="N3188" s="39">
        <v>45490</v>
      </c>
      <c r="O3188" s="38">
        <v>6276</v>
      </c>
      <c r="P3188" s="179" t="s">
        <v>23</v>
      </c>
      <c r="Q3188" s="438" t="s">
        <v>959</v>
      </c>
      <c r="R3188" s="704"/>
      <c r="S3188" s="489"/>
      <c r="T3188" s="113"/>
      <c r="U3188" s="510"/>
      <c r="V3188" s="494">
        <v>120</v>
      </c>
      <c r="W3188" s="2041" t="e">
        <f t="shared" si="228"/>
        <v>#VALUE!</v>
      </c>
    </row>
    <row r="3189" spans="1:23" s="7" customFormat="1" ht="18" customHeight="1">
      <c r="B3189" s="12" t="s">
        <v>1856</v>
      </c>
      <c r="C3189" s="6" t="s">
        <v>7174</v>
      </c>
      <c r="D3189" s="15" t="s">
        <v>958</v>
      </c>
      <c r="E3189" s="24">
        <v>5291</v>
      </c>
      <c r="F3189" s="26">
        <v>6</v>
      </c>
      <c r="G3189" s="24" t="s">
        <v>499</v>
      </c>
      <c r="H3189" s="67">
        <v>50</v>
      </c>
      <c r="I3189" s="68">
        <v>6</v>
      </c>
      <c r="J3189" s="67">
        <f>H3189*I3189</f>
        <v>300</v>
      </c>
      <c r="K3189" s="46">
        <v>0.51</v>
      </c>
      <c r="L3189" s="46">
        <f>K3189*J3189</f>
        <v>153</v>
      </c>
      <c r="M3189" s="162" t="s">
        <v>2219</v>
      </c>
      <c r="N3189" s="39">
        <v>45490</v>
      </c>
      <c r="O3189" s="38">
        <v>6276</v>
      </c>
      <c r="P3189" s="180">
        <v>0.24</v>
      </c>
      <c r="Q3189" s="180">
        <v>0.24</v>
      </c>
      <c r="R3189" s="704">
        <f>Q3189*J3189</f>
        <v>72</v>
      </c>
      <c r="S3189" s="489">
        <v>14.6</v>
      </c>
      <c r="T3189" s="113">
        <f>S3189*J3189</f>
        <v>4380</v>
      </c>
      <c r="U3189" s="867"/>
      <c r="V3189" s="494">
        <v>120</v>
      </c>
      <c r="W3189" s="2041">
        <f t="shared" si="228"/>
        <v>0.76143790849673199</v>
      </c>
    </row>
    <row r="3190" spans="1:23" s="7" customFormat="1" ht="18" customHeight="1">
      <c r="B3190" s="12" t="s">
        <v>1856</v>
      </c>
      <c r="C3190" s="6" t="s">
        <v>7174</v>
      </c>
      <c r="D3190" s="15" t="s">
        <v>958</v>
      </c>
      <c r="E3190" s="24">
        <v>5291</v>
      </c>
      <c r="F3190" s="26">
        <v>6</v>
      </c>
      <c r="G3190" s="24" t="s">
        <v>29</v>
      </c>
      <c r="H3190" s="67">
        <v>50</v>
      </c>
      <c r="I3190" s="68">
        <v>5</v>
      </c>
      <c r="J3190" s="67">
        <f>H3190*I3190</f>
        <v>250</v>
      </c>
      <c r="K3190" s="46">
        <v>0.51</v>
      </c>
      <c r="L3190" s="46">
        <f>K3190*J3190</f>
        <v>127.5</v>
      </c>
      <c r="M3190" s="162" t="s">
        <v>2219</v>
      </c>
      <c r="N3190" s="39">
        <v>45490</v>
      </c>
      <c r="O3190" s="38">
        <v>6276</v>
      </c>
      <c r="P3190" s="180">
        <v>0.24</v>
      </c>
      <c r="Q3190" s="180">
        <v>0.24</v>
      </c>
      <c r="R3190" s="704">
        <f>Q3190*J3190</f>
        <v>60</v>
      </c>
      <c r="S3190" s="489">
        <v>14.6</v>
      </c>
      <c r="T3190" s="113">
        <f>S3190*J3190</f>
        <v>3650</v>
      </c>
      <c r="U3190" s="867"/>
      <c r="V3190" s="494">
        <v>120</v>
      </c>
      <c r="W3190" s="2041">
        <f t="shared" si="228"/>
        <v>0.76143790849673199</v>
      </c>
    </row>
    <row r="3191" spans="1:23" ht="15.95" customHeight="1">
      <c r="C3191" s="6" t="s">
        <v>7174</v>
      </c>
      <c r="D3191" s="15" t="s">
        <v>958</v>
      </c>
      <c r="E3191" s="24"/>
      <c r="F3191" s="138"/>
      <c r="G3191" s="44" t="s">
        <v>1993</v>
      </c>
      <c r="H3191" s="8"/>
      <c r="I3191" s="41"/>
      <c r="J3191" s="45">
        <v>1</v>
      </c>
      <c r="K3191" s="46">
        <v>10</v>
      </c>
      <c r="L3191" s="46">
        <v>0</v>
      </c>
      <c r="M3191" s="112"/>
      <c r="N3191" s="39">
        <v>45490</v>
      </c>
      <c r="O3191" s="38">
        <v>6276</v>
      </c>
      <c r="P3191" s="179"/>
      <c r="Q3191" s="180">
        <v>10</v>
      </c>
      <c r="R3191" s="180">
        <v>10</v>
      </c>
      <c r="S3191" s="498">
        <v>850</v>
      </c>
      <c r="T3191" s="568">
        <f>S3191*J3191</f>
        <v>850</v>
      </c>
      <c r="U3191" s="511"/>
      <c r="V3191" s="494">
        <v>120</v>
      </c>
      <c r="W3191" s="2041">
        <f t="shared" si="228"/>
        <v>0.29166666666666669</v>
      </c>
    </row>
    <row r="3192" spans="1:23" s="314" customFormat="1" ht="15" customHeight="1">
      <c r="B3192" s="313"/>
      <c r="C3192" s="302" t="s">
        <v>7174</v>
      </c>
      <c r="D3192" s="303" t="s">
        <v>958</v>
      </c>
      <c r="E3192" s="304"/>
      <c r="F3192" s="305"/>
      <c r="G3192" s="305" t="s">
        <v>1227</v>
      </c>
      <c r="H3192" s="410"/>
      <c r="I3192" s="308"/>
      <c r="J3192" s="410">
        <v>550</v>
      </c>
      <c r="K3192" s="315">
        <v>132</v>
      </c>
      <c r="L3192" s="315"/>
      <c r="M3192" s="784"/>
      <c r="N3192" s="310">
        <v>45490</v>
      </c>
      <c r="O3192" s="309">
        <v>6276</v>
      </c>
      <c r="P3192" s="302"/>
      <c r="Q3192" s="315">
        <f>K3192-Q3191</f>
        <v>122</v>
      </c>
      <c r="R3192" s="315">
        <v>122</v>
      </c>
      <c r="S3192" s="2291">
        <v>5356</v>
      </c>
      <c r="T3192" s="2291">
        <v>5356</v>
      </c>
      <c r="U3192" s="1084"/>
      <c r="V3192" s="494">
        <v>120</v>
      </c>
      <c r="W3192" s="2041">
        <f t="shared" si="228"/>
        <v>0.66186868686868683</v>
      </c>
    </row>
    <row r="3193" spans="1:23" ht="18" customHeight="1">
      <c r="C3193" s="6" t="s">
        <v>7142</v>
      </c>
      <c r="D3193" s="15" t="s">
        <v>8</v>
      </c>
      <c r="E3193" s="20" t="s">
        <v>7143</v>
      </c>
      <c r="F3193" s="44"/>
      <c r="G3193" s="44"/>
      <c r="H3193" s="151"/>
      <c r="I3193" s="151"/>
      <c r="J3193" s="151"/>
      <c r="K3193" s="34" t="s">
        <v>134</v>
      </c>
      <c r="L3193" s="39"/>
      <c r="M3193" s="39"/>
      <c r="N3193" s="39">
        <v>45478</v>
      </c>
      <c r="O3193" s="38">
        <v>6274</v>
      </c>
      <c r="P3193" s="6"/>
      <c r="Q3193" s="524"/>
      <c r="S3193" s="707"/>
      <c r="T3193" s="113"/>
      <c r="U3193" s="706"/>
      <c r="V3193" s="494">
        <v>120</v>
      </c>
      <c r="W3193" s="2041" t="e">
        <f t="shared" si="228"/>
        <v>#VALUE!</v>
      </c>
    </row>
    <row r="3194" spans="1:23" ht="18" customHeight="1">
      <c r="B3194" s="28" t="s">
        <v>1856</v>
      </c>
      <c r="C3194" s="6" t="s">
        <v>7142</v>
      </c>
      <c r="D3194" s="15" t="s">
        <v>8</v>
      </c>
      <c r="E3194" s="24" t="s">
        <v>7071</v>
      </c>
      <c r="F3194" s="44">
        <v>19</v>
      </c>
      <c r="G3194" s="2281" t="s">
        <v>7144</v>
      </c>
      <c r="H3194" s="151">
        <v>30</v>
      </c>
      <c r="I3194" s="152">
        <v>1</v>
      </c>
      <c r="J3194" s="67">
        <f>H3194*I3194</f>
        <v>30</v>
      </c>
      <c r="K3194" s="46">
        <v>0.32</v>
      </c>
      <c r="L3194" s="46">
        <f>K3194*J3194</f>
        <v>9.6</v>
      </c>
      <c r="M3194" s="162" t="s">
        <v>2219</v>
      </c>
      <c r="N3194" s="39">
        <v>45478</v>
      </c>
      <c r="O3194" s="38">
        <v>6274</v>
      </c>
      <c r="P3194" s="46">
        <f>K3194*(VLOOKUP(B3194,$C$2:$F$6,3,FALSE))</f>
        <v>0.28160000000000002</v>
      </c>
      <c r="Q3194" s="482">
        <v>0.28000000000000003</v>
      </c>
      <c r="R3194" s="704">
        <f>Q3194*J3194</f>
        <v>8.4</v>
      </c>
      <c r="S3194" s="489">
        <v>22.97</v>
      </c>
      <c r="T3194" s="113">
        <f>S3194*J3194</f>
        <v>689.09999999999991</v>
      </c>
      <c r="U3194" s="1200"/>
      <c r="V3194" s="494">
        <v>120</v>
      </c>
      <c r="W3194" s="2041">
        <f t="shared" si="228"/>
        <v>0.4018229166666667</v>
      </c>
    </row>
    <row r="3195" spans="1:23" ht="18" customHeight="1">
      <c r="B3195" s="28" t="s">
        <v>1856</v>
      </c>
      <c r="C3195" s="6" t="s">
        <v>7142</v>
      </c>
      <c r="D3195" s="15" t="s">
        <v>8</v>
      </c>
      <c r="E3195" s="24" t="s">
        <v>7071</v>
      </c>
      <c r="F3195" s="44">
        <v>19</v>
      </c>
      <c r="G3195" s="407" t="s">
        <v>7145</v>
      </c>
      <c r="H3195" s="151">
        <v>30</v>
      </c>
      <c r="I3195" s="152">
        <v>1</v>
      </c>
      <c r="J3195" s="67">
        <f>H3195*I3195</f>
        <v>30</v>
      </c>
      <c r="K3195" s="46">
        <v>0.32</v>
      </c>
      <c r="L3195" s="46">
        <f>K3195*J3195</f>
        <v>9.6</v>
      </c>
      <c r="M3195" s="162" t="s">
        <v>2219</v>
      </c>
      <c r="N3195" s="39">
        <v>45478</v>
      </c>
      <c r="O3195" s="38">
        <v>6274</v>
      </c>
      <c r="P3195" s="46">
        <f>K3195*(VLOOKUP(B3195,$C$2:$F$6,3,FALSE))</f>
        <v>0.28160000000000002</v>
      </c>
      <c r="Q3195" s="482">
        <v>0.28000000000000003</v>
      </c>
      <c r="R3195" s="704">
        <f>Q3195*J3195</f>
        <v>8.4</v>
      </c>
      <c r="S3195" s="489">
        <v>22.97</v>
      </c>
      <c r="T3195" s="113">
        <f>S3195*J3195</f>
        <v>689.09999999999991</v>
      </c>
      <c r="U3195" s="1200"/>
      <c r="V3195" s="494">
        <v>120</v>
      </c>
      <c r="W3195" s="2041">
        <f t="shared" si="228"/>
        <v>0.4018229166666667</v>
      </c>
    </row>
    <row r="3196" spans="1:23" ht="18" customHeight="1">
      <c r="B3196" s="28" t="s">
        <v>1856</v>
      </c>
      <c r="C3196" s="6" t="s">
        <v>7142</v>
      </c>
      <c r="D3196" s="15" t="s">
        <v>8</v>
      </c>
      <c r="E3196" s="24" t="s">
        <v>7071</v>
      </c>
      <c r="F3196" s="44">
        <v>25</v>
      </c>
      <c r="G3196" s="2281" t="s">
        <v>7144</v>
      </c>
      <c r="H3196" s="151">
        <v>30</v>
      </c>
      <c r="I3196" s="152">
        <v>1</v>
      </c>
      <c r="J3196" s="67">
        <f>H3196*I3196</f>
        <v>30</v>
      </c>
      <c r="K3196" s="46">
        <v>0.39</v>
      </c>
      <c r="L3196" s="46">
        <f>K3196*J3196</f>
        <v>11.700000000000001</v>
      </c>
      <c r="M3196" s="162" t="s">
        <v>2219</v>
      </c>
      <c r="N3196" s="39">
        <v>45478</v>
      </c>
      <c r="O3196" s="38">
        <v>6274</v>
      </c>
      <c r="P3196" s="46">
        <f>K3196*(VLOOKUP(B3196,$C$2:$F$6,3,FALSE))</f>
        <v>0.34320000000000001</v>
      </c>
      <c r="Q3196" s="482">
        <v>0.34</v>
      </c>
      <c r="R3196" s="704">
        <f>Q3196*J3196</f>
        <v>10.200000000000001</v>
      </c>
      <c r="S3196" s="489">
        <v>27.84</v>
      </c>
      <c r="T3196" s="113">
        <f>S3196*J3196</f>
        <v>835.2</v>
      </c>
      <c r="U3196" s="1200"/>
      <c r="V3196" s="494">
        <v>120</v>
      </c>
      <c r="W3196" s="2041">
        <f t="shared" si="228"/>
        <v>0.40512820512820519</v>
      </c>
    </row>
    <row r="3197" spans="1:23" ht="18" customHeight="1">
      <c r="B3197" s="28" t="s">
        <v>1856</v>
      </c>
      <c r="C3197" s="6" t="s">
        <v>7142</v>
      </c>
      <c r="D3197" s="15" t="s">
        <v>8</v>
      </c>
      <c r="E3197" s="24" t="s">
        <v>7071</v>
      </c>
      <c r="F3197" s="44">
        <v>25</v>
      </c>
      <c r="G3197" s="407" t="s">
        <v>7145</v>
      </c>
      <c r="H3197" s="151">
        <v>30</v>
      </c>
      <c r="I3197" s="152">
        <v>1</v>
      </c>
      <c r="J3197" s="67">
        <f>H3197*I3197</f>
        <v>30</v>
      </c>
      <c r="K3197" s="46">
        <v>0.39</v>
      </c>
      <c r="L3197" s="46">
        <f>K3197*J3197</f>
        <v>11.700000000000001</v>
      </c>
      <c r="M3197" s="162" t="s">
        <v>2219</v>
      </c>
      <c r="N3197" s="39">
        <v>45478</v>
      </c>
      <c r="O3197" s="38">
        <v>6274</v>
      </c>
      <c r="P3197" s="46">
        <f>K3197*(VLOOKUP(B3197,$C$2:$F$6,3,FALSE))</f>
        <v>0.34320000000000001</v>
      </c>
      <c r="Q3197" s="482">
        <v>0.34</v>
      </c>
      <c r="R3197" s="704">
        <f>Q3197*J3197</f>
        <v>10.200000000000001</v>
      </c>
      <c r="S3197" s="489">
        <v>27.84</v>
      </c>
      <c r="T3197" s="113">
        <f>S3197*J3197</f>
        <v>835.2</v>
      </c>
      <c r="U3197" s="1200"/>
      <c r="V3197" s="494">
        <v>120</v>
      </c>
      <c r="W3197" s="2041">
        <f t="shared" si="228"/>
        <v>0.40512820512820519</v>
      </c>
    </row>
    <row r="3198" spans="1:23" ht="15.95" customHeight="1">
      <c r="B3198" s="12" t="s">
        <v>1862</v>
      </c>
      <c r="C3198" s="6" t="s">
        <v>7142</v>
      </c>
      <c r="D3198" s="15" t="s">
        <v>8</v>
      </c>
      <c r="E3198" s="24"/>
      <c r="F3198" s="138"/>
      <c r="G3198" s="44" t="s">
        <v>1993</v>
      </c>
      <c r="H3198" s="8"/>
      <c r="I3198" s="41"/>
      <c r="J3198" s="45">
        <v>1</v>
      </c>
      <c r="K3198" s="46">
        <v>12</v>
      </c>
      <c r="L3198" s="46">
        <f>K3198*J3198</f>
        <v>12</v>
      </c>
      <c r="M3198" s="112"/>
      <c r="N3198" s="39">
        <v>45478</v>
      </c>
      <c r="O3198" s="38">
        <v>6274</v>
      </c>
      <c r="P3198" s="46">
        <f>K3198*(VLOOKUP(B3198,$C$2:$F$6,3,FALSE))</f>
        <v>12</v>
      </c>
      <c r="Q3198" s="483">
        <v>12</v>
      </c>
      <c r="R3198" s="704">
        <v>12</v>
      </c>
      <c r="S3198" s="489">
        <v>0</v>
      </c>
      <c r="T3198" s="113">
        <f>S3198*J3198</f>
        <v>0</v>
      </c>
      <c r="U3198" s="511"/>
      <c r="V3198" s="494">
        <v>120</v>
      </c>
      <c r="W3198" s="2041">
        <f t="shared" si="228"/>
        <v>1</v>
      </c>
    </row>
    <row r="3199" spans="1:23" s="314" customFormat="1" ht="15">
      <c r="B3199" s="313"/>
      <c r="C3199" s="302" t="s">
        <v>7142</v>
      </c>
      <c r="D3199" s="303" t="s">
        <v>8</v>
      </c>
      <c r="E3199" s="304"/>
      <c r="F3199" s="305"/>
      <c r="G3199" s="305" t="s">
        <v>1227</v>
      </c>
      <c r="H3199" s="307" t="s">
        <v>1228</v>
      </c>
      <c r="I3199" s="308"/>
      <c r="J3199" s="306"/>
      <c r="K3199" s="315">
        <v>0</v>
      </c>
      <c r="L3199" s="310"/>
      <c r="M3199" s="310"/>
      <c r="N3199" s="310">
        <v>45478</v>
      </c>
      <c r="O3199" s="309">
        <v>6274</v>
      </c>
      <c r="P3199" s="302"/>
      <c r="Q3199" s="485">
        <v>0</v>
      </c>
      <c r="S3199" s="536">
        <v>0</v>
      </c>
      <c r="T3199" s="322">
        <v>0</v>
      </c>
      <c r="U3199" s="515"/>
      <c r="V3199" s="494">
        <v>120</v>
      </c>
      <c r="W3199" s="2041" t="e">
        <f t="shared" si="228"/>
        <v>#DIV/0!</v>
      </c>
    </row>
    <row r="3200" spans="1:23" s="7" customFormat="1" ht="15" customHeight="1">
      <c r="B3200" s="12"/>
      <c r="C3200" s="6" t="s">
        <v>7183</v>
      </c>
      <c r="D3200" s="15" t="s">
        <v>7184</v>
      </c>
      <c r="E3200" s="20" t="s">
        <v>6457</v>
      </c>
      <c r="F3200" s="26"/>
      <c r="G3200" s="24"/>
      <c r="H3200" s="67"/>
      <c r="I3200" s="68"/>
      <c r="J3200" s="67"/>
      <c r="K3200" s="17" t="s">
        <v>134</v>
      </c>
      <c r="L3200" s="39"/>
      <c r="M3200" s="39"/>
      <c r="N3200" s="39">
        <v>45483</v>
      </c>
      <c r="O3200" s="38">
        <v>6280</v>
      </c>
      <c r="P3200" s="179" t="s">
        <v>23</v>
      </c>
      <c r="Q3200" s="438" t="s">
        <v>959</v>
      </c>
      <c r="R3200" s="704"/>
      <c r="S3200" s="707"/>
      <c r="T3200" s="113"/>
      <c r="U3200" s="2068"/>
      <c r="V3200" s="494">
        <v>120</v>
      </c>
      <c r="W3200" s="2041" t="e">
        <f t="shared" si="228"/>
        <v>#VALUE!</v>
      </c>
    </row>
    <row r="3201" spans="1:23" s="7" customFormat="1" ht="18" customHeight="1">
      <c r="B3201" s="12" t="s">
        <v>1856</v>
      </c>
      <c r="C3201" s="6" t="s">
        <v>7183</v>
      </c>
      <c r="D3201" s="15" t="s">
        <v>7184</v>
      </c>
      <c r="E3201" s="24">
        <v>12740</v>
      </c>
      <c r="F3201" s="26">
        <v>9</v>
      </c>
      <c r="G3201" s="24" t="s">
        <v>7185</v>
      </c>
      <c r="H3201" s="67">
        <v>10</v>
      </c>
      <c r="I3201" s="68">
        <v>5</v>
      </c>
      <c r="J3201" s="67">
        <f>H3201*I3201</f>
        <v>50</v>
      </c>
      <c r="K3201" s="46">
        <v>2.02</v>
      </c>
      <c r="L3201" s="46">
        <f>K3201*J3201</f>
        <v>101</v>
      </c>
      <c r="M3201" s="162" t="s">
        <v>2219</v>
      </c>
      <c r="N3201" s="39">
        <v>45483</v>
      </c>
      <c r="O3201" s="38">
        <v>6280</v>
      </c>
      <c r="P3201" s="46">
        <v>0.92</v>
      </c>
      <c r="Q3201" s="180">
        <v>0.92</v>
      </c>
      <c r="R3201" s="704">
        <f>Q3201*J3201</f>
        <v>46</v>
      </c>
      <c r="S3201" s="489">
        <v>61.6</v>
      </c>
      <c r="T3201" s="113">
        <f>S3201*J3201</f>
        <v>3080</v>
      </c>
      <c r="U3201" s="489"/>
      <c r="V3201" s="494">
        <v>120</v>
      </c>
      <c r="W3201" s="2041">
        <f t="shared" si="228"/>
        <v>0.74587458745874591</v>
      </c>
    </row>
    <row r="3202" spans="1:23" ht="15.95" customHeight="1">
      <c r="C3202" s="6" t="s">
        <v>7183</v>
      </c>
      <c r="D3202" s="15" t="s">
        <v>7184</v>
      </c>
      <c r="E3202" s="24"/>
      <c r="F3202" s="138"/>
      <c r="G3202" s="44" t="s">
        <v>1993</v>
      </c>
      <c r="H3202" s="8"/>
      <c r="I3202" s="68"/>
      <c r="J3202" s="45">
        <v>1</v>
      </c>
      <c r="K3202" s="46">
        <v>12</v>
      </c>
      <c r="L3202" s="46">
        <f>K3202*J3202</f>
        <v>12</v>
      </c>
      <c r="M3202" s="112"/>
      <c r="N3202" s="39">
        <v>45483</v>
      </c>
      <c r="O3202" s="38">
        <v>6280</v>
      </c>
      <c r="P3202" s="179"/>
      <c r="Q3202" s="180">
        <v>12</v>
      </c>
      <c r="R3202" s="180">
        <v>12</v>
      </c>
      <c r="S3202" s="498">
        <v>0</v>
      </c>
      <c r="T3202" s="568">
        <f>S3202*J3202</f>
        <v>0</v>
      </c>
      <c r="U3202" s="511"/>
      <c r="V3202" s="494">
        <v>120</v>
      </c>
      <c r="W3202" s="2041">
        <f t="shared" si="228"/>
        <v>1</v>
      </c>
    </row>
    <row r="3203" spans="1:23" s="314" customFormat="1" ht="19.5">
      <c r="B3203" s="313"/>
      <c r="C3203" s="302" t="s">
        <v>7183</v>
      </c>
      <c r="D3203" s="303" t="s">
        <v>7184</v>
      </c>
      <c r="E3203" s="304"/>
      <c r="F3203" s="305"/>
      <c r="G3203" s="305" t="s">
        <v>1227</v>
      </c>
      <c r="H3203" s="307"/>
      <c r="I3203" s="308" t="s">
        <v>6941</v>
      </c>
      <c r="J3203" s="410">
        <v>50</v>
      </c>
      <c r="K3203" s="315">
        <f>0.98*J3203</f>
        <v>49</v>
      </c>
      <c r="L3203" s="310"/>
      <c r="M3203" s="310"/>
      <c r="N3203" s="310">
        <v>45483</v>
      </c>
      <c r="O3203" s="309">
        <v>6280</v>
      </c>
      <c r="P3203" s="302"/>
      <c r="Q3203" s="315">
        <v>49</v>
      </c>
      <c r="R3203" s="315">
        <v>49</v>
      </c>
      <c r="S3203" s="1142">
        <v>2049</v>
      </c>
      <c r="T3203" s="1142">
        <v>2049</v>
      </c>
      <c r="U3203" s="515"/>
      <c r="V3203" s="494">
        <v>120</v>
      </c>
    </row>
    <row r="3204" spans="1:23" ht="15">
      <c r="C3204" s="6" t="s">
        <v>7213</v>
      </c>
      <c r="D3204" s="15" t="s">
        <v>5470</v>
      </c>
      <c r="E3204" s="20" t="s">
        <v>5469</v>
      </c>
      <c r="F3204" s="44"/>
      <c r="G3204" s="44"/>
      <c r="H3204" s="151"/>
      <c r="I3204" s="151"/>
      <c r="J3204" s="151"/>
      <c r="K3204" s="34" t="s">
        <v>134</v>
      </c>
      <c r="L3204" s="39"/>
      <c r="M3204" s="39"/>
      <c r="N3204" s="39">
        <v>45484</v>
      </c>
      <c r="O3204" s="38">
        <v>6282</v>
      </c>
      <c r="P3204" s="6"/>
      <c r="Q3204" s="524"/>
      <c r="S3204" s="489"/>
      <c r="T3204" s="113"/>
      <c r="U3204" s="501"/>
      <c r="V3204" s="494">
        <v>120</v>
      </c>
      <c r="W3204" s="2041" t="e">
        <f t="shared" ref="W3204:W3211" si="229">(((K3204*V3204)-S3204)/(K3204*V3204))</f>
        <v>#VALUE!</v>
      </c>
    </row>
    <row r="3205" spans="1:23" ht="15.75">
      <c r="B3205" s="28" t="s">
        <v>1856</v>
      </c>
      <c r="C3205" s="6" t="s">
        <v>7213</v>
      </c>
      <c r="D3205" s="15" t="s">
        <v>5483</v>
      </c>
      <c r="E3205" s="24">
        <v>3846</v>
      </c>
      <c r="F3205" s="29">
        <v>10</v>
      </c>
      <c r="G3205" s="24" t="s">
        <v>7214</v>
      </c>
      <c r="H3205" s="67">
        <v>50</v>
      </c>
      <c r="I3205" s="68">
        <v>2</v>
      </c>
      <c r="J3205" s="67">
        <f>H3205*I3205</f>
        <v>100</v>
      </c>
      <c r="K3205" s="46">
        <v>0.84</v>
      </c>
      <c r="L3205" s="46">
        <f>K3205*J3205</f>
        <v>84</v>
      </c>
      <c r="M3205" s="162" t="s">
        <v>2219</v>
      </c>
      <c r="N3205" s="39">
        <v>45484</v>
      </c>
      <c r="O3205" s="38">
        <v>6282</v>
      </c>
      <c r="P3205" s="46">
        <f>K3205*(VLOOKUP(B3205,$C$2:$F$6,3,FALSE))</f>
        <v>0.73919999999999997</v>
      </c>
      <c r="Q3205" s="482">
        <v>0.74</v>
      </c>
      <c r="R3205" s="704">
        <f>Q3205*J3205</f>
        <v>74</v>
      </c>
      <c r="S3205" s="489">
        <v>58</v>
      </c>
      <c r="T3205" s="113">
        <f>S3205*J3205</f>
        <v>5800</v>
      </c>
      <c r="U3205" s="1603"/>
      <c r="V3205" s="494">
        <v>120</v>
      </c>
      <c r="W3205" s="2041">
        <f t="shared" si="229"/>
        <v>0.42460317460317459</v>
      </c>
    </row>
    <row r="3206" spans="1:23" ht="15.75">
      <c r="B3206" s="28" t="s">
        <v>1856</v>
      </c>
      <c r="C3206" s="6" t="s">
        <v>7213</v>
      </c>
      <c r="D3206" s="15" t="s">
        <v>5483</v>
      </c>
      <c r="E3206" s="24">
        <v>3846</v>
      </c>
      <c r="F3206" s="29">
        <v>10</v>
      </c>
      <c r="G3206" s="24" t="s">
        <v>7215</v>
      </c>
      <c r="H3206" s="67">
        <v>50</v>
      </c>
      <c r="I3206" s="68">
        <v>1</v>
      </c>
      <c r="J3206" s="67">
        <f>H3206*I3206</f>
        <v>50</v>
      </c>
      <c r="K3206" s="46">
        <v>0.84</v>
      </c>
      <c r="L3206" s="46">
        <f>K3206*J3206</f>
        <v>42</v>
      </c>
      <c r="M3206" s="162" t="s">
        <v>2219</v>
      </c>
      <c r="N3206" s="39">
        <v>45484</v>
      </c>
      <c r="O3206" s="38">
        <v>6282</v>
      </c>
      <c r="P3206" s="46">
        <f>K3206*(VLOOKUP(B3206,$C$2:$F$6,3,FALSE))</f>
        <v>0.73919999999999997</v>
      </c>
      <c r="Q3206" s="482">
        <v>0.74</v>
      </c>
      <c r="R3206" s="704">
        <f>Q3206*J3206</f>
        <v>37</v>
      </c>
      <c r="S3206" s="489">
        <v>58</v>
      </c>
      <c r="T3206" s="113">
        <f>S3206*J3206</f>
        <v>2900</v>
      </c>
      <c r="U3206" s="1603"/>
      <c r="V3206" s="494">
        <v>120</v>
      </c>
      <c r="W3206" s="2041">
        <f t="shared" si="229"/>
        <v>0.42460317460317459</v>
      </c>
    </row>
    <row r="3207" spans="1:23" ht="15.75">
      <c r="B3207" s="28" t="s">
        <v>1856</v>
      </c>
      <c r="C3207" s="6" t="s">
        <v>7213</v>
      </c>
      <c r="D3207" s="15" t="s">
        <v>5483</v>
      </c>
      <c r="E3207" s="24">
        <v>3846</v>
      </c>
      <c r="F3207" s="29">
        <v>10</v>
      </c>
      <c r="G3207" s="24" t="s">
        <v>7216</v>
      </c>
      <c r="H3207" s="67">
        <v>50</v>
      </c>
      <c r="I3207" s="68">
        <v>1</v>
      </c>
      <c r="J3207" s="67">
        <f>H3207*I3207</f>
        <v>50</v>
      </c>
      <c r="K3207" s="46">
        <v>0.84</v>
      </c>
      <c r="L3207" s="46">
        <f>K3207*J3207</f>
        <v>42</v>
      </c>
      <c r="M3207" s="162" t="s">
        <v>2219</v>
      </c>
      <c r="N3207" s="39">
        <v>45484</v>
      </c>
      <c r="O3207" s="38">
        <v>6282</v>
      </c>
      <c r="P3207" s="46">
        <f>K3207*(VLOOKUP(B3207,$C$2:$F$6,3,FALSE))</f>
        <v>0.73919999999999997</v>
      </c>
      <c r="Q3207" s="482">
        <v>0.74</v>
      </c>
      <c r="R3207" s="704">
        <f>Q3207*J3207</f>
        <v>37</v>
      </c>
      <c r="S3207" s="489">
        <v>58</v>
      </c>
      <c r="T3207" s="113">
        <f>S3207*J3207</f>
        <v>2900</v>
      </c>
      <c r="U3207" s="1603"/>
      <c r="V3207" s="494">
        <v>120</v>
      </c>
      <c r="W3207" s="2041">
        <f t="shared" si="229"/>
        <v>0.42460317460317459</v>
      </c>
    </row>
    <row r="3208" spans="1:23" ht="15">
      <c r="B3208" s="12" t="s">
        <v>1862</v>
      </c>
      <c r="C3208" s="6" t="s">
        <v>7213</v>
      </c>
      <c r="D3208" s="15" t="s">
        <v>5470</v>
      </c>
      <c r="E3208" s="24"/>
      <c r="F3208" s="138"/>
      <c r="G3208" s="44" t="s">
        <v>1993</v>
      </c>
      <c r="H3208" s="8"/>
      <c r="I3208" s="41"/>
      <c r="J3208" s="45">
        <v>1</v>
      </c>
      <c r="K3208" s="46">
        <v>12</v>
      </c>
      <c r="L3208" s="46">
        <f>K3208*J3208</f>
        <v>12</v>
      </c>
      <c r="M3208" s="112"/>
      <c r="N3208" s="39">
        <v>45484</v>
      </c>
      <c r="O3208" s="38">
        <v>6282</v>
      </c>
      <c r="P3208" s="46">
        <f>K3208*(VLOOKUP(B3208,$C$2:$F$6,3,FALSE))</f>
        <v>12</v>
      </c>
      <c r="Q3208" s="483">
        <v>12</v>
      </c>
      <c r="R3208" s="704">
        <v>12</v>
      </c>
      <c r="S3208" s="489">
        <v>0</v>
      </c>
      <c r="T3208" s="113">
        <f>S3208*J3208</f>
        <v>0</v>
      </c>
      <c r="U3208" s="511"/>
      <c r="V3208" s="494">
        <v>120</v>
      </c>
      <c r="W3208" s="2041">
        <f t="shared" si="229"/>
        <v>1</v>
      </c>
    </row>
    <row r="3209" spans="1:23" s="314" customFormat="1" ht="15">
      <c r="B3209" s="313"/>
      <c r="C3209" s="302" t="s">
        <v>7213</v>
      </c>
      <c r="D3209" s="303" t="s">
        <v>5470</v>
      </c>
      <c r="E3209" s="304"/>
      <c r="F3209" s="305"/>
      <c r="G3209" s="305" t="s">
        <v>1227</v>
      </c>
      <c r="H3209" s="307" t="s">
        <v>1243</v>
      </c>
      <c r="I3209" s="308"/>
      <c r="J3209" s="306"/>
      <c r="K3209" s="329">
        <v>27</v>
      </c>
      <c r="L3209" s="329">
        <v>27</v>
      </c>
      <c r="M3209" s="310"/>
      <c r="N3209" s="310">
        <v>45484</v>
      </c>
      <c r="O3209" s="309">
        <v>6282</v>
      </c>
      <c r="P3209" s="302"/>
      <c r="Q3209" s="329">
        <v>27</v>
      </c>
      <c r="R3209" s="329">
        <v>27</v>
      </c>
      <c r="S3209" s="489">
        <v>3121</v>
      </c>
      <c r="T3209" s="489">
        <v>3121</v>
      </c>
      <c r="U3209" s="515"/>
      <c r="V3209" s="494">
        <v>120</v>
      </c>
      <c r="W3209" s="2041">
        <f t="shared" si="229"/>
        <v>3.6728395061728397E-2</v>
      </c>
    </row>
    <row r="3210" spans="1:23" s="7" customFormat="1" ht="15" customHeight="1">
      <c r="A3210" s="1"/>
      <c r="B3210" s="12"/>
      <c r="C3210" s="6" t="s">
        <v>7274</v>
      </c>
      <c r="D3210" s="15" t="s">
        <v>169</v>
      </c>
      <c r="E3210" s="20" t="s">
        <v>7141</v>
      </c>
      <c r="F3210" s="26"/>
      <c r="G3210" s="24"/>
      <c r="H3210" s="67"/>
      <c r="I3210" s="68"/>
      <c r="J3210" s="67"/>
      <c r="K3210" s="17" t="s">
        <v>10</v>
      </c>
      <c r="L3210" s="39"/>
      <c r="M3210" s="39"/>
      <c r="N3210" s="39">
        <v>45509</v>
      </c>
      <c r="O3210" s="38">
        <v>6320</v>
      </c>
      <c r="P3210" s="180" t="e">
        <f>K3210*(VLOOKUP(B3210,$C$2:$F$6,3,FALSE))</f>
        <v>#VALUE!</v>
      </c>
      <c r="Q3210" s="483"/>
      <c r="R3210" s="704"/>
      <c r="S3210" s="489"/>
      <c r="T3210" s="113">
        <f>S3210*J3210</f>
        <v>0</v>
      </c>
      <c r="U3210" s="517"/>
      <c r="V3210" s="494">
        <v>120</v>
      </c>
      <c r="W3210" s="2041" t="e">
        <f t="shared" si="229"/>
        <v>#VALUE!</v>
      </c>
    </row>
    <row r="3211" spans="1:23" s="7" customFormat="1" ht="15.75" customHeight="1">
      <c r="A3211" s="1"/>
      <c r="B3211" s="12" t="s">
        <v>1856</v>
      </c>
      <c r="C3211" s="6" t="s">
        <v>7274</v>
      </c>
      <c r="D3211" s="15" t="s">
        <v>169</v>
      </c>
      <c r="E3211" s="24" t="s">
        <v>7217</v>
      </c>
      <c r="F3211" s="26"/>
      <c r="G3211" s="24" t="s">
        <v>78</v>
      </c>
      <c r="H3211" s="151">
        <v>14</v>
      </c>
      <c r="I3211" s="41">
        <v>4</v>
      </c>
      <c r="J3211" s="67">
        <f>H3211*I3211</f>
        <v>56</v>
      </c>
      <c r="K3211" s="25">
        <v>1.64</v>
      </c>
      <c r="L3211" s="46">
        <f>K3211*J3211</f>
        <v>91.839999999999989</v>
      </c>
      <c r="M3211" s="162" t="s">
        <v>2219</v>
      </c>
      <c r="N3211" s="39">
        <v>45509</v>
      </c>
      <c r="O3211" s="38">
        <v>6320</v>
      </c>
      <c r="P3211" s="180">
        <f>K3211*(VLOOKUP(B3211,$C$2:$F$6,3,FALSE))</f>
        <v>1.4431999999999998</v>
      </c>
      <c r="Q3211" s="483">
        <v>1.44</v>
      </c>
      <c r="R3211" s="704">
        <f>Q3211*J3211</f>
        <v>80.64</v>
      </c>
      <c r="S3211" s="489">
        <v>118</v>
      </c>
      <c r="T3211" s="113">
        <f>S3211*J3211</f>
        <v>6608</v>
      </c>
      <c r="U3211" s="517"/>
      <c r="V3211" s="494">
        <v>120</v>
      </c>
      <c r="W3211" s="2041">
        <f t="shared" si="229"/>
        <v>0.40040650406504058</v>
      </c>
    </row>
    <row r="3212" spans="1:23" s="7" customFormat="1" ht="15.75" customHeight="1">
      <c r="A3212" s="1"/>
      <c r="B3212" s="12"/>
      <c r="C3212" s="6" t="s">
        <v>7274</v>
      </c>
      <c r="D3212" s="15" t="s">
        <v>169</v>
      </c>
      <c r="E3212" s="20" t="s">
        <v>7284</v>
      </c>
      <c r="F3212" s="26"/>
      <c r="G3212" s="24"/>
      <c r="H3212" s="151"/>
      <c r="I3212" s="41"/>
      <c r="J3212" s="67"/>
      <c r="K3212" s="25"/>
      <c r="L3212" s="46"/>
      <c r="M3212" s="162"/>
      <c r="N3212" s="39">
        <v>45509</v>
      </c>
      <c r="O3212" s="38">
        <v>6320</v>
      </c>
      <c r="P3212" s="180"/>
      <c r="Q3212" s="483"/>
      <c r="R3212" s="704"/>
      <c r="S3212" s="489"/>
      <c r="T3212" s="113"/>
      <c r="U3212" s="517"/>
      <c r="V3212" s="494"/>
      <c r="W3212" s="2041"/>
    </row>
    <row r="3213" spans="1:23" s="7" customFormat="1" ht="15.75" customHeight="1">
      <c r="A3213" s="1"/>
      <c r="B3213" s="12" t="s">
        <v>1856</v>
      </c>
      <c r="C3213" s="6" t="s">
        <v>7274</v>
      </c>
      <c r="D3213" s="15" t="s">
        <v>169</v>
      </c>
      <c r="E3213" s="24" t="s">
        <v>7218</v>
      </c>
      <c r="F3213" s="26"/>
      <c r="G3213" s="24" t="s">
        <v>78</v>
      </c>
      <c r="H3213" s="151"/>
      <c r="I3213" s="41"/>
      <c r="J3213" s="67">
        <v>100</v>
      </c>
      <c r="K3213" s="25">
        <v>2.84</v>
      </c>
      <c r="L3213" s="46">
        <f>K3213*J3213</f>
        <v>284</v>
      </c>
      <c r="M3213" s="162" t="s">
        <v>2219</v>
      </c>
      <c r="N3213" s="39">
        <v>45509</v>
      </c>
      <c r="O3213" s="38">
        <v>6320</v>
      </c>
      <c r="P3213" s="180">
        <f>K3213*(VLOOKUP(B3213,$C$2:$F$6,3,FALSE))</f>
        <v>2.4992000000000001</v>
      </c>
      <c r="Q3213" s="483">
        <v>2.5</v>
      </c>
      <c r="R3213" s="704">
        <f>Q3213*J3213</f>
        <v>250</v>
      </c>
      <c r="S3213" s="489">
        <v>204</v>
      </c>
      <c r="T3213" s="113">
        <f>S3213*J3213</f>
        <v>20400</v>
      </c>
      <c r="U3213" s="517"/>
      <c r="V3213" s="494">
        <v>120</v>
      </c>
      <c r="W3213" s="2041">
        <f>(((K3213*V3213)-S3213)/(K3213*V3213))</f>
        <v>0.40140845070422526</v>
      </c>
    </row>
    <row r="3214" spans="1:23" s="7" customFormat="1" ht="15.75" customHeight="1">
      <c r="A3214" s="1"/>
      <c r="B3214" s="12"/>
      <c r="C3214" s="6" t="s">
        <v>7274</v>
      </c>
      <c r="D3214" s="15" t="s">
        <v>169</v>
      </c>
      <c r="E3214" s="20" t="s">
        <v>7285</v>
      </c>
      <c r="F3214" s="26"/>
      <c r="G3214" s="24"/>
      <c r="H3214" s="151"/>
      <c r="I3214" s="41"/>
      <c r="J3214" s="67"/>
      <c r="K3214" s="25"/>
      <c r="L3214" s="46"/>
      <c r="M3214" s="162"/>
      <c r="N3214" s="39">
        <v>45509</v>
      </c>
      <c r="O3214" s="38">
        <v>6320</v>
      </c>
      <c r="P3214" s="180"/>
      <c r="Q3214" s="483"/>
      <c r="R3214" s="704"/>
      <c r="S3214" s="489"/>
      <c r="T3214" s="113"/>
      <c r="U3214" s="517"/>
      <c r="V3214" s="494"/>
      <c r="W3214" s="2041"/>
    </row>
    <row r="3215" spans="1:23" s="7" customFormat="1" ht="15.75" customHeight="1">
      <c r="A3215" s="1"/>
      <c r="B3215" s="12" t="s">
        <v>1856</v>
      </c>
      <c r="C3215" s="6" t="s">
        <v>7274</v>
      </c>
      <c r="D3215" s="15" t="s">
        <v>169</v>
      </c>
      <c r="E3215" s="24" t="s">
        <v>7219</v>
      </c>
      <c r="F3215" s="26"/>
      <c r="G3215" s="24" t="s">
        <v>78</v>
      </c>
      <c r="H3215" s="151"/>
      <c r="I3215" s="41"/>
      <c r="J3215" s="67">
        <v>100</v>
      </c>
      <c r="K3215" s="25">
        <v>2.62</v>
      </c>
      <c r="L3215" s="46">
        <f>K3215*J3215</f>
        <v>262</v>
      </c>
      <c r="M3215" s="162" t="s">
        <v>2219</v>
      </c>
      <c r="N3215" s="39">
        <v>45509</v>
      </c>
      <c r="O3215" s="38">
        <v>6320</v>
      </c>
      <c r="P3215" s="180">
        <f>K3215*(VLOOKUP(B3215,$C$2:$F$6,3,FALSE))</f>
        <v>2.3056000000000001</v>
      </c>
      <c r="Q3215" s="483">
        <v>2.31</v>
      </c>
      <c r="R3215" s="704">
        <f>Q3215*J3215</f>
        <v>231</v>
      </c>
      <c r="S3215" s="489">
        <v>188</v>
      </c>
      <c r="T3215" s="113">
        <f>S3215*J3215</f>
        <v>18800</v>
      </c>
      <c r="U3215" s="517"/>
      <c r="V3215" s="494">
        <v>120</v>
      </c>
      <c r="W3215" s="2041">
        <f>(((K3215*V3215)-S3215)/(K3215*V3215))</f>
        <v>0.40203562340966925</v>
      </c>
    </row>
    <row r="3216" spans="1:23" s="7" customFormat="1" ht="15.75" customHeight="1">
      <c r="A3216" s="1"/>
      <c r="B3216" s="12"/>
      <c r="C3216" s="6" t="s">
        <v>7274</v>
      </c>
      <c r="D3216" s="15" t="s">
        <v>169</v>
      </c>
      <c r="E3216" s="20" t="s">
        <v>7141</v>
      </c>
      <c r="F3216" s="26"/>
      <c r="G3216" s="24"/>
      <c r="H3216" s="151"/>
      <c r="I3216" s="41"/>
      <c r="J3216" s="67"/>
      <c r="K3216" s="25"/>
      <c r="L3216" s="46"/>
      <c r="M3216" s="162"/>
      <c r="N3216" s="39">
        <v>45509</v>
      </c>
      <c r="O3216" s="38">
        <v>6320</v>
      </c>
      <c r="P3216" s="180"/>
      <c r="Q3216" s="483"/>
      <c r="R3216" s="704"/>
      <c r="S3216" s="489"/>
      <c r="T3216" s="113"/>
      <c r="U3216" s="517"/>
      <c r="V3216" s="494"/>
      <c r="W3216" s="2041"/>
    </row>
    <row r="3217" spans="1:23" s="7" customFormat="1" ht="15.75" customHeight="1">
      <c r="A3217" s="1"/>
      <c r="B3217" s="12" t="s">
        <v>1856</v>
      </c>
      <c r="C3217" s="6" t="s">
        <v>7273</v>
      </c>
      <c r="D3217" s="15" t="s">
        <v>169</v>
      </c>
      <c r="E3217" s="24" t="s">
        <v>7222</v>
      </c>
      <c r="F3217" s="26"/>
      <c r="G3217" s="24" t="s">
        <v>78</v>
      </c>
      <c r="H3217" s="151"/>
      <c r="I3217" s="41"/>
      <c r="J3217" s="67">
        <v>50</v>
      </c>
      <c r="K3217" s="25">
        <v>2.23</v>
      </c>
      <c r="L3217" s="46">
        <f t="shared" ref="L3217:L3227" si="230">K3217*J3217</f>
        <v>111.5</v>
      </c>
      <c r="M3217" s="162" t="s">
        <v>2219</v>
      </c>
      <c r="N3217" s="39">
        <v>45509</v>
      </c>
      <c r="O3217" s="38">
        <v>6320</v>
      </c>
      <c r="P3217" s="180">
        <f t="shared" ref="P3217:P3226" si="231">K3217*(VLOOKUP(B3217,$C$2:$F$6,3,FALSE))</f>
        <v>1.9623999999999999</v>
      </c>
      <c r="Q3217" s="483">
        <v>1.96</v>
      </c>
      <c r="R3217" s="704">
        <f t="shared" ref="R3217:R3227" si="232">Q3217*J3217</f>
        <v>98</v>
      </c>
      <c r="S3217" s="489">
        <v>160</v>
      </c>
      <c r="T3217" s="113">
        <f t="shared" ref="T3217:T3227" si="233">S3217*J3217</f>
        <v>8000</v>
      </c>
      <c r="U3217" s="517"/>
      <c r="V3217" s="494">
        <v>120</v>
      </c>
      <c r="W3217" s="2041">
        <f t="shared" ref="W3217:W3241" si="234">(((K3217*V3217)-S3217)/(K3217*V3217))</f>
        <v>0.40209267563527656</v>
      </c>
    </row>
    <row r="3218" spans="1:23" s="7" customFormat="1" ht="16.5" customHeight="1">
      <c r="A3218" s="1"/>
      <c r="B3218" s="12" t="s">
        <v>1856</v>
      </c>
      <c r="C3218" s="6" t="s">
        <v>7273</v>
      </c>
      <c r="D3218" s="15" t="s">
        <v>169</v>
      </c>
      <c r="E3218" s="24" t="s">
        <v>7223</v>
      </c>
      <c r="F3218" s="26"/>
      <c r="G3218" s="24" t="s">
        <v>78</v>
      </c>
      <c r="H3218" s="151"/>
      <c r="I3218" s="41"/>
      <c r="J3218" s="67">
        <v>50</v>
      </c>
      <c r="K3218" s="25">
        <v>1.2</v>
      </c>
      <c r="L3218" s="46">
        <f t="shared" si="230"/>
        <v>60</v>
      </c>
      <c r="M3218" s="162" t="s">
        <v>2219</v>
      </c>
      <c r="N3218" s="39">
        <v>45509</v>
      </c>
      <c r="O3218" s="38">
        <v>6320</v>
      </c>
      <c r="P3218" s="180">
        <f t="shared" si="231"/>
        <v>1.056</v>
      </c>
      <c r="Q3218" s="483">
        <v>1.06</v>
      </c>
      <c r="R3218" s="704">
        <f t="shared" si="232"/>
        <v>53</v>
      </c>
      <c r="S3218" s="489">
        <v>86</v>
      </c>
      <c r="T3218" s="113">
        <f t="shared" si="233"/>
        <v>4300</v>
      </c>
      <c r="U3218" s="517"/>
      <c r="V3218" s="494">
        <v>120</v>
      </c>
      <c r="W3218" s="2041">
        <f t="shared" si="234"/>
        <v>0.40277777777777779</v>
      </c>
    </row>
    <row r="3219" spans="1:23" s="7" customFormat="1" ht="15.75" customHeight="1">
      <c r="A3219" s="1"/>
      <c r="B3219" s="12" t="s">
        <v>1856</v>
      </c>
      <c r="C3219" s="6" t="s">
        <v>7273</v>
      </c>
      <c r="D3219" s="15" t="s">
        <v>169</v>
      </c>
      <c r="E3219" s="24" t="s">
        <v>7224</v>
      </c>
      <c r="F3219" s="26"/>
      <c r="G3219" s="24" t="s">
        <v>78</v>
      </c>
      <c r="H3219" s="151"/>
      <c r="I3219" s="41"/>
      <c r="J3219" s="67">
        <v>50</v>
      </c>
      <c r="K3219" s="25">
        <v>1.98</v>
      </c>
      <c r="L3219" s="46">
        <f t="shared" si="230"/>
        <v>99</v>
      </c>
      <c r="M3219" s="162" t="s">
        <v>2219</v>
      </c>
      <c r="N3219" s="39">
        <v>45509</v>
      </c>
      <c r="O3219" s="38">
        <v>6320</v>
      </c>
      <c r="P3219" s="180">
        <f t="shared" si="231"/>
        <v>1.7423999999999999</v>
      </c>
      <c r="Q3219" s="483">
        <v>1.74</v>
      </c>
      <c r="R3219" s="704">
        <f t="shared" si="232"/>
        <v>87</v>
      </c>
      <c r="S3219" s="489">
        <v>142</v>
      </c>
      <c r="T3219" s="113">
        <f t="shared" si="233"/>
        <v>7100</v>
      </c>
      <c r="U3219" s="517"/>
      <c r="V3219" s="494">
        <v>120</v>
      </c>
      <c r="W3219" s="2041">
        <f t="shared" si="234"/>
        <v>0.40235690235690236</v>
      </c>
    </row>
    <row r="3220" spans="1:23" s="7" customFormat="1" ht="15.75" customHeight="1">
      <c r="A3220" s="1"/>
      <c r="B3220" s="12" t="s">
        <v>1856</v>
      </c>
      <c r="C3220" s="6" t="s">
        <v>7273</v>
      </c>
      <c r="D3220" s="15" t="s">
        <v>169</v>
      </c>
      <c r="E3220" s="24" t="s">
        <v>7226</v>
      </c>
      <c r="F3220" s="26"/>
      <c r="G3220" s="24" t="s">
        <v>78</v>
      </c>
      <c r="H3220" s="151"/>
      <c r="I3220" s="41"/>
      <c r="J3220" s="67">
        <v>20</v>
      </c>
      <c r="K3220" s="25">
        <v>3.19</v>
      </c>
      <c r="L3220" s="46">
        <f t="shared" si="230"/>
        <v>63.8</v>
      </c>
      <c r="M3220" s="162" t="s">
        <v>2219</v>
      </c>
      <c r="N3220" s="39">
        <v>45509</v>
      </c>
      <c r="O3220" s="38">
        <v>6320</v>
      </c>
      <c r="P3220" s="180">
        <f t="shared" si="231"/>
        <v>2.8071999999999999</v>
      </c>
      <c r="Q3220" s="483">
        <v>2.81</v>
      </c>
      <c r="R3220" s="704">
        <f t="shared" si="232"/>
        <v>56.2</v>
      </c>
      <c r="S3220" s="489">
        <v>229</v>
      </c>
      <c r="T3220" s="113">
        <f t="shared" si="233"/>
        <v>4580</v>
      </c>
      <c r="U3220" s="517"/>
      <c r="V3220" s="494">
        <v>120</v>
      </c>
      <c r="W3220" s="2041">
        <f t="shared" si="234"/>
        <v>0.40177638453500525</v>
      </c>
    </row>
    <row r="3221" spans="1:23" s="7" customFormat="1" ht="15.75" customHeight="1">
      <c r="A3221" s="1"/>
      <c r="B3221" s="12" t="s">
        <v>1856</v>
      </c>
      <c r="C3221" s="6" t="s">
        <v>7273</v>
      </c>
      <c r="D3221" s="15" t="s">
        <v>169</v>
      </c>
      <c r="E3221" s="24" t="s">
        <v>7228</v>
      </c>
      <c r="F3221" s="26"/>
      <c r="G3221" s="24" t="s">
        <v>78</v>
      </c>
      <c r="H3221" s="151"/>
      <c r="I3221" s="41"/>
      <c r="J3221" s="67">
        <v>50</v>
      </c>
      <c r="K3221" s="25">
        <v>2.62</v>
      </c>
      <c r="L3221" s="46">
        <f t="shared" si="230"/>
        <v>131</v>
      </c>
      <c r="M3221" s="162" t="s">
        <v>2219</v>
      </c>
      <c r="N3221" s="39">
        <v>45509</v>
      </c>
      <c r="O3221" s="38">
        <v>6320</v>
      </c>
      <c r="P3221" s="180">
        <f t="shared" si="231"/>
        <v>2.3056000000000001</v>
      </c>
      <c r="Q3221" s="483">
        <v>2.31</v>
      </c>
      <c r="R3221" s="704">
        <f t="shared" si="232"/>
        <v>115.5</v>
      </c>
      <c r="S3221" s="489">
        <v>188</v>
      </c>
      <c r="T3221" s="113">
        <f t="shared" si="233"/>
        <v>9400</v>
      </c>
      <c r="U3221" s="517"/>
      <c r="V3221" s="494">
        <v>120</v>
      </c>
      <c r="W3221" s="2041">
        <f t="shared" si="234"/>
        <v>0.40203562340966925</v>
      </c>
    </row>
    <row r="3222" spans="1:23" s="7" customFormat="1" ht="15.75">
      <c r="A3222" s="1"/>
      <c r="B3222" s="12" t="s">
        <v>1856</v>
      </c>
      <c r="C3222" s="6" t="s">
        <v>7273</v>
      </c>
      <c r="D3222" s="15" t="s">
        <v>169</v>
      </c>
      <c r="E3222" s="24" t="s">
        <v>7275</v>
      </c>
      <c r="F3222" s="26"/>
      <c r="G3222" s="24" t="s">
        <v>78</v>
      </c>
      <c r="H3222" s="151"/>
      <c r="I3222" s="41"/>
      <c r="J3222" s="67">
        <v>50</v>
      </c>
      <c r="K3222" s="25">
        <v>1.88</v>
      </c>
      <c r="L3222" s="46">
        <f t="shared" si="230"/>
        <v>94</v>
      </c>
      <c r="M3222" s="162" t="s">
        <v>2219</v>
      </c>
      <c r="N3222" s="39">
        <v>45509</v>
      </c>
      <c r="O3222" s="38">
        <v>6320</v>
      </c>
      <c r="P3222" s="180">
        <f t="shared" si="231"/>
        <v>1.6543999999999999</v>
      </c>
      <c r="Q3222" s="483">
        <v>1.65</v>
      </c>
      <c r="R3222" s="704">
        <f t="shared" si="232"/>
        <v>82.5</v>
      </c>
      <c r="S3222" s="489">
        <v>135</v>
      </c>
      <c r="T3222" s="113">
        <f t="shared" si="233"/>
        <v>6750</v>
      </c>
      <c r="U3222" s="517"/>
      <c r="V3222" s="494">
        <v>120</v>
      </c>
      <c r="W3222" s="2041">
        <f t="shared" si="234"/>
        <v>0.40159574468085107</v>
      </c>
    </row>
    <row r="3223" spans="1:23" s="7" customFormat="1" ht="15.75" customHeight="1">
      <c r="A3223" s="1"/>
      <c r="B3223" s="12" t="s">
        <v>1856</v>
      </c>
      <c r="C3223" s="6" t="s">
        <v>7273</v>
      </c>
      <c r="D3223" s="15" t="s">
        <v>169</v>
      </c>
      <c r="E3223" s="24" t="s">
        <v>7276</v>
      </c>
      <c r="F3223" s="26"/>
      <c r="G3223" s="24" t="s">
        <v>78</v>
      </c>
      <c r="H3223" s="151"/>
      <c r="I3223" s="41"/>
      <c r="J3223" s="67">
        <v>50</v>
      </c>
      <c r="K3223" s="25">
        <v>1.28</v>
      </c>
      <c r="L3223" s="46">
        <f t="shared" si="230"/>
        <v>64</v>
      </c>
      <c r="M3223" s="162" t="s">
        <v>2219</v>
      </c>
      <c r="N3223" s="39">
        <v>45509</v>
      </c>
      <c r="O3223" s="38">
        <v>6320</v>
      </c>
      <c r="P3223" s="180">
        <f t="shared" si="231"/>
        <v>1.1264000000000001</v>
      </c>
      <c r="Q3223" s="483">
        <v>1.1299999999999999</v>
      </c>
      <c r="R3223" s="704">
        <f t="shared" si="232"/>
        <v>56.499999999999993</v>
      </c>
      <c r="S3223" s="489">
        <v>92</v>
      </c>
      <c r="T3223" s="113">
        <f t="shared" si="233"/>
        <v>4600</v>
      </c>
      <c r="U3223" s="517"/>
      <c r="V3223" s="494">
        <v>120</v>
      </c>
      <c r="W3223" s="2041">
        <f t="shared" si="234"/>
        <v>0.40104166666666663</v>
      </c>
    </row>
    <row r="3224" spans="1:23" s="7" customFormat="1" ht="15.75" customHeight="1">
      <c r="A3224" s="1"/>
      <c r="B3224" s="12" t="s">
        <v>1856</v>
      </c>
      <c r="C3224" s="6" t="s">
        <v>7273</v>
      </c>
      <c r="D3224" s="15" t="s">
        <v>169</v>
      </c>
      <c r="E3224" s="24" t="s">
        <v>7277</v>
      </c>
      <c r="F3224" s="26"/>
      <c r="G3224" s="24" t="s">
        <v>78</v>
      </c>
      <c r="H3224" s="151"/>
      <c r="I3224" s="41"/>
      <c r="J3224" s="67">
        <v>50</v>
      </c>
      <c r="K3224" s="25">
        <v>4.6399999999999997</v>
      </c>
      <c r="L3224" s="46">
        <f t="shared" si="230"/>
        <v>231.99999999999997</v>
      </c>
      <c r="M3224" s="162" t="s">
        <v>2219</v>
      </c>
      <c r="N3224" s="39">
        <v>45509</v>
      </c>
      <c r="O3224" s="38">
        <v>6320</v>
      </c>
      <c r="P3224" s="180">
        <f t="shared" si="231"/>
        <v>4.0831999999999997</v>
      </c>
      <c r="Q3224" s="483">
        <v>4.08</v>
      </c>
      <c r="R3224" s="704">
        <f t="shared" si="232"/>
        <v>204</v>
      </c>
      <c r="S3224" s="489">
        <v>334</v>
      </c>
      <c r="T3224" s="113">
        <f t="shared" si="233"/>
        <v>16700</v>
      </c>
      <c r="U3224" s="517"/>
      <c r="V3224" s="494">
        <v>120</v>
      </c>
      <c r="W3224" s="2041">
        <f t="shared" si="234"/>
        <v>0.4001436781609195</v>
      </c>
    </row>
    <row r="3225" spans="1:23" s="7" customFormat="1" ht="15.75" customHeight="1">
      <c r="A3225" s="1"/>
      <c r="B3225" s="12" t="s">
        <v>1856</v>
      </c>
      <c r="C3225" s="6" t="s">
        <v>7273</v>
      </c>
      <c r="D3225" s="15" t="s">
        <v>169</v>
      </c>
      <c r="E3225" s="24" t="s">
        <v>7278</v>
      </c>
      <c r="F3225" s="26"/>
      <c r="G3225" s="24" t="s">
        <v>78</v>
      </c>
      <c r="H3225" s="151"/>
      <c r="I3225" s="41"/>
      <c r="J3225" s="67">
        <v>50</v>
      </c>
      <c r="K3225" s="25">
        <v>2.13</v>
      </c>
      <c r="L3225" s="46">
        <f t="shared" si="230"/>
        <v>106.5</v>
      </c>
      <c r="M3225" s="162" t="s">
        <v>2219</v>
      </c>
      <c r="N3225" s="39">
        <v>45509</v>
      </c>
      <c r="O3225" s="38">
        <v>6320</v>
      </c>
      <c r="P3225" s="180">
        <f t="shared" si="231"/>
        <v>1.8743999999999998</v>
      </c>
      <c r="Q3225" s="483">
        <v>1.87</v>
      </c>
      <c r="R3225" s="704">
        <f t="shared" si="232"/>
        <v>93.5</v>
      </c>
      <c r="S3225" s="489">
        <v>153</v>
      </c>
      <c r="T3225" s="113">
        <f t="shared" si="233"/>
        <v>7650</v>
      </c>
      <c r="U3225" s="517"/>
      <c r="V3225" s="494">
        <v>120</v>
      </c>
      <c r="W3225" s="2041">
        <f t="shared" si="234"/>
        <v>0.40140845070422532</v>
      </c>
    </row>
    <row r="3226" spans="1:23" s="7" customFormat="1" ht="15.75" customHeight="1">
      <c r="A3226" s="1"/>
      <c r="B3226" s="12" t="s">
        <v>1856</v>
      </c>
      <c r="C3226" s="6" t="s">
        <v>7826</v>
      </c>
      <c r="D3226" s="15" t="s">
        <v>169</v>
      </c>
      <c r="E3226" s="24" t="s">
        <v>7279</v>
      </c>
      <c r="F3226" s="26"/>
      <c r="G3226" s="24" t="s">
        <v>78</v>
      </c>
      <c r="H3226" s="151"/>
      <c r="I3226" s="41"/>
      <c r="J3226" s="67">
        <v>50</v>
      </c>
      <c r="K3226" s="25">
        <v>3.37</v>
      </c>
      <c r="L3226" s="46">
        <f t="shared" si="230"/>
        <v>168.5</v>
      </c>
      <c r="M3226" s="162" t="s">
        <v>2219</v>
      </c>
      <c r="N3226" s="39">
        <v>45509</v>
      </c>
      <c r="O3226" s="38">
        <v>6320</v>
      </c>
      <c r="P3226" s="180">
        <f t="shared" si="231"/>
        <v>2.9656000000000002</v>
      </c>
      <c r="Q3226" s="483">
        <v>2.97</v>
      </c>
      <c r="R3226" s="704">
        <f t="shared" si="232"/>
        <v>148.5</v>
      </c>
      <c r="S3226" s="489">
        <v>242</v>
      </c>
      <c r="T3226" s="113">
        <f t="shared" si="233"/>
        <v>12100</v>
      </c>
      <c r="U3226" s="517"/>
      <c r="V3226" s="494">
        <v>120</v>
      </c>
      <c r="W3226" s="2041">
        <f t="shared" si="234"/>
        <v>0.40158259149357078</v>
      </c>
    </row>
    <row r="3227" spans="1:23" s="7" customFormat="1" ht="18" customHeight="1">
      <c r="B3227" s="12"/>
      <c r="C3227" s="6" t="s">
        <v>7273</v>
      </c>
      <c r="D3227" s="15" t="s">
        <v>169</v>
      </c>
      <c r="E3227" s="238"/>
      <c r="F3227" s="44"/>
      <c r="G3227" s="24" t="s">
        <v>2975</v>
      </c>
      <c r="H3227" s="8"/>
      <c r="I3227" s="152" ph="1"/>
      <c r="J3227" s="45">
        <v>1</v>
      </c>
      <c r="K3227" s="46">
        <v>12</v>
      </c>
      <c r="L3227" s="46">
        <f t="shared" si="230"/>
        <v>12</v>
      </c>
      <c r="M3227" s="112"/>
      <c r="N3227" s="39">
        <v>45509</v>
      </c>
      <c r="O3227" s="38">
        <v>6320</v>
      </c>
      <c r="P3227" s="6"/>
      <c r="Q3227" s="703">
        <v>12</v>
      </c>
      <c r="R3227" s="703">
        <f t="shared" si="232"/>
        <v>12</v>
      </c>
      <c r="S3227" s="7">
        <f>800+900</f>
        <v>1700</v>
      </c>
      <c r="T3227" s="113">
        <f t="shared" si="233"/>
        <v>1700</v>
      </c>
      <c r="U3227" s="23"/>
      <c r="V3227" s="494">
        <v>120</v>
      </c>
      <c r="W3227" s="2041">
        <f t="shared" si="234"/>
        <v>-0.18055555555555555</v>
      </c>
    </row>
    <row r="3228" spans="1:23" s="314" customFormat="1" ht="15">
      <c r="A3228" s="1"/>
      <c r="B3228" s="313"/>
      <c r="C3228" s="302" t="s">
        <v>7273</v>
      </c>
      <c r="D3228" s="303" t="s">
        <v>169</v>
      </c>
      <c r="E3228" s="371"/>
      <c r="F3228" s="305"/>
      <c r="G3228" s="305" t="s">
        <v>1227</v>
      </c>
      <c r="H3228" s="307" t="s">
        <v>3438</v>
      </c>
      <c r="I3228" s="308"/>
      <c r="J3228" s="306"/>
      <c r="K3228" s="329">
        <v>170</v>
      </c>
      <c r="L3228" s="329">
        <v>170</v>
      </c>
      <c r="M3228" s="310"/>
      <c r="N3228" s="310">
        <v>45509</v>
      </c>
      <c r="O3228" s="309">
        <v>6320</v>
      </c>
      <c r="P3228" s="302"/>
      <c r="Q3228" s="329">
        <v>170</v>
      </c>
      <c r="R3228" s="329">
        <v>170</v>
      </c>
      <c r="S3228" s="2353">
        <v>16898</v>
      </c>
      <c r="T3228" s="2353">
        <v>16898</v>
      </c>
      <c r="U3228" s="1115"/>
      <c r="V3228" s="494">
        <v>120</v>
      </c>
      <c r="W3228" s="2041">
        <f t="shared" si="234"/>
        <v>0.17166666666666666</v>
      </c>
    </row>
    <row r="3229" spans="1:23" s="7" customFormat="1" ht="15" customHeight="1">
      <c r="A3229" s="1"/>
      <c r="B3229" s="12"/>
      <c r="C3229" s="6" t="s">
        <v>7282</v>
      </c>
      <c r="D3229" s="15" t="s">
        <v>5251</v>
      </c>
      <c r="E3229" s="20" t="s">
        <v>7141</v>
      </c>
      <c r="F3229" s="26"/>
      <c r="G3229" s="24"/>
      <c r="H3229" s="67"/>
      <c r="I3229" s="68"/>
      <c r="J3229" s="67"/>
      <c r="K3229" s="17" t="s">
        <v>10</v>
      </c>
      <c r="L3229" s="39"/>
      <c r="M3229" s="39"/>
      <c r="N3229" s="39">
        <v>45490</v>
      </c>
      <c r="O3229" s="38">
        <v>6298</v>
      </c>
      <c r="P3229" s="180" t="e">
        <f>K3229*(VLOOKUP(B3229,$C$2:$F$6,3,FALSE))</f>
        <v>#VALUE!</v>
      </c>
      <c r="Q3229" s="483"/>
      <c r="R3229" s="704"/>
      <c r="S3229" s="489"/>
      <c r="T3229" s="113">
        <f>S3229*J3229</f>
        <v>0</v>
      </c>
      <c r="U3229" s="517"/>
      <c r="V3229" s="494">
        <v>120</v>
      </c>
      <c r="W3229" s="2041" t="e">
        <f t="shared" si="234"/>
        <v>#VALUE!</v>
      </c>
    </row>
    <row r="3230" spans="1:23" s="7" customFormat="1" ht="15.75" customHeight="1">
      <c r="A3230" s="1"/>
      <c r="B3230" s="12" t="s">
        <v>1856</v>
      </c>
      <c r="C3230" s="6" t="s">
        <v>7282</v>
      </c>
      <c r="D3230" s="15" t="s">
        <v>5251</v>
      </c>
      <c r="E3230" s="24" t="s">
        <v>7240</v>
      </c>
      <c r="F3230" s="26"/>
      <c r="G3230" s="24" t="s">
        <v>78</v>
      </c>
      <c r="H3230" s="151"/>
      <c r="I3230" s="41"/>
      <c r="J3230" s="67">
        <v>15</v>
      </c>
      <c r="K3230" s="25">
        <v>1.28</v>
      </c>
      <c r="L3230" s="46">
        <f>K3230*J3230</f>
        <v>19.2</v>
      </c>
      <c r="M3230" s="162" t="s">
        <v>2219</v>
      </c>
      <c r="N3230" s="39">
        <v>45490</v>
      </c>
      <c r="O3230" s="38">
        <v>6298</v>
      </c>
      <c r="P3230" s="180">
        <f>K3230*(VLOOKUP(B3230,$C$2:$F$6,3,FALSE))</f>
        <v>1.1264000000000001</v>
      </c>
      <c r="Q3230" s="483">
        <v>1.1299999999999999</v>
      </c>
      <c r="R3230" s="704">
        <f>Q3230*J3230</f>
        <v>16.95</v>
      </c>
      <c r="S3230" s="489">
        <v>92</v>
      </c>
      <c r="T3230" s="113">
        <f>S3230*J3230</f>
        <v>1380</v>
      </c>
      <c r="U3230" s="517"/>
      <c r="V3230" s="494">
        <v>120</v>
      </c>
      <c r="W3230" s="2041">
        <f t="shared" si="234"/>
        <v>0.40104166666666663</v>
      </c>
    </row>
    <row r="3231" spans="1:23" s="7" customFormat="1" ht="15.75" customHeight="1">
      <c r="A3231" s="1"/>
      <c r="B3231" s="12" t="s">
        <v>1856</v>
      </c>
      <c r="C3231" s="6" t="s">
        <v>7282</v>
      </c>
      <c r="D3231" s="15" t="s">
        <v>5251</v>
      </c>
      <c r="E3231" s="24" t="s">
        <v>7241</v>
      </c>
      <c r="F3231" s="26"/>
      <c r="G3231" s="24" t="s">
        <v>78</v>
      </c>
      <c r="H3231" s="151"/>
      <c r="I3231" s="41"/>
      <c r="J3231" s="67">
        <v>15</v>
      </c>
      <c r="K3231" s="25">
        <v>1.07</v>
      </c>
      <c r="L3231" s="46">
        <f>K3231*J3231</f>
        <v>16.05</v>
      </c>
      <c r="M3231" s="162" t="s">
        <v>2219</v>
      </c>
      <c r="N3231" s="39">
        <v>45490</v>
      </c>
      <c r="O3231" s="38">
        <v>6298</v>
      </c>
      <c r="P3231" s="180">
        <f>K3231*(VLOOKUP(B3231,$C$2:$F$6,3,FALSE))</f>
        <v>0.9416000000000001</v>
      </c>
      <c r="Q3231" s="483">
        <v>0.94</v>
      </c>
      <c r="R3231" s="704">
        <f>Q3231*J3231</f>
        <v>14.1</v>
      </c>
      <c r="S3231" s="489">
        <v>77</v>
      </c>
      <c r="T3231" s="113">
        <f>S3231*J3231</f>
        <v>1155</v>
      </c>
      <c r="U3231" s="517"/>
      <c r="V3231" s="494">
        <v>120</v>
      </c>
      <c r="W3231" s="2041">
        <f t="shared" si="234"/>
        <v>0.40031152647975082</v>
      </c>
    </row>
    <row r="3232" spans="1:23" s="7" customFormat="1" ht="18" customHeight="1">
      <c r="B3232" s="12"/>
      <c r="C3232" s="6" t="s">
        <v>7282</v>
      </c>
      <c r="D3232" s="15" t="s">
        <v>5251</v>
      </c>
      <c r="E3232" s="238"/>
      <c r="F3232" s="44"/>
      <c r="G3232" s="24" t="s">
        <v>2975</v>
      </c>
      <c r="H3232" s="8"/>
      <c r="I3232" s="152" ph="1"/>
      <c r="J3232" s="45">
        <v>1</v>
      </c>
      <c r="K3232" s="46">
        <v>12</v>
      </c>
      <c r="L3232" s="46">
        <f>K3232*J3232</f>
        <v>12</v>
      </c>
      <c r="M3232" s="112"/>
      <c r="N3232" s="39">
        <v>45490</v>
      </c>
      <c r="O3232" s="38">
        <v>6298</v>
      </c>
      <c r="P3232" s="6"/>
      <c r="Q3232" s="703">
        <v>12</v>
      </c>
      <c r="R3232" s="703">
        <f>Q3232*J3232</f>
        <v>12</v>
      </c>
      <c r="S3232" s="7">
        <v>900</v>
      </c>
      <c r="T3232" s="113">
        <f>S3232*J3232</f>
        <v>900</v>
      </c>
      <c r="U3232" s="23"/>
      <c r="V3232" s="494">
        <v>120</v>
      </c>
      <c r="W3232" s="2041">
        <f t="shared" si="234"/>
        <v>0.375</v>
      </c>
    </row>
    <row r="3233" spans="1:23" s="314" customFormat="1" ht="15">
      <c r="A3233" s="1"/>
      <c r="B3233" s="313"/>
      <c r="C3233" s="302" t="s">
        <v>7282</v>
      </c>
      <c r="D3233" s="303" t="s">
        <v>5251</v>
      </c>
      <c r="E3233" s="304"/>
      <c r="F3233" s="305"/>
      <c r="G3233" s="305" t="s">
        <v>1227</v>
      </c>
      <c r="H3233" s="307" t="s">
        <v>1228</v>
      </c>
      <c r="I3233" s="308"/>
      <c r="J3233" s="306"/>
      <c r="K3233" s="315">
        <v>0</v>
      </c>
      <c r="L3233" s="310"/>
      <c r="M3233" s="310"/>
      <c r="N3233" s="310">
        <v>45490</v>
      </c>
      <c r="O3233" s="309">
        <v>6298</v>
      </c>
      <c r="P3233" s="302"/>
      <c r="Q3233" s="485">
        <v>0</v>
      </c>
      <c r="S3233" s="536">
        <v>0</v>
      </c>
      <c r="T3233" s="322">
        <v>0</v>
      </c>
      <c r="U3233" s="515"/>
      <c r="V3233" s="494">
        <v>120</v>
      </c>
      <c r="W3233" s="2041" t="e">
        <f t="shared" si="234"/>
        <v>#DIV/0!</v>
      </c>
    </row>
    <row r="3234" spans="1:23" s="7" customFormat="1" ht="15" customHeight="1">
      <c r="A3234" s="1"/>
      <c r="B3234" s="12"/>
      <c r="C3234" s="6" t="s">
        <v>7283</v>
      </c>
      <c r="D3234" s="15" t="s">
        <v>7184</v>
      </c>
      <c r="E3234" s="20" t="s">
        <v>7141</v>
      </c>
      <c r="F3234" s="26"/>
      <c r="G3234" s="24"/>
      <c r="H3234" s="67"/>
      <c r="I3234" s="68"/>
      <c r="J3234" s="67"/>
      <c r="K3234" s="17" t="s">
        <v>10</v>
      </c>
      <c r="L3234" s="39"/>
      <c r="M3234" s="39"/>
      <c r="N3234" s="39">
        <v>45491</v>
      </c>
      <c r="O3234" s="38">
        <v>6309</v>
      </c>
      <c r="P3234" s="180" t="e">
        <f>K3234*(VLOOKUP(B3234,$C$2:$F$6,3,FALSE))</f>
        <v>#VALUE!</v>
      </c>
      <c r="Q3234" s="483"/>
      <c r="R3234" s="704"/>
      <c r="S3234" s="489"/>
      <c r="T3234" s="113">
        <f>S3234*J3234</f>
        <v>0</v>
      </c>
      <c r="U3234" s="517"/>
      <c r="V3234" s="494">
        <v>120</v>
      </c>
      <c r="W3234" s="2041" t="e">
        <f t="shared" si="234"/>
        <v>#VALUE!</v>
      </c>
    </row>
    <row r="3235" spans="1:23" s="7" customFormat="1" ht="15.75" customHeight="1">
      <c r="A3235" s="1"/>
      <c r="B3235" s="12" t="s">
        <v>1856</v>
      </c>
      <c r="C3235" s="6" t="s">
        <v>7283</v>
      </c>
      <c r="D3235" s="15" t="s">
        <v>7184</v>
      </c>
      <c r="E3235" s="24" t="s">
        <v>7281</v>
      </c>
      <c r="F3235" s="26"/>
      <c r="G3235" s="24" t="s">
        <v>78</v>
      </c>
      <c r="H3235" s="151"/>
      <c r="I3235" s="41"/>
      <c r="J3235" s="67">
        <v>10</v>
      </c>
      <c r="K3235" s="25">
        <v>0.38</v>
      </c>
      <c r="L3235" s="46">
        <f>K3235*J3235</f>
        <v>3.8</v>
      </c>
      <c r="M3235" s="162" t="s">
        <v>2219</v>
      </c>
      <c r="N3235" s="39">
        <v>45491</v>
      </c>
      <c r="O3235" s="38">
        <v>6309</v>
      </c>
      <c r="P3235" s="180">
        <f>K3235*(VLOOKUP(B3235,$C$2:$F$6,3,FALSE))</f>
        <v>0.33440000000000003</v>
      </c>
      <c r="Q3235" s="483">
        <v>0.33</v>
      </c>
      <c r="R3235" s="704">
        <f>Q3235*J3235</f>
        <v>3.3000000000000003</v>
      </c>
      <c r="S3235" s="489">
        <v>27</v>
      </c>
      <c r="T3235" s="113">
        <f>S3235*J3235</f>
        <v>270</v>
      </c>
      <c r="U3235" s="517"/>
      <c r="V3235" s="494">
        <v>120</v>
      </c>
      <c r="W3235" s="2041">
        <f t="shared" si="234"/>
        <v>0.40789473684210525</v>
      </c>
    </row>
    <row r="3236" spans="1:23" s="7" customFormat="1" ht="18" customHeight="1">
      <c r="B3236" s="12"/>
      <c r="C3236" s="6" t="s">
        <v>7283</v>
      </c>
      <c r="D3236" s="15" t="s">
        <v>7184</v>
      </c>
      <c r="E3236" s="238"/>
      <c r="F3236" s="44"/>
      <c r="G3236" s="24" t="s">
        <v>2975</v>
      </c>
      <c r="H3236" s="8"/>
      <c r="I3236" s="152" ph="1"/>
      <c r="J3236" s="45">
        <v>1</v>
      </c>
      <c r="K3236" s="46">
        <v>12</v>
      </c>
      <c r="L3236" s="46">
        <f>K3236*J3236</f>
        <v>12</v>
      </c>
      <c r="M3236" s="112"/>
      <c r="N3236" s="39">
        <v>45491</v>
      </c>
      <c r="O3236" s="38">
        <v>6309</v>
      </c>
      <c r="P3236" s="6"/>
      <c r="Q3236" s="703">
        <v>12</v>
      </c>
      <c r="R3236" s="703">
        <f>Q3236*J3236</f>
        <v>12</v>
      </c>
      <c r="S3236" s="7">
        <v>900</v>
      </c>
      <c r="T3236" s="7">
        <v>900</v>
      </c>
      <c r="U3236" s="23"/>
      <c r="V3236" s="494">
        <v>120</v>
      </c>
      <c r="W3236" s="2041">
        <f t="shared" si="234"/>
        <v>0.375</v>
      </c>
    </row>
    <row r="3237" spans="1:23" s="314" customFormat="1" ht="19.5">
      <c r="A3237" s="1"/>
      <c r="B3237" s="313"/>
      <c r="C3237" s="302" t="s">
        <v>7283</v>
      </c>
      <c r="D3237" s="303" t="s">
        <v>7184</v>
      </c>
      <c r="E3237" s="304"/>
      <c r="F3237" s="305"/>
      <c r="G3237" s="305" t="s">
        <v>1227</v>
      </c>
      <c r="H3237" s="307" t="s">
        <v>3438</v>
      </c>
      <c r="I3237" s="308"/>
      <c r="J3237" s="306"/>
      <c r="K3237" s="329">
        <v>11</v>
      </c>
      <c r="L3237" s="329">
        <v>11</v>
      </c>
      <c r="M3237" s="310"/>
      <c r="N3237" s="310">
        <v>45491</v>
      </c>
      <c r="O3237" s="309">
        <v>6309</v>
      </c>
      <c r="P3237" s="302"/>
      <c r="Q3237" s="329">
        <v>11</v>
      </c>
      <c r="R3237" s="329">
        <v>11</v>
      </c>
      <c r="S3237" s="7">
        <v>1226</v>
      </c>
      <c r="T3237" s="7">
        <v>1226</v>
      </c>
      <c r="U3237" s="515"/>
      <c r="V3237" s="494">
        <v>120</v>
      </c>
      <c r="W3237" s="2041">
        <f t="shared" si="234"/>
        <v>7.1212121212121213E-2</v>
      </c>
    </row>
    <row r="3238" spans="1:23" s="7" customFormat="1" ht="15" customHeight="1">
      <c r="A3238" s="1"/>
      <c r="B3238" s="12"/>
      <c r="C3238" s="6" t="s">
        <v>7332</v>
      </c>
      <c r="D3238" s="15" t="s">
        <v>5251</v>
      </c>
      <c r="E3238" s="20" t="s">
        <v>7141</v>
      </c>
      <c r="F3238" s="26"/>
      <c r="G3238" s="24"/>
      <c r="H3238" s="67"/>
      <c r="I3238" s="68"/>
      <c r="J3238" s="67"/>
      <c r="K3238" s="17" t="s">
        <v>10</v>
      </c>
      <c r="L3238" s="39"/>
      <c r="M3238" s="39"/>
      <c r="N3238" s="39">
        <v>45503</v>
      </c>
      <c r="O3238" s="38">
        <v>6343</v>
      </c>
      <c r="P3238" s="180" t="e">
        <f>K3238*(VLOOKUP(B3238,$C$2:$F$6,3,FALSE))</f>
        <v>#VALUE!</v>
      </c>
      <c r="Q3238" s="483"/>
      <c r="R3238" s="704"/>
      <c r="S3238" s="489"/>
      <c r="T3238" s="113">
        <f>S3238*J3238</f>
        <v>0</v>
      </c>
      <c r="U3238" s="517"/>
      <c r="V3238" s="494">
        <v>120</v>
      </c>
      <c r="W3238" s="2041" t="e">
        <f t="shared" si="234"/>
        <v>#VALUE!</v>
      </c>
    </row>
    <row r="3239" spans="1:23" s="7" customFormat="1" ht="15.75" customHeight="1">
      <c r="A3239" s="1"/>
      <c r="B3239" s="12" t="s">
        <v>1856</v>
      </c>
      <c r="C3239" s="6" t="s">
        <v>7332</v>
      </c>
      <c r="D3239" s="15" t="s">
        <v>5251</v>
      </c>
      <c r="E3239" s="24" t="s">
        <v>7300</v>
      </c>
      <c r="F3239" s="26"/>
      <c r="G3239" s="24" t="s">
        <v>78</v>
      </c>
      <c r="H3239" s="151"/>
      <c r="I3239" s="41"/>
      <c r="J3239" s="67">
        <v>15</v>
      </c>
      <c r="K3239" s="25">
        <v>5</v>
      </c>
      <c r="L3239" s="46">
        <f>K3239*J3239</f>
        <v>75</v>
      </c>
      <c r="M3239" s="162" t="s">
        <v>2219</v>
      </c>
      <c r="N3239" s="39">
        <v>45503</v>
      </c>
      <c r="O3239" s="38">
        <v>6343</v>
      </c>
      <c r="P3239" s="180">
        <f>K3239*(VLOOKUP(B3239,$C$2:$F$6,3,FALSE))</f>
        <v>4.4000000000000004</v>
      </c>
      <c r="Q3239" s="483">
        <v>4.4000000000000004</v>
      </c>
      <c r="R3239" s="704">
        <f>Q3239*J3239</f>
        <v>66</v>
      </c>
      <c r="S3239" s="489">
        <v>360</v>
      </c>
      <c r="T3239" s="113">
        <f>S3239*J3239</f>
        <v>5400</v>
      </c>
      <c r="U3239" s="517"/>
      <c r="V3239" s="494">
        <v>120</v>
      </c>
      <c r="W3239" s="2041">
        <f t="shared" si="234"/>
        <v>0.4</v>
      </c>
    </row>
    <row r="3240" spans="1:23" s="7" customFormat="1" ht="18" customHeight="1">
      <c r="B3240" s="12"/>
      <c r="C3240" s="6" t="s">
        <v>7332</v>
      </c>
      <c r="D3240" s="15" t="s">
        <v>5251</v>
      </c>
      <c r="E3240" s="238"/>
      <c r="F3240" s="44"/>
      <c r="G3240" s="24" t="s">
        <v>2975</v>
      </c>
      <c r="H3240" s="8"/>
      <c r="I3240" s="152" ph="1"/>
      <c r="J3240" s="45">
        <v>1</v>
      </c>
      <c r="K3240" s="46">
        <v>12</v>
      </c>
      <c r="L3240" s="46">
        <f>K3240*J3240</f>
        <v>12</v>
      </c>
      <c r="M3240" s="112"/>
      <c r="N3240" s="39">
        <v>45503</v>
      </c>
      <c r="O3240" s="38">
        <v>6343</v>
      </c>
      <c r="P3240" s="6"/>
      <c r="Q3240" s="703">
        <v>12</v>
      </c>
      <c r="R3240" s="703">
        <f>Q3240*J3240</f>
        <v>12</v>
      </c>
      <c r="S3240" s="7">
        <v>900</v>
      </c>
      <c r="T3240" s="113">
        <f>S3240*J3240</f>
        <v>900</v>
      </c>
      <c r="U3240" s="23"/>
      <c r="V3240" s="494">
        <v>120</v>
      </c>
      <c r="W3240" s="2041">
        <f t="shared" si="234"/>
        <v>0.375</v>
      </c>
    </row>
    <row r="3241" spans="1:23" s="314" customFormat="1" ht="15">
      <c r="A3241" s="1"/>
      <c r="B3241" s="313"/>
      <c r="C3241" s="302" t="s">
        <v>7332</v>
      </c>
      <c r="D3241" s="303" t="s">
        <v>5251</v>
      </c>
      <c r="E3241" s="304"/>
      <c r="F3241" s="305"/>
      <c r="G3241" s="305" t="s">
        <v>1227</v>
      </c>
      <c r="H3241" s="307" t="s">
        <v>1228</v>
      </c>
      <c r="I3241" s="308"/>
      <c r="J3241" s="306"/>
      <c r="K3241" s="315">
        <v>0</v>
      </c>
      <c r="L3241" s="310"/>
      <c r="M3241" s="310"/>
      <c r="N3241" s="310">
        <v>45503</v>
      </c>
      <c r="O3241" s="309">
        <v>6343</v>
      </c>
      <c r="P3241" s="302"/>
      <c r="Q3241" s="485">
        <v>0</v>
      </c>
      <c r="S3241" s="536">
        <v>0</v>
      </c>
      <c r="T3241" s="322">
        <v>0</v>
      </c>
      <c r="U3241" s="515"/>
      <c r="V3241" s="494">
        <v>120</v>
      </c>
      <c r="W3241" s="2041" t="e">
        <f t="shared" si="234"/>
        <v>#DIV/0!</v>
      </c>
    </row>
    <row r="3242" spans="1:23" s="7" customFormat="1" ht="18" customHeight="1">
      <c r="B3242" s="12"/>
      <c r="C3242" s="6" t="s">
        <v>7317</v>
      </c>
      <c r="D3242" s="15" t="s">
        <v>3120</v>
      </c>
      <c r="E3242" s="7" t="s">
        <v>2306</v>
      </c>
      <c r="F3242" s="700"/>
      <c r="G3242" s="640"/>
      <c r="H3242" s="641"/>
      <c r="I3242" s="701"/>
      <c r="J3242" s="702"/>
      <c r="K3242" s="153" t="s">
        <v>10</v>
      </c>
      <c r="L3242" s="219"/>
      <c r="M3242" s="11"/>
      <c r="N3242" s="39">
        <v>45498</v>
      </c>
      <c r="O3242" s="38">
        <v>6318</v>
      </c>
      <c r="P3242" s="6"/>
      <c r="Q3242" s="703"/>
      <c r="U3242" s="46"/>
      <c r="V3242" s="494">
        <v>120</v>
      </c>
    </row>
    <row r="3243" spans="1:23" ht="18" customHeight="1">
      <c r="B3243" s="28" t="s">
        <v>1856</v>
      </c>
      <c r="C3243" s="6" t="s">
        <v>7317</v>
      </c>
      <c r="D3243" s="15">
        <v>2</v>
      </c>
      <c r="E3243" s="24" t="s">
        <v>18</v>
      </c>
      <c r="F3243" s="44">
        <v>30</v>
      </c>
      <c r="G3243" s="24" t="s">
        <v>2727</v>
      </c>
      <c r="H3243" s="151">
        <v>30</v>
      </c>
      <c r="I3243" s="152">
        <v>15</v>
      </c>
      <c r="J3243" s="67">
        <f>H3243*I3243</f>
        <v>450</v>
      </c>
      <c r="K3243" s="46">
        <v>4.26</v>
      </c>
      <c r="L3243" s="46">
        <f>K3243*J3243</f>
        <v>1917</v>
      </c>
      <c r="M3243" s="162" t="s">
        <v>2219</v>
      </c>
      <c r="N3243" s="39">
        <v>45498</v>
      </c>
      <c r="O3243" s="38">
        <v>6318</v>
      </c>
      <c r="P3243" s="46">
        <f>K3243*(VLOOKUP(B3243,$C$2:$F$6,3,FALSE))</f>
        <v>3.7487999999999997</v>
      </c>
      <c r="Q3243" s="482">
        <v>3.75</v>
      </c>
      <c r="R3243" s="704">
        <f>Q3243*J3243</f>
        <v>1687.5</v>
      </c>
      <c r="S3243" s="489">
        <v>230</v>
      </c>
      <c r="T3243" s="113">
        <f>S3243*J3243</f>
        <v>103500</v>
      </c>
      <c r="U3243" s="507"/>
      <c r="V3243" s="494">
        <v>120</v>
      </c>
      <c r="W3243" s="2041">
        <f t="shared" ref="W3243:W3248" si="235">(((K3243*V3243)-S3243)/(K3243*V3243))</f>
        <v>0.5500782472613458</v>
      </c>
    </row>
    <row r="3244" spans="1:23" s="314" customFormat="1" ht="15">
      <c r="B3244" s="313"/>
      <c r="C3244" s="302" t="s">
        <v>7317</v>
      </c>
      <c r="D3244" s="303" t="s">
        <v>3120</v>
      </c>
      <c r="E3244" s="371"/>
      <c r="F3244" s="305"/>
      <c r="G3244" s="305" t="s">
        <v>1227</v>
      </c>
      <c r="H3244" s="307" t="s">
        <v>1228</v>
      </c>
      <c r="I3244" s="308"/>
      <c r="J3244" s="306"/>
      <c r="K3244" s="315">
        <v>0</v>
      </c>
      <c r="L3244" s="310"/>
      <c r="M3244" s="310"/>
      <c r="N3244" s="310">
        <v>45498</v>
      </c>
      <c r="O3244" s="309">
        <v>6318</v>
      </c>
      <c r="P3244" s="302"/>
      <c r="Q3244" s="485">
        <v>0</v>
      </c>
      <c r="R3244" s="704">
        <v>0</v>
      </c>
      <c r="S3244" s="536">
        <v>0</v>
      </c>
      <c r="T3244" s="322">
        <v>0</v>
      </c>
      <c r="U3244" s="515"/>
      <c r="V3244" s="494">
        <v>120</v>
      </c>
      <c r="W3244" s="2041" t="e">
        <f t="shared" si="235"/>
        <v>#DIV/0!</v>
      </c>
    </row>
    <row r="3245" spans="1:23" ht="15">
      <c r="C3245" s="6" t="s">
        <v>7320</v>
      </c>
      <c r="D3245" s="15" t="s">
        <v>7321</v>
      </c>
      <c r="E3245" s="20" t="s">
        <v>79</v>
      </c>
      <c r="F3245" s="150"/>
      <c r="G3245" s="24"/>
      <c r="H3245" s="151"/>
      <c r="I3245" s="152"/>
      <c r="J3245" s="151"/>
      <c r="K3245" s="153" t="s">
        <v>10</v>
      </c>
      <c r="L3245" s="39"/>
      <c r="M3245" s="39"/>
      <c r="N3245" s="39">
        <v>45538</v>
      </c>
      <c r="O3245" s="38">
        <v>6413</v>
      </c>
      <c r="P3245" s="15"/>
      <c r="Q3245" s="483"/>
      <c r="S3245" s="707"/>
      <c r="T3245" s="113"/>
      <c r="V3245" s="494">
        <v>120</v>
      </c>
      <c r="W3245" s="2041" t="e">
        <f t="shared" si="235"/>
        <v>#VALUE!</v>
      </c>
    </row>
    <row r="3246" spans="1:23" ht="15.75">
      <c r="B3246" s="12" t="s">
        <v>1858</v>
      </c>
      <c r="C3246" s="6" t="s">
        <v>7320</v>
      </c>
      <c r="D3246" s="15" t="s">
        <v>7321</v>
      </c>
      <c r="E3246" s="24" t="s">
        <v>6607</v>
      </c>
      <c r="F3246" s="150">
        <v>148</v>
      </c>
      <c r="G3246" s="24" t="s">
        <v>7322</v>
      </c>
      <c r="H3246" s="67"/>
      <c r="I3246" s="68"/>
      <c r="J3246" s="67">
        <v>204</v>
      </c>
      <c r="K3246" s="46">
        <v>10.3</v>
      </c>
      <c r="L3246" s="46">
        <f>K3246*J3246</f>
        <v>2101.2000000000003</v>
      </c>
      <c r="M3246" s="162" t="s">
        <v>2219</v>
      </c>
      <c r="N3246" s="39">
        <v>45538</v>
      </c>
      <c r="O3246" s="38">
        <v>6413</v>
      </c>
      <c r="P3246" s="46">
        <f>K3246*(VLOOKUP(B3246,$C$2:$F$6,3,FALSE))</f>
        <v>9.6820000000000004</v>
      </c>
      <c r="Q3246" s="483">
        <v>9.68</v>
      </c>
      <c r="R3246" s="704">
        <f>Q3246*J3246</f>
        <v>1974.72</v>
      </c>
      <c r="S3246" s="489">
        <f>1220+30</f>
        <v>1250</v>
      </c>
      <c r="T3246" s="567">
        <f>S3246*J3246</f>
        <v>255000</v>
      </c>
      <c r="V3246" s="494">
        <v>135</v>
      </c>
      <c r="W3246" s="2041">
        <f t="shared" si="235"/>
        <v>0.10104279036317872</v>
      </c>
    </row>
    <row r="3247" spans="1:23" ht="15.75">
      <c r="B3247" s="12" t="s">
        <v>1858</v>
      </c>
      <c r="C3247" s="6" t="s">
        <v>7320</v>
      </c>
      <c r="D3247" s="15" t="s">
        <v>7321</v>
      </c>
      <c r="E3247" s="24" t="s">
        <v>6607</v>
      </c>
      <c r="F3247" s="150">
        <v>148</v>
      </c>
      <c r="G3247" s="24" t="s">
        <v>6737</v>
      </c>
      <c r="H3247" s="67"/>
      <c r="I3247" s="68"/>
      <c r="J3247" s="67">
        <v>204</v>
      </c>
      <c r="K3247" s="46">
        <v>10.3</v>
      </c>
      <c r="L3247" s="46">
        <f>K3247*J3247</f>
        <v>2101.2000000000003</v>
      </c>
      <c r="M3247" s="162" t="s">
        <v>2219</v>
      </c>
      <c r="N3247" s="39">
        <v>45538</v>
      </c>
      <c r="O3247" s="38">
        <v>6413</v>
      </c>
      <c r="P3247" s="46">
        <f>K3247*(VLOOKUP(B3247,$C$2:$F$6,3,FALSE))</f>
        <v>9.6820000000000004</v>
      </c>
      <c r="Q3247" s="483">
        <v>9.68</v>
      </c>
      <c r="R3247" s="704">
        <f>Q3247*J3247</f>
        <v>1974.72</v>
      </c>
      <c r="S3247" s="489">
        <f>1220+30</f>
        <v>1250</v>
      </c>
      <c r="T3247" s="567">
        <f>S3247*J3247</f>
        <v>255000</v>
      </c>
      <c r="V3247" s="494">
        <v>135</v>
      </c>
      <c r="W3247" s="2041">
        <f t="shared" si="235"/>
        <v>0.10104279036317872</v>
      </c>
    </row>
    <row r="3248" spans="1:23" s="314" customFormat="1" ht="15">
      <c r="B3248" s="313"/>
      <c r="C3248" s="302" t="s">
        <v>7320</v>
      </c>
      <c r="D3248" s="303" t="s">
        <v>7321</v>
      </c>
      <c r="E3248" s="304"/>
      <c r="F3248" s="305"/>
      <c r="G3248" s="305" t="s">
        <v>1227</v>
      </c>
      <c r="H3248" s="307" t="s">
        <v>1228</v>
      </c>
      <c r="I3248" s="308"/>
      <c r="J3248" s="306"/>
      <c r="K3248" s="315">
        <v>0</v>
      </c>
      <c r="L3248" s="310"/>
      <c r="M3248" s="310"/>
      <c r="N3248" s="310">
        <v>45538</v>
      </c>
      <c r="O3248" s="309">
        <v>6413</v>
      </c>
      <c r="P3248" s="302"/>
      <c r="Q3248" s="485">
        <v>0</v>
      </c>
      <c r="S3248" s="536">
        <v>0</v>
      </c>
      <c r="T3248" s="322">
        <v>0</v>
      </c>
      <c r="U3248" s="515"/>
      <c r="V3248" s="494">
        <v>120</v>
      </c>
      <c r="W3248" s="2041" t="e">
        <f t="shared" si="235"/>
        <v>#DIV/0!</v>
      </c>
    </row>
    <row r="3249" spans="1:23" s="7" customFormat="1" ht="18" customHeight="1">
      <c r="A3249" s="1"/>
      <c r="B3249" s="12"/>
      <c r="C3249" s="6" t="s">
        <v>7323</v>
      </c>
      <c r="D3249" s="15" t="s">
        <v>7321</v>
      </c>
      <c r="E3249" s="20" t="s">
        <v>2801</v>
      </c>
      <c r="F3249" s="24"/>
      <c r="G3249" s="44"/>
      <c r="H3249" s="151"/>
      <c r="I3249" s="151"/>
      <c r="J3249" s="151"/>
      <c r="K3249" s="153" t="s">
        <v>10</v>
      </c>
      <c r="L3249" s="39"/>
      <c r="M3249" s="39"/>
      <c r="N3249" s="39">
        <v>45524</v>
      </c>
      <c r="O3249" s="38">
        <v>6362</v>
      </c>
      <c r="P3249" s="6"/>
      <c r="Q3249" s="411"/>
      <c r="S3249" s="2292" t="s">
        <v>7324</v>
      </c>
      <c r="T3249" s="113"/>
      <c r="U3249" s="501"/>
      <c r="V3249" s="494">
        <v>120</v>
      </c>
    </row>
    <row r="3250" spans="1:23" s="7" customFormat="1" ht="15.95" customHeight="1">
      <c r="A3250" s="1"/>
      <c r="B3250" s="12" t="s">
        <v>1856</v>
      </c>
      <c r="C3250" s="6" t="s">
        <v>7323</v>
      </c>
      <c r="D3250" s="15" t="s">
        <v>7321</v>
      </c>
      <c r="E3250" s="1010" t="s">
        <v>6747</v>
      </c>
      <c r="F3250" s="44"/>
      <c r="G3250" s="44" t="s">
        <v>6820</v>
      </c>
      <c r="H3250" s="8"/>
      <c r="I3250" s="41"/>
      <c r="J3250" s="67">
        <v>280</v>
      </c>
      <c r="K3250" s="1007">
        <v>2.85</v>
      </c>
      <c r="L3250" s="46">
        <f>K3250*J3250</f>
        <v>798</v>
      </c>
      <c r="M3250" s="162" t="s">
        <v>2219</v>
      </c>
      <c r="N3250" s="39">
        <v>45524</v>
      </c>
      <c r="O3250" s="38">
        <v>6362</v>
      </c>
      <c r="P3250" s="180">
        <f>K3250*(VLOOKUP(B3250,$C$2:$F$6,3,FALSE))</f>
        <v>2.508</v>
      </c>
      <c r="Q3250" s="483">
        <v>2.5099999999999998</v>
      </c>
      <c r="R3250" s="704">
        <f>Q3250*J3250</f>
        <v>702.8</v>
      </c>
      <c r="S3250" s="489">
        <f>135+70</f>
        <v>205</v>
      </c>
      <c r="T3250" s="113">
        <f>S3250*J3250</f>
        <v>57400</v>
      </c>
      <c r="U3250" s="517"/>
      <c r="V3250" s="494">
        <v>120</v>
      </c>
      <c r="W3250" s="2041">
        <f t="shared" ref="W3250:W3280" si="236">(((K3250*V3250)-S3250)/(K3250*V3250))</f>
        <v>0.40058479532163743</v>
      </c>
    </row>
    <row r="3251" spans="1:23" s="7" customFormat="1" ht="15.95" customHeight="1">
      <c r="A3251" s="1"/>
      <c r="B3251" s="12" t="s">
        <v>1856</v>
      </c>
      <c r="C3251" s="6" t="s">
        <v>7323</v>
      </c>
      <c r="D3251" s="15" t="s">
        <v>7321</v>
      </c>
      <c r="E3251" s="1010" t="s">
        <v>6747</v>
      </c>
      <c r="F3251" s="44"/>
      <c r="G3251" s="44" t="s">
        <v>6820</v>
      </c>
      <c r="H3251" s="8"/>
      <c r="I3251" s="41"/>
      <c r="J3251" s="67">
        <v>50</v>
      </c>
      <c r="K3251" s="1007">
        <v>1.88</v>
      </c>
      <c r="L3251" s="46">
        <f>K3251*J3251</f>
        <v>94</v>
      </c>
      <c r="M3251" s="162" t="s">
        <v>2219</v>
      </c>
      <c r="N3251" s="39">
        <v>45524</v>
      </c>
      <c r="O3251" s="38">
        <v>6362</v>
      </c>
      <c r="P3251" s="180">
        <f>K3251*(VLOOKUP(B3251,$C$2:$F$6,3,FALSE))</f>
        <v>1.6543999999999999</v>
      </c>
      <c r="Q3251" s="483">
        <v>1.65</v>
      </c>
      <c r="R3251" s="704">
        <f>Q3251*J3251</f>
        <v>82.5</v>
      </c>
      <c r="S3251" s="489">
        <v>135</v>
      </c>
      <c r="T3251" s="113">
        <f>S3251*J3251</f>
        <v>6750</v>
      </c>
      <c r="U3251" s="517"/>
      <c r="V3251" s="494">
        <v>120</v>
      </c>
      <c r="W3251" s="2041">
        <f t="shared" si="236"/>
        <v>0.40159574468085107</v>
      </c>
    </row>
    <row r="3252" spans="1:23" s="7" customFormat="1" ht="18" customHeight="1">
      <c r="B3252" s="12"/>
      <c r="C3252" s="6" t="s">
        <v>7323</v>
      </c>
      <c r="D3252" s="15" t="s">
        <v>7321</v>
      </c>
      <c r="E3252" s="238"/>
      <c r="F3252" s="44"/>
      <c r="G3252" s="24" t="s">
        <v>256</v>
      </c>
      <c r="H3252" s="8"/>
      <c r="I3252" s="152" ph="1"/>
      <c r="J3252" s="45">
        <v>1</v>
      </c>
      <c r="K3252" s="46">
        <v>75</v>
      </c>
      <c r="L3252" s="46">
        <f>K3252*J3252</f>
        <v>75</v>
      </c>
      <c r="M3252" s="112"/>
      <c r="N3252" s="39">
        <v>45524</v>
      </c>
      <c r="O3252" s="38">
        <v>6362</v>
      </c>
      <c r="P3252" s="6"/>
      <c r="Q3252" s="703">
        <v>75</v>
      </c>
      <c r="R3252" s="703">
        <v>75</v>
      </c>
      <c r="S3252" s="7">
        <v>7000</v>
      </c>
      <c r="T3252" s="113">
        <f>S3252*J3252</f>
        <v>7000</v>
      </c>
      <c r="U3252" s="23"/>
      <c r="V3252" s="494">
        <v>120</v>
      </c>
      <c r="W3252" s="2041">
        <f t="shared" si="236"/>
        <v>0.22222222222222221</v>
      </c>
    </row>
    <row r="3253" spans="1:23" s="7" customFormat="1" ht="18" customHeight="1">
      <c r="B3253" s="12"/>
      <c r="C3253" s="6" t="s">
        <v>7323</v>
      </c>
      <c r="D3253" s="15" t="s">
        <v>7321</v>
      </c>
      <c r="E3253" s="238"/>
      <c r="F3253" s="44"/>
      <c r="G3253" s="24" t="s">
        <v>2975</v>
      </c>
      <c r="H3253" s="8"/>
      <c r="I3253" s="152" ph="1"/>
      <c r="J3253" s="45">
        <v>1</v>
      </c>
      <c r="K3253" s="46">
        <v>12</v>
      </c>
      <c r="L3253" s="46">
        <f>K3253*J3253</f>
        <v>12</v>
      </c>
      <c r="M3253" s="112"/>
      <c r="N3253" s="39">
        <v>45524</v>
      </c>
      <c r="O3253" s="38">
        <v>6362</v>
      </c>
      <c r="P3253" s="6"/>
      <c r="Q3253" s="703">
        <v>12</v>
      </c>
      <c r="R3253" s="703">
        <f>Q3253*J3253</f>
        <v>12</v>
      </c>
      <c r="S3253" s="7">
        <v>0</v>
      </c>
      <c r="T3253" s="113">
        <f>S3253*J3253</f>
        <v>0</v>
      </c>
      <c r="U3253" s="23"/>
      <c r="V3253" s="494">
        <v>120</v>
      </c>
      <c r="W3253" s="2041">
        <f t="shared" si="236"/>
        <v>1</v>
      </c>
    </row>
    <row r="3254" spans="1:23" s="314" customFormat="1" ht="18" customHeight="1">
      <c r="B3254" s="313"/>
      <c r="C3254" s="302" t="s">
        <v>7323</v>
      </c>
      <c r="D3254" s="303" t="s">
        <v>7321</v>
      </c>
      <c r="E3254" s="371"/>
      <c r="F3254" s="305"/>
      <c r="G3254" s="305" t="s">
        <v>1227</v>
      </c>
      <c r="H3254" s="307" t="s">
        <v>1228</v>
      </c>
      <c r="I3254" s="308"/>
      <c r="J3254" s="306"/>
      <c r="K3254" s="315">
        <v>0</v>
      </c>
      <c r="L3254" s="310"/>
      <c r="M3254" s="310"/>
      <c r="N3254" s="310">
        <v>45524</v>
      </c>
      <c r="O3254" s="309">
        <v>6362</v>
      </c>
      <c r="P3254" s="302"/>
      <c r="Q3254" s="531">
        <v>0</v>
      </c>
      <c r="S3254" s="535">
        <v>0</v>
      </c>
      <c r="T3254" s="322">
        <v>0</v>
      </c>
      <c r="U3254" s="1115"/>
      <c r="V3254" s="494">
        <v>120</v>
      </c>
      <c r="W3254" s="2041" t="e">
        <f t="shared" si="236"/>
        <v>#DIV/0!</v>
      </c>
    </row>
    <row r="3255" spans="1:23" s="7" customFormat="1" ht="18" customHeight="1">
      <c r="B3255" s="12"/>
      <c r="C3255" s="6" t="s">
        <v>7325</v>
      </c>
      <c r="D3255" s="15" t="s">
        <v>7321</v>
      </c>
      <c r="E3255" s="20" t="s">
        <v>79</v>
      </c>
      <c r="F3255" s="150"/>
      <c r="G3255" s="24"/>
      <c r="H3255" s="151"/>
      <c r="I3255" s="152"/>
      <c r="J3255" s="151"/>
      <c r="K3255" s="34" t="s">
        <v>10</v>
      </c>
      <c r="L3255" s="39"/>
      <c r="M3255" s="39"/>
      <c r="N3255" s="39">
        <v>45524</v>
      </c>
      <c r="O3255" s="38">
        <v>6362</v>
      </c>
      <c r="P3255" s="15"/>
      <c r="Q3255" s="483"/>
      <c r="S3255" s="489"/>
      <c r="T3255" s="113"/>
      <c r="U3255" s="506"/>
      <c r="V3255" s="494">
        <v>120</v>
      </c>
      <c r="W3255" s="2041" t="e">
        <f t="shared" si="236"/>
        <v>#VALUE!</v>
      </c>
    </row>
    <row r="3256" spans="1:23" s="7" customFormat="1" ht="15" customHeight="1">
      <c r="B3256" s="12" t="s">
        <v>1858</v>
      </c>
      <c r="C3256" s="6" t="s">
        <v>7325</v>
      </c>
      <c r="D3256" s="15" t="s">
        <v>7321</v>
      </c>
      <c r="E3256" s="24">
        <v>2440</v>
      </c>
      <c r="F3256" s="150">
        <v>140</v>
      </c>
      <c r="G3256" s="24" t="s">
        <v>6781</v>
      </c>
      <c r="H3256" s="67">
        <v>48</v>
      </c>
      <c r="I3256" s="68">
        <v>1</v>
      </c>
      <c r="J3256" s="67">
        <f>H3256*I3256</f>
        <v>48</v>
      </c>
      <c r="K3256" s="46">
        <v>4.38</v>
      </c>
      <c r="L3256" s="46">
        <f>K3256*J3256</f>
        <v>210.24</v>
      </c>
      <c r="M3256" s="162" t="s">
        <v>2219</v>
      </c>
      <c r="N3256" s="39">
        <v>45524</v>
      </c>
      <c r="O3256" s="38">
        <v>6362</v>
      </c>
      <c r="P3256" s="46">
        <f>K3256*(VLOOKUP(B3256,$C$2:$F$6,3,FALSE))</f>
        <v>4.1171999999999995</v>
      </c>
      <c r="Q3256" s="703">
        <v>4.12</v>
      </c>
      <c r="R3256" s="704">
        <f>Q3256*J3256</f>
        <v>197.76</v>
      </c>
      <c r="S3256" s="7">
        <v>300</v>
      </c>
      <c r="T3256" s="567">
        <f>S3256*J3256</f>
        <v>14400</v>
      </c>
      <c r="U3256" s="882"/>
      <c r="V3256" s="494">
        <v>120</v>
      </c>
      <c r="W3256" s="2041">
        <f t="shared" si="236"/>
        <v>0.42922374429223747</v>
      </c>
    </row>
    <row r="3257" spans="1:23" s="7" customFormat="1" ht="15" customHeight="1">
      <c r="B3257" s="12" t="s">
        <v>1858</v>
      </c>
      <c r="C3257" s="6" t="s">
        <v>7325</v>
      </c>
      <c r="D3257" s="15" t="s">
        <v>7321</v>
      </c>
      <c r="E3257" s="24">
        <v>2440</v>
      </c>
      <c r="F3257" s="150">
        <v>140</v>
      </c>
      <c r="G3257" s="24" t="s">
        <v>6781</v>
      </c>
      <c r="H3257" s="67">
        <v>50</v>
      </c>
      <c r="I3257" s="68">
        <v>1</v>
      </c>
      <c r="J3257" s="67">
        <f>H3257*I3257</f>
        <v>50</v>
      </c>
      <c r="K3257" s="46">
        <v>4.38</v>
      </c>
      <c r="L3257" s="46">
        <f>K3257*J3257</f>
        <v>219</v>
      </c>
      <c r="M3257" s="162" t="s">
        <v>2219</v>
      </c>
      <c r="N3257" s="39">
        <v>45524</v>
      </c>
      <c r="O3257" s="38">
        <v>6362</v>
      </c>
      <c r="P3257" s="46">
        <f>K3257*(VLOOKUP(B3257,$C$2:$F$6,3,FALSE))</f>
        <v>4.1171999999999995</v>
      </c>
      <c r="Q3257" s="703">
        <v>4.12</v>
      </c>
      <c r="R3257" s="704">
        <f>Q3257*J3257</f>
        <v>206</v>
      </c>
      <c r="S3257" s="7">
        <v>300</v>
      </c>
      <c r="T3257" s="567">
        <f>S3257*J3257</f>
        <v>15000</v>
      </c>
      <c r="U3257" s="882"/>
      <c r="V3257" s="494">
        <v>120</v>
      </c>
      <c r="W3257" s="2041">
        <f t="shared" si="236"/>
        <v>0.42922374429223747</v>
      </c>
    </row>
    <row r="3258" spans="1:23" s="7" customFormat="1" ht="15" customHeight="1">
      <c r="B3258" s="12" t="s">
        <v>1858</v>
      </c>
      <c r="C3258" s="6" t="s">
        <v>7325</v>
      </c>
      <c r="D3258" s="15" t="s">
        <v>7321</v>
      </c>
      <c r="E3258" s="24">
        <v>2440</v>
      </c>
      <c r="F3258" s="150">
        <v>140</v>
      </c>
      <c r="G3258" s="24" t="s">
        <v>6781</v>
      </c>
      <c r="H3258" s="67">
        <v>51</v>
      </c>
      <c r="I3258" s="68">
        <v>1</v>
      </c>
      <c r="J3258" s="67">
        <f>H3258*I3258</f>
        <v>51</v>
      </c>
      <c r="K3258" s="46">
        <v>4.38</v>
      </c>
      <c r="L3258" s="46">
        <f>K3258*J3258</f>
        <v>223.38</v>
      </c>
      <c r="M3258" s="162" t="s">
        <v>2219</v>
      </c>
      <c r="N3258" s="39">
        <v>45524</v>
      </c>
      <c r="O3258" s="38">
        <v>6362</v>
      </c>
      <c r="P3258" s="46">
        <f>K3258*(VLOOKUP(B3258,$C$2:$F$6,3,FALSE))</f>
        <v>4.1171999999999995</v>
      </c>
      <c r="Q3258" s="703">
        <v>4.12</v>
      </c>
      <c r="R3258" s="704">
        <f>Q3258*J3258</f>
        <v>210.12</v>
      </c>
      <c r="S3258" s="7">
        <v>300</v>
      </c>
      <c r="T3258" s="567">
        <f>S3258*J3258</f>
        <v>15300</v>
      </c>
      <c r="U3258" s="882"/>
      <c r="V3258" s="494">
        <v>120</v>
      </c>
      <c r="W3258" s="2041">
        <f t="shared" si="236"/>
        <v>0.42922374429223747</v>
      </c>
    </row>
    <row r="3259" spans="1:23" s="7" customFormat="1" ht="15" customHeight="1">
      <c r="B3259" s="12" t="s">
        <v>1858</v>
      </c>
      <c r="C3259" s="6" t="s">
        <v>7325</v>
      </c>
      <c r="D3259" s="15" t="s">
        <v>7321</v>
      </c>
      <c r="E3259" s="24">
        <v>2440</v>
      </c>
      <c r="F3259" s="150">
        <v>140</v>
      </c>
      <c r="G3259" s="24" t="s">
        <v>6781</v>
      </c>
      <c r="H3259" s="67">
        <v>52</v>
      </c>
      <c r="I3259" s="68">
        <v>1</v>
      </c>
      <c r="J3259" s="67">
        <f>H3259*I3259</f>
        <v>52</v>
      </c>
      <c r="K3259" s="46">
        <v>4.38</v>
      </c>
      <c r="L3259" s="46">
        <f>K3259*J3259</f>
        <v>227.76</v>
      </c>
      <c r="M3259" s="162" t="s">
        <v>2219</v>
      </c>
      <c r="N3259" s="39">
        <v>45524</v>
      </c>
      <c r="O3259" s="38">
        <v>6362</v>
      </c>
      <c r="P3259" s="46">
        <f>K3259*(VLOOKUP(B3259,$C$2:$F$6,3,FALSE))</f>
        <v>4.1171999999999995</v>
      </c>
      <c r="Q3259" s="703">
        <v>4.12</v>
      </c>
      <c r="R3259" s="704">
        <f>Q3259*J3259</f>
        <v>214.24</v>
      </c>
      <c r="S3259" s="7">
        <v>300</v>
      </c>
      <c r="T3259" s="567">
        <f>S3259*J3259</f>
        <v>15600</v>
      </c>
      <c r="U3259" s="882"/>
      <c r="V3259" s="494">
        <v>120</v>
      </c>
      <c r="W3259" s="2041">
        <f t="shared" si="236"/>
        <v>0.42922374429223747</v>
      </c>
    </row>
    <row r="3260" spans="1:23" s="7" customFormat="1" ht="18" customHeight="1">
      <c r="B3260" s="12"/>
      <c r="C3260" s="6" t="s">
        <v>7325</v>
      </c>
      <c r="D3260" s="15" t="s">
        <v>7321</v>
      </c>
      <c r="E3260" s="238"/>
      <c r="F3260" s="44"/>
      <c r="G3260" s="24" t="s">
        <v>2975</v>
      </c>
      <c r="H3260" s="8"/>
      <c r="I3260" s="152" ph="1"/>
      <c r="J3260" s="45">
        <v>1</v>
      </c>
      <c r="K3260" s="46">
        <v>20</v>
      </c>
      <c r="L3260" s="46">
        <f>K3260*J3260</f>
        <v>20</v>
      </c>
      <c r="M3260" s="112"/>
      <c r="N3260" s="39">
        <v>45524</v>
      </c>
      <c r="O3260" s="38">
        <v>6362</v>
      </c>
      <c r="P3260" s="6"/>
      <c r="Q3260" s="703">
        <v>20</v>
      </c>
      <c r="R3260" s="703">
        <f>Q3260*J3260</f>
        <v>20</v>
      </c>
      <c r="S3260" s="7">
        <v>1800</v>
      </c>
      <c r="T3260" s="567">
        <f>S3260*J3260</f>
        <v>1800</v>
      </c>
      <c r="U3260" s="23"/>
      <c r="V3260" s="494">
        <v>120</v>
      </c>
      <c r="W3260" s="2041">
        <f t="shared" si="236"/>
        <v>0.25</v>
      </c>
    </row>
    <row r="3261" spans="1:23" s="314" customFormat="1" ht="15">
      <c r="B3261" s="313"/>
      <c r="C3261" s="302" t="s">
        <v>7325</v>
      </c>
      <c r="D3261" s="303" t="s">
        <v>7321</v>
      </c>
      <c r="E3261" s="304"/>
      <c r="F3261" s="305"/>
      <c r="G3261" s="305" t="s">
        <v>1227</v>
      </c>
      <c r="H3261" s="307" t="s">
        <v>1228</v>
      </c>
      <c r="I3261" s="308"/>
      <c r="J3261" s="306"/>
      <c r="K3261" s="315">
        <v>0</v>
      </c>
      <c r="L3261" s="310"/>
      <c r="M3261" s="310"/>
      <c r="N3261" s="310">
        <v>45524</v>
      </c>
      <c r="O3261" s="309">
        <v>6362</v>
      </c>
      <c r="P3261" s="302"/>
      <c r="Q3261" s="485">
        <v>0</v>
      </c>
      <c r="S3261" s="536">
        <v>0</v>
      </c>
      <c r="T3261" s="322">
        <v>0</v>
      </c>
      <c r="U3261" s="515"/>
      <c r="V3261" s="494">
        <v>120</v>
      </c>
      <c r="W3261" s="2041" t="e">
        <f t="shared" si="236"/>
        <v>#DIV/0!</v>
      </c>
    </row>
    <row r="3262" spans="1:23" s="7" customFormat="1" ht="15" customHeight="1">
      <c r="A3262" s="1"/>
      <c r="B3262" s="12"/>
      <c r="C3262" s="6" t="s">
        <v>7327</v>
      </c>
      <c r="D3262" s="15" t="s">
        <v>7328</v>
      </c>
      <c r="E3262" s="20" t="s">
        <v>7141</v>
      </c>
      <c r="F3262" s="26"/>
      <c r="G3262" s="24"/>
      <c r="H3262" s="67"/>
      <c r="I3262" s="68"/>
      <c r="J3262" s="67"/>
      <c r="K3262" s="17" t="s">
        <v>10</v>
      </c>
      <c r="L3262" s="39"/>
      <c r="M3262" s="39"/>
      <c r="N3262" s="39">
        <v>45502</v>
      </c>
      <c r="O3262" s="38">
        <v>6322</v>
      </c>
      <c r="P3262" s="180" t="e">
        <f>K3262*(VLOOKUP(B3262,$C$2:$F$6,3,FALSE))</f>
        <v>#VALUE!</v>
      </c>
      <c r="Q3262" s="483"/>
      <c r="R3262" s="704"/>
      <c r="S3262" s="489"/>
      <c r="T3262" s="113">
        <f>S3262*J3262</f>
        <v>0</v>
      </c>
      <c r="U3262" s="517"/>
      <c r="V3262" s="494">
        <v>120</v>
      </c>
      <c r="W3262" s="2041" t="e">
        <f t="shared" si="236"/>
        <v>#VALUE!</v>
      </c>
    </row>
    <row r="3263" spans="1:23" s="7" customFormat="1" ht="15.75" customHeight="1">
      <c r="A3263" s="1"/>
      <c r="B3263" s="12" t="s">
        <v>1856</v>
      </c>
      <c r="C3263" s="6" t="s">
        <v>7327</v>
      </c>
      <c r="D3263" s="15" t="s">
        <v>7328</v>
      </c>
      <c r="E3263" s="24" t="s">
        <v>7281</v>
      </c>
      <c r="F3263" s="26"/>
      <c r="G3263" s="24" t="s">
        <v>78</v>
      </c>
      <c r="H3263" s="151"/>
      <c r="I3263" s="41"/>
      <c r="J3263" s="67">
        <v>50</v>
      </c>
      <c r="K3263" s="25">
        <v>0.38</v>
      </c>
      <c r="L3263" s="46">
        <f>K3263*J3263</f>
        <v>19</v>
      </c>
      <c r="M3263" s="162" t="s">
        <v>2219</v>
      </c>
      <c r="N3263" s="39">
        <v>45502</v>
      </c>
      <c r="O3263" s="38">
        <v>6322</v>
      </c>
      <c r="P3263" s="180">
        <f>K3263*(VLOOKUP(B3263,$C$2:$F$6,3,FALSE))</f>
        <v>0.33440000000000003</v>
      </c>
      <c r="Q3263" s="483">
        <v>0.33</v>
      </c>
      <c r="R3263" s="704">
        <f>Q3263*J3263</f>
        <v>16.5</v>
      </c>
      <c r="S3263" s="489">
        <v>27</v>
      </c>
      <c r="T3263" s="113">
        <f>S3263*J3263</f>
        <v>1350</v>
      </c>
      <c r="U3263" s="517"/>
      <c r="V3263" s="494">
        <v>120</v>
      </c>
      <c r="W3263" s="2041">
        <f t="shared" si="236"/>
        <v>0.40789473684210525</v>
      </c>
    </row>
    <row r="3264" spans="1:23" s="7" customFormat="1" ht="18" customHeight="1">
      <c r="B3264" s="12"/>
      <c r="C3264" s="6" t="s">
        <v>7327</v>
      </c>
      <c r="D3264" s="15" t="s">
        <v>7328</v>
      </c>
      <c r="E3264" s="238"/>
      <c r="F3264" s="44"/>
      <c r="G3264" s="24" t="s">
        <v>2975</v>
      </c>
      <c r="H3264" s="8"/>
      <c r="I3264" s="152" ph="1"/>
      <c r="J3264" s="45">
        <v>1</v>
      </c>
      <c r="K3264" s="46">
        <v>12</v>
      </c>
      <c r="L3264" s="46">
        <f>K3264*J3264</f>
        <v>12</v>
      </c>
      <c r="M3264" s="112"/>
      <c r="N3264" s="39">
        <v>45502</v>
      </c>
      <c r="O3264" s="38">
        <v>6322</v>
      </c>
      <c r="P3264" s="6"/>
      <c r="Q3264" s="703">
        <v>12</v>
      </c>
      <c r="R3264" s="703">
        <f>Q3264*J3264</f>
        <v>12</v>
      </c>
      <c r="S3264" s="7">
        <v>0</v>
      </c>
      <c r="T3264" s="7">
        <v>0</v>
      </c>
      <c r="U3264" s="23"/>
      <c r="V3264" s="494">
        <v>120</v>
      </c>
      <c r="W3264" s="2041">
        <f t="shared" si="236"/>
        <v>1</v>
      </c>
    </row>
    <row r="3265" spans="1:23" s="314" customFormat="1" ht="18.75">
      <c r="A3265" s="1"/>
      <c r="B3265" s="313"/>
      <c r="C3265" s="302" t="s">
        <v>7327</v>
      </c>
      <c r="D3265" s="303" t="s">
        <v>7328</v>
      </c>
      <c r="E3265" s="304"/>
      <c r="F3265" s="305"/>
      <c r="G3265" s="305" t="s">
        <v>1227</v>
      </c>
      <c r="H3265" s="307" t="s">
        <v>3438</v>
      </c>
      <c r="I3265" s="308"/>
      <c r="J3265" s="306"/>
      <c r="K3265" s="329">
        <v>22</v>
      </c>
      <c r="L3265" s="329">
        <v>22</v>
      </c>
      <c r="M3265" s="310"/>
      <c r="N3265" s="310">
        <v>45502</v>
      </c>
      <c r="O3265" s="309">
        <v>6322</v>
      </c>
      <c r="P3265" s="302"/>
      <c r="Q3265" s="329">
        <v>22</v>
      </c>
      <c r="R3265" s="329">
        <v>22</v>
      </c>
      <c r="S3265" s="2072">
        <v>2362</v>
      </c>
      <c r="T3265" s="2072">
        <v>2362</v>
      </c>
      <c r="U3265" s="515"/>
      <c r="V3265" s="494">
        <v>120</v>
      </c>
      <c r="W3265" s="2041">
        <f t="shared" si="236"/>
        <v>0.1053030303030303</v>
      </c>
    </row>
    <row r="3266" spans="1:23" ht="18" customHeight="1">
      <c r="C3266" s="6"/>
      <c r="D3266" s="15" t="s">
        <v>6552</v>
      </c>
      <c r="E3266" s="20" t="s">
        <v>6478</v>
      </c>
      <c r="F3266" s="26"/>
      <c r="G3266" s="24"/>
      <c r="H3266" s="67"/>
      <c r="I3266" s="68"/>
      <c r="J3266" s="67"/>
      <c r="K3266" s="17" t="s">
        <v>134</v>
      </c>
      <c r="L3266" s="39"/>
      <c r="M3266" s="39"/>
      <c r="N3266" s="39"/>
      <c r="O3266" s="38"/>
      <c r="P3266" s="6"/>
      <c r="Q3266" s="481"/>
      <c r="S3266" s="489"/>
      <c r="T3266" s="113"/>
      <c r="U3266" s="500"/>
      <c r="V3266" s="494">
        <v>120</v>
      </c>
      <c r="W3266" s="2041" t="e">
        <f t="shared" si="236"/>
        <v>#VALUE!</v>
      </c>
    </row>
    <row r="3267" spans="1:23" ht="18" customHeight="1">
      <c r="B3267" s="28" t="s">
        <v>1856</v>
      </c>
      <c r="C3267" s="6"/>
      <c r="D3267" s="15" t="s">
        <v>6552</v>
      </c>
      <c r="E3267" s="95" t="s">
        <v>6472</v>
      </c>
      <c r="F3267" s="26"/>
      <c r="G3267" s="24" t="s">
        <v>7338</v>
      </c>
      <c r="H3267" s="67"/>
      <c r="I3267" s="68"/>
      <c r="J3267" s="8">
        <v>10</v>
      </c>
      <c r="K3267" s="25">
        <v>0.75</v>
      </c>
      <c r="L3267" s="46">
        <f>K3267*J3267</f>
        <v>7.5</v>
      </c>
      <c r="M3267" s="162" t="s">
        <v>2219</v>
      </c>
      <c r="N3267" s="39"/>
      <c r="O3267" s="38"/>
      <c r="P3267" s="46">
        <f>K3267*(VLOOKUP(B3267,$C$2:$F$6,3,FALSE))</f>
        <v>0.66</v>
      </c>
      <c r="Q3267" s="483">
        <v>0.82</v>
      </c>
      <c r="R3267" s="704">
        <f>Q3267*J3267</f>
        <v>8.1999999999999993</v>
      </c>
      <c r="S3267" s="489">
        <v>40</v>
      </c>
      <c r="T3267" s="113">
        <f>S3267*J3267</f>
        <v>400</v>
      </c>
      <c r="U3267" s="1863"/>
      <c r="V3267" s="494">
        <v>120</v>
      </c>
      <c r="W3267" s="2041">
        <f t="shared" si="236"/>
        <v>0.55555555555555558</v>
      </c>
    </row>
    <row r="3268" spans="1:23" s="7" customFormat="1" ht="18" customHeight="1">
      <c r="A3268" s="1"/>
      <c r="B3268" s="12"/>
      <c r="C3268" s="6"/>
      <c r="D3268" s="15" t="s">
        <v>6552</v>
      </c>
      <c r="E3268" s="24"/>
      <c r="F3268" s="44"/>
      <c r="G3268" s="44" t="s">
        <v>3334</v>
      </c>
      <c r="H3268" s="45"/>
      <c r="I3268" s="152" ph="1"/>
      <c r="J3268" s="45">
        <v>1</v>
      </c>
      <c r="K3268" s="46">
        <v>125</v>
      </c>
      <c r="L3268" s="46">
        <f>K3268*J3268</f>
        <v>125</v>
      </c>
      <c r="M3268" s="112"/>
      <c r="N3268" s="39"/>
      <c r="O3268" s="38"/>
      <c r="P3268" s="6"/>
      <c r="Q3268" s="483">
        <v>125</v>
      </c>
      <c r="R3268" s="704">
        <f>Q3268*J3268</f>
        <v>125</v>
      </c>
      <c r="S3268" s="489">
        <v>12000</v>
      </c>
      <c r="T3268" s="113">
        <f>S3268*J3268</f>
        <v>12000</v>
      </c>
      <c r="U3268" s="501"/>
      <c r="V3268" s="494">
        <v>120</v>
      </c>
      <c r="W3268" s="2041">
        <f t="shared" si="236"/>
        <v>0.2</v>
      </c>
    </row>
    <row r="3269" spans="1:23" s="7" customFormat="1" ht="18" customHeight="1">
      <c r="A3269" s="1"/>
      <c r="B3269" s="12"/>
      <c r="C3269" s="6"/>
      <c r="D3269" s="15" t="s">
        <v>6552</v>
      </c>
      <c r="E3269" s="24"/>
      <c r="F3269" s="44"/>
      <c r="G3269" s="44" t="s">
        <v>1949</v>
      </c>
      <c r="H3269" s="45"/>
      <c r="I3269" s="152" ph="1"/>
      <c r="J3269" s="45">
        <v>1</v>
      </c>
      <c r="K3269" s="46">
        <v>12</v>
      </c>
      <c r="L3269" s="46">
        <f>K3269*J3269</f>
        <v>12</v>
      </c>
      <c r="M3269" s="112"/>
      <c r="N3269" s="39"/>
      <c r="O3269" s="38"/>
      <c r="P3269" s="6"/>
      <c r="Q3269" s="483">
        <v>12</v>
      </c>
      <c r="R3269" s="704">
        <f>Q3269*J3269</f>
        <v>12</v>
      </c>
      <c r="S3269" s="490">
        <v>900</v>
      </c>
      <c r="T3269" s="1176">
        <f>S3269*J3269</f>
        <v>900</v>
      </c>
      <c r="U3269" s="501"/>
      <c r="V3269" s="494">
        <v>120</v>
      </c>
      <c r="W3269" s="2041">
        <f t="shared" si="236"/>
        <v>0.375</v>
      </c>
    </row>
    <row r="3270" spans="1:23" s="314" customFormat="1" ht="18" customHeight="1">
      <c r="A3270" s="1"/>
      <c r="B3270" s="313"/>
      <c r="C3270" s="302"/>
      <c r="D3270" s="303" t="s">
        <v>6552</v>
      </c>
      <c r="E3270" s="304"/>
      <c r="F3270" s="305"/>
      <c r="G3270" s="305" t="s">
        <v>1227</v>
      </c>
      <c r="H3270" s="307" t="s">
        <v>1228</v>
      </c>
      <c r="I3270" s="308"/>
      <c r="J3270" s="306"/>
      <c r="K3270" s="316">
        <v>0</v>
      </c>
      <c r="L3270" s="310"/>
      <c r="M3270" s="310"/>
      <c r="N3270" s="310"/>
      <c r="O3270" s="309"/>
      <c r="P3270" s="302"/>
      <c r="Q3270" s="485">
        <v>0</v>
      </c>
      <c r="S3270" s="536">
        <v>0</v>
      </c>
      <c r="T3270" s="322">
        <v>0</v>
      </c>
      <c r="U3270" s="515"/>
      <c r="V3270" s="494">
        <v>120</v>
      </c>
      <c r="W3270" s="2041" t="e">
        <f t="shared" si="236"/>
        <v>#DIV/0!</v>
      </c>
    </row>
    <row r="3271" spans="1:23" s="7" customFormat="1" ht="15" customHeight="1">
      <c r="B3271" s="12"/>
      <c r="C3271" s="6" t="s">
        <v>7507</v>
      </c>
      <c r="D3271" s="15" t="s">
        <v>6877</v>
      </c>
      <c r="E3271" s="20" t="s">
        <v>628</v>
      </c>
      <c r="F3271" s="26"/>
      <c r="G3271" s="24"/>
      <c r="H3271" s="67"/>
      <c r="I3271" s="318"/>
      <c r="J3271" s="67"/>
      <c r="K3271" s="17" t="s">
        <v>134</v>
      </c>
      <c r="L3271" s="39"/>
      <c r="M3271" s="39"/>
      <c r="N3271" s="39">
        <v>45509</v>
      </c>
      <c r="O3271" s="38">
        <v>6367</v>
      </c>
      <c r="P3271" s="179" t="s">
        <v>23</v>
      </c>
      <c r="Q3271" s="438" t="s">
        <v>959</v>
      </c>
      <c r="R3271" s="704"/>
      <c r="S3271" s="489"/>
      <c r="T3271" s="113"/>
      <c r="U3271" s="510"/>
      <c r="V3271" s="494">
        <v>120</v>
      </c>
      <c r="W3271" s="2041" t="e">
        <f t="shared" si="236"/>
        <v>#VALUE!</v>
      </c>
    </row>
    <row r="3272" spans="1:23" s="7" customFormat="1" ht="18" customHeight="1">
      <c r="B3272" s="12" t="s">
        <v>1856</v>
      </c>
      <c r="C3272" s="6" t="s">
        <v>7507</v>
      </c>
      <c r="D3272" s="15" t="s">
        <v>6877</v>
      </c>
      <c r="E3272" s="24">
        <v>5291</v>
      </c>
      <c r="F3272" s="26">
        <v>4</v>
      </c>
      <c r="G3272" s="24" t="s">
        <v>29</v>
      </c>
      <c r="H3272" s="67">
        <v>50</v>
      </c>
      <c r="I3272" s="68">
        <v>6</v>
      </c>
      <c r="J3272" s="67">
        <f>H3272*I3272</f>
        <v>300</v>
      </c>
      <c r="K3272" s="25">
        <v>0.13</v>
      </c>
      <c r="L3272" s="46">
        <f>K3272*J3272</f>
        <v>39</v>
      </c>
      <c r="M3272" s="162" t="s">
        <v>2219</v>
      </c>
      <c r="N3272" s="39">
        <v>45509</v>
      </c>
      <c r="O3272" s="38">
        <v>6367</v>
      </c>
      <c r="P3272" s="46">
        <f>K3272*(VLOOKUP(B3272,$C$2:$F$6,3,FALSE))</f>
        <v>0.1144</v>
      </c>
      <c r="Q3272" s="180">
        <v>0.11</v>
      </c>
      <c r="R3272" s="704">
        <f>Q3272*J3272</f>
        <v>33</v>
      </c>
      <c r="S3272" s="489">
        <v>7.7</v>
      </c>
      <c r="T3272" s="113">
        <f>S3272*J3272</f>
        <v>2310</v>
      </c>
      <c r="U3272" s="867"/>
      <c r="V3272" s="494">
        <v>120</v>
      </c>
      <c r="W3272" s="2041">
        <f t="shared" si="236"/>
        <v>0.5064102564102565</v>
      </c>
    </row>
    <row r="3273" spans="1:23" s="7" customFormat="1" ht="18" customHeight="1">
      <c r="A3273" s="1"/>
      <c r="B3273" s="12"/>
      <c r="C3273" s="6" t="s">
        <v>7507</v>
      </c>
      <c r="D3273" s="15" t="s">
        <v>6877</v>
      </c>
      <c r="E3273" s="24"/>
      <c r="F3273" s="44"/>
      <c r="G3273" s="44" t="s">
        <v>1949</v>
      </c>
      <c r="H3273" s="45"/>
      <c r="I3273" s="152" ph="1"/>
      <c r="J3273" s="45">
        <v>1</v>
      </c>
      <c r="K3273" s="46">
        <v>12</v>
      </c>
      <c r="L3273" s="46">
        <f>K3273*J3273</f>
        <v>12</v>
      </c>
      <c r="M3273" s="112"/>
      <c r="N3273" s="39">
        <v>45509</v>
      </c>
      <c r="O3273" s="38">
        <v>6367</v>
      </c>
      <c r="P3273" s="6"/>
      <c r="Q3273" s="483">
        <v>12</v>
      </c>
      <c r="R3273" s="704">
        <f>Q3273*J3273</f>
        <v>12</v>
      </c>
      <c r="S3273" s="489">
        <v>850</v>
      </c>
      <c r="T3273" s="489">
        <v>850</v>
      </c>
      <c r="U3273" s="501"/>
      <c r="V3273" s="494">
        <v>120</v>
      </c>
      <c r="W3273" s="2041">
        <f t="shared" si="236"/>
        <v>0.40972222222222221</v>
      </c>
    </row>
    <row r="3274" spans="1:23" s="314" customFormat="1" ht="15" customHeight="1">
      <c r="B3274" s="313"/>
      <c r="C3274" s="302" t="s">
        <v>7507</v>
      </c>
      <c r="D3274" s="303" t="s">
        <v>6877</v>
      </c>
      <c r="E3274" s="304"/>
      <c r="F3274" s="305"/>
      <c r="G3274" s="305" t="s">
        <v>1227</v>
      </c>
      <c r="H3274" s="410" t="s">
        <v>7508</v>
      </c>
      <c r="I3274" s="308"/>
      <c r="J3274" s="798"/>
      <c r="K3274" s="798">
        <v>26</v>
      </c>
      <c r="L3274" s="798">
        <v>26</v>
      </c>
      <c r="M3274" s="784"/>
      <c r="N3274" s="310">
        <v>45509</v>
      </c>
      <c r="O3274" s="309">
        <v>6367</v>
      </c>
      <c r="P3274" s="302"/>
      <c r="Q3274" s="798">
        <v>26</v>
      </c>
      <c r="R3274" s="798">
        <v>26</v>
      </c>
      <c r="S3274" s="113">
        <v>3097</v>
      </c>
      <c r="T3274" s="113">
        <v>3097</v>
      </c>
      <c r="U3274" s="1084"/>
      <c r="V3274" s="494">
        <v>120</v>
      </c>
      <c r="W3274" s="2041">
        <f t="shared" si="236"/>
        <v>7.3717948717948716E-3</v>
      </c>
    </row>
    <row r="3275" spans="1:23" s="7" customFormat="1" ht="15">
      <c r="B3275" s="12"/>
      <c r="C3275" s="6" t="s">
        <v>7509</v>
      </c>
      <c r="D3275" s="15" t="s">
        <v>7510</v>
      </c>
      <c r="E3275" s="20" t="s">
        <v>344</v>
      </c>
      <c r="F3275" s="26"/>
      <c r="G3275" s="24"/>
      <c r="H3275" s="67"/>
      <c r="I3275" s="68"/>
      <c r="J3275" s="67"/>
      <c r="K3275" s="17" t="s">
        <v>134</v>
      </c>
      <c r="L3275" s="39"/>
      <c r="M3275" s="39"/>
      <c r="N3275" s="39">
        <v>45509</v>
      </c>
      <c r="O3275" s="38">
        <v>6368</v>
      </c>
      <c r="P3275" s="6" t="s">
        <v>23</v>
      </c>
      <c r="Q3275" s="481"/>
      <c r="S3275" s="489"/>
      <c r="T3275" s="113"/>
      <c r="U3275" s="500"/>
      <c r="V3275" s="494">
        <v>120</v>
      </c>
      <c r="W3275" s="2041" t="e">
        <f t="shared" si="236"/>
        <v>#VALUE!</v>
      </c>
    </row>
    <row r="3276" spans="1:23" s="7" customFormat="1" ht="15.75">
      <c r="B3276" s="12" t="s">
        <v>1856</v>
      </c>
      <c r="C3276" s="6" t="s">
        <v>7509</v>
      </c>
      <c r="D3276" s="15" t="s">
        <v>7510</v>
      </c>
      <c r="E3276" s="24">
        <v>14552</v>
      </c>
      <c r="F3276" s="26">
        <v>38</v>
      </c>
      <c r="G3276" s="24" t="s">
        <v>2721</v>
      </c>
      <c r="H3276" s="151">
        <v>30</v>
      </c>
      <c r="I3276" s="152">
        <v>9</v>
      </c>
      <c r="J3276" s="67">
        <f>H3276*I3276</f>
        <v>270</v>
      </c>
      <c r="K3276" s="25">
        <v>1.78</v>
      </c>
      <c r="L3276" s="46">
        <f>K3276*J3276</f>
        <v>480.6</v>
      </c>
      <c r="M3276" s="162" t="s">
        <v>2219</v>
      </c>
      <c r="N3276" s="39">
        <v>45509</v>
      </c>
      <c r="O3276" s="38">
        <v>6368</v>
      </c>
      <c r="P3276" s="46">
        <f>K3276*(VLOOKUP(B3276,$C$2:$F$6,3,FALSE))</f>
        <v>1.5664</v>
      </c>
      <c r="Q3276" s="482">
        <v>1.57</v>
      </c>
      <c r="R3276" s="704">
        <f>Q3276*J3276</f>
        <v>423.90000000000003</v>
      </c>
      <c r="S3276" s="489">
        <v>106</v>
      </c>
      <c r="T3276" s="567">
        <f>S3276*J3276</f>
        <v>28620</v>
      </c>
      <c r="U3276" s="1784"/>
      <c r="V3276" s="494">
        <v>120</v>
      </c>
      <c r="W3276" s="2041">
        <f t="shared" si="236"/>
        <v>0.50374531835205993</v>
      </c>
    </row>
    <row r="3277" spans="1:23" s="7" customFormat="1" ht="15.75">
      <c r="B3277" s="12" t="s">
        <v>1856</v>
      </c>
      <c r="C3277" s="6" t="s">
        <v>7509</v>
      </c>
      <c r="D3277" s="15" t="s">
        <v>7510</v>
      </c>
      <c r="E3277" s="24">
        <v>14552</v>
      </c>
      <c r="F3277" s="26">
        <v>12</v>
      </c>
      <c r="G3277" s="24" t="s">
        <v>2721</v>
      </c>
      <c r="H3277" s="151">
        <v>30</v>
      </c>
      <c r="I3277" s="152">
        <v>6</v>
      </c>
      <c r="J3277" s="67">
        <f>H3277*I3277</f>
        <v>180</v>
      </c>
      <c r="K3277" s="25">
        <v>0.76</v>
      </c>
      <c r="L3277" s="46">
        <f>K3277*J3277</f>
        <v>136.80000000000001</v>
      </c>
      <c r="M3277" s="162" t="s">
        <v>2219</v>
      </c>
      <c r="N3277" s="39">
        <v>45509</v>
      </c>
      <c r="O3277" s="38">
        <v>6368</v>
      </c>
      <c r="P3277" s="46">
        <f>K3277*(VLOOKUP(B3277,$C$2:$F$6,3,FALSE))</f>
        <v>0.66880000000000006</v>
      </c>
      <c r="Q3277" s="482">
        <v>0.67</v>
      </c>
      <c r="R3277" s="704">
        <f>Q3277*J3277</f>
        <v>120.60000000000001</v>
      </c>
      <c r="S3277" s="489">
        <v>46</v>
      </c>
      <c r="T3277" s="567">
        <f>S3277*J3277</f>
        <v>8280</v>
      </c>
      <c r="U3277" s="1784"/>
      <c r="V3277" s="494">
        <v>120</v>
      </c>
      <c r="W3277" s="2041">
        <f t="shared" si="236"/>
        <v>0.49561403508771934</v>
      </c>
    </row>
    <row r="3278" spans="1:23" s="7" customFormat="1" ht="15.95" customHeight="1">
      <c r="B3278" s="12"/>
      <c r="C3278" s="6" t="s">
        <v>7509</v>
      </c>
      <c r="D3278" s="15" t="s">
        <v>7510</v>
      </c>
      <c r="E3278" s="24"/>
      <c r="F3278" s="138"/>
      <c r="G3278" s="44" t="s">
        <v>1993</v>
      </c>
      <c r="H3278" s="8"/>
      <c r="I3278" s="41"/>
      <c r="J3278" s="45">
        <v>1</v>
      </c>
      <c r="K3278" s="46">
        <v>12</v>
      </c>
      <c r="L3278" s="46">
        <f>K3278*J3278</f>
        <v>12</v>
      </c>
      <c r="M3278" s="39"/>
      <c r="N3278" s="39">
        <v>45509</v>
      </c>
      <c r="O3278" s="38">
        <v>6368</v>
      </c>
      <c r="P3278" s="6"/>
      <c r="Q3278" s="483">
        <v>12</v>
      </c>
      <c r="R3278" s="704">
        <f>Q3278*J3278</f>
        <v>12</v>
      </c>
      <c r="S3278" s="489">
        <v>0</v>
      </c>
      <c r="T3278" s="113">
        <f>S3278*J3278</f>
        <v>0</v>
      </c>
      <c r="U3278" s="501"/>
      <c r="V3278" s="494">
        <v>120</v>
      </c>
      <c r="W3278" s="2041">
        <f t="shared" si="236"/>
        <v>1</v>
      </c>
    </row>
    <row r="3279" spans="1:23" s="314" customFormat="1" ht="15.6" customHeight="1">
      <c r="B3279" s="313"/>
      <c r="C3279" s="302" t="s">
        <v>7509</v>
      </c>
      <c r="D3279" s="303" t="s">
        <v>7510</v>
      </c>
      <c r="E3279" s="371"/>
      <c r="F3279" s="305"/>
      <c r="G3279" s="305" t="s">
        <v>1227</v>
      </c>
      <c r="H3279" s="307" t="s">
        <v>1228</v>
      </c>
      <c r="I3279" s="308"/>
      <c r="J3279" s="306"/>
      <c r="K3279" s="315">
        <v>0</v>
      </c>
      <c r="L3279" s="310"/>
      <c r="M3279" s="310"/>
      <c r="N3279" s="310">
        <v>45509</v>
      </c>
      <c r="O3279" s="309">
        <v>6368</v>
      </c>
      <c r="P3279" s="302"/>
      <c r="Q3279" s="531">
        <v>0</v>
      </c>
      <c r="S3279" s="535">
        <v>0</v>
      </c>
      <c r="T3279" s="322">
        <v>0</v>
      </c>
      <c r="U3279" s="1115"/>
      <c r="V3279" s="494">
        <v>120</v>
      </c>
      <c r="W3279" s="2041" t="e">
        <f t="shared" si="236"/>
        <v>#DIV/0!</v>
      </c>
    </row>
    <row r="3280" spans="1:23" s="7" customFormat="1" ht="15">
      <c r="B3280" s="12"/>
      <c r="C3280" s="6" t="s">
        <v>7537</v>
      </c>
      <c r="D3280" s="15" t="s">
        <v>5251</v>
      </c>
      <c r="E3280" s="20" t="s">
        <v>7511</v>
      </c>
      <c r="F3280" s="26"/>
      <c r="G3280" s="24"/>
      <c r="H3280" s="67"/>
      <c r="I3280" s="68"/>
      <c r="J3280" s="67"/>
      <c r="K3280" s="17" t="s">
        <v>10</v>
      </c>
      <c r="L3280" s="213"/>
      <c r="M3280" s="39"/>
      <c r="N3280" s="39">
        <v>45516</v>
      </c>
      <c r="O3280" s="38">
        <v>6395</v>
      </c>
      <c r="P3280" s="6" t="s">
        <v>3</v>
      </c>
      <c r="Q3280" s="703"/>
      <c r="S3280" s="46"/>
      <c r="U3280" s="23"/>
      <c r="V3280" s="494">
        <v>120</v>
      </c>
      <c r="W3280" s="2041" t="e">
        <f t="shared" si="236"/>
        <v>#VALUE!</v>
      </c>
    </row>
    <row r="3281" spans="1:23" s="7" customFormat="1" ht="15.95" customHeight="1">
      <c r="B3281" s="12"/>
      <c r="C3281" s="6" t="s">
        <v>7537</v>
      </c>
      <c r="D3281" s="15" t="s">
        <v>5251</v>
      </c>
      <c r="E3281" s="24" t="s">
        <v>7512</v>
      </c>
      <c r="F3281" s="44"/>
      <c r="G3281" s="44" t="s">
        <v>7513</v>
      </c>
      <c r="H3281" s="151"/>
      <c r="I3281" s="2160"/>
      <c r="J3281" s="2316">
        <v>22.4</v>
      </c>
      <c r="K3281" s="46">
        <v>6.25</v>
      </c>
      <c r="L3281" s="46">
        <f>K3281*J3281</f>
        <v>140</v>
      </c>
      <c r="M3281" s="162" t="s">
        <v>3736</v>
      </c>
      <c r="N3281" s="39">
        <v>45516</v>
      </c>
      <c r="O3281" s="38">
        <v>6395</v>
      </c>
      <c r="P3281" s="46">
        <f>K3281*0.92</f>
        <v>5.75</v>
      </c>
      <c r="Q3281" s="2086">
        <v>5.75</v>
      </c>
      <c r="R3281" s="704">
        <f>Q3281*J3281</f>
        <v>128.79999999999998</v>
      </c>
      <c r="S3281" s="46">
        <f>K3281*0.84</f>
        <v>5.25</v>
      </c>
      <c r="T3281" s="1308">
        <f>S3281*J3281</f>
        <v>117.6</v>
      </c>
      <c r="U3281" s="46"/>
      <c r="V3281" s="494">
        <v>120</v>
      </c>
      <c r="W3281" s="2041"/>
    </row>
    <row r="3282" spans="1:23" s="7" customFormat="1" ht="15.95" customHeight="1">
      <c r="B3282" s="12"/>
      <c r="C3282" s="6" t="s">
        <v>7537</v>
      </c>
      <c r="D3282" s="15" t="s">
        <v>5251</v>
      </c>
      <c r="E3282" s="56"/>
      <c r="F3282" s="44"/>
      <c r="G3282" s="44" t="s">
        <v>3334</v>
      </c>
      <c r="H3282" s="151"/>
      <c r="I3282" s="2160"/>
      <c r="J3282" s="45">
        <v>1</v>
      </c>
      <c r="K3282" s="46">
        <v>40</v>
      </c>
      <c r="L3282" s="46">
        <f>K3282*J3282</f>
        <v>40</v>
      </c>
      <c r="M3282" s="162" t="s">
        <v>3736</v>
      </c>
      <c r="N3282" s="39">
        <v>45516</v>
      </c>
      <c r="O3282" s="38">
        <v>6395</v>
      </c>
      <c r="P3282" s="46">
        <f>K3282*0.92</f>
        <v>36.800000000000004</v>
      </c>
      <c r="Q3282" s="2086">
        <v>36.799999999999997</v>
      </c>
      <c r="R3282" s="704">
        <f>Q3282*J3282</f>
        <v>36.799999999999997</v>
      </c>
      <c r="S3282" s="46">
        <f>K3282*0.84</f>
        <v>33.6</v>
      </c>
      <c r="T3282" s="1308">
        <f>S3282*J3282</f>
        <v>33.6</v>
      </c>
      <c r="U3282" s="46"/>
      <c r="V3282" s="494">
        <v>120</v>
      </c>
      <c r="W3282" s="2041"/>
    </row>
    <row r="3283" spans="1:23" s="7" customFormat="1" ht="15.95" customHeight="1">
      <c r="B3283" s="12"/>
      <c r="C3283" s="6" t="s">
        <v>7537</v>
      </c>
      <c r="D3283" s="15" t="s">
        <v>5251</v>
      </c>
      <c r="E3283" s="24" t="s">
        <v>7512</v>
      </c>
      <c r="F3283" s="44"/>
      <c r="G3283" s="44" t="s">
        <v>6900</v>
      </c>
      <c r="H3283" s="151"/>
      <c r="I3283" s="2160"/>
      <c r="J3283" s="67">
        <v>20</v>
      </c>
      <c r="K3283" s="46">
        <v>6.25</v>
      </c>
      <c r="L3283" s="46">
        <f>K3283*J3283</f>
        <v>125</v>
      </c>
      <c r="M3283" s="162"/>
      <c r="N3283" s="2333" t="s">
        <v>96</v>
      </c>
      <c r="O3283" s="38"/>
      <c r="P3283" s="46">
        <f>K3283*0.92</f>
        <v>5.75</v>
      </c>
      <c r="Q3283" s="2086">
        <v>5.75</v>
      </c>
      <c r="R3283" s="704">
        <f>Q3283*J3283</f>
        <v>115</v>
      </c>
      <c r="S3283" s="46">
        <f>K3283*0.84</f>
        <v>5.25</v>
      </c>
      <c r="T3283" s="1308">
        <f>S3283*J3283</f>
        <v>105</v>
      </c>
      <c r="U3283" s="46"/>
      <c r="V3283" s="494">
        <v>120</v>
      </c>
      <c r="W3283" s="2041"/>
    </row>
    <row r="3284" spans="1:23" s="314" customFormat="1" ht="15.6" customHeight="1">
      <c r="B3284" s="313"/>
      <c r="C3284" s="302" t="s">
        <v>7537</v>
      </c>
      <c r="D3284" s="303" t="s">
        <v>5251</v>
      </c>
      <c r="E3284" s="371"/>
      <c r="F3284" s="305"/>
      <c r="G3284" s="305" t="s">
        <v>1227</v>
      </c>
      <c r="H3284" s="307" t="s">
        <v>5693</v>
      </c>
      <c r="I3284" s="308"/>
      <c r="J3284" s="306"/>
      <c r="K3284" s="315">
        <v>0</v>
      </c>
      <c r="L3284" s="310"/>
      <c r="M3284" s="310"/>
      <c r="N3284" s="310"/>
      <c r="O3284" s="309"/>
      <c r="P3284" s="302"/>
      <c r="Q3284" s="531">
        <v>0</v>
      </c>
      <c r="S3284" s="535">
        <v>0</v>
      </c>
      <c r="T3284" s="322">
        <v>0</v>
      </c>
      <c r="U3284" s="1115"/>
      <c r="V3284" s="494">
        <v>120</v>
      </c>
      <c r="W3284" s="2041" t="e">
        <f>(((K3284*V3284)-S3284)/(K3284*V3284))</f>
        <v>#DIV/0!</v>
      </c>
    </row>
    <row r="3285" spans="1:23" s="7" customFormat="1" ht="15">
      <c r="B3285" s="12"/>
      <c r="C3285" s="6" t="s">
        <v>7536</v>
      </c>
      <c r="D3285" s="15" t="s">
        <v>5251</v>
      </c>
      <c r="E3285" s="20" t="s">
        <v>7511</v>
      </c>
      <c r="F3285" s="26"/>
      <c r="G3285" s="24"/>
      <c r="H3285" s="67"/>
      <c r="I3285" s="68"/>
      <c r="J3285" s="67"/>
      <c r="K3285" s="17" t="s">
        <v>10</v>
      </c>
      <c r="L3285" s="213"/>
      <c r="M3285" s="39"/>
      <c r="N3285" s="39">
        <v>45544</v>
      </c>
      <c r="O3285" s="38">
        <v>6461</v>
      </c>
      <c r="P3285" s="6" t="s">
        <v>3</v>
      </c>
      <c r="Q3285" s="703"/>
      <c r="S3285" s="46"/>
      <c r="U3285" s="23"/>
      <c r="V3285" s="494">
        <v>120</v>
      </c>
      <c r="W3285" s="2041" t="e">
        <f>(((K3285*V3285)-S3285)/(K3285*V3285))</f>
        <v>#VALUE!</v>
      </c>
    </row>
    <row r="3286" spans="1:23" s="7" customFormat="1" ht="15.95" customHeight="1">
      <c r="B3286" s="12"/>
      <c r="C3286" s="6" t="s">
        <v>7536</v>
      </c>
      <c r="D3286" s="15" t="s">
        <v>5251</v>
      </c>
      <c r="E3286" s="24" t="s">
        <v>7512</v>
      </c>
      <c r="F3286" s="44"/>
      <c r="G3286" s="44" t="s">
        <v>7538</v>
      </c>
      <c r="H3286" s="151"/>
      <c r="I3286" s="2160"/>
      <c r="J3286" s="19">
        <v>21.5</v>
      </c>
      <c r="K3286" s="46">
        <v>6.25</v>
      </c>
      <c r="L3286" s="46">
        <f>K3286*J3286</f>
        <v>134.375</v>
      </c>
      <c r="M3286" s="162"/>
      <c r="N3286" s="39">
        <v>45544</v>
      </c>
      <c r="O3286" s="38">
        <v>6461</v>
      </c>
      <c r="P3286" s="46">
        <f>K3286*0.92</f>
        <v>5.75</v>
      </c>
      <c r="Q3286" s="2086">
        <v>5.75</v>
      </c>
      <c r="R3286" s="704">
        <f>Q3286*J3286</f>
        <v>123.625</v>
      </c>
      <c r="S3286" s="46">
        <f>K3286*0.84</f>
        <v>5.25</v>
      </c>
      <c r="T3286" s="1308">
        <f>S3286*J3286</f>
        <v>112.875</v>
      </c>
      <c r="U3286" s="46"/>
      <c r="V3286" s="494">
        <v>120</v>
      </c>
      <c r="W3286" s="2041"/>
    </row>
    <row r="3287" spans="1:23" s="7" customFormat="1" ht="15.95" customHeight="1">
      <c r="B3287" s="12"/>
      <c r="C3287" s="6" t="s">
        <v>7536</v>
      </c>
      <c r="D3287" s="15" t="s">
        <v>5251</v>
      </c>
      <c r="E3287" s="56"/>
      <c r="F3287" s="44"/>
      <c r="G3287" s="44" t="s">
        <v>3334</v>
      </c>
      <c r="H3287" s="151"/>
      <c r="I3287" s="2160"/>
      <c r="J3287" s="45">
        <v>1</v>
      </c>
      <c r="K3287" s="46">
        <v>40</v>
      </c>
      <c r="L3287" s="46">
        <f>K3287*J3287</f>
        <v>40</v>
      </c>
      <c r="M3287" s="162"/>
      <c r="N3287" s="39">
        <v>45544</v>
      </c>
      <c r="O3287" s="38">
        <v>6461</v>
      </c>
      <c r="P3287" s="46">
        <f>K3287*0.92</f>
        <v>36.800000000000004</v>
      </c>
      <c r="Q3287" s="2086">
        <v>36.799999999999997</v>
      </c>
      <c r="R3287" s="704">
        <f>Q3287*J3287</f>
        <v>36.799999999999997</v>
      </c>
      <c r="S3287" s="46">
        <f>K3287*0.84</f>
        <v>33.6</v>
      </c>
      <c r="T3287" s="1308">
        <f>S3287*J3287</f>
        <v>33.6</v>
      </c>
      <c r="U3287" s="46"/>
      <c r="V3287" s="494">
        <v>120</v>
      </c>
      <c r="W3287" s="2041"/>
    </row>
    <row r="3288" spans="1:23" s="314" customFormat="1" ht="15.6" customHeight="1">
      <c r="B3288" s="313"/>
      <c r="C3288" s="302" t="s">
        <v>7536</v>
      </c>
      <c r="D3288" s="303" t="s">
        <v>5251</v>
      </c>
      <c r="E3288" s="371"/>
      <c r="F3288" s="305"/>
      <c r="G3288" s="305" t="s">
        <v>1227</v>
      </c>
      <c r="H3288" s="307" t="s">
        <v>5693</v>
      </c>
      <c r="I3288" s="308"/>
      <c r="J3288" s="306"/>
      <c r="K3288" s="315">
        <v>0</v>
      </c>
      <c r="L3288" s="310"/>
      <c r="M3288" s="310"/>
      <c r="N3288" s="310">
        <v>45544</v>
      </c>
      <c r="O3288" s="309">
        <v>6461</v>
      </c>
      <c r="P3288" s="302"/>
      <c r="Q3288" s="531">
        <v>0</v>
      </c>
      <c r="S3288" s="535">
        <v>0</v>
      </c>
      <c r="T3288" s="322">
        <v>0</v>
      </c>
      <c r="U3288" s="1115"/>
      <c r="V3288" s="494">
        <v>120</v>
      </c>
      <c r="W3288" s="2041" t="e">
        <f>(((K3288*V3288)-S3288)/(K3288*V3288))</f>
        <v>#DIV/0!</v>
      </c>
    </row>
    <row r="3289" spans="1:23" s="7" customFormat="1" ht="19.5">
      <c r="B3289" s="12"/>
      <c r="C3289" s="6" t="s">
        <v>7519</v>
      </c>
      <c r="D3289" s="15" t="s">
        <v>7514</v>
      </c>
      <c r="E3289" s="20" t="s">
        <v>6898</v>
      </c>
      <c r="F3289" s="26"/>
      <c r="G3289" s="24"/>
      <c r="H3289" s="67"/>
      <c r="I3289" s="68"/>
      <c r="J3289" s="67"/>
      <c r="K3289" s="17" t="s">
        <v>7518</v>
      </c>
      <c r="L3289" s="213"/>
      <c r="M3289" s="39"/>
      <c r="N3289" s="39">
        <v>45566</v>
      </c>
      <c r="O3289" s="38">
        <v>6513</v>
      </c>
      <c r="P3289" s="6" t="s">
        <v>3</v>
      </c>
      <c r="Q3289" s="703"/>
      <c r="S3289" s="46"/>
      <c r="U3289" s="23"/>
      <c r="V3289" s="494">
        <v>120</v>
      </c>
      <c r="W3289" s="2041" t="e">
        <f>(((K3289*V3289)-S3289)/(K3289*V3289))</f>
        <v>#VALUE!</v>
      </c>
    </row>
    <row r="3290" spans="1:23" s="7" customFormat="1" ht="15.95" customHeight="1">
      <c r="B3290" s="12"/>
      <c r="C3290" s="6" t="s">
        <v>7519</v>
      </c>
      <c r="D3290" s="15" t="s">
        <v>7514</v>
      </c>
      <c r="E3290" s="24" t="s">
        <v>6899</v>
      </c>
      <c r="F3290" s="44"/>
      <c r="G3290" s="44" t="s">
        <v>7850</v>
      </c>
      <c r="H3290" s="151"/>
      <c r="I3290" s="2160"/>
      <c r="J3290" s="2087">
        <v>360</v>
      </c>
      <c r="K3290" s="46">
        <v>1.06</v>
      </c>
      <c r="L3290" s="46">
        <f>K3290*J3290</f>
        <v>381.6</v>
      </c>
      <c r="M3290" s="162"/>
      <c r="N3290" s="39">
        <v>45566</v>
      </c>
      <c r="O3290" s="38">
        <v>6513</v>
      </c>
      <c r="P3290" s="46">
        <f>K3290*0.92</f>
        <v>0.97520000000000007</v>
      </c>
      <c r="Q3290" s="2086">
        <v>0.98</v>
      </c>
      <c r="R3290" s="704">
        <f>Q3290*J3290</f>
        <v>352.8</v>
      </c>
      <c r="S3290" s="46">
        <f>K3290*0.84</f>
        <v>0.89039999999999997</v>
      </c>
      <c r="T3290" s="1308">
        <f>S3290*J3290</f>
        <v>320.54399999999998</v>
      </c>
      <c r="U3290" s="46"/>
      <c r="V3290" s="494">
        <v>120</v>
      </c>
      <c r="W3290" s="2041"/>
    </row>
    <row r="3291" spans="1:23" s="7" customFormat="1" ht="15.95" customHeight="1">
      <c r="B3291" s="12"/>
      <c r="C3291" s="6" t="s">
        <v>7519</v>
      </c>
      <c r="D3291" s="15" t="s">
        <v>7514</v>
      </c>
      <c r="E3291" s="24" t="s">
        <v>7515</v>
      </c>
      <c r="F3291" s="44"/>
      <c r="G3291" s="44" t="s">
        <v>7850</v>
      </c>
      <c r="H3291" s="151"/>
      <c r="I3291" s="2160"/>
      <c r="J3291" s="2087">
        <v>360</v>
      </c>
      <c r="K3291" s="46">
        <v>1.8</v>
      </c>
      <c r="L3291" s="46">
        <f>K3291*J3291</f>
        <v>648</v>
      </c>
      <c r="M3291" s="162"/>
      <c r="N3291" s="39">
        <v>45566</v>
      </c>
      <c r="O3291" s="38">
        <v>6513</v>
      </c>
      <c r="P3291" s="46">
        <f>K3291*0.92</f>
        <v>1.6560000000000001</v>
      </c>
      <c r="Q3291" s="2086">
        <v>1.66</v>
      </c>
      <c r="R3291" s="704">
        <f>Q3291*J3291</f>
        <v>597.6</v>
      </c>
      <c r="S3291" s="46">
        <f>K3291*0.84</f>
        <v>1.512</v>
      </c>
      <c r="T3291" s="1308">
        <f>S3291*J3291</f>
        <v>544.32000000000005</v>
      </c>
      <c r="U3291" s="46"/>
      <c r="V3291" s="494">
        <v>120</v>
      </c>
      <c r="W3291" s="2041"/>
    </row>
    <row r="3292" spans="1:23" s="7" customFormat="1" ht="15.95" customHeight="1">
      <c r="B3292" s="12"/>
      <c r="C3292" s="6" t="s">
        <v>7519</v>
      </c>
      <c r="D3292" s="15" t="s">
        <v>7514</v>
      </c>
      <c r="E3292" s="24" t="s">
        <v>7516</v>
      </c>
      <c r="F3292" s="44"/>
      <c r="G3292" s="44" t="s">
        <v>7850</v>
      </c>
      <c r="H3292" s="151"/>
      <c r="I3292" s="2160"/>
      <c r="J3292" s="2311">
        <v>540</v>
      </c>
      <c r="K3292" s="46">
        <v>5.56</v>
      </c>
      <c r="L3292" s="46">
        <f>K3292*J3292</f>
        <v>3002.3999999999996</v>
      </c>
      <c r="M3292" s="162"/>
      <c r="N3292" s="39">
        <v>45566</v>
      </c>
      <c r="O3292" s="38">
        <v>6513</v>
      </c>
      <c r="P3292" s="46">
        <f>K3292*0.92</f>
        <v>5.1151999999999997</v>
      </c>
      <c r="Q3292" s="2086">
        <v>5.12</v>
      </c>
      <c r="R3292" s="704">
        <f>Q3292*J3292</f>
        <v>2764.8</v>
      </c>
      <c r="S3292" s="46">
        <f>K3292*0.84</f>
        <v>4.6703999999999999</v>
      </c>
      <c r="T3292" s="1308">
        <f>S3292*J3292</f>
        <v>2522.0160000000001</v>
      </c>
      <c r="U3292" s="46"/>
      <c r="V3292" s="494">
        <v>120</v>
      </c>
      <c r="W3292" s="2041"/>
    </row>
    <row r="3293" spans="1:23" s="314" customFormat="1" ht="15.6" customHeight="1">
      <c r="B3293" s="313"/>
      <c r="C3293" s="302" t="s">
        <v>7519</v>
      </c>
      <c r="D3293" s="303" t="s">
        <v>7514</v>
      </c>
      <c r="E3293" s="371"/>
      <c r="F3293" s="305"/>
      <c r="G3293" s="305" t="s">
        <v>1227</v>
      </c>
      <c r="H3293" s="307" t="s">
        <v>5693</v>
      </c>
      <c r="I3293" s="308"/>
      <c r="J3293" s="306"/>
      <c r="K3293" s="315">
        <v>0</v>
      </c>
      <c r="L3293" s="310"/>
      <c r="M3293" s="310"/>
      <c r="N3293" s="310">
        <v>45566</v>
      </c>
      <c r="O3293" s="309">
        <v>6513</v>
      </c>
      <c r="P3293" s="302"/>
      <c r="Q3293" s="531">
        <v>0</v>
      </c>
      <c r="S3293" s="535">
        <v>0</v>
      </c>
      <c r="T3293" s="322">
        <v>0</v>
      </c>
      <c r="U3293" s="1115"/>
      <c r="V3293" s="494">
        <v>120</v>
      </c>
      <c r="W3293" s="2041" t="e">
        <f>(((K3293*V3293)-S3293)/(K3293*V3293))</f>
        <v>#DIV/0!</v>
      </c>
    </row>
    <row r="3294" spans="1:23" s="7" customFormat="1" ht="18" customHeight="1">
      <c r="A3294" s="1"/>
      <c r="B3294" s="12"/>
      <c r="C3294" s="6" t="s">
        <v>7525</v>
      </c>
      <c r="D3294" s="15" t="s">
        <v>6880</v>
      </c>
      <c r="E3294" s="20" t="s">
        <v>2801</v>
      </c>
      <c r="F3294" s="24"/>
      <c r="G3294" s="44"/>
      <c r="H3294" s="151"/>
      <c r="I3294" s="151"/>
      <c r="J3294" s="151"/>
      <c r="K3294" s="153" t="s">
        <v>10</v>
      </c>
      <c r="L3294" s="39"/>
      <c r="M3294" s="39"/>
      <c r="N3294" s="39">
        <v>45546</v>
      </c>
      <c r="O3294" s="38">
        <v>6424</v>
      </c>
      <c r="P3294" s="6"/>
      <c r="Q3294" s="411"/>
      <c r="S3294" s="2292" t="s">
        <v>7324</v>
      </c>
      <c r="T3294" s="113"/>
      <c r="U3294" s="501"/>
      <c r="V3294" s="494">
        <v>120</v>
      </c>
    </row>
    <row r="3295" spans="1:23" s="7" customFormat="1" ht="15.95" customHeight="1">
      <c r="A3295" s="1"/>
      <c r="B3295" s="12" t="s">
        <v>1856</v>
      </c>
      <c r="C3295" s="6" t="s">
        <v>7525</v>
      </c>
      <c r="D3295" s="15" t="s">
        <v>6880</v>
      </c>
      <c r="E3295" s="1010" t="s">
        <v>6747</v>
      </c>
      <c r="F3295" s="44"/>
      <c r="G3295" s="24" t="s">
        <v>6738</v>
      </c>
      <c r="H3295" s="8"/>
      <c r="I3295" s="41"/>
      <c r="J3295" s="67">
        <v>115</v>
      </c>
      <c r="K3295" s="1007">
        <v>2.85</v>
      </c>
      <c r="L3295" s="46">
        <f>K3295*J3295</f>
        <v>327.75</v>
      </c>
      <c r="M3295" s="162" t="s">
        <v>2219</v>
      </c>
      <c r="N3295" s="39">
        <v>45546</v>
      </c>
      <c r="O3295" s="38">
        <v>6424</v>
      </c>
      <c r="P3295" s="180">
        <f>K3295*(VLOOKUP(B3295,$C$2:$F$6,3,FALSE))</f>
        <v>2.508</v>
      </c>
      <c r="Q3295" s="483">
        <v>2.5099999999999998</v>
      </c>
      <c r="R3295" s="704">
        <f>Q3295*J3295</f>
        <v>288.64999999999998</v>
      </c>
      <c r="S3295" s="489">
        <f>135+70</f>
        <v>205</v>
      </c>
      <c r="T3295" s="113">
        <f>S3295*J3295</f>
        <v>23575</v>
      </c>
      <c r="U3295" s="517"/>
      <c r="V3295" s="494">
        <v>120</v>
      </c>
      <c r="W3295" s="2041">
        <f t="shared" ref="W3295:W3314" si="237">(((K3295*V3295)-S3295)/(K3295*V3295))</f>
        <v>0.40058479532163743</v>
      </c>
    </row>
    <row r="3296" spans="1:23" s="7" customFormat="1" ht="15.95" customHeight="1">
      <c r="A3296" s="1"/>
      <c r="B3296" s="12" t="s">
        <v>1856</v>
      </c>
      <c r="C3296" s="6" t="s">
        <v>7525</v>
      </c>
      <c r="D3296" s="15" t="s">
        <v>6880</v>
      </c>
      <c r="E3296" s="1010" t="s">
        <v>6747</v>
      </c>
      <c r="F3296" s="44"/>
      <c r="G3296" s="44" t="s">
        <v>6751</v>
      </c>
      <c r="H3296" s="8"/>
      <c r="I3296" s="41"/>
      <c r="J3296" s="67">
        <v>180</v>
      </c>
      <c r="K3296" s="1007">
        <v>2.85</v>
      </c>
      <c r="L3296" s="46">
        <f>K3296*J3296</f>
        <v>513</v>
      </c>
      <c r="M3296" s="162" t="s">
        <v>2219</v>
      </c>
      <c r="N3296" s="39">
        <v>45546</v>
      </c>
      <c r="O3296" s="38">
        <v>6424</v>
      </c>
      <c r="P3296" s="180">
        <f>K3296*(VLOOKUP(B3296,$C$2:$F$6,3,FALSE))</f>
        <v>2.508</v>
      </c>
      <c r="Q3296" s="483">
        <v>2.5099999999999998</v>
      </c>
      <c r="R3296" s="704">
        <f>Q3296*J3296</f>
        <v>451.79999999999995</v>
      </c>
      <c r="S3296" s="489">
        <f>135+70</f>
        <v>205</v>
      </c>
      <c r="T3296" s="113">
        <f>S3296*J3296</f>
        <v>36900</v>
      </c>
      <c r="U3296" s="517"/>
      <c r="V3296" s="494">
        <v>120</v>
      </c>
      <c r="W3296" s="2041">
        <f t="shared" si="237"/>
        <v>0.40058479532163743</v>
      </c>
    </row>
    <row r="3297" spans="1:23" s="7" customFormat="1" ht="18" customHeight="1">
      <c r="A3297" s="1"/>
      <c r="B3297" s="12"/>
      <c r="C3297" s="6" t="s">
        <v>7525</v>
      </c>
      <c r="D3297" s="15" t="s">
        <v>6880</v>
      </c>
      <c r="E3297" s="2252"/>
      <c r="F3297" s="44"/>
      <c r="G3297" s="44" t="s">
        <v>1949</v>
      </c>
      <c r="H3297" s="45"/>
      <c r="I3297" s="152" ph="1"/>
      <c r="J3297" s="45">
        <v>1</v>
      </c>
      <c r="K3297" s="46">
        <v>12</v>
      </c>
      <c r="L3297" s="46">
        <f>K3297*J3297</f>
        <v>12</v>
      </c>
      <c r="M3297" s="112"/>
      <c r="N3297" s="39">
        <v>45546</v>
      </c>
      <c r="O3297" s="38">
        <v>6424</v>
      </c>
      <c r="P3297" s="6"/>
      <c r="Q3297" s="483">
        <v>12</v>
      </c>
      <c r="R3297" s="704">
        <f>Q3297*J3297</f>
        <v>12</v>
      </c>
      <c r="S3297" s="489">
        <v>0</v>
      </c>
      <c r="T3297" s="113">
        <f>S3297*J3297</f>
        <v>0</v>
      </c>
      <c r="U3297" s="501"/>
      <c r="V3297" s="494">
        <v>120</v>
      </c>
      <c r="W3297" s="2041">
        <f t="shared" si="237"/>
        <v>1</v>
      </c>
    </row>
    <row r="3298" spans="1:23" s="314" customFormat="1" ht="18" customHeight="1">
      <c r="B3298" s="313"/>
      <c r="C3298" s="302" t="s">
        <v>7525</v>
      </c>
      <c r="D3298" s="303" t="s">
        <v>6880</v>
      </c>
      <c r="E3298" s="371"/>
      <c r="F3298" s="305"/>
      <c r="G3298" s="305" t="s">
        <v>1227</v>
      </c>
      <c r="H3298" s="307" t="s">
        <v>1228</v>
      </c>
      <c r="I3298" s="308"/>
      <c r="J3298" s="306"/>
      <c r="K3298" s="315">
        <v>0</v>
      </c>
      <c r="L3298" s="310"/>
      <c r="M3298" s="310"/>
      <c r="N3298" s="310">
        <v>45546</v>
      </c>
      <c r="O3298" s="309">
        <v>6424</v>
      </c>
      <c r="P3298" s="302"/>
      <c r="Q3298" s="531">
        <v>0</v>
      </c>
      <c r="S3298" s="535">
        <v>0</v>
      </c>
      <c r="T3298" s="322">
        <v>0</v>
      </c>
      <c r="U3298" s="1115"/>
      <c r="V3298" s="494">
        <v>120</v>
      </c>
      <c r="W3298" s="2041" t="e">
        <f t="shared" si="237"/>
        <v>#DIV/0!</v>
      </c>
    </row>
    <row r="3299" spans="1:23" s="7" customFormat="1" ht="15" customHeight="1">
      <c r="A3299" s="1"/>
      <c r="B3299" s="12"/>
      <c r="C3299" s="6" t="s">
        <v>7534</v>
      </c>
      <c r="D3299" s="15" t="s">
        <v>5251</v>
      </c>
      <c r="E3299" s="20" t="s">
        <v>7141</v>
      </c>
      <c r="F3299" s="26"/>
      <c r="G3299" s="24"/>
      <c r="H3299" s="67"/>
      <c r="I3299" s="68"/>
      <c r="J3299" s="67"/>
      <c r="K3299" s="17" t="s">
        <v>10</v>
      </c>
      <c r="L3299" s="39"/>
      <c r="M3299" s="39"/>
      <c r="N3299" s="39">
        <v>45513</v>
      </c>
      <c r="O3299" s="38">
        <v>6387</v>
      </c>
      <c r="P3299" s="180" t="e">
        <f>K3299*(VLOOKUP(B3299,$C$2:$F$6,3,FALSE))</f>
        <v>#VALUE!</v>
      </c>
      <c r="Q3299" s="483"/>
      <c r="R3299" s="704"/>
      <c r="S3299" s="489"/>
      <c r="T3299" s="113">
        <f>S3299*J3299</f>
        <v>0</v>
      </c>
      <c r="U3299" s="517"/>
      <c r="V3299" s="494">
        <v>120</v>
      </c>
      <c r="W3299" s="2041" t="e">
        <f t="shared" si="237"/>
        <v>#VALUE!</v>
      </c>
    </row>
    <row r="3300" spans="1:23" s="7" customFormat="1" ht="15.75" customHeight="1">
      <c r="A3300" s="1"/>
      <c r="B3300" s="12" t="s">
        <v>1856</v>
      </c>
      <c r="C3300" s="6" t="s">
        <v>7534</v>
      </c>
      <c r="D3300" s="15" t="s">
        <v>5251</v>
      </c>
      <c r="E3300" s="24" t="s">
        <v>7535</v>
      </c>
      <c r="F3300" s="26"/>
      <c r="G3300" s="24" t="s">
        <v>78</v>
      </c>
      <c r="H3300" s="151"/>
      <c r="I3300" s="41"/>
      <c r="J3300" s="67">
        <v>20</v>
      </c>
      <c r="K3300" s="25">
        <v>2.27</v>
      </c>
      <c r="L3300" s="46">
        <f>K3300*J3300</f>
        <v>45.4</v>
      </c>
      <c r="M3300" s="162" t="s">
        <v>2219</v>
      </c>
      <c r="N3300" s="39">
        <v>45513</v>
      </c>
      <c r="O3300" s="38">
        <v>6387</v>
      </c>
      <c r="P3300" s="180">
        <f>K3300*(VLOOKUP(B3300,$C$2:$F$6,3,FALSE))</f>
        <v>1.9976</v>
      </c>
      <c r="Q3300" s="483">
        <v>2</v>
      </c>
      <c r="R3300" s="704">
        <f>Q3300*J3300</f>
        <v>40</v>
      </c>
      <c r="S3300" s="489">
        <v>163</v>
      </c>
      <c r="T3300" s="113">
        <f>S3300*J3300</f>
        <v>3260</v>
      </c>
      <c r="U3300" s="517"/>
      <c r="V3300" s="494">
        <v>120</v>
      </c>
      <c r="W3300" s="2041">
        <f t="shared" si="237"/>
        <v>0.40161527165932448</v>
      </c>
    </row>
    <row r="3301" spans="1:23" s="7" customFormat="1" ht="18" customHeight="1">
      <c r="B3301" s="12"/>
      <c r="C3301" s="6" t="s">
        <v>7534</v>
      </c>
      <c r="D3301" s="15" t="s">
        <v>5251</v>
      </c>
      <c r="E3301" s="238"/>
      <c r="F3301" s="44"/>
      <c r="G3301" s="24" t="s">
        <v>2975</v>
      </c>
      <c r="H3301" s="8"/>
      <c r="I3301" s="152" ph="1"/>
      <c r="J3301" s="45">
        <v>1</v>
      </c>
      <c r="K3301" s="46">
        <v>12</v>
      </c>
      <c r="L3301" s="46">
        <f>K3301*J3301</f>
        <v>12</v>
      </c>
      <c r="M3301" s="112"/>
      <c r="N3301" s="39">
        <v>45513</v>
      </c>
      <c r="O3301" s="38">
        <v>6387</v>
      </c>
      <c r="P3301" s="6"/>
      <c r="Q3301" s="703">
        <v>12</v>
      </c>
      <c r="R3301" s="703">
        <f>Q3301*J3301</f>
        <v>12</v>
      </c>
      <c r="S3301" s="7">
        <v>900</v>
      </c>
      <c r="T3301" s="113">
        <f>S3301*J3301</f>
        <v>900</v>
      </c>
      <c r="U3301" s="23"/>
      <c r="V3301" s="494">
        <v>120</v>
      </c>
      <c r="W3301" s="2041">
        <f t="shared" si="237"/>
        <v>0.375</v>
      </c>
    </row>
    <row r="3302" spans="1:23" s="314" customFormat="1" ht="15">
      <c r="A3302" s="1"/>
      <c r="B3302" s="313"/>
      <c r="C3302" s="302" t="s">
        <v>7534</v>
      </c>
      <c r="D3302" s="303" t="s">
        <v>5251</v>
      </c>
      <c r="E3302" s="304"/>
      <c r="F3302" s="305"/>
      <c r="G3302" s="305" t="s">
        <v>1227</v>
      </c>
      <c r="H3302" s="307" t="s">
        <v>1228</v>
      </c>
      <c r="I3302" s="308"/>
      <c r="J3302" s="306"/>
      <c r="K3302" s="315">
        <v>0</v>
      </c>
      <c r="L3302" s="310"/>
      <c r="M3302" s="310"/>
      <c r="N3302" s="310">
        <v>45513</v>
      </c>
      <c r="O3302" s="309">
        <v>6387</v>
      </c>
      <c r="P3302" s="302"/>
      <c r="Q3302" s="485">
        <v>0</v>
      </c>
      <c r="S3302" s="536">
        <v>0</v>
      </c>
      <c r="T3302" s="322">
        <v>0</v>
      </c>
      <c r="U3302" s="515"/>
      <c r="V3302" s="494">
        <v>120</v>
      </c>
      <c r="W3302" s="2041" t="e">
        <f t="shared" si="237"/>
        <v>#DIV/0!</v>
      </c>
    </row>
    <row r="3303" spans="1:23" s="222" customFormat="1" ht="15" customHeight="1">
      <c r="B3303" s="232"/>
      <c r="C3303" s="220" t="s">
        <v>7544</v>
      </c>
      <c r="D3303" s="224" t="s">
        <v>6877</v>
      </c>
      <c r="E3303" s="991" t="s">
        <v>628</v>
      </c>
      <c r="F3303" s="176"/>
      <c r="G3303" s="177"/>
      <c r="H3303" s="221"/>
      <c r="I3303" s="2337"/>
      <c r="J3303" s="221"/>
      <c r="K3303" s="2338" t="s">
        <v>134</v>
      </c>
      <c r="L3303" s="994"/>
      <c r="M3303" s="994"/>
      <c r="N3303" s="376" t="s">
        <v>96</v>
      </c>
      <c r="O3303" s="376" t="s">
        <v>96</v>
      </c>
      <c r="P3303" s="2339" t="s">
        <v>23</v>
      </c>
      <c r="Q3303" s="2340" t="s">
        <v>959</v>
      </c>
      <c r="R3303" s="2231"/>
      <c r="S3303" s="493"/>
      <c r="T3303" s="566"/>
      <c r="U3303" s="2341"/>
      <c r="V3303" s="495">
        <v>120</v>
      </c>
      <c r="W3303" s="2233" t="e">
        <f t="shared" si="237"/>
        <v>#VALUE!</v>
      </c>
    </row>
    <row r="3304" spans="1:23" s="222" customFormat="1" ht="18" customHeight="1">
      <c r="B3304" s="232" t="s">
        <v>1856</v>
      </c>
      <c r="C3304" s="220" t="s">
        <v>7544</v>
      </c>
      <c r="D3304" s="224" t="s">
        <v>6877</v>
      </c>
      <c r="E3304" s="225">
        <v>5291</v>
      </c>
      <c r="F3304" s="176">
        <v>4</v>
      </c>
      <c r="G3304" s="177" t="s">
        <v>29</v>
      </c>
      <c r="H3304" s="221">
        <v>50</v>
      </c>
      <c r="I3304" s="997">
        <v>8</v>
      </c>
      <c r="J3304" s="221">
        <f>H3304*I3304</f>
        <v>400</v>
      </c>
      <c r="K3304" s="999">
        <v>0.13</v>
      </c>
      <c r="L3304" s="201">
        <f>K3304*J3304</f>
        <v>52</v>
      </c>
      <c r="M3304" s="1000" t="s">
        <v>2219</v>
      </c>
      <c r="N3304" s="376" t="s">
        <v>96</v>
      </c>
      <c r="O3304" s="376" t="s">
        <v>96</v>
      </c>
      <c r="P3304" s="201">
        <f>K3304*(VLOOKUP(B3304,$C$2:$F$6,3,FALSE))</f>
        <v>0.1144</v>
      </c>
      <c r="Q3304" s="2230">
        <v>0.11</v>
      </c>
      <c r="R3304" s="2231">
        <f>Q3304*J3304</f>
        <v>44</v>
      </c>
      <c r="S3304" s="493">
        <v>7.7</v>
      </c>
      <c r="T3304" s="566">
        <f>S3304*J3304</f>
        <v>3080</v>
      </c>
      <c r="U3304" s="2342"/>
      <c r="V3304" s="495">
        <v>120</v>
      </c>
      <c r="W3304" s="2233">
        <f t="shared" si="237"/>
        <v>0.5064102564102565</v>
      </c>
    </row>
    <row r="3305" spans="1:23" s="222" customFormat="1" ht="18" customHeight="1">
      <c r="A3305" s="1048"/>
      <c r="B3305" s="232"/>
      <c r="C3305" s="220" t="s">
        <v>7544</v>
      </c>
      <c r="D3305" s="224" t="s">
        <v>6877</v>
      </c>
      <c r="E3305" s="177"/>
      <c r="F3305" s="187"/>
      <c r="G3305" s="187" t="s">
        <v>1949</v>
      </c>
      <c r="H3305" s="1043"/>
      <c r="I3305" s="231" ph="1"/>
      <c r="J3305" s="1043">
        <v>1</v>
      </c>
      <c r="K3305" s="201">
        <v>12</v>
      </c>
      <c r="L3305" s="201">
        <f>K3305*J3305</f>
        <v>12</v>
      </c>
      <c r="M3305" s="2235"/>
      <c r="N3305" s="376" t="s">
        <v>96</v>
      </c>
      <c r="O3305" s="376" t="s">
        <v>96</v>
      </c>
      <c r="P3305" s="220"/>
      <c r="Q3305" s="484">
        <v>12</v>
      </c>
      <c r="R3305" s="2231">
        <f>Q3305*J3305</f>
        <v>12</v>
      </c>
      <c r="S3305" s="493">
        <v>850</v>
      </c>
      <c r="T3305" s="493">
        <v>850</v>
      </c>
      <c r="U3305" s="2227"/>
      <c r="V3305" s="495">
        <v>120</v>
      </c>
      <c r="W3305" s="2233">
        <f t="shared" si="237"/>
        <v>0.40972222222222221</v>
      </c>
    </row>
    <row r="3306" spans="1:23" s="1048" customFormat="1" ht="15" customHeight="1">
      <c r="B3306" s="1042"/>
      <c r="C3306" s="220" t="s">
        <v>7544</v>
      </c>
      <c r="D3306" s="224" t="s">
        <v>6877</v>
      </c>
      <c r="E3306" s="225"/>
      <c r="F3306" s="187"/>
      <c r="G3306" s="187" t="s">
        <v>1227</v>
      </c>
      <c r="H3306" s="226" t="s">
        <v>3438</v>
      </c>
      <c r="I3306" s="231"/>
      <c r="J3306" s="999"/>
      <c r="K3306" s="2343" t="s">
        <v>7545</v>
      </c>
      <c r="L3306" s="2343" t="s">
        <v>7545</v>
      </c>
      <c r="M3306" s="2235"/>
      <c r="N3306" s="376" t="s">
        <v>96</v>
      </c>
      <c r="O3306" s="376" t="s">
        <v>96</v>
      </c>
      <c r="P3306" s="220"/>
      <c r="Q3306" s="2343" t="s">
        <v>7545</v>
      </c>
      <c r="R3306" s="2343" t="s">
        <v>7545</v>
      </c>
      <c r="S3306" s="2343" t="s">
        <v>7545</v>
      </c>
      <c r="T3306" s="2343" t="s">
        <v>7545</v>
      </c>
      <c r="U3306" s="2344"/>
      <c r="V3306" s="495">
        <v>120</v>
      </c>
      <c r="W3306" s="2233" t="e">
        <f t="shared" si="237"/>
        <v>#VALUE!</v>
      </c>
    </row>
    <row r="3307" spans="1:23" ht="18" customHeight="1">
      <c r="C3307" s="6" t="s">
        <v>7554</v>
      </c>
      <c r="D3307" s="15" t="s">
        <v>6880</v>
      </c>
      <c r="E3307" s="20" t="s">
        <v>7553</v>
      </c>
      <c r="F3307" s="44"/>
      <c r="G3307" s="44"/>
      <c r="H3307" s="151"/>
      <c r="I3307" s="151"/>
      <c r="J3307" s="151"/>
      <c r="K3307" s="34" t="s">
        <v>134</v>
      </c>
      <c r="L3307" s="39"/>
      <c r="M3307" s="39"/>
      <c r="N3307" s="39">
        <v>45540</v>
      </c>
      <c r="O3307" s="38">
        <v>6446</v>
      </c>
      <c r="P3307" s="6"/>
      <c r="Q3307" s="524"/>
      <c r="S3307" s="1995"/>
      <c r="T3307" s="113"/>
      <c r="U3307" s="501"/>
      <c r="V3307" s="494">
        <v>120</v>
      </c>
      <c r="W3307" s="2041" t="e">
        <f t="shared" si="237"/>
        <v>#VALUE!</v>
      </c>
    </row>
    <row r="3308" spans="1:23" s="7" customFormat="1" ht="18" customHeight="1">
      <c r="B3308" s="12" t="s">
        <v>1856</v>
      </c>
      <c r="C3308" s="6" t="s">
        <v>7554</v>
      </c>
      <c r="D3308" s="15" t="s">
        <v>6880</v>
      </c>
      <c r="E3308" s="24" t="s">
        <v>7558</v>
      </c>
      <c r="F3308" s="26" t="s">
        <v>7556</v>
      </c>
      <c r="G3308" s="24" t="s">
        <v>7639</v>
      </c>
      <c r="H3308" s="67">
        <v>20</v>
      </c>
      <c r="I3308" s="68">
        <v>7</v>
      </c>
      <c r="J3308" s="67">
        <f t="shared" ref="J3308:J3313" si="238">H3308*I3308</f>
        <v>140</v>
      </c>
      <c r="K3308" s="25">
        <v>2.1</v>
      </c>
      <c r="L3308" s="46">
        <f t="shared" ref="L3308:L3313" si="239">K3308*J3308</f>
        <v>294</v>
      </c>
      <c r="M3308" s="162" t="s">
        <v>2219</v>
      </c>
      <c r="N3308" s="39">
        <v>45540</v>
      </c>
      <c r="O3308" s="38">
        <v>6446</v>
      </c>
      <c r="P3308" s="46">
        <f t="shared" ref="P3308:P3313" si="240">K3308*(VLOOKUP(B3308,$C$2:$F$6,3,FALSE))</f>
        <v>1.8480000000000001</v>
      </c>
      <c r="Q3308" s="180">
        <v>1.85</v>
      </c>
      <c r="R3308" s="704">
        <f t="shared" ref="R3308:R3313" si="241">Q3308*J3308</f>
        <v>259</v>
      </c>
      <c r="S3308" s="489">
        <v>126</v>
      </c>
      <c r="T3308" s="113">
        <f t="shared" ref="T3308:T3313" si="242">S3308*J3308</f>
        <v>17640</v>
      </c>
      <c r="U3308" s="867"/>
      <c r="V3308" s="494">
        <v>120</v>
      </c>
      <c r="W3308" s="2041">
        <f t="shared" si="237"/>
        <v>0.5</v>
      </c>
    </row>
    <row r="3309" spans="1:23" s="7" customFormat="1" ht="18" customHeight="1">
      <c r="B3309" s="12" t="s">
        <v>1856</v>
      </c>
      <c r="C3309" s="6" t="s">
        <v>7554</v>
      </c>
      <c r="D3309" s="15" t="s">
        <v>6880</v>
      </c>
      <c r="E3309" s="24" t="s">
        <v>7555</v>
      </c>
      <c r="F3309" s="26" t="s">
        <v>7556</v>
      </c>
      <c r="G3309" s="24" t="s">
        <v>7640</v>
      </c>
      <c r="H3309" s="67">
        <v>20</v>
      </c>
      <c r="I3309" s="68">
        <v>10</v>
      </c>
      <c r="J3309" s="67">
        <f t="shared" si="238"/>
        <v>200</v>
      </c>
      <c r="K3309" s="25">
        <v>2.1</v>
      </c>
      <c r="L3309" s="46">
        <f t="shared" si="239"/>
        <v>420</v>
      </c>
      <c r="M3309" s="162" t="s">
        <v>2219</v>
      </c>
      <c r="N3309" s="39">
        <v>45540</v>
      </c>
      <c r="O3309" s="38">
        <v>6446</v>
      </c>
      <c r="P3309" s="46">
        <f t="shared" si="240"/>
        <v>1.8480000000000001</v>
      </c>
      <c r="Q3309" s="180">
        <v>1.85</v>
      </c>
      <c r="R3309" s="704">
        <f t="shared" si="241"/>
        <v>370</v>
      </c>
      <c r="S3309" s="489">
        <v>126</v>
      </c>
      <c r="T3309" s="113">
        <f t="shared" si="242"/>
        <v>25200</v>
      </c>
      <c r="U3309" s="867"/>
      <c r="V3309" s="494">
        <v>120</v>
      </c>
      <c r="W3309" s="2041">
        <f t="shared" si="237"/>
        <v>0.5</v>
      </c>
    </row>
    <row r="3310" spans="1:23" s="7" customFormat="1" ht="18" customHeight="1">
      <c r="B3310" s="12" t="s">
        <v>1856</v>
      </c>
      <c r="C3310" s="6" t="s">
        <v>7554</v>
      </c>
      <c r="D3310" s="15" t="s">
        <v>6880</v>
      </c>
      <c r="E3310" s="24" t="s">
        <v>7555</v>
      </c>
      <c r="F3310" s="26" t="s">
        <v>7556</v>
      </c>
      <c r="G3310" s="24" t="s">
        <v>7641</v>
      </c>
      <c r="H3310" s="67">
        <v>20</v>
      </c>
      <c r="I3310" s="68">
        <v>4</v>
      </c>
      <c r="J3310" s="67">
        <f t="shared" si="238"/>
        <v>80</v>
      </c>
      <c r="K3310" s="25">
        <v>2.1</v>
      </c>
      <c r="L3310" s="46">
        <f t="shared" si="239"/>
        <v>168</v>
      </c>
      <c r="M3310" s="162" t="s">
        <v>2219</v>
      </c>
      <c r="N3310" s="39">
        <v>45540</v>
      </c>
      <c r="O3310" s="38">
        <v>6446</v>
      </c>
      <c r="P3310" s="46">
        <f t="shared" si="240"/>
        <v>1.8480000000000001</v>
      </c>
      <c r="Q3310" s="180">
        <v>1.85</v>
      </c>
      <c r="R3310" s="704">
        <f t="shared" si="241"/>
        <v>148</v>
      </c>
      <c r="S3310" s="489">
        <v>126</v>
      </c>
      <c r="T3310" s="113">
        <f t="shared" si="242"/>
        <v>10080</v>
      </c>
      <c r="U3310" s="867"/>
      <c r="V3310" s="494">
        <v>120</v>
      </c>
      <c r="W3310" s="2041">
        <f t="shared" si="237"/>
        <v>0.5</v>
      </c>
    </row>
    <row r="3311" spans="1:23" s="7" customFormat="1" ht="18" customHeight="1">
      <c r="B3311" s="12" t="s">
        <v>1856</v>
      </c>
      <c r="C3311" s="6" t="s">
        <v>7554</v>
      </c>
      <c r="D3311" s="15" t="s">
        <v>6880</v>
      </c>
      <c r="E3311" s="24" t="s">
        <v>7555</v>
      </c>
      <c r="F3311" s="26" t="s">
        <v>7556</v>
      </c>
      <c r="G3311" s="24" t="s">
        <v>7638</v>
      </c>
      <c r="H3311" s="67">
        <v>20</v>
      </c>
      <c r="I3311" s="68">
        <v>5</v>
      </c>
      <c r="J3311" s="67">
        <f t="shared" si="238"/>
        <v>100</v>
      </c>
      <c r="K3311" s="25">
        <v>2.1</v>
      </c>
      <c r="L3311" s="46">
        <f t="shared" si="239"/>
        <v>210</v>
      </c>
      <c r="M3311" s="162" t="s">
        <v>2219</v>
      </c>
      <c r="N3311" s="39">
        <v>45540</v>
      </c>
      <c r="O3311" s="38">
        <v>6446</v>
      </c>
      <c r="P3311" s="46">
        <f t="shared" si="240"/>
        <v>1.8480000000000001</v>
      </c>
      <c r="Q3311" s="180">
        <v>1.85</v>
      </c>
      <c r="R3311" s="704">
        <f t="shared" si="241"/>
        <v>185</v>
      </c>
      <c r="S3311" s="489">
        <v>126</v>
      </c>
      <c r="T3311" s="113">
        <f t="shared" si="242"/>
        <v>12600</v>
      </c>
      <c r="U3311" s="867"/>
      <c r="V3311" s="494">
        <v>120</v>
      </c>
      <c r="W3311" s="2041">
        <f t="shared" si="237"/>
        <v>0.5</v>
      </c>
    </row>
    <row r="3312" spans="1:23" s="7" customFormat="1" ht="18" customHeight="1">
      <c r="B3312" s="12" t="s">
        <v>1856</v>
      </c>
      <c r="C3312" s="6" t="s">
        <v>7554</v>
      </c>
      <c r="D3312" s="15" t="s">
        <v>6880</v>
      </c>
      <c r="E3312" s="24" t="s">
        <v>7555</v>
      </c>
      <c r="F3312" s="26" t="s">
        <v>7557</v>
      </c>
      <c r="G3312" s="24" t="s">
        <v>7639</v>
      </c>
      <c r="H3312" s="67">
        <v>20</v>
      </c>
      <c r="I3312" s="68">
        <v>6</v>
      </c>
      <c r="J3312" s="67">
        <f t="shared" si="238"/>
        <v>120</v>
      </c>
      <c r="K3312" s="25">
        <v>1.62</v>
      </c>
      <c r="L3312" s="46">
        <f t="shared" si="239"/>
        <v>194.4</v>
      </c>
      <c r="M3312" s="162" t="s">
        <v>2219</v>
      </c>
      <c r="N3312" s="39">
        <v>45540</v>
      </c>
      <c r="O3312" s="38">
        <v>6446</v>
      </c>
      <c r="P3312" s="46">
        <f t="shared" si="240"/>
        <v>1.4256000000000002</v>
      </c>
      <c r="Q3312" s="180">
        <v>1.43</v>
      </c>
      <c r="R3312" s="704">
        <f t="shared" si="241"/>
        <v>171.6</v>
      </c>
      <c r="S3312" s="489">
        <v>97</v>
      </c>
      <c r="T3312" s="113">
        <f t="shared" si="242"/>
        <v>11640</v>
      </c>
      <c r="U3312" s="867"/>
      <c r="V3312" s="494">
        <v>120</v>
      </c>
      <c r="W3312" s="2041">
        <f t="shared" si="237"/>
        <v>0.50102880658436211</v>
      </c>
    </row>
    <row r="3313" spans="1:23" s="7" customFormat="1" ht="18" customHeight="1">
      <c r="B3313" s="12" t="s">
        <v>1856</v>
      </c>
      <c r="C3313" s="6" t="s">
        <v>7554</v>
      </c>
      <c r="D3313" s="15" t="s">
        <v>6880</v>
      </c>
      <c r="E3313" s="24" t="s">
        <v>7555</v>
      </c>
      <c r="F3313" s="26" t="s">
        <v>7557</v>
      </c>
      <c r="G3313" s="24" t="s">
        <v>7640</v>
      </c>
      <c r="H3313" s="67">
        <v>20</v>
      </c>
      <c r="I3313" s="68">
        <v>18</v>
      </c>
      <c r="J3313" s="67">
        <f t="shared" si="238"/>
        <v>360</v>
      </c>
      <c r="K3313" s="25">
        <v>1.62</v>
      </c>
      <c r="L3313" s="46">
        <f t="shared" si="239"/>
        <v>583.20000000000005</v>
      </c>
      <c r="M3313" s="162" t="s">
        <v>2219</v>
      </c>
      <c r="N3313" s="39">
        <v>45540</v>
      </c>
      <c r="O3313" s="38">
        <v>6446</v>
      </c>
      <c r="P3313" s="46">
        <f t="shared" si="240"/>
        <v>1.4256000000000002</v>
      </c>
      <c r="Q3313" s="180">
        <v>1.43</v>
      </c>
      <c r="R3313" s="704">
        <f t="shared" si="241"/>
        <v>514.79999999999995</v>
      </c>
      <c r="S3313" s="489">
        <v>97</v>
      </c>
      <c r="T3313" s="113">
        <f t="shared" si="242"/>
        <v>34920</v>
      </c>
      <c r="U3313" s="867"/>
      <c r="V3313" s="494">
        <v>120</v>
      </c>
      <c r="W3313" s="2041">
        <f t="shared" si="237"/>
        <v>0.50102880658436211</v>
      </c>
    </row>
    <row r="3314" spans="1:23" s="314" customFormat="1" ht="18" customHeight="1">
      <c r="B3314" s="313"/>
      <c r="C3314" s="302" t="s">
        <v>7554</v>
      </c>
      <c r="D3314" s="303" t="s">
        <v>6880</v>
      </c>
      <c r="E3314" s="371"/>
      <c r="F3314" s="305"/>
      <c r="G3314" s="305" t="s">
        <v>1227</v>
      </c>
      <c r="H3314" s="307" t="s">
        <v>1228</v>
      </c>
      <c r="I3314" s="308"/>
      <c r="J3314" s="306"/>
      <c r="K3314" s="315">
        <v>0</v>
      </c>
      <c r="L3314" s="310"/>
      <c r="M3314" s="310"/>
      <c r="N3314" s="310">
        <v>45540</v>
      </c>
      <c r="O3314" s="309">
        <v>6446</v>
      </c>
      <c r="P3314" s="302"/>
      <c r="Q3314" s="531">
        <v>0</v>
      </c>
      <c r="S3314" s="535">
        <v>0</v>
      </c>
      <c r="T3314" s="322">
        <v>0</v>
      </c>
      <c r="U3314" s="1115"/>
      <c r="V3314" s="494">
        <v>120</v>
      </c>
      <c r="W3314" s="2041" t="e">
        <f t="shared" si="237"/>
        <v>#DIV/0!</v>
      </c>
    </row>
    <row r="3315" spans="1:23" s="7" customFormat="1" ht="18" customHeight="1">
      <c r="B3315" s="12"/>
      <c r="C3315" s="6" t="s">
        <v>7689</v>
      </c>
      <c r="D3315" s="15" t="s">
        <v>958</v>
      </c>
      <c r="E3315" s="7" t="s">
        <v>2306</v>
      </c>
      <c r="F3315" s="700"/>
      <c r="G3315" s="640"/>
      <c r="H3315" s="641"/>
      <c r="I3315" s="701"/>
      <c r="J3315" s="702"/>
      <c r="K3315" s="153" t="s">
        <v>10</v>
      </c>
      <c r="L3315" s="219"/>
      <c r="M3315" s="11"/>
      <c r="N3315" s="39">
        <v>45547</v>
      </c>
      <c r="O3315" s="38">
        <v>6468</v>
      </c>
      <c r="P3315" s="6"/>
      <c r="Q3315" s="703"/>
      <c r="U3315" s="46"/>
      <c r="V3315" s="494">
        <v>120</v>
      </c>
    </row>
    <row r="3316" spans="1:23" ht="18" customHeight="1">
      <c r="B3316" s="28" t="s">
        <v>1856</v>
      </c>
      <c r="C3316" s="6" t="s">
        <v>7689</v>
      </c>
      <c r="D3316" s="15" t="s">
        <v>958</v>
      </c>
      <c r="E3316" s="24" t="s">
        <v>18</v>
      </c>
      <c r="F3316" s="44">
        <v>30</v>
      </c>
      <c r="G3316" s="24" t="s">
        <v>7582</v>
      </c>
      <c r="H3316" s="151">
        <v>30</v>
      </c>
      <c r="I3316" s="152">
        <v>19</v>
      </c>
      <c r="J3316" s="67">
        <f>H3316*I3316</f>
        <v>570</v>
      </c>
      <c r="K3316" s="46">
        <v>4.6100000000000003</v>
      </c>
      <c r="L3316" s="46">
        <f>K3316*J3316</f>
        <v>2627.7000000000003</v>
      </c>
      <c r="M3316" s="162" t="s">
        <v>2219</v>
      </c>
      <c r="N3316" s="39">
        <v>45547</v>
      </c>
      <c r="O3316" s="38">
        <v>6468</v>
      </c>
      <c r="P3316" s="46">
        <v>3.75</v>
      </c>
      <c r="Q3316" s="482">
        <v>3.75</v>
      </c>
      <c r="R3316" s="704">
        <f>Q3316*J3316</f>
        <v>2137.5</v>
      </c>
      <c r="S3316" s="489">
        <v>230</v>
      </c>
      <c r="T3316" s="113">
        <f>S3316*J3316</f>
        <v>131100</v>
      </c>
      <c r="U3316" s="507"/>
      <c r="V3316" s="494">
        <v>120</v>
      </c>
      <c r="W3316" s="2041">
        <f t="shared" ref="W3316:W3322" si="243">(((K3316*V3316)-S3316)/(K3316*V3316))</f>
        <v>0.58423716558206795</v>
      </c>
    </row>
    <row r="3317" spans="1:23" ht="18" customHeight="1">
      <c r="B3317" s="28" t="s">
        <v>1856</v>
      </c>
      <c r="C3317" s="6" t="s">
        <v>7689</v>
      </c>
      <c r="D3317" s="15" t="s">
        <v>958</v>
      </c>
      <c r="E3317" s="24" t="s">
        <v>18</v>
      </c>
      <c r="F3317" s="44">
        <v>30</v>
      </c>
      <c r="G3317" s="24" t="s">
        <v>2727</v>
      </c>
      <c r="H3317" s="151">
        <v>30</v>
      </c>
      <c r="I3317" s="152">
        <v>7</v>
      </c>
      <c r="J3317" s="67">
        <f>H3317*I3317</f>
        <v>210</v>
      </c>
      <c r="K3317" s="46">
        <v>4.6100000000000003</v>
      </c>
      <c r="L3317" s="46">
        <f>K3317*J3317</f>
        <v>968.1</v>
      </c>
      <c r="M3317" s="162" t="s">
        <v>2219</v>
      </c>
      <c r="N3317" s="39">
        <v>45547</v>
      </c>
      <c r="O3317" s="38">
        <v>6468</v>
      </c>
      <c r="P3317" s="46">
        <v>3.75</v>
      </c>
      <c r="Q3317" s="482">
        <v>3.75</v>
      </c>
      <c r="R3317" s="704">
        <f>Q3317*J3317</f>
        <v>787.5</v>
      </c>
      <c r="S3317" s="489">
        <v>230</v>
      </c>
      <c r="T3317" s="113">
        <f>S3317*J3317</f>
        <v>48300</v>
      </c>
      <c r="U3317" s="507"/>
      <c r="V3317" s="494">
        <v>120</v>
      </c>
      <c r="W3317" s="2041">
        <f t="shared" si="243"/>
        <v>0.58423716558206795</v>
      </c>
    </row>
    <row r="3318" spans="1:23" s="314" customFormat="1" ht="18.75">
      <c r="B3318" s="313"/>
      <c r="C3318" s="302" t="s">
        <v>7689</v>
      </c>
      <c r="D3318" s="303" t="s">
        <v>958</v>
      </c>
      <c r="E3318" s="371"/>
      <c r="F3318" s="305"/>
      <c r="G3318" s="305" t="s">
        <v>1227</v>
      </c>
      <c r="H3318" s="307" t="s">
        <v>7583</v>
      </c>
      <c r="I3318" s="308"/>
      <c r="J3318" s="306">
        <v>780</v>
      </c>
      <c r="K3318" s="315">
        <f>0.35*J3318</f>
        <v>273</v>
      </c>
      <c r="L3318" s="310"/>
      <c r="M3318" s="310"/>
      <c r="N3318" s="310">
        <v>45547</v>
      </c>
      <c r="O3318" s="309">
        <v>6468</v>
      </c>
      <c r="P3318" s="302"/>
      <c r="Q3318" s="485">
        <v>273</v>
      </c>
      <c r="R3318" s="485">
        <v>273</v>
      </c>
      <c r="S3318" s="2361">
        <v>8983</v>
      </c>
      <c r="T3318" s="2361">
        <v>8983</v>
      </c>
      <c r="U3318" s="515"/>
      <c r="V3318" s="494">
        <v>120</v>
      </c>
      <c r="W3318" s="2041">
        <f t="shared" si="243"/>
        <v>0.72579365079365077</v>
      </c>
    </row>
    <row r="3319" spans="1:23" ht="15">
      <c r="C3319" s="6"/>
      <c r="D3319" s="15" t="s">
        <v>169</v>
      </c>
      <c r="E3319" s="20" t="s">
        <v>6942</v>
      </c>
      <c r="F3319" s="150"/>
      <c r="G3319" s="24"/>
      <c r="H3319" s="151"/>
      <c r="I3319" s="152"/>
      <c r="J3319" s="151"/>
      <c r="K3319" s="153" t="s">
        <v>10</v>
      </c>
      <c r="L3319" s="39"/>
      <c r="M3319" s="39"/>
      <c r="N3319" s="39"/>
      <c r="O3319" s="38"/>
      <c r="P3319" s="15"/>
      <c r="Q3319" s="483"/>
      <c r="S3319" s="2208"/>
      <c r="T3319" s="113"/>
      <c r="V3319" s="494">
        <v>120</v>
      </c>
      <c r="W3319" s="2041" t="e">
        <f t="shared" si="243"/>
        <v>#VALUE!</v>
      </c>
    </row>
    <row r="3320" spans="1:23" ht="15.75">
      <c r="B3320" s="12" t="s">
        <v>1858</v>
      </c>
      <c r="C3320" s="6"/>
      <c r="D3320" s="15" t="s">
        <v>169</v>
      </c>
      <c r="E3320" s="2334" t="s">
        <v>3315</v>
      </c>
      <c r="F3320" s="202" t="s">
        <v>6088</v>
      </c>
      <c r="G3320" s="1207"/>
      <c r="H3320" s="19">
        <v>44</v>
      </c>
      <c r="I3320" s="68">
        <v>1</v>
      </c>
      <c r="J3320" s="198">
        <f>H3320*I3320</f>
        <v>44</v>
      </c>
      <c r="K3320" s="703">
        <v>20.84</v>
      </c>
      <c r="L3320" s="46">
        <f>K3320*J3320</f>
        <v>916.96</v>
      </c>
      <c r="M3320" s="162" t="s">
        <v>2219</v>
      </c>
      <c r="N3320" s="39"/>
      <c r="O3320" s="38"/>
      <c r="P3320" s="46">
        <f>K3320*(VLOOKUP(B3320,$C$2:$F$6,3,FALSE))</f>
        <v>19.589599999999997</v>
      </c>
      <c r="Q3320" s="483">
        <v>19.59</v>
      </c>
      <c r="R3320" s="704">
        <f>Q3320*J3320</f>
        <v>861.96</v>
      </c>
      <c r="S3320" s="532">
        <v>1930</v>
      </c>
      <c r="T3320" s="567">
        <f>S3320*J3320</f>
        <v>84920</v>
      </c>
      <c r="V3320" s="494">
        <v>120</v>
      </c>
      <c r="W3320" s="2041">
        <f t="shared" si="243"/>
        <v>0.22824696097248887</v>
      </c>
    </row>
    <row r="3321" spans="1:23" s="7" customFormat="1" ht="15.95" customHeight="1">
      <c r="B3321" s="12"/>
      <c r="C3321" s="6"/>
      <c r="D3321" s="15" t="s">
        <v>169</v>
      </c>
      <c r="E3321" s="24"/>
      <c r="F3321" s="138"/>
      <c r="G3321" s="44" t="s">
        <v>1993</v>
      </c>
      <c r="H3321" s="8"/>
      <c r="I3321" s="41"/>
      <c r="J3321" s="45">
        <v>1</v>
      </c>
      <c r="K3321" s="46">
        <v>20</v>
      </c>
      <c r="L3321" s="46">
        <f>K3321*J3321</f>
        <v>20</v>
      </c>
      <c r="M3321" s="39"/>
      <c r="N3321" s="39"/>
      <c r="O3321" s="38"/>
      <c r="P3321" s="6"/>
      <c r="Q3321" s="483">
        <v>20</v>
      </c>
      <c r="R3321" s="704">
        <f>Q3321*J3321</f>
        <v>20</v>
      </c>
      <c r="S3321" s="489">
        <v>0</v>
      </c>
      <c r="T3321" s="113">
        <f>S3321*J3321</f>
        <v>0</v>
      </c>
      <c r="U3321" s="501"/>
      <c r="V3321" s="494">
        <v>120</v>
      </c>
      <c r="W3321" s="2041">
        <f t="shared" si="243"/>
        <v>1</v>
      </c>
    </row>
    <row r="3322" spans="1:23" s="314" customFormat="1" ht="15.6" customHeight="1">
      <c r="B3322" s="313"/>
      <c r="C3322" s="302"/>
      <c r="D3322" s="303" t="s">
        <v>169</v>
      </c>
      <c r="E3322" s="304"/>
      <c r="F3322" s="305"/>
      <c r="G3322" s="305" t="s">
        <v>1227</v>
      </c>
      <c r="H3322" s="307" t="s">
        <v>3438</v>
      </c>
      <c r="I3322" s="308"/>
      <c r="J3322" s="306"/>
      <c r="K3322" s="329" t="s">
        <v>7585</v>
      </c>
      <c r="L3322" s="329" t="s">
        <v>7585</v>
      </c>
      <c r="M3322" s="310"/>
      <c r="N3322" s="310"/>
      <c r="O3322" s="309"/>
      <c r="P3322" s="302"/>
      <c r="Q3322" s="329" t="s">
        <v>7585</v>
      </c>
      <c r="R3322" s="329" t="s">
        <v>7585</v>
      </c>
      <c r="S3322" s="329" t="s">
        <v>7585</v>
      </c>
      <c r="T3322" s="329" t="s">
        <v>7585</v>
      </c>
      <c r="U3322" s="515"/>
      <c r="V3322" s="494">
        <v>120</v>
      </c>
      <c r="W3322" s="2041" t="e">
        <f t="shared" si="243"/>
        <v>#VALUE!</v>
      </c>
    </row>
    <row r="3323" spans="1:23" s="7" customFormat="1" ht="18" customHeight="1">
      <c r="A3323" s="1"/>
      <c r="B3323" s="12"/>
      <c r="C3323" s="6" t="s">
        <v>7588</v>
      </c>
      <c r="D3323" s="15" t="s">
        <v>7586</v>
      </c>
      <c r="E3323" s="20" t="s">
        <v>2801</v>
      </c>
      <c r="F3323" s="24"/>
      <c r="G3323" s="44"/>
      <c r="H3323" s="151"/>
      <c r="I3323" s="151"/>
      <c r="J3323" s="151"/>
      <c r="K3323" s="153" t="s">
        <v>10</v>
      </c>
      <c r="L3323" s="39"/>
      <c r="M3323" s="39"/>
      <c r="N3323" s="39">
        <v>45527</v>
      </c>
      <c r="O3323" s="38">
        <v>6421</v>
      </c>
      <c r="P3323" s="6"/>
      <c r="Q3323" s="411"/>
      <c r="S3323" s="2292"/>
      <c r="T3323" s="113"/>
      <c r="U3323" s="501"/>
      <c r="V3323" s="494">
        <v>120</v>
      </c>
    </row>
    <row r="3324" spans="1:23" s="7" customFormat="1" ht="15.95" customHeight="1">
      <c r="A3324" s="1"/>
      <c r="B3324" s="12" t="s">
        <v>1856</v>
      </c>
      <c r="C3324" s="6" t="s">
        <v>7588</v>
      </c>
      <c r="D3324" s="15" t="s">
        <v>7586</v>
      </c>
      <c r="E3324" s="1010" t="s">
        <v>7577</v>
      </c>
      <c r="F3324" s="44"/>
      <c r="G3324" s="24" t="s">
        <v>78</v>
      </c>
      <c r="H3324" s="8"/>
      <c r="I3324" s="41"/>
      <c r="J3324" s="67">
        <v>5</v>
      </c>
      <c r="K3324" s="1007">
        <v>1.1399999999999999</v>
      </c>
      <c r="L3324" s="46">
        <f>K3324*J3324</f>
        <v>5.6999999999999993</v>
      </c>
      <c r="M3324" s="162" t="s">
        <v>2219</v>
      </c>
      <c r="N3324" s="39">
        <v>45527</v>
      </c>
      <c r="O3324" s="38">
        <v>6421</v>
      </c>
      <c r="P3324" s="180">
        <f>K3324*(VLOOKUP(B3324,$C$2:$F$6,3,FALSE))</f>
        <v>1.0031999999999999</v>
      </c>
      <c r="Q3324" s="483">
        <v>1</v>
      </c>
      <c r="R3324" s="704">
        <f>Q3324*J3324</f>
        <v>5</v>
      </c>
      <c r="S3324" s="489">
        <v>82</v>
      </c>
      <c r="T3324" s="113">
        <f>S3324*J3324</f>
        <v>410</v>
      </c>
      <c r="U3324" s="517"/>
      <c r="V3324" s="494">
        <v>120</v>
      </c>
      <c r="W3324" s="2041">
        <f>(((K3324*V3324)-S3324)/(K3324*V3324))</f>
        <v>0.40058479532163738</v>
      </c>
    </row>
    <row r="3325" spans="1:23" s="7" customFormat="1" ht="18" customHeight="1">
      <c r="A3325" s="1"/>
      <c r="B3325" s="12"/>
      <c r="C3325" s="6" t="s">
        <v>7588</v>
      </c>
      <c r="D3325" s="15" t="s">
        <v>7586</v>
      </c>
      <c r="E3325" s="24"/>
      <c r="F3325" s="44"/>
      <c r="G3325" s="44" t="s">
        <v>1949</v>
      </c>
      <c r="H3325" s="45"/>
      <c r="I3325" s="152" ph="1"/>
      <c r="J3325" s="45">
        <v>1</v>
      </c>
      <c r="K3325" s="46">
        <v>12</v>
      </c>
      <c r="L3325" s="46">
        <f>K3325*J3325</f>
        <v>12</v>
      </c>
      <c r="M3325" s="112"/>
      <c r="N3325" s="39">
        <v>45527</v>
      </c>
      <c r="O3325" s="38">
        <v>6421</v>
      </c>
      <c r="P3325" s="6"/>
      <c r="Q3325" s="483">
        <v>12</v>
      </c>
      <c r="R3325" s="704">
        <f>Q3325*J3325</f>
        <v>12</v>
      </c>
      <c r="S3325" s="489">
        <v>900</v>
      </c>
      <c r="T3325" s="489">
        <v>900</v>
      </c>
      <c r="U3325" s="501"/>
      <c r="V3325" s="494">
        <v>120</v>
      </c>
      <c r="W3325" s="2041">
        <f>(((K3325*V3325)-S3325)/(K3325*V3325))</f>
        <v>0.375</v>
      </c>
    </row>
    <row r="3326" spans="1:23" s="314" customFormat="1" ht="15.6" customHeight="1">
      <c r="B3326" s="313"/>
      <c r="C3326" s="302" t="s">
        <v>7588</v>
      </c>
      <c r="D3326" s="303" t="s">
        <v>7586</v>
      </c>
      <c r="E3326" s="304"/>
      <c r="F3326" s="305"/>
      <c r="G3326" s="305" t="s">
        <v>1227</v>
      </c>
      <c r="H3326" s="307" t="s">
        <v>3438</v>
      </c>
      <c r="I3326" s="308"/>
      <c r="J3326" s="306"/>
      <c r="K3326" s="329">
        <v>10</v>
      </c>
      <c r="L3326" s="329">
        <v>10</v>
      </c>
      <c r="M3326" s="310"/>
      <c r="N3326" s="310">
        <v>45527</v>
      </c>
      <c r="O3326" s="309">
        <v>6421</v>
      </c>
      <c r="P3326" s="302"/>
      <c r="Q3326" s="329">
        <v>10</v>
      </c>
      <c r="R3326" s="329">
        <v>10</v>
      </c>
      <c r="S3326" s="489">
        <v>1193</v>
      </c>
      <c r="T3326" s="489">
        <v>1193</v>
      </c>
      <c r="U3326" s="515"/>
      <c r="V3326" s="494">
        <v>120</v>
      </c>
      <c r="W3326" s="2041">
        <f>(((K3326*V3326)-S3326)/(K3326*V3326))</f>
        <v>5.8333333333333336E-3</v>
      </c>
    </row>
    <row r="3327" spans="1:23" ht="15">
      <c r="C3327" s="6" t="s">
        <v>7597</v>
      </c>
      <c r="D3327" s="15" t="s">
        <v>2309</v>
      </c>
      <c r="E3327" s="20" t="s">
        <v>79</v>
      </c>
      <c r="F3327" s="150"/>
      <c r="G3327" s="24"/>
      <c r="H3327" s="151"/>
      <c r="I3327" s="152"/>
      <c r="J3327" s="151"/>
      <c r="K3327" s="153" t="s">
        <v>10</v>
      </c>
      <c r="L3327" s="39"/>
      <c r="M3327" s="39"/>
      <c r="N3327" s="39">
        <v>45530</v>
      </c>
      <c r="O3327" s="38">
        <v>6426</v>
      </c>
      <c r="P3327" s="15"/>
      <c r="Q3327" s="483"/>
      <c r="S3327" s="2272"/>
      <c r="T3327" s="2272"/>
      <c r="V3327" s="494">
        <v>120</v>
      </c>
      <c r="W3327"/>
    </row>
    <row r="3328" spans="1:23" ht="15.75">
      <c r="B3328" s="12" t="s">
        <v>1858</v>
      </c>
      <c r="C3328" s="6" t="s">
        <v>7597</v>
      </c>
      <c r="D3328" s="15" t="s">
        <v>2309</v>
      </c>
      <c r="E3328" s="24">
        <v>5600</v>
      </c>
      <c r="F3328" s="150">
        <v>148</v>
      </c>
      <c r="G3328" s="24" t="s">
        <v>7598</v>
      </c>
      <c r="H3328" s="67"/>
      <c r="I3328" s="68"/>
      <c r="J3328" s="67">
        <v>8</v>
      </c>
      <c r="K3328" s="46">
        <v>8.75</v>
      </c>
      <c r="L3328" s="46">
        <f t="shared" ref="L3328:L3335" si="244">K3328*J3328</f>
        <v>70</v>
      </c>
      <c r="M3328" s="162" t="s">
        <v>2219</v>
      </c>
      <c r="N3328" s="39">
        <v>45530</v>
      </c>
      <c r="O3328" s="38">
        <v>6426</v>
      </c>
      <c r="P3328" s="46">
        <f t="shared" ref="P3328:P3333" si="245">K3328*(VLOOKUP(B3328,$C$2:$F$6,3,FALSE))</f>
        <v>8.2249999999999996</v>
      </c>
      <c r="Q3328" s="483">
        <v>8.23</v>
      </c>
      <c r="R3328" s="704">
        <f t="shared" ref="R3328:R3335" si="246">Q3328*J3328</f>
        <v>65.84</v>
      </c>
      <c r="S3328" s="532">
        <v>610</v>
      </c>
      <c r="T3328" s="567">
        <f t="shared" ref="T3328:T3335" si="247">S3328*J3328</f>
        <v>4880</v>
      </c>
      <c r="V3328" s="494">
        <v>120</v>
      </c>
      <c r="W3328" s="2041">
        <f t="shared" ref="W3328:W3359" si="248">(((K3328*V3328)-S3328)/(K3328*V3328))</f>
        <v>0.41904761904761906</v>
      </c>
    </row>
    <row r="3329" spans="2:23" ht="15.75">
      <c r="B3329" s="12" t="s">
        <v>1858</v>
      </c>
      <c r="C3329" s="6" t="s">
        <v>7597</v>
      </c>
      <c r="D3329" s="15" t="s">
        <v>2309</v>
      </c>
      <c r="E3329" s="24">
        <v>5600</v>
      </c>
      <c r="F3329" s="150">
        <v>148</v>
      </c>
      <c r="G3329" s="24" t="s">
        <v>7599</v>
      </c>
      <c r="H3329" s="67"/>
      <c r="I3329" s="68"/>
      <c r="J3329" s="67">
        <v>8</v>
      </c>
      <c r="K3329" s="46">
        <v>8.75</v>
      </c>
      <c r="L3329" s="46">
        <f t="shared" si="244"/>
        <v>70</v>
      </c>
      <c r="M3329" s="162" t="s">
        <v>2219</v>
      </c>
      <c r="N3329" s="39">
        <v>45530</v>
      </c>
      <c r="O3329" s="38">
        <v>6426</v>
      </c>
      <c r="P3329" s="46">
        <f t="shared" si="245"/>
        <v>8.2249999999999996</v>
      </c>
      <c r="Q3329" s="483">
        <v>8.23</v>
      </c>
      <c r="R3329" s="704">
        <f t="shared" si="246"/>
        <v>65.84</v>
      </c>
      <c r="S3329" s="532">
        <v>610</v>
      </c>
      <c r="T3329" s="567">
        <f t="shared" si="247"/>
        <v>4880</v>
      </c>
      <c r="V3329" s="494">
        <v>120</v>
      </c>
      <c r="W3329" s="2041">
        <f t="shared" si="248"/>
        <v>0.41904761904761906</v>
      </c>
    </row>
    <row r="3330" spans="2:23" ht="15.75">
      <c r="B3330" s="12" t="s">
        <v>1858</v>
      </c>
      <c r="C3330" s="6" t="s">
        <v>7597</v>
      </c>
      <c r="D3330" s="15" t="s">
        <v>2309</v>
      </c>
      <c r="E3330" s="24">
        <v>5600</v>
      </c>
      <c r="F3330" s="150">
        <v>148</v>
      </c>
      <c r="G3330" s="24" t="s">
        <v>7600</v>
      </c>
      <c r="H3330" s="67"/>
      <c r="I3330" s="68"/>
      <c r="J3330" s="19">
        <v>7.5</v>
      </c>
      <c r="K3330" s="46">
        <v>8.75</v>
      </c>
      <c r="L3330" s="46">
        <f t="shared" si="244"/>
        <v>65.625</v>
      </c>
      <c r="M3330" s="162" t="s">
        <v>2219</v>
      </c>
      <c r="N3330" s="39">
        <v>45530</v>
      </c>
      <c r="O3330" s="38">
        <v>6426</v>
      </c>
      <c r="P3330" s="46">
        <f t="shared" si="245"/>
        <v>8.2249999999999996</v>
      </c>
      <c r="Q3330" s="483">
        <v>8.23</v>
      </c>
      <c r="R3330" s="704">
        <f t="shared" si="246"/>
        <v>61.725000000000001</v>
      </c>
      <c r="S3330" s="532">
        <v>610</v>
      </c>
      <c r="T3330" s="567">
        <f t="shared" si="247"/>
        <v>4575</v>
      </c>
      <c r="V3330" s="494">
        <v>120</v>
      </c>
      <c r="W3330" s="2041">
        <f t="shared" si="248"/>
        <v>0.41904761904761906</v>
      </c>
    </row>
    <row r="3331" spans="2:23" ht="15.75">
      <c r="B3331" s="12" t="s">
        <v>1858</v>
      </c>
      <c r="C3331" s="6" t="s">
        <v>7597</v>
      </c>
      <c r="D3331" s="15" t="s">
        <v>2309</v>
      </c>
      <c r="E3331" s="24">
        <v>5600</v>
      </c>
      <c r="F3331" s="150">
        <v>148</v>
      </c>
      <c r="G3331" s="24" t="s">
        <v>7601</v>
      </c>
      <c r="H3331" s="67"/>
      <c r="I3331" s="68"/>
      <c r="J3331" s="67">
        <v>8</v>
      </c>
      <c r="K3331" s="46">
        <v>8.75</v>
      </c>
      <c r="L3331" s="46">
        <f t="shared" si="244"/>
        <v>70</v>
      </c>
      <c r="M3331" s="162" t="s">
        <v>2219</v>
      </c>
      <c r="N3331" s="39">
        <v>45530</v>
      </c>
      <c r="O3331" s="38">
        <v>6426</v>
      </c>
      <c r="P3331" s="46">
        <f t="shared" si="245"/>
        <v>8.2249999999999996</v>
      </c>
      <c r="Q3331" s="483">
        <v>8.23</v>
      </c>
      <c r="R3331" s="704">
        <f t="shared" si="246"/>
        <v>65.84</v>
      </c>
      <c r="S3331" s="532">
        <v>610</v>
      </c>
      <c r="T3331" s="567">
        <f t="shared" si="247"/>
        <v>4880</v>
      </c>
      <c r="V3331" s="494">
        <v>120</v>
      </c>
      <c r="W3331" s="2041">
        <f t="shared" si="248"/>
        <v>0.41904761904761906</v>
      </c>
    </row>
    <row r="3332" spans="2:23" ht="15.75">
      <c r="B3332" s="12" t="s">
        <v>1858</v>
      </c>
      <c r="C3332" s="6" t="s">
        <v>7597</v>
      </c>
      <c r="D3332" s="15" t="s">
        <v>2309</v>
      </c>
      <c r="E3332" s="24">
        <v>5600</v>
      </c>
      <c r="F3332" s="150">
        <v>148</v>
      </c>
      <c r="G3332" s="24" t="s">
        <v>7602</v>
      </c>
      <c r="H3332" s="67"/>
      <c r="I3332" s="68"/>
      <c r="J3332" s="67">
        <v>8</v>
      </c>
      <c r="K3332" s="46">
        <v>8.75</v>
      </c>
      <c r="L3332" s="46">
        <f t="shared" si="244"/>
        <v>70</v>
      </c>
      <c r="M3332" s="162" t="s">
        <v>2219</v>
      </c>
      <c r="N3332" s="39">
        <v>45530</v>
      </c>
      <c r="O3332" s="38">
        <v>6426</v>
      </c>
      <c r="P3332" s="46">
        <f t="shared" si="245"/>
        <v>8.2249999999999996</v>
      </c>
      <c r="Q3332" s="483">
        <v>8.23</v>
      </c>
      <c r="R3332" s="704">
        <f t="shared" si="246"/>
        <v>65.84</v>
      </c>
      <c r="S3332" s="532">
        <v>610</v>
      </c>
      <c r="T3332" s="567">
        <f t="shared" si="247"/>
        <v>4880</v>
      </c>
      <c r="V3332" s="494">
        <v>120</v>
      </c>
      <c r="W3332" s="2041">
        <f t="shared" si="248"/>
        <v>0.41904761904761906</v>
      </c>
    </row>
    <row r="3333" spans="2:23" ht="15.75">
      <c r="B3333" s="12" t="s">
        <v>1858</v>
      </c>
      <c r="C3333" s="6" t="s">
        <v>7597</v>
      </c>
      <c r="D3333" s="15" t="s">
        <v>2309</v>
      </c>
      <c r="E3333" s="24">
        <v>5521</v>
      </c>
      <c r="F3333" s="150">
        <v>148</v>
      </c>
      <c r="G3333" s="24" t="s">
        <v>7603</v>
      </c>
      <c r="H3333" s="67"/>
      <c r="I3333" s="68"/>
      <c r="J3333" s="67">
        <v>10</v>
      </c>
      <c r="K3333" s="46">
        <v>8.89</v>
      </c>
      <c r="L3333" s="46">
        <f t="shared" si="244"/>
        <v>88.9</v>
      </c>
      <c r="M3333" s="162" t="s">
        <v>2219</v>
      </c>
      <c r="N3333" s="39">
        <v>45530</v>
      </c>
      <c r="O3333" s="38">
        <v>6426</v>
      </c>
      <c r="P3333" s="46">
        <f t="shared" si="245"/>
        <v>8.3566000000000003</v>
      </c>
      <c r="Q3333" s="483">
        <v>8.36</v>
      </c>
      <c r="R3333" s="704">
        <f t="shared" si="246"/>
        <v>83.6</v>
      </c>
      <c r="S3333" s="532">
        <v>620</v>
      </c>
      <c r="T3333" s="567">
        <f t="shared" si="247"/>
        <v>6200</v>
      </c>
      <c r="V3333" s="494">
        <v>120</v>
      </c>
      <c r="W3333" s="2041">
        <f t="shared" si="248"/>
        <v>0.41882264716910395</v>
      </c>
    </row>
    <row r="3334" spans="2:23" s="7" customFormat="1" ht="15.95" customHeight="1">
      <c r="B3334" s="12"/>
      <c r="C3334" s="6" t="s">
        <v>7597</v>
      </c>
      <c r="D3334" s="15" t="s">
        <v>2309</v>
      </c>
      <c r="E3334" s="24"/>
      <c r="F3334" s="138"/>
      <c r="G3334" s="44" t="s">
        <v>1075</v>
      </c>
      <c r="H3334" s="8"/>
      <c r="I3334" s="41"/>
      <c r="J3334" s="45">
        <v>6</v>
      </c>
      <c r="K3334" s="46">
        <v>15</v>
      </c>
      <c r="L3334" s="46">
        <f t="shared" si="244"/>
        <v>90</v>
      </c>
      <c r="M3334" s="39"/>
      <c r="N3334" s="39">
        <v>45530</v>
      </c>
      <c r="O3334" s="38">
        <v>6426</v>
      </c>
      <c r="P3334" s="6"/>
      <c r="Q3334" s="483">
        <v>15</v>
      </c>
      <c r="R3334" s="704">
        <f t="shared" si="246"/>
        <v>90</v>
      </c>
      <c r="S3334" s="489">
        <v>1000</v>
      </c>
      <c r="T3334" s="113">
        <f t="shared" si="247"/>
        <v>6000</v>
      </c>
      <c r="U3334" s="501"/>
      <c r="V3334" s="494">
        <v>120</v>
      </c>
      <c r="W3334" s="2041">
        <f t="shared" si="248"/>
        <v>0.44444444444444442</v>
      </c>
    </row>
    <row r="3335" spans="2:23" s="7" customFormat="1" ht="15.95" customHeight="1">
      <c r="B3335" s="12"/>
      <c r="C3335" s="6" t="s">
        <v>7597</v>
      </c>
      <c r="D3335" s="15" t="s">
        <v>2309</v>
      </c>
      <c r="E3335" s="24"/>
      <c r="F3335" s="138"/>
      <c r="G3335" s="44" t="s">
        <v>1993</v>
      </c>
      <c r="H3335" s="8"/>
      <c r="I3335" s="41"/>
      <c r="J3335" s="45">
        <v>1</v>
      </c>
      <c r="K3335" s="46">
        <v>25</v>
      </c>
      <c r="L3335" s="46">
        <f t="shared" si="244"/>
        <v>25</v>
      </c>
      <c r="M3335" s="39"/>
      <c r="N3335" s="39">
        <v>45530</v>
      </c>
      <c r="O3335" s="38">
        <v>6426</v>
      </c>
      <c r="P3335" s="6"/>
      <c r="Q3335" s="483">
        <v>25</v>
      </c>
      <c r="R3335" s="704">
        <f t="shared" si="246"/>
        <v>25</v>
      </c>
      <c r="S3335" s="489">
        <v>1000</v>
      </c>
      <c r="T3335" s="113">
        <f t="shared" si="247"/>
        <v>1000</v>
      </c>
      <c r="U3335" s="501"/>
      <c r="V3335" s="494">
        <v>120</v>
      </c>
      <c r="W3335" s="2041">
        <f t="shared" si="248"/>
        <v>0.66666666666666663</v>
      </c>
    </row>
    <row r="3336" spans="2:23" s="314" customFormat="1" ht="17.25">
      <c r="B3336" s="313"/>
      <c r="C3336" s="302" t="s">
        <v>7597</v>
      </c>
      <c r="D3336" s="303" t="s">
        <v>2309</v>
      </c>
      <c r="E3336" s="304"/>
      <c r="F3336" s="305"/>
      <c r="G3336" s="305" t="s">
        <v>1227</v>
      </c>
      <c r="H3336" s="307" t="s">
        <v>1243</v>
      </c>
      <c r="I3336" s="308"/>
      <c r="J3336" s="306"/>
      <c r="K3336" s="329">
        <v>70</v>
      </c>
      <c r="L3336" s="329">
        <v>70</v>
      </c>
      <c r="M3336" s="310"/>
      <c r="N3336" s="310">
        <v>45530</v>
      </c>
      <c r="O3336" s="309">
        <v>6426</v>
      </c>
      <c r="P3336" s="685"/>
      <c r="Q3336" s="329">
        <v>70</v>
      </c>
      <c r="R3336" s="329">
        <v>70</v>
      </c>
      <c r="S3336" s="2291">
        <v>8345</v>
      </c>
      <c r="T3336" s="2291">
        <v>8345</v>
      </c>
      <c r="U3336" s="688"/>
      <c r="V3336" s="494">
        <v>120</v>
      </c>
      <c r="W3336" s="2041">
        <f t="shared" si="248"/>
        <v>6.5476190476190478E-3</v>
      </c>
    </row>
    <row r="3337" spans="2:23" ht="15">
      <c r="C3337" s="6" t="s">
        <v>7604</v>
      </c>
      <c r="D3337" s="15" t="s">
        <v>11</v>
      </c>
      <c r="E3337" s="20" t="s">
        <v>79</v>
      </c>
      <c r="F3337" s="150"/>
      <c r="G3337" s="24"/>
      <c r="H3337" s="151"/>
      <c r="I3337" s="152"/>
      <c r="J3337" s="151"/>
      <c r="K3337" s="153" t="s">
        <v>10</v>
      </c>
      <c r="L3337" s="39"/>
      <c r="M3337" s="39"/>
      <c r="N3337" s="39">
        <v>45555</v>
      </c>
      <c r="O3337" s="38">
        <v>6445</v>
      </c>
      <c r="P3337" s="15"/>
      <c r="Q3337" s="483"/>
      <c r="S3337" s="2208"/>
      <c r="T3337" s="113"/>
      <c r="V3337" s="494">
        <v>120</v>
      </c>
      <c r="W3337" s="2041" t="e">
        <f t="shared" si="248"/>
        <v>#VALUE!</v>
      </c>
    </row>
    <row r="3338" spans="2:23" ht="15.75">
      <c r="B3338" s="12" t="s">
        <v>1858</v>
      </c>
      <c r="C3338" s="6" t="s">
        <v>7604</v>
      </c>
      <c r="D3338" s="15" t="s">
        <v>11</v>
      </c>
      <c r="E3338" s="24">
        <v>2440</v>
      </c>
      <c r="F3338" s="150">
        <v>140</v>
      </c>
      <c r="G3338" s="24" t="s">
        <v>7605</v>
      </c>
      <c r="H3338" s="67">
        <v>58</v>
      </c>
      <c r="I3338" s="68">
        <v>4</v>
      </c>
      <c r="J3338" s="67">
        <f t="shared" ref="J3338:J3355" si="249">H3338*I3338</f>
        <v>232</v>
      </c>
      <c r="K3338" s="46">
        <v>3.89</v>
      </c>
      <c r="L3338" s="46">
        <f t="shared" ref="L3338:L3355" si="250">K3338*J3338</f>
        <v>902.48</v>
      </c>
      <c r="M3338" s="162" t="s">
        <v>2219</v>
      </c>
      <c r="N3338" s="39">
        <v>45555</v>
      </c>
      <c r="O3338" s="38">
        <v>6445</v>
      </c>
      <c r="P3338" s="46">
        <f t="shared" ref="P3338:P3355" si="251">K3338*(VLOOKUP(B3338,$C$2:$F$6,3,FALSE))</f>
        <v>3.6566000000000001</v>
      </c>
      <c r="Q3338" s="483">
        <v>3.66</v>
      </c>
      <c r="R3338" s="704">
        <f t="shared" ref="R3338:R3357" si="252">Q3338*J3338</f>
        <v>849.12</v>
      </c>
      <c r="S3338" s="489">
        <v>300</v>
      </c>
      <c r="T3338" s="567">
        <f t="shared" ref="T3338:T3355" si="253">S3338*J3338</f>
        <v>69600</v>
      </c>
      <c r="V3338" s="494">
        <v>120</v>
      </c>
      <c r="W3338" s="2041">
        <f t="shared" si="248"/>
        <v>0.35732647814910029</v>
      </c>
    </row>
    <row r="3339" spans="2:23" ht="15.75">
      <c r="B3339" s="12" t="s">
        <v>1858</v>
      </c>
      <c r="C3339" s="6" t="s">
        <v>7604</v>
      </c>
      <c r="D3339" s="15" t="s">
        <v>11</v>
      </c>
      <c r="E3339" s="24">
        <v>2440</v>
      </c>
      <c r="F3339" s="150">
        <v>140</v>
      </c>
      <c r="G3339" s="24" t="s">
        <v>30</v>
      </c>
      <c r="H3339" s="67">
        <v>58</v>
      </c>
      <c r="I3339" s="68">
        <v>3</v>
      </c>
      <c r="J3339" s="67">
        <f t="shared" si="249"/>
        <v>174</v>
      </c>
      <c r="K3339" s="46">
        <v>3.89</v>
      </c>
      <c r="L3339" s="46">
        <f t="shared" si="250"/>
        <v>676.86</v>
      </c>
      <c r="M3339" s="162" t="s">
        <v>2219</v>
      </c>
      <c r="N3339" s="39">
        <v>45555</v>
      </c>
      <c r="O3339" s="38">
        <v>6445</v>
      </c>
      <c r="P3339" s="46">
        <f t="shared" si="251"/>
        <v>3.6566000000000001</v>
      </c>
      <c r="Q3339" s="483">
        <v>3.66</v>
      </c>
      <c r="R3339" s="704">
        <f t="shared" si="252"/>
        <v>636.84</v>
      </c>
      <c r="S3339" s="489">
        <v>300</v>
      </c>
      <c r="T3339" s="567">
        <f t="shared" si="253"/>
        <v>52200</v>
      </c>
      <c r="V3339" s="494">
        <v>120</v>
      </c>
      <c r="W3339" s="2041">
        <f t="shared" si="248"/>
        <v>0.35732647814910029</v>
      </c>
    </row>
    <row r="3340" spans="2:23" ht="15.75">
      <c r="B3340" s="12" t="s">
        <v>1858</v>
      </c>
      <c r="C3340" s="6" t="s">
        <v>7604</v>
      </c>
      <c r="D3340" s="15" t="s">
        <v>11</v>
      </c>
      <c r="E3340" s="24">
        <v>2440</v>
      </c>
      <c r="F3340" s="150">
        <v>140</v>
      </c>
      <c r="G3340" s="24" t="s">
        <v>7607</v>
      </c>
      <c r="H3340" s="67">
        <v>58</v>
      </c>
      <c r="I3340" s="68">
        <v>1</v>
      </c>
      <c r="J3340" s="67">
        <f t="shared" si="249"/>
        <v>58</v>
      </c>
      <c r="K3340" s="46">
        <v>3.89</v>
      </c>
      <c r="L3340" s="46">
        <f t="shared" si="250"/>
        <v>225.62</v>
      </c>
      <c r="M3340" s="162" t="s">
        <v>2219</v>
      </c>
      <c r="N3340" s="39">
        <v>45555</v>
      </c>
      <c r="O3340" s="38">
        <v>6445</v>
      </c>
      <c r="P3340" s="46">
        <f t="shared" si="251"/>
        <v>3.6566000000000001</v>
      </c>
      <c r="Q3340" s="483">
        <v>3.66</v>
      </c>
      <c r="R3340" s="704">
        <f t="shared" si="252"/>
        <v>212.28</v>
      </c>
      <c r="S3340" s="489">
        <v>300</v>
      </c>
      <c r="T3340" s="567">
        <f t="shared" si="253"/>
        <v>17400</v>
      </c>
      <c r="V3340" s="494">
        <v>120</v>
      </c>
      <c r="W3340" s="2041">
        <f t="shared" si="248"/>
        <v>0.35732647814910029</v>
      </c>
    </row>
    <row r="3341" spans="2:23" ht="15.75">
      <c r="B3341" s="12" t="s">
        <v>1858</v>
      </c>
      <c r="C3341" s="6" t="s">
        <v>7604</v>
      </c>
      <c r="D3341" s="15" t="s">
        <v>11</v>
      </c>
      <c r="E3341" s="24">
        <v>2440</v>
      </c>
      <c r="F3341" s="150">
        <v>140</v>
      </c>
      <c r="G3341" s="24" t="s">
        <v>7608</v>
      </c>
      <c r="H3341" s="67">
        <v>58</v>
      </c>
      <c r="I3341" s="68">
        <v>1</v>
      </c>
      <c r="J3341" s="67">
        <f t="shared" si="249"/>
        <v>58</v>
      </c>
      <c r="K3341" s="46">
        <v>3.89</v>
      </c>
      <c r="L3341" s="46">
        <f t="shared" si="250"/>
        <v>225.62</v>
      </c>
      <c r="M3341" s="162" t="s">
        <v>2219</v>
      </c>
      <c r="N3341" s="39">
        <v>45555</v>
      </c>
      <c r="O3341" s="38">
        <v>6445</v>
      </c>
      <c r="P3341" s="46">
        <f t="shared" si="251"/>
        <v>3.6566000000000001</v>
      </c>
      <c r="Q3341" s="483">
        <v>3.66</v>
      </c>
      <c r="R3341" s="704">
        <f t="shared" si="252"/>
        <v>212.28</v>
      </c>
      <c r="S3341" s="489">
        <v>300</v>
      </c>
      <c r="T3341" s="567">
        <f t="shared" si="253"/>
        <v>17400</v>
      </c>
      <c r="V3341" s="494">
        <v>120</v>
      </c>
      <c r="W3341" s="2041">
        <f t="shared" si="248"/>
        <v>0.35732647814910029</v>
      </c>
    </row>
    <row r="3342" spans="2:23" ht="15.75">
      <c r="B3342" s="12" t="s">
        <v>1858</v>
      </c>
      <c r="C3342" s="6" t="s">
        <v>7604</v>
      </c>
      <c r="D3342" s="15" t="s">
        <v>11</v>
      </c>
      <c r="E3342" s="24">
        <v>2440</v>
      </c>
      <c r="F3342" s="150">
        <v>140</v>
      </c>
      <c r="G3342" s="24" t="s">
        <v>7609</v>
      </c>
      <c r="H3342" s="67">
        <v>58</v>
      </c>
      <c r="I3342" s="68">
        <v>1</v>
      </c>
      <c r="J3342" s="67">
        <f t="shared" si="249"/>
        <v>58</v>
      </c>
      <c r="K3342" s="46">
        <v>3.89</v>
      </c>
      <c r="L3342" s="46">
        <f t="shared" si="250"/>
        <v>225.62</v>
      </c>
      <c r="M3342" s="162" t="s">
        <v>2219</v>
      </c>
      <c r="N3342" s="39">
        <v>45555</v>
      </c>
      <c r="O3342" s="38">
        <v>6445</v>
      </c>
      <c r="P3342" s="46">
        <f t="shared" si="251"/>
        <v>3.6566000000000001</v>
      </c>
      <c r="Q3342" s="483">
        <v>3.66</v>
      </c>
      <c r="R3342" s="704">
        <f t="shared" si="252"/>
        <v>212.28</v>
      </c>
      <c r="S3342" s="489">
        <v>300</v>
      </c>
      <c r="T3342" s="567">
        <f t="shared" si="253"/>
        <v>17400</v>
      </c>
      <c r="V3342" s="494">
        <v>120</v>
      </c>
      <c r="W3342" s="2041">
        <f t="shared" si="248"/>
        <v>0.35732647814910029</v>
      </c>
    </row>
    <row r="3343" spans="2:23" ht="15.75">
      <c r="B3343" s="12" t="s">
        <v>1858</v>
      </c>
      <c r="C3343" s="6" t="s">
        <v>7604</v>
      </c>
      <c r="D3343" s="15" t="s">
        <v>11</v>
      </c>
      <c r="E3343" s="24">
        <v>2440</v>
      </c>
      <c r="F3343" s="150">
        <v>140</v>
      </c>
      <c r="G3343" s="24" t="s">
        <v>7610</v>
      </c>
      <c r="H3343" s="67">
        <v>58</v>
      </c>
      <c r="I3343" s="68">
        <v>3</v>
      </c>
      <c r="J3343" s="67">
        <f t="shared" si="249"/>
        <v>174</v>
      </c>
      <c r="K3343" s="46">
        <v>3.89</v>
      </c>
      <c r="L3343" s="46">
        <f t="shared" si="250"/>
        <v>676.86</v>
      </c>
      <c r="M3343" s="162" t="s">
        <v>2219</v>
      </c>
      <c r="N3343" s="39">
        <v>45555</v>
      </c>
      <c r="O3343" s="38">
        <v>6445</v>
      </c>
      <c r="P3343" s="46">
        <f t="shared" si="251"/>
        <v>3.6566000000000001</v>
      </c>
      <c r="Q3343" s="483">
        <v>3.66</v>
      </c>
      <c r="R3343" s="704">
        <f t="shared" si="252"/>
        <v>636.84</v>
      </c>
      <c r="S3343" s="489">
        <v>300</v>
      </c>
      <c r="T3343" s="567">
        <f t="shared" si="253"/>
        <v>52200</v>
      </c>
      <c r="V3343" s="494">
        <v>120</v>
      </c>
      <c r="W3343" s="2041">
        <f t="shared" si="248"/>
        <v>0.35732647814910029</v>
      </c>
    </row>
    <row r="3344" spans="2:23" ht="15.75">
      <c r="B3344" s="12" t="s">
        <v>1858</v>
      </c>
      <c r="C3344" s="6" t="s">
        <v>7604</v>
      </c>
      <c r="D3344" s="15" t="s">
        <v>11</v>
      </c>
      <c r="E3344" s="24">
        <v>2440</v>
      </c>
      <c r="F3344" s="150">
        <v>140</v>
      </c>
      <c r="G3344" s="24" t="s">
        <v>7611</v>
      </c>
      <c r="H3344" s="67">
        <v>58</v>
      </c>
      <c r="I3344" s="68">
        <v>1</v>
      </c>
      <c r="J3344" s="67">
        <f t="shared" si="249"/>
        <v>58</v>
      </c>
      <c r="K3344" s="46">
        <v>3.89</v>
      </c>
      <c r="L3344" s="46">
        <f t="shared" si="250"/>
        <v>225.62</v>
      </c>
      <c r="M3344" s="162" t="s">
        <v>2219</v>
      </c>
      <c r="N3344" s="39">
        <v>45555</v>
      </c>
      <c r="O3344" s="38">
        <v>6445</v>
      </c>
      <c r="P3344" s="46">
        <f t="shared" si="251"/>
        <v>3.6566000000000001</v>
      </c>
      <c r="Q3344" s="483">
        <v>3.66</v>
      </c>
      <c r="R3344" s="704">
        <f t="shared" si="252"/>
        <v>212.28</v>
      </c>
      <c r="S3344" s="489">
        <v>300</v>
      </c>
      <c r="T3344" s="567">
        <f t="shared" si="253"/>
        <v>17400</v>
      </c>
      <c r="V3344" s="494">
        <v>120</v>
      </c>
      <c r="W3344" s="2041">
        <f t="shared" si="248"/>
        <v>0.35732647814910029</v>
      </c>
    </row>
    <row r="3345" spans="2:23" ht="15.75">
      <c r="B3345" s="12" t="s">
        <v>1858</v>
      </c>
      <c r="C3345" s="6" t="s">
        <v>7604</v>
      </c>
      <c r="D3345" s="15" t="s">
        <v>11</v>
      </c>
      <c r="E3345" s="24">
        <v>2440</v>
      </c>
      <c r="F3345" s="150">
        <v>140</v>
      </c>
      <c r="G3345" s="24" t="s">
        <v>7612</v>
      </c>
      <c r="H3345" s="67">
        <v>58</v>
      </c>
      <c r="I3345" s="68">
        <v>2</v>
      </c>
      <c r="J3345" s="67">
        <f t="shared" si="249"/>
        <v>116</v>
      </c>
      <c r="K3345" s="46">
        <v>3.89</v>
      </c>
      <c r="L3345" s="46">
        <f t="shared" si="250"/>
        <v>451.24</v>
      </c>
      <c r="M3345" s="162" t="s">
        <v>2219</v>
      </c>
      <c r="N3345" s="39">
        <v>45555</v>
      </c>
      <c r="O3345" s="38">
        <v>6445</v>
      </c>
      <c r="P3345" s="46">
        <f t="shared" si="251"/>
        <v>3.6566000000000001</v>
      </c>
      <c r="Q3345" s="483">
        <v>3.66</v>
      </c>
      <c r="R3345" s="704">
        <f t="shared" si="252"/>
        <v>424.56</v>
      </c>
      <c r="S3345" s="489">
        <v>300</v>
      </c>
      <c r="T3345" s="567">
        <f t="shared" si="253"/>
        <v>34800</v>
      </c>
      <c r="V3345" s="494">
        <v>120</v>
      </c>
      <c r="W3345" s="2041">
        <f t="shared" si="248"/>
        <v>0.35732647814910029</v>
      </c>
    </row>
    <row r="3346" spans="2:23" ht="15.75">
      <c r="B3346" s="12" t="s">
        <v>1858</v>
      </c>
      <c r="C3346" s="6" t="s">
        <v>7604</v>
      </c>
      <c r="D3346" s="15" t="s">
        <v>11</v>
      </c>
      <c r="E3346" s="1012" t="s">
        <v>8447</v>
      </c>
      <c r="F3346" s="150">
        <v>152</v>
      </c>
      <c r="G3346" s="24" t="s">
        <v>859</v>
      </c>
      <c r="H3346" s="67">
        <v>58</v>
      </c>
      <c r="I3346" s="68">
        <v>15</v>
      </c>
      <c r="J3346" s="67">
        <f t="shared" si="249"/>
        <v>870</v>
      </c>
      <c r="K3346" s="46">
        <v>3.89</v>
      </c>
      <c r="L3346" s="46">
        <f t="shared" si="250"/>
        <v>3384.3</v>
      </c>
      <c r="M3346" s="162" t="s">
        <v>2219</v>
      </c>
      <c r="N3346" s="2453">
        <v>45754</v>
      </c>
      <c r="O3346" s="38">
        <v>7006</v>
      </c>
      <c r="P3346" s="46">
        <f t="shared" si="251"/>
        <v>3.6566000000000001</v>
      </c>
      <c r="Q3346" s="483">
        <v>3.66</v>
      </c>
      <c r="R3346" s="704">
        <f t="shared" si="252"/>
        <v>3184.2000000000003</v>
      </c>
      <c r="S3346" s="489">
        <f t="shared" ref="S3346:S3353" si="254">230+30</f>
        <v>260</v>
      </c>
      <c r="T3346" s="567">
        <f t="shared" si="253"/>
        <v>226200</v>
      </c>
      <c r="V3346" s="494">
        <v>120</v>
      </c>
      <c r="W3346" s="2041">
        <f t="shared" si="248"/>
        <v>0.44301628106255359</v>
      </c>
    </row>
    <row r="3347" spans="2:23" ht="15.75">
      <c r="B3347" s="12" t="s">
        <v>1858</v>
      </c>
      <c r="C3347" s="6" t="s">
        <v>7604</v>
      </c>
      <c r="D3347" s="15" t="s">
        <v>11</v>
      </c>
      <c r="E3347" s="1012" t="s">
        <v>8448</v>
      </c>
      <c r="F3347" s="150">
        <v>152</v>
      </c>
      <c r="G3347" s="24" t="s">
        <v>859</v>
      </c>
      <c r="H3347" s="67">
        <v>58</v>
      </c>
      <c r="I3347" s="68">
        <v>7</v>
      </c>
      <c r="J3347" s="67">
        <f t="shared" si="249"/>
        <v>406</v>
      </c>
      <c r="K3347" s="46">
        <v>3.89</v>
      </c>
      <c r="L3347" s="46">
        <f t="shared" si="250"/>
        <v>1579.3400000000001</v>
      </c>
      <c r="M3347" s="162" t="s">
        <v>2219</v>
      </c>
      <c r="N3347" s="2453">
        <v>45754</v>
      </c>
      <c r="O3347" s="38">
        <v>7006</v>
      </c>
      <c r="P3347" s="46">
        <f t="shared" si="251"/>
        <v>3.6566000000000001</v>
      </c>
      <c r="Q3347" s="483">
        <v>3.66</v>
      </c>
      <c r="R3347" s="704">
        <f t="shared" si="252"/>
        <v>1485.96</v>
      </c>
      <c r="S3347" s="489">
        <f t="shared" si="254"/>
        <v>260</v>
      </c>
      <c r="T3347" s="567">
        <f t="shared" si="253"/>
        <v>105560</v>
      </c>
      <c r="V3347" s="494">
        <v>120</v>
      </c>
      <c r="W3347" s="2041">
        <f t="shared" si="248"/>
        <v>0.44301628106255359</v>
      </c>
    </row>
    <row r="3348" spans="2:23" ht="15.75">
      <c r="B3348" s="12" t="s">
        <v>1858</v>
      </c>
      <c r="C3348" s="6" t="s">
        <v>7604</v>
      </c>
      <c r="D3348" s="15" t="s">
        <v>11</v>
      </c>
      <c r="E3348" s="1012" t="s">
        <v>8448</v>
      </c>
      <c r="F3348" s="150">
        <v>152</v>
      </c>
      <c r="G3348" s="24" t="s">
        <v>859</v>
      </c>
      <c r="H3348" s="67">
        <v>59</v>
      </c>
      <c r="I3348" s="68">
        <v>1</v>
      </c>
      <c r="J3348" s="67">
        <f t="shared" si="249"/>
        <v>59</v>
      </c>
      <c r="K3348" s="46">
        <v>3.89</v>
      </c>
      <c r="L3348" s="46">
        <f t="shared" si="250"/>
        <v>229.51000000000002</v>
      </c>
      <c r="M3348" s="162" t="s">
        <v>2219</v>
      </c>
      <c r="N3348" s="2453">
        <v>45754</v>
      </c>
      <c r="O3348" s="38">
        <v>7006</v>
      </c>
      <c r="P3348" s="46">
        <f t="shared" si="251"/>
        <v>3.6566000000000001</v>
      </c>
      <c r="Q3348" s="483">
        <v>3.66</v>
      </c>
      <c r="R3348" s="704">
        <f t="shared" si="252"/>
        <v>215.94</v>
      </c>
      <c r="S3348" s="489">
        <f t="shared" si="254"/>
        <v>260</v>
      </c>
      <c r="T3348" s="567">
        <f t="shared" si="253"/>
        <v>15340</v>
      </c>
      <c r="V3348" s="494">
        <v>120</v>
      </c>
      <c r="W3348" s="2041">
        <f t="shared" si="248"/>
        <v>0.44301628106255359</v>
      </c>
    </row>
    <row r="3349" spans="2:23" ht="15.75">
      <c r="B3349" s="12" t="s">
        <v>1858</v>
      </c>
      <c r="C3349" s="6" t="s">
        <v>7604</v>
      </c>
      <c r="D3349" s="15" t="s">
        <v>11</v>
      </c>
      <c r="E3349" s="1012" t="s">
        <v>8448</v>
      </c>
      <c r="F3349" s="150">
        <v>152</v>
      </c>
      <c r="G3349" s="24" t="s">
        <v>859</v>
      </c>
      <c r="H3349" s="67">
        <v>56</v>
      </c>
      <c r="I3349" s="68">
        <v>1</v>
      </c>
      <c r="J3349" s="67">
        <f t="shared" si="249"/>
        <v>56</v>
      </c>
      <c r="K3349" s="46">
        <v>3.89</v>
      </c>
      <c r="L3349" s="46">
        <f t="shared" si="250"/>
        <v>217.84</v>
      </c>
      <c r="M3349" s="162" t="s">
        <v>2219</v>
      </c>
      <c r="N3349" s="2453">
        <v>45754</v>
      </c>
      <c r="O3349" s="38">
        <v>7006</v>
      </c>
      <c r="P3349" s="46">
        <f t="shared" si="251"/>
        <v>3.6566000000000001</v>
      </c>
      <c r="Q3349" s="483">
        <v>3.66</v>
      </c>
      <c r="R3349" s="704">
        <f t="shared" si="252"/>
        <v>204.96</v>
      </c>
      <c r="S3349" s="489">
        <f t="shared" si="254"/>
        <v>260</v>
      </c>
      <c r="T3349" s="567">
        <f t="shared" si="253"/>
        <v>14560</v>
      </c>
      <c r="V3349" s="494">
        <v>120</v>
      </c>
      <c r="W3349" s="2041">
        <f t="shared" si="248"/>
        <v>0.44301628106255359</v>
      </c>
    </row>
    <row r="3350" spans="2:23" ht="15.75">
      <c r="B3350" s="12" t="s">
        <v>1858</v>
      </c>
      <c r="C3350" s="6" t="s">
        <v>7604</v>
      </c>
      <c r="D3350" s="15" t="s">
        <v>11</v>
      </c>
      <c r="E3350" s="1012" t="s">
        <v>8448</v>
      </c>
      <c r="F3350" s="150">
        <v>152</v>
      </c>
      <c r="G3350" s="24" t="s">
        <v>859</v>
      </c>
      <c r="H3350" s="67">
        <v>62</v>
      </c>
      <c r="I3350" s="68">
        <v>1</v>
      </c>
      <c r="J3350" s="67">
        <f t="shared" si="249"/>
        <v>62</v>
      </c>
      <c r="K3350" s="46">
        <v>3.89</v>
      </c>
      <c r="L3350" s="46">
        <f t="shared" si="250"/>
        <v>241.18</v>
      </c>
      <c r="M3350" s="162" t="s">
        <v>2219</v>
      </c>
      <c r="N3350" s="2453">
        <v>45754</v>
      </c>
      <c r="O3350" s="38">
        <v>7006</v>
      </c>
      <c r="P3350" s="46">
        <f t="shared" si="251"/>
        <v>3.6566000000000001</v>
      </c>
      <c r="Q3350" s="483">
        <v>3.66</v>
      </c>
      <c r="R3350" s="704">
        <f t="shared" si="252"/>
        <v>226.92000000000002</v>
      </c>
      <c r="S3350" s="489">
        <f t="shared" si="254"/>
        <v>260</v>
      </c>
      <c r="T3350" s="567">
        <f t="shared" si="253"/>
        <v>16120</v>
      </c>
      <c r="V3350" s="494">
        <v>120</v>
      </c>
      <c r="W3350" s="2041">
        <f t="shared" si="248"/>
        <v>0.44301628106255359</v>
      </c>
    </row>
    <row r="3351" spans="2:23" ht="15.75">
      <c r="B3351" s="12" t="s">
        <v>1858</v>
      </c>
      <c r="C3351" s="6" t="s">
        <v>7604</v>
      </c>
      <c r="D3351" s="15" t="s">
        <v>11</v>
      </c>
      <c r="E3351" s="1012" t="s">
        <v>8448</v>
      </c>
      <c r="F3351" s="150">
        <v>152</v>
      </c>
      <c r="G3351" s="24" t="s">
        <v>859</v>
      </c>
      <c r="H3351" s="67">
        <v>63</v>
      </c>
      <c r="I3351" s="68">
        <v>1</v>
      </c>
      <c r="J3351" s="67">
        <f t="shared" si="249"/>
        <v>63</v>
      </c>
      <c r="K3351" s="46">
        <v>3.89</v>
      </c>
      <c r="L3351" s="46">
        <f t="shared" si="250"/>
        <v>245.07000000000002</v>
      </c>
      <c r="M3351" s="162" t="s">
        <v>2219</v>
      </c>
      <c r="N3351" s="2453">
        <v>45754</v>
      </c>
      <c r="O3351" s="38">
        <v>7006</v>
      </c>
      <c r="P3351" s="46">
        <f t="shared" si="251"/>
        <v>3.6566000000000001</v>
      </c>
      <c r="Q3351" s="483">
        <v>3.66</v>
      </c>
      <c r="R3351" s="704">
        <f t="shared" si="252"/>
        <v>230.58</v>
      </c>
      <c r="S3351" s="489">
        <f t="shared" si="254"/>
        <v>260</v>
      </c>
      <c r="T3351" s="567">
        <f t="shared" si="253"/>
        <v>16380</v>
      </c>
      <c r="V3351" s="494">
        <v>120</v>
      </c>
      <c r="W3351" s="2041">
        <f t="shared" si="248"/>
        <v>0.44301628106255359</v>
      </c>
    </row>
    <row r="3352" spans="2:23" ht="15.75">
      <c r="B3352" s="12" t="s">
        <v>1858</v>
      </c>
      <c r="C3352" s="6" t="s">
        <v>7604</v>
      </c>
      <c r="D3352" s="15" t="s">
        <v>11</v>
      </c>
      <c r="E3352" s="1012" t="s">
        <v>8448</v>
      </c>
      <c r="F3352" s="150">
        <v>152</v>
      </c>
      <c r="G3352" s="24" t="s">
        <v>859</v>
      </c>
      <c r="H3352" s="67">
        <v>64</v>
      </c>
      <c r="I3352" s="68">
        <v>3</v>
      </c>
      <c r="J3352" s="67">
        <f t="shared" si="249"/>
        <v>192</v>
      </c>
      <c r="K3352" s="46">
        <v>3.89</v>
      </c>
      <c r="L3352" s="46">
        <f t="shared" si="250"/>
        <v>746.88</v>
      </c>
      <c r="M3352" s="162" t="s">
        <v>2219</v>
      </c>
      <c r="N3352" s="2453">
        <v>45754</v>
      </c>
      <c r="O3352" s="38">
        <v>7006</v>
      </c>
      <c r="P3352" s="46">
        <f t="shared" si="251"/>
        <v>3.6566000000000001</v>
      </c>
      <c r="Q3352" s="483">
        <v>3.66</v>
      </c>
      <c r="R3352" s="704">
        <f t="shared" si="252"/>
        <v>702.72</v>
      </c>
      <c r="S3352" s="489">
        <f t="shared" si="254"/>
        <v>260</v>
      </c>
      <c r="T3352" s="567">
        <f t="shared" si="253"/>
        <v>49920</v>
      </c>
      <c r="V3352" s="494">
        <v>120</v>
      </c>
      <c r="W3352" s="2041">
        <f t="shared" si="248"/>
        <v>0.44301628106255359</v>
      </c>
    </row>
    <row r="3353" spans="2:23" ht="15.75">
      <c r="B3353" s="12" t="s">
        <v>1858</v>
      </c>
      <c r="C3353" s="6" t="s">
        <v>7604</v>
      </c>
      <c r="D3353" s="15" t="s">
        <v>11</v>
      </c>
      <c r="E3353" s="1012" t="s">
        <v>8448</v>
      </c>
      <c r="F3353" s="150">
        <v>152</v>
      </c>
      <c r="G3353" s="24" t="s">
        <v>859</v>
      </c>
      <c r="H3353" s="67">
        <v>65</v>
      </c>
      <c r="I3353" s="68">
        <v>1</v>
      </c>
      <c r="J3353" s="67">
        <f t="shared" si="249"/>
        <v>65</v>
      </c>
      <c r="K3353" s="46">
        <v>3.89</v>
      </c>
      <c r="L3353" s="46">
        <f t="shared" si="250"/>
        <v>252.85</v>
      </c>
      <c r="M3353" s="162" t="s">
        <v>2219</v>
      </c>
      <c r="N3353" s="2453">
        <v>45754</v>
      </c>
      <c r="O3353" s="38">
        <v>7006</v>
      </c>
      <c r="P3353" s="46">
        <f t="shared" si="251"/>
        <v>3.6566000000000001</v>
      </c>
      <c r="Q3353" s="483">
        <v>3.66</v>
      </c>
      <c r="R3353" s="704">
        <f t="shared" si="252"/>
        <v>237.9</v>
      </c>
      <c r="S3353" s="489">
        <f t="shared" si="254"/>
        <v>260</v>
      </c>
      <c r="T3353" s="567">
        <f t="shared" si="253"/>
        <v>16900</v>
      </c>
      <c r="V3353" s="494">
        <v>120</v>
      </c>
      <c r="W3353" s="2041">
        <f t="shared" si="248"/>
        <v>0.44301628106255359</v>
      </c>
    </row>
    <row r="3354" spans="2:23" ht="15.75">
      <c r="B3354" s="12" t="s">
        <v>1858</v>
      </c>
      <c r="C3354" s="6" t="s">
        <v>8335</v>
      </c>
      <c r="D3354" s="15" t="s">
        <v>11</v>
      </c>
      <c r="E3354" s="24">
        <v>2440</v>
      </c>
      <c r="F3354" s="150">
        <v>140</v>
      </c>
      <c r="G3354" s="24" t="s">
        <v>7613</v>
      </c>
      <c r="H3354" s="8">
        <v>58</v>
      </c>
      <c r="I3354" s="41">
        <v>2</v>
      </c>
      <c r="J3354" s="8">
        <f t="shared" si="249"/>
        <v>116</v>
      </c>
      <c r="K3354" s="46">
        <v>3.89</v>
      </c>
      <c r="L3354" s="46">
        <f t="shared" si="250"/>
        <v>451.24</v>
      </c>
      <c r="M3354" s="162" t="s">
        <v>2219</v>
      </c>
      <c r="N3354" s="39">
        <v>45730</v>
      </c>
      <c r="O3354" s="38">
        <v>6495</v>
      </c>
      <c r="P3354" s="46">
        <f t="shared" si="251"/>
        <v>3.6566000000000001</v>
      </c>
      <c r="Q3354" s="483">
        <v>3.66</v>
      </c>
      <c r="R3354" s="704">
        <f t="shared" si="252"/>
        <v>424.56</v>
      </c>
      <c r="S3354" s="489">
        <v>300</v>
      </c>
      <c r="T3354" s="567">
        <f t="shared" si="253"/>
        <v>34800</v>
      </c>
      <c r="V3354" s="494">
        <v>120</v>
      </c>
      <c r="W3354" s="2041">
        <f t="shared" si="248"/>
        <v>0.35732647814910029</v>
      </c>
    </row>
    <row r="3355" spans="2:23" ht="15.75">
      <c r="B3355" s="12" t="s">
        <v>1858</v>
      </c>
      <c r="C3355" s="6" t="s">
        <v>7604</v>
      </c>
      <c r="D3355" s="15" t="s">
        <v>11</v>
      </c>
      <c r="E3355" s="24">
        <v>2440</v>
      </c>
      <c r="F3355" s="150">
        <v>140</v>
      </c>
      <c r="G3355" s="24" t="s">
        <v>7614</v>
      </c>
      <c r="H3355" s="67">
        <v>58</v>
      </c>
      <c r="I3355" s="68">
        <v>3</v>
      </c>
      <c r="J3355" s="67">
        <f t="shared" si="249"/>
        <v>174</v>
      </c>
      <c r="K3355" s="46">
        <v>3.89</v>
      </c>
      <c r="L3355" s="46">
        <f t="shared" si="250"/>
        <v>676.86</v>
      </c>
      <c r="M3355" s="162" t="s">
        <v>2219</v>
      </c>
      <c r="N3355" s="39">
        <v>45555</v>
      </c>
      <c r="O3355" s="38">
        <v>6445</v>
      </c>
      <c r="P3355" s="46">
        <f t="shared" si="251"/>
        <v>3.6566000000000001</v>
      </c>
      <c r="Q3355" s="483">
        <v>3.66</v>
      </c>
      <c r="R3355" s="704">
        <f t="shared" si="252"/>
        <v>636.84</v>
      </c>
      <c r="S3355" s="489">
        <v>300</v>
      </c>
      <c r="T3355" s="567">
        <f t="shared" si="253"/>
        <v>52200</v>
      </c>
      <c r="V3355" s="494">
        <v>120</v>
      </c>
      <c r="W3355" s="2041">
        <f t="shared" si="248"/>
        <v>0.35732647814910029</v>
      </c>
    </row>
    <row r="3356" spans="2:23" ht="15">
      <c r="C3356" s="6" t="s">
        <v>7604</v>
      </c>
      <c r="D3356" s="15" t="s">
        <v>11</v>
      </c>
      <c r="E3356" s="95"/>
      <c r="F3356" s="160"/>
      <c r="G3356" s="228" t="s">
        <v>481</v>
      </c>
      <c r="H3356" s="214"/>
      <c r="I3356" s="215"/>
      <c r="J3356" s="43">
        <v>1</v>
      </c>
      <c r="K3356" s="229">
        <v>20</v>
      </c>
      <c r="L3356" s="417" t="s">
        <v>1676</v>
      </c>
      <c r="M3356" s="417"/>
      <c r="N3356" s="39">
        <v>45555</v>
      </c>
      <c r="O3356" s="38">
        <v>6445</v>
      </c>
      <c r="P3356" s="216"/>
      <c r="Q3356" s="525">
        <v>0</v>
      </c>
      <c r="R3356" s="704">
        <f t="shared" si="252"/>
        <v>0</v>
      </c>
      <c r="S3356" s="532">
        <v>2500</v>
      </c>
      <c r="T3356" s="532">
        <v>2500</v>
      </c>
      <c r="V3356" s="494">
        <v>120</v>
      </c>
      <c r="W3356" s="2041">
        <f t="shared" si="248"/>
        <v>-4.1666666666666664E-2</v>
      </c>
    </row>
    <row r="3357" spans="2:23" ht="15">
      <c r="C3357" s="6" t="s">
        <v>7604</v>
      </c>
      <c r="D3357" s="15" t="s">
        <v>11</v>
      </c>
      <c r="E3357" s="95"/>
      <c r="F3357" s="160"/>
      <c r="G3357" s="2354" t="s">
        <v>481</v>
      </c>
      <c r="H3357" s="214"/>
      <c r="I3357" s="215"/>
      <c r="J3357" s="43">
        <v>1</v>
      </c>
      <c r="K3357" s="229">
        <v>20</v>
      </c>
      <c r="L3357" s="417" t="s">
        <v>1676</v>
      </c>
      <c r="M3357" s="417"/>
      <c r="N3357" s="39">
        <v>45555</v>
      </c>
      <c r="O3357" s="38">
        <v>6445</v>
      </c>
      <c r="P3357" s="216"/>
      <c r="Q3357" s="525">
        <v>0</v>
      </c>
      <c r="R3357" s="704">
        <f t="shared" si="252"/>
        <v>0</v>
      </c>
      <c r="S3357" s="532">
        <v>2500</v>
      </c>
      <c r="T3357" s="532">
        <v>2500</v>
      </c>
      <c r="V3357" s="494">
        <v>120</v>
      </c>
      <c r="W3357" s="2041">
        <f t="shared" si="248"/>
        <v>-4.1666666666666664E-2</v>
      </c>
    </row>
    <row r="3358" spans="2:23" s="314" customFormat="1" ht="15">
      <c r="B3358" s="313"/>
      <c r="C3358" s="302" t="s">
        <v>7604</v>
      </c>
      <c r="D3358" s="303" t="s">
        <v>11</v>
      </c>
      <c r="E3358" s="304"/>
      <c r="F3358" s="305"/>
      <c r="G3358" s="305" t="s">
        <v>1227</v>
      </c>
      <c r="H3358" s="307" t="s">
        <v>1228</v>
      </c>
      <c r="I3358" s="308"/>
      <c r="J3358" s="306"/>
      <c r="K3358" s="315">
        <v>0</v>
      </c>
      <c r="L3358" s="310"/>
      <c r="M3358" s="310"/>
      <c r="N3358" s="310">
        <v>45555</v>
      </c>
      <c r="O3358" s="309">
        <v>6445</v>
      </c>
      <c r="P3358" s="302"/>
      <c r="Q3358" s="485">
        <v>0</v>
      </c>
      <c r="S3358" s="535">
        <v>0</v>
      </c>
      <c r="T3358" s="322">
        <v>0</v>
      </c>
      <c r="U3358" s="515"/>
      <c r="V3358" s="494">
        <v>120</v>
      </c>
      <c r="W3358" s="2041" t="e">
        <f t="shared" si="248"/>
        <v>#DIV/0!</v>
      </c>
    </row>
    <row r="3359" spans="2:23" ht="15">
      <c r="C3359" s="6" t="s">
        <v>7632</v>
      </c>
      <c r="D3359" s="15" t="s">
        <v>7321</v>
      </c>
      <c r="E3359" s="20" t="s">
        <v>79</v>
      </c>
      <c r="F3359" s="150"/>
      <c r="G3359" s="24"/>
      <c r="H3359" s="151"/>
      <c r="I3359" s="152"/>
      <c r="J3359" s="151"/>
      <c r="K3359" s="153" t="s">
        <v>10</v>
      </c>
      <c r="L3359" s="39"/>
      <c r="M3359" s="39"/>
      <c r="N3359" s="39">
        <v>45534</v>
      </c>
      <c r="O3359" s="38">
        <v>6440</v>
      </c>
      <c r="P3359" s="15"/>
      <c r="Q3359" s="483"/>
      <c r="S3359" s="707" t="s">
        <v>7625</v>
      </c>
      <c r="T3359" s="113"/>
      <c r="V3359" s="494">
        <v>120</v>
      </c>
      <c r="W3359" s="2041" t="e">
        <f t="shared" si="248"/>
        <v>#VALUE!</v>
      </c>
    </row>
    <row r="3360" spans="2:23" ht="15.75">
      <c r="B3360" s="12" t="s">
        <v>1858</v>
      </c>
      <c r="C3360" s="6" t="s">
        <v>7632</v>
      </c>
      <c r="D3360" s="15" t="s">
        <v>7321</v>
      </c>
      <c r="E3360" s="24" t="s">
        <v>6607</v>
      </c>
      <c r="F3360" s="150">
        <v>148</v>
      </c>
      <c r="G3360" s="24" t="s">
        <v>7322</v>
      </c>
      <c r="H3360" s="67"/>
      <c r="I3360" s="68"/>
      <c r="J3360" s="67">
        <v>4</v>
      </c>
      <c r="K3360" s="46">
        <v>15.4</v>
      </c>
      <c r="L3360" s="46">
        <f>K3360*J3360</f>
        <v>61.6</v>
      </c>
      <c r="M3360" s="162" t="s">
        <v>2219</v>
      </c>
      <c r="N3360" s="39">
        <v>45534</v>
      </c>
      <c r="O3360" s="38">
        <v>6440</v>
      </c>
      <c r="P3360" s="46">
        <f>K3360*(VLOOKUP(B3360,$C$2:$F$6,3,FALSE))</f>
        <v>14.475999999999999</v>
      </c>
      <c r="Q3360" s="483">
        <v>14.48</v>
      </c>
      <c r="R3360" s="704">
        <f>Q3360*J3360</f>
        <v>57.92</v>
      </c>
      <c r="S3360" s="489">
        <f>1220+400</f>
        <v>1620</v>
      </c>
      <c r="T3360" s="567">
        <f>S3360*J3360</f>
        <v>6480</v>
      </c>
      <c r="V3360" s="494">
        <v>135</v>
      </c>
      <c r="W3360" s="2041">
        <f t="shared" ref="W3360:W3383" si="255">(((K3360*V3360)-S3360)/(K3360*V3360))</f>
        <v>0.22077922077922077</v>
      </c>
    </row>
    <row r="3361" spans="2:23" ht="15.75">
      <c r="B3361" s="12" t="s">
        <v>1858</v>
      </c>
      <c r="C3361" s="6" t="s">
        <v>7632</v>
      </c>
      <c r="D3361" s="15" t="s">
        <v>7321</v>
      </c>
      <c r="E3361" s="24" t="s">
        <v>6607</v>
      </c>
      <c r="F3361" s="150">
        <v>148</v>
      </c>
      <c r="G3361" s="24" t="s">
        <v>6737</v>
      </c>
      <c r="H3361" s="67"/>
      <c r="I3361" s="68"/>
      <c r="J3361" s="67">
        <v>4</v>
      </c>
      <c r="K3361" s="46">
        <v>15.4</v>
      </c>
      <c r="L3361" s="46">
        <f>K3361*J3361</f>
        <v>61.6</v>
      </c>
      <c r="M3361" s="162" t="s">
        <v>2219</v>
      </c>
      <c r="N3361" s="39">
        <v>45534</v>
      </c>
      <c r="O3361" s="38">
        <v>6440</v>
      </c>
      <c r="P3361" s="46">
        <f>K3361*(VLOOKUP(B3361,$C$2:$F$6,3,FALSE))</f>
        <v>14.475999999999999</v>
      </c>
      <c r="Q3361" s="483">
        <v>14.48</v>
      </c>
      <c r="R3361" s="704">
        <f>Q3361*J3361</f>
        <v>57.92</v>
      </c>
      <c r="S3361" s="489">
        <f>1220+400</f>
        <v>1620</v>
      </c>
      <c r="T3361" s="567">
        <f>S3361*J3361</f>
        <v>6480</v>
      </c>
      <c r="V3361" s="494">
        <v>135</v>
      </c>
      <c r="W3361" s="2041">
        <f t="shared" si="255"/>
        <v>0.22077922077922077</v>
      </c>
    </row>
    <row r="3362" spans="2:23" s="314" customFormat="1" ht="15">
      <c r="B3362" s="313"/>
      <c r="C3362" s="302" t="s">
        <v>7632</v>
      </c>
      <c r="D3362" s="303" t="s">
        <v>7321</v>
      </c>
      <c r="E3362" s="304"/>
      <c r="F3362" s="305"/>
      <c r="G3362" s="305" t="s">
        <v>1227</v>
      </c>
      <c r="H3362" s="307" t="s">
        <v>1228</v>
      </c>
      <c r="I3362" s="308"/>
      <c r="J3362" s="306"/>
      <c r="K3362" s="315">
        <v>0</v>
      </c>
      <c r="L3362" s="310"/>
      <c r="M3362" s="310"/>
      <c r="N3362" s="310">
        <v>45534</v>
      </c>
      <c r="O3362" s="309">
        <v>6440</v>
      </c>
      <c r="P3362" s="302"/>
      <c r="Q3362" s="485">
        <v>0</v>
      </c>
      <c r="S3362" s="535">
        <v>0</v>
      </c>
      <c r="T3362" s="322">
        <v>0</v>
      </c>
      <c r="U3362" s="515"/>
      <c r="V3362" s="494">
        <v>120</v>
      </c>
      <c r="W3362" s="2041" t="e">
        <f t="shared" si="255"/>
        <v>#DIV/0!</v>
      </c>
    </row>
    <row r="3363" spans="2:23" s="7" customFormat="1" ht="18" customHeight="1">
      <c r="B3363" s="12"/>
      <c r="C3363" s="6" t="s">
        <v>7626</v>
      </c>
      <c r="D3363" s="15" t="s">
        <v>169</v>
      </c>
      <c r="E3363" s="20" t="s">
        <v>27</v>
      </c>
      <c r="F3363" s="150"/>
      <c r="G3363" s="24"/>
      <c r="H3363" s="151"/>
      <c r="I3363" s="152"/>
      <c r="J3363" s="151"/>
      <c r="K3363" s="34" t="s">
        <v>10</v>
      </c>
      <c r="L3363" s="39"/>
      <c r="M3363" s="39"/>
      <c r="N3363" s="39">
        <v>45596</v>
      </c>
      <c r="O3363" s="38">
        <v>6475</v>
      </c>
      <c r="P3363" s="15"/>
      <c r="Q3363" s="483"/>
      <c r="S3363" s="2080"/>
      <c r="T3363" s="113"/>
      <c r="U3363" s="506"/>
      <c r="V3363" s="494">
        <v>120</v>
      </c>
      <c r="W3363" s="7" t="e">
        <f t="shared" si="255"/>
        <v>#VALUE!</v>
      </c>
    </row>
    <row r="3364" spans="2:23" s="7" customFormat="1" ht="15.75">
      <c r="B3364" s="12" t="s">
        <v>1858</v>
      </c>
      <c r="C3364" s="6" t="s">
        <v>7626</v>
      </c>
      <c r="D3364" s="15" t="s">
        <v>169</v>
      </c>
      <c r="E3364" s="24" t="s">
        <v>536</v>
      </c>
      <c r="F3364" s="150">
        <v>160</v>
      </c>
      <c r="G3364" s="24" t="s">
        <v>7628</v>
      </c>
      <c r="H3364" s="67">
        <v>50</v>
      </c>
      <c r="I3364" s="68">
        <v>3</v>
      </c>
      <c r="J3364" s="8">
        <f>H3364*I3364</f>
        <v>150</v>
      </c>
      <c r="K3364" s="25">
        <v>5</v>
      </c>
      <c r="L3364" s="46">
        <f>K3364*J3364</f>
        <v>750</v>
      </c>
      <c r="M3364" s="162" t="s">
        <v>2218</v>
      </c>
      <c r="N3364" s="39">
        <v>45596</v>
      </c>
      <c r="O3364" s="38">
        <v>6475</v>
      </c>
      <c r="P3364" s="46">
        <f>K3364*(VLOOKUP(B3364,$C$2:$F$6,3,FALSE))</f>
        <v>4.6999999999999993</v>
      </c>
      <c r="Q3364" s="483">
        <v>4.7</v>
      </c>
      <c r="R3364" s="704">
        <f t="shared" ref="R3364:R3369" si="256">Q3364*J3364</f>
        <v>705</v>
      </c>
      <c r="S3364" s="532">
        <v>400</v>
      </c>
      <c r="T3364" s="567">
        <f t="shared" ref="T3364:T3369" si="257">S3364*J3364</f>
        <v>60000</v>
      </c>
      <c r="U3364" s="501"/>
      <c r="V3364" s="494">
        <v>120</v>
      </c>
      <c r="W3364" s="2041">
        <f t="shared" si="255"/>
        <v>0.33333333333333331</v>
      </c>
    </row>
    <row r="3365" spans="2:23" s="7" customFormat="1" ht="15.75">
      <c r="B3365" s="12" t="s">
        <v>1858</v>
      </c>
      <c r="C3365" s="6" t="s">
        <v>7626</v>
      </c>
      <c r="D3365" s="15" t="s">
        <v>169</v>
      </c>
      <c r="E3365" s="24" t="s">
        <v>536</v>
      </c>
      <c r="F3365" s="150">
        <v>160</v>
      </c>
      <c r="G3365" s="24" t="s">
        <v>7627</v>
      </c>
      <c r="H3365" s="67">
        <v>50</v>
      </c>
      <c r="I3365" s="68">
        <v>3</v>
      </c>
      <c r="J3365" s="8">
        <f>H3365*I3365</f>
        <v>150</v>
      </c>
      <c r="K3365" s="25">
        <v>5</v>
      </c>
      <c r="L3365" s="46">
        <f>K3365*J3365</f>
        <v>750</v>
      </c>
      <c r="M3365" s="162" t="s">
        <v>2218</v>
      </c>
      <c r="N3365" s="39">
        <v>45596</v>
      </c>
      <c r="O3365" s="38">
        <v>6475</v>
      </c>
      <c r="P3365" s="46">
        <f>K3365*(VLOOKUP(B3365,$C$2:$F$6,3,FALSE))</f>
        <v>4.6999999999999993</v>
      </c>
      <c r="Q3365" s="483">
        <v>4.7</v>
      </c>
      <c r="R3365" s="704">
        <f t="shared" si="256"/>
        <v>705</v>
      </c>
      <c r="S3365" s="532">
        <v>400</v>
      </c>
      <c r="T3365" s="567">
        <f t="shared" si="257"/>
        <v>60000</v>
      </c>
      <c r="U3365" s="501"/>
      <c r="V3365" s="494">
        <v>120</v>
      </c>
      <c r="W3365" s="2041">
        <f t="shared" si="255"/>
        <v>0.33333333333333331</v>
      </c>
    </row>
    <row r="3366" spans="2:23" s="7" customFormat="1" ht="15.75">
      <c r="B3366" s="12" t="s">
        <v>1858</v>
      </c>
      <c r="C3366" s="6" t="s">
        <v>7626</v>
      </c>
      <c r="D3366" s="15" t="s">
        <v>169</v>
      </c>
      <c r="E3366" s="24" t="s">
        <v>536</v>
      </c>
      <c r="F3366" s="150">
        <v>160</v>
      </c>
      <c r="G3366" s="24" t="s">
        <v>7629</v>
      </c>
      <c r="H3366" s="67">
        <v>50</v>
      </c>
      <c r="I3366" s="68">
        <v>3</v>
      </c>
      <c r="J3366" s="8">
        <f>H3366*I3366</f>
        <v>150</v>
      </c>
      <c r="K3366" s="25">
        <v>5</v>
      </c>
      <c r="L3366" s="46">
        <f>K3366*J3366</f>
        <v>750</v>
      </c>
      <c r="M3366" s="162" t="s">
        <v>2218</v>
      </c>
      <c r="N3366" s="39">
        <v>45596</v>
      </c>
      <c r="O3366" s="38">
        <v>6475</v>
      </c>
      <c r="P3366" s="46">
        <f>K3366*(VLOOKUP(B3366,$C$2:$F$6,3,FALSE))</f>
        <v>4.6999999999999993</v>
      </c>
      <c r="Q3366" s="483">
        <v>4.7</v>
      </c>
      <c r="R3366" s="704">
        <f t="shared" si="256"/>
        <v>705</v>
      </c>
      <c r="S3366" s="532">
        <v>400</v>
      </c>
      <c r="T3366" s="567">
        <f t="shared" si="257"/>
        <v>60000</v>
      </c>
      <c r="U3366" s="501"/>
      <c r="V3366" s="494">
        <v>120</v>
      </c>
      <c r="W3366" s="2041">
        <f t="shared" si="255"/>
        <v>0.33333333333333331</v>
      </c>
    </row>
    <row r="3367" spans="2:23" s="7" customFormat="1" ht="15.75">
      <c r="B3367" s="12" t="s">
        <v>1858</v>
      </c>
      <c r="C3367" s="6" t="s">
        <v>7626</v>
      </c>
      <c r="D3367" s="15" t="s">
        <v>169</v>
      </c>
      <c r="E3367" s="24" t="s">
        <v>536</v>
      </c>
      <c r="F3367" s="150">
        <v>160</v>
      </c>
      <c r="G3367" s="24" t="s">
        <v>7630</v>
      </c>
      <c r="H3367" s="67">
        <v>51</v>
      </c>
      <c r="I3367" s="68">
        <v>1</v>
      </c>
      <c r="J3367" s="8">
        <f>H3367*I3367</f>
        <v>51</v>
      </c>
      <c r="K3367" s="25">
        <v>5</v>
      </c>
      <c r="L3367" s="46">
        <f>K3367*J3367</f>
        <v>255</v>
      </c>
      <c r="M3367" s="162" t="s">
        <v>2219</v>
      </c>
      <c r="N3367" s="39">
        <v>45596</v>
      </c>
      <c r="O3367" s="38">
        <v>6475</v>
      </c>
      <c r="P3367" s="46">
        <f>K3367*(VLOOKUP(B3367,$C$2:$F$6,3,FALSE))</f>
        <v>4.6999999999999993</v>
      </c>
      <c r="Q3367" s="483">
        <v>4.7</v>
      </c>
      <c r="R3367" s="704">
        <f t="shared" si="256"/>
        <v>239.70000000000002</v>
      </c>
      <c r="S3367" s="532">
        <v>400</v>
      </c>
      <c r="T3367" s="567">
        <f t="shared" si="257"/>
        <v>20400</v>
      </c>
      <c r="U3367" s="501"/>
      <c r="V3367" s="494">
        <v>120</v>
      </c>
      <c r="W3367" s="2041">
        <f t="shared" si="255"/>
        <v>0.33333333333333331</v>
      </c>
    </row>
    <row r="3368" spans="2:23" s="7" customFormat="1" ht="15.75">
      <c r="B3368" s="12" t="s">
        <v>1858</v>
      </c>
      <c r="C3368" s="6" t="s">
        <v>7626</v>
      </c>
      <c r="D3368" s="15" t="s">
        <v>169</v>
      </c>
      <c r="E3368" s="24" t="s">
        <v>536</v>
      </c>
      <c r="F3368" s="150">
        <v>160</v>
      </c>
      <c r="G3368" s="24" t="s">
        <v>7631</v>
      </c>
      <c r="H3368" s="67">
        <v>50</v>
      </c>
      <c r="I3368" s="68">
        <v>3</v>
      </c>
      <c r="J3368" s="8">
        <f>H3368*I3368</f>
        <v>150</v>
      </c>
      <c r="K3368" s="25">
        <v>5</v>
      </c>
      <c r="L3368" s="46">
        <f>K3368*J3368</f>
        <v>750</v>
      </c>
      <c r="M3368" s="162" t="s">
        <v>2218</v>
      </c>
      <c r="N3368" s="39">
        <v>45596</v>
      </c>
      <c r="O3368" s="38">
        <v>6475</v>
      </c>
      <c r="P3368" s="46">
        <f>K3368*(VLOOKUP(B3368,$C$2:$F$6,3,FALSE))</f>
        <v>4.6999999999999993</v>
      </c>
      <c r="Q3368" s="483">
        <v>4.7</v>
      </c>
      <c r="R3368" s="704">
        <f t="shared" si="256"/>
        <v>705</v>
      </c>
      <c r="S3368" s="532">
        <v>400</v>
      </c>
      <c r="T3368" s="567">
        <f t="shared" si="257"/>
        <v>60000</v>
      </c>
      <c r="U3368" s="501"/>
      <c r="V3368" s="494">
        <v>120</v>
      </c>
      <c r="W3368" s="2041">
        <f t="shared" si="255"/>
        <v>0.33333333333333331</v>
      </c>
    </row>
    <row r="3369" spans="2:23" ht="15">
      <c r="C3369" s="6" t="s">
        <v>7626</v>
      </c>
      <c r="D3369" s="15" t="s">
        <v>169</v>
      </c>
      <c r="E3369" s="2354"/>
      <c r="F3369" s="160"/>
      <c r="G3369" s="228" t="s">
        <v>481</v>
      </c>
      <c r="H3369" s="214"/>
      <c r="I3369" s="215"/>
      <c r="J3369" s="43">
        <v>1</v>
      </c>
      <c r="K3369" s="229">
        <v>20</v>
      </c>
      <c r="L3369" s="417" t="s">
        <v>1676</v>
      </c>
      <c r="M3369" s="417"/>
      <c r="N3369" s="39">
        <v>45596</v>
      </c>
      <c r="O3369" s="38">
        <v>6475</v>
      </c>
      <c r="P3369" s="216"/>
      <c r="Q3369" s="525">
        <v>0</v>
      </c>
      <c r="R3369" s="704">
        <f t="shared" si="256"/>
        <v>0</v>
      </c>
      <c r="S3369" s="532">
        <v>2500</v>
      </c>
      <c r="T3369" s="113">
        <f t="shared" si="257"/>
        <v>2500</v>
      </c>
      <c r="V3369" s="494">
        <v>120</v>
      </c>
      <c r="W3369" s="2041">
        <f t="shared" si="255"/>
        <v>-4.1666666666666664E-2</v>
      </c>
    </row>
    <row r="3370" spans="2:23" s="314" customFormat="1" ht="18.75">
      <c r="B3370" s="313"/>
      <c r="C3370" s="302" t="s">
        <v>7626</v>
      </c>
      <c r="D3370" s="303" t="s">
        <v>169</v>
      </c>
      <c r="E3370" s="304"/>
      <c r="F3370" s="305"/>
      <c r="G3370" s="305" t="s">
        <v>1227</v>
      </c>
      <c r="H3370" s="307" t="s">
        <v>7805</v>
      </c>
      <c r="I3370" s="308"/>
      <c r="J3370" s="306"/>
      <c r="K3370" s="315">
        <v>700</v>
      </c>
      <c r="L3370" s="315">
        <v>700</v>
      </c>
      <c r="M3370" s="310"/>
      <c r="N3370" s="310">
        <v>45596</v>
      </c>
      <c r="O3370" s="309">
        <v>6475</v>
      </c>
      <c r="P3370" s="302"/>
      <c r="Q3370" s="315">
        <v>700</v>
      </c>
      <c r="R3370" s="315">
        <v>700</v>
      </c>
      <c r="S3370" s="2361">
        <v>102638</v>
      </c>
      <c r="T3370" s="2361">
        <v>102638</v>
      </c>
      <c r="U3370" s="515"/>
      <c r="V3370" s="494">
        <v>120</v>
      </c>
      <c r="W3370" s="2041">
        <f t="shared" si="255"/>
        <v>-0.22188095238095237</v>
      </c>
    </row>
    <row r="3371" spans="2:23" s="80" customFormat="1" ht="15">
      <c r="B3371" s="540"/>
      <c r="C3371" s="76" t="s">
        <v>7753</v>
      </c>
      <c r="D3371" s="77" t="s">
        <v>5251</v>
      </c>
      <c r="E3371" s="252" t="s">
        <v>7664</v>
      </c>
      <c r="F3371" s="78"/>
      <c r="G3371" s="79"/>
      <c r="H3371" s="247"/>
      <c r="I3371" s="248"/>
      <c r="J3371" s="247"/>
      <c r="K3371" s="426" t="s">
        <v>134</v>
      </c>
      <c r="L3371" s="576"/>
      <c r="M3371" s="576"/>
      <c r="N3371" s="429" t="s">
        <v>7754</v>
      </c>
      <c r="O3371" s="427"/>
      <c r="P3371" s="76" t="s">
        <v>23</v>
      </c>
      <c r="Q3371" s="487"/>
      <c r="S3371" s="491"/>
      <c r="T3371" s="563"/>
      <c r="U3371" s="523"/>
      <c r="V3371" s="546">
        <v>120</v>
      </c>
      <c r="W3371" s="2117" t="e">
        <f t="shared" si="255"/>
        <v>#VALUE!</v>
      </c>
    </row>
    <row r="3372" spans="2:23" s="80" customFormat="1" ht="17.25" customHeight="1">
      <c r="B3372" s="540" t="s">
        <v>1856</v>
      </c>
      <c r="C3372" s="76" t="s">
        <v>7753</v>
      </c>
      <c r="D3372" s="77" t="s">
        <v>5251</v>
      </c>
      <c r="E3372" s="79" t="s">
        <v>7655</v>
      </c>
      <c r="F3372" s="616"/>
      <c r="G3372" s="616" t="s">
        <v>7633</v>
      </c>
      <c r="H3372" s="253"/>
      <c r="I3372" s="254"/>
      <c r="J3372" s="256">
        <v>50</v>
      </c>
      <c r="K3372" s="250">
        <v>6.48</v>
      </c>
      <c r="L3372" s="250">
        <f>K3372*J3372</f>
        <v>324</v>
      </c>
      <c r="M3372" s="783"/>
      <c r="N3372" s="429" t="s">
        <v>7754</v>
      </c>
      <c r="O3372" s="427"/>
      <c r="P3372" s="250">
        <f>K3372*(VLOOKUP(B3372,$C$2:$F$6,3,FALSE))</f>
        <v>5.7024000000000008</v>
      </c>
      <c r="Q3372" s="250">
        <v>5.7</v>
      </c>
      <c r="R3372" s="2243">
        <f>Q3372*J3372</f>
        <v>285</v>
      </c>
      <c r="S3372" s="2372">
        <f>482+48+14</f>
        <v>544</v>
      </c>
      <c r="T3372" s="80">
        <f>S3372*J3372</f>
        <v>27200</v>
      </c>
      <c r="U3372" s="2244"/>
      <c r="V3372" s="546">
        <v>120</v>
      </c>
      <c r="W3372" s="2117">
        <f t="shared" si="255"/>
        <v>0.30041152263374488</v>
      </c>
    </row>
    <row r="3373" spans="2:23" s="7" customFormat="1" ht="15">
      <c r="B3373" s="12"/>
      <c r="C3373" s="6" t="s">
        <v>7753</v>
      </c>
      <c r="D3373" s="15" t="s">
        <v>5251</v>
      </c>
      <c r="E3373" s="20" t="s">
        <v>7726</v>
      </c>
      <c r="F3373" s="26"/>
      <c r="G3373" s="24"/>
      <c r="H3373" s="67"/>
      <c r="I3373" s="68"/>
      <c r="J3373" s="67"/>
      <c r="K3373" s="17" t="s">
        <v>134</v>
      </c>
      <c r="L3373" s="39"/>
      <c r="M3373" s="39"/>
      <c r="N3373" s="39">
        <v>45561</v>
      </c>
      <c r="O3373" s="38">
        <v>6506</v>
      </c>
      <c r="P3373" s="6" t="s">
        <v>23</v>
      </c>
      <c r="Q3373" s="481"/>
      <c r="S3373" s="489"/>
      <c r="T3373" s="113"/>
      <c r="U3373" s="500"/>
      <c r="V3373" s="494">
        <v>120</v>
      </c>
      <c r="W3373" s="2041" t="e">
        <f t="shared" si="255"/>
        <v>#VALUE!</v>
      </c>
    </row>
    <row r="3374" spans="2:23" s="7" customFormat="1" ht="17.25" customHeight="1">
      <c r="B3374" s="12" t="s">
        <v>1856</v>
      </c>
      <c r="C3374" s="6" t="s">
        <v>7753</v>
      </c>
      <c r="D3374" s="15" t="s">
        <v>5251</v>
      </c>
      <c r="E3374" s="24" t="s">
        <v>7722</v>
      </c>
      <c r="F3374" s="44"/>
      <c r="G3374" s="44" t="s">
        <v>7728</v>
      </c>
      <c r="H3374" s="151"/>
      <c r="I3374" s="152"/>
      <c r="J3374" s="8">
        <v>50</v>
      </c>
      <c r="K3374" s="46">
        <v>5.45</v>
      </c>
      <c r="L3374" s="46">
        <f>K3374*J3374</f>
        <v>272.5</v>
      </c>
      <c r="M3374" s="112"/>
      <c r="N3374" s="39">
        <v>45561</v>
      </c>
      <c r="O3374" s="38">
        <v>6506</v>
      </c>
      <c r="P3374" s="46">
        <f>K3374*(VLOOKUP(B3374,$C$2:$F$6,3,FALSE))</f>
        <v>4.7960000000000003</v>
      </c>
      <c r="Q3374" s="46">
        <v>4.8</v>
      </c>
      <c r="R3374" s="703">
        <f>Q3374*J3374</f>
        <v>240</v>
      </c>
      <c r="S3374" s="94">
        <v>425</v>
      </c>
      <c r="T3374" s="7">
        <f>S3374*J3374</f>
        <v>21250</v>
      </c>
      <c r="U3374" s="23"/>
      <c r="V3374" s="494">
        <v>120</v>
      </c>
      <c r="W3374" s="2041">
        <f t="shared" si="255"/>
        <v>0.35015290519877673</v>
      </c>
    </row>
    <row r="3375" spans="2:23" s="80" customFormat="1" ht="17.25" customHeight="1">
      <c r="B3375" s="540" t="s">
        <v>1862</v>
      </c>
      <c r="C3375" s="76" t="s">
        <v>7753</v>
      </c>
      <c r="D3375" s="77" t="s">
        <v>5251</v>
      </c>
      <c r="E3375" s="249"/>
      <c r="F3375" s="616"/>
      <c r="G3375" s="616" t="s">
        <v>2014</v>
      </c>
      <c r="H3375" s="253"/>
      <c r="I3375" s="254"/>
      <c r="J3375" s="619">
        <v>1</v>
      </c>
      <c r="K3375" s="250">
        <v>125</v>
      </c>
      <c r="L3375" s="250">
        <f>K3375*J3375</f>
        <v>125</v>
      </c>
      <c r="M3375" s="783"/>
      <c r="N3375" s="2373" t="s">
        <v>7755</v>
      </c>
      <c r="O3375" s="427"/>
      <c r="P3375" s="250">
        <f>K3375*(VLOOKUP(B3375,$C$2:$F$6,3,FALSE))</f>
        <v>125</v>
      </c>
      <c r="Q3375" s="250">
        <v>125</v>
      </c>
      <c r="R3375" s="2243">
        <f>Q3375*J3375</f>
        <v>125</v>
      </c>
      <c r="S3375" s="80">
        <v>12000</v>
      </c>
      <c r="T3375" s="80">
        <f>S3375*J3375</f>
        <v>12000</v>
      </c>
      <c r="U3375" s="2244"/>
      <c r="V3375" s="546">
        <v>120</v>
      </c>
      <c r="W3375" s="2117">
        <f t="shared" si="255"/>
        <v>0.2</v>
      </c>
    </row>
    <row r="3376" spans="2:23" s="7" customFormat="1" ht="17.25" customHeight="1">
      <c r="B3376" s="12" t="s">
        <v>1856</v>
      </c>
      <c r="C3376" s="6" t="s">
        <v>7753</v>
      </c>
      <c r="D3376" s="15" t="s">
        <v>5251</v>
      </c>
      <c r="E3376" s="24" t="s">
        <v>7722</v>
      </c>
      <c r="F3376" s="44"/>
      <c r="G3376" s="44" t="s">
        <v>7729</v>
      </c>
      <c r="H3376" s="151"/>
      <c r="I3376" s="152"/>
      <c r="J3376" s="8">
        <v>100</v>
      </c>
      <c r="K3376" s="46">
        <v>5.45</v>
      </c>
      <c r="L3376" s="46">
        <f>K3376*J3376</f>
        <v>545</v>
      </c>
      <c r="M3376" s="112"/>
      <c r="N3376" s="39">
        <v>45569</v>
      </c>
      <c r="O3376" s="38">
        <v>6524</v>
      </c>
      <c r="P3376" s="46">
        <v>5</v>
      </c>
      <c r="Q3376" s="46">
        <v>4.8</v>
      </c>
      <c r="R3376" s="703">
        <f>Q3376*J3376</f>
        <v>480</v>
      </c>
      <c r="S3376" s="94">
        <v>425</v>
      </c>
      <c r="T3376" s="7">
        <f>S3376*J3376</f>
        <v>42500</v>
      </c>
      <c r="U3376" s="23"/>
      <c r="V3376" s="494">
        <v>120</v>
      </c>
      <c r="W3376" s="2041">
        <f t="shared" si="255"/>
        <v>0.35015290519877673</v>
      </c>
    </row>
    <row r="3377" spans="2:23" s="7" customFormat="1" ht="15">
      <c r="B3377" s="12"/>
      <c r="C3377" s="6" t="s">
        <v>7753</v>
      </c>
      <c r="D3377" s="15" t="s">
        <v>5251</v>
      </c>
      <c r="E3377" s="20" t="s">
        <v>7732</v>
      </c>
      <c r="F3377" s="26"/>
      <c r="G3377" s="24"/>
      <c r="H3377" s="67"/>
      <c r="I3377" s="68"/>
      <c r="J3377" s="67"/>
      <c r="K3377" s="17" t="s">
        <v>7727</v>
      </c>
      <c r="L3377" s="39"/>
      <c r="M3377" s="39"/>
      <c r="N3377" s="39">
        <v>45561</v>
      </c>
      <c r="O3377" s="38">
        <v>6506</v>
      </c>
      <c r="P3377" s="6" t="s">
        <v>23</v>
      </c>
      <c r="Q3377" s="481"/>
      <c r="S3377" s="489"/>
      <c r="T3377" s="113"/>
      <c r="U3377" s="500"/>
      <c r="V3377" s="494">
        <v>120</v>
      </c>
      <c r="W3377" s="2041" t="e">
        <f t="shared" si="255"/>
        <v>#VALUE!</v>
      </c>
    </row>
    <row r="3378" spans="2:23" s="7" customFormat="1" ht="17.25" customHeight="1">
      <c r="B3378" s="12" t="s">
        <v>1862</v>
      </c>
      <c r="C3378" s="6" t="s">
        <v>7753</v>
      </c>
      <c r="D3378" s="15" t="s">
        <v>5251</v>
      </c>
      <c r="E3378" s="24" t="s">
        <v>7756</v>
      </c>
      <c r="F3378" s="44"/>
      <c r="G3378" s="44" t="s">
        <v>7757</v>
      </c>
      <c r="H3378" s="151"/>
      <c r="I3378" s="152"/>
      <c r="J3378" s="45">
        <v>1</v>
      </c>
      <c r="K3378" s="46">
        <v>110</v>
      </c>
      <c r="L3378" s="46">
        <f>K3378*J3378</f>
        <v>110</v>
      </c>
      <c r="M3378" s="112"/>
      <c r="N3378" s="39">
        <v>45561</v>
      </c>
      <c r="O3378" s="38">
        <v>6506</v>
      </c>
      <c r="P3378" s="46">
        <f>K3378*(VLOOKUP(B3378,$C$2:$F$6,3,FALSE))</f>
        <v>110</v>
      </c>
      <c r="Q3378" s="46">
        <v>110</v>
      </c>
      <c r="R3378" s="703">
        <f>Q3378*J3378</f>
        <v>110</v>
      </c>
      <c r="S3378" s="7">
        <v>12000</v>
      </c>
      <c r="T3378" s="7">
        <f>S3378*J3378</f>
        <v>12000</v>
      </c>
      <c r="U3378" s="23"/>
      <c r="V3378" s="494">
        <v>120</v>
      </c>
      <c r="W3378" s="2041">
        <f t="shared" si="255"/>
        <v>9.0909090909090912E-2</v>
      </c>
    </row>
    <row r="3379" spans="2:23" s="7" customFormat="1" ht="17.25" customHeight="1">
      <c r="B3379" s="12" t="s">
        <v>1856</v>
      </c>
      <c r="C3379" s="6" t="s">
        <v>7753</v>
      </c>
      <c r="D3379" s="15" t="s">
        <v>5251</v>
      </c>
      <c r="E3379" s="24" t="s">
        <v>7634</v>
      </c>
      <c r="F3379" s="1013">
        <v>3.5</v>
      </c>
      <c r="G3379" s="44" t="s">
        <v>2808</v>
      </c>
      <c r="H3379" s="67">
        <v>200</v>
      </c>
      <c r="I3379" s="68">
        <v>1</v>
      </c>
      <c r="J3379" s="8">
        <f>H3379*I3379</f>
        <v>200</v>
      </c>
      <c r="K3379" s="46">
        <v>0.25</v>
      </c>
      <c r="L3379" s="46">
        <f>K3379*J3379</f>
        <v>50</v>
      </c>
      <c r="M3379" s="112"/>
      <c r="N3379" s="417" t="s">
        <v>7663</v>
      </c>
      <c r="O3379" s="38"/>
      <c r="P3379" s="46">
        <f>K3379*(VLOOKUP(B3379,$C$2:$F$6,3,FALSE))</f>
        <v>0.22</v>
      </c>
      <c r="Q3379" s="46">
        <v>0.22</v>
      </c>
      <c r="R3379" s="703">
        <f>Q3379*J3379</f>
        <v>44</v>
      </c>
      <c r="S3379" s="7">
        <v>18</v>
      </c>
      <c r="T3379" s="7">
        <f>S3379*J3379</f>
        <v>3600</v>
      </c>
      <c r="U3379" s="23"/>
      <c r="V3379" s="494">
        <v>120</v>
      </c>
      <c r="W3379" s="2041">
        <f t="shared" si="255"/>
        <v>0.4</v>
      </c>
    </row>
    <row r="3380" spans="2:23" s="314" customFormat="1" ht="15">
      <c r="B3380" s="313"/>
      <c r="C3380" s="302" t="s">
        <v>7753</v>
      </c>
      <c r="D3380" s="303" t="s">
        <v>5251</v>
      </c>
      <c r="E3380" s="304"/>
      <c r="F3380" s="305"/>
      <c r="G3380" s="305" t="s">
        <v>1227</v>
      </c>
      <c r="H3380" s="307" t="s">
        <v>1228</v>
      </c>
      <c r="I3380" s="308"/>
      <c r="J3380" s="306"/>
      <c r="K3380" s="315">
        <v>0</v>
      </c>
      <c r="L3380" s="310"/>
      <c r="M3380" s="310"/>
      <c r="N3380" s="310"/>
      <c r="O3380" s="309"/>
      <c r="P3380" s="302"/>
      <c r="Q3380" s="485">
        <v>0</v>
      </c>
      <c r="S3380" s="535">
        <v>0</v>
      </c>
      <c r="T3380" s="322">
        <v>0</v>
      </c>
      <c r="U3380" s="515"/>
      <c r="V3380" s="494">
        <v>120</v>
      </c>
      <c r="W3380" s="2041" t="e">
        <f t="shared" si="255"/>
        <v>#DIV/0!</v>
      </c>
    </row>
    <row r="3381" spans="2:23" s="7" customFormat="1" ht="15" customHeight="1">
      <c r="B3381" s="12"/>
      <c r="C3381" s="6" t="s">
        <v>7642</v>
      </c>
      <c r="D3381" s="15" t="s">
        <v>7184</v>
      </c>
      <c r="E3381" s="20" t="s">
        <v>6457</v>
      </c>
      <c r="F3381" s="26"/>
      <c r="G3381" s="24"/>
      <c r="H3381" s="67"/>
      <c r="I3381" s="68"/>
      <c r="J3381" s="67"/>
      <c r="K3381" s="17" t="s">
        <v>134</v>
      </c>
      <c r="L3381" s="39"/>
      <c r="M3381" s="39"/>
      <c r="N3381" s="39">
        <v>45538</v>
      </c>
      <c r="O3381" s="38">
        <v>6442</v>
      </c>
      <c r="P3381" s="179" t="s">
        <v>23</v>
      </c>
      <c r="Q3381" s="438" t="s">
        <v>959</v>
      </c>
      <c r="R3381" s="704"/>
      <c r="S3381" s="707"/>
      <c r="T3381" s="113"/>
      <c r="U3381" s="2068"/>
      <c r="V3381" s="494">
        <v>120</v>
      </c>
      <c r="W3381" s="2041" t="e">
        <f t="shared" si="255"/>
        <v>#VALUE!</v>
      </c>
    </row>
    <row r="3382" spans="2:23" s="7" customFormat="1" ht="18" customHeight="1">
      <c r="B3382" s="12" t="s">
        <v>1856</v>
      </c>
      <c r="C3382" s="6" t="s">
        <v>7642</v>
      </c>
      <c r="D3382" s="15" t="s">
        <v>7184</v>
      </c>
      <c r="E3382" s="24">
        <v>12740</v>
      </c>
      <c r="F3382" s="26">
        <v>9</v>
      </c>
      <c r="G3382" s="24" t="s">
        <v>7643</v>
      </c>
      <c r="H3382" s="67">
        <v>10</v>
      </c>
      <c r="I3382" s="68">
        <v>11</v>
      </c>
      <c r="J3382" s="67">
        <f>H3382*I3382</f>
        <v>110</v>
      </c>
      <c r="K3382" s="46">
        <v>2.02</v>
      </c>
      <c r="L3382" s="46">
        <f>K3382*J3382</f>
        <v>222.2</v>
      </c>
      <c r="M3382" s="162" t="s">
        <v>2219</v>
      </c>
      <c r="N3382" s="39">
        <v>45538</v>
      </c>
      <c r="O3382" s="38">
        <v>6442</v>
      </c>
      <c r="P3382" s="46">
        <v>0.92</v>
      </c>
      <c r="Q3382" s="180">
        <v>0.92</v>
      </c>
      <c r="R3382" s="704">
        <f>Q3382*J3382</f>
        <v>101.2</v>
      </c>
      <c r="S3382" s="489">
        <v>61.6</v>
      </c>
      <c r="T3382" s="113">
        <f>S3382*J3382</f>
        <v>6776</v>
      </c>
      <c r="U3382" s="489"/>
      <c r="V3382" s="494">
        <v>120</v>
      </c>
      <c r="W3382" s="2041">
        <f t="shared" si="255"/>
        <v>0.74587458745874591</v>
      </c>
    </row>
    <row r="3383" spans="2:23" ht="15.95" customHeight="1">
      <c r="C3383" s="6" t="s">
        <v>7642</v>
      </c>
      <c r="D3383" s="15" t="s">
        <v>7184</v>
      </c>
      <c r="E3383" s="24"/>
      <c r="F3383" s="138"/>
      <c r="G3383" s="44" t="s">
        <v>1993</v>
      </c>
      <c r="H3383" s="8"/>
      <c r="I3383" s="68"/>
      <c r="J3383" s="45">
        <v>1</v>
      </c>
      <c r="K3383" s="46">
        <v>12</v>
      </c>
      <c r="L3383" s="46">
        <f>K3383*J3383</f>
        <v>12</v>
      </c>
      <c r="M3383" s="112"/>
      <c r="N3383" s="39">
        <v>45538</v>
      </c>
      <c r="O3383" s="38">
        <v>6442</v>
      </c>
      <c r="P3383" s="179"/>
      <c r="Q3383" s="180">
        <v>12</v>
      </c>
      <c r="R3383" s="180">
        <v>12</v>
      </c>
      <c r="S3383" s="498">
        <v>0</v>
      </c>
      <c r="T3383" s="568">
        <f>S3383*J3383</f>
        <v>0</v>
      </c>
      <c r="U3383" s="511"/>
      <c r="V3383" s="494">
        <v>120</v>
      </c>
      <c r="W3383" s="2041">
        <f t="shared" si="255"/>
        <v>1</v>
      </c>
    </row>
    <row r="3384" spans="2:23" s="314" customFormat="1" ht="19.5">
      <c r="B3384" s="313"/>
      <c r="C3384" s="302" t="s">
        <v>7642</v>
      </c>
      <c r="D3384" s="303" t="s">
        <v>7184</v>
      </c>
      <c r="E3384" s="304"/>
      <c r="F3384" s="305"/>
      <c r="G3384" s="305" t="s">
        <v>1227</v>
      </c>
      <c r="H3384" s="307"/>
      <c r="I3384" s="308" t="s">
        <v>6941</v>
      </c>
      <c r="J3384" s="410">
        <v>110</v>
      </c>
      <c r="K3384" s="315">
        <f>0.98*J3384</f>
        <v>107.8</v>
      </c>
      <c r="L3384" s="310"/>
      <c r="M3384" s="310"/>
      <c r="N3384" s="310">
        <v>45538</v>
      </c>
      <c r="O3384" s="309">
        <v>6442</v>
      </c>
      <c r="P3384" s="302"/>
      <c r="Q3384" s="315">
        <v>107.8</v>
      </c>
      <c r="R3384" s="315">
        <v>107.8</v>
      </c>
      <c r="S3384" s="2361">
        <v>2492</v>
      </c>
      <c r="T3384" s="2361">
        <v>2492</v>
      </c>
      <c r="U3384" s="515"/>
      <c r="V3384" s="494">
        <v>120</v>
      </c>
    </row>
    <row r="3385" spans="2:23" s="7" customFormat="1" ht="18" customHeight="1">
      <c r="B3385" s="12"/>
      <c r="C3385" s="6" t="s">
        <v>7644</v>
      </c>
      <c r="D3385" s="15" t="s">
        <v>11</v>
      </c>
      <c r="E3385" s="20" t="s">
        <v>27</v>
      </c>
      <c r="F3385" s="150"/>
      <c r="G3385" s="24"/>
      <c r="H3385" s="151"/>
      <c r="I3385" s="152"/>
      <c r="J3385" s="151"/>
      <c r="K3385" s="34" t="s">
        <v>10</v>
      </c>
      <c r="L3385" s="39"/>
      <c r="M3385" s="39"/>
      <c r="N3385" s="39">
        <v>45793</v>
      </c>
      <c r="O3385" s="38">
        <v>7100</v>
      </c>
      <c r="P3385" s="15"/>
      <c r="Q3385" s="483"/>
      <c r="S3385" s="2080"/>
      <c r="T3385" s="113"/>
      <c r="U3385" s="506"/>
      <c r="V3385" s="494">
        <v>120</v>
      </c>
      <c r="W3385" s="7" t="e">
        <f t="shared" ref="W3385:W3391" si="258">(((K3385*V3385)-S3385)/(K3385*V3385))</f>
        <v>#VALUE!</v>
      </c>
    </row>
    <row r="3386" spans="2:23" s="7" customFormat="1" ht="15.75">
      <c r="B3386" s="12" t="s">
        <v>1858</v>
      </c>
      <c r="C3386" s="6" t="s">
        <v>7644</v>
      </c>
      <c r="D3386" s="15" t="s">
        <v>11</v>
      </c>
      <c r="E3386" s="1012" t="s">
        <v>536</v>
      </c>
      <c r="F3386" s="150">
        <v>160</v>
      </c>
      <c r="G3386" s="24" t="s">
        <v>735</v>
      </c>
      <c r="H3386" s="67">
        <v>50</v>
      </c>
      <c r="I3386" s="68">
        <v>4</v>
      </c>
      <c r="J3386" s="8">
        <f>H3386*I3386</f>
        <v>200</v>
      </c>
      <c r="K3386" s="25">
        <v>5</v>
      </c>
      <c r="L3386" s="46">
        <f>K3386*J3386</f>
        <v>1000</v>
      </c>
      <c r="M3386" s="162" t="s">
        <v>2218</v>
      </c>
      <c r="N3386" s="39">
        <v>45793</v>
      </c>
      <c r="O3386" s="38">
        <v>7100</v>
      </c>
      <c r="P3386" s="46">
        <f>K3386*(VLOOKUP(B3386,$C$2:$F$6,3,FALSE))</f>
        <v>4.6999999999999993</v>
      </c>
      <c r="Q3386" s="483">
        <v>4.7</v>
      </c>
      <c r="R3386" s="704">
        <f>Q3386*J3386</f>
        <v>940</v>
      </c>
      <c r="S3386" s="532">
        <v>400</v>
      </c>
      <c r="T3386" s="567">
        <f>S3386*J3386</f>
        <v>80000</v>
      </c>
      <c r="U3386" s="501"/>
      <c r="V3386" s="494">
        <v>120</v>
      </c>
      <c r="W3386" s="2041">
        <f t="shared" si="258"/>
        <v>0.33333333333333331</v>
      </c>
    </row>
    <row r="3387" spans="2:23" s="7" customFormat="1" ht="15.75">
      <c r="B3387" s="12" t="s">
        <v>1858</v>
      </c>
      <c r="C3387" s="6" t="s">
        <v>7644</v>
      </c>
      <c r="D3387" s="15" t="s">
        <v>11</v>
      </c>
      <c r="E3387" s="1012" t="s">
        <v>536</v>
      </c>
      <c r="F3387" s="150">
        <v>160</v>
      </c>
      <c r="G3387" s="24" t="s">
        <v>2601</v>
      </c>
      <c r="H3387" s="67">
        <v>50</v>
      </c>
      <c r="I3387" s="68">
        <v>8</v>
      </c>
      <c r="J3387" s="8">
        <f>H3387*I3387</f>
        <v>400</v>
      </c>
      <c r="K3387" s="25">
        <v>5</v>
      </c>
      <c r="L3387" s="46">
        <f>K3387*J3387</f>
        <v>2000</v>
      </c>
      <c r="M3387" s="162" t="s">
        <v>2218</v>
      </c>
      <c r="N3387" s="39">
        <v>45793</v>
      </c>
      <c r="O3387" s="38">
        <v>7100</v>
      </c>
      <c r="P3387" s="46">
        <f>K3387*(VLOOKUP(B3387,$C$2:$F$6,3,FALSE))</f>
        <v>4.6999999999999993</v>
      </c>
      <c r="Q3387" s="483">
        <v>4.7</v>
      </c>
      <c r="R3387" s="704">
        <f>Q3387*J3387</f>
        <v>1880</v>
      </c>
      <c r="S3387" s="532">
        <v>400</v>
      </c>
      <c r="T3387" s="567">
        <f>S3387*J3387</f>
        <v>160000</v>
      </c>
      <c r="U3387" s="501"/>
      <c r="V3387" s="494">
        <v>120</v>
      </c>
      <c r="W3387" s="2041">
        <f t="shared" si="258"/>
        <v>0.33333333333333331</v>
      </c>
    </row>
    <row r="3388" spans="2:23" ht="15">
      <c r="C3388" s="6" t="s">
        <v>7644</v>
      </c>
      <c r="D3388" s="15" t="s">
        <v>11</v>
      </c>
      <c r="E3388" s="20" t="s">
        <v>79</v>
      </c>
      <c r="F3388" s="150"/>
      <c r="G3388" s="24"/>
      <c r="H3388" s="151"/>
      <c r="I3388" s="152"/>
      <c r="J3388" s="151"/>
      <c r="K3388" s="153" t="s">
        <v>10</v>
      </c>
      <c r="L3388" s="39"/>
      <c r="M3388" s="39"/>
      <c r="N3388" s="39">
        <v>45793</v>
      </c>
      <c r="O3388" s="38">
        <v>7100</v>
      </c>
      <c r="P3388" s="15"/>
      <c r="Q3388" s="483"/>
      <c r="S3388" s="2208"/>
      <c r="T3388" s="113"/>
      <c r="V3388" s="494">
        <v>120</v>
      </c>
      <c r="W3388" s="2041" t="e">
        <f t="shared" si="258"/>
        <v>#VALUE!</v>
      </c>
    </row>
    <row r="3389" spans="2:23" ht="15.75">
      <c r="B3389" s="12" t="s">
        <v>1858</v>
      </c>
      <c r="C3389" s="6" t="s">
        <v>7644</v>
      </c>
      <c r="D3389" s="15" t="s">
        <v>11</v>
      </c>
      <c r="E3389" s="1012">
        <v>2440</v>
      </c>
      <c r="F3389" s="150">
        <v>140</v>
      </c>
      <c r="G3389" s="24" t="s">
        <v>733</v>
      </c>
      <c r="H3389" s="67">
        <v>58</v>
      </c>
      <c r="I3389" s="68">
        <v>5</v>
      </c>
      <c r="J3389" s="67">
        <f>H3389*I3389</f>
        <v>290</v>
      </c>
      <c r="K3389" s="46">
        <v>3.89</v>
      </c>
      <c r="L3389" s="46">
        <f>K3389*J3389</f>
        <v>1128.1000000000001</v>
      </c>
      <c r="M3389" s="162" t="s">
        <v>2219</v>
      </c>
      <c r="N3389" s="39">
        <v>45793</v>
      </c>
      <c r="O3389" s="38">
        <v>7100</v>
      </c>
      <c r="P3389" s="46">
        <f>K3389*(VLOOKUP(B3389,$C$2:$F$6,3,FALSE))</f>
        <v>3.6566000000000001</v>
      </c>
      <c r="Q3389" s="483">
        <v>3.66</v>
      </c>
      <c r="R3389" s="704">
        <f>Q3389*J3389</f>
        <v>1061.4000000000001</v>
      </c>
      <c r="S3389" s="489">
        <v>300</v>
      </c>
      <c r="T3389" s="567">
        <f>S3389*J3389</f>
        <v>87000</v>
      </c>
      <c r="V3389" s="494">
        <v>120</v>
      </c>
      <c r="W3389" s="2041">
        <f t="shared" si="258"/>
        <v>0.35732647814910029</v>
      </c>
    </row>
    <row r="3390" spans="2:23" ht="15">
      <c r="C3390" s="6" t="s">
        <v>7644</v>
      </c>
      <c r="D3390" s="15" t="s">
        <v>11</v>
      </c>
      <c r="E3390" s="24"/>
      <c r="F3390" s="160"/>
      <c r="G3390" s="228" t="s">
        <v>481</v>
      </c>
      <c r="H3390" s="214"/>
      <c r="I3390" s="215"/>
      <c r="J3390" s="43">
        <v>1</v>
      </c>
      <c r="K3390" s="229">
        <v>20</v>
      </c>
      <c r="L3390" s="417" t="s">
        <v>1676</v>
      </c>
      <c r="M3390" s="417"/>
      <c r="N3390" s="39">
        <v>45793</v>
      </c>
      <c r="O3390" s="38">
        <v>7100</v>
      </c>
      <c r="P3390" s="216"/>
      <c r="Q3390" s="525">
        <v>0</v>
      </c>
      <c r="R3390" s="704">
        <f>Q3390*J3390</f>
        <v>0</v>
      </c>
      <c r="S3390" s="532">
        <v>1800</v>
      </c>
      <c r="T3390" s="113">
        <f>S3390*J3390</f>
        <v>1800</v>
      </c>
      <c r="V3390" s="494">
        <v>120</v>
      </c>
      <c r="W3390" s="2041">
        <f t="shared" si="258"/>
        <v>0.25</v>
      </c>
    </row>
    <row r="3391" spans="2:23" s="314" customFormat="1" ht="15">
      <c r="B3391" s="313"/>
      <c r="C3391" s="302" t="s">
        <v>7644</v>
      </c>
      <c r="D3391" s="303" t="s">
        <v>11</v>
      </c>
      <c r="E3391" s="304"/>
      <c r="F3391" s="305"/>
      <c r="G3391" s="305" t="s">
        <v>1227</v>
      </c>
      <c r="H3391" s="307" t="s">
        <v>1228</v>
      </c>
      <c r="I3391" s="308"/>
      <c r="J3391" s="306"/>
      <c r="K3391" s="315">
        <v>0</v>
      </c>
      <c r="L3391" s="310"/>
      <c r="M3391" s="310"/>
      <c r="N3391" s="310">
        <v>45793</v>
      </c>
      <c r="O3391" s="309">
        <v>7100</v>
      </c>
      <c r="P3391" s="302"/>
      <c r="Q3391" s="485">
        <v>0</v>
      </c>
      <c r="S3391" s="535">
        <v>0</v>
      </c>
      <c r="T3391" s="322">
        <v>0</v>
      </c>
      <c r="U3391" s="515"/>
      <c r="V3391" s="494">
        <v>120</v>
      </c>
      <c r="W3391" s="2041" t="e">
        <f t="shared" si="258"/>
        <v>#DIV/0!</v>
      </c>
    </row>
    <row r="3392" spans="2:23" s="7" customFormat="1" ht="18" customHeight="1">
      <c r="B3392" s="12"/>
      <c r="C3392" s="6" t="s">
        <v>7646</v>
      </c>
      <c r="D3392" s="15" t="s">
        <v>11</v>
      </c>
      <c r="E3392" s="20" t="s">
        <v>7645</v>
      </c>
      <c r="F3392" s="24"/>
      <c r="G3392" s="44"/>
      <c r="H3392" s="151"/>
      <c r="I3392" s="151"/>
      <c r="J3392" s="151"/>
      <c r="K3392" s="153" t="s">
        <v>10</v>
      </c>
      <c r="L3392" s="39"/>
      <c r="M3392" s="39"/>
      <c r="N3392" s="39">
        <v>45555</v>
      </c>
      <c r="O3392" s="38">
        <v>6445</v>
      </c>
      <c r="P3392" s="6"/>
      <c r="Q3392" s="411"/>
      <c r="S3392" s="2350" t="s">
        <v>2297</v>
      </c>
      <c r="T3392" s="113"/>
      <c r="U3392" s="2352" t="s">
        <v>7648</v>
      </c>
      <c r="V3392" s="494">
        <v>120</v>
      </c>
    </row>
    <row r="3393" spans="2:23" s="7" customFormat="1" ht="15.95" customHeight="1">
      <c r="B3393" s="12" t="s">
        <v>1856</v>
      </c>
      <c r="C3393" s="6" t="s">
        <v>7646</v>
      </c>
      <c r="D3393" s="15" t="s">
        <v>11</v>
      </c>
      <c r="E3393" s="24" t="s">
        <v>7293</v>
      </c>
      <c r="F3393" s="44">
        <v>9</v>
      </c>
      <c r="G3393" s="44" t="s">
        <v>7647</v>
      </c>
      <c r="H3393" s="67">
        <v>30</v>
      </c>
      <c r="I3393" s="68">
        <v>15</v>
      </c>
      <c r="J3393" s="67">
        <f>H3393*I3393</f>
        <v>450</v>
      </c>
      <c r="K3393" s="46">
        <v>0.32</v>
      </c>
      <c r="L3393" s="46">
        <f>K3393*J3393</f>
        <v>144</v>
      </c>
      <c r="M3393" s="162" t="s">
        <v>2219</v>
      </c>
      <c r="N3393" s="39">
        <v>45555</v>
      </c>
      <c r="O3393" s="38">
        <v>6445</v>
      </c>
      <c r="P3393" s="46">
        <f>K3393*(VLOOKUP(B3393,$C$2:$F$6,3,FALSE))</f>
        <v>0.28160000000000002</v>
      </c>
      <c r="Q3393" s="483">
        <v>0.28000000000000003</v>
      </c>
      <c r="R3393" s="704">
        <f>Q3393*J3393</f>
        <v>126.00000000000001</v>
      </c>
      <c r="S3393" s="2351">
        <v>17.600000000000001</v>
      </c>
      <c r="T3393" s="113">
        <f>S3393*J3393</f>
        <v>7920.0000000000009</v>
      </c>
      <c r="U3393" s="2351">
        <v>19.37</v>
      </c>
      <c r="V3393" s="494">
        <v>120</v>
      </c>
      <c r="W3393" s="2041">
        <f t="shared" ref="W3393:W3402" si="259">(((K3393*V3393)-S3393)/(K3393*V3393))</f>
        <v>0.54166666666666663</v>
      </c>
    </row>
    <row r="3394" spans="2:23" s="314" customFormat="1" ht="15">
      <c r="B3394" s="313"/>
      <c r="C3394" s="302" t="s">
        <v>7646</v>
      </c>
      <c r="D3394" s="303" t="s">
        <v>11</v>
      </c>
      <c r="E3394" s="304"/>
      <c r="F3394" s="305"/>
      <c r="G3394" s="305" t="s">
        <v>1227</v>
      </c>
      <c r="H3394" s="307" t="s">
        <v>1228</v>
      </c>
      <c r="I3394" s="308"/>
      <c r="J3394" s="306"/>
      <c r="K3394" s="315">
        <v>0</v>
      </c>
      <c r="L3394" s="310"/>
      <c r="M3394" s="310"/>
      <c r="N3394" s="310">
        <v>45555</v>
      </c>
      <c r="O3394" s="309">
        <v>6445</v>
      </c>
      <c r="P3394" s="302"/>
      <c r="Q3394" s="485">
        <v>0</v>
      </c>
      <c r="S3394" s="535">
        <v>0</v>
      </c>
      <c r="T3394" s="322">
        <v>0</v>
      </c>
      <c r="U3394" s="515"/>
      <c r="V3394" s="494">
        <v>120</v>
      </c>
      <c r="W3394" s="2041" t="e">
        <f t="shared" si="259"/>
        <v>#DIV/0!</v>
      </c>
    </row>
    <row r="3395" spans="2:23" s="7" customFormat="1" ht="18" customHeight="1">
      <c r="B3395" s="12"/>
      <c r="C3395" s="6" t="s">
        <v>7649</v>
      </c>
      <c r="D3395" s="15" t="s">
        <v>11</v>
      </c>
      <c r="E3395" s="20" t="s">
        <v>27</v>
      </c>
      <c r="F3395" s="150"/>
      <c r="G3395" s="24"/>
      <c r="H3395" s="151"/>
      <c r="I3395" s="152"/>
      <c r="J3395" s="151"/>
      <c r="K3395" s="34" t="s">
        <v>10</v>
      </c>
      <c r="L3395" s="39"/>
      <c r="M3395" s="39"/>
      <c r="N3395" s="39">
        <v>45555</v>
      </c>
      <c r="O3395" s="38">
        <v>6445</v>
      </c>
      <c r="P3395" s="15"/>
      <c r="Q3395" s="483"/>
      <c r="S3395" s="2080"/>
      <c r="T3395" s="113"/>
      <c r="U3395" s="506"/>
      <c r="V3395" s="494">
        <v>120</v>
      </c>
      <c r="W3395" s="7" t="e">
        <f t="shared" si="259"/>
        <v>#VALUE!</v>
      </c>
    </row>
    <row r="3396" spans="2:23" s="7" customFormat="1" ht="15.75">
      <c r="B3396" s="12" t="s">
        <v>1858</v>
      </c>
      <c r="C3396" s="6" t="s">
        <v>7649</v>
      </c>
      <c r="D3396" s="15" t="s">
        <v>11</v>
      </c>
      <c r="E3396" s="24" t="s">
        <v>536</v>
      </c>
      <c r="F3396" s="150">
        <v>160</v>
      </c>
      <c r="G3396" s="24" t="s">
        <v>7650</v>
      </c>
      <c r="H3396" s="67">
        <v>50</v>
      </c>
      <c r="I3396" s="68">
        <v>4</v>
      </c>
      <c r="J3396" s="8">
        <f>H3396*I3396</f>
        <v>200</v>
      </c>
      <c r="K3396" s="25">
        <v>5</v>
      </c>
      <c r="L3396" s="46">
        <f>K3396*J3396</f>
        <v>1000</v>
      </c>
      <c r="M3396" s="162" t="s">
        <v>2218</v>
      </c>
      <c r="N3396" s="39">
        <v>45555</v>
      </c>
      <c r="O3396" s="38">
        <v>6445</v>
      </c>
      <c r="P3396" s="46">
        <f>K3396*(VLOOKUP(B3396,$C$2:$F$6,3,FALSE))</f>
        <v>4.6999999999999993</v>
      </c>
      <c r="Q3396" s="483">
        <v>4.7</v>
      </c>
      <c r="R3396" s="704">
        <f>Q3396*J3396</f>
        <v>940</v>
      </c>
      <c r="S3396" s="532">
        <v>400</v>
      </c>
      <c r="T3396" s="567">
        <f>S3396*J3396</f>
        <v>80000</v>
      </c>
      <c r="U3396" s="501"/>
      <c r="V3396" s="494">
        <v>120</v>
      </c>
      <c r="W3396" s="2041">
        <f t="shared" si="259"/>
        <v>0.33333333333333331</v>
      </c>
    </row>
    <row r="3397" spans="2:23" ht="15">
      <c r="C3397" s="6" t="s">
        <v>7649</v>
      </c>
      <c r="D3397" s="15" t="s">
        <v>11</v>
      </c>
      <c r="E3397" s="24"/>
      <c r="F3397" s="160"/>
      <c r="G3397" s="228" t="s">
        <v>481</v>
      </c>
      <c r="H3397" s="214"/>
      <c r="I3397" s="215"/>
      <c r="J3397" s="43">
        <v>1</v>
      </c>
      <c r="K3397" s="229">
        <v>20</v>
      </c>
      <c r="L3397" s="417" t="s">
        <v>1676</v>
      </c>
      <c r="M3397" s="417"/>
      <c r="N3397" s="39">
        <v>45555</v>
      </c>
      <c r="O3397" s="38">
        <v>6445</v>
      </c>
      <c r="P3397" s="216"/>
      <c r="Q3397" s="525">
        <v>0</v>
      </c>
      <c r="R3397" s="704">
        <f>Q3397*J3397</f>
        <v>0</v>
      </c>
      <c r="S3397" s="532">
        <v>2500</v>
      </c>
      <c r="T3397" s="113">
        <f>S3397*J3397</f>
        <v>2500</v>
      </c>
      <c r="V3397" s="494">
        <v>120</v>
      </c>
      <c r="W3397" s="2041">
        <f t="shared" si="259"/>
        <v>-4.1666666666666664E-2</v>
      </c>
    </row>
    <row r="3398" spans="2:23" s="314" customFormat="1" ht="15">
      <c r="B3398" s="313"/>
      <c r="C3398" s="302" t="s">
        <v>7649</v>
      </c>
      <c r="D3398" s="303" t="s">
        <v>11</v>
      </c>
      <c r="E3398" s="304"/>
      <c r="F3398" s="305"/>
      <c r="G3398" s="305" t="s">
        <v>1227</v>
      </c>
      <c r="H3398" s="307" t="s">
        <v>1228</v>
      </c>
      <c r="I3398" s="308"/>
      <c r="J3398" s="306"/>
      <c r="K3398" s="315">
        <v>0</v>
      </c>
      <c r="L3398" s="310"/>
      <c r="M3398" s="310"/>
      <c r="N3398" s="310">
        <v>45555</v>
      </c>
      <c r="O3398" s="309">
        <v>6445</v>
      </c>
      <c r="P3398" s="302"/>
      <c r="Q3398" s="485">
        <v>0</v>
      </c>
      <c r="S3398" s="535">
        <v>0</v>
      </c>
      <c r="T3398" s="322">
        <v>0</v>
      </c>
      <c r="U3398" s="515"/>
      <c r="V3398" s="494">
        <v>120</v>
      </c>
      <c r="W3398" s="2041" t="e">
        <f t="shared" si="259"/>
        <v>#DIV/0!</v>
      </c>
    </row>
    <row r="3399" spans="2:23" s="7" customFormat="1" ht="15" customHeight="1">
      <c r="B3399" s="12"/>
      <c r="C3399" s="6" t="s">
        <v>7651</v>
      </c>
      <c r="D3399" s="15" t="s">
        <v>7652</v>
      </c>
      <c r="E3399" s="2013" t="s">
        <v>5978</v>
      </c>
      <c r="F3399" s="26"/>
      <c r="G3399" s="24"/>
      <c r="H3399" s="67"/>
      <c r="I3399" s="68"/>
      <c r="J3399" s="67"/>
      <c r="K3399" s="17" t="s">
        <v>134</v>
      </c>
      <c r="L3399" s="39"/>
      <c r="M3399" s="39"/>
      <c r="N3399" s="39">
        <v>45545</v>
      </c>
      <c r="O3399" s="38">
        <v>6462</v>
      </c>
      <c r="P3399" s="179" t="s">
        <v>23</v>
      </c>
      <c r="Q3399" s="438" t="s">
        <v>959</v>
      </c>
      <c r="R3399" s="704"/>
      <c r="S3399" s="489"/>
      <c r="T3399" s="113"/>
      <c r="U3399" s="510"/>
      <c r="V3399" s="494">
        <v>120</v>
      </c>
      <c r="W3399" s="2041" t="e">
        <f t="shared" si="259"/>
        <v>#VALUE!</v>
      </c>
    </row>
    <row r="3400" spans="2:23" s="7" customFormat="1" ht="18" customHeight="1">
      <c r="B3400" s="12" t="s">
        <v>1856</v>
      </c>
      <c r="C3400" s="6" t="s">
        <v>7651</v>
      </c>
      <c r="D3400" s="15" t="s">
        <v>7652</v>
      </c>
      <c r="E3400" s="24" t="s">
        <v>5973</v>
      </c>
      <c r="F3400" s="246">
        <v>10</v>
      </c>
      <c r="G3400" s="24" t="s">
        <v>5974</v>
      </c>
      <c r="H3400" s="151">
        <v>100</v>
      </c>
      <c r="I3400" s="152">
        <v>1</v>
      </c>
      <c r="J3400" s="8">
        <f>H3400*I3400</f>
        <v>100</v>
      </c>
      <c r="K3400" s="46">
        <v>0.82</v>
      </c>
      <c r="L3400" s="46">
        <f>K3400*J3400</f>
        <v>82</v>
      </c>
      <c r="M3400" s="162" t="s">
        <v>7654</v>
      </c>
      <c r="N3400" s="39">
        <v>45545</v>
      </c>
      <c r="O3400" s="38">
        <v>6462</v>
      </c>
      <c r="P3400" s="46">
        <f>K3400*(VLOOKUP(B3400,$C$2:$F$6,3,FALSE))</f>
        <v>0.72159999999999991</v>
      </c>
      <c r="Q3400" s="180">
        <v>0.72</v>
      </c>
      <c r="R3400" s="704">
        <f>Q3400*J3400</f>
        <v>72</v>
      </c>
      <c r="S3400" s="489">
        <v>44</v>
      </c>
      <c r="T3400" s="113">
        <f>S3400*J3400</f>
        <v>4400</v>
      </c>
      <c r="U3400" s="867"/>
      <c r="V3400" s="494">
        <v>120</v>
      </c>
      <c r="W3400" s="2041">
        <f t="shared" si="259"/>
        <v>0.55284552845528456</v>
      </c>
    </row>
    <row r="3401" spans="2:23" ht="15.95" customHeight="1">
      <c r="C3401" s="6" t="s">
        <v>7651</v>
      </c>
      <c r="D3401" s="15" t="s">
        <v>7652</v>
      </c>
      <c r="E3401" s="24"/>
      <c r="F3401" s="138"/>
      <c r="G3401" s="44" t="s">
        <v>1993</v>
      </c>
      <c r="H3401" s="8"/>
      <c r="I3401" s="68"/>
      <c r="J3401" s="45">
        <v>1</v>
      </c>
      <c r="K3401" s="46">
        <v>12</v>
      </c>
      <c r="L3401" s="46">
        <f>K3401*J3401</f>
        <v>12</v>
      </c>
      <c r="M3401" s="112"/>
      <c r="N3401" s="39">
        <v>45545</v>
      </c>
      <c r="O3401" s="38">
        <v>6462</v>
      </c>
      <c r="P3401" s="179"/>
      <c r="Q3401" s="180">
        <v>12</v>
      </c>
      <c r="R3401" s="180">
        <v>12</v>
      </c>
      <c r="S3401" s="498">
        <v>1000</v>
      </c>
      <c r="T3401" s="568">
        <f>S3401*J3401</f>
        <v>1000</v>
      </c>
      <c r="U3401" s="511"/>
      <c r="V3401" s="494">
        <v>120</v>
      </c>
      <c r="W3401" s="2041">
        <f t="shared" si="259"/>
        <v>0.30555555555555558</v>
      </c>
    </row>
    <row r="3402" spans="2:23" s="314" customFormat="1" ht="15">
      <c r="B3402" s="313"/>
      <c r="C3402" s="302" t="s">
        <v>7651</v>
      </c>
      <c r="D3402" s="303" t="s">
        <v>7652</v>
      </c>
      <c r="E3402" s="304"/>
      <c r="F3402" s="305"/>
      <c r="G3402" s="305" t="s">
        <v>1227</v>
      </c>
      <c r="H3402" s="307" t="s">
        <v>1228</v>
      </c>
      <c r="I3402" s="308"/>
      <c r="J3402" s="306"/>
      <c r="K3402" s="315">
        <v>0</v>
      </c>
      <c r="L3402" s="310"/>
      <c r="M3402" s="310"/>
      <c r="N3402" s="310">
        <v>45545</v>
      </c>
      <c r="O3402" s="309">
        <v>6462</v>
      </c>
      <c r="P3402" s="302"/>
      <c r="Q3402" s="485">
        <v>0</v>
      </c>
      <c r="S3402" s="535">
        <v>0</v>
      </c>
      <c r="T3402" s="322">
        <v>0</v>
      </c>
      <c r="U3402" s="515"/>
      <c r="V3402" s="494">
        <v>120</v>
      </c>
      <c r="W3402" s="2041" t="e">
        <f t="shared" si="259"/>
        <v>#DIV/0!</v>
      </c>
    </row>
    <row r="3403" spans="2:23" s="7" customFormat="1" ht="18" customHeight="1">
      <c r="B3403" s="12"/>
      <c r="C3403" s="6" t="s">
        <v>7677</v>
      </c>
      <c r="D3403" s="15" t="s">
        <v>7678</v>
      </c>
      <c r="E3403" s="20" t="s">
        <v>7645</v>
      </c>
      <c r="F3403" s="24"/>
      <c r="G3403" s="44"/>
      <c r="H3403" s="151"/>
      <c r="I3403" s="151"/>
      <c r="J3403" s="151"/>
      <c r="K3403" s="153" t="s">
        <v>10</v>
      </c>
      <c r="L3403" s="39"/>
      <c r="M3403" s="39"/>
      <c r="N3403" s="39">
        <v>45554</v>
      </c>
      <c r="O3403" s="38">
        <v>6402</v>
      </c>
      <c r="P3403" s="6"/>
      <c r="Q3403" s="411"/>
      <c r="S3403" s="2350" t="s">
        <v>2297</v>
      </c>
      <c r="T3403" s="113"/>
      <c r="U3403" s="2352"/>
      <c r="V3403" s="494">
        <v>120</v>
      </c>
    </row>
    <row r="3404" spans="2:23" s="7" customFormat="1" ht="15.95" customHeight="1">
      <c r="B3404" s="12" t="s">
        <v>1856</v>
      </c>
      <c r="C3404" s="6" t="s">
        <v>7677</v>
      </c>
      <c r="D3404" s="15" t="s">
        <v>7678</v>
      </c>
      <c r="E3404" s="24" t="s">
        <v>7293</v>
      </c>
      <c r="F3404" s="44">
        <v>25</v>
      </c>
      <c r="G3404" s="44" t="s">
        <v>2610</v>
      </c>
      <c r="H3404" s="67">
        <v>30</v>
      </c>
      <c r="I3404" s="68">
        <v>1</v>
      </c>
      <c r="J3404" s="67">
        <f t="shared" ref="J3404:J3419" si="260">H3404*I3404</f>
        <v>30</v>
      </c>
      <c r="K3404" s="46">
        <v>0.62</v>
      </c>
      <c r="L3404" s="46">
        <f t="shared" ref="L3404:L3419" si="261">K3404*J3404</f>
        <v>18.600000000000001</v>
      </c>
      <c r="M3404" s="162" t="s">
        <v>2219</v>
      </c>
      <c r="N3404" s="39">
        <v>45554</v>
      </c>
      <c r="O3404" s="38">
        <v>6402</v>
      </c>
      <c r="P3404" s="46">
        <f t="shared" ref="P3404:P3419" si="262">K3404*(VLOOKUP(B3404,$C$2:$F$6,3,FALSE))</f>
        <v>0.54559999999999997</v>
      </c>
      <c r="Q3404" s="483">
        <v>0.55000000000000004</v>
      </c>
      <c r="R3404" s="704">
        <f t="shared" ref="R3404:R3419" si="263">Q3404*J3404</f>
        <v>16.5</v>
      </c>
      <c r="S3404" s="2362">
        <v>35.167000000000002</v>
      </c>
      <c r="T3404" s="113">
        <f t="shared" ref="T3404:T3419" si="264">S3404*J3404</f>
        <v>1055.01</v>
      </c>
      <c r="U3404" s="2351"/>
      <c r="V3404" s="494">
        <v>120</v>
      </c>
      <c r="W3404" s="2041">
        <f t="shared" ref="W3404:W3435" si="265">(((K3404*V3404)-S3404)/(K3404*V3404))</f>
        <v>0.52732526881720432</v>
      </c>
    </row>
    <row r="3405" spans="2:23" s="7" customFormat="1" ht="15.95" customHeight="1">
      <c r="B3405" s="12" t="s">
        <v>1856</v>
      </c>
      <c r="C3405" s="6" t="s">
        <v>7677</v>
      </c>
      <c r="D3405" s="15" t="s">
        <v>7678</v>
      </c>
      <c r="E3405" s="24" t="s">
        <v>7293</v>
      </c>
      <c r="F3405" s="44">
        <v>25</v>
      </c>
      <c r="G3405" s="44" t="s">
        <v>435</v>
      </c>
      <c r="H3405" s="67">
        <v>30</v>
      </c>
      <c r="I3405" s="68">
        <v>1</v>
      </c>
      <c r="J3405" s="67">
        <f t="shared" si="260"/>
        <v>30</v>
      </c>
      <c r="K3405" s="46">
        <v>0.62</v>
      </c>
      <c r="L3405" s="46">
        <f t="shared" si="261"/>
        <v>18.600000000000001</v>
      </c>
      <c r="M3405" s="162" t="s">
        <v>2219</v>
      </c>
      <c r="N3405" s="39">
        <v>45554</v>
      </c>
      <c r="O3405" s="38">
        <v>6402</v>
      </c>
      <c r="P3405" s="46">
        <f t="shared" si="262"/>
        <v>0.54559999999999997</v>
      </c>
      <c r="Q3405" s="483">
        <v>0.55000000000000004</v>
      </c>
      <c r="R3405" s="704">
        <f t="shared" si="263"/>
        <v>16.5</v>
      </c>
      <c r="S3405" s="2362">
        <v>35.167000000000002</v>
      </c>
      <c r="T3405" s="113">
        <f t="shared" si="264"/>
        <v>1055.01</v>
      </c>
      <c r="U3405" s="2351"/>
      <c r="V3405" s="494">
        <v>120</v>
      </c>
      <c r="W3405" s="2041">
        <f t="shared" si="265"/>
        <v>0.52732526881720432</v>
      </c>
    </row>
    <row r="3406" spans="2:23" s="7" customFormat="1" ht="15.95" customHeight="1">
      <c r="B3406" s="12" t="s">
        <v>1856</v>
      </c>
      <c r="C3406" s="6" t="s">
        <v>7677</v>
      </c>
      <c r="D3406" s="15" t="s">
        <v>7678</v>
      </c>
      <c r="E3406" s="24" t="s">
        <v>7293</v>
      </c>
      <c r="F3406" s="44">
        <v>25</v>
      </c>
      <c r="G3406" s="44" t="s">
        <v>7679</v>
      </c>
      <c r="H3406" s="67">
        <v>30</v>
      </c>
      <c r="I3406" s="68">
        <v>1</v>
      </c>
      <c r="J3406" s="67">
        <f t="shared" si="260"/>
        <v>30</v>
      </c>
      <c r="K3406" s="46">
        <v>0.62</v>
      </c>
      <c r="L3406" s="46">
        <f t="shared" si="261"/>
        <v>18.600000000000001</v>
      </c>
      <c r="M3406" s="162" t="s">
        <v>2219</v>
      </c>
      <c r="N3406" s="39">
        <v>45554</v>
      </c>
      <c r="O3406" s="38">
        <v>6402</v>
      </c>
      <c r="P3406" s="46">
        <f t="shared" si="262"/>
        <v>0.54559999999999997</v>
      </c>
      <c r="Q3406" s="483">
        <v>0.55000000000000004</v>
      </c>
      <c r="R3406" s="704">
        <f t="shared" si="263"/>
        <v>16.5</v>
      </c>
      <c r="S3406" s="2362">
        <v>35.167000000000002</v>
      </c>
      <c r="T3406" s="113">
        <f t="shared" si="264"/>
        <v>1055.01</v>
      </c>
      <c r="U3406" s="2351"/>
      <c r="V3406" s="494">
        <v>120</v>
      </c>
      <c r="W3406" s="2041">
        <f t="shared" si="265"/>
        <v>0.52732526881720432</v>
      </c>
    </row>
    <row r="3407" spans="2:23" s="7" customFormat="1" ht="15.95" customHeight="1">
      <c r="B3407" s="12" t="s">
        <v>1856</v>
      </c>
      <c r="C3407" s="6" t="s">
        <v>7677</v>
      </c>
      <c r="D3407" s="15" t="s">
        <v>7678</v>
      </c>
      <c r="E3407" s="24" t="s">
        <v>7293</v>
      </c>
      <c r="F3407" s="44">
        <v>25</v>
      </c>
      <c r="G3407" s="44" t="s">
        <v>207</v>
      </c>
      <c r="H3407" s="67">
        <v>30</v>
      </c>
      <c r="I3407" s="68">
        <v>1</v>
      </c>
      <c r="J3407" s="67">
        <f t="shared" si="260"/>
        <v>30</v>
      </c>
      <c r="K3407" s="46">
        <v>0.62</v>
      </c>
      <c r="L3407" s="46">
        <f t="shared" si="261"/>
        <v>18.600000000000001</v>
      </c>
      <c r="M3407" s="162" t="s">
        <v>2219</v>
      </c>
      <c r="N3407" s="39">
        <v>45554</v>
      </c>
      <c r="O3407" s="38">
        <v>6402</v>
      </c>
      <c r="P3407" s="46">
        <f t="shared" si="262"/>
        <v>0.54559999999999997</v>
      </c>
      <c r="Q3407" s="483">
        <v>0.55000000000000004</v>
      </c>
      <c r="R3407" s="704">
        <f t="shared" si="263"/>
        <v>16.5</v>
      </c>
      <c r="S3407" s="2362">
        <v>35.167000000000002</v>
      </c>
      <c r="T3407" s="113">
        <f t="shared" si="264"/>
        <v>1055.01</v>
      </c>
      <c r="U3407" s="2351"/>
      <c r="V3407" s="494">
        <v>120</v>
      </c>
      <c r="W3407" s="2041">
        <f t="shared" si="265"/>
        <v>0.52732526881720432</v>
      </c>
    </row>
    <row r="3408" spans="2:23" s="7" customFormat="1" ht="15.95" customHeight="1">
      <c r="B3408" s="12" t="s">
        <v>1856</v>
      </c>
      <c r="C3408" s="6" t="s">
        <v>7677</v>
      </c>
      <c r="D3408" s="15" t="s">
        <v>7678</v>
      </c>
      <c r="E3408" s="24" t="s">
        <v>7293</v>
      </c>
      <c r="F3408" s="44">
        <v>25</v>
      </c>
      <c r="G3408" s="44" t="s">
        <v>171</v>
      </c>
      <c r="H3408" s="67">
        <v>30</v>
      </c>
      <c r="I3408" s="68">
        <v>1</v>
      </c>
      <c r="J3408" s="67">
        <f t="shared" si="260"/>
        <v>30</v>
      </c>
      <c r="K3408" s="46">
        <v>0.62</v>
      </c>
      <c r="L3408" s="46">
        <f t="shared" si="261"/>
        <v>18.600000000000001</v>
      </c>
      <c r="M3408" s="162" t="s">
        <v>2219</v>
      </c>
      <c r="N3408" s="39">
        <v>45554</v>
      </c>
      <c r="O3408" s="38">
        <v>6402</v>
      </c>
      <c r="P3408" s="46">
        <f t="shared" si="262"/>
        <v>0.54559999999999997</v>
      </c>
      <c r="Q3408" s="483">
        <v>0.55000000000000004</v>
      </c>
      <c r="R3408" s="704">
        <f t="shared" si="263"/>
        <v>16.5</v>
      </c>
      <c r="S3408" s="2362">
        <v>35.167000000000002</v>
      </c>
      <c r="T3408" s="113">
        <f t="shared" si="264"/>
        <v>1055.01</v>
      </c>
      <c r="U3408" s="2351"/>
      <c r="V3408" s="494">
        <v>120</v>
      </c>
      <c r="W3408" s="2041">
        <f t="shared" si="265"/>
        <v>0.52732526881720432</v>
      </c>
    </row>
    <row r="3409" spans="1:23" s="7" customFormat="1" ht="15.95" customHeight="1">
      <c r="B3409" s="12" t="s">
        <v>1856</v>
      </c>
      <c r="C3409" s="6" t="s">
        <v>7677</v>
      </c>
      <c r="D3409" s="15" t="s">
        <v>7678</v>
      </c>
      <c r="E3409" s="24" t="s">
        <v>7293</v>
      </c>
      <c r="F3409" s="44">
        <v>38</v>
      </c>
      <c r="G3409" s="44" t="s">
        <v>2610</v>
      </c>
      <c r="H3409" s="67">
        <v>30</v>
      </c>
      <c r="I3409" s="68">
        <v>1</v>
      </c>
      <c r="J3409" s="67">
        <f t="shared" si="260"/>
        <v>30</v>
      </c>
      <c r="K3409" s="46">
        <v>0.93</v>
      </c>
      <c r="L3409" s="46">
        <f t="shared" si="261"/>
        <v>27.900000000000002</v>
      </c>
      <c r="M3409" s="162" t="s">
        <v>2219</v>
      </c>
      <c r="N3409" s="39">
        <v>45554</v>
      </c>
      <c r="O3409" s="38">
        <v>6402</v>
      </c>
      <c r="P3409" s="46">
        <f t="shared" si="262"/>
        <v>0.81840000000000002</v>
      </c>
      <c r="Q3409" s="483">
        <v>0.82</v>
      </c>
      <c r="R3409" s="704">
        <f t="shared" si="263"/>
        <v>24.599999999999998</v>
      </c>
      <c r="S3409" s="2362">
        <v>52.667000000000002</v>
      </c>
      <c r="T3409" s="113">
        <f t="shared" si="264"/>
        <v>1580.01</v>
      </c>
      <c r="U3409" s="2351"/>
      <c r="V3409" s="494">
        <v>120</v>
      </c>
      <c r="W3409" s="2041">
        <f t="shared" si="265"/>
        <v>0.52807347670250904</v>
      </c>
    </row>
    <row r="3410" spans="1:23" s="7" customFormat="1" ht="15.95" customHeight="1">
      <c r="B3410" s="12" t="s">
        <v>1856</v>
      </c>
      <c r="C3410" s="6" t="s">
        <v>7677</v>
      </c>
      <c r="D3410" s="15" t="s">
        <v>7678</v>
      </c>
      <c r="E3410" s="24" t="s">
        <v>7293</v>
      </c>
      <c r="F3410" s="44">
        <v>38</v>
      </c>
      <c r="G3410" s="44" t="s">
        <v>435</v>
      </c>
      <c r="H3410" s="67">
        <v>30</v>
      </c>
      <c r="I3410" s="68">
        <v>1</v>
      </c>
      <c r="J3410" s="67">
        <f t="shared" si="260"/>
        <v>30</v>
      </c>
      <c r="K3410" s="46">
        <v>0.93</v>
      </c>
      <c r="L3410" s="46">
        <f t="shared" si="261"/>
        <v>27.900000000000002</v>
      </c>
      <c r="M3410" s="162" t="s">
        <v>2219</v>
      </c>
      <c r="N3410" s="39">
        <v>45554</v>
      </c>
      <c r="O3410" s="38">
        <v>6402</v>
      </c>
      <c r="P3410" s="46">
        <f t="shared" si="262"/>
        <v>0.81840000000000002</v>
      </c>
      <c r="Q3410" s="483">
        <v>0.82</v>
      </c>
      <c r="R3410" s="704">
        <f t="shared" si="263"/>
        <v>24.599999999999998</v>
      </c>
      <c r="S3410" s="2362">
        <v>52.667000000000002</v>
      </c>
      <c r="T3410" s="113">
        <f t="shared" si="264"/>
        <v>1580.01</v>
      </c>
      <c r="U3410" s="2351"/>
      <c r="V3410" s="494">
        <v>120</v>
      </c>
      <c r="W3410" s="2041">
        <f t="shared" si="265"/>
        <v>0.52807347670250904</v>
      </c>
    </row>
    <row r="3411" spans="1:23" s="7" customFormat="1" ht="15.95" customHeight="1">
      <c r="B3411" s="12" t="s">
        <v>1856</v>
      </c>
      <c r="C3411" s="6" t="s">
        <v>7677</v>
      </c>
      <c r="D3411" s="15" t="s">
        <v>7678</v>
      </c>
      <c r="E3411" s="24" t="s">
        <v>7293</v>
      </c>
      <c r="F3411" s="44">
        <v>38</v>
      </c>
      <c r="G3411" s="44" t="s">
        <v>104</v>
      </c>
      <c r="H3411" s="67">
        <v>30</v>
      </c>
      <c r="I3411" s="68">
        <v>1</v>
      </c>
      <c r="J3411" s="67">
        <f t="shared" si="260"/>
        <v>30</v>
      </c>
      <c r="K3411" s="46">
        <v>0.93</v>
      </c>
      <c r="L3411" s="46">
        <f t="shared" si="261"/>
        <v>27.900000000000002</v>
      </c>
      <c r="M3411" s="162" t="s">
        <v>2219</v>
      </c>
      <c r="N3411" s="39">
        <v>45554</v>
      </c>
      <c r="O3411" s="38">
        <v>6402</v>
      </c>
      <c r="P3411" s="46">
        <f t="shared" si="262"/>
        <v>0.81840000000000002</v>
      </c>
      <c r="Q3411" s="483">
        <v>0.82</v>
      </c>
      <c r="R3411" s="704">
        <f t="shared" si="263"/>
        <v>24.599999999999998</v>
      </c>
      <c r="S3411" s="2362">
        <v>52.667000000000002</v>
      </c>
      <c r="T3411" s="113">
        <f t="shared" si="264"/>
        <v>1580.01</v>
      </c>
      <c r="U3411" s="2351"/>
      <c r="V3411" s="494">
        <v>120</v>
      </c>
      <c r="W3411" s="2041">
        <f t="shared" si="265"/>
        <v>0.52807347670250904</v>
      </c>
    </row>
    <row r="3412" spans="1:23" s="7" customFormat="1" ht="15.95" customHeight="1">
      <c r="B3412" s="12" t="s">
        <v>1856</v>
      </c>
      <c r="C3412" s="6" t="s">
        <v>7677</v>
      </c>
      <c r="D3412" s="15" t="s">
        <v>7678</v>
      </c>
      <c r="E3412" s="24" t="s">
        <v>7293</v>
      </c>
      <c r="F3412" s="44">
        <v>38</v>
      </c>
      <c r="G3412" s="44" t="s">
        <v>7679</v>
      </c>
      <c r="H3412" s="67">
        <v>30</v>
      </c>
      <c r="I3412" s="68">
        <v>1</v>
      </c>
      <c r="J3412" s="67">
        <f t="shared" si="260"/>
        <v>30</v>
      </c>
      <c r="K3412" s="46">
        <v>0.93</v>
      </c>
      <c r="L3412" s="46">
        <f t="shared" si="261"/>
        <v>27.900000000000002</v>
      </c>
      <c r="M3412" s="162" t="s">
        <v>2219</v>
      </c>
      <c r="N3412" s="39">
        <v>45554</v>
      </c>
      <c r="O3412" s="38">
        <v>6402</v>
      </c>
      <c r="P3412" s="46">
        <f t="shared" si="262"/>
        <v>0.81840000000000002</v>
      </c>
      <c r="Q3412" s="483">
        <v>0.82</v>
      </c>
      <c r="R3412" s="704">
        <f t="shared" si="263"/>
        <v>24.599999999999998</v>
      </c>
      <c r="S3412" s="2362">
        <v>52.667000000000002</v>
      </c>
      <c r="T3412" s="113">
        <f t="shared" si="264"/>
        <v>1580.01</v>
      </c>
      <c r="U3412" s="2351"/>
      <c r="V3412" s="494">
        <v>120</v>
      </c>
      <c r="W3412" s="2041">
        <f t="shared" si="265"/>
        <v>0.52807347670250904</v>
      </c>
    </row>
    <row r="3413" spans="1:23" s="7" customFormat="1" ht="15.95" customHeight="1">
      <c r="B3413" s="12" t="s">
        <v>1856</v>
      </c>
      <c r="C3413" s="6" t="s">
        <v>7677</v>
      </c>
      <c r="D3413" s="15" t="s">
        <v>7678</v>
      </c>
      <c r="E3413" s="24" t="s">
        <v>7293</v>
      </c>
      <c r="F3413" s="44">
        <v>38</v>
      </c>
      <c r="G3413" s="44" t="s">
        <v>207</v>
      </c>
      <c r="H3413" s="67">
        <v>30</v>
      </c>
      <c r="I3413" s="68">
        <v>1</v>
      </c>
      <c r="J3413" s="67">
        <f t="shared" si="260"/>
        <v>30</v>
      </c>
      <c r="K3413" s="46">
        <v>0.93</v>
      </c>
      <c r="L3413" s="46">
        <f t="shared" si="261"/>
        <v>27.900000000000002</v>
      </c>
      <c r="M3413" s="162" t="s">
        <v>2219</v>
      </c>
      <c r="N3413" s="39">
        <v>45554</v>
      </c>
      <c r="O3413" s="38">
        <v>6402</v>
      </c>
      <c r="P3413" s="46">
        <f t="shared" si="262"/>
        <v>0.81840000000000002</v>
      </c>
      <c r="Q3413" s="483">
        <v>0.82</v>
      </c>
      <c r="R3413" s="704">
        <f t="shared" si="263"/>
        <v>24.599999999999998</v>
      </c>
      <c r="S3413" s="2362">
        <v>52.667000000000002</v>
      </c>
      <c r="T3413" s="113">
        <f t="shared" si="264"/>
        <v>1580.01</v>
      </c>
      <c r="U3413" s="2351"/>
      <c r="V3413" s="494">
        <v>120</v>
      </c>
      <c r="W3413" s="2041">
        <f t="shared" si="265"/>
        <v>0.52807347670250904</v>
      </c>
    </row>
    <row r="3414" spans="1:23" s="7" customFormat="1" ht="15.95" customHeight="1">
      <c r="B3414" s="12" t="s">
        <v>1856</v>
      </c>
      <c r="C3414" s="6" t="s">
        <v>7677</v>
      </c>
      <c r="D3414" s="15" t="s">
        <v>7678</v>
      </c>
      <c r="E3414" s="24" t="s">
        <v>7293</v>
      </c>
      <c r="F3414" s="44">
        <v>38</v>
      </c>
      <c r="G3414" s="44" t="s">
        <v>7680</v>
      </c>
      <c r="H3414" s="67">
        <v>30</v>
      </c>
      <c r="I3414" s="68">
        <v>1</v>
      </c>
      <c r="J3414" s="67">
        <f t="shared" si="260"/>
        <v>30</v>
      </c>
      <c r="K3414" s="46">
        <v>0.93</v>
      </c>
      <c r="L3414" s="46">
        <f t="shared" si="261"/>
        <v>27.900000000000002</v>
      </c>
      <c r="M3414" s="162" t="s">
        <v>2219</v>
      </c>
      <c r="N3414" s="39">
        <v>45554</v>
      </c>
      <c r="O3414" s="38">
        <v>6402</v>
      </c>
      <c r="P3414" s="46">
        <f t="shared" si="262"/>
        <v>0.81840000000000002</v>
      </c>
      <c r="Q3414" s="483">
        <v>0.82</v>
      </c>
      <c r="R3414" s="704">
        <f t="shared" si="263"/>
        <v>24.599999999999998</v>
      </c>
      <c r="S3414" s="2362">
        <v>52.667000000000002</v>
      </c>
      <c r="T3414" s="113">
        <f t="shared" si="264"/>
        <v>1580.01</v>
      </c>
      <c r="U3414" s="2351"/>
      <c r="V3414" s="494">
        <v>120</v>
      </c>
      <c r="W3414" s="2041">
        <f t="shared" si="265"/>
        <v>0.52807347670250904</v>
      </c>
    </row>
    <row r="3415" spans="1:23" s="7" customFormat="1" ht="15.95" customHeight="1">
      <c r="B3415" s="12" t="s">
        <v>1856</v>
      </c>
      <c r="C3415" s="6" t="s">
        <v>7677</v>
      </c>
      <c r="D3415" s="15" t="s">
        <v>7678</v>
      </c>
      <c r="E3415" s="24" t="s">
        <v>7293</v>
      </c>
      <c r="F3415" s="44">
        <v>38</v>
      </c>
      <c r="G3415" s="44" t="s">
        <v>7681</v>
      </c>
      <c r="H3415" s="67">
        <v>30</v>
      </c>
      <c r="I3415" s="68">
        <v>1</v>
      </c>
      <c r="J3415" s="67">
        <f t="shared" si="260"/>
        <v>30</v>
      </c>
      <c r="K3415" s="46">
        <v>0.93</v>
      </c>
      <c r="L3415" s="46">
        <f t="shared" si="261"/>
        <v>27.900000000000002</v>
      </c>
      <c r="M3415" s="162" t="s">
        <v>2219</v>
      </c>
      <c r="N3415" s="39">
        <v>45554</v>
      </c>
      <c r="O3415" s="38">
        <v>6402</v>
      </c>
      <c r="P3415" s="46">
        <f t="shared" si="262"/>
        <v>0.81840000000000002</v>
      </c>
      <c r="Q3415" s="483">
        <v>0.82</v>
      </c>
      <c r="R3415" s="704">
        <f t="shared" si="263"/>
        <v>24.599999999999998</v>
      </c>
      <c r="S3415" s="2362">
        <v>52.667000000000002</v>
      </c>
      <c r="T3415" s="113">
        <f t="shared" si="264"/>
        <v>1580.01</v>
      </c>
      <c r="U3415" s="2351"/>
      <c r="V3415" s="494">
        <v>120</v>
      </c>
      <c r="W3415" s="2041">
        <f t="shared" si="265"/>
        <v>0.52807347670250904</v>
      </c>
    </row>
    <row r="3416" spans="1:23" s="7" customFormat="1" ht="15.95" customHeight="1">
      <c r="B3416" s="12" t="s">
        <v>1856</v>
      </c>
      <c r="C3416" s="6" t="s">
        <v>7677</v>
      </c>
      <c r="D3416" s="15" t="s">
        <v>7678</v>
      </c>
      <c r="E3416" s="24" t="s">
        <v>7293</v>
      </c>
      <c r="F3416" s="44">
        <v>38</v>
      </c>
      <c r="G3416" s="44" t="s">
        <v>367</v>
      </c>
      <c r="H3416" s="67">
        <v>30</v>
      </c>
      <c r="I3416" s="68">
        <v>1</v>
      </c>
      <c r="J3416" s="67">
        <f t="shared" si="260"/>
        <v>30</v>
      </c>
      <c r="K3416" s="46">
        <v>0.93</v>
      </c>
      <c r="L3416" s="46">
        <f t="shared" si="261"/>
        <v>27.900000000000002</v>
      </c>
      <c r="M3416" s="162" t="s">
        <v>2219</v>
      </c>
      <c r="N3416" s="39">
        <v>45554</v>
      </c>
      <c r="O3416" s="38">
        <v>6402</v>
      </c>
      <c r="P3416" s="46">
        <f t="shared" si="262"/>
        <v>0.81840000000000002</v>
      </c>
      <c r="Q3416" s="483">
        <v>0.82</v>
      </c>
      <c r="R3416" s="704">
        <f t="shared" si="263"/>
        <v>24.599999999999998</v>
      </c>
      <c r="S3416" s="2362">
        <v>52.667000000000002</v>
      </c>
      <c r="T3416" s="113">
        <f t="shared" si="264"/>
        <v>1580.01</v>
      </c>
      <c r="U3416" s="2351"/>
      <c r="V3416" s="494">
        <v>120</v>
      </c>
      <c r="W3416" s="2041">
        <f t="shared" si="265"/>
        <v>0.52807347670250904</v>
      </c>
    </row>
    <row r="3417" spans="1:23" s="7" customFormat="1" ht="15.95" customHeight="1">
      <c r="B3417" s="12" t="s">
        <v>1856</v>
      </c>
      <c r="C3417" s="6" t="s">
        <v>7718</v>
      </c>
      <c r="D3417" s="15" t="s">
        <v>7678</v>
      </c>
      <c r="E3417" s="24" t="s">
        <v>7293</v>
      </c>
      <c r="F3417" s="44">
        <v>15</v>
      </c>
      <c r="G3417" s="44" t="s">
        <v>2610</v>
      </c>
      <c r="H3417" s="67">
        <v>30</v>
      </c>
      <c r="I3417" s="68">
        <v>1</v>
      </c>
      <c r="J3417" s="67">
        <f t="shared" si="260"/>
        <v>30</v>
      </c>
      <c r="K3417" s="46">
        <v>0.42</v>
      </c>
      <c r="L3417" s="46">
        <f t="shared" si="261"/>
        <v>12.6</v>
      </c>
      <c r="M3417" s="162" t="s">
        <v>2219</v>
      </c>
      <c r="N3417" s="39">
        <v>45554</v>
      </c>
      <c r="O3417" s="38">
        <v>6402</v>
      </c>
      <c r="P3417" s="46">
        <f t="shared" si="262"/>
        <v>0.36959999999999998</v>
      </c>
      <c r="Q3417" s="483">
        <v>0.37</v>
      </c>
      <c r="R3417" s="704">
        <f t="shared" si="263"/>
        <v>11.1</v>
      </c>
      <c r="S3417" s="2362">
        <v>23.6</v>
      </c>
      <c r="T3417" s="113">
        <f t="shared" si="264"/>
        <v>708</v>
      </c>
      <c r="U3417" s="2351"/>
      <c r="V3417" s="494">
        <v>120</v>
      </c>
      <c r="W3417" s="2041">
        <f t="shared" si="265"/>
        <v>0.53174603174603174</v>
      </c>
    </row>
    <row r="3418" spans="1:23" s="7" customFormat="1" ht="15.95" customHeight="1">
      <c r="B3418" s="12" t="s">
        <v>1856</v>
      </c>
      <c r="C3418" s="6" t="s">
        <v>7718</v>
      </c>
      <c r="D3418" s="15" t="s">
        <v>7678</v>
      </c>
      <c r="E3418" s="24" t="s">
        <v>7293</v>
      </c>
      <c r="F3418" s="44">
        <v>15</v>
      </c>
      <c r="G3418" s="44" t="s">
        <v>435</v>
      </c>
      <c r="H3418" s="67">
        <v>30</v>
      </c>
      <c r="I3418" s="68">
        <v>1</v>
      </c>
      <c r="J3418" s="67">
        <f t="shared" si="260"/>
        <v>30</v>
      </c>
      <c r="K3418" s="46">
        <v>0.42</v>
      </c>
      <c r="L3418" s="46">
        <f t="shared" si="261"/>
        <v>12.6</v>
      </c>
      <c r="M3418" s="162" t="s">
        <v>2219</v>
      </c>
      <c r="N3418" s="39">
        <v>45554</v>
      </c>
      <c r="O3418" s="38">
        <v>6402</v>
      </c>
      <c r="P3418" s="46">
        <f t="shared" si="262"/>
        <v>0.36959999999999998</v>
      </c>
      <c r="Q3418" s="483">
        <v>0.37</v>
      </c>
      <c r="R3418" s="704">
        <f t="shared" si="263"/>
        <v>11.1</v>
      </c>
      <c r="S3418" s="2362">
        <v>23.6</v>
      </c>
      <c r="T3418" s="113">
        <f t="shared" si="264"/>
        <v>708</v>
      </c>
      <c r="U3418" s="2351"/>
      <c r="V3418" s="494">
        <v>120</v>
      </c>
      <c r="W3418" s="2041">
        <f t="shared" si="265"/>
        <v>0.53174603174603174</v>
      </c>
    </row>
    <row r="3419" spans="1:23" s="7" customFormat="1" ht="15.95" customHeight="1">
      <c r="B3419" s="12" t="s">
        <v>1856</v>
      </c>
      <c r="C3419" s="6" t="s">
        <v>7718</v>
      </c>
      <c r="D3419" s="15" t="s">
        <v>7678</v>
      </c>
      <c r="E3419" s="24" t="s">
        <v>7293</v>
      </c>
      <c r="F3419" s="44">
        <v>15</v>
      </c>
      <c r="G3419" s="44" t="s">
        <v>104</v>
      </c>
      <c r="H3419" s="67">
        <v>30</v>
      </c>
      <c r="I3419" s="68">
        <v>1</v>
      </c>
      <c r="J3419" s="67">
        <f t="shared" si="260"/>
        <v>30</v>
      </c>
      <c r="K3419" s="46">
        <v>0.42</v>
      </c>
      <c r="L3419" s="46">
        <f t="shared" si="261"/>
        <v>12.6</v>
      </c>
      <c r="M3419" s="162" t="s">
        <v>2219</v>
      </c>
      <c r="N3419" s="39">
        <v>45554</v>
      </c>
      <c r="O3419" s="38">
        <v>6402</v>
      </c>
      <c r="P3419" s="46">
        <f t="shared" si="262"/>
        <v>0.36959999999999998</v>
      </c>
      <c r="Q3419" s="483">
        <v>0.37</v>
      </c>
      <c r="R3419" s="704">
        <f t="shared" si="263"/>
        <v>11.1</v>
      </c>
      <c r="S3419" s="2362">
        <v>23.6</v>
      </c>
      <c r="T3419" s="113">
        <f t="shared" si="264"/>
        <v>708</v>
      </c>
      <c r="U3419" s="2351"/>
      <c r="V3419" s="494">
        <v>120</v>
      </c>
      <c r="W3419" s="2041">
        <f t="shared" si="265"/>
        <v>0.53174603174603174</v>
      </c>
    </row>
    <row r="3420" spans="1:23" s="7" customFormat="1" ht="15">
      <c r="A3420" s="1"/>
      <c r="B3420" s="12"/>
      <c r="C3420" s="6" t="s">
        <v>7677</v>
      </c>
      <c r="D3420" s="15" t="s">
        <v>7678</v>
      </c>
      <c r="E3420" s="20" t="s">
        <v>2689</v>
      </c>
      <c r="F3420" s="26"/>
      <c r="G3420" s="24"/>
      <c r="H3420" s="67"/>
      <c r="I3420" s="68"/>
      <c r="J3420" s="67"/>
      <c r="K3420" s="10" t="s">
        <v>10</v>
      </c>
      <c r="L3420" s="39"/>
      <c r="M3420" s="39"/>
      <c r="N3420" s="39">
        <v>45554</v>
      </c>
      <c r="O3420" s="38">
        <v>6402</v>
      </c>
      <c r="P3420" s="6" t="s">
        <v>3</v>
      </c>
      <c r="Q3420" s="481"/>
      <c r="S3420" s="489"/>
      <c r="T3420" s="113"/>
      <c r="U3420" s="500"/>
      <c r="V3420" s="494">
        <v>120</v>
      </c>
      <c r="W3420" s="2041" t="e">
        <f t="shared" si="265"/>
        <v>#VALUE!</v>
      </c>
    </row>
    <row r="3421" spans="1:23" s="7" customFormat="1" ht="15" customHeight="1">
      <c r="A3421" s="1"/>
      <c r="B3421" s="12" t="s">
        <v>1856</v>
      </c>
      <c r="C3421" s="6" t="s">
        <v>7677</v>
      </c>
      <c r="D3421" s="15" t="s">
        <v>7678</v>
      </c>
      <c r="E3421" s="24">
        <v>11700</v>
      </c>
      <c r="F3421" s="26">
        <v>24</v>
      </c>
      <c r="G3421" s="24" t="s">
        <v>305</v>
      </c>
      <c r="H3421" s="67">
        <v>10</v>
      </c>
      <c r="I3421" s="68">
        <v>1</v>
      </c>
      <c r="J3421" s="8">
        <f t="shared" ref="J3421:J3426" si="266">H3421*I3421</f>
        <v>10</v>
      </c>
      <c r="K3421" s="25">
        <v>2.59</v>
      </c>
      <c r="L3421" s="46">
        <f t="shared" ref="L3421:L3429" si="267">K3421*J3421</f>
        <v>25.9</v>
      </c>
      <c r="M3421" s="162" t="s">
        <v>2219</v>
      </c>
      <c r="N3421" s="39">
        <v>45554</v>
      </c>
      <c r="O3421" s="38">
        <v>6402</v>
      </c>
      <c r="P3421" s="46">
        <f t="shared" ref="P3421:P3428" si="268">K3421*(VLOOKUP(B3421,$C$2:$F$6,3,FALSE))</f>
        <v>2.2791999999999999</v>
      </c>
      <c r="Q3421" s="482">
        <v>2.2799999999999998</v>
      </c>
      <c r="R3421" s="704">
        <f t="shared" ref="R3421:R3426" si="269">Q3421*J3421</f>
        <v>22.799999999999997</v>
      </c>
      <c r="S3421" s="489">
        <v>153.30000000000001</v>
      </c>
      <c r="T3421" s="113">
        <f t="shared" ref="T3421:T3429" si="270">S3421*J3421</f>
        <v>1533</v>
      </c>
      <c r="U3421" s="1597"/>
      <c r="V3421" s="494">
        <v>120</v>
      </c>
      <c r="W3421" s="2041">
        <f t="shared" si="265"/>
        <v>0.50675675675675669</v>
      </c>
    </row>
    <row r="3422" spans="1:23" s="7" customFormat="1" ht="15" customHeight="1">
      <c r="A3422" s="1"/>
      <c r="B3422" s="12" t="s">
        <v>1856</v>
      </c>
      <c r="C3422" s="6" t="s">
        <v>7677</v>
      </c>
      <c r="D3422" s="15" t="s">
        <v>7678</v>
      </c>
      <c r="E3422" s="24">
        <v>11700</v>
      </c>
      <c r="F3422" s="26">
        <v>24</v>
      </c>
      <c r="G3422" s="24" t="s">
        <v>207</v>
      </c>
      <c r="H3422" s="67">
        <v>10</v>
      </c>
      <c r="I3422" s="68">
        <v>1</v>
      </c>
      <c r="J3422" s="8">
        <f t="shared" si="266"/>
        <v>10</v>
      </c>
      <c r="K3422" s="25">
        <v>2.59</v>
      </c>
      <c r="L3422" s="46">
        <f t="shared" si="267"/>
        <v>25.9</v>
      </c>
      <c r="M3422" s="162" t="s">
        <v>2219</v>
      </c>
      <c r="N3422" s="39">
        <v>45554</v>
      </c>
      <c r="O3422" s="38">
        <v>6402</v>
      </c>
      <c r="P3422" s="46">
        <f t="shared" si="268"/>
        <v>2.2791999999999999</v>
      </c>
      <c r="Q3422" s="482">
        <v>2.2799999999999998</v>
      </c>
      <c r="R3422" s="704">
        <f t="shared" si="269"/>
        <v>22.799999999999997</v>
      </c>
      <c r="S3422" s="489">
        <v>153.30000000000001</v>
      </c>
      <c r="T3422" s="113">
        <f t="shared" si="270"/>
        <v>1533</v>
      </c>
      <c r="U3422" s="1597"/>
      <c r="V3422" s="494">
        <v>120</v>
      </c>
      <c r="W3422" s="2041">
        <f t="shared" si="265"/>
        <v>0.50675675675675669</v>
      </c>
    </row>
    <row r="3423" spans="1:23" s="7" customFormat="1" ht="15" customHeight="1">
      <c r="A3423" s="1"/>
      <c r="B3423" s="12" t="s">
        <v>1856</v>
      </c>
      <c r="C3423" s="6" t="s">
        <v>7677</v>
      </c>
      <c r="D3423" s="15" t="s">
        <v>7678</v>
      </c>
      <c r="E3423" s="24">
        <v>11700</v>
      </c>
      <c r="F3423" s="26">
        <v>24</v>
      </c>
      <c r="G3423" s="24" t="s">
        <v>7682</v>
      </c>
      <c r="H3423" s="67">
        <v>10</v>
      </c>
      <c r="I3423" s="68">
        <v>1</v>
      </c>
      <c r="J3423" s="8">
        <f t="shared" si="266"/>
        <v>10</v>
      </c>
      <c r="K3423" s="25">
        <v>2.59</v>
      </c>
      <c r="L3423" s="46">
        <f t="shared" si="267"/>
        <v>25.9</v>
      </c>
      <c r="M3423" s="162" t="s">
        <v>2219</v>
      </c>
      <c r="N3423" s="39">
        <v>45554</v>
      </c>
      <c r="O3423" s="38">
        <v>6402</v>
      </c>
      <c r="P3423" s="46">
        <f t="shared" si="268"/>
        <v>2.2791999999999999</v>
      </c>
      <c r="Q3423" s="482">
        <v>2.2799999999999998</v>
      </c>
      <c r="R3423" s="704">
        <f t="shared" si="269"/>
        <v>22.799999999999997</v>
      </c>
      <c r="S3423" s="489">
        <v>153.30000000000001</v>
      </c>
      <c r="T3423" s="113">
        <f t="shared" si="270"/>
        <v>1533</v>
      </c>
      <c r="U3423" s="1597"/>
      <c r="V3423" s="494">
        <v>120</v>
      </c>
      <c r="W3423" s="2041">
        <f t="shared" si="265"/>
        <v>0.50675675675675669</v>
      </c>
    </row>
    <row r="3424" spans="1:23" s="7" customFormat="1" ht="15" customHeight="1">
      <c r="A3424" s="1"/>
      <c r="B3424" s="12" t="s">
        <v>1856</v>
      </c>
      <c r="C3424" s="6" t="s">
        <v>7677</v>
      </c>
      <c r="D3424" s="15" t="s">
        <v>7678</v>
      </c>
      <c r="E3424" s="24">
        <v>11700</v>
      </c>
      <c r="F3424" s="26">
        <v>36</v>
      </c>
      <c r="G3424" s="24" t="s">
        <v>207</v>
      </c>
      <c r="H3424" s="67">
        <v>10</v>
      </c>
      <c r="I3424" s="68">
        <v>1</v>
      </c>
      <c r="J3424" s="8">
        <f t="shared" si="266"/>
        <v>10</v>
      </c>
      <c r="K3424" s="25">
        <v>4.3</v>
      </c>
      <c r="L3424" s="46">
        <f t="shared" si="267"/>
        <v>43</v>
      </c>
      <c r="M3424" s="162" t="s">
        <v>2219</v>
      </c>
      <c r="N3424" s="39">
        <v>45554</v>
      </c>
      <c r="O3424" s="38">
        <v>6402</v>
      </c>
      <c r="P3424" s="46">
        <f t="shared" si="268"/>
        <v>3.7839999999999998</v>
      </c>
      <c r="Q3424" s="482">
        <v>3.78</v>
      </c>
      <c r="R3424" s="704">
        <f t="shared" si="269"/>
        <v>37.799999999999997</v>
      </c>
      <c r="S3424" s="489">
        <v>255.1</v>
      </c>
      <c r="T3424" s="113">
        <f t="shared" si="270"/>
        <v>2551</v>
      </c>
      <c r="U3424" s="1597"/>
      <c r="V3424" s="494">
        <v>120</v>
      </c>
      <c r="W3424" s="2041">
        <f t="shared" si="265"/>
        <v>0.50562015503875968</v>
      </c>
    </row>
    <row r="3425" spans="1:23" s="7" customFormat="1" ht="15.95" customHeight="1">
      <c r="B3425" s="12" t="s">
        <v>1856</v>
      </c>
      <c r="C3425" s="6" t="s">
        <v>7718</v>
      </c>
      <c r="D3425" s="15" t="s">
        <v>7678</v>
      </c>
      <c r="E3425" s="24">
        <v>11700</v>
      </c>
      <c r="F3425" s="44">
        <v>9</v>
      </c>
      <c r="G3425" s="44" t="s">
        <v>7686</v>
      </c>
      <c r="H3425" s="67">
        <v>10</v>
      </c>
      <c r="I3425" s="68">
        <v>1</v>
      </c>
      <c r="J3425" s="67">
        <f t="shared" si="266"/>
        <v>10</v>
      </c>
      <c r="K3425" s="46">
        <v>1.49</v>
      </c>
      <c r="L3425" s="46">
        <f t="shared" si="267"/>
        <v>14.9</v>
      </c>
      <c r="M3425" s="162" t="s">
        <v>2219</v>
      </c>
      <c r="N3425" s="39">
        <v>45554</v>
      </c>
      <c r="O3425" s="38">
        <v>6402</v>
      </c>
      <c r="P3425" s="46">
        <f t="shared" si="268"/>
        <v>1.3111999999999999</v>
      </c>
      <c r="Q3425" s="483">
        <v>1.31</v>
      </c>
      <c r="R3425" s="704">
        <f t="shared" si="269"/>
        <v>13.100000000000001</v>
      </c>
      <c r="S3425" s="2362">
        <v>88.3</v>
      </c>
      <c r="T3425" s="113">
        <f t="shared" si="270"/>
        <v>883</v>
      </c>
      <c r="U3425" s="2351"/>
      <c r="V3425" s="494">
        <v>120</v>
      </c>
      <c r="W3425" s="2041">
        <f t="shared" si="265"/>
        <v>0.50615212527964215</v>
      </c>
    </row>
    <row r="3426" spans="1:23" s="7" customFormat="1" ht="15.95" customHeight="1">
      <c r="B3426" s="12" t="s">
        <v>1856</v>
      </c>
      <c r="C3426" s="6" t="s">
        <v>7718</v>
      </c>
      <c r="D3426" s="15" t="s">
        <v>7678</v>
      </c>
      <c r="E3426" s="24">
        <v>11700</v>
      </c>
      <c r="F3426" s="44">
        <v>9</v>
      </c>
      <c r="G3426" s="44" t="s">
        <v>207</v>
      </c>
      <c r="H3426" s="67">
        <v>10</v>
      </c>
      <c r="I3426" s="68">
        <v>1</v>
      </c>
      <c r="J3426" s="67">
        <f t="shared" si="266"/>
        <v>10</v>
      </c>
      <c r="K3426" s="46">
        <v>1.49</v>
      </c>
      <c r="L3426" s="46">
        <f t="shared" si="267"/>
        <v>14.9</v>
      </c>
      <c r="M3426" s="162" t="s">
        <v>2219</v>
      </c>
      <c r="N3426" s="39">
        <v>45554</v>
      </c>
      <c r="O3426" s="38">
        <v>6402</v>
      </c>
      <c r="P3426" s="46">
        <f t="shared" si="268"/>
        <v>1.3111999999999999</v>
      </c>
      <c r="Q3426" s="483">
        <v>1.31</v>
      </c>
      <c r="R3426" s="704">
        <f t="shared" si="269"/>
        <v>13.100000000000001</v>
      </c>
      <c r="S3426" s="2362">
        <v>88.3</v>
      </c>
      <c r="T3426" s="113">
        <f t="shared" si="270"/>
        <v>883</v>
      </c>
      <c r="U3426" s="2351"/>
      <c r="V3426" s="494">
        <v>120</v>
      </c>
      <c r="W3426" s="2041">
        <f t="shared" si="265"/>
        <v>0.50615212527964215</v>
      </c>
    </row>
    <row r="3427" spans="1:23" ht="15.95" customHeight="1">
      <c r="B3427" s="28" t="s">
        <v>7684</v>
      </c>
      <c r="C3427" s="6" t="s">
        <v>7677</v>
      </c>
      <c r="D3427" s="15" t="s">
        <v>7678</v>
      </c>
      <c r="E3427" s="24" t="s">
        <v>7683</v>
      </c>
      <c r="F3427" s="138"/>
      <c r="G3427" s="44"/>
      <c r="H3427" s="8"/>
      <c r="I3427" s="68"/>
      <c r="J3427" s="45">
        <v>1</v>
      </c>
      <c r="K3427" s="46">
        <v>15</v>
      </c>
      <c r="L3427" s="46">
        <f t="shared" si="267"/>
        <v>15</v>
      </c>
      <c r="M3427" s="112"/>
      <c r="N3427" s="39">
        <v>45554</v>
      </c>
      <c r="O3427" s="38">
        <v>6402</v>
      </c>
      <c r="P3427" s="46">
        <f t="shared" si="268"/>
        <v>15</v>
      </c>
      <c r="Q3427" s="180">
        <v>15</v>
      </c>
      <c r="R3427" s="180">
        <v>15</v>
      </c>
      <c r="S3427" s="498">
        <v>0</v>
      </c>
      <c r="T3427" s="568">
        <f t="shared" si="270"/>
        <v>0</v>
      </c>
      <c r="U3427" s="511"/>
      <c r="V3427" s="494">
        <v>120</v>
      </c>
      <c r="W3427" s="2041">
        <f t="shared" si="265"/>
        <v>1</v>
      </c>
    </row>
    <row r="3428" spans="1:23" ht="15.95" customHeight="1">
      <c r="B3428" s="28" t="s">
        <v>1862</v>
      </c>
      <c r="C3428" s="6" t="s">
        <v>7677</v>
      </c>
      <c r="D3428" s="15" t="s">
        <v>7678</v>
      </c>
      <c r="E3428" s="24" t="s">
        <v>7716</v>
      </c>
      <c r="F3428" s="138"/>
      <c r="G3428" s="44"/>
      <c r="H3428" s="8"/>
      <c r="I3428" s="68"/>
      <c r="J3428" s="45">
        <v>1</v>
      </c>
      <c r="K3428" s="46">
        <v>15</v>
      </c>
      <c r="L3428" s="46">
        <f t="shared" si="267"/>
        <v>15</v>
      </c>
      <c r="M3428" s="112"/>
      <c r="N3428" s="39">
        <v>45554</v>
      </c>
      <c r="O3428" s="38">
        <v>6402</v>
      </c>
      <c r="P3428" s="46">
        <f t="shared" si="268"/>
        <v>15</v>
      </c>
      <c r="Q3428" s="180">
        <v>15</v>
      </c>
      <c r="R3428" s="180">
        <v>15</v>
      </c>
      <c r="S3428" s="498">
        <v>0</v>
      </c>
      <c r="T3428" s="568">
        <f t="shared" si="270"/>
        <v>0</v>
      </c>
      <c r="U3428" s="511"/>
      <c r="V3428" s="494">
        <v>120</v>
      </c>
      <c r="W3428" s="2041">
        <f t="shared" si="265"/>
        <v>1</v>
      </c>
    </row>
    <row r="3429" spans="1:23" ht="15.95" customHeight="1">
      <c r="C3429" s="6" t="s">
        <v>7677</v>
      </c>
      <c r="D3429" s="15" t="s">
        <v>7678</v>
      </c>
      <c r="E3429" s="24"/>
      <c r="F3429" s="138"/>
      <c r="G3429" s="44" t="s">
        <v>1993</v>
      </c>
      <c r="H3429" s="8"/>
      <c r="I3429" s="68"/>
      <c r="J3429" s="45">
        <v>1</v>
      </c>
      <c r="K3429" s="46">
        <v>12</v>
      </c>
      <c r="L3429" s="46">
        <f t="shared" si="267"/>
        <v>12</v>
      </c>
      <c r="M3429" s="112"/>
      <c r="N3429" s="39">
        <v>45554</v>
      </c>
      <c r="O3429" s="38">
        <v>6402</v>
      </c>
      <c r="P3429" s="179"/>
      <c r="Q3429" s="180">
        <v>12</v>
      </c>
      <c r="R3429" s="180">
        <v>12</v>
      </c>
      <c r="S3429" s="498">
        <v>0</v>
      </c>
      <c r="T3429" s="568">
        <f t="shared" si="270"/>
        <v>0</v>
      </c>
      <c r="U3429" s="511"/>
      <c r="V3429" s="494">
        <v>120</v>
      </c>
      <c r="W3429" s="2041">
        <f t="shared" si="265"/>
        <v>1</v>
      </c>
    </row>
    <row r="3430" spans="1:23" s="314" customFormat="1" ht="15.6" customHeight="1">
      <c r="A3430" s="1"/>
      <c r="B3430" s="313"/>
      <c r="C3430" s="302" t="s">
        <v>7677</v>
      </c>
      <c r="D3430" s="303" t="s">
        <v>7678</v>
      </c>
      <c r="E3430" s="304"/>
      <c r="F3430" s="305"/>
      <c r="G3430" s="305" t="s">
        <v>1227</v>
      </c>
      <c r="H3430" s="307" t="s">
        <v>3438</v>
      </c>
      <c r="I3430" s="308"/>
      <c r="J3430" s="306"/>
      <c r="K3430" s="315">
        <v>115</v>
      </c>
      <c r="L3430" s="315">
        <v>115</v>
      </c>
      <c r="M3430" s="310"/>
      <c r="N3430" s="310">
        <v>45554</v>
      </c>
      <c r="O3430" s="309">
        <v>6402</v>
      </c>
      <c r="P3430" s="302"/>
      <c r="Q3430" s="315">
        <v>115</v>
      </c>
      <c r="R3430" s="315">
        <v>115</v>
      </c>
      <c r="S3430" s="2291">
        <v>8233</v>
      </c>
      <c r="T3430" s="2291">
        <v>8233</v>
      </c>
      <c r="U3430" s="515"/>
      <c r="V3430" s="494">
        <v>120</v>
      </c>
      <c r="W3430" s="2041">
        <f t="shared" si="265"/>
        <v>0.40340579710144925</v>
      </c>
    </row>
    <row r="3431" spans="1:23" s="7" customFormat="1" ht="15">
      <c r="A3431" s="1"/>
      <c r="B3431" s="12"/>
      <c r="C3431" s="6" t="s">
        <v>7698</v>
      </c>
      <c r="D3431" s="15" t="s">
        <v>11</v>
      </c>
      <c r="E3431" s="20" t="s">
        <v>2689</v>
      </c>
      <c r="F3431" s="26"/>
      <c r="G3431" s="24"/>
      <c r="H3431" s="67"/>
      <c r="I3431" s="68"/>
      <c r="J3431" s="67"/>
      <c r="K3431" s="10" t="s">
        <v>10</v>
      </c>
      <c r="L3431" s="39"/>
      <c r="M3431" s="39"/>
      <c r="N3431" s="39">
        <v>45547</v>
      </c>
      <c r="O3431" s="38">
        <v>6469</v>
      </c>
      <c r="P3431" s="6" t="s">
        <v>3</v>
      </c>
      <c r="Q3431" s="481"/>
      <c r="S3431" s="489"/>
      <c r="T3431" s="113"/>
      <c r="U3431" s="500"/>
      <c r="V3431" s="494">
        <v>120</v>
      </c>
      <c r="W3431" s="2041" t="e">
        <f t="shared" si="265"/>
        <v>#VALUE!</v>
      </c>
    </row>
    <row r="3432" spans="1:23" s="7" customFormat="1" ht="15" customHeight="1">
      <c r="A3432" s="1"/>
      <c r="B3432" s="12" t="s">
        <v>1856</v>
      </c>
      <c r="C3432" s="6" t="s">
        <v>7698</v>
      </c>
      <c r="D3432" s="15" t="s">
        <v>11</v>
      </c>
      <c r="E3432" s="24">
        <v>11700</v>
      </c>
      <c r="F3432" s="26">
        <v>24</v>
      </c>
      <c r="G3432" s="24" t="s">
        <v>7699</v>
      </c>
      <c r="H3432" s="67">
        <v>10</v>
      </c>
      <c r="I3432" s="68">
        <v>1</v>
      </c>
      <c r="J3432" s="8">
        <f t="shared" ref="J3432:J3440" si="271">H3432*I3432</f>
        <v>10</v>
      </c>
      <c r="K3432" s="25">
        <v>2.59</v>
      </c>
      <c r="L3432" s="46">
        <f t="shared" ref="L3432:L3440" si="272">K3432*J3432</f>
        <v>25.9</v>
      </c>
      <c r="M3432" s="162" t="s">
        <v>2219</v>
      </c>
      <c r="N3432" s="39">
        <v>45547</v>
      </c>
      <c r="O3432" s="38">
        <v>6469</v>
      </c>
      <c r="P3432" s="46">
        <f t="shared" ref="P3432:P3440" si="273">K3432*(VLOOKUP(B3432,$C$2:$F$6,3,FALSE))</f>
        <v>2.2791999999999999</v>
      </c>
      <c r="Q3432" s="482">
        <v>2.2799999999999998</v>
      </c>
      <c r="R3432" s="704">
        <f t="shared" ref="R3432:R3440" si="274">Q3432*J3432</f>
        <v>22.799999999999997</v>
      </c>
      <c r="S3432" s="489">
        <v>153.30000000000001</v>
      </c>
      <c r="T3432" s="113">
        <f t="shared" ref="T3432:T3440" si="275">S3432*J3432</f>
        <v>1533</v>
      </c>
      <c r="U3432" s="1597"/>
      <c r="V3432" s="494">
        <v>120</v>
      </c>
      <c r="W3432" s="2041">
        <f t="shared" si="265"/>
        <v>0.50675675675675669</v>
      </c>
    </row>
    <row r="3433" spans="1:23" s="7" customFormat="1" ht="15" customHeight="1">
      <c r="A3433" s="1"/>
      <c r="B3433" s="12" t="s">
        <v>1856</v>
      </c>
      <c r="C3433" s="6" t="s">
        <v>7698</v>
      </c>
      <c r="D3433" s="15" t="s">
        <v>11</v>
      </c>
      <c r="E3433" s="24">
        <v>11700</v>
      </c>
      <c r="F3433" s="26">
        <v>36</v>
      </c>
      <c r="G3433" s="24" t="s">
        <v>7699</v>
      </c>
      <c r="H3433" s="67">
        <v>10</v>
      </c>
      <c r="I3433" s="68">
        <v>1</v>
      </c>
      <c r="J3433" s="8">
        <f t="shared" si="271"/>
        <v>10</v>
      </c>
      <c r="K3433" s="25">
        <v>4.3</v>
      </c>
      <c r="L3433" s="46">
        <f t="shared" si="272"/>
        <v>43</v>
      </c>
      <c r="M3433" s="162" t="s">
        <v>2219</v>
      </c>
      <c r="N3433" s="39">
        <v>45547</v>
      </c>
      <c r="O3433" s="38">
        <v>6469</v>
      </c>
      <c r="P3433" s="46">
        <f t="shared" si="273"/>
        <v>3.7839999999999998</v>
      </c>
      <c r="Q3433" s="482">
        <v>3.78</v>
      </c>
      <c r="R3433" s="704">
        <f t="shared" si="274"/>
        <v>37.799999999999997</v>
      </c>
      <c r="S3433" s="489">
        <v>255.1</v>
      </c>
      <c r="T3433" s="113">
        <f t="shared" si="275"/>
        <v>2551</v>
      </c>
      <c r="U3433" s="1597"/>
      <c r="V3433" s="494">
        <v>120</v>
      </c>
      <c r="W3433" s="2041">
        <f t="shared" si="265"/>
        <v>0.50562015503875968</v>
      </c>
    </row>
    <row r="3434" spans="1:23" s="7" customFormat="1" ht="15" customHeight="1">
      <c r="A3434" s="1"/>
      <c r="B3434" s="12" t="s">
        <v>1856</v>
      </c>
      <c r="C3434" s="6" t="s">
        <v>7698</v>
      </c>
      <c r="D3434" s="15" t="s">
        <v>11</v>
      </c>
      <c r="E3434" s="24">
        <v>11700</v>
      </c>
      <c r="F3434" s="26">
        <v>24</v>
      </c>
      <c r="G3434" s="24" t="s">
        <v>7700</v>
      </c>
      <c r="H3434" s="67">
        <v>10</v>
      </c>
      <c r="I3434" s="68">
        <v>1</v>
      </c>
      <c r="J3434" s="8">
        <f t="shared" si="271"/>
        <v>10</v>
      </c>
      <c r="K3434" s="25">
        <v>2.59</v>
      </c>
      <c r="L3434" s="46">
        <f t="shared" si="272"/>
        <v>25.9</v>
      </c>
      <c r="M3434" s="162" t="s">
        <v>2219</v>
      </c>
      <c r="N3434" s="39">
        <v>45547</v>
      </c>
      <c r="O3434" s="38">
        <v>6469</v>
      </c>
      <c r="P3434" s="46">
        <f t="shared" si="273"/>
        <v>2.2791999999999999</v>
      </c>
      <c r="Q3434" s="482">
        <v>2.2799999999999998</v>
      </c>
      <c r="R3434" s="704">
        <f t="shared" si="274"/>
        <v>22.799999999999997</v>
      </c>
      <c r="S3434" s="489">
        <v>153.30000000000001</v>
      </c>
      <c r="T3434" s="113">
        <f t="shared" si="275"/>
        <v>1533</v>
      </c>
      <c r="U3434" s="1597"/>
      <c r="V3434" s="494">
        <v>120</v>
      </c>
      <c r="W3434" s="2041">
        <f t="shared" si="265"/>
        <v>0.50675675675675669</v>
      </c>
    </row>
    <row r="3435" spans="1:23" s="7" customFormat="1" ht="15" customHeight="1">
      <c r="A3435" s="1"/>
      <c r="B3435" s="12" t="s">
        <v>1856</v>
      </c>
      <c r="C3435" s="6" t="s">
        <v>7698</v>
      </c>
      <c r="D3435" s="15" t="s">
        <v>11</v>
      </c>
      <c r="E3435" s="24">
        <v>11700</v>
      </c>
      <c r="F3435" s="26">
        <v>36</v>
      </c>
      <c r="G3435" s="24" t="s">
        <v>7700</v>
      </c>
      <c r="H3435" s="67">
        <v>10</v>
      </c>
      <c r="I3435" s="68">
        <v>1</v>
      </c>
      <c r="J3435" s="8">
        <f t="shared" si="271"/>
        <v>10</v>
      </c>
      <c r="K3435" s="25">
        <v>4.3</v>
      </c>
      <c r="L3435" s="46">
        <f t="shared" si="272"/>
        <v>43</v>
      </c>
      <c r="M3435" s="162" t="s">
        <v>2219</v>
      </c>
      <c r="N3435" s="39">
        <v>45547</v>
      </c>
      <c r="O3435" s="38">
        <v>6469</v>
      </c>
      <c r="P3435" s="46">
        <f t="shared" si="273"/>
        <v>3.7839999999999998</v>
      </c>
      <c r="Q3435" s="482">
        <v>3.78</v>
      </c>
      <c r="R3435" s="704">
        <f t="shared" si="274"/>
        <v>37.799999999999997</v>
      </c>
      <c r="S3435" s="489">
        <v>255.1</v>
      </c>
      <c r="T3435" s="113">
        <f t="shared" si="275"/>
        <v>2551</v>
      </c>
      <c r="U3435" s="1597"/>
      <c r="V3435" s="494">
        <v>120</v>
      </c>
      <c r="W3435" s="2041">
        <f t="shared" si="265"/>
        <v>0.50562015503875968</v>
      </c>
    </row>
    <row r="3436" spans="1:23" s="7" customFormat="1" ht="15" customHeight="1">
      <c r="A3436" s="1"/>
      <c r="B3436" s="12" t="s">
        <v>1856</v>
      </c>
      <c r="C3436" s="6" t="s">
        <v>7698</v>
      </c>
      <c r="D3436" s="15" t="s">
        <v>11</v>
      </c>
      <c r="E3436" s="24">
        <v>11700</v>
      </c>
      <c r="F3436" s="26">
        <v>24</v>
      </c>
      <c r="G3436" s="24" t="s">
        <v>7701</v>
      </c>
      <c r="H3436" s="67">
        <v>10</v>
      </c>
      <c r="I3436" s="68">
        <v>1</v>
      </c>
      <c r="J3436" s="8">
        <f t="shared" si="271"/>
        <v>10</v>
      </c>
      <c r="K3436" s="25">
        <v>2.59</v>
      </c>
      <c r="L3436" s="46">
        <f t="shared" si="272"/>
        <v>25.9</v>
      </c>
      <c r="M3436" s="162" t="s">
        <v>2219</v>
      </c>
      <c r="N3436" s="39">
        <v>45547</v>
      </c>
      <c r="O3436" s="38">
        <v>6469</v>
      </c>
      <c r="P3436" s="46">
        <f t="shared" si="273"/>
        <v>2.2791999999999999</v>
      </c>
      <c r="Q3436" s="482">
        <v>2.2799999999999998</v>
      </c>
      <c r="R3436" s="704">
        <f t="shared" si="274"/>
        <v>22.799999999999997</v>
      </c>
      <c r="S3436" s="489">
        <v>153.30000000000001</v>
      </c>
      <c r="T3436" s="113">
        <f t="shared" si="275"/>
        <v>1533</v>
      </c>
      <c r="U3436" s="1597"/>
      <c r="V3436" s="494">
        <v>120</v>
      </c>
      <c r="W3436" s="2041">
        <f t="shared" ref="W3436:W3454" si="276">(((K3436*V3436)-S3436)/(K3436*V3436))</f>
        <v>0.50675675675675669</v>
      </c>
    </row>
    <row r="3437" spans="1:23" s="7" customFormat="1" ht="15" customHeight="1">
      <c r="A3437" s="1"/>
      <c r="B3437" s="12" t="s">
        <v>1856</v>
      </c>
      <c r="C3437" s="6" t="s">
        <v>7698</v>
      </c>
      <c r="D3437" s="15" t="s">
        <v>11</v>
      </c>
      <c r="E3437" s="24">
        <v>11700</v>
      </c>
      <c r="F3437" s="26">
        <v>36</v>
      </c>
      <c r="G3437" s="24" t="s">
        <v>7701</v>
      </c>
      <c r="H3437" s="67">
        <v>5</v>
      </c>
      <c r="I3437" s="68">
        <v>1</v>
      </c>
      <c r="J3437" s="8">
        <f t="shared" si="271"/>
        <v>5</v>
      </c>
      <c r="K3437" s="25">
        <v>4.3</v>
      </c>
      <c r="L3437" s="46">
        <f t="shared" si="272"/>
        <v>21.5</v>
      </c>
      <c r="M3437" s="162" t="s">
        <v>2219</v>
      </c>
      <c r="N3437" s="39">
        <v>45547</v>
      </c>
      <c r="O3437" s="38">
        <v>6469</v>
      </c>
      <c r="P3437" s="46">
        <f t="shared" si="273"/>
        <v>3.7839999999999998</v>
      </c>
      <c r="Q3437" s="482">
        <v>3.78</v>
      </c>
      <c r="R3437" s="704">
        <f t="shared" si="274"/>
        <v>18.899999999999999</v>
      </c>
      <c r="S3437" s="489">
        <v>255.1</v>
      </c>
      <c r="T3437" s="113">
        <f t="shared" si="275"/>
        <v>1275.5</v>
      </c>
      <c r="U3437" s="1597"/>
      <c r="V3437" s="494">
        <v>120</v>
      </c>
      <c r="W3437" s="2041">
        <f t="shared" si="276"/>
        <v>0.50562015503875968</v>
      </c>
    </row>
    <row r="3438" spans="1:23" s="7" customFormat="1" ht="15" customHeight="1">
      <c r="A3438" s="1"/>
      <c r="B3438" s="12" t="s">
        <v>1856</v>
      </c>
      <c r="C3438" s="6" t="s">
        <v>7698</v>
      </c>
      <c r="D3438" s="15" t="s">
        <v>11</v>
      </c>
      <c r="E3438" s="24">
        <v>11700</v>
      </c>
      <c r="F3438" s="26">
        <v>24</v>
      </c>
      <c r="G3438" s="24" t="s">
        <v>7702</v>
      </c>
      <c r="H3438" s="67">
        <v>10</v>
      </c>
      <c r="I3438" s="68">
        <v>1</v>
      </c>
      <c r="J3438" s="8">
        <f t="shared" si="271"/>
        <v>10</v>
      </c>
      <c r="K3438" s="25">
        <v>2.59</v>
      </c>
      <c r="L3438" s="46">
        <f t="shared" si="272"/>
        <v>25.9</v>
      </c>
      <c r="M3438" s="162" t="s">
        <v>2219</v>
      </c>
      <c r="N3438" s="39">
        <v>45547</v>
      </c>
      <c r="O3438" s="38">
        <v>6469</v>
      </c>
      <c r="P3438" s="46">
        <f t="shared" si="273"/>
        <v>2.2791999999999999</v>
      </c>
      <c r="Q3438" s="482">
        <v>2.2799999999999998</v>
      </c>
      <c r="R3438" s="704">
        <f t="shared" si="274"/>
        <v>22.799999999999997</v>
      </c>
      <c r="S3438" s="489">
        <v>153.30000000000001</v>
      </c>
      <c r="T3438" s="113">
        <f t="shared" si="275"/>
        <v>1533</v>
      </c>
      <c r="U3438" s="1597"/>
      <c r="V3438" s="494">
        <v>120</v>
      </c>
      <c r="W3438" s="2041">
        <f t="shared" si="276"/>
        <v>0.50675675675675669</v>
      </c>
    </row>
    <row r="3439" spans="1:23" s="7" customFormat="1" ht="15" customHeight="1">
      <c r="A3439" s="1"/>
      <c r="B3439" s="12" t="s">
        <v>1856</v>
      </c>
      <c r="C3439" s="6" t="s">
        <v>7698</v>
      </c>
      <c r="D3439" s="15" t="s">
        <v>11</v>
      </c>
      <c r="E3439" s="24">
        <v>11700</v>
      </c>
      <c r="F3439" s="26">
        <v>24</v>
      </c>
      <c r="G3439" s="24" t="s">
        <v>7703</v>
      </c>
      <c r="H3439" s="67">
        <v>10</v>
      </c>
      <c r="I3439" s="68">
        <v>1</v>
      </c>
      <c r="J3439" s="8">
        <f t="shared" si="271"/>
        <v>10</v>
      </c>
      <c r="K3439" s="25">
        <v>2.59</v>
      </c>
      <c r="L3439" s="46">
        <f t="shared" si="272"/>
        <v>25.9</v>
      </c>
      <c r="M3439" s="162" t="s">
        <v>2219</v>
      </c>
      <c r="N3439" s="39">
        <v>45547</v>
      </c>
      <c r="O3439" s="38">
        <v>6469</v>
      </c>
      <c r="P3439" s="46">
        <f t="shared" si="273"/>
        <v>2.2791999999999999</v>
      </c>
      <c r="Q3439" s="482">
        <v>2.2799999999999998</v>
      </c>
      <c r="R3439" s="704">
        <f t="shared" si="274"/>
        <v>22.799999999999997</v>
      </c>
      <c r="S3439" s="489">
        <v>153.30000000000001</v>
      </c>
      <c r="T3439" s="113">
        <f t="shared" si="275"/>
        <v>1533</v>
      </c>
      <c r="U3439" s="1597"/>
      <c r="V3439" s="494">
        <v>120</v>
      </c>
      <c r="W3439" s="2041">
        <f t="shared" si="276"/>
        <v>0.50675675675675669</v>
      </c>
    </row>
    <row r="3440" spans="1:23" s="7" customFormat="1" ht="15" customHeight="1">
      <c r="A3440" s="1"/>
      <c r="B3440" s="12" t="s">
        <v>1856</v>
      </c>
      <c r="C3440" s="6" t="s">
        <v>7698</v>
      </c>
      <c r="D3440" s="15" t="s">
        <v>11</v>
      </c>
      <c r="E3440" s="24">
        <v>11700</v>
      </c>
      <c r="F3440" s="26">
        <v>24</v>
      </c>
      <c r="G3440" s="24" t="s">
        <v>7704</v>
      </c>
      <c r="H3440" s="67">
        <v>10</v>
      </c>
      <c r="I3440" s="68">
        <v>1</v>
      </c>
      <c r="J3440" s="8">
        <f t="shared" si="271"/>
        <v>10</v>
      </c>
      <c r="K3440" s="25">
        <v>2.59</v>
      </c>
      <c r="L3440" s="46">
        <f t="shared" si="272"/>
        <v>25.9</v>
      </c>
      <c r="M3440" s="162" t="s">
        <v>2219</v>
      </c>
      <c r="N3440" s="39">
        <v>45547</v>
      </c>
      <c r="O3440" s="38">
        <v>6469</v>
      </c>
      <c r="P3440" s="46">
        <f t="shared" si="273"/>
        <v>2.2791999999999999</v>
      </c>
      <c r="Q3440" s="482">
        <v>2.2799999999999998</v>
      </c>
      <c r="R3440" s="704">
        <f t="shared" si="274"/>
        <v>22.799999999999997</v>
      </c>
      <c r="S3440" s="489">
        <v>153.30000000000001</v>
      </c>
      <c r="T3440" s="113">
        <f t="shared" si="275"/>
        <v>1533</v>
      </c>
      <c r="U3440" s="1597"/>
      <c r="V3440" s="494">
        <v>120</v>
      </c>
      <c r="W3440" s="2041">
        <f t="shared" si="276"/>
        <v>0.50675675675675669</v>
      </c>
    </row>
    <row r="3441" spans="1:24" s="314" customFormat="1" ht="15.6" customHeight="1">
      <c r="A3441" s="1"/>
      <c r="B3441" s="313"/>
      <c r="C3441" s="302" t="s">
        <v>7698</v>
      </c>
      <c r="D3441" s="303" t="s">
        <v>11</v>
      </c>
      <c r="E3441" s="304"/>
      <c r="F3441" s="305"/>
      <c r="G3441" s="305" t="s">
        <v>1227</v>
      </c>
      <c r="H3441" s="307" t="s">
        <v>1228</v>
      </c>
      <c r="I3441" s="308"/>
      <c r="J3441" s="306"/>
      <c r="K3441" s="315">
        <v>0</v>
      </c>
      <c r="L3441" s="310"/>
      <c r="M3441" s="310"/>
      <c r="N3441" s="310">
        <v>45547</v>
      </c>
      <c r="O3441" s="309">
        <v>6469</v>
      </c>
      <c r="P3441" s="302"/>
      <c r="Q3441" s="485">
        <v>0</v>
      </c>
      <c r="S3441" s="535">
        <v>0</v>
      </c>
      <c r="T3441" s="322">
        <v>0</v>
      </c>
      <c r="U3441" s="515"/>
      <c r="V3441" s="494">
        <v>120</v>
      </c>
      <c r="W3441" s="2041" t="e">
        <f t="shared" si="276"/>
        <v>#DIV/0!</v>
      </c>
    </row>
    <row r="3442" spans="1:24" s="7" customFormat="1" ht="15">
      <c r="A3442" s="1"/>
      <c r="B3442" s="12"/>
      <c r="C3442" s="6" t="s">
        <v>7719</v>
      </c>
      <c r="D3442" s="15" t="s">
        <v>7720</v>
      </c>
      <c r="E3442" s="20" t="s">
        <v>55</v>
      </c>
      <c r="F3442" s="26"/>
      <c r="G3442" s="24"/>
      <c r="H3442" s="67"/>
      <c r="I3442" s="68"/>
      <c r="J3442" s="67"/>
      <c r="K3442" s="17" t="s">
        <v>10</v>
      </c>
      <c r="L3442" s="39"/>
      <c r="M3442" s="39"/>
      <c r="N3442" s="39">
        <v>45561</v>
      </c>
      <c r="O3442" s="38">
        <v>6486</v>
      </c>
      <c r="P3442" s="6"/>
      <c r="Q3442" s="481"/>
      <c r="S3442" s="489"/>
      <c r="T3442" s="113"/>
      <c r="U3442" s="500"/>
      <c r="V3442" s="494">
        <v>120</v>
      </c>
      <c r="W3442" s="2041" t="e">
        <f t="shared" si="276"/>
        <v>#VALUE!</v>
      </c>
    </row>
    <row r="3443" spans="1:24" s="7" customFormat="1" ht="15.75">
      <c r="A3443" s="1"/>
      <c r="B3443" s="12" t="s">
        <v>7717</v>
      </c>
      <c r="C3443" s="6" t="s">
        <v>7719</v>
      </c>
      <c r="D3443" s="15" t="s">
        <v>7720</v>
      </c>
      <c r="E3443" s="24" t="s">
        <v>242</v>
      </c>
      <c r="F3443" s="26"/>
      <c r="G3443" s="24" t="s">
        <v>78</v>
      </c>
      <c r="H3443" s="151">
        <v>13.7</v>
      </c>
      <c r="I3443" s="41">
        <v>15</v>
      </c>
      <c r="J3443" s="199">
        <f>H3443*I3443</f>
        <v>205.5</v>
      </c>
      <c r="K3443" s="46">
        <v>1.39</v>
      </c>
      <c r="L3443" s="46">
        <f>K3443*J3443</f>
        <v>285.64499999999998</v>
      </c>
      <c r="M3443" s="162" t="s">
        <v>2219</v>
      </c>
      <c r="N3443" s="39">
        <v>45561</v>
      </c>
      <c r="O3443" s="38">
        <v>6486</v>
      </c>
      <c r="P3443" s="46">
        <f>K3443*(VLOOKUP(B3443,$C$2:$F$6,3,FALSE))</f>
        <v>1.2231999999999998</v>
      </c>
      <c r="Q3443" s="485">
        <v>1.22</v>
      </c>
      <c r="R3443" s="704">
        <f>Q3443*J3443</f>
        <v>250.71</v>
      </c>
      <c r="S3443" s="489">
        <v>100</v>
      </c>
      <c r="T3443" s="567">
        <f>S3443*J3443</f>
        <v>20550</v>
      </c>
      <c r="U3443" s="505"/>
      <c r="V3443" s="494">
        <v>120</v>
      </c>
      <c r="W3443" s="2041">
        <f t="shared" si="276"/>
        <v>0.40047961630695439</v>
      </c>
    </row>
    <row r="3444" spans="1:24" s="7" customFormat="1" ht="15.75">
      <c r="A3444" s="1"/>
      <c r="B3444" s="12" t="s">
        <v>7717</v>
      </c>
      <c r="C3444" s="6" t="s">
        <v>7719</v>
      </c>
      <c r="D3444" s="15" t="s">
        <v>7720</v>
      </c>
      <c r="E3444" s="24" t="s">
        <v>7693</v>
      </c>
      <c r="F3444" s="26"/>
      <c r="G3444" s="24" t="s">
        <v>78</v>
      </c>
      <c r="H3444" s="151"/>
      <c r="I3444" s="41"/>
      <c r="J3444" s="320">
        <v>500</v>
      </c>
      <c r="K3444" s="46">
        <v>3.63</v>
      </c>
      <c r="L3444" s="46">
        <f>K3444*J3444</f>
        <v>1815</v>
      </c>
      <c r="M3444" s="162" t="s">
        <v>2219</v>
      </c>
      <c r="N3444" s="39">
        <v>45561</v>
      </c>
      <c r="O3444" s="38">
        <v>6486</v>
      </c>
      <c r="P3444" s="46">
        <f>K3444*(VLOOKUP(B3444,$C$2:$F$6,3,FALSE))</f>
        <v>3.1943999999999999</v>
      </c>
      <c r="Q3444" s="485">
        <v>3.19</v>
      </c>
      <c r="R3444" s="704">
        <f>Q3444*J3444</f>
        <v>1595</v>
      </c>
      <c r="S3444" s="489">
        <v>261</v>
      </c>
      <c r="T3444" s="567">
        <f>S3444*J3444</f>
        <v>130500</v>
      </c>
      <c r="U3444" s="505"/>
      <c r="V3444" s="494">
        <v>120</v>
      </c>
      <c r="W3444" s="2041">
        <f t="shared" si="276"/>
        <v>0.40082644628099168</v>
      </c>
    </row>
    <row r="3445" spans="1:24" s="314" customFormat="1" ht="15" customHeight="1">
      <c r="A3445" s="1"/>
      <c r="B3445" s="313"/>
      <c r="C3445" s="302" t="s">
        <v>7719</v>
      </c>
      <c r="D3445" s="303" t="s">
        <v>7720</v>
      </c>
      <c r="E3445" s="304"/>
      <c r="F3445" s="305"/>
      <c r="G3445" s="305" t="s">
        <v>1227</v>
      </c>
      <c r="H3445" s="307" t="s">
        <v>1228</v>
      </c>
      <c r="I3445" s="308"/>
      <c r="J3445" s="306"/>
      <c r="K3445" s="315">
        <v>150</v>
      </c>
      <c r="L3445" s="315">
        <v>150</v>
      </c>
      <c r="M3445" s="310"/>
      <c r="N3445" s="310">
        <v>45561</v>
      </c>
      <c r="O3445" s="309">
        <v>6486</v>
      </c>
      <c r="P3445" s="302"/>
      <c r="Q3445" s="315">
        <v>150</v>
      </c>
      <c r="R3445" s="315">
        <v>150</v>
      </c>
      <c r="S3445" s="2291">
        <v>16629</v>
      </c>
      <c r="T3445" s="2291">
        <v>16629</v>
      </c>
      <c r="U3445" s="515"/>
      <c r="V3445" s="494">
        <v>120</v>
      </c>
      <c r="W3445" s="2041">
        <f t="shared" si="276"/>
        <v>7.616666666666666E-2</v>
      </c>
    </row>
    <row r="3446" spans="1:24" s="7" customFormat="1" ht="15" customHeight="1">
      <c r="B3446" s="12"/>
      <c r="C3446" s="6" t="s">
        <v>7749</v>
      </c>
      <c r="D3446" s="15" t="s">
        <v>7748</v>
      </c>
      <c r="E3446" s="20" t="s">
        <v>6633</v>
      </c>
      <c r="F3446" s="26"/>
      <c r="G3446" s="24"/>
      <c r="H3446" s="67"/>
      <c r="I3446" s="68"/>
      <c r="J3446" s="67"/>
      <c r="K3446" s="17" t="s">
        <v>140</v>
      </c>
      <c r="L3446" s="39"/>
      <c r="M3446" s="39"/>
      <c r="N3446" s="39">
        <v>45553</v>
      </c>
      <c r="O3446" s="38">
        <v>6491</v>
      </c>
      <c r="P3446" s="179" t="s">
        <v>23</v>
      </c>
      <c r="Q3446" s="438" t="s">
        <v>959</v>
      </c>
      <c r="R3446" s="704"/>
      <c r="S3446" s="707"/>
      <c r="T3446" s="113"/>
      <c r="U3446" s="2068"/>
      <c r="V3446" s="494">
        <v>120</v>
      </c>
      <c r="W3446" s="2041" t="e">
        <f t="shared" si="276"/>
        <v>#VALUE!</v>
      </c>
    </row>
    <row r="3447" spans="1:24" s="7" customFormat="1" ht="18" customHeight="1">
      <c r="B3447" s="12" t="s">
        <v>1862</v>
      </c>
      <c r="C3447" s="6" t="s">
        <v>7749</v>
      </c>
      <c r="D3447" s="15" t="s">
        <v>7748</v>
      </c>
      <c r="E3447" s="24" t="s">
        <v>7750</v>
      </c>
      <c r="F3447" s="138"/>
      <c r="G3447" s="44"/>
      <c r="H3447" s="8"/>
      <c r="I3447" s="68"/>
      <c r="J3447" s="45">
        <v>1</v>
      </c>
      <c r="K3447" s="46">
        <v>10</v>
      </c>
      <c r="L3447" s="46">
        <f>K3447*J3447</f>
        <v>10</v>
      </c>
      <c r="M3447" s="162" t="s">
        <v>2219</v>
      </c>
      <c r="N3447" s="39">
        <v>45553</v>
      </c>
      <c r="O3447" s="38">
        <v>6491</v>
      </c>
      <c r="P3447" s="46">
        <f>K3447*(VLOOKUP(B3447,$C$2:$F$6,3,FALSE))</f>
        <v>10</v>
      </c>
      <c r="Q3447" s="180">
        <v>10</v>
      </c>
      <c r="R3447" s="704">
        <f>Q3447*J3447</f>
        <v>10</v>
      </c>
      <c r="S3447" s="498">
        <v>0</v>
      </c>
      <c r="T3447" s="568">
        <f>S3447*J3447</f>
        <v>0</v>
      </c>
      <c r="U3447" s="511"/>
      <c r="V3447" s="494">
        <v>120</v>
      </c>
      <c r="W3447" s="2041">
        <f t="shared" si="276"/>
        <v>1</v>
      </c>
      <c r="X3447" s="1"/>
    </row>
    <row r="3448" spans="1:24" s="7" customFormat="1" ht="18" customHeight="1">
      <c r="B3448" s="12" t="s">
        <v>1862</v>
      </c>
      <c r="C3448" s="6" t="s">
        <v>7749</v>
      </c>
      <c r="D3448" s="15" t="s">
        <v>7748</v>
      </c>
      <c r="E3448" s="24" t="s">
        <v>7751</v>
      </c>
      <c r="F3448" s="138"/>
      <c r="G3448" s="44"/>
      <c r="H3448" s="8"/>
      <c r="I3448" s="68"/>
      <c r="J3448" s="45">
        <v>1</v>
      </c>
      <c r="K3448" s="46">
        <v>10</v>
      </c>
      <c r="L3448" s="46">
        <f>K3448*J3448</f>
        <v>10</v>
      </c>
      <c r="M3448" s="162" t="s">
        <v>2219</v>
      </c>
      <c r="N3448" s="39">
        <v>45553</v>
      </c>
      <c r="O3448" s="38">
        <v>6491</v>
      </c>
      <c r="P3448" s="46">
        <f>K3448*(VLOOKUP(B3448,$C$2:$F$6,3,FALSE))</f>
        <v>10</v>
      </c>
      <c r="Q3448" s="180">
        <v>10</v>
      </c>
      <c r="R3448" s="704">
        <f>Q3448*J3448</f>
        <v>10</v>
      </c>
      <c r="S3448" s="498">
        <v>0</v>
      </c>
      <c r="T3448" s="568">
        <f>S3448*J3448</f>
        <v>0</v>
      </c>
      <c r="U3448" s="511"/>
      <c r="V3448" s="494">
        <v>120</v>
      </c>
      <c r="W3448" s="2041">
        <f t="shared" si="276"/>
        <v>1</v>
      </c>
      <c r="X3448" s="1"/>
    </row>
    <row r="3449" spans="1:24" s="7" customFormat="1" ht="18" customHeight="1">
      <c r="B3449" s="12" t="s">
        <v>1862</v>
      </c>
      <c r="C3449" s="6" t="s">
        <v>7749</v>
      </c>
      <c r="D3449" s="15" t="s">
        <v>7748</v>
      </c>
      <c r="E3449" s="24" t="s">
        <v>7752</v>
      </c>
      <c r="F3449" s="138"/>
      <c r="G3449" s="44"/>
      <c r="H3449" s="8"/>
      <c r="I3449" s="68"/>
      <c r="J3449" s="45">
        <v>1</v>
      </c>
      <c r="K3449" s="46">
        <v>10</v>
      </c>
      <c r="L3449" s="46">
        <f>K3449*J3449</f>
        <v>10</v>
      </c>
      <c r="M3449" s="162" t="s">
        <v>2219</v>
      </c>
      <c r="N3449" s="39">
        <v>45553</v>
      </c>
      <c r="O3449" s="38">
        <v>6491</v>
      </c>
      <c r="P3449" s="46">
        <f>K3449*(VLOOKUP(B3449,$C$2:$F$6,3,FALSE))</f>
        <v>10</v>
      </c>
      <c r="Q3449" s="180">
        <v>10</v>
      </c>
      <c r="R3449" s="704">
        <f>Q3449*J3449</f>
        <v>10</v>
      </c>
      <c r="S3449" s="498">
        <v>0</v>
      </c>
      <c r="T3449" s="568">
        <f>S3449*J3449</f>
        <v>0</v>
      </c>
      <c r="U3449" s="511"/>
      <c r="V3449" s="494">
        <v>120</v>
      </c>
      <c r="W3449" s="2041">
        <f t="shared" si="276"/>
        <v>1</v>
      </c>
      <c r="X3449" s="1"/>
    </row>
    <row r="3450" spans="1:24" s="314" customFormat="1" ht="15">
      <c r="B3450" s="313"/>
      <c r="C3450" s="302" t="s">
        <v>7749</v>
      </c>
      <c r="D3450" s="303" t="s">
        <v>7748</v>
      </c>
      <c r="E3450" s="371"/>
      <c r="F3450" s="305"/>
      <c r="G3450" s="2049" t="s">
        <v>1227</v>
      </c>
      <c r="H3450" s="307" t="s">
        <v>1228</v>
      </c>
      <c r="I3450" s="308"/>
      <c r="J3450" s="306"/>
      <c r="K3450" s="315">
        <v>0</v>
      </c>
      <c r="L3450" s="310"/>
      <c r="M3450" s="310"/>
      <c r="N3450" s="310">
        <v>45553</v>
      </c>
      <c r="O3450" s="309">
        <v>6491</v>
      </c>
      <c r="P3450" s="302"/>
      <c r="Q3450" s="485">
        <v>0</v>
      </c>
      <c r="S3450" s="535">
        <v>0</v>
      </c>
      <c r="T3450" s="322">
        <v>0</v>
      </c>
      <c r="U3450" s="515"/>
      <c r="V3450" s="494">
        <v>120</v>
      </c>
      <c r="W3450" s="2041" t="e">
        <f t="shared" si="276"/>
        <v>#DIV/0!</v>
      </c>
    </row>
    <row r="3451" spans="1:24" ht="18" customHeight="1">
      <c r="C3451" s="6" t="s">
        <v>7781</v>
      </c>
      <c r="D3451" s="15" t="s">
        <v>6806</v>
      </c>
      <c r="E3451" s="20" t="s">
        <v>260</v>
      </c>
      <c r="F3451" s="44"/>
      <c r="G3451" s="44"/>
      <c r="H3451" s="151"/>
      <c r="I3451" s="151"/>
      <c r="J3451" s="151"/>
      <c r="K3451" s="34" t="s">
        <v>134</v>
      </c>
      <c r="L3451" s="39"/>
      <c r="M3451" s="39"/>
      <c r="N3451" s="39">
        <v>45555</v>
      </c>
      <c r="O3451" s="38">
        <v>6493</v>
      </c>
      <c r="P3451" s="6"/>
      <c r="Q3451" s="524"/>
      <c r="S3451" s="1995"/>
      <c r="T3451" s="113"/>
      <c r="U3451" s="501"/>
      <c r="V3451" s="494">
        <v>120</v>
      </c>
      <c r="W3451" s="2041" t="e">
        <f t="shared" si="276"/>
        <v>#VALUE!</v>
      </c>
    </row>
    <row r="3452" spans="1:24" ht="18" customHeight="1">
      <c r="B3452" s="28" t="s">
        <v>1856</v>
      </c>
      <c r="C3452" s="6" t="s">
        <v>7781</v>
      </c>
      <c r="D3452" s="15" t="s">
        <v>6806</v>
      </c>
      <c r="E3452" s="24">
        <v>4141</v>
      </c>
      <c r="F3452" s="44">
        <v>6</v>
      </c>
      <c r="G3452" s="24" t="s">
        <v>3096</v>
      </c>
      <c r="H3452" s="67">
        <v>20</v>
      </c>
      <c r="I3452" s="68">
        <v>15</v>
      </c>
      <c r="J3452" s="67">
        <f>H3452*I3452</f>
        <v>300</v>
      </c>
      <c r="K3452" s="46">
        <v>1.47</v>
      </c>
      <c r="L3452" s="46">
        <f>K3452*J3452</f>
        <v>441</v>
      </c>
      <c r="M3452" s="162" t="s">
        <v>2219</v>
      </c>
      <c r="N3452" s="39">
        <v>45555</v>
      </c>
      <c r="O3452" s="38">
        <v>6493</v>
      </c>
      <c r="P3452" s="46">
        <f>K3452*(VLOOKUP(B3452,$C$2:$F$6,3,FALSE))</f>
        <v>1.2936000000000001</v>
      </c>
      <c r="Q3452" s="482">
        <v>1.29</v>
      </c>
      <c r="R3452" s="704">
        <f>Q3452*J3452</f>
        <v>387</v>
      </c>
      <c r="S3452" s="489">
        <v>87</v>
      </c>
      <c r="T3452" s="113">
        <f>S3452*J3452</f>
        <v>26100</v>
      </c>
      <c r="U3452" s="699"/>
      <c r="V3452" s="494">
        <v>120</v>
      </c>
      <c r="W3452" s="2041">
        <f t="shared" si="276"/>
        <v>0.50680272108843538</v>
      </c>
    </row>
    <row r="3453" spans="1:24" s="7" customFormat="1" ht="18" customHeight="1">
      <c r="B3453" s="12"/>
      <c r="C3453" s="6" t="s">
        <v>7781</v>
      </c>
      <c r="D3453" s="15" t="s">
        <v>6806</v>
      </c>
      <c r="E3453" s="238"/>
      <c r="F3453" s="44"/>
      <c r="G3453" s="24" t="s">
        <v>2975</v>
      </c>
      <c r="H3453" s="8"/>
      <c r="I3453" s="152" ph="1"/>
      <c r="J3453" s="45">
        <v>1</v>
      </c>
      <c r="K3453" s="46">
        <v>12</v>
      </c>
      <c r="L3453" s="46">
        <f>K3453*J3453</f>
        <v>12</v>
      </c>
      <c r="M3453" s="112"/>
      <c r="N3453" s="39">
        <v>45555</v>
      </c>
      <c r="O3453" s="38">
        <v>6493</v>
      </c>
      <c r="P3453" s="6"/>
      <c r="Q3453" s="703">
        <v>12</v>
      </c>
      <c r="R3453" s="703">
        <f>Q3453*J3453</f>
        <v>12</v>
      </c>
      <c r="S3453" s="7">
        <v>1100</v>
      </c>
      <c r="T3453" s="113">
        <f>S3453*J3453</f>
        <v>1100</v>
      </c>
      <c r="U3453" s="23"/>
      <c r="V3453" s="494">
        <v>120</v>
      </c>
      <c r="W3453" s="2041">
        <f t="shared" si="276"/>
        <v>0.2361111111111111</v>
      </c>
    </row>
    <row r="3454" spans="1:24" s="314" customFormat="1" ht="15">
      <c r="B3454" s="313"/>
      <c r="C3454" s="302" t="s">
        <v>7781</v>
      </c>
      <c r="D3454" s="303" t="s">
        <v>6806</v>
      </c>
      <c r="E3454" s="304"/>
      <c r="F3454" s="305"/>
      <c r="G3454" s="305" t="s">
        <v>1227</v>
      </c>
      <c r="H3454" s="307" t="s">
        <v>1228</v>
      </c>
      <c r="I3454" s="308"/>
      <c r="J3454" s="306"/>
      <c r="K3454" s="315">
        <v>0</v>
      </c>
      <c r="L3454" s="310"/>
      <c r="M3454" s="310"/>
      <c r="N3454" s="310">
        <v>45555</v>
      </c>
      <c r="O3454" s="309">
        <v>6493</v>
      </c>
      <c r="P3454" s="302"/>
      <c r="Q3454" s="485">
        <v>0</v>
      </c>
      <c r="S3454" s="536">
        <v>0</v>
      </c>
      <c r="T3454" s="322">
        <v>0</v>
      </c>
      <c r="U3454" s="515"/>
      <c r="V3454" s="494">
        <v>120</v>
      </c>
      <c r="W3454" s="2041" t="e">
        <f t="shared" si="276"/>
        <v>#DIV/0!</v>
      </c>
    </row>
    <row r="3455" spans="1:24" s="7" customFormat="1" ht="18" customHeight="1">
      <c r="B3455" s="12"/>
      <c r="C3455" s="6" t="s">
        <v>7782</v>
      </c>
      <c r="D3455" s="15" t="s">
        <v>11</v>
      </c>
      <c r="E3455" s="20" t="s">
        <v>7784</v>
      </c>
      <c r="F3455" s="24"/>
      <c r="G3455" s="44"/>
      <c r="H3455" s="151"/>
      <c r="I3455" s="151"/>
      <c r="J3455" s="151"/>
      <c r="K3455" s="153" t="s">
        <v>10</v>
      </c>
      <c r="L3455" s="39"/>
      <c r="M3455" s="39"/>
      <c r="N3455" s="39">
        <v>45555</v>
      </c>
      <c r="O3455" s="38">
        <v>6445</v>
      </c>
      <c r="P3455" s="6"/>
      <c r="Q3455" s="411"/>
      <c r="S3455" s="2350"/>
      <c r="T3455" s="113"/>
      <c r="U3455" s="2352"/>
      <c r="V3455" s="494">
        <v>120</v>
      </c>
    </row>
    <row r="3456" spans="1:24" s="7" customFormat="1" ht="15.95" customHeight="1">
      <c r="B3456" s="12" t="s">
        <v>1856</v>
      </c>
      <c r="C3456" s="6" t="s">
        <v>7782</v>
      </c>
      <c r="D3456" s="15" t="s">
        <v>11</v>
      </c>
      <c r="E3456" s="24" t="s">
        <v>7783</v>
      </c>
      <c r="F3456" s="44">
        <v>9</v>
      </c>
      <c r="G3456" s="44" t="s">
        <v>7785</v>
      </c>
      <c r="H3456" s="67">
        <v>30</v>
      </c>
      <c r="I3456" s="68">
        <v>4</v>
      </c>
      <c r="J3456" s="67">
        <f>H3456*I3456</f>
        <v>120</v>
      </c>
      <c r="K3456" s="46">
        <v>0.47</v>
      </c>
      <c r="L3456" s="46">
        <f>K3456*J3456</f>
        <v>56.4</v>
      </c>
      <c r="M3456" s="162" t="s">
        <v>2219</v>
      </c>
      <c r="N3456" s="39">
        <v>45555</v>
      </c>
      <c r="O3456" s="38">
        <v>6445</v>
      </c>
      <c r="P3456" s="46">
        <f>K3456*(VLOOKUP(B3456,$C$2:$F$6,3,FALSE))</f>
        <v>0.41359999999999997</v>
      </c>
      <c r="Q3456" s="483">
        <v>0.41</v>
      </c>
      <c r="R3456" s="704">
        <f>Q3456*J3456</f>
        <v>49.199999999999996</v>
      </c>
      <c r="S3456" s="2351">
        <v>28</v>
      </c>
      <c r="T3456" s="113">
        <f>S3456*J3456</f>
        <v>3360</v>
      </c>
      <c r="U3456" s="2351"/>
      <c r="V3456" s="494">
        <v>120</v>
      </c>
      <c r="W3456" s="2041">
        <f t="shared" ref="W3456:W3477" si="277">(((K3456*V3456)-S3456)/(K3456*V3456))</f>
        <v>0.50354609929078009</v>
      </c>
    </row>
    <row r="3457" spans="1:23" s="7" customFormat="1" ht="15.95" customHeight="1">
      <c r="B3457" s="12" t="s">
        <v>1856</v>
      </c>
      <c r="C3457" s="6" t="s">
        <v>7782</v>
      </c>
      <c r="D3457" s="15" t="s">
        <v>11</v>
      </c>
      <c r="E3457" s="24" t="s">
        <v>7783</v>
      </c>
      <c r="F3457" s="44">
        <v>18</v>
      </c>
      <c r="G3457" s="44" t="s">
        <v>7785</v>
      </c>
      <c r="H3457" s="67">
        <v>30</v>
      </c>
      <c r="I3457" s="68">
        <v>2</v>
      </c>
      <c r="J3457" s="67">
        <f>H3457*I3457</f>
        <v>60</v>
      </c>
      <c r="K3457" s="46">
        <v>0.7</v>
      </c>
      <c r="L3457" s="46">
        <f>K3457*J3457</f>
        <v>42</v>
      </c>
      <c r="M3457" s="162" t="s">
        <v>2219</v>
      </c>
      <c r="N3457" s="39">
        <v>45555</v>
      </c>
      <c r="O3457" s="38">
        <v>6445</v>
      </c>
      <c r="P3457" s="46">
        <f>K3457*(VLOOKUP(B3457,$C$2:$F$6,3,FALSE))</f>
        <v>0.61599999999999999</v>
      </c>
      <c r="Q3457" s="483">
        <v>0.62</v>
      </c>
      <c r="R3457" s="704">
        <f>Q3457*J3457</f>
        <v>37.200000000000003</v>
      </c>
      <c r="S3457" s="2351">
        <v>42</v>
      </c>
      <c r="T3457" s="113">
        <f>S3457*J3457</f>
        <v>2520</v>
      </c>
      <c r="U3457" s="2351"/>
      <c r="V3457" s="494">
        <v>120</v>
      </c>
      <c r="W3457" s="2041">
        <f t="shared" si="277"/>
        <v>0.5</v>
      </c>
    </row>
    <row r="3458" spans="1:23" ht="15">
      <c r="C3458" s="6" t="s">
        <v>7782</v>
      </c>
      <c r="D3458" s="15" t="s">
        <v>11</v>
      </c>
      <c r="E3458" s="24"/>
      <c r="F3458" s="160"/>
      <c r="G3458" s="228" t="s">
        <v>481</v>
      </c>
      <c r="H3458" s="214"/>
      <c r="I3458" s="215"/>
      <c r="J3458" s="43">
        <v>1</v>
      </c>
      <c r="K3458" s="229">
        <v>12</v>
      </c>
      <c r="L3458" s="417" t="s">
        <v>1676</v>
      </c>
      <c r="M3458" s="417"/>
      <c r="N3458" s="39">
        <v>45555</v>
      </c>
      <c r="O3458" s="38">
        <v>6445</v>
      </c>
      <c r="P3458" s="216"/>
      <c r="Q3458" s="525">
        <v>0</v>
      </c>
      <c r="R3458" s="704">
        <f>Q3458*J3458</f>
        <v>0</v>
      </c>
      <c r="S3458" s="532">
        <v>0</v>
      </c>
      <c r="T3458" s="113">
        <f>S3458*J3458</f>
        <v>0</v>
      </c>
      <c r="V3458" s="494">
        <v>120</v>
      </c>
      <c r="W3458" s="2041">
        <f t="shared" si="277"/>
        <v>1</v>
      </c>
    </row>
    <row r="3459" spans="1:23" s="314" customFormat="1" ht="15">
      <c r="B3459" s="313"/>
      <c r="C3459" s="302" t="s">
        <v>7782</v>
      </c>
      <c r="D3459" s="303" t="s">
        <v>11</v>
      </c>
      <c r="E3459" s="304"/>
      <c r="F3459" s="305"/>
      <c r="G3459" s="305" t="s">
        <v>1227</v>
      </c>
      <c r="H3459" s="307" t="s">
        <v>1228</v>
      </c>
      <c r="I3459" s="308"/>
      <c r="J3459" s="306"/>
      <c r="K3459" s="315">
        <v>0</v>
      </c>
      <c r="L3459" s="310"/>
      <c r="M3459" s="310"/>
      <c r="N3459" s="310">
        <v>45555</v>
      </c>
      <c r="O3459" s="309">
        <v>6445</v>
      </c>
      <c r="P3459" s="302"/>
      <c r="Q3459" s="485">
        <v>0</v>
      </c>
      <c r="S3459" s="535">
        <v>0</v>
      </c>
      <c r="T3459" s="322">
        <v>0</v>
      </c>
      <c r="U3459" s="515"/>
      <c r="V3459" s="494">
        <v>120</v>
      </c>
      <c r="W3459" s="2041" t="e">
        <f t="shared" si="277"/>
        <v>#DIV/0!</v>
      </c>
    </row>
    <row r="3460" spans="1:23" s="7" customFormat="1" ht="18" customHeight="1">
      <c r="A3460" s="1"/>
      <c r="B3460" s="12"/>
      <c r="C3460" s="6" t="s">
        <v>7795</v>
      </c>
      <c r="D3460" s="15" t="s">
        <v>7792</v>
      </c>
      <c r="E3460" s="20" t="s">
        <v>2663</v>
      </c>
      <c r="F3460" s="24"/>
      <c r="G3460" s="44"/>
      <c r="H3460" s="151"/>
      <c r="I3460" s="151"/>
      <c r="J3460" s="151"/>
      <c r="K3460" s="153" t="s">
        <v>10</v>
      </c>
      <c r="L3460" s="39"/>
      <c r="M3460" s="39"/>
      <c r="N3460" s="39">
        <v>45559</v>
      </c>
      <c r="O3460" s="38">
        <v>6293</v>
      </c>
      <c r="P3460" s="6"/>
      <c r="Q3460" s="411"/>
      <c r="S3460" s="489"/>
      <c r="T3460" s="113"/>
      <c r="U3460" s="501"/>
      <c r="V3460" s="494">
        <v>120</v>
      </c>
      <c r="W3460" s="2041" t="e">
        <f t="shared" si="277"/>
        <v>#VALUE!</v>
      </c>
    </row>
    <row r="3461" spans="1:23" s="7" customFormat="1" ht="15.95" customHeight="1">
      <c r="A3461" s="1"/>
      <c r="B3461" s="12" t="s">
        <v>1856</v>
      </c>
      <c r="C3461" s="6" t="s">
        <v>7795</v>
      </c>
      <c r="D3461" s="15" t="s">
        <v>7792</v>
      </c>
      <c r="E3461" s="24">
        <v>5659</v>
      </c>
      <c r="F3461" s="44" t="s">
        <v>502</v>
      </c>
      <c r="G3461" s="44" t="s">
        <v>7793</v>
      </c>
      <c r="H3461" s="8">
        <v>50</v>
      </c>
      <c r="I3461" s="41">
        <v>2</v>
      </c>
      <c r="J3461" s="67">
        <f>H3461*I3461</f>
        <v>100</v>
      </c>
      <c r="K3461" s="46">
        <v>0.66</v>
      </c>
      <c r="L3461" s="46">
        <f>K3461*J3461</f>
        <v>66</v>
      </c>
      <c r="M3461" s="162" t="s">
        <v>2219</v>
      </c>
      <c r="N3461" s="39">
        <v>45559</v>
      </c>
      <c r="O3461" s="38">
        <v>6293</v>
      </c>
      <c r="P3461" s="180">
        <f>K3461*(VLOOKUP(B3461,$C$2:$F$6,3,FALSE))</f>
        <v>0.58079999999999998</v>
      </c>
      <c r="Q3461" s="483">
        <v>0.57999999999999996</v>
      </c>
      <c r="R3461" s="704">
        <f>Q3461*J3461</f>
        <v>57.999999999999993</v>
      </c>
      <c r="S3461" s="489">
        <v>37.1</v>
      </c>
      <c r="T3461" s="113">
        <f>S3461*J3461</f>
        <v>3710</v>
      </c>
      <c r="U3461" s="517"/>
      <c r="V3461" s="494">
        <v>120</v>
      </c>
      <c r="W3461" s="2041">
        <f t="shared" si="277"/>
        <v>0.53156565656565657</v>
      </c>
    </row>
    <row r="3462" spans="1:23" ht="15.95" customHeight="1">
      <c r="B3462" s="12" t="s">
        <v>1862</v>
      </c>
      <c r="C3462" s="6" t="s">
        <v>7795</v>
      </c>
      <c r="D3462" s="15" t="s">
        <v>7792</v>
      </c>
      <c r="E3462" s="24"/>
      <c r="F3462" s="138"/>
      <c r="G3462" s="44" t="s">
        <v>1993</v>
      </c>
      <c r="H3462" s="8"/>
      <c r="I3462" s="41"/>
      <c r="J3462" s="45">
        <v>1</v>
      </c>
      <c r="K3462" s="46">
        <v>12</v>
      </c>
      <c r="L3462" s="46">
        <f>K3462*J3462</f>
        <v>12</v>
      </c>
      <c r="M3462" s="112"/>
      <c r="N3462" s="39">
        <v>45559</v>
      </c>
      <c r="O3462" s="38">
        <v>6293</v>
      </c>
      <c r="P3462" s="46">
        <f>K3462*(VLOOKUP(B3462,$C$2:$F$6,3,FALSE))</f>
        <v>12</v>
      </c>
      <c r="Q3462" s="483">
        <v>12</v>
      </c>
      <c r="R3462" s="704">
        <v>12</v>
      </c>
      <c r="S3462" s="489">
        <v>1100</v>
      </c>
      <c r="T3462" s="113">
        <f>S3462*J3462</f>
        <v>1100</v>
      </c>
      <c r="U3462" s="511"/>
      <c r="V3462" s="494">
        <v>120</v>
      </c>
      <c r="W3462" s="2041">
        <f t="shared" si="277"/>
        <v>0.2361111111111111</v>
      </c>
    </row>
    <row r="3463" spans="1:23" s="314" customFormat="1" ht="17.25">
      <c r="A3463" s="1"/>
      <c r="B3463" s="313"/>
      <c r="C3463" s="302" t="s">
        <v>7795</v>
      </c>
      <c r="D3463" s="303" t="s">
        <v>7792</v>
      </c>
      <c r="E3463" s="304"/>
      <c r="F3463" s="305"/>
      <c r="G3463" s="305" t="s">
        <v>1227</v>
      </c>
      <c r="H3463" s="307" t="s">
        <v>3438</v>
      </c>
      <c r="I3463" s="308"/>
      <c r="J3463" s="306"/>
      <c r="K3463" s="315">
        <v>25</v>
      </c>
      <c r="L3463" s="315">
        <v>25</v>
      </c>
      <c r="M3463" s="310"/>
      <c r="N3463" s="310">
        <v>45559</v>
      </c>
      <c r="O3463" s="309">
        <v>6293</v>
      </c>
      <c r="P3463" s="315">
        <v>25</v>
      </c>
      <c r="Q3463" s="315">
        <v>25</v>
      </c>
      <c r="R3463" s="315">
        <v>25</v>
      </c>
      <c r="S3463" s="2291">
        <v>2330</v>
      </c>
      <c r="T3463" s="2291">
        <v>2330</v>
      </c>
      <c r="U3463" s="515"/>
      <c r="V3463" s="494">
        <v>120</v>
      </c>
      <c r="W3463" s="2041">
        <f t="shared" si="277"/>
        <v>0.22333333333333333</v>
      </c>
    </row>
    <row r="3464" spans="1:23" s="7" customFormat="1" ht="15" customHeight="1">
      <c r="A3464" s="1"/>
      <c r="B3464" s="12"/>
      <c r="C3464" s="6" t="s">
        <v>7827</v>
      </c>
      <c r="D3464" s="15" t="s">
        <v>5251</v>
      </c>
      <c r="E3464" s="20" t="s">
        <v>7831</v>
      </c>
      <c r="F3464" s="26"/>
      <c r="G3464" s="24"/>
      <c r="H3464" s="67"/>
      <c r="I3464" s="68"/>
      <c r="J3464" s="67"/>
      <c r="K3464" s="17" t="s">
        <v>10</v>
      </c>
      <c r="L3464" s="39"/>
      <c r="M3464" s="39"/>
      <c r="N3464" s="39">
        <v>45565</v>
      </c>
      <c r="O3464" s="38">
        <v>6504</v>
      </c>
      <c r="P3464" s="180" t="e">
        <f>K3464*(VLOOKUP(B3464,$C$2:$F$6,3,FALSE))</f>
        <v>#VALUE!</v>
      </c>
      <c r="Q3464" s="483"/>
      <c r="R3464" s="704"/>
      <c r="S3464" s="489"/>
      <c r="T3464" s="113">
        <f>S3464*J3464</f>
        <v>0</v>
      </c>
      <c r="U3464" s="517"/>
      <c r="V3464" s="494">
        <v>120</v>
      </c>
      <c r="W3464" s="2041" t="e">
        <f t="shared" si="277"/>
        <v>#VALUE!</v>
      </c>
    </row>
    <row r="3465" spans="1:23" s="7" customFormat="1" ht="15.75" customHeight="1">
      <c r="A3465" s="1"/>
      <c r="B3465" s="12" t="s">
        <v>1856</v>
      </c>
      <c r="C3465" s="6" t="s">
        <v>7827</v>
      </c>
      <c r="D3465" s="15" t="s">
        <v>5251</v>
      </c>
      <c r="E3465" s="24" t="s">
        <v>7828</v>
      </c>
      <c r="F3465" s="26"/>
      <c r="G3465" s="24" t="s">
        <v>78</v>
      </c>
      <c r="H3465" s="151"/>
      <c r="I3465" s="41"/>
      <c r="J3465" s="67">
        <v>10</v>
      </c>
      <c r="K3465" s="25">
        <v>0.52</v>
      </c>
      <c r="L3465" s="46">
        <f>K3465*J3465</f>
        <v>5.2</v>
      </c>
      <c r="M3465" s="162" t="s">
        <v>2219</v>
      </c>
      <c r="N3465" s="39">
        <v>45565</v>
      </c>
      <c r="O3465" s="38">
        <v>6504</v>
      </c>
      <c r="P3465" s="180">
        <f>K3465*(VLOOKUP(B3465,$C$2:$F$6,3,FALSE))</f>
        <v>0.45760000000000001</v>
      </c>
      <c r="Q3465" s="483">
        <v>0.46</v>
      </c>
      <c r="R3465" s="704">
        <f>Q3465*J3465</f>
        <v>4.6000000000000005</v>
      </c>
      <c r="S3465" s="489">
        <v>37</v>
      </c>
      <c r="T3465" s="113">
        <f>S3465*J3465</f>
        <v>370</v>
      </c>
      <c r="U3465" s="517"/>
      <c r="V3465" s="494">
        <v>120</v>
      </c>
      <c r="W3465" s="2041">
        <f t="shared" si="277"/>
        <v>0.4070512820512821</v>
      </c>
    </row>
    <row r="3466" spans="1:23" s="7" customFormat="1" ht="15" customHeight="1">
      <c r="A3466" s="1"/>
      <c r="B3466" s="12"/>
      <c r="C3466" s="6" t="s">
        <v>7827</v>
      </c>
      <c r="D3466" s="15" t="s">
        <v>5251</v>
      </c>
      <c r="E3466" s="20" t="s">
        <v>7832</v>
      </c>
      <c r="F3466" s="26"/>
      <c r="G3466" s="24"/>
      <c r="H3466" s="67"/>
      <c r="I3466" s="68"/>
      <c r="J3466" s="67"/>
      <c r="K3466" s="17" t="s">
        <v>10</v>
      </c>
      <c r="L3466" s="39"/>
      <c r="M3466" s="39"/>
      <c r="N3466" s="39">
        <v>45565</v>
      </c>
      <c r="O3466" s="38">
        <v>6504</v>
      </c>
      <c r="P3466" s="180" t="e">
        <f>K3466*(VLOOKUP(B3466,$C$2:$F$6,3,FALSE))</f>
        <v>#VALUE!</v>
      </c>
      <c r="Q3466" s="483"/>
      <c r="R3466" s="704"/>
      <c r="S3466" s="489"/>
      <c r="T3466" s="113">
        <f>S3466*J3466</f>
        <v>0</v>
      </c>
      <c r="U3466" s="517"/>
      <c r="V3466" s="494">
        <v>120</v>
      </c>
      <c r="W3466" s="2041" t="e">
        <f t="shared" si="277"/>
        <v>#VALUE!</v>
      </c>
    </row>
    <row r="3467" spans="1:23" s="7" customFormat="1" ht="15.75" customHeight="1">
      <c r="A3467" s="1"/>
      <c r="B3467" s="12" t="s">
        <v>1856</v>
      </c>
      <c r="C3467" s="6" t="s">
        <v>7827</v>
      </c>
      <c r="D3467" s="15" t="s">
        <v>5251</v>
      </c>
      <c r="E3467" s="24" t="s">
        <v>6913</v>
      </c>
      <c r="F3467" s="26"/>
      <c r="G3467" s="24" t="s">
        <v>78</v>
      </c>
      <c r="H3467" s="151"/>
      <c r="I3467" s="41"/>
      <c r="J3467" s="67">
        <v>10</v>
      </c>
      <c r="K3467" s="25">
        <v>0.59</v>
      </c>
      <c r="L3467" s="46">
        <f>K3467*J3467</f>
        <v>5.8999999999999995</v>
      </c>
      <c r="M3467" s="162" t="s">
        <v>2219</v>
      </c>
      <c r="N3467" s="39">
        <v>45565</v>
      </c>
      <c r="O3467" s="38">
        <v>6504</v>
      </c>
      <c r="P3467" s="180">
        <f>K3467*(VLOOKUP(B3467,$C$2:$F$6,3,FALSE))</f>
        <v>0.51919999999999999</v>
      </c>
      <c r="Q3467" s="483">
        <v>0.52</v>
      </c>
      <c r="R3467" s="704">
        <f>Q3467*J3467</f>
        <v>5.2</v>
      </c>
      <c r="S3467" s="489">
        <v>42</v>
      </c>
      <c r="T3467" s="113">
        <f>S3467*J3467</f>
        <v>420</v>
      </c>
      <c r="U3467" s="517"/>
      <c r="V3467" s="494">
        <v>120</v>
      </c>
      <c r="W3467" s="2041">
        <f t="shared" si="277"/>
        <v>0.40677966101694912</v>
      </c>
    </row>
    <row r="3468" spans="1:23" s="7" customFormat="1" ht="18" customHeight="1">
      <c r="B3468" s="12"/>
      <c r="C3468" s="6" t="s">
        <v>7827</v>
      </c>
      <c r="D3468" s="15" t="s">
        <v>5251</v>
      </c>
      <c r="E3468" s="238"/>
      <c r="F3468" s="44"/>
      <c r="G3468" s="24" t="s">
        <v>2975</v>
      </c>
      <c r="H3468" s="8"/>
      <c r="I3468" s="152" ph="1"/>
      <c r="J3468" s="45">
        <v>1</v>
      </c>
      <c r="K3468" s="46">
        <v>12</v>
      </c>
      <c r="L3468" s="46">
        <f>K3468*J3468</f>
        <v>12</v>
      </c>
      <c r="M3468" s="112"/>
      <c r="N3468" s="39">
        <v>45565</v>
      </c>
      <c r="O3468" s="38">
        <v>6504</v>
      </c>
      <c r="P3468" s="6"/>
      <c r="Q3468" s="703">
        <v>12</v>
      </c>
      <c r="R3468" s="703">
        <f>Q3468*J3468</f>
        <v>12</v>
      </c>
      <c r="S3468" s="7">
        <v>0</v>
      </c>
      <c r="T3468" s="113">
        <f>S3468*J3468</f>
        <v>0</v>
      </c>
      <c r="U3468" s="23"/>
      <c r="V3468" s="494">
        <v>120</v>
      </c>
      <c r="W3468" s="2041">
        <f t="shared" si="277"/>
        <v>1</v>
      </c>
    </row>
    <row r="3469" spans="1:23" s="314" customFormat="1" ht="15">
      <c r="A3469" s="1"/>
      <c r="B3469" s="313"/>
      <c r="C3469" s="302" t="s">
        <v>7827</v>
      </c>
      <c r="D3469" s="303" t="s">
        <v>5251</v>
      </c>
      <c r="E3469" s="371"/>
      <c r="F3469" s="305"/>
      <c r="G3469" s="305" t="s">
        <v>1227</v>
      </c>
      <c r="H3469" s="307" t="s">
        <v>1228</v>
      </c>
      <c r="I3469" s="308"/>
      <c r="J3469" s="306"/>
      <c r="K3469" s="315">
        <v>0</v>
      </c>
      <c r="L3469" s="310"/>
      <c r="M3469" s="310"/>
      <c r="N3469" s="310">
        <v>45565</v>
      </c>
      <c r="O3469" s="309">
        <v>6504</v>
      </c>
      <c r="P3469" s="302"/>
      <c r="Q3469" s="485">
        <v>0</v>
      </c>
      <c r="S3469" s="536">
        <v>0</v>
      </c>
      <c r="T3469" s="322">
        <v>0</v>
      </c>
      <c r="U3469" s="515"/>
      <c r="V3469" s="494">
        <v>120</v>
      </c>
      <c r="W3469" s="2041" t="e">
        <f t="shared" si="277"/>
        <v>#DIV/0!</v>
      </c>
    </row>
    <row r="3470" spans="1:23" s="7" customFormat="1" ht="15" customHeight="1">
      <c r="A3470" s="1"/>
      <c r="B3470" s="12"/>
      <c r="C3470" s="6" t="s">
        <v>7829</v>
      </c>
      <c r="D3470" s="15" t="s">
        <v>5251</v>
      </c>
      <c r="E3470" s="20" t="s">
        <v>7833</v>
      </c>
      <c r="F3470" s="26"/>
      <c r="G3470" s="24"/>
      <c r="H3470" s="67"/>
      <c r="I3470" s="68"/>
      <c r="J3470" s="67"/>
      <c r="K3470" s="17" t="s">
        <v>10</v>
      </c>
      <c r="L3470" s="39"/>
      <c r="M3470" s="39"/>
      <c r="N3470" s="39">
        <v>45565</v>
      </c>
      <c r="O3470" s="38">
        <v>6505</v>
      </c>
      <c r="P3470" s="180" t="e">
        <f>K3470*(VLOOKUP(B3470,$C$2:$F$6,3,FALSE))</f>
        <v>#VALUE!</v>
      </c>
      <c r="Q3470" s="483"/>
      <c r="R3470" s="704"/>
      <c r="S3470" s="489"/>
      <c r="T3470" s="113">
        <f>S3470*J3470</f>
        <v>0</v>
      </c>
      <c r="U3470" s="517"/>
      <c r="V3470" s="494">
        <v>120</v>
      </c>
      <c r="W3470" s="2041" t="e">
        <f t="shared" si="277"/>
        <v>#VALUE!</v>
      </c>
    </row>
    <row r="3471" spans="1:23" s="7" customFormat="1" ht="15.75" customHeight="1">
      <c r="A3471" s="1"/>
      <c r="B3471" s="12" t="s">
        <v>1856</v>
      </c>
      <c r="C3471" s="6" t="s">
        <v>7829</v>
      </c>
      <c r="D3471" s="15" t="s">
        <v>5251</v>
      </c>
      <c r="E3471" s="24" t="s">
        <v>7830</v>
      </c>
      <c r="F3471" s="26"/>
      <c r="G3471" s="24" t="s">
        <v>78</v>
      </c>
      <c r="H3471" s="151"/>
      <c r="I3471" s="41"/>
      <c r="J3471" s="67">
        <v>20</v>
      </c>
      <c r="K3471" s="25">
        <v>1.35</v>
      </c>
      <c r="L3471" s="46">
        <f>K3471*J3471</f>
        <v>27</v>
      </c>
      <c r="M3471" s="162" t="s">
        <v>2219</v>
      </c>
      <c r="N3471" s="39">
        <v>45565</v>
      </c>
      <c r="O3471" s="38">
        <v>6505</v>
      </c>
      <c r="P3471" s="180">
        <f>K3471*(VLOOKUP(B3471,$C$2:$F$6,3,FALSE))</f>
        <v>1.1880000000000002</v>
      </c>
      <c r="Q3471" s="483">
        <v>1.19</v>
      </c>
      <c r="R3471" s="704">
        <f>Q3471*J3471</f>
        <v>23.799999999999997</v>
      </c>
      <c r="S3471" s="489">
        <v>97</v>
      </c>
      <c r="T3471" s="113">
        <f>S3471*J3471</f>
        <v>1940</v>
      </c>
      <c r="U3471" s="517"/>
      <c r="V3471" s="494">
        <v>120</v>
      </c>
      <c r="W3471" s="2041">
        <f t="shared" si="277"/>
        <v>0.40123456790123457</v>
      </c>
    </row>
    <row r="3472" spans="1:23" s="314" customFormat="1" ht="15">
      <c r="A3472" s="1"/>
      <c r="B3472" s="313"/>
      <c r="C3472" s="302" t="s">
        <v>7829</v>
      </c>
      <c r="D3472" s="303" t="s">
        <v>5251</v>
      </c>
      <c r="E3472" s="304"/>
      <c r="F3472" s="305"/>
      <c r="G3472" s="305" t="s">
        <v>1227</v>
      </c>
      <c r="H3472" s="307" t="s">
        <v>1228</v>
      </c>
      <c r="I3472" s="308"/>
      <c r="J3472" s="306"/>
      <c r="K3472" s="315">
        <v>0</v>
      </c>
      <c r="L3472" s="310"/>
      <c r="M3472" s="310"/>
      <c r="N3472" s="310">
        <v>45565</v>
      </c>
      <c r="O3472" s="309">
        <v>6505</v>
      </c>
      <c r="P3472" s="302"/>
      <c r="Q3472" s="485">
        <v>0</v>
      </c>
      <c r="S3472" s="536">
        <v>0</v>
      </c>
      <c r="T3472" s="322">
        <v>0</v>
      </c>
      <c r="U3472" s="515"/>
      <c r="V3472" s="494">
        <v>120</v>
      </c>
      <c r="W3472" s="2041" t="e">
        <f t="shared" si="277"/>
        <v>#DIV/0!</v>
      </c>
    </row>
    <row r="3473" spans="1:23" ht="18" customHeight="1">
      <c r="C3473" s="6" t="s">
        <v>7837</v>
      </c>
      <c r="D3473" s="15" t="s">
        <v>6880</v>
      </c>
      <c r="E3473" s="20" t="s">
        <v>7553</v>
      </c>
      <c r="F3473" s="44"/>
      <c r="G3473" s="44"/>
      <c r="H3473" s="151"/>
      <c r="I3473" s="151"/>
      <c r="J3473" s="151"/>
      <c r="K3473" s="34" t="s">
        <v>134</v>
      </c>
      <c r="L3473" s="39"/>
      <c r="M3473" s="39"/>
      <c r="N3473" s="39">
        <v>45566</v>
      </c>
      <c r="O3473" s="38">
        <v>6508</v>
      </c>
      <c r="P3473" s="6"/>
      <c r="Q3473" s="524"/>
      <c r="S3473" s="1995"/>
      <c r="T3473" s="113"/>
      <c r="U3473" s="501"/>
      <c r="V3473" s="494">
        <v>120</v>
      </c>
      <c r="W3473" s="2041" t="e">
        <f t="shared" si="277"/>
        <v>#VALUE!</v>
      </c>
    </row>
    <row r="3474" spans="1:23" s="7" customFormat="1" ht="18" customHeight="1">
      <c r="B3474" s="12" t="s">
        <v>1856</v>
      </c>
      <c r="C3474" s="6" t="s">
        <v>7837</v>
      </c>
      <c r="D3474" s="15" t="s">
        <v>6880</v>
      </c>
      <c r="E3474" s="24" t="s">
        <v>7558</v>
      </c>
      <c r="F3474" s="26" t="s">
        <v>7556</v>
      </c>
      <c r="G3474" s="24" t="s">
        <v>7639</v>
      </c>
      <c r="H3474" s="67">
        <v>20</v>
      </c>
      <c r="I3474" s="68">
        <v>1</v>
      </c>
      <c r="J3474" s="67">
        <f>H3474*I3474</f>
        <v>20</v>
      </c>
      <c r="K3474" s="25">
        <v>2.1</v>
      </c>
      <c r="L3474" s="46">
        <f>K3474*J3474</f>
        <v>42</v>
      </c>
      <c r="M3474" s="162" t="s">
        <v>2219</v>
      </c>
      <c r="N3474" s="39">
        <v>45566</v>
      </c>
      <c r="O3474" s="38">
        <v>6508</v>
      </c>
      <c r="P3474" s="46">
        <f>K3474*(VLOOKUP(B3474,$C$2:$F$6,3,FALSE))</f>
        <v>1.8480000000000001</v>
      </c>
      <c r="Q3474" s="180">
        <v>1.85</v>
      </c>
      <c r="R3474" s="704">
        <f>Q3474*J3474</f>
        <v>37</v>
      </c>
      <c r="S3474" s="489">
        <v>126</v>
      </c>
      <c r="T3474" s="113">
        <f>S3474*J3474</f>
        <v>2520</v>
      </c>
      <c r="U3474" s="867"/>
      <c r="V3474" s="494">
        <v>120</v>
      </c>
      <c r="W3474" s="2041">
        <f t="shared" si="277"/>
        <v>0.5</v>
      </c>
    </row>
    <row r="3475" spans="1:23" s="7" customFormat="1" ht="18" customHeight="1">
      <c r="B3475" s="12" t="s">
        <v>1856</v>
      </c>
      <c r="C3475" s="6" t="s">
        <v>7837</v>
      </c>
      <c r="D3475" s="15" t="s">
        <v>6880</v>
      </c>
      <c r="E3475" s="24" t="s">
        <v>7555</v>
      </c>
      <c r="F3475" s="26" t="s">
        <v>7556</v>
      </c>
      <c r="G3475" s="24" t="s">
        <v>7641</v>
      </c>
      <c r="H3475" s="67">
        <v>20</v>
      </c>
      <c r="I3475" s="68">
        <v>1</v>
      </c>
      <c r="J3475" s="67">
        <f>H3475*I3475</f>
        <v>20</v>
      </c>
      <c r="K3475" s="25">
        <v>2.1</v>
      </c>
      <c r="L3475" s="46">
        <f>K3475*J3475</f>
        <v>42</v>
      </c>
      <c r="M3475" s="162" t="s">
        <v>2219</v>
      </c>
      <c r="N3475" s="39">
        <v>45566</v>
      </c>
      <c r="O3475" s="38">
        <v>6508</v>
      </c>
      <c r="P3475" s="46">
        <f>K3475*(VLOOKUP(B3475,$C$2:$F$6,3,FALSE))</f>
        <v>1.8480000000000001</v>
      </c>
      <c r="Q3475" s="180">
        <v>1.85</v>
      </c>
      <c r="R3475" s="704">
        <f>Q3475*J3475</f>
        <v>37</v>
      </c>
      <c r="S3475" s="489">
        <v>126</v>
      </c>
      <c r="T3475" s="113">
        <f>S3475*J3475</f>
        <v>2520</v>
      </c>
      <c r="U3475" s="867"/>
      <c r="V3475" s="494">
        <v>120</v>
      </c>
      <c r="W3475" s="2041">
        <f t="shared" si="277"/>
        <v>0.5</v>
      </c>
    </row>
    <row r="3476" spans="1:23" s="7" customFormat="1" ht="18" customHeight="1">
      <c r="B3476" s="12" t="s">
        <v>1856</v>
      </c>
      <c r="C3476" s="6" t="s">
        <v>7837</v>
      </c>
      <c r="D3476" s="15" t="s">
        <v>6880</v>
      </c>
      <c r="E3476" s="24" t="s">
        <v>7555</v>
      </c>
      <c r="F3476" s="26" t="s">
        <v>7556</v>
      </c>
      <c r="G3476" s="24" t="s">
        <v>7638</v>
      </c>
      <c r="H3476" s="67">
        <v>20</v>
      </c>
      <c r="I3476" s="68">
        <v>1</v>
      </c>
      <c r="J3476" s="67">
        <f>H3476*I3476</f>
        <v>20</v>
      </c>
      <c r="K3476" s="25">
        <v>2.1</v>
      </c>
      <c r="L3476" s="46">
        <f>K3476*J3476</f>
        <v>42</v>
      </c>
      <c r="M3476" s="162" t="s">
        <v>2219</v>
      </c>
      <c r="N3476" s="39">
        <v>45566</v>
      </c>
      <c r="O3476" s="38">
        <v>6508</v>
      </c>
      <c r="P3476" s="46">
        <f>K3476*(VLOOKUP(B3476,$C$2:$F$6,3,FALSE))</f>
        <v>1.8480000000000001</v>
      </c>
      <c r="Q3476" s="180">
        <v>1.85</v>
      </c>
      <c r="R3476" s="704">
        <f>Q3476*J3476</f>
        <v>37</v>
      </c>
      <c r="S3476" s="489">
        <v>126</v>
      </c>
      <c r="T3476" s="113">
        <f>S3476*J3476</f>
        <v>2520</v>
      </c>
      <c r="U3476" s="867"/>
      <c r="V3476" s="494">
        <v>120</v>
      </c>
      <c r="W3476" s="2041">
        <f t="shared" si="277"/>
        <v>0.5</v>
      </c>
    </row>
    <row r="3477" spans="1:23" s="314" customFormat="1" ht="18" customHeight="1">
      <c r="B3477" s="313"/>
      <c r="C3477" s="302" t="s">
        <v>7837</v>
      </c>
      <c r="D3477" s="303" t="s">
        <v>6880</v>
      </c>
      <c r="E3477" s="371"/>
      <c r="F3477" s="305"/>
      <c r="G3477" s="305" t="s">
        <v>1227</v>
      </c>
      <c r="H3477" s="307" t="s">
        <v>1228</v>
      </c>
      <c r="I3477" s="308"/>
      <c r="J3477" s="306"/>
      <c r="K3477" s="315">
        <v>0</v>
      </c>
      <c r="L3477" s="310"/>
      <c r="M3477" s="310"/>
      <c r="N3477" s="310">
        <v>45566</v>
      </c>
      <c r="O3477" s="309">
        <v>6508</v>
      </c>
      <c r="P3477" s="302"/>
      <c r="Q3477" s="531">
        <v>0</v>
      </c>
      <c r="S3477" s="535">
        <v>0</v>
      </c>
      <c r="T3477" s="322">
        <v>0</v>
      </c>
      <c r="U3477" s="1115"/>
      <c r="V3477" s="494">
        <v>120</v>
      </c>
      <c r="W3477" s="2041" t="e">
        <f t="shared" si="277"/>
        <v>#DIV/0!</v>
      </c>
    </row>
    <row r="3478" spans="1:23" s="7" customFormat="1" ht="18" customHeight="1">
      <c r="B3478" s="12"/>
      <c r="C3478" s="6" t="s">
        <v>7838</v>
      </c>
      <c r="D3478" s="15" t="s">
        <v>11</v>
      </c>
      <c r="E3478" s="20" t="s">
        <v>6401</v>
      </c>
      <c r="F3478" s="150"/>
      <c r="G3478" s="24"/>
      <c r="H3478" s="151"/>
      <c r="I3478" s="152"/>
      <c r="J3478" s="151"/>
      <c r="K3478" s="34" t="s">
        <v>10</v>
      </c>
      <c r="L3478" s="39"/>
      <c r="M3478" s="39"/>
      <c r="N3478" s="39">
        <v>45567</v>
      </c>
      <c r="O3478" s="38">
        <v>6511</v>
      </c>
      <c r="P3478" s="15"/>
      <c r="Q3478" s="483"/>
      <c r="S3478" s="2080"/>
      <c r="T3478" s="113"/>
      <c r="U3478" s="506"/>
      <c r="V3478" s="494">
        <v>120</v>
      </c>
    </row>
    <row r="3479" spans="1:23" s="7" customFormat="1" ht="15.75">
      <c r="B3479" s="12" t="s">
        <v>1858</v>
      </c>
      <c r="C3479" s="6" t="s">
        <v>7838</v>
      </c>
      <c r="D3479" s="15" t="s">
        <v>11</v>
      </c>
      <c r="E3479" s="24" t="s">
        <v>6362</v>
      </c>
      <c r="F3479" s="150">
        <v>115</v>
      </c>
      <c r="G3479" s="24" t="s">
        <v>7839</v>
      </c>
      <c r="H3479" s="67">
        <v>25</v>
      </c>
      <c r="I3479" s="68">
        <v>2</v>
      </c>
      <c r="J3479" s="8">
        <f>H3479*I3479</f>
        <v>50</v>
      </c>
      <c r="K3479" s="25">
        <v>3.23</v>
      </c>
      <c r="L3479" s="46">
        <f>K3479*J3479</f>
        <v>161.5</v>
      </c>
      <c r="M3479" s="162" t="s">
        <v>2219</v>
      </c>
      <c r="N3479" s="39">
        <v>45567</v>
      </c>
      <c r="O3479" s="38">
        <v>6511</v>
      </c>
      <c r="P3479" s="46">
        <f>K3479*(VLOOKUP(B3479,$C$2:$F$6,3,FALSE))</f>
        <v>3.0362</v>
      </c>
      <c r="Q3479" s="483">
        <v>3.04</v>
      </c>
      <c r="R3479" s="704">
        <f>Q3479*J3479</f>
        <v>152</v>
      </c>
      <c r="S3479" s="532">
        <v>230</v>
      </c>
      <c r="T3479" s="567">
        <f>S3479*J3479</f>
        <v>11500</v>
      </c>
      <c r="U3479" s="501"/>
      <c r="V3479" s="494">
        <v>120</v>
      </c>
      <c r="W3479" s="2041">
        <f t="shared" ref="W3479:W3516" si="278">(((K3479*V3479)-S3479)/(K3479*V3479))</f>
        <v>0.40660474716202272</v>
      </c>
    </row>
    <row r="3480" spans="1:23" s="7" customFormat="1" ht="15.75">
      <c r="B3480" s="12" t="s">
        <v>1858</v>
      </c>
      <c r="C3480" s="6" t="s">
        <v>7838</v>
      </c>
      <c r="D3480" s="15" t="s">
        <v>11</v>
      </c>
      <c r="E3480" s="24" t="s">
        <v>6362</v>
      </c>
      <c r="F3480" s="150">
        <v>115</v>
      </c>
      <c r="G3480" s="24" t="s">
        <v>7840</v>
      </c>
      <c r="H3480" s="67">
        <v>25</v>
      </c>
      <c r="I3480" s="68">
        <v>2</v>
      </c>
      <c r="J3480" s="8">
        <f>H3480*I3480</f>
        <v>50</v>
      </c>
      <c r="K3480" s="25">
        <v>3.23</v>
      </c>
      <c r="L3480" s="46">
        <f>K3480*J3480</f>
        <v>161.5</v>
      </c>
      <c r="M3480" s="162" t="s">
        <v>2219</v>
      </c>
      <c r="N3480" s="39">
        <v>45567</v>
      </c>
      <c r="O3480" s="38">
        <v>6511</v>
      </c>
      <c r="P3480" s="46">
        <f>K3480*(VLOOKUP(B3480,$C$2:$F$6,3,FALSE))</f>
        <v>3.0362</v>
      </c>
      <c r="Q3480" s="483">
        <v>3.04</v>
      </c>
      <c r="R3480" s="704">
        <f>Q3480*J3480</f>
        <v>152</v>
      </c>
      <c r="S3480" s="532">
        <v>230</v>
      </c>
      <c r="T3480" s="567">
        <f>S3480*J3480</f>
        <v>11500</v>
      </c>
      <c r="U3480" s="501"/>
      <c r="V3480" s="494">
        <v>120</v>
      </c>
      <c r="W3480" s="2041">
        <f t="shared" si="278"/>
        <v>0.40660474716202272</v>
      </c>
    </row>
    <row r="3481" spans="1:23" s="217" customFormat="1" ht="15.95" customHeight="1">
      <c r="B3481" s="539"/>
      <c r="C3481" s="6" t="s">
        <v>7838</v>
      </c>
      <c r="D3481" s="15" t="s">
        <v>11</v>
      </c>
      <c r="E3481" s="56"/>
      <c r="F3481" s="160"/>
      <c r="G3481" s="42" t="s">
        <v>1993</v>
      </c>
      <c r="H3481" s="214"/>
      <c r="I3481" s="215"/>
      <c r="J3481" s="43">
        <v>1</v>
      </c>
      <c r="K3481" s="229">
        <v>20</v>
      </c>
      <c r="L3481" s="229">
        <v>0</v>
      </c>
      <c r="M3481" s="969"/>
      <c r="N3481" s="39">
        <v>45567</v>
      </c>
      <c r="O3481" s="38">
        <v>6511</v>
      </c>
      <c r="P3481" s="692"/>
      <c r="Q3481" s="970">
        <v>0</v>
      </c>
      <c r="R3481" s="970">
        <v>0</v>
      </c>
      <c r="S3481" s="498">
        <v>2500</v>
      </c>
      <c r="T3481" s="567">
        <f>S3481*J3481</f>
        <v>2500</v>
      </c>
      <c r="U3481" s="667"/>
      <c r="V3481" s="547">
        <v>120</v>
      </c>
      <c r="W3481" s="2051">
        <f t="shared" si="278"/>
        <v>-4.1666666666666664E-2</v>
      </c>
    </row>
    <row r="3482" spans="1:23" s="314" customFormat="1" ht="15" customHeight="1">
      <c r="A3482" s="1"/>
      <c r="B3482" s="313"/>
      <c r="C3482" s="302" t="s">
        <v>7838</v>
      </c>
      <c r="D3482" s="303" t="s">
        <v>11</v>
      </c>
      <c r="E3482" s="304"/>
      <c r="F3482" s="305"/>
      <c r="G3482" s="305" t="s">
        <v>1227</v>
      </c>
      <c r="H3482" s="307" t="s">
        <v>1228</v>
      </c>
      <c r="I3482" s="308"/>
      <c r="J3482" s="306"/>
      <c r="K3482" s="316">
        <v>0</v>
      </c>
      <c r="L3482" s="310"/>
      <c r="M3482" s="310"/>
      <c r="N3482" s="310">
        <v>45567</v>
      </c>
      <c r="O3482" s="309">
        <v>6511</v>
      </c>
      <c r="P3482" s="302"/>
      <c r="Q3482" s="485">
        <v>0</v>
      </c>
      <c r="S3482" s="536">
        <v>0</v>
      </c>
      <c r="T3482" s="322">
        <v>0</v>
      </c>
      <c r="U3482" s="515"/>
      <c r="V3482" s="494">
        <v>120</v>
      </c>
      <c r="W3482" s="2041" t="e">
        <f t="shared" si="278"/>
        <v>#DIV/0!</v>
      </c>
    </row>
    <row r="3483" spans="1:23" ht="15">
      <c r="C3483" s="6" t="s">
        <v>7846</v>
      </c>
      <c r="D3483" s="15" t="s">
        <v>7849</v>
      </c>
      <c r="E3483" s="20" t="s">
        <v>5469</v>
      </c>
      <c r="F3483" s="44"/>
      <c r="G3483" s="44"/>
      <c r="H3483" s="151"/>
      <c r="I3483" s="151"/>
      <c r="J3483" s="151"/>
      <c r="K3483" s="34" t="s">
        <v>134</v>
      </c>
      <c r="L3483" s="39"/>
      <c r="M3483" s="39"/>
      <c r="N3483" s="39">
        <v>45568</v>
      </c>
      <c r="O3483" s="38">
        <v>6516</v>
      </c>
      <c r="P3483" s="6"/>
      <c r="Q3483" s="524"/>
      <c r="S3483" s="489"/>
      <c r="T3483" s="113"/>
      <c r="U3483" s="501"/>
      <c r="V3483" s="494">
        <v>120</v>
      </c>
      <c r="W3483" s="2041" t="e">
        <f t="shared" si="278"/>
        <v>#VALUE!</v>
      </c>
    </row>
    <row r="3484" spans="1:23" ht="15.75">
      <c r="B3484" s="28" t="s">
        <v>1856</v>
      </c>
      <c r="C3484" s="6" t="s">
        <v>7846</v>
      </c>
      <c r="D3484" s="15" t="s">
        <v>5483</v>
      </c>
      <c r="E3484" s="24">
        <v>3846</v>
      </c>
      <c r="F3484" s="29">
        <v>10</v>
      </c>
      <c r="G3484" s="24" t="s">
        <v>6757</v>
      </c>
      <c r="H3484" s="67">
        <v>50</v>
      </c>
      <c r="I3484" s="68">
        <v>3</v>
      </c>
      <c r="J3484" s="67">
        <f>H3484*I3484</f>
        <v>150</v>
      </c>
      <c r="K3484" s="46">
        <v>0.84</v>
      </c>
      <c r="L3484" s="46">
        <f>K3484*J3484</f>
        <v>126</v>
      </c>
      <c r="M3484" s="162" t="s">
        <v>2219</v>
      </c>
      <c r="N3484" s="39">
        <v>45568</v>
      </c>
      <c r="O3484" s="38">
        <v>6516</v>
      </c>
      <c r="P3484" s="46">
        <f>K3484*(VLOOKUP(B3484,$C$2:$F$6,3,FALSE))</f>
        <v>0.73919999999999997</v>
      </c>
      <c r="Q3484" s="482">
        <v>0.74</v>
      </c>
      <c r="R3484" s="704">
        <f>Q3484*J3484</f>
        <v>111</v>
      </c>
      <c r="S3484" s="489">
        <v>58</v>
      </c>
      <c r="T3484" s="113">
        <f>S3484*J3484</f>
        <v>8700</v>
      </c>
      <c r="U3484" s="1603"/>
      <c r="V3484" s="494">
        <v>120</v>
      </c>
      <c r="W3484" s="2041">
        <f t="shared" si="278"/>
        <v>0.42460317460317459</v>
      </c>
    </row>
    <row r="3485" spans="1:23" ht="15.75">
      <c r="B3485" s="28" t="s">
        <v>1856</v>
      </c>
      <c r="C3485" s="6" t="s">
        <v>7846</v>
      </c>
      <c r="D3485" s="15" t="s">
        <v>5483</v>
      </c>
      <c r="E3485" s="24">
        <v>3846</v>
      </c>
      <c r="F3485" s="29">
        <v>10</v>
      </c>
      <c r="G3485" s="24" t="s">
        <v>7847</v>
      </c>
      <c r="H3485" s="67">
        <v>50</v>
      </c>
      <c r="I3485" s="68">
        <v>1</v>
      </c>
      <c r="J3485" s="67">
        <f>H3485*I3485</f>
        <v>50</v>
      </c>
      <c r="K3485" s="46">
        <v>0.84</v>
      </c>
      <c r="L3485" s="46">
        <f>K3485*J3485</f>
        <v>42</v>
      </c>
      <c r="M3485" s="162" t="s">
        <v>2219</v>
      </c>
      <c r="N3485" s="39">
        <v>45568</v>
      </c>
      <c r="O3485" s="38">
        <v>6516</v>
      </c>
      <c r="P3485" s="46">
        <f>K3485*(VLOOKUP(B3485,$C$2:$F$6,3,FALSE))</f>
        <v>0.73919999999999997</v>
      </c>
      <c r="Q3485" s="482">
        <v>0.74</v>
      </c>
      <c r="R3485" s="704">
        <f>Q3485*J3485</f>
        <v>37</v>
      </c>
      <c r="S3485" s="489">
        <v>58</v>
      </c>
      <c r="T3485" s="113">
        <f>S3485*J3485</f>
        <v>2900</v>
      </c>
      <c r="U3485" s="1603"/>
      <c r="V3485" s="494">
        <v>120</v>
      </c>
      <c r="W3485" s="2041">
        <f t="shared" si="278"/>
        <v>0.42460317460317459</v>
      </c>
    </row>
    <row r="3486" spans="1:23" ht="15.75">
      <c r="B3486" s="28" t="s">
        <v>1856</v>
      </c>
      <c r="C3486" s="6" t="s">
        <v>7846</v>
      </c>
      <c r="D3486" s="15" t="s">
        <v>5483</v>
      </c>
      <c r="E3486" s="24">
        <v>3846</v>
      </c>
      <c r="F3486" s="29">
        <v>10</v>
      </c>
      <c r="G3486" s="24" t="s">
        <v>7848</v>
      </c>
      <c r="H3486" s="67">
        <v>50</v>
      </c>
      <c r="I3486" s="68">
        <v>1</v>
      </c>
      <c r="J3486" s="67">
        <f>H3486*I3486</f>
        <v>50</v>
      </c>
      <c r="K3486" s="46">
        <v>0.84</v>
      </c>
      <c r="L3486" s="46">
        <f>K3486*J3486</f>
        <v>42</v>
      </c>
      <c r="M3486" s="162" t="s">
        <v>2219</v>
      </c>
      <c r="N3486" s="39">
        <v>45568</v>
      </c>
      <c r="O3486" s="38">
        <v>6516</v>
      </c>
      <c r="P3486" s="46">
        <f>K3486*(VLOOKUP(B3486,$C$2:$F$6,3,FALSE))</f>
        <v>0.73919999999999997</v>
      </c>
      <c r="Q3486" s="482">
        <v>0.74</v>
      </c>
      <c r="R3486" s="704">
        <f>Q3486*J3486</f>
        <v>37</v>
      </c>
      <c r="S3486" s="489">
        <v>58</v>
      </c>
      <c r="T3486" s="113">
        <f>S3486*J3486</f>
        <v>2900</v>
      </c>
      <c r="U3486" s="1603"/>
      <c r="V3486" s="494">
        <v>120</v>
      </c>
      <c r="W3486" s="2041">
        <f t="shared" si="278"/>
        <v>0.42460317460317459</v>
      </c>
    </row>
    <row r="3487" spans="1:23" ht="15">
      <c r="B3487" s="12" t="s">
        <v>1862</v>
      </c>
      <c r="C3487" s="6" t="s">
        <v>7846</v>
      </c>
      <c r="D3487" s="15" t="s">
        <v>5470</v>
      </c>
      <c r="E3487" s="24"/>
      <c r="F3487" s="138"/>
      <c r="G3487" s="44" t="s">
        <v>1993</v>
      </c>
      <c r="H3487" s="8"/>
      <c r="I3487" s="41"/>
      <c r="J3487" s="45">
        <v>1</v>
      </c>
      <c r="K3487" s="46">
        <v>12</v>
      </c>
      <c r="L3487" s="46">
        <f>K3487*J3487</f>
        <v>12</v>
      </c>
      <c r="M3487" s="112"/>
      <c r="N3487" s="39">
        <v>45568</v>
      </c>
      <c r="O3487" s="38">
        <v>6516</v>
      </c>
      <c r="P3487" s="46">
        <f>K3487*(VLOOKUP(B3487,$C$2:$F$6,3,FALSE))</f>
        <v>12</v>
      </c>
      <c r="Q3487" s="483">
        <v>12</v>
      </c>
      <c r="R3487" s="704">
        <v>12</v>
      </c>
      <c r="S3487" s="489">
        <v>1100</v>
      </c>
      <c r="T3487" s="113">
        <f>S3487*J3487</f>
        <v>1100</v>
      </c>
      <c r="U3487" s="511"/>
      <c r="V3487" s="494">
        <v>120</v>
      </c>
      <c r="W3487" s="2041">
        <f t="shared" si="278"/>
        <v>0.2361111111111111</v>
      </c>
    </row>
    <row r="3488" spans="1:23" s="314" customFormat="1" ht="17.25">
      <c r="B3488" s="313"/>
      <c r="C3488" s="302" t="s">
        <v>7846</v>
      </c>
      <c r="D3488" s="303" t="s">
        <v>5470</v>
      </c>
      <c r="E3488" s="304"/>
      <c r="F3488" s="305"/>
      <c r="G3488" s="305" t="s">
        <v>1227</v>
      </c>
      <c r="H3488" s="307" t="s">
        <v>1243</v>
      </c>
      <c r="I3488" s="308"/>
      <c r="J3488" s="306"/>
      <c r="K3488" s="329">
        <v>27</v>
      </c>
      <c r="L3488" s="329">
        <v>27</v>
      </c>
      <c r="M3488" s="310"/>
      <c r="N3488" s="310">
        <v>45568</v>
      </c>
      <c r="O3488" s="309">
        <v>6516</v>
      </c>
      <c r="P3488" s="302"/>
      <c r="Q3488" s="329">
        <v>27</v>
      </c>
      <c r="R3488" s="329">
        <v>27</v>
      </c>
      <c r="S3488" s="2291">
        <v>3226</v>
      </c>
      <c r="T3488" s="2291">
        <v>3226</v>
      </c>
      <c r="U3488" s="515"/>
      <c r="V3488" s="494">
        <v>120</v>
      </c>
      <c r="W3488" s="2041">
        <f t="shared" si="278"/>
        <v>4.3209876543209872E-3</v>
      </c>
    </row>
    <row r="3489" spans="2:24" ht="18" customHeight="1">
      <c r="C3489" s="6" t="s">
        <v>7851</v>
      </c>
      <c r="D3489" s="15" t="s">
        <v>6806</v>
      </c>
      <c r="E3489" s="20" t="s">
        <v>260</v>
      </c>
      <c r="F3489" s="44"/>
      <c r="G3489" s="44"/>
      <c r="H3489" s="151"/>
      <c r="I3489" s="151"/>
      <c r="J3489" s="151"/>
      <c r="K3489" s="34" t="s">
        <v>134</v>
      </c>
      <c r="L3489" s="39"/>
      <c r="M3489" s="39"/>
      <c r="N3489" s="39">
        <v>45569</v>
      </c>
      <c r="O3489" s="38">
        <v>6522</v>
      </c>
      <c r="P3489" s="6"/>
      <c r="Q3489" s="524"/>
      <c r="S3489" s="1995"/>
      <c r="T3489" s="113"/>
      <c r="U3489" s="501"/>
      <c r="V3489" s="494">
        <v>120</v>
      </c>
      <c r="W3489" s="2041" t="e">
        <f t="shared" si="278"/>
        <v>#VALUE!</v>
      </c>
    </row>
    <row r="3490" spans="2:24" ht="18" customHeight="1">
      <c r="B3490" s="28" t="s">
        <v>1856</v>
      </c>
      <c r="C3490" s="6" t="s">
        <v>7851</v>
      </c>
      <c r="D3490" s="15" t="s">
        <v>6806</v>
      </c>
      <c r="E3490" s="24">
        <v>4141</v>
      </c>
      <c r="F3490" s="44">
        <v>6</v>
      </c>
      <c r="G3490" s="24" t="s">
        <v>3096</v>
      </c>
      <c r="H3490" s="67">
        <v>20</v>
      </c>
      <c r="I3490" s="68">
        <v>75</v>
      </c>
      <c r="J3490" s="67">
        <f>H3490*I3490</f>
        <v>1500</v>
      </c>
      <c r="K3490" s="46">
        <v>1.47</v>
      </c>
      <c r="L3490" s="46">
        <f>K3490*J3490</f>
        <v>2205</v>
      </c>
      <c r="M3490" s="162" t="s">
        <v>2219</v>
      </c>
      <c r="N3490" s="39">
        <v>45569</v>
      </c>
      <c r="O3490" s="38">
        <v>6522</v>
      </c>
      <c r="P3490" s="46">
        <f>K3490*(VLOOKUP(B3490,$C$2:$F$6,3,FALSE))</f>
        <v>1.2936000000000001</v>
      </c>
      <c r="Q3490" s="482">
        <v>1.29</v>
      </c>
      <c r="R3490" s="704">
        <f>Q3490*J3490</f>
        <v>1935</v>
      </c>
      <c r="S3490" s="489">
        <v>87</v>
      </c>
      <c r="T3490" s="113">
        <f>S3490*J3490</f>
        <v>130500</v>
      </c>
      <c r="U3490" s="699"/>
      <c r="V3490" s="494">
        <v>120</v>
      </c>
      <c r="W3490" s="2041">
        <f t="shared" si="278"/>
        <v>0.50680272108843538</v>
      </c>
    </row>
    <row r="3491" spans="2:24" s="314" customFormat="1" ht="15">
      <c r="B3491" s="313"/>
      <c r="C3491" s="302" t="s">
        <v>7851</v>
      </c>
      <c r="D3491" s="303" t="s">
        <v>6806</v>
      </c>
      <c r="E3491" s="304"/>
      <c r="F3491" s="305"/>
      <c r="G3491" s="305" t="s">
        <v>1227</v>
      </c>
      <c r="H3491" s="307" t="s">
        <v>1228</v>
      </c>
      <c r="I3491" s="308"/>
      <c r="J3491" s="306"/>
      <c r="K3491" s="315">
        <v>0</v>
      </c>
      <c r="L3491" s="310"/>
      <c r="M3491" s="310"/>
      <c r="N3491" s="310">
        <v>45569</v>
      </c>
      <c r="O3491" s="309">
        <v>6522</v>
      </c>
      <c r="P3491" s="302"/>
      <c r="Q3491" s="485">
        <v>0</v>
      </c>
      <c r="S3491" s="536">
        <v>0</v>
      </c>
      <c r="T3491" s="322">
        <v>0</v>
      </c>
      <c r="U3491" s="515"/>
      <c r="V3491" s="494">
        <v>120</v>
      </c>
      <c r="W3491" s="2041" t="e">
        <f t="shared" si="278"/>
        <v>#DIV/0!</v>
      </c>
    </row>
    <row r="3492" spans="2:24" s="7" customFormat="1" ht="15">
      <c r="B3492" s="12"/>
      <c r="C3492" s="6" t="s">
        <v>7859</v>
      </c>
      <c r="D3492" s="15" t="s">
        <v>3026</v>
      </c>
      <c r="E3492" s="20" t="s">
        <v>408</v>
      </c>
      <c r="F3492" s="44"/>
      <c r="G3492" s="44"/>
      <c r="H3492" s="151"/>
      <c r="I3492" s="151"/>
      <c r="J3492" s="151"/>
      <c r="K3492" s="17" t="s">
        <v>134</v>
      </c>
      <c r="L3492" s="39"/>
      <c r="M3492" s="39"/>
      <c r="N3492" s="39">
        <v>45583</v>
      </c>
      <c r="O3492" s="38">
        <v>6550</v>
      </c>
      <c r="P3492" s="6"/>
      <c r="Q3492" s="524"/>
      <c r="S3492" s="489"/>
      <c r="T3492" s="113"/>
      <c r="U3492" s="501"/>
      <c r="V3492" s="494">
        <v>120</v>
      </c>
      <c r="W3492" s="2041" t="e">
        <f t="shared" si="278"/>
        <v>#VALUE!</v>
      </c>
    </row>
    <row r="3493" spans="2:24" s="7" customFormat="1" ht="15" customHeight="1">
      <c r="B3493" s="12" t="s">
        <v>1856</v>
      </c>
      <c r="C3493" s="6" t="s">
        <v>7859</v>
      </c>
      <c r="D3493" s="15" t="s">
        <v>3026</v>
      </c>
      <c r="E3493" s="24" t="s">
        <v>5772</v>
      </c>
      <c r="F3493" s="26"/>
      <c r="G3493" s="24" t="s">
        <v>17</v>
      </c>
      <c r="H3493" s="67">
        <v>50</v>
      </c>
      <c r="I3493" s="68">
        <v>97</v>
      </c>
      <c r="J3493" s="8">
        <f>H3493*I3493</f>
        <v>4850</v>
      </c>
      <c r="K3493" s="46">
        <v>0.26</v>
      </c>
      <c r="L3493" s="46">
        <f>K3493*J3493</f>
        <v>1261</v>
      </c>
      <c r="M3493" s="162" t="s">
        <v>2219</v>
      </c>
      <c r="N3493" s="39">
        <v>45583</v>
      </c>
      <c r="O3493" s="38">
        <v>6550</v>
      </c>
      <c r="P3493" s="46">
        <f>K3493*(VLOOKUP(B3493,$C$2:$F$6,3,FALSE))</f>
        <v>0.2288</v>
      </c>
      <c r="Q3493" s="482">
        <v>0.23</v>
      </c>
      <c r="R3493" s="704">
        <f>Q3493*J3493</f>
        <v>1115.5</v>
      </c>
      <c r="S3493" s="489">
        <v>15.1</v>
      </c>
      <c r="T3493" s="113">
        <f>S3493*J3493</f>
        <v>73235</v>
      </c>
      <c r="U3493" s="1603"/>
      <c r="V3493" s="494">
        <v>120</v>
      </c>
      <c r="W3493" s="2041">
        <f t="shared" si="278"/>
        <v>0.51602564102564097</v>
      </c>
    </row>
    <row r="3494" spans="2:24" s="217" customFormat="1" ht="15.95" customHeight="1">
      <c r="B3494" s="539"/>
      <c r="C3494" s="6" t="s">
        <v>7859</v>
      </c>
      <c r="D3494" s="15" t="s">
        <v>3026</v>
      </c>
      <c r="E3494" s="56"/>
      <c r="F3494" s="160"/>
      <c r="G3494" s="42" t="s">
        <v>1993</v>
      </c>
      <c r="H3494" s="214"/>
      <c r="I3494" s="215"/>
      <c r="J3494" s="43">
        <v>1</v>
      </c>
      <c r="K3494" s="229">
        <v>12</v>
      </c>
      <c r="L3494" s="229">
        <v>0</v>
      </c>
      <c r="M3494" s="969"/>
      <c r="N3494" s="39">
        <v>45583</v>
      </c>
      <c r="O3494" s="38">
        <v>6550</v>
      </c>
      <c r="P3494" s="692"/>
      <c r="Q3494" s="970">
        <v>0</v>
      </c>
      <c r="R3494" s="970">
        <v>0</v>
      </c>
      <c r="S3494" s="498">
        <v>1100</v>
      </c>
      <c r="T3494" s="567">
        <f>S3494*J3494</f>
        <v>1100</v>
      </c>
      <c r="U3494" s="667"/>
      <c r="V3494" s="547">
        <v>120</v>
      </c>
      <c r="W3494" s="2051">
        <f t="shared" si="278"/>
        <v>0.2361111111111111</v>
      </c>
    </row>
    <row r="3495" spans="2:24" s="314" customFormat="1" ht="15.6" customHeight="1">
      <c r="B3495" s="313"/>
      <c r="C3495" s="302" t="s">
        <v>7859</v>
      </c>
      <c r="D3495" s="303" t="s">
        <v>3026</v>
      </c>
      <c r="E3495" s="304"/>
      <c r="F3495" s="305"/>
      <c r="G3495" s="305" t="s">
        <v>1227</v>
      </c>
      <c r="H3495" s="307" t="s">
        <v>3438</v>
      </c>
      <c r="I3495" s="308"/>
      <c r="J3495" s="306"/>
      <c r="K3495" s="329">
        <v>350</v>
      </c>
      <c r="L3495" s="329">
        <v>350</v>
      </c>
      <c r="M3495" s="310"/>
      <c r="N3495" s="310">
        <v>45583</v>
      </c>
      <c r="O3495" s="309">
        <v>6550</v>
      </c>
      <c r="P3495" s="685"/>
      <c r="Q3495" s="329">
        <v>350</v>
      </c>
      <c r="R3495" s="329">
        <v>350</v>
      </c>
      <c r="S3495" s="2361">
        <v>38911</v>
      </c>
      <c r="T3495" s="2361">
        <v>38911</v>
      </c>
      <c r="U3495" s="688"/>
      <c r="V3495" s="494">
        <v>120</v>
      </c>
      <c r="W3495" s="2041">
        <f t="shared" si="278"/>
        <v>7.3547619047619042E-2</v>
      </c>
    </row>
    <row r="3496" spans="2:24" s="7" customFormat="1" ht="15">
      <c r="B3496" s="12"/>
      <c r="C3496" s="6" t="s">
        <v>7859</v>
      </c>
      <c r="D3496" s="15" t="s">
        <v>3026</v>
      </c>
      <c r="E3496" s="20" t="s">
        <v>408</v>
      </c>
      <c r="F3496" s="44"/>
      <c r="G3496" s="44"/>
      <c r="H3496" s="151"/>
      <c r="I3496" s="151"/>
      <c r="J3496" s="151"/>
      <c r="K3496" s="17" t="s">
        <v>134</v>
      </c>
      <c r="L3496" s="39"/>
      <c r="M3496" s="39"/>
      <c r="N3496" s="39">
        <v>45595</v>
      </c>
      <c r="O3496" s="38">
        <v>6580</v>
      </c>
      <c r="P3496" s="6"/>
      <c r="Q3496" s="524"/>
      <c r="S3496" s="489"/>
      <c r="T3496" s="113"/>
      <c r="U3496" s="501"/>
      <c r="V3496" s="494">
        <v>120</v>
      </c>
      <c r="W3496" s="2041" t="e">
        <f t="shared" si="278"/>
        <v>#VALUE!</v>
      </c>
    </row>
    <row r="3497" spans="2:24" s="7" customFormat="1" ht="15" customHeight="1">
      <c r="B3497" s="12" t="s">
        <v>1856</v>
      </c>
      <c r="C3497" s="6" t="s">
        <v>7859</v>
      </c>
      <c r="D3497" s="15" t="s">
        <v>3026</v>
      </c>
      <c r="E3497" s="24" t="s">
        <v>1219</v>
      </c>
      <c r="F3497" s="26"/>
      <c r="G3497" s="24" t="s">
        <v>17</v>
      </c>
      <c r="H3497" s="67">
        <v>50</v>
      </c>
      <c r="I3497" s="68">
        <v>50</v>
      </c>
      <c r="J3497" s="8">
        <f>H3497*I3497</f>
        <v>2500</v>
      </c>
      <c r="K3497" s="46">
        <v>0.3</v>
      </c>
      <c r="L3497" s="46">
        <f>K3497*J3497</f>
        <v>750</v>
      </c>
      <c r="M3497" s="162" t="s">
        <v>2219</v>
      </c>
      <c r="N3497" s="39">
        <v>45595</v>
      </c>
      <c r="O3497" s="38">
        <v>6580</v>
      </c>
      <c r="P3497" s="46">
        <f>K3497*(VLOOKUP(B3497,$C$2:$F$6,3,FALSE))</f>
        <v>0.26400000000000001</v>
      </c>
      <c r="Q3497" s="482">
        <v>0.26</v>
      </c>
      <c r="R3497" s="704">
        <f>Q3497*J3497</f>
        <v>650</v>
      </c>
      <c r="S3497" s="489">
        <v>18</v>
      </c>
      <c r="T3497" s="113">
        <f>S3497*J3497</f>
        <v>45000</v>
      </c>
      <c r="U3497" s="1603"/>
      <c r="V3497" s="494">
        <v>120</v>
      </c>
      <c r="W3497" s="2041">
        <f t="shared" si="278"/>
        <v>0.5</v>
      </c>
    </row>
    <row r="3498" spans="2:24" s="7" customFormat="1" ht="15" customHeight="1">
      <c r="B3498" s="12" t="s">
        <v>1856</v>
      </c>
      <c r="C3498" s="6" t="s">
        <v>7859</v>
      </c>
      <c r="D3498" s="15" t="s">
        <v>3026</v>
      </c>
      <c r="E3498" s="24" t="s">
        <v>5772</v>
      </c>
      <c r="F3498" s="26"/>
      <c r="G3498" s="24" t="s">
        <v>17</v>
      </c>
      <c r="H3498" s="67">
        <v>50</v>
      </c>
      <c r="I3498" s="68">
        <v>23</v>
      </c>
      <c r="J3498" s="8">
        <f>H3498*I3498</f>
        <v>1150</v>
      </c>
      <c r="K3498" s="46">
        <v>0.26</v>
      </c>
      <c r="L3498" s="46">
        <f>K3498*J3498</f>
        <v>299</v>
      </c>
      <c r="M3498" s="162" t="s">
        <v>2219</v>
      </c>
      <c r="N3498" s="39">
        <v>45595</v>
      </c>
      <c r="O3498" s="38">
        <v>6580</v>
      </c>
      <c r="P3498" s="46">
        <f>K3498*(VLOOKUP(B3498,$C$2:$F$6,3,FALSE))</f>
        <v>0.2288</v>
      </c>
      <c r="Q3498" s="482">
        <v>0.23</v>
      </c>
      <c r="R3498" s="704">
        <f>Q3498*J3498</f>
        <v>264.5</v>
      </c>
      <c r="S3498" s="489">
        <v>15.1</v>
      </c>
      <c r="T3498" s="113">
        <f>S3498*J3498</f>
        <v>17365</v>
      </c>
      <c r="U3498" s="1603"/>
      <c r="V3498" s="494">
        <v>120</v>
      </c>
      <c r="W3498" s="2041">
        <f t="shared" si="278"/>
        <v>0.51602564102564097</v>
      </c>
    </row>
    <row r="3499" spans="2:24" s="217" customFormat="1" ht="15.95" customHeight="1">
      <c r="B3499" s="539"/>
      <c r="C3499" s="6" t="s">
        <v>7859</v>
      </c>
      <c r="D3499" s="15" t="s">
        <v>3026</v>
      </c>
      <c r="E3499" s="56"/>
      <c r="F3499" s="160"/>
      <c r="G3499" s="42" t="s">
        <v>1993</v>
      </c>
      <c r="H3499" s="214"/>
      <c r="I3499" s="215"/>
      <c r="J3499" s="43">
        <v>1</v>
      </c>
      <c r="K3499" s="229">
        <v>12</v>
      </c>
      <c r="L3499" s="229">
        <v>0</v>
      </c>
      <c r="M3499" s="969"/>
      <c r="N3499" s="39">
        <v>45595</v>
      </c>
      <c r="O3499" s="38">
        <v>6580</v>
      </c>
      <c r="P3499" s="692"/>
      <c r="Q3499" s="970">
        <v>0</v>
      </c>
      <c r="R3499" s="970">
        <v>0</v>
      </c>
      <c r="S3499" s="498">
        <v>0</v>
      </c>
      <c r="T3499" s="567">
        <f>S3499*J3499</f>
        <v>0</v>
      </c>
      <c r="U3499" s="667"/>
      <c r="V3499" s="547">
        <v>120</v>
      </c>
      <c r="W3499" s="2051">
        <f t="shared" si="278"/>
        <v>1</v>
      </c>
    </row>
    <row r="3500" spans="2:24" s="314" customFormat="1" ht="15.6" customHeight="1">
      <c r="B3500" s="313"/>
      <c r="C3500" s="302" t="s">
        <v>7859</v>
      </c>
      <c r="D3500" s="303" t="s">
        <v>3026</v>
      </c>
      <c r="E3500" s="304"/>
      <c r="F3500" s="305"/>
      <c r="G3500" s="305" t="s">
        <v>1227</v>
      </c>
      <c r="H3500" s="307" t="s">
        <v>3438</v>
      </c>
      <c r="I3500" s="308"/>
      <c r="J3500" s="306"/>
      <c r="K3500" s="329">
        <v>250</v>
      </c>
      <c r="L3500" s="329">
        <v>250</v>
      </c>
      <c r="M3500" s="310"/>
      <c r="N3500" s="310">
        <v>45595</v>
      </c>
      <c r="O3500" s="309">
        <v>6580</v>
      </c>
      <c r="P3500" s="685"/>
      <c r="Q3500" s="329">
        <v>250</v>
      </c>
      <c r="R3500" s="329">
        <v>250</v>
      </c>
      <c r="S3500" s="2353">
        <v>24395</v>
      </c>
      <c r="T3500" s="2353">
        <v>24395</v>
      </c>
      <c r="U3500" s="688"/>
      <c r="V3500" s="494">
        <v>120</v>
      </c>
      <c r="W3500" s="2041">
        <f t="shared" si="278"/>
        <v>0.18683333333333332</v>
      </c>
    </row>
    <row r="3501" spans="2:24" s="7" customFormat="1" ht="15" customHeight="1">
      <c r="B3501" s="12"/>
      <c r="C3501" s="6" t="s">
        <v>7860</v>
      </c>
      <c r="D3501" s="15" t="s">
        <v>8</v>
      </c>
      <c r="E3501" s="20" t="s">
        <v>6633</v>
      </c>
      <c r="F3501" s="26"/>
      <c r="G3501" s="24"/>
      <c r="H3501" s="67"/>
      <c r="I3501" s="68"/>
      <c r="J3501" s="67"/>
      <c r="K3501" s="17" t="s">
        <v>140</v>
      </c>
      <c r="L3501" s="39"/>
      <c r="M3501" s="39"/>
      <c r="N3501" s="39">
        <v>45573</v>
      </c>
      <c r="O3501" s="38">
        <v>6528</v>
      </c>
      <c r="P3501" s="179" t="s">
        <v>23</v>
      </c>
      <c r="Q3501" s="438" t="s">
        <v>959</v>
      </c>
      <c r="R3501" s="704"/>
      <c r="S3501" s="707"/>
      <c r="T3501" s="113"/>
      <c r="U3501" s="2068"/>
      <c r="V3501" s="494">
        <v>120</v>
      </c>
      <c r="W3501" s="2041" t="e">
        <f t="shared" si="278"/>
        <v>#VALUE!</v>
      </c>
    </row>
    <row r="3502" spans="2:24" s="7" customFormat="1" ht="18" customHeight="1">
      <c r="B3502" s="12" t="s">
        <v>1862</v>
      </c>
      <c r="C3502" s="6" t="s">
        <v>7860</v>
      </c>
      <c r="D3502" s="15" t="s">
        <v>8</v>
      </c>
      <c r="E3502" s="24" t="s">
        <v>7861</v>
      </c>
      <c r="F3502" s="138"/>
      <c r="G3502" s="44"/>
      <c r="H3502" s="8"/>
      <c r="I3502" s="68"/>
      <c r="J3502" s="45">
        <v>1</v>
      </c>
      <c r="K3502" s="46">
        <v>15</v>
      </c>
      <c r="L3502" s="46">
        <f>K3502*J3502</f>
        <v>15</v>
      </c>
      <c r="M3502" s="162" t="s">
        <v>2219</v>
      </c>
      <c r="N3502" s="39">
        <v>45573</v>
      </c>
      <c r="O3502" s="38">
        <v>6528</v>
      </c>
      <c r="P3502" s="46">
        <f>K3502*(VLOOKUP(B3502,$C$2:$F$6,3,FALSE))</f>
        <v>15</v>
      </c>
      <c r="Q3502" s="180">
        <v>15</v>
      </c>
      <c r="R3502" s="704">
        <f>Q3502*J3502</f>
        <v>15</v>
      </c>
      <c r="S3502" s="498">
        <f>500+1100</f>
        <v>1600</v>
      </c>
      <c r="T3502" s="568">
        <f>S3502*J3502</f>
        <v>1600</v>
      </c>
      <c r="U3502" s="511"/>
      <c r="V3502" s="494">
        <v>120</v>
      </c>
      <c r="W3502" s="2041">
        <f t="shared" si="278"/>
        <v>0.1111111111111111</v>
      </c>
      <c r="X3502" s="1"/>
    </row>
    <row r="3503" spans="2:24" s="314" customFormat="1" ht="15">
      <c r="B3503" s="313"/>
      <c r="C3503" s="302" t="s">
        <v>7860</v>
      </c>
      <c r="D3503" s="303" t="s">
        <v>8</v>
      </c>
      <c r="E3503" s="371"/>
      <c r="F3503" s="305"/>
      <c r="G3503" s="2049" t="s">
        <v>1227</v>
      </c>
      <c r="H3503" s="307" t="s">
        <v>1228</v>
      </c>
      <c r="I3503" s="308"/>
      <c r="J3503" s="306"/>
      <c r="K3503" s="315">
        <v>0</v>
      </c>
      <c r="L3503" s="310"/>
      <c r="M3503" s="310"/>
      <c r="N3503" s="310">
        <v>45573</v>
      </c>
      <c r="O3503" s="309">
        <v>6528</v>
      </c>
      <c r="P3503" s="302"/>
      <c r="Q3503" s="485">
        <v>0</v>
      </c>
      <c r="S3503" s="535">
        <v>0</v>
      </c>
      <c r="T3503" s="322">
        <v>0</v>
      </c>
      <c r="U3503" s="515"/>
      <c r="V3503" s="494">
        <v>120</v>
      </c>
      <c r="W3503" s="2041" t="e">
        <f t="shared" si="278"/>
        <v>#DIV/0!</v>
      </c>
    </row>
    <row r="3504" spans="2:24" s="7" customFormat="1" ht="15" customHeight="1">
      <c r="B3504" s="12"/>
      <c r="C3504" s="6" t="s">
        <v>7925</v>
      </c>
      <c r="D3504" s="15" t="s">
        <v>958</v>
      </c>
      <c r="E3504" s="20" t="s">
        <v>628</v>
      </c>
      <c r="F3504" s="26"/>
      <c r="G3504" s="24"/>
      <c r="H3504" s="67"/>
      <c r="I3504" s="318"/>
      <c r="J3504" s="67"/>
      <c r="K3504" s="17" t="s">
        <v>134</v>
      </c>
      <c r="L3504" s="39"/>
      <c r="M3504" s="39"/>
      <c r="N3504" s="39">
        <v>45586</v>
      </c>
      <c r="O3504" s="38">
        <v>6546</v>
      </c>
      <c r="P3504" s="179" t="s">
        <v>23</v>
      </c>
      <c r="Q3504" s="438" t="s">
        <v>959</v>
      </c>
      <c r="R3504" s="704"/>
      <c r="S3504" s="489"/>
      <c r="T3504" s="113"/>
      <c r="U3504" s="510"/>
      <c r="V3504" s="494">
        <v>120</v>
      </c>
      <c r="W3504" s="2041" t="e">
        <f t="shared" si="278"/>
        <v>#VALUE!</v>
      </c>
    </row>
    <row r="3505" spans="2:23" s="7" customFormat="1" ht="18" customHeight="1">
      <c r="B3505" s="12" t="s">
        <v>1856</v>
      </c>
      <c r="C3505" s="6" t="s">
        <v>7925</v>
      </c>
      <c r="D3505" s="15" t="s">
        <v>958</v>
      </c>
      <c r="E3505" s="24">
        <v>5291</v>
      </c>
      <c r="F3505" s="26">
        <v>6</v>
      </c>
      <c r="G3505" s="24" t="s">
        <v>499</v>
      </c>
      <c r="H3505" s="67">
        <v>50</v>
      </c>
      <c r="I3505" s="68">
        <v>7</v>
      </c>
      <c r="J3505" s="67">
        <f>H3505*I3505</f>
        <v>350</v>
      </c>
      <c r="K3505" s="46">
        <v>0.51</v>
      </c>
      <c r="L3505" s="46">
        <f>K3505*J3505</f>
        <v>178.5</v>
      </c>
      <c r="M3505" s="162" t="s">
        <v>2219</v>
      </c>
      <c r="N3505" s="39">
        <v>45586</v>
      </c>
      <c r="O3505" s="38">
        <v>6546</v>
      </c>
      <c r="P3505" s="180">
        <v>0.24</v>
      </c>
      <c r="Q3505" s="180">
        <v>0.24</v>
      </c>
      <c r="R3505" s="704">
        <f>Q3505*J3505</f>
        <v>84</v>
      </c>
      <c r="S3505" s="489">
        <v>14.6</v>
      </c>
      <c r="T3505" s="113">
        <f>S3505*J3505</f>
        <v>5110</v>
      </c>
      <c r="U3505" s="867"/>
      <c r="V3505" s="494">
        <v>120</v>
      </c>
      <c r="W3505" s="2041">
        <f t="shared" si="278"/>
        <v>0.76143790849673199</v>
      </c>
    </row>
    <row r="3506" spans="2:23" s="7" customFormat="1" ht="18" customHeight="1">
      <c r="B3506" s="12" t="s">
        <v>1856</v>
      </c>
      <c r="C3506" s="6" t="s">
        <v>7925</v>
      </c>
      <c r="D3506" s="15" t="s">
        <v>958</v>
      </c>
      <c r="E3506" s="24">
        <v>5291</v>
      </c>
      <c r="F3506" s="26">
        <v>6</v>
      </c>
      <c r="G3506" s="24" t="s">
        <v>29</v>
      </c>
      <c r="H3506" s="67">
        <v>50</v>
      </c>
      <c r="I3506" s="68">
        <v>12</v>
      </c>
      <c r="J3506" s="67">
        <f>H3506*I3506</f>
        <v>600</v>
      </c>
      <c r="K3506" s="46">
        <v>0.51</v>
      </c>
      <c r="L3506" s="46">
        <f>K3506*J3506</f>
        <v>306</v>
      </c>
      <c r="M3506" s="162" t="s">
        <v>2219</v>
      </c>
      <c r="N3506" s="39">
        <v>45586</v>
      </c>
      <c r="O3506" s="38">
        <v>6546</v>
      </c>
      <c r="P3506" s="180">
        <v>0.24</v>
      </c>
      <c r="Q3506" s="180">
        <v>0.24</v>
      </c>
      <c r="R3506" s="704">
        <f>Q3506*J3506</f>
        <v>144</v>
      </c>
      <c r="S3506" s="489">
        <v>14.6</v>
      </c>
      <c r="T3506" s="113">
        <f>S3506*J3506</f>
        <v>8760</v>
      </c>
      <c r="U3506" s="867"/>
      <c r="V3506" s="494">
        <v>120</v>
      </c>
      <c r="W3506" s="2041">
        <f t="shared" si="278"/>
        <v>0.76143790849673199</v>
      </c>
    </row>
    <row r="3507" spans="2:23" s="7" customFormat="1" ht="18" customHeight="1">
      <c r="B3507" s="12" t="s">
        <v>1856</v>
      </c>
      <c r="C3507" s="6" t="s">
        <v>7925</v>
      </c>
      <c r="D3507" s="15" t="s">
        <v>958</v>
      </c>
      <c r="E3507" s="24">
        <v>5291</v>
      </c>
      <c r="F3507" s="26">
        <v>4</v>
      </c>
      <c r="G3507" s="24" t="s">
        <v>499</v>
      </c>
      <c r="H3507" s="67">
        <v>50</v>
      </c>
      <c r="I3507" s="68">
        <v>9</v>
      </c>
      <c r="J3507" s="67">
        <f>H3507*I3507</f>
        <v>450</v>
      </c>
      <c r="K3507" s="46">
        <v>0.35</v>
      </c>
      <c r="L3507" s="46">
        <f>K3507*J3507</f>
        <v>157.5</v>
      </c>
      <c r="M3507" s="162" t="s">
        <v>2219</v>
      </c>
      <c r="N3507" s="39">
        <v>45586</v>
      </c>
      <c r="O3507" s="38">
        <v>6546</v>
      </c>
      <c r="P3507" s="180">
        <v>0.13</v>
      </c>
      <c r="Q3507" s="180">
        <v>0.13</v>
      </c>
      <c r="R3507" s="704">
        <f>Q3507*J3507</f>
        <v>58.5</v>
      </c>
      <c r="S3507" s="489">
        <v>7.7</v>
      </c>
      <c r="T3507" s="113">
        <f>S3507*J3507</f>
        <v>3465</v>
      </c>
      <c r="U3507" s="867"/>
      <c r="V3507" s="494">
        <v>120</v>
      </c>
      <c r="W3507" s="2041">
        <f t="shared" si="278"/>
        <v>0.81666666666666665</v>
      </c>
    </row>
    <row r="3508" spans="2:23" s="7" customFormat="1" ht="18" customHeight="1">
      <c r="B3508" s="12" t="s">
        <v>1856</v>
      </c>
      <c r="C3508" s="6" t="s">
        <v>7925</v>
      </c>
      <c r="D3508" s="15" t="s">
        <v>958</v>
      </c>
      <c r="E3508" s="24">
        <v>5291</v>
      </c>
      <c r="F3508" s="26">
        <v>4</v>
      </c>
      <c r="G3508" s="24" t="s">
        <v>29</v>
      </c>
      <c r="H3508" s="67">
        <v>50</v>
      </c>
      <c r="I3508" s="68">
        <v>32</v>
      </c>
      <c r="J3508" s="67">
        <f>H3508*I3508</f>
        <v>1600</v>
      </c>
      <c r="K3508" s="46">
        <v>0.35</v>
      </c>
      <c r="L3508" s="46">
        <f>K3508*J3508</f>
        <v>560</v>
      </c>
      <c r="M3508" s="162" t="s">
        <v>2219</v>
      </c>
      <c r="N3508" s="39">
        <v>45586</v>
      </c>
      <c r="O3508" s="38">
        <v>6546</v>
      </c>
      <c r="P3508" s="180">
        <v>0.13</v>
      </c>
      <c r="Q3508" s="180">
        <v>0.13</v>
      </c>
      <c r="R3508" s="704">
        <f>Q3508*J3508</f>
        <v>208</v>
      </c>
      <c r="S3508" s="489">
        <v>7.7</v>
      </c>
      <c r="T3508" s="113">
        <f>S3508*J3508</f>
        <v>12320</v>
      </c>
      <c r="U3508" s="867"/>
      <c r="V3508" s="494">
        <v>120</v>
      </c>
      <c r="W3508" s="2041">
        <f t="shared" si="278"/>
        <v>0.81666666666666665</v>
      </c>
    </row>
    <row r="3509" spans="2:23" ht="15.95" customHeight="1">
      <c r="C3509" s="6" t="s">
        <v>7925</v>
      </c>
      <c r="D3509" s="15" t="s">
        <v>958</v>
      </c>
      <c r="E3509" s="24"/>
      <c r="F3509" s="138"/>
      <c r="G3509" s="44" t="s">
        <v>1993</v>
      </c>
      <c r="H3509" s="8"/>
      <c r="I3509" s="41"/>
      <c r="J3509" s="45">
        <v>1</v>
      </c>
      <c r="K3509" s="46">
        <v>10</v>
      </c>
      <c r="L3509" s="46">
        <v>0</v>
      </c>
      <c r="M3509" s="112"/>
      <c r="N3509" s="39">
        <v>45586</v>
      </c>
      <c r="O3509" s="38">
        <v>6546</v>
      </c>
      <c r="P3509" s="179"/>
      <c r="Q3509" s="180">
        <v>10</v>
      </c>
      <c r="R3509" s="180">
        <v>10</v>
      </c>
      <c r="S3509" s="498">
        <v>0</v>
      </c>
      <c r="T3509" s="568">
        <f>S3509*J3509</f>
        <v>0</v>
      </c>
      <c r="U3509" s="511"/>
      <c r="V3509" s="494">
        <v>120</v>
      </c>
      <c r="W3509" s="2041">
        <f t="shared" si="278"/>
        <v>1</v>
      </c>
    </row>
    <row r="3510" spans="2:23" s="314" customFormat="1" ht="15" customHeight="1">
      <c r="B3510" s="313"/>
      <c r="C3510" s="302" t="s">
        <v>7925</v>
      </c>
      <c r="D3510" s="303" t="s">
        <v>958</v>
      </c>
      <c r="E3510" s="304"/>
      <c r="F3510" s="305"/>
      <c r="G3510" s="305" t="s">
        <v>1227</v>
      </c>
      <c r="H3510" s="410"/>
      <c r="I3510" s="308"/>
      <c r="J3510" s="410">
        <v>3000</v>
      </c>
      <c r="K3510" s="315">
        <f>(0.24*950)+(0.2*2050)</f>
        <v>638</v>
      </c>
      <c r="L3510" s="315"/>
      <c r="M3510" s="784"/>
      <c r="N3510" s="310">
        <v>45586</v>
      </c>
      <c r="O3510" s="309">
        <v>6546</v>
      </c>
      <c r="P3510" s="302"/>
      <c r="Q3510" s="315">
        <f>K3510-Q3509</f>
        <v>628</v>
      </c>
      <c r="R3510" s="315">
        <v>628</v>
      </c>
      <c r="S3510" s="498">
        <v>11040</v>
      </c>
      <c r="T3510" s="498">
        <v>11040</v>
      </c>
      <c r="U3510" s="1084"/>
      <c r="V3510" s="494">
        <v>120</v>
      </c>
      <c r="W3510" s="2041">
        <f t="shared" si="278"/>
        <v>0.85579937304075238</v>
      </c>
    </row>
    <row r="3511" spans="2:23" s="7" customFormat="1" ht="15">
      <c r="B3511" s="12"/>
      <c r="C3511" s="6"/>
      <c r="D3511" s="15"/>
      <c r="E3511" s="20" t="s">
        <v>7664</v>
      </c>
      <c r="F3511" s="26"/>
      <c r="G3511" s="24"/>
      <c r="H3511" s="67"/>
      <c r="I3511" s="68"/>
      <c r="J3511" s="67"/>
      <c r="K3511" s="17" t="s">
        <v>134</v>
      </c>
      <c r="L3511" s="39"/>
      <c r="M3511" s="39"/>
      <c r="N3511" s="417"/>
      <c r="O3511" s="38"/>
      <c r="P3511" s="6" t="s">
        <v>23</v>
      </c>
      <c r="Q3511" s="481"/>
      <c r="S3511" s="489"/>
      <c r="T3511" s="113"/>
      <c r="U3511" s="500"/>
      <c r="V3511" s="494">
        <v>120</v>
      </c>
      <c r="W3511" s="2393" t="e">
        <f t="shared" si="278"/>
        <v>#VALUE!</v>
      </c>
    </row>
    <row r="3512" spans="2:23" s="7" customFormat="1" ht="17.25" customHeight="1">
      <c r="B3512" s="12" t="s">
        <v>1856</v>
      </c>
      <c r="C3512" s="6"/>
      <c r="D3512" s="15"/>
      <c r="E3512" s="95" t="s">
        <v>7911</v>
      </c>
      <c r="F3512" s="44"/>
      <c r="G3512" s="44" t="s">
        <v>7912</v>
      </c>
      <c r="H3512" s="151"/>
      <c r="I3512" s="152"/>
      <c r="J3512" s="8">
        <v>50</v>
      </c>
      <c r="K3512" s="46">
        <v>3.03</v>
      </c>
      <c r="L3512" s="46">
        <f>K3512*J3512</f>
        <v>151.5</v>
      </c>
      <c r="M3512" s="112"/>
      <c r="N3512" s="239"/>
      <c r="O3512" s="38"/>
      <c r="P3512" s="46">
        <f>K3512*(VLOOKUP(B3512,$C$2:$F$6,3,FALSE))</f>
        <v>2.6663999999999999</v>
      </c>
      <c r="Q3512" s="46">
        <v>2.67</v>
      </c>
      <c r="R3512" s="703">
        <f>Q3512*J3512</f>
        <v>133.5</v>
      </c>
      <c r="S3512" s="2394">
        <v>218</v>
      </c>
      <c r="T3512" s="7">
        <f>S3512*J3512</f>
        <v>10900</v>
      </c>
      <c r="U3512" s="23"/>
      <c r="V3512" s="494">
        <v>120</v>
      </c>
      <c r="W3512" s="2393">
        <f t="shared" si="278"/>
        <v>0.40044004400440036</v>
      </c>
    </row>
    <row r="3513" spans="2:23" s="7" customFormat="1" ht="17.25" customHeight="1">
      <c r="B3513" s="12" t="s">
        <v>1862</v>
      </c>
      <c r="C3513" s="6"/>
      <c r="D3513" s="15"/>
      <c r="E3513" s="95" t="s">
        <v>7911</v>
      </c>
      <c r="F3513" s="44"/>
      <c r="G3513" s="44" t="s">
        <v>7913</v>
      </c>
      <c r="H3513" s="151"/>
      <c r="I3513" s="152"/>
      <c r="J3513" s="45">
        <v>1</v>
      </c>
      <c r="K3513" s="46">
        <v>90</v>
      </c>
      <c r="L3513" s="46">
        <f>K3513*J3513</f>
        <v>90</v>
      </c>
      <c r="M3513" s="112"/>
      <c r="N3513" s="2395"/>
      <c r="O3513" s="38"/>
      <c r="P3513" s="46">
        <f>K3513*(VLOOKUP(B3513,$C$2:$F$6,3,FALSE))</f>
        <v>90</v>
      </c>
      <c r="Q3513" s="46">
        <v>90</v>
      </c>
      <c r="R3513" s="703">
        <f>Q3513*J3513</f>
        <v>90</v>
      </c>
      <c r="S3513" s="2396">
        <f>6000+800</f>
        <v>6800</v>
      </c>
      <c r="T3513" s="7">
        <f>S3513*J3513</f>
        <v>6800</v>
      </c>
      <c r="U3513" s="23"/>
      <c r="V3513" s="494">
        <v>120</v>
      </c>
      <c r="W3513" s="2393">
        <f t="shared" si="278"/>
        <v>0.37037037037037035</v>
      </c>
    </row>
    <row r="3514" spans="2:23" s="7" customFormat="1" ht="17.25" customHeight="1">
      <c r="B3514" s="12" t="s">
        <v>1856</v>
      </c>
      <c r="C3514" s="6"/>
      <c r="D3514" s="15"/>
      <c r="E3514" s="95" t="s">
        <v>7911</v>
      </c>
      <c r="F3514" s="44"/>
      <c r="G3514" s="44" t="s">
        <v>7914</v>
      </c>
      <c r="H3514" s="151"/>
      <c r="I3514" s="152"/>
      <c r="J3514" s="8">
        <v>50</v>
      </c>
      <c r="K3514" s="46">
        <v>3.03</v>
      </c>
      <c r="L3514" s="46">
        <f>K3514*J3514</f>
        <v>151.5</v>
      </c>
      <c r="M3514" s="112"/>
      <c r="N3514" s="239"/>
      <c r="O3514" s="38"/>
      <c r="P3514" s="46">
        <f>K3514*(VLOOKUP(B3514,$C$2:$F$6,3,FALSE))</f>
        <v>2.6663999999999999</v>
      </c>
      <c r="Q3514" s="46">
        <v>2.67</v>
      </c>
      <c r="R3514" s="703">
        <f>Q3514*J3514</f>
        <v>133.5</v>
      </c>
      <c r="S3514" s="2394">
        <v>218</v>
      </c>
      <c r="T3514" s="7">
        <f>S3514*J3514</f>
        <v>10900</v>
      </c>
      <c r="U3514" s="23"/>
      <c r="V3514" s="494">
        <v>120</v>
      </c>
      <c r="W3514" s="2393">
        <f t="shared" si="278"/>
        <v>0.40044004400440036</v>
      </c>
    </row>
    <row r="3515" spans="2:23" s="7" customFormat="1" ht="17.25" customHeight="1">
      <c r="B3515" s="12" t="s">
        <v>1862</v>
      </c>
      <c r="C3515" s="6"/>
      <c r="D3515" s="15"/>
      <c r="E3515" s="95" t="s">
        <v>7911</v>
      </c>
      <c r="F3515" s="44"/>
      <c r="G3515" s="44" t="s">
        <v>7918</v>
      </c>
      <c r="H3515" s="151"/>
      <c r="I3515" s="152"/>
      <c r="J3515" s="45">
        <v>1</v>
      </c>
      <c r="K3515" s="46">
        <v>90</v>
      </c>
      <c r="L3515" s="46">
        <f>K3515*J3515</f>
        <v>90</v>
      </c>
      <c r="M3515" s="112"/>
      <c r="N3515" s="2395"/>
      <c r="O3515" s="38"/>
      <c r="P3515" s="46">
        <f>K3515*(VLOOKUP(B3515,$C$2:$F$6,3,FALSE))</f>
        <v>90</v>
      </c>
      <c r="Q3515" s="46">
        <v>90</v>
      </c>
      <c r="R3515" s="703">
        <f>Q3515*J3515</f>
        <v>90</v>
      </c>
      <c r="S3515" s="2396">
        <f>6000+800</f>
        <v>6800</v>
      </c>
      <c r="T3515" s="7">
        <f>S3515*J3515</f>
        <v>6800</v>
      </c>
      <c r="U3515" s="23"/>
      <c r="V3515" s="494">
        <v>120</v>
      </c>
      <c r="W3515" s="2393">
        <f t="shared" si="278"/>
        <v>0.37037037037037035</v>
      </c>
    </row>
    <row r="3516" spans="2:23" ht="15">
      <c r="B3516" s="12" t="s">
        <v>1862</v>
      </c>
      <c r="C3516" s="6"/>
      <c r="D3516" s="15"/>
      <c r="E3516" s="24"/>
      <c r="F3516" s="138"/>
      <c r="G3516" s="44" t="s">
        <v>1993</v>
      </c>
      <c r="H3516" s="8"/>
      <c r="I3516" s="41"/>
      <c r="J3516" s="45">
        <v>1</v>
      </c>
      <c r="K3516" s="46">
        <v>12</v>
      </c>
      <c r="L3516" s="46">
        <f>K3516*J3516</f>
        <v>12</v>
      </c>
      <c r="M3516" s="112"/>
      <c r="N3516" s="39"/>
      <c r="O3516" s="38"/>
      <c r="P3516" s="46">
        <f>K3516*(VLOOKUP(B3516,$C$2:$F$6,3,FALSE))</f>
        <v>12</v>
      </c>
      <c r="Q3516" s="483">
        <v>12</v>
      </c>
      <c r="R3516" s="704">
        <v>12</v>
      </c>
      <c r="S3516" s="489">
        <v>1100</v>
      </c>
      <c r="T3516" s="113">
        <f>S3516*J3516</f>
        <v>1100</v>
      </c>
      <c r="U3516" s="511"/>
      <c r="V3516" s="494">
        <v>120</v>
      </c>
      <c r="W3516" s="2041">
        <f t="shared" si="278"/>
        <v>0.2361111111111111</v>
      </c>
    </row>
    <row r="3517" spans="2:23" s="7" customFormat="1" ht="18" customHeight="1">
      <c r="B3517" s="12"/>
      <c r="C3517" s="6"/>
      <c r="D3517" s="15"/>
      <c r="E3517" s="20" t="s">
        <v>7645</v>
      </c>
      <c r="F3517" s="24"/>
      <c r="G3517" s="44"/>
      <c r="H3517" s="151"/>
      <c r="I3517" s="151"/>
      <c r="J3517" s="151"/>
      <c r="K3517" s="153" t="s">
        <v>10</v>
      </c>
      <c r="L3517" s="39"/>
      <c r="M3517" s="39"/>
      <c r="N3517" s="39"/>
      <c r="O3517" s="38"/>
      <c r="P3517" s="6"/>
      <c r="Q3517" s="411"/>
      <c r="S3517" s="2350" t="s">
        <v>2297</v>
      </c>
      <c r="T3517" s="113"/>
      <c r="U3517" s="2399"/>
      <c r="V3517" s="494">
        <v>120</v>
      </c>
    </row>
    <row r="3518" spans="2:23" s="7" customFormat="1" ht="15.95" customHeight="1">
      <c r="B3518" s="12" t="s">
        <v>1856</v>
      </c>
      <c r="C3518" s="6"/>
      <c r="D3518" s="15"/>
      <c r="E3518" s="24" t="s">
        <v>7293</v>
      </c>
      <c r="F3518" s="44">
        <v>4</v>
      </c>
      <c r="G3518" s="44" t="s">
        <v>7929</v>
      </c>
      <c r="H3518" s="67">
        <v>30</v>
      </c>
      <c r="I3518" s="68">
        <v>3</v>
      </c>
      <c r="J3518" s="67">
        <f>H3518*I3518</f>
        <v>90</v>
      </c>
      <c r="K3518" s="46">
        <v>0.28999999999999998</v>
      </c>
      <c r="L3518" s="46">
        <f>K3518*J3518</f>
        <v>26.099999999999998</v>
      </c>
      <c r="M3518" s="162" t="s">
        <v>2219</v>
      </c>
      <c r="N3518" s="2516" t="s">
        <v>8484</v>
      </c>
      <c r="O3518" s="2516" t="s">
        <v>8484</v>
      </c>
      <c r="P3518" s="46">
        <f>K3518*(VLOOKUP(B3518,$C$2:$F$6,3,FALSE))</f>
        <v>0.25519999999999998</v>
      </c>
      <c r="Q3518" s="483">
        <v>0.26</v>
      </c>
      <c r="R3518" s="704">
        <f>Q3518*J3518</f>
        <v>23.400000000000002</v>
      </c>
      <c r="S3518" s="2351">
        <v>16.033000000000001</v>
      </c>
      <c r="T3518" s="113">
        <f>S3518*J3518</f>
        <v>1442.97</v>
      </c>
      <c r="U3518" s="2351"/>
      <c r="V3518" s="494">
        <v>120</v>
      </c>
      <c r="W3518" s="2041">
        <f t="shared" ref="W3518:W3528" si="279">(((K3518*V3518)-S3518)/(K3518*V3518))</f>
        <v>0.53928160919540225</v>
      </c>
    </row>
    <row r="3519" spans="2:23" s="7" customFormat="1" ht="15.95" customHeight="1">
      <c r="B3519" s="12" t="s">
        <v>1856</v>
      </c>
      <c r="C3519" s="6"/>
      <c r="D3519" s="15"/>
      <c r="E3519" s="24" t="s">
        <v>7293</v>
      </c>
      <c r="F3519" s="44">
        <v>4</v>
      </c>
      <c r="G3519" s="44" t="s">
        <v>7930</v>
      </c>
      <c r="H3519" s="67">
        <v>30</v>
      </c>
      <c r="I3519" s="68">
        <v>3</v>
      </c>
      <c r="J3519" s="67">
        <f>H3519*I3519</f>
        <v>90</v>
      </c>
      <c r="K3519" s="46">
        <v>0.28999999999999998</v>
      </c>
      <c r="L3519" s="46">
        <f>K3519*J3519</f>
        <v>26.099999999999998</v>
      </c>
      <c r="M3519" s="162" t="s">
        <v>2219</v>
      </c>
      <c r="N3519" s="2516" t="s">
        <v>8484</v>
      </c>
      <c r="O3519" s="2516" t="s">
        <v>8484</v>
      </c>
      <c r="P3519" s="46">
        <f>K3519*(VLOOKUP(B3519,$C$2:$F$6,3,FALSE))</f>
        <v>0.25519999999999998</v>
      </c>
      <c r="Q3519" s="483">
        <v>0.26</v>
      </c>
      <c r="R3519" s="704">
        <f>Q3519*J3519</f>
        <v>23.400000000000002</v>
      </c>
      <c r="S3519" s="2351">
        <v>16.033000000000001</v>
      </c>
      <c r="T3519" s="113">
        <f>S3519*J3519</f>
        <v>1442.97</v>
      </c>
      <c r="U3519" s="2351"/>
      <c r="V3519" s="494">
        <v>120</v>
      </c>
      <c r="W3519" s="2041">
        <f t="shared" si="279"/>
        <v>0.53928160919540225</v>
      </c>
    </row>
    <row r="3520" spans="2:23" ht="18" customHeight="1">
      <c r="B3520" s="12" t="s">
        <v>1862</v>
      </c>
      <c r="C3520" s="6"/>
      <c r="D3520" s="15"/>
      <c r="E3520" s="24"/>
      <c r="F3520" s="138"/>
      <c r="G3520" s="44" t="s">
        <v>1993</v>
      </c>
      <c r="H3520" s="8"/>
      <c r="I3520" s="41"/>
      <c r="J3520" s="45">
        <v>1</v>
      </c>
      <c r="K3520" s="46">
        <v>12</v>
      </c>
      <c r="L3520" s="46">
        <f>K3520*J3520</f>
        <v>12</v>
      </c>
      <c r="M3520" s="112"/>
      <c r="N3520" s="39"/>
      <c r="O3520" s="2408"/>
      <c r="P3520" s="46">
        <f>K3520*(VLOOKUP(B3520,$C$2:$F$6,3,FALSE))</f>
        <v>12</v>
      </c>
      <c r="Q3520" s="483">
        <v>12</v>
      </c>
      <c r="R3520" s="704">
        <f>Q3520*J3520</f>
        <v>12</v>
      </c>
      <c r="S3520" s="489">
        <f>800+900</f>
        <v>1700</v>
      </c>
      <c r="T3520" s="113">
        <f>S3520*J3520</f>
        <v>1700</v>
      </c>
      <c r="U3520" s="511"/>
      <c r="V3520" s="494">
        <v>120</v>
      </c>
      <c r="W3520" s="2041">
        <f t="shared" si="279"/>
        <v>-0.18055555555555555</v>
      </c>
    </row>
    <row r="3521" spans="2:23" s="314" customFormat="1" ht="15" customHeight="1">
      <c r="B3521" s="313"/>
      <c r="C3521" s="302"/>
      <c r="D3521" s="303"/>
      <c r="E3521" s="304"/>
      <c r="F3521" s="305"/>
      <c r="G3521" s="305" t="s">
        <v>1227</v>
      </c>
      <c r="H3521" s="307" t="s">
        <v>1228</v>
      </c>
      <c r="I3521" s="308"/>
      <c r="J3521" s="306"/>
      <c r="K3521" s="315">
        <v>0</v>
      </c>
      <c r="L3521" s="310"/>
      <c r="M3521" s="310"/>
      <c r="N3521" s="310"/>
      <c r="O3521" s="309"/>
      <c r="P3521" s="302"/>
      <c r="Q3521" s="485">
        <v>0</v>
      </c>
      <c r="S3521" s="536">
        <v>0</v>
      </c>
      <c r="T3521" s="322">
        <v>0</v>
      </c>
      <c r="U3521" s="515"/>
      <c r="V3521" s="494">
        <v>120</v>
      </c>
      <c r="W3521" s="2041" t="e">
        <f t="shared" si="279"/>
        <v>#DIV/0!</v>
      </c>
    </row>
    <row r="3522" spans="2:23" s="7" customFormat="1" ht="18" customHeight="1">
      <c r="B3522" s="12"/>
      <c r="C3522" s="6" t="s">
        <v>7985</v>
      </c>
      <c r="D3522" s="15" t="s">
        <v>7984</v>
      </c>
      <c r="E3522" s="20" t="s">
        <v>7915</v>
      </c>
      <c r="F3522" s="26"/>
      <c r="G3522" s="24"/>
      <c r="H3522" s="67"/>
      <c r="I3522" s="68"/>
      <c r="J3522" s="67"/>
      <c r="K3522" s="17" t="s">
        <v>134</v>
      </c>
      <c r="L3522" s="39"/>
      <c r="M3522" s="39"/>
      <c r="N3522" s="39">
        <v>45583</v>
      </c>
      <c r="O3522" s="38">
        <v>6554</v>
      </c>
      <c r="P3522" s="6" t="s">
        <v>23</v>
      </c>
      <c r="Q3522" s="481"/>
      <c r="S3522" s="489"/>
      <c r="T3522" s="113"/>
      <c r="U3522" s="500"/>
      <c r="V3522" s="494">
        <v>120</v>
      </c>
      <c r="W3522" s="2393" t="e">
        <f t="shared" si="279"/>
        <v>#VALUE!</v>
      </c>
    </row>
    <row r="3523" spans="2:23" s="7" customFormat="1" ht="18" customHeight="1">
      <c r="B3523" s="12" t="s">
        <v>1856</v>
      </c>
      <c r="C3523" s="6" t="s">
        <v>7985</v>
      </c>
      <c r="D3523" s="15" t="s">
        <v>7984</v>
      </c>
      <c r="E3523" s="24" t="s">
        <v>7931</v>
      </c>
      <c r="F3523" s="44"/>
      <c r="G3523" s="44" t="s">
        <v>78</v>
      </c>
      <c r="H3523" s="151"/>
      <c r="I3523" s="152"/>
      <c r="J3523" s="8">
        <v>50</v>
      </c>
      <c r="K3523" s="46">
        <v>1.46</v>
      </c>
      <c r="L3523" s="46">
        <f>K3523*J3523</f>
        <v>73</v>
      </c>
      <c r="M3523" s="162" t="s">
        <v>2219</v>
      </c>
      <c r="N3523" s="39">
        <v>45583</v>
      </c>
      <c r="O3523" s="38">
        <v>6554</v>
      </c>
      <c r="P3523" s="46">
        <f>K3523*(VLOOKUP(B3523,$C$2:$F$6,3,FALSE))</f>
        <v>1.2847999999999999</v>
      </c>
      <c r="Q3523" s="46">
        <v>1.28</v>
      </c>
      <c r="R3523" s="703">
        <f>Q3523*J3523</f>
        <v>64</v>
      </c>
      <c r="S3523" s="94">
        <v>105</v>
      </c>
      <c r="T3523" s="7">
        <f>S3523*J3523</f>
        <v>5250</v>
      </c>
      <c r="U3523" s="23"/>
      <c r="V3523" s="494">
        <v>120</v>
      </c>
      <c r="W3523" s="2393">
        <f t="shared" si="279"/>
        <v>0.40068493150684925</v>
      </c>
    </row>
    <row r="3524" spans="2:23" s="7" customFormat="1" ht="18" customHeight="1">
      <c r="B3524" s="12" t="s">
        <v>1856</v>
      </c>
      <c r="C3524" s="6" t="s">
        <v>7985</v>
      </c>
      <c r="D3524" s="15" t="s">
        <v>7984</v>
      </c>
      <c r="E3524" s="24" t="s">
        <v>7931</v>
      </c>
      <c r="F3524" s="44"/>
      <c r="G3524" s="44" t="s">
        <v>7581</v>
      </c>
      <c r="H3524" s="151"/>
      <c r="I3524" s="152"/>
      <c r="J3524" s="8">
        <v>50</v>
      </c>
      <c r="K3524" s="46">
        <v>2.71</v>
      </c>
      <c r="L3524" s="46">
        <f>K3524*J3524</f>
        <v>135.5</v>
      </c>
      <c r="M3524" s="162" t="s">
        <v>2219</v>
      </c>
      <c r="N3524" s="39">
        <v>45587</v>
      </c>
      <c r="O3524" s="38">
        <v>6571</v>
      </c>
      <c r="P3524" s="46">
        <f>K3524*(VLOOKUP(B3524,$C$2:$F$6,3,FALSE))</f>
        <v>2.3847999999999998</v>
      </c>
      <c r="Q3524" s="46">
        <v>2.38</v>
      </c>
      <c r="R3524" s="703">
        <f>Q3524*J3524</f>
        <v>119</v>
      </c>
      <c r="S3524" s="94">
        <v>105</v>
      </c>
      <c r="T3524" s="7">
        <f>S3524*J3524</f>
        <v>5250</v>
      </c>
      <c r="U3524" s="23"/>
      <c r="V3524" s="494">
        <v>120</v>
      </c>
      <c r="W3524" s="2393">
        <f t="shared" si="279"/>
        <v>0.67712177121771222</v>
      </c>
    </row>
    <row r="3525" spans="2:23" ht="18" customHeight="1">
      <c r="B3525" s="12" t="s">
        <v>1862</v>
      </c>
      <c r="C3525" s="6" t="s">
        <v>7985</v>
      </c>
      <c r="D3525" s="15" t="s">
        <v>7984</v>
      </c>
      <c r="E3525" s="24"/>
      <c r="F3525" s="138"/>
      <c r="G3525" s="44" t="s">
        <v>7927</v>
      </c>
      <c r="H3525" s="8"/>
      <c r="I3525" s="41"/>
      <c r="J3525" s="45">
        <v>1</v>
      </c>
      <c r="K3525" s="46">
        <v>125</v>
      </c>
      <c r="L3525" s="46">
        <f>K3525*J3525</f>
        <v>125</v>
      </c>
      <c r="M3525" s="112"/>
      <c r="N3525" s="39">
        <v>45587</v>
      </c>
      <c r="O3525" s="38">
        <v>6571</v>
      </c>
      <c r="P3525" s="46">
        <f>K3525*(VLOOKUP(B3525,$C$2:$F$6,3,FALSE))</f>
        <v>125</v>
      </c>
      <c r="Q3525" s="483">
        <v>125</v>
      </c>
      <c r="R3525" s="483">
        <v>125</v>
      </c>
      <c r="S3525" s="489">
        <v>9000</v>
      </c>
      <c r="T3525" s="113">
        <f>S3525*J3525</f>
        <v>9000</v>
      </c>
      <c r="U3525" s="511"/>
      <c r="V3525" s="494">
        <v>120</v>
      </c>
      <c r="W3525" s="2041">
        <f t="shared" si="279"/>
        <v>0.4</v>
      </c>
    </row>
    <row r="3526" spans="2:23" s="7" customFormat="1" ht="18" customHeight="1">
      <c r="B3526" s="12"/>
      <c r="C3526" s="6" t="s">
        <v>7985</v>
      </c>
      <c r="D3526" s="15" t="s">
        <v>7984</v>
      </c>
      <c r="E3526" s="20" t="s">
        <v>7915</v>
      </c>
      <c r="F3526" s="26"/>
      <c r="G3526" s="24"/>
      <c r="H3526" s="67"/>
      <c r="I3526" s="68"/>
      <c r="J3526" s="67"/>
      <c r="K3526" s="17" t="s">
        <v>134</v>
      </c>
      <c r="L3526" s="39"/>
      <c r="M3526" s="39"/>
      <c r="N3526" s="39">
        <v>45583</v>
      </c>
      <c r="O3526" s="38">
        <v>6554</v>
      </c>
      <c r="P3526" s="6" t="s">
        <v>23</v>
      </c>
      <c r="Q3526" s="481"/>
      <c r="S3526" s="489"/>
      <c r="T3526" s="113"/>
      <c r="U3526" s="500"/>
      <c r="V3526" s="494">
        <v>120</v>
      </c>
      <c r="W3526" s="2393" t="e">
        <f t="shared" si="279"/>
        <v>#VALUE!</v>
      </c>
    </row>
    <row r="3527" spans="2:23" s="7" customFormat="1" ht="18" customHeight="1">
      <c r="B3527" s="12" t="s">
        <v>1856</v>
      </c>
      <c r="C3527" s="6" t="s">
        <v>7985</v>
      </c>
      <c r="D3527" s="15" t="s">
        <v>7984</v>
      </c>
      <c r="E3527" s="24" t="s">
        <v>7932</v>
      </c>
      <c r="F3527" s="44"/>
      <c r="G3527" s="44" t="s">
        <v>78</v>
      </c>
      <c r="H3527" s="151"/>
      <c r="I3527" s="152"/>
      <c r="J3527" s="8">
        <v>50</v>
      </c>
      <c r="K3527" s="46">
        <v>0.81</v>
      </c>
      <c r="L3527" s="46">
        <f>K3527*J3527</f>
        <v>40.5</v>
      </c>
      <c r="M3527" s="162" t="s">
        <v>2219</v>
      </c>
      <c r="N3527" s="39">
        <v>45583</v>
      </c>
      <c r="O3527" s="38">
        <v>6554</v>
      </c>
      <c r="P3527" s="46">
        <f>K3527*(VLOOKUP(B3527,$C$2:$F$6,3,FALSE))</f>
        <v>0.7128000000000001</v>
      </c>
      <c r="Q3527" s="46">
        <v>0.71</v>
      </c>
      <c r="R3527" s="703">
        <f>Q3527*J3527</f>
        <v>35.5</v>
      </c>
      <c r="S3527" s="7">
        <v>58</v>
      </c>
      <c r="T3527" s="7">
        <f>S3527*J3527</f>
        <v>2900</v>
      </c>
      <c r="U3527" s="23"/>
      <c r="V3527" s="494">
        <v>120</v>
      </c>
      <c r="W3527" s="2041">
        <f t="shared" si="279"/>
        <v>0.40329218106995884</v>
      </c>
    </row>
    <row r="3528" spans="2:23" s="7" customFormat="1" ht="18" customHeight="1">
      <c r="B3528" s="12" t="s">
        <v>1856</v>
      </c>
      <c r="C3528" s="6" t="s">
        <v>7985</v>
      </c>
      <c r="D3528" s="15" t="s">
        <v>7984</v>
      </c>
      <c r="E3528" s="24" t="s">
        <v>7932</v>
      </c>
      <c r="F3528" s="44"/>
      <c r="G3528" s="44" t="s">
        <v>7928</v>
      </c>
      <c r="H3528" s="151"/>
      <c r="I3528" s="152"/>
      <c r="J3528" s="8">
        <v>50</v>
      </c>
      <c r="K3528" s="46">
        <v>1.07</v>
      </c>
      <c r="L3528" s="46">
        <f>K3528*J3528</f>
        <v>53.5</v>
      </c>
      <c r="M3528" s="162" t="s">
        <v>2219</v>
      </c>
      <c r="N3528" s="39">
        <v>45587</v>
      </c>
      <c r="O3528" s="38">
        <v>6571</v>
      </c>
      <c r="P3528" s="46">
        <f>K3528*(VLOOKUP(B3528,$C$2:$F$6,3,FALSE))</f>
        <v>0.9416000000000001</v>
      </c>
      <c r="Q3528" s="46">
        <v>0.94</v>
      </c>
      <c r="R3528" s="703">
        <f>Q3528*J3528</f>
        <v>47</v>
      </c>
      <c r="S3528" s="7">
        <v>77</v>
      </c>
      <c r="T3528" s="7">
        <f>S3528*J3528</f>
        <v>3850</v>
      </c>
      <c r="U3528" s="23"/>
      <c r="V3528" s="494">
        <v>120</v>
      </c>
      <c r="W3528" s="2041">
        <f t="shared" si="279"/>
        <v>0.40031152647975082</v>
      </c>
    </row>
    <row r="3529" spans="2:23" s="7" customFormat="1" ht="18" customHeight="1">
      <c r="B3529" s="12"/>
      <c r="C3529" s="6" t="s">
        <v>7985</v>
      </c>
      <c r="D3529" s="15" t="s">
        <v>7984</v>
      </c>
      <c r="E3529" s="20" t="s">
        <v>7645</v>
      </c>
      <c r="F3529" s="24"/>
      <c r="G3529" s="44"/>
      <c r="H3529" s="151"/>
      <c r="I3529" s="151"/>
      <c r="J3529" s="151"/>
      <c r="K3529" s="153" t="s">
        <v>10</v>
      </c>
      <c r="L3529" s="39"/>
      <c r="M3529" s="39"/>
      <c r="N3529" s="39">
        <v>45583</v>
      </c>
      <c r="O3529" s="38">
        <v>6554</v>
      </c>
      <c r="P3529" s="6"/>
      <c r="Q3529" s="411"/>
      <c r="S3529" s="2350" t="s">
        <v>2297</v>
      </c>
      <c r="T3529" s="113"/>
      <c r="U3529" s="2399"/>
      <c r="V3529" s="494">
        <v>120</v>
      </c>
    </row>
    <row r="3530" spans="2:23" s="7" customFormat="1" ht="15.95" customHeight="1">
      <c r="B3530" s="12" t="s">
        <v>1856</v>
      </c>
      <c r="C3530" s="6" t="s">
        <v>7985</v>
      </c>
      <c r="D3530" s="15" t="s">
        <v>7984</v>
      </c>
      <c r="E3530" s="24" t="s">
        <v>7293</v>
      </c>
      <c r="F3530" s="44">
        <v>4</v>
      </c>
      <c r="G3530" s="44" t="s">
        <v>7929</v>
      </c>
      <c r="H3530" s="67">
        <v>30</v>
      </c>
      <c r="I3530" s="68">
        <v>2</v>
      </c>
      <c r="J3530" s="67">
        <f>H3530*I3530</f>
        <v>60</v>
      </c>
      <c r="K3530" s="46">
        <v>0.28999999999999998</v>
      </c>
      <c r="L3530" s="46">
        <f>K3530*J3530</f>
        <v>17.399999999999999</v>
      </c>
      <c r="M3530" s="162" t="s">
        <v>2219</v>
      </c>
      <c r="N3530" s="39">
        <v>45583</v>
      </c>
      <c r="O3530" s="38">
        <v>6554</v>
      </c>
      <c r="P3530" s="46">
        <f>K3530*(VLOOKUP(B3530,$C$2:$F$6,3,FALSE))</f>
        <v>0.25519999999999998</v>
      </c>
      <c r="Q3530" s="483">
        <v>0.26</v>
      </c>
      <c r="R3530" s="704">
        <f>Q3530*J3530</f>
        <v>15.600000000000001</v>
      </c>
      <c r="S3530" s="2351">
        <v>16.033000000000001</v>
      </c>
      <c r="T3530" s="113">
        <f>S3530*J3530</f>
        <v>961.98</v>
      </c>
      <c r="U3530" s="2351"/>
      <c r="V3530" s="494">
        <v>120</v>
      </c>
      <c r="W3530" s="2041">
        <f t="shared" ref="W3530:W3561" si="280">(((K3530*V3530)-S3530)/(K3530*V3530))</f>
        <v>0.53928160919540225</v>
      </c>
    </row>
    <row r="3531" spans="2:23" s="7" customFormat="1" ht="15.95" customHeight="1">
      <c r="B3531" s="12" t="s">
        <v>1856</v>
      </c>
      <c r="C3531" s="6" t="s">
        <v>7985</v>
      </c>
      <c r="D3531" s="15" t="s">
        <v>7984</v>
      </c>
      <c r="E3531" s="24" t="s">
        <v>7293</v>
      </c>
      <c r="F3531" s="44">
        <v>4</v>
      </c>
      <c r="G3531" s="44" t="s">
        <v>7930</v>
      </c>
      <c r="H3531" s="67">
        <v>30</v>
      </c>
      <c r="I3531" s="68">
        <v>2</v>
      </c>
      <c r="J3531" s="67">
        <f>H3531*I3531</f>
        <v>60</v>
      </c>
      <c r="K3531" s="46">
        <v>0.28999999999999998</v>
      </c>
      <c r="L3531" s="46">
        <f>K3531*J3531</f>
        <v>17.399999999999999</v>
      </c>
      <c r="M3531" s="162" t="s">
        <v>2219</v>
      </c>
      <c r="N3531" s="39">
        <v>45583</v>
      </c>
      <c r="O3531" s="38">
        <v>6554</v>
      </c>
      <c r="P3531" s="46">
        <f>K3531*(VLOOKUP(B3531,$C$2:$F$6,3,FALSE))</f>
        <v>0.25519999999999998</v>
      </c>
      <c r="Q3531" s="483">
        <v>0.26</v>
      </c>
      <c r="R3531" s="704">
        <f>Q3531*J3531</f>
        <v>15.600000000000001</v>
      </c>
      <c r="S3531" s="2351">
        <v>16.033000000000001</v>
      </c>
      <c r="T3531" s="113">
        <f>S3531*J3531</f>
        <v>961.98</v>
      </c>
      <c r="U3531" s="2351"/>
      <c r="V3531" s="494">
        <v>120</v>
      </c>
      <c r="W3531" s="2041">
        <f t="shared" si="280"/>
        <v>0.53928160919540225</v>
      </c>
    </row>
    <row r="3532" spans="2:23" ht="18" customHeight="1">
      <c r="B3532" s="12" t="s">
        <v>1862</v>
      </c>
      <c r="C3532" s="6" t="s">
        <v>7985</v>
      </c>
      <c r="D3532" s="15" t="s">
        <v>7984</v>
      </c>
      <c r="E3532" s="24"/>
      <c r="F3532" s="138"/>
      <c r="G3532" s="44" t="s">
        <v>1993</v>
      </c>
      <c r="H3532" s="8"/>
      <c r="I3532" s="41"/>
      <c r="J3532" s="45">
        <v>1</v>
      </c>
      <c r="K3532" s="46">
        <v>12</v>
      </c>
      <c r="L3532" s="46">
        <f>K3532*J3532</f>
        <v>12</v>
      </c>
      <c r="M3532" s="112"/>
      <c r="N3532" s="39">
        <v>45583</v>
      </c>
      <c r="O3532" s="38">
        <v>6554</v>
      </c>
      <c r="P3532" s="46">
        <f>K3532*(VLOOKUP(B3532,$C$2:$F$6,3,FALSE))</f>
        <v>12</v>
      </c>
      <c r="Q3532" s="483">
        <v>12</v>
      </c>
      <c r="R3532" s="704">
        <f>Q3532*J3532</f>
        <v>12</v>
      </c>
      <c r="S3532" s="489">
        <f>900</f>
        <v>900</v>
      </c>
      <c r="T3532" s="113">
        <f>S3532*J3532</f>
        <v>900</v>
      </c>
      <c r="U3532" s="511"/>
      <c r="V3532" s="494">
        <v>120</v>
      </c>
      <c r="W3532" s="2041">
        <f t="shared" si="280"/>
        <v>0.375</v>
      </c>
    </row>
    <row r="3533" spans="2:23" s="314" customFormat="1" ht="18" customHeight="1">
      <c r="B3533" s="313"/>
      <c r="C3533" s="302" t="s">
        <v>7985</v>
      </c>
      <c r="D3533" s="303" t="s">
        <v>7984</v>
      </c>
      <c r="E3533" s="304"/>
      <c r="F3533" s="305"/>
      <c r="G3533" s="305" t="s">
        <v>1227</v>
      </c>
      <c r="H3533" s="307" t="s">
        <v>1228</v>
      </c>
      <c r="I3533" s="308"/>
      <c r="J3533" s="306"/>
      <c r="K3533" s="315">
        <v>0</v>
      </c>
      <c r="L3533" s="310"/>
      <c r="M3533" s="310"/>
      <c r="N3533" s="310">
        <v>45583</v>
      </c>
      <c r="O3533" s="309">
        <v>6554</v>
      </c>
      <c r="P3533" s="302"/>
      <c r="Q3533" s="485">
        <v>0</v>
      </c>
      <c r="S3533" s="536">
        <v>0</v>
      </c>
      <c r="T3533" s="322">
        <v>0</v>
      </c>
      <c r="U3533" s="515"/>
      <c r="V3533" s="494">
        <v>120</v>
      </c>
      <c r="W3533" s="2041" t="e">
        <f t="shared" si="280"/>
        <v>#DIV/0!</v>
      </c>
    </row>
    <row r="3534" spans="2:23" s="7" customFormat="1" ht="15" customHeight="1">
      <c r="B3534" s="12"/>
      <c r="C3534" s="6" t="s">
        <v>7986</v>
      </c>
      <c r="D3534" s="15" t="s">
        <v>2899</v>
      </c>
      <c r="E3534" s="20" t="s">
        <v>628</v>
      </c>
      <c r="F3534" s="26"/>
      <c r="G3534" s="24"/>
      <c r="H3534" s="67"/>
      <c r="I3534" s="318"/>
      <c r="J3534" s="67"/>
      <c r="K3534" s="17" t="s">
        <v>134</v>
      </c>
      <c r="L3534" s="39"/>
      <c r="M3534" s="39"/>
      <c r="N3534" s="39">
        <v>45593</v>
      </c>
      <c r="O3534" s="38">
        <v>6579</v>
      </c>
      <c r="P3534" s="179" t="s">
        <v>23</v>
      </c>
      <c r="Q3534" s="438" t="s">
        <v>959</v>
      </c>
      <c r="R3534" s="704"/>
      <c r="S3534" s="489"/>
      <c r="T3534" s="113"/>
      <c r="U3534" s="510"/>
      <c r="V3534" s="494">
        <v>120</v>
      </c>
      <c r="W3534" s="2041" t="e">
        <f t="shared" si="280"/>
        <v>#VALUE!</v>
      </c>
    </row>
    <row r="3535" spans="2:23" s="7" customFormat="1" ht="18" customHeight="1">
      <c r="B3535" s="12" t="s">
        <v>1856</v>
      </c>
      <c r="C3535" s="6" t="s">
        <v>7986</v>
      </c>
      <c r="D3535" s="15" t="s">
        <v>2899</v>
      </c>
      <c r="E3535" s="24">
        <v>5291</v>
      </c>
      <c r="F3535" s="26">
        <v>6</v>
      </c>
      <c r="G3535" s="24" t="s">
        <v>499</v>
      </c>
      <c r="H3535" s="67">
        <v>50</v>
      </c>
      <c r="I3535" s="68">
        <v>7</v>
      </c>
      <c r="J3535" s="67">
        <f>H3535*I3535</f>
        <v>350</v>
      </c>
      <c r="K3535" s="46">
        <v>0.27</v>
      </c>
      <c r="L3535" s="46">
        <f>K3535*J3535</f>
        <v>94.5</v>
      </c>
      <c r="M3535" s="162" t="s">
        <v>2219</v>
      </c>
      <c r="N3535" s="39">
        <v>45593</v>
      </c>
      <c r="O3535" s="38">
        <v>6579</v>
      </c>
      <c r="P3535" s="180">
        <v>0.24</v>
      </c>
      <c r="Q3535" s="180">
        <v>0.24</v>
      </c>
      <c r="R3535" s="704">
        <f>Q3535*J3535</f>
        <v>84</v>
      </c>
      <c r="S3535" s="489">
        <v>14.6</v>
      </c>
      <c r="T3535" s="113">
        <f>S3535*J3535</f>
        <v>5110</v>
      </c>
      <c r="U3535" s="867"/>
      <c r="V3535" s="494">
        <v>120</v>
      </c>
      <c r="W3535" s="2041">
        <f t="shared" si="280"/>
        <v>0.54938271604938271</v>
      </c>
    </row>
    <row r="3536" spans="2:23" ht="18" customHeight="1">
      <c r="B3536" s="12" t="s">
        <v>1862</v>
      </c>
      <c r="C3536" s="6" t="s">
        <v>7986</v>
      </c>
      <c r="D3536" s="15" t="s">
        <v>2899</v>
      </c>
      <c r="E3536" s="24"/>
      <c r="F3536" s="138"/>
      <c r="G3536" s="44" t="s">
        <v>1993</v>
      </c>
      <c r="H3536" s="8"/>
      <c r="I3536" s="41"/>
      <c r="J3536" s="45">
        <v>1</v>
      </c>
      <c r="K3536" s="46">
        <v>12</v>
      </c>
      <c r="L3536" s="46">
        <f>K3536*J3536</f>
        <v>12</v>
      </c>
      <c r="M3536" s="112"/>
      <c r="N3536" s="39">
        <v>45593</v>
      </c>
      <c r="O3536" s="38">
        <v>6579</v>
      </c>
      <c r="P3536" s="46">
        <f>K3536*(VLOOKUP(B3536,$C$2:$F$6,3,FALSE))</f>
        <v>12</v>
      </c>
      <c r="Q3536" s="483">
        <v>12</v>
      </c>
      <c r="R3536" s="704">
        <f>Q3536*J3536</f>
        <v>12</v>
      </c>
      <c r="S3536" s="489">
        <v>850</v>
      </c>
      <c r="T3536" s="113">
        <f>S3536*J3536</f>
        <v>850</v>
      </c>
      <c r="U3536" s="511"/>
      <c r="V3536" s="494">
        <v>120</v>
      </c>
      <c r="W3536" s="2041">
        <f t="shared" si="280"/>
        <v>0.40972222222222221</v>
      </c>
    </row>
    <row r="3537" spans="2:24" s="314" customFormat="1" ht="18" customHeight="1">
      <c r="B3537" s="313"/>
      <c r="C3537" s="302" t="s">
        <v>7986</v>
      </c>
      <c r="D3537" s="303" t="s">
        <v>2899</v>
      </c>
      <c r="E3537" s="304"/>
      <c r="F3537" s="305"/>
      <c r="G3537" s="305" t="s">
        <v>1227</v>
      </c>
      <c r="H3537" s="307" t="s">
        <v>3438</v>
      </c>
      <c r="I3537" s="308"/>
      <c r="J3537" s="306"/>
      <c r="K3537" s="315">
        <v>70</v>
      </c>
      <c r="L3537" s="315">
        <v>70</v>
      </c>
      <c r="M3537" s="310"/>
      <c r="N3537" s="310">
        <v>45593</v>
      </c>
      <c r="O3537" s="309">
        <v>6579</v>
      </c>
      <c r="P3537" s="302"/>
      <c r="Q3537" s="315">
        <v>70</v>
      </c>
      <c r="R3537" s="315">
        <v>70</v>
      </c>
      <c r="S3537" s="2361">
        <v>5353</v>
      </c>
      <c r="T3537" s="2361">
        <v>5353</v>
      </c>
      <c r="U3537" s="515"/>
      <c r="V3537" s="494">
        <v>120</v>
      </c>
      <c r="W3537" s="2041">
        <f t="shared" si="280"/>
        <v>0.36273809523809525</v>
      </c>
    </row>
    <row r="3538" spans="2:24" s="7" customFormat="1" ht="15" customHeight="1">
      <c r="B3538" s="12"/>
      <c r="C3538" s="6" t="s">
        <v>8001</v>
      </c>
      <c r="D3538" s="15" t="s">
        <v>7987</v>
      </c>
      <c r="E3538" s="20" t="s">
        <v>6633</v>
      </c>
      <c r="F3538" s="26"/>
      <c r="G3538" s="24"/>
      <c r="H3538" s="67"/>
      <c r="I3538" s="68"/>
      <c r="J3538" s="67"/>
      <c r="K3538" s="17" t="s">
        <v>140</v>
      </c>
      <c r="L3538" s="39"/>
      <c r="M3538" s="39"/>
      <c r="N3538" s="39">
        <v>45588</v>
      </c>
      <c r="O3538" s="38">
        <v>6576</v>
      </c>
      <c r="P3538" s="179" t="s">
        <v>23</v>
      </c>
      <c r="Q3538" s="438" t="s">
        <v>959</v>
      </c>
      <c r="R3538" s="704"/>
      <c r="S3538" s="707"/>
      <c r="T3538" s="113"/>
      <c r="U3538" s="2068"/>
      <c r="V3538" s="494">
        <v>120</v>
      </c>
      <c r="W3538" s="2041" t="e">
        <f t="shared" si="280"/>
        <v>#VALUE!</v>
      </c>
    </row>
    <row r="3539" spans="2:24" s="7" customFormat="1" ht="18" customHeight="1">
      <c r="B3539" s="12" t="s">
        <v>1862</v>
      </c>
      <c r="C3539" s="6" t="s">
        <v>8001</v>
      </c>
      <c r="D3539" s="15" t="s">
        <v>7987</v>
      </c>
      <c r="E3539" s="24">
        <v>5610</v>
      </c>
      <c r="F3539" s="138"/>
      <c r="G3539" s="44"/>
      <c r="H3539" s="8"/>
      <c r="I3539" s="68"/>
      <c r="J3539" s="45">
        <v>1</v>
      </c>
      <c r="K3539" s="46">
        <v>10</v>
      </c>
      <c r="L3539" s="46">
        <f t="shared" ref="L3539:L3547" si="281">K3539*J3539</f>
        <v>10</v>
      </c>
      <c r="M3539" s="162" t="s">
        <v>2219</v>
      </c>
      <c r="N3539" s="39">
        <v>45588</v>
      </c>
      <c r="O3539" s="38">
        <v>6576</v>
      </c>
      <c r="P3539" s="46">
        <f t="shared" ref="P3539:P3547" si="282">K3539*(VLOOKUP(B3539,$C$2:$F$6,3,FALSE))</f>
        <v>10</v>
      </c>
      <c r="Q3539" s="180">
        <v>10</v>
      </c>
      <c r="R3539" s="704">
        <f t="shared" ref="R3539:R3547" si="283">Q3539*J3539</f>
        <v>10</v>
      </c>
      <c r="S3539" s="498">
        <v>0</v>
      </c>
      <c r="T3539" s="568">
        <f t="shared" ref="T3539:T3547" si="284">S3539*J3539</f>
        <v>0</v>
      </c>
      <c r="U3539" s="511"/>
      <c r="V3539" s="494">
        <v>120</v>
      </c>
      <c r="W3539" s="2041">
        <f t="shared" si="280"/>
        <v>1</v>
      </c>
      <c r="X3539" s="1"/>
    </row>
    <row r="3540" spans="2:24" s="7" customFormat="1" ht="18" customHeight="1">
      <c r="B3540" s="12" t="s">
        <v>1862</v>
      </c>
      <c r="C3540" s="6" t="s">
        <v>8001</v>
      </c>
      <c r="D3540" s="15" t="s">
        <v>7987</v>
      </c>
      <c r="E3540" s="24">
        <v>3846</v>
      </c>
      <c r="F3540" s="138"/>
      <c r="G3540" s="44"/>
      <c r="H3540" s="8"/>
      <c r="I3540" s="68"/>
      <c r="J3540" s="45">
        <v>1</v>
      </c>
      <c r="K3540" s="46">
        <v>10</v>
      </c>
      <c r="L3540" s="46">
        <f t="shared" si="281"/>
        <v>10</v>
      </c>
      <c r="M3540" s="162" t="s">
        <v>2219</v>
      </c>
      <c r="N3540" s="39">
        <v>45588</v>
      </c>
      <c r="O3540" s="38">
        <v>6576</v>
      </c>
      <c r="P3540" s="46">
        <f t="shared" si="282"/>
        <v>10</v>
      </c>
      <c r="Q3540" s="180">
        <v>10</v>
      </c>
      <c r="R3540" s="704">
        <f t="shared" si="283"/>
        <v>10</v>
      </c>
      <c r="S3540" s="498">
        <v>0</v>
      </c>
      <c r="T3540" s="568">
        <f t="shared" si="284"/>
        <v>0</v>
      </c>
      <c r="U3540" s="511"/>
      <c r="V3540" s="494">
        <v>120</v>
      </c>
      <c r="W3540" s="2041">
        <f t="shared" si="280"/>
        <v>1</v>
      </c>
      <c r="X3540" s="1"/>
    </row>
    <row r="3541" spans="2:24" s="7" customFormat="1" ht="18" customHeight="1">
      <c r="B3541" s="12" t="s">
        <v>1862</v>
      </c>
      <c r="C3541" s="6" t="s">
        <v>8001</v>
      </c>
      <c r="D3541" s="15" t="s">
        <v>7987</v>
      </c>
      <c r="E3541" s="24">
        <v>12701</v>
      </c>
      <c r="F3541" s="138"/>
      <c r="G3541" s="44"/>
      <c r="H3541" s="8"/>
      <c r="I3541" s="68"/>
      <c r="J3541" s="45">
        <v>1</v>
      </c>
      <c r="K3541" s="46">
        <v>10</v>
      </c>
      <c r="L3541" s="46">
        <f t="shared" si="281"/>
        <v>10</v>
      </c>
      <c r="M3541" s="162" t="s">
        <v>2219</v>
      </c>
      <c r="N3541" s="39">
        <v>45588</v>
      </c>
      <c r="O3541" s="38">
        <v>6576</v>
      </c>
      <c r="P3541" s="46">
        <f t="shared" si="282"/>
        <v>10</v>
      </c>
      <c r="Q3541" s="180">
        <v>10</v>
      </c>
      <c r="R3541" s="704">
        <f t="shared" si="283"/>
        <v>10</v>
      </c>
      <c r="S3541" s="498">
        <v>0</v>
      </c>
      <c r="T3541" s="568">
        <f t="shared" si="284"/>
        <v>0</v>
      </c>
      <c r="U3541" s="511"/>
      <c r="V3541" s="494">
        <v>120</v>
      </c>
      <c r="W3541" s="2041">
        <f t="shared" si="280"/>
        <v>1</v>
      </c>
      <c r="X3541" s="1"/>
    </row>
    <row r="3542" spans="2:24" s="7" customFormat="1" ht="18" customHeight="1">
      <c r="B3542" s="12" t="s">
        <v>1862</v>
      </c>
      <c r="C3542" s="6" t="s">
        <v>8001</v>
      </c>
      <c r="D3542" s="15" t="s">
        <v>7987</v>
      </c>
      <c r="E3542" s="24" t="s">
        <v>7988</v>
      </c>
      <c r="F3542" s="138"/>
      <c r="G3542" s="44"/>
      <c r="H3542" s="8"/>
      <c r="I3542" s="68"/>
      <c r="J3542" s="45">
        <v>1</v>
      </c>
      <c r="K3542" s="46">
        <v>10</v>
      </c>
      <c r="L3542" s="46">
        <f t="shared" si="281"/>
        <v>10</v>
      </c>
      <c r="M3542" s="162" t="s">
        <v>2219</v>
      </c>
      <c r="N3542" s="39">
        <v>45588</v>
      </c>
      <c r="O3542" s="38">
        <v>6576</v>
      </c>
      <c r="P3542" s="46">
        <f t="shared" si="282"/>
        <v>10</v>
      </c>
      <c r="Q3542" s="180">
        <v>10</v>
      </c>
      <c r="R3542" s="704">
        <f t="shared" si="283"/>
        <v>10</v>
      </c>
      <c r="S3542" s="498">
        <v>0</v>
      </c>
      <c r="T3542" s="568">
        <f t="shared" si="284"/>
        <v>0</v>
      </c>
      <c r="U3542" s="511"/>
      <c r="V3542" s="494">
        <v>120</v>
      </c>
      <c r="W3542" s="2041">
        <f t="shared" si="280"/>
        <v>1</v>
      </c>
      <c r="X3542" s="1"/>
    </row>
    <row r="3543" spans="2:24" s="7" customFormat="1" ht="18" customHeight="1">
      <c r="B3543" s="12" t="s">
        <v>1862</v>
      </c>
      <c r="C3543" s="6" t="s">
        <v>8001</v>
      </c>
      <c r="D3543" s="15" t="s">
        <v>7987</v>
      </c>
      <c r="E3543" s="20" t="s">
        <v>7752</v>
      </c>
      <c r="F3543" s="2409"/>
      <c r="G3543" s="44"/>
      <c r="H3543" s="8"/>
      <c r="I3543" s="68"/>
      <c r="J3543" s="45">
        <v>1</v>
      </c>
      <c r="K3543" s="46">
        <v>10</v>
      </c>
      <c r="L3543" s="46">
        <f t="shared" si="281"/>
        <v>10</v>
      </c>
      <c r="M3543" s="162" t="s">
        <v>2219</v>
      </c>
      <c r="N3543" s="39">
        <v>45588</v>
      </c>
      <c r="O3543" s="38">
        <v>6576</v>
      </c>
      <c r="P3543" s="46">
        <f t="shared" si="282"/>
        <v>10</v>
      </c>
      <c r="Q3543" s="180">
        <v>10</v>
      </c>
      <c r="R3543" s="704">
        <f t="shared" si="283"/>
        <v>10</v>
      </c>
      <c r="S3543" s="498">
        <v>500</v>
      </c>
      <c r="T3543" s="568">
        <f t="shared" si="284"/>
        <v>500</v>
      </c>
      <c r="U3543" s="511"/>
      <c r="V3543" s="494">
        <v>120</v>
      </c>
      <c r="W3543" s="2041">
        <f t="shared" si="280"/>
        <v>0.58333333333333337</v>
      </c>
      <c r="X3543" s="1"/>
    </row>
    <row r="3544" spans="2:24" s="7" customFormat="1" ht="18" customHeight="1">
      <c r="B3544" s="12"/>
      <c r="C3544" s="6" t="s">
        <v>8001</v>
      </c>
      <c r="D3544" s="15" t="s">
        <v>7987</v>
      </c>
      <c r="E3544" s="20" t="s">
        <v>7990</v>
      </c>
      <c r="F3544" s="2409"/>
      <c r="G3544" s="44"/>
      <c r="H3544" s="8"/>
      <c r="I3544" s="68"/>
      <c r="J3544" s="45">
        <v>1</v>
      </c>
      <c r="K3544" s="46">
        <v>5</v>
      </c>
      <c r="L3544" s="46">
        <f t="shared" si="281"/>
        <v>5</v>
      </c>
      <c r="M3544" s="162" t="s">
        <v>2219</v>
      </c>
      <c r="N3544" s="39">
        <v>45588</v>
      </c>
      <c r="O3544" s="38">
        <v>6576</v>
      </c>
      <c r="P3544" s="46" t="e">
        <f t="shared" si="282"/>
        <v>#N/A</v>
      </c>
      <c r="Q3544" s="180">
        <v>5</v>
      </c>
      <c r="R3544" s="704">
        <f t="shared" si="283"/>
        <v>5</v>
      </c>
      <c r="S3544" s="498">
        <v>100</v>
      </c>
      <c r="T3544" s="568">
        <f t="shared" si="284"/>
        <v>100</v>
      </c>
      <c r="U3544" s="511"/>
      <c r="V3544" s="494">
        <v>120</v>
      </c>
      <c r="W3544" s="2041">
        <f t="shared" si="280"/>
        <v>0.83333333333333337</v>
      </c>
      <c r="X3544" s="1"/>
    </row>
    <row r="3545" spans="2:24" s="7" customFormat="1" ht="18" customHeight="1">
      <c r="B3545" s="12"/>
      <c r="C3545" s="6" t="s">
        <v>8001</v>
      </c>
      <c r="D3545" s="15" t="s">
        <v>7987</v>
      </c>
      <c r="E3545" s="20" t="s">
        <v>7989</v>
      </c>
      <c r="F3545" s="2409"/>
      <c r="G3545" s="44"/>
      <c r="H3545" s="8"/>
      <c r="I3545" s="68"/>
      <c r="J3545" s="45">
        <v>1</v>
      </c>
      <c r="K3545" s="46">
        <v>5</v>
      </c>
      <c r="L3545" s="46">
        <f t="shared" si="281"/>
        <v>5</v>
      </c>
      <c r="M3545" s="162" t="s">
        <v>2219</v>
      </c>
      <c r="N3545" s="39">
        <v>45588</v>
      </c>
      <c r="O3545" s="38">
        <v>6576</v>
      </c>
      <c r="P3545" s="46" t="e">
        <f t="shared" si="282"/>
        <v>#N/A</v>
      </c>
      <c r="Q3545" s="180">
        <v>5</v>
      </c>
      <c r="R3545" s="704">
        <f t="shared" si="283"/>
        <v>5</v>
      </c>
      <c r="S3545" s="498">
        <v>200</v>
      </c>
      <c r="T3545" s="568">
        <f t="shared" si="284"/>
        <v>200</v>
      </c>
      <c r="U3545" s="511"/>
      <c r="V3545" s="494">
        <v>120</v>
      </c>
      <c r="W3545" s="2041">
        <f t="shared" si="280"/>
        <v>0.66666666666666663</v>
      </c>
      <c r="X3545" s="1"/>
    </row>
    <row r="3546" spans="2:24" s="7" customFormat="1" ht="18" customHeight="1">
      <c r="B3546" s="12"/>
      <c r="C3546" s="6" t="s">
        <v>8001</v>
      </c>
      <c r="D3546" s="15" t="s">
        <v>7987</v>
      </c>
      <c r="E3546" s="20" t="s">
        <v>7991</v>
      </c>
      <c r="F3546" s="2409"/>
      <c r="G3546" s="44"/>
      <c r="H3546" s="8"/>
      <c r="I3546" s="68"/>
      <c r="J3546" s="45">
        <v>1</v>
      </c>
      <c r="K3546" s="46">
        <v>5</v>
      </c>
      <c r="L3546" s="46">
        <f t="shared" si="281"/>
        <v>5</v>
      </c>
      <c r="M3546" s="162" t="s">
        <v>2219</v>
      </c>
      <c r="N3546" s="39">
        <v>45588</v>
      </c>
      <c r="O3546" s="38">
        <v>6576</v>
      </c>
      <c r="P3546" s="46" t="e">
        <f t="shared" si="282"/>
        <v>#N/A</v>
      </c>
      <c r="Q3546" s="180">
        <v>5</v>
      </c>
      <c r="R3546" s="704">
        <f t="shared" si="283"/>
        <v>5</v>
      </c>
      <c r="S3546" s="498">
        <v>100</v>
      </c>
      <c r="T3546" s="568">
        <f t="shared" si="284"/>
        <v>100</v>
      </c>
      <c r="U3546" s="511"/>
      <c r="V3546" s="494">
        <v>120</v>
      </c>
      <c r="W3546" s="2041">
        <f t="shared" si="280"/>
        <v>0.83333333333333337</v>
      </c>
      <c r="X3546" s="1"/>
    </row>
    <row r="3547" spans="2:24" s="217" customFormat="1" ht="18" customHeight="1">
      <c r="B3547" s="541" t="s">
        <v>1862</v>
      </c>
      <c r="C3547" s="6" t="s">
        <v>8001</v>
      </c>
      <c r="D3547" s="109" t="s">
        <v>7987</v>
      </c>
      <c r="E3547" s="228"/>
      <c r="F3547" s="160"/>
      <c r="G3547" s="42" t="s">
        <v>1993</v>
      </c>
      <c r="H3547" s="214"/>
      <c r="I3547" s="215"/>
      <c r="J3547" s="43">
        <v>1</v>
      </c>
      <c r="K3547" s="229">
        <v>0</v>
      </c>
      <c r="L3547" s="229">
        <f t="shared" si="281"/>
        <v>0</v>
      </c>
      <c r="M3547" s="969"/>
      <c r="N3547" s="39">
        <v>45588</v>
      </c>
      <c r="O3547" s="38">
        <v>6576</v>
      </c>
      <c r="P3547" s="229">
        <f t="shared" si="282"/>
        <v>0</v>
      </c>
      <c r="Q3547" s="525">
        <v>0</v>
      </c>
      <c r="R3547" s="973">
        <f t="shared" si="283"/>
        <v>0</v>
      </c>
      <c r="S3547" s="489">
        <v>650</v>
      </c>
      <c r="T3547" s="113">
        <f t="shared" si="284"/>
        <v>650</v>
      </c>
      <c r="U3547" s="667"/>
      <c r="V3547" s="547">
        <v>120</v>
      </c>
      <c r="W3547" s="2051" t="e">
        <f t="shared" si="280"/>
        <v>#DIV/0!</v>
      </c>
    </row>
    <row r="3548" spans="2:24" s="314" customFormat="1" ht="18.75">
      <c r="B3548" s="313"/>
      <c r="C3548" s="302" t="s">
        <v>8001</v>
      </c>
      <c r="D3548" s="303" t="s">
        <v>7987</v>
      </c>
      <c r="E3548" s="371"/>
      <c r="F3548" s="305"/>
      <c r="G3548" s="2049" t="s">
        <v>1227</v>
      </c>
      <c r="H3548" s="307" t="s">
        <v>3438</v>
      </c>
      <c r="I3548" s="308"/>
      <c r="J3548" s="306"/>
      <c r="K3548" s="315">
        <v>30</v>
      </c>
      <c r="L3548" s="315">
        <v>30</v>
      </c>
      <c r="M3548" s="310"/>
      <c r="N3548" s="310">
        <v>45588</v>
      </c>
      <c r="O3548" s="309">
        <v>6576</v>
      </c>
      <c r="P3548" s="302"/>
      <c r="Q3548" s="315">
        <v>30</v>
      </c>
      <c r="R3548" s="315">
        <v>30</v>
      </c>
      <c r="S3548" s="2361">
        <v>2709</v>
      </c>
      <c r="T3548" s="2361">
        <v>2709</v>
      </c>
      <c r="U3548" s="515"/>
      <c r="V3548" s="494">
        <v>120</v>
      </c>
      <c r="W3548" s="2041">
        <f t="shared" si="280"/>
        <v>0.2475</v>
      </c>
    </row>
    <row r="3549" spans="2:24" s="7" customFormat="1" ht="15" customHeight="1">
      <c r="B3549" s="12"/>
      <c r="C3549" s="6" t="s">
        <v>7992</v>
      </c>
      <c r="D3549" s="15" t="s">
        <v>3120</v>
      </c>
      <c r="E3549" s="20" t="s">
        <v>628</v>
      </c>
      <c r="F3549" s="26"/>
      <c r="G3549" s="24"/>
      <c r="H3549" s="67"/>
      <c r="I3549" s="318"/>
      <c r="J3549" s="67"/>
      <c r="K3549" s="17" t="s">
        <v>134</v>
      </c>
      <c r="L3549" s="39"/>
      <c r="M3549" s="39"/>
      <c r="N3549" s="39">
        <v>45588</v>
      </c>
      <c r="O3549" s="38">
        <v>6566</v>
      </c>
      <c r="P3549" s="179" t="s">
        <v>23</v>
      </c>
      <c r="Q3549" s="438" t="s">
        <v>959</v>
      </c>
      <c r="R3549" s="704"/>
      <c r="S3549" s="489"/>
      <c r="T3549" s="113"/>
      <c r="U3549" s="510"/>
      <c r="V3549" s="494">
        <v>120</v>
      </c>
      <c r="W3549" s="2041" t="e">
        <f t="shared" si="280"/>
        <v>#VALUE!</v>
      </c>
    </row>
    <row r="3550" spans="2:24" s="7" customFormat="1" ht="18" customHeight="1">
      <c r="B3550" s="12" t="s">
        <v>1856</v>
      </c>
      <c r="C3550" s="6" t="s">
        <v>7992</v>
      </c>
      <c r="D3550" s="15" t="s">
        <v>3120</v>
      </c>
      <c r="E3550" s="24">
        <v>5291</v>
      </c>
      <c r="F3550" s="26">
        <v>4</v>
      </c>
      <c r="G3550" s="24" t="s">
        <v>29</v>
      </c>
      <c r="H3550" s="67">
        <v>50</v>
      </c>
      <c r="I3550" s="68">
        <v>14</v>
      </c>
      <c r="J3550" s="67">
        <f>H3550*I3550</f>
        <v>700</v>
      </c>
      <c r="K3550" s="46">
        <v>0.15</v>
      </c>
      <c r="L3550" s="46">
        <f>K3550*J3550</f>
        <v>105</v>
      </c>
      <c r="M3550" s="162" t="s">
        <v>2219</v>
      </c>
      <c r="N3550" s="39">
        <v>45588</v>
      </c>
      <c r="O3550" s="38">
        <v>6566</v>
      </c>
      <c r="P3550" s="46">
        <f>K3550*(VLOOKUP(B3550,$C$2:$F$6,3,FALSE))</f>
        <v>0.13200000000000001</v>
      </c>
      <c r="Q3550" s="180">
        <v>0.13</v>
      </c>
      <c r="R3550" s="704">
        <f>Q3550*J3550</f>
        <v>91</v>
      </c>
      <c r="S3550" s="489">
        <v>7.7</v>
      </c>
      <c r="T3550" s="113">
        <f>S3550*J3550</f>
        <v>5390</v>
      </c>
      <c r="U3550" s="867"/>
      <c r="V3550" s="494">
        <v>120</v>
      </c>
      <c r="W3550" s="2041">
        <f t="shared" si="280"/>
        <v>0.5722222222222223</v>
      </c>
    </row>
    <row r="3551" spans="2:24" ht="18" customHeight="1">
      <c r="B3551" s="12" t="s">
        <v>1862</v>
      </c>
      <c r="C3551" s="6" t="s">
        <v>7992</v>
      </c>
      <c r="D3551" s="15" t="s">
        <v>3120</v>
      </c>
      <c r="E3551" s="24"/>
      <c r="F3551" s="138"/>
      <c r="G3551" s="44" t="s">
        <v>1993</v>
      </c>
      <c r="H3551" s="8"/>
      <c r="I3551" s="41"/>
      <c r="J3551" s="45">
        <v>1</v>
      </c>
      <c r="K3551" s="46">
        <v>12</v>
      </c>
      <c r="L3551" s="46">
        <f>K3551*J3551</f>
        <v>12</v>
      </c>
      <c r="M3551" s="112"/>
      <c r="N3551" s="39">
        <v>45588</v>
      </c>
      <c r="O3551" s="38">
        <v>6566</v>
      </c>
      <c r="P3551" s="46">
        <f>K3551*(VLOOKUP(B3551,$C$2:$F$6,3,FALSE))</f>
        <v>12</v>
      </c>
      <c r="Q3551" s="483">
        <v>12</v>
      </c>
      <c r="R3551" s="704">
        <f>Q3551*J3551</f>
        <v>12</v>
      </c>
      <c r="S3551" s="489">
        <v>850</v>
      </c>
      <c r="T3551" s="489">
        <v>850</v>
      </c>
      <c r="U3551" s="511"/>
      <c r="V3551" s="494">
        <v>120</v>
      </c>
      <c r="W3551" s="2041">
        <f t="shared" si="280"/>
        <v>0.40972222222222221</v>
      </c>
    </row>
    <row r="3552" spans="2:24" s="314" customFormat="1" ht="18" customHeight="1">
      <c r="B3552" s="313"/>
      <c r="C3552" s="302" t="s">
        <v>7992</v>
      </c>
      <c r="D3552" s="303" t="s">
        <v>3120</v>
      </c>
      <c r="E3552" s="304"/>
      <c r="F3552" s="305"/>
      <c r="G3552" s="305" t="s">
        <v>1227</v>
      </c>
      <c r="H3552" s="307" t="s">
        <v>1228</v>
      </c>
      <c r="I3552" s="308"/>
      <c r="J3552" s="306"/>
      <c r="K3552" s="315">
        <v>0</v>
      </c>
      <c r="L3552" s="310"/>
      <c r="M3552" s="310"/>
      <c r="N3552" s="310">
        <v>45588</v>
      </c>
      <c r="O3552" s="309">
        <v>6566</v>
      </c>
      <c r="P3552" s="302"/>
      <c r="Q3552" s="485">
        <v>0</v>
      </c>
      <c r="S3552" s="536">
        <v>0</v>
      </c>
      <c r="T3552" s="322">
        <v>0</v>
      </c>
      <c r="U3552" s="515"/>
      <c r="V3552" s="494">
        <v>120</v>
      </c>
      <c r="W3552" s="2041" t="e">
        <f t="shared" si="280"/>
        <v>#DIV/0!</v>
      </c>
    </row>
    <row r="3553" spans="1:23" s="7" customFormat="1" ht="15" customHeight="1">
      <c r="A3553" s="1"/>
      <c r="B3553" s="12"/>
      <c r="C3553" s="6" t="s">
        <v>7995</v>
      </c>
      <c r="D3553" s="15" t="s">
        <v>7994</v>
      </c>
      <c r="E3553" s="20" t="s">
        <v>7915</v>
      </c>
      <c r="F3553" s="26"/>
      <c r="G3553" s="24"/>
      <c r="H3553" s="67"/>
      <c r="I3553" s="68"/>
      <c r="J3553" s="67"/>
      <c r="K3553" s="17" t="s">
        <v>10</v>
      </c>
      <c r="L3553" s="39"/>
      <c r="M3553" s="39"/>
      <c r="N3553" s="39">
        <v>45587</v>
      </c>
      <c r="O3553" s="38">
        <v>6565</v>
      </c>
      <c r="P3553" s="180" t="e">
        <f>K3553*(VLOOKUP(B3553,$C$2:$F$6,3,FALSE))</f>
        <v>#VALUE!</v>
      </c>
      <c r="Q3553" s="483"/>
      <c r="R3553" s="704"/>
      <c r="S3553" s="489"/>
      <c r="T3553" s="113">
        <f>S3553*J3553</f>
        <v>0</v>
      </c>
      <c r="U3553" s="517"/>
      <c r="V3553" s="494">
        <v>120</v>
      </c>
      <c r="W3553" s="2041" t="e">
        <f t="shared" si="280"/>
        <v>#VALUE!</v>
      </c>
    </row>
    <row r="3554" spans="1:23" s="7" customFormat="1" ht="15.75" customHeight="1">
      <c r="A3554" s="1"/>
      <c r="B3554" s="12" t="s">
        <v>1856</v>
      </c>
      <c r="C3554" s="6" t="s">
        <v>7995</v>
      </c>
      <c r="D3554" s="15" t="s">
        <v>7994</v>
      </c>
      <c r="E3554" s="24" t="s">
        <v>7993</v>
      </c>
      <c r="F3554" s="26"/>
      <c r="G3554" s="24" t="s">
        <v>78</v>
      </c>
      <c r="H3554" s="151"/>
      <c r="I3554" s="41"/>
      <c r="J3554" s="67">
        <v>10</v>
      </c>
      <c r="K3554" s="25">
        <v>1.42</v>
      </c>
      <c r="L3554" s="46">
        <f>K3554*J3554</f>
        <v>14.2</v>
      </c>
      <c r="M3554" s="162" t="s">
        <v>2219</v>
      </c>
      <c r="N3554" s="39">
        <v>45587</v>
      </c>
      <c r="O3554" s="38">
        <v>6565</v>
      </c>
      <c r="P3554" s="180">
        <f>K3554*(VLOOKUP(B3554,$C$2:$F$6,3,FALSE))</f>
        <v>1.2496</v>
      </c>
      <c r="Q3554" s="483">
        <v>1.25</v>
      </c>
      <c r="R3554" s="704">
        <f>Q3554*J3554</f>
        <v>12.5</v>
      </c>
      <c r="S3554" s="489">
        <v>102</v>
      </c>
      <c r="T3554" s="113">
        <f>S3554*J3554</f>
        <v>1020</v>
      </c>
      <c r="U3554" s="517"/>
      <c r="V3554" s="494">
        <v>120</v>
      </c>
      <c r="W3554" s="2041">
        <f t="shared" si="280"/>
        <v>0.40140845070422526</v>
      </c>
    </row>
    <row r="3555" spans="1:23" ht="18" customHeight="1">
      <c r="B3555" s="12" t="s">
        <v>1862</v>
      </c>
      <c r="C3555" s="6" t="s">
        <v>7995</v>
      </c>
      <c r="D3555" s="15" t="s">
        <v>7994</v>
      </c>
      <c r="E3555" s="24"/>
      <c r="F3555" s="138"/>
      <c r="G3555" s="44" t="s">
        <v>1993</v>
      </c>
      <c r="H3555" s="8"/>
      <c r="I3555" s="41"/>
      <c r="J3555" s="45">
        <v>1</v>
      </c>
      <c r="K3555" s="46">
        <v>12</v>
      </c>
      <c r="L3555" s="46">
        <f>K3555*J3555</f>
        <v>12</v>
      </c>
      <c r="M3555" s="112"/>
      <c r="N3555" s="39">
        <v>45587</v>
      </c>
      <c r="O3555" s="38">
        <v>6565</v>
      </c>
      <c r="P3555" s="46">
        <f>K3555*(VLOOKUP(B3555,$C$2:$F$6,3,FALSE))</f>
        <v>12</v>
      </c>
      <c r="Q3555" s="483">
        <v>12</v>
      </c>
      <c r="R3555" s="704">
        <f>Q3555*J3555</f>
        <v>12</v>
      </c>
      <c r="S3555" s="489">
        <v>0</v>
      </c>
      <c r="T3555" s="113">
        <f>S3555*J3555</f>
        <v>0</v>
      </c>
      <c r="U3555" s="511"/>
      <c r="V3555" s="494">
        <v>120</v>
      </c>
      <c r="W3555" s="2041">
        <f t="shared" si="280"/>
        <v>1</v>
      </c>
    </row>
    <row r="3556" spans="1:23" s="314" customFormat="1" ht="18.75">
      <c r="A3556" s="1"/>
      <c r="B3556" s="313"/>
      <c r="C3556" s="302" t="s">
        <v>7995</v>
      </c>
      <c r="D3556" s="303" t="s">
        <v>7994</v>
      </c>
      <c r="E3556" s="304"/>
      <c r="F3556" s="305"/>
      <c r="G3556" s="305" t="s">
        <v>1227</v>
      </c>
      <c r="H3556" s="307" t="s">
        <v>3438</v>
      </c>
      <c r="I3556" s="308"/>
      <c r="J3556" s="306"/>
      <c r="K3556" s="329">
        <v>15</v>
      </c>
      <c r="L3556" s="329">
        <v>15</v>
      </c>
      <c r="M3556" s="310"/>
      <c r="N3556" s="310">
        <v>45587</v>
      </c>
      <c r="O3556" s="309">
        <v>6565</v>
      </c>
      <c r="P3556" s="302"/>
      <c r="Q3556" s="329">
        <v>15</v>
      </c>
      <c r="R3556" s="329">
        <v>15</v>
      </c>
      <c r="S3556" s="2361">
        <v>1407</v>
      </c>
      <c r="T3556" s="2361">
        <v>1407</v>
      </c>
      <c r="U3556" s="515"/>
      <c r="V3556" s="494">
        <v>120</v>
      </c>
      <c r="W3556" s="2041">
        <f t="shared" si="280"/>
        <v>0.21833333333333332</v>
      </c>
    </row>
    <row r="3557" spans="1:23" ht="18" customHeight="1">
      <c r="C3557" s="6" t="s">
        <v>8085</v>
      </c>
      <c r="D3557" s="15" t="s">
        <v>8084</v>
      </c>
      <c r="E3557" s="20" t="s">
        <v>7143</v>
      </c>
      <c r="F3557" s="44"/>
      <c r="G3557" s="44"/>
      <c r="H3557" s="151"/>
      <c r="I3557" s="151"/>
      <c r="J3557" s="151"/>
      <c r="K3557" s="34" t="s">
        <v>134</v>
      </c>
      <c r="L3557" s="39"/>
      <c r="M3557" s="39"/>
      <c r="N3557" s="39">
        <v>45604</v>
      </c>
      <c r="O3557" s="38">
        <v>6604</v>
      </c>
      <c r="P3557" s="6"/>
      <c r="Q3557" s="524"/>
      <c r="S3557" s="707"/>
      <c r="T3557" s="113"/>
      <c r="U3557" s="706"/>
      <c r="V3557" s="494">
        <v>120</v>
      </c>
      <c r="W3557" s="2041" t="e">
        <f t="shared" si="280"/>
        <v>#VALUE!</v>
      </c>
    </row>
    <row r="3558" spans="1:23" ht="18" customHeight="1">
      <c r="B3558" s="28" t="s">
        <v>1856</v>
      </c>
      <c r="C3558" s="6" t="s">
        <v>8085</v>
      </c>
      <c r="D3558" s="15" t="s">
        <v>8084</v>
      </c>
      <c r="E3558" s="24" t="s">
        <v>7071</v>
      </c>
      <c r="F3558" s="44">
        <v>25</v>
      </c>
      <c r="G3558" s="407" t="s">
        <v>7145</v>
      </c>
      <c r="H3558" s="151">
        <v>30</v>
      </c>
      <c r="I3558" s="152">
        <v>8</v>
      </c>
      <c r="J3558" s="67">
        <f>H3558*I3558</f>
        <v>240</v>
      </c>
      <c r="K3558" s="46">
        <v>0.73</v>
      </c>
      <c r="L3558" s="46">
        <f>K3558*J3558</f>
        <v>175.2</v>
      </c>
      <c r="M3558" s="162" t="s">
        <v>2219</v>
      </c>
      <c r="N3558" s="39">
        <v>45604</v>
      </c>
      <c r="O3558" s="38">
        <v>6604</v>
      </c>
      <c r="P3558" s="46">
        <v>0.34</v>
      </c>
      <c r="Q3558" s="482">
        <v>0.34</v>
      </c>
      <c r="R3558" s="704">
        <f>Q3558*J3558</f>
        <v>81.600000000000009</v>
      </c>
      <c r="S3558" s="489">
        <v>27.84</v>
      </c>
      <c r="T3558" s="113">
        <f>S3558*J3558</f>
        <v>6681.6</v>
      </c>
      <c r="U3558" s="1200"/>
      <c r="V3558" s="494">
        <v>120</v>
      </c>
      <c r="W3558" s="2041">
        <f t="shared" si="280"/>
        <v>0.68219178082191778</v>
      </c>
    </row>
    <row r="3559" spans="1:23" ht="15.95" customHeight="1">
      <c r="B3559" s="12" t="s">
        <v>1862</v>
      </c>
      <c r="C3559" s="6" t="s">
        <v>8085</v>
      </c>
      <c r="D3559" s="15" t="s">
        <v>8084</v>
      </c>
      <c r="E3559" s="24"/>
      <c r="F3559" s="138"/>
      <c r="G3559" s="44" t="s">
        <v>1993</v>
      </c>
      <c r="H3559" s="8"/>
      <c r="I3559" s="41"/>
      <c r="J3559" s="45">
        <v>1</v>
      </c>
      <c r="K3559" s="46">
        <v>12</v>
      </c>
      <c r="L3559" s="46">
        <f>K3559*J3559</f>
        <v>12</v>
      </c>
      <c r="M3559" s="112"/>
      <c r="N3559" s="39">
        <v>45604</v>
      </c>
      <c r="O3559" s="38">
        <v>6604</v>
      </c>
      <c r="P3559" s="46">
        <f>K3559*(VLOOKUP(B3559,$C$2:$F$6,3,FALSE))</f>
        <v>12</v>
      </c>
      <c r="Q3559" s="483">
        <v>12</v>
      </c>
      <c r="R3559" s="704">
        <v>12</v>
      </c>
      <c r="S3559" s="489">
        <v>0</v>
      </c>
      <c r="T3559" s="113">
        <f>S3559*J3559</f>
        <v>0</v>
      </c>
      <c r="U3559" s="511"/>
      <c r="V3559" s="494">
        <v>120</v>
      </c>
      <c r="W3559" s="2041">
        <f t="shared" si="280"/>
        <v>1</v>
      </c>
    </row>
    <row r="3560" spans="1:23" s="314" customFormat="1" ht="15">
      <c r="B3560" s="313"/>
      <c r="C3560" s="302" t="s">
        <v>8085</v>
      </c>
      <c r="D3560" s="303" t="s">
        <v>8084</v>
      </c>
      <c r="E3560" s="304"/>
      <c r="F3560" s="305"/>
      <c r="G3560" s="305" t="s">
        <v>1227</v>
      </c>
      <c r="H3560" s="307" t="s">
        <v>3438</v>
      </c>
      <c r="I3560" s="308"/>
      <c r="J3560" s="306">
        <v>210</v>
      </c>
      <c r="K3560" s="315">
        <f>0.34*J3560</f>
        <v>71.400000000000006</v>
      </c>
      <c r="L3560" s="315"/>
      <c r="M3560" s="310"/>
      <c r="N3560" s="310">
        <v>45604</v>
      </c>
      <c r="O3560" s="309">
        <v>6604</v>
      </c>
      <c r="P3560" s="302"/>
      <c r="Q3560" s="485">
        <v>71.400000000000006</v>
      </c>
      <c r="R3560" s="485">
        <v>71.400000000000006</v>
      </c>
      <c r="S3560" s="489">
        <v>2916</v>
      </c>
      <c r="T3560" s="489">
        <v>2916</v>
      </c>
      <c r="U3560" s="515"/>
      <c r="V3560" s="494">
        <v>120</v>
      </c>
      <c r="W3560" s="2041">
        <f t="shared" si="280"/>
        <v>0.65966386554621848</v>
      </c>
    </row>
    <row r="3561" spans="1:23" ht="18" customHeight="1">
      <c r="C3561" s="6" t="s">
        <v>8007</v>
      </c>
      <c r="D3561" s="15" t="s">
        <v>8008</v>
      </c>
      <c r="E3561" s="20" t="s">
        <v>260</v>
      </c>
      <c r="F3561" s="44"/>
      <c r="G3561" s="44"/>
      <c r="H3561" s="151"/>
      <c r="I3561" s="151"/>
      <c r="J3561" s="151"/>
      <c r="K3561" s="34" t="s">
        <v>134</v>
      </c>
      <c r="L3561" s="39"/>
      <c r="M3561" s="39"/>
      <c r="N3561" s="39">
        <v>45610</v>
      </c>
      <c r="O3561" s="38">
        <v>6578</v>
      </c>
      <c r="P3561" s="6"/>
      <c r="Q3561" s="524"/>
      <c r="S3561" s="1995"/>
      <c r="T3561" s="113"/>
      <c r="U3561" s="501"/>
      <c r="V3561" s="494">
        <v>120</v>
      </c>
      <c r="W3561" s="2041" t="e">
        <f t="shared" si="280"/>
        <v>#VALUE!</v>
      </c>
    </row>
    <row r="3562" spans="1:23" ht="18" customHeight="1">
      <c r="B3562" s="28" t="s">
        <v>1856</v>
      </c>
      <c r="C3562" s="6" t="s">
        <v>8007</v>
      </c>
      <c r="D3562" s="15" t="s">
        <v>8008</v>
      </c>
      <c r="E3562" s="24">
        <v>4141</v>
      </c>
      <c r="F3562" s="44">
        <v>6</v>
      </c>
      <c r="G3562" s="24" t="s">
        <v>211</v>
      </c>
      <c r="H3562" s="67">
        <v>20</v>
      </c>
      <c r="I3562" s="68">
        <v>14</v>
      </c>
      <c r="J3562" s="67">
        <f>H3562*I3562</f>
        <v>280</v>
      </c>
      <c r="K3562" s="46">
        <v>1.47</v>
      </c>
      <c r="L3562" s="46">
        <f>K3562*J3562</f>
        <v>411.59999999999997</v>
      </c>
      <c r="M3562" s="162" t="s">
        <v>2219</v>
      </c>
      <c r="N3562" s="39">
        <v>45610</v>
      </c>
      <c r="O3562" s="38">
        <v>6578</v>
      </c>
      <c r="P3562" s="46">
        <f>K3562*(VLOOKUP(B3562,$C$2:$F$6,3,FALSE))</f>
        <v>1.2936000000000001</v>
      </c>
      <c r="Q3562" s="482">
        <v>1.29</v>
      </c>
      <c r="R3562" s="704">
        <f>Q3562*J3562</f>
        <v>361.2</v>
      </c>
      <c r="S3562" s="489">
        <v>87</v>
      </c>
      <c r="T3562" s="113">
        <f>S3562*J3562</f>
        <v>24360</v>
      </c>
      <c r="U3562" s="699"/>
      <c r="V3562" s="494">
        <v>120</v>
      </c>
      <c r="W3562" s="2041">
        <f t="shared" ref="W3562:W3593" si="285">(((K3562*V3562)-S3562)/(K3562*V3562))</f>
        <v>0.50680272108843538</v>
      </c>
    </row>
    <row r="3563" spans="1:23" ht="18" customHeight="1">
      <c r="B3563" s="28" t="s">
        <v>1856</v>
      </c>
      <c r="C3563" s="6" t="s">
        <v>8007</v>
      </c>
      <c r="D3563" s="15" t="s">
        <v>8008</v>
      </c>
      <c r="E3563" s="24">
        <v>4141</v>
      </c>
      <c r="F3563" s="44">
        <v>6</v>
      </c>
      <c r="G3563" s="24" t="s">
        <v>510</v>
      </c>
      <c r="H3563" s="67">
        <v>20</v>
      </c>
      <c r="I3563" s="68">
        <v>13</v>
      </c>
      <c r="J3563" s="67">
        <f>H3563*I3563</f>
        <v>260</v>
      </c>
      <c r="K3563" s="46">
        <v>1.47</v>
      </c>
      <c r="L3563" s="46">
        <f>K3563*J3563</f>
        <v>382.2</v>
      </c>
      <c r="M3563" s="162" t="s">
        <v>2219</v>
      </c>
      <c r="N3563" s="39">
        <v>45610</v>
      </c>
      <c r="O3563" s="38">
        <v>6578</v>
      </c>
      <c r="P3563" s="46">
        <f>K3563*(VLOOKUP(B3563,$C$2:$F$6,3,FALSE))</f>
        <v>1.2936000000000001</v>
      </c>
      <c r="Q3563" s="482">
        <v>1.29</v>
      </c>
      <c r="R3563" s="704">
        <f>Q3563*J3563</f>
        <v>335.40000000000003</v>
      </c>
      <c r="S3563" s="489">
        <v>87</v>
      </c>
      <c r="T3563" s="113">
        <f>S3563*J3563</f>
        <v>22620</v>
      </c>
      <c r="U3563" s="699"/>
      <c r="V3563" s="494">
        <v>120</v>
      </c>
      <c r="W3563" s="2041">
        <f t="shared" si="285"/>
        <v>0.50680272108843538</v>
      </c>
    </row>
    <row r="3564" spans="1:23" ht="15.95" customHeight="1">
      <c r="B3564" s="12" t="s">
        <v>1862</v>
      </c>
      <c r="C3564" s="6" t="s">
        <v>8007</v>
      </c>
      <c r="D3564" s="15" t="s">
        <v>8008</v>
      </c>
      <c r="E3564" s="24"/>
      <c r="F3564" s="138"/>
      <c r="G3564" s="44" t="s">
        <v>1993</v>
      </c>
      <c r="H3564" s="8"/>
      <c r="I3564" s="41"/>
      <c r="J3564" s="45">
        <v>1</v>
      </c>
      <c r="K3564" s="46">
        <v>12</v>
      </c>
      <c r="L3564" s="46">
        <f>K3564*J3564</f>
        <v>12</v>
      </c>
      <c r="M3564" s="112"/>
      <c r="N3564" s="39">
        <v>45610</v>
      </c>
      <c r="O3564" s="38">
        <v>6578</v>
      </c>
      <c r="P3564" s="46">
        <f>K3564*(VLOOKUP(B3564,$C$2:$F$6,3,FALSE))</f>
        <v>12</v>
      </c>
      <c r="Q3564" s="483">
        <v>12</v>
      </c>
      <c r="R3564" s="704">
        <v>12</v>
      </c>
      <c r="S3564" s="489">
        <v>0</v>
      </c>
      <c r="T3564" s="113">
        <f>S3564*J3564</f>
        <v>0</v>
      </c>
      <c r="U3564" s="511"/>
      <c r="V3564" s="494">
        <v>120</v>
      </c>
      <c r="W3564" s="2041">
        <f t="shared" si="285"/>
        <v>1</v>
      </c>
    </row>
    <row r="3565" spans="1:23" s="314" customFormat="1" ht="15">
      <c r="B3565" s="313"/>
      <c r="C3565" s="302" t="s">
        <v>8007</v>
      </c>
      <c r="D3565" s="303" t="s">
        <v>8008</v>
      </c>
      <c r="E3565" s="304"/>
      <c r="F3565" s="305"/>
      <c r="G3565" s="305" t="s">
        <v>1227</v>
      </c>
      <c r="H3565" s="307" t="s">
        <v>1228</v>
      </c>
      <c r="I3565" s="308"/>
      <c r="J3565" s="306"/>
      <c r="K3565" s="315">
        <v>0</v>
      </c>
      <c r="L3565" s="310"/>
      <c r="M3565" s="310"/>
      <c r="N3565" s="310">
        <v>45610</v>
      </c>
      <c r="O3565" s="309">
        <v>6578</v>
      </c>
      <c r="P3565" s="302"/>
      <c r="Q3565" s="485">
        <v>0</v>
      </c>
      <c r="S3565" s="536">
        <v>0</v>
      </c>
      <c r="T3565" s="322">
        <v>0</v>
      </c>
      <c r="U3565" s="515"/>
      <c r="V3565" s="494">
        <v>120</v>
      </c>
      <c r="W3565" s="2041" t="e">
        <f t="shared" si="285"/>
        <v>#DIV/0!</v>
      </c>
    </row>
    <row r="3566" spans="1:23" ht="15">
      <c r="C3566" s="6" t="s">
        <v>8018</v>
      </c>
      <c r="D3566" s="15" t="s">
        <v>11</v>
      </c>
      <c r="E3566" s="20" t="s">
        <v>8020</v>
      </c>
      <c r="F3566" s="150"/>
      <c r="G3566" s="24"/>
      <c r="H3566" s="151"/>
      <c r="I3566" s="152"/>
      <c r="J3566" s="151"/>
      <c r="K3566" s="153" t="s">
        <v>10</v>
      </c>
      <c r="L3566" s="39"/>
      <c r="M3566" s="39"/>
      <c r="N3566" s="39">
        <v>45594</v>
      </c>
      <c r="O3566" s="38">
        <v>6583</v>
      </c>
      <c r="P3566" s="15"/>
      <c r="Q3566" s="483"/>
      <c r="S3566" s="496"/>
      <c r="T3566" s="113"/>
      <c r="V3566" s="494">
        <v>120</v>
      </c>
      <c r="W3566" s="2041" t="e">
        <f t="shared" si="285"/>
        <v>#VALUE!</v>
      </c>
    </row>
    <row r="3567" spans="1:23" ht="15.75">
      <c r="B3567" s="12" t="s">
        <v>1858</v>
      </c>
      <c r="C3567" s="6" t="s">
        <v>8018</v>
      </c>
      <c r="D3567" s="15" t="s">
        <v>11</v>
      </c>
      <c r="E3567" s="407" t="s">
        <v>8019</v>
      </c>
      <c r="F3567" s="202" t="s">
        <v>6087</v>
      </c>
      <c r="G3567" s="1207" t="s">
        <v>8021</v>
      </c>
      <c r="H3567" s="19">
        <v>14.6</v>
      </c>
      <c r="I3567" s="68">
        <v>1</v>
      </c>
      <c r="J3567" s="198">
        <f>H3567*I3567</f>
        <v>14.6</v>
      </c>
      <c r="K3567" s="703">
        <v>25.44</v>
      </c>
      <c r="L3567" s="46">
        <f>K3567*J3567</f>
        <v>371.42400000000004</v>
      </c>
      <c r="M3567" s="162" t="s">
        <v>2219</v>
      </c>
      <c r="N3567" s="39">
        <v>45594</v>
      </c>
      <c r="O3567" s="38">
        <v>6583</v>
      </c>
      <c r="P3567" s="46">
        <f>K3567*(VLOOKUP(B3567,$C$2:$F$6,3,FALSE))</f>
        <v>23.913599999999999</v>
      </c>
      <c r="Q3567" s="483">
        <v>23.91</v>
      </c>
      <c r="R3567" s="704">
        <f>Q3567*J3567</f>
        <v>349.08600000000001</v>
      </c>
      <c r="S3567" s="532">
        <v>2050</v>
      </c>
      <c r="T3567" s="567">
        <f>S3567*J3567</f>
        <v>29930</v>
      </c>
      <c r="V3567" s="494">
        <v>120</v>
      </c>
      <c r="W3567" s="2041">
        <f t="shared" si="285"/>
        <v>0.32848532494758914</v>
      </c>
    </row>
    <row r="3568" spans="1:23" s="314" customFormat="1" ht="15">
      <c r="B3568" s="313"/>
      <c r="C3568" s="302" t="s">
        <v>8018</v>
      </c>
      <c r="D3568" s="303" t="s">
        <v>11</v>
      </c>
      <c r="E3568" s="304"/>
      <c r="F3568" s="305"/>
      <c r="G3568" s="305" t="s">
        <v>1227</v>
      </c>
      <c r="H3568" s="307" t="s">
        <v>8022</v>
      </c>
      <c r="I3568" s="308"/>
      <c r="J3568" s="306"/>
      <c r="K3568" s="315">
        <v>0</v>
      </c>
      <c r="L3568" s="315"/>
      <c r="M3568" s="310"/>
      <c r="N3568" s="310">
        <v>45594</v>
      </c>
      <c r="O3568" s="309">
        <v>6583</v>
      </c>
      <c r="P3568" s="302"/>
      <c r="Q3568" s="485">
        <v>0</v>
      </c>
      <c r="R3568" s="485">
        <v>0</v>
      </c>
      <c r="S3568" s="536">
        <v>0</v>
      </c>
      <c r="T3568" s="536">
        <v>0</v>
      </c>
      <c r="U3568" s="515"/>
      <c r="V3568" s="494">
        <v>120</v>
      </c>
      <c r="W3568" s="2041" t="e">
        <f t="shared" si="285"/>
        <v>#DIV/0!</v>
      </c>
    </row>
    <row r="3569" spans="1:23" s="7" customFormat="1" ht="18.600000000000001" customHeight="1">
      <c r="A3569" s="1"/>
      <c r="B3569" s="12"/>
      <c r="C3569" s="6" t="s">
        <v>8032</v>
      </c>
      <c r="D3569" s="15" t="s">
        <v>8033</v>
      </c>
      <c r="E3569" s="20" t="s">
        <v>1003</v>
      </c>
      <c r="F3569" s="24"/>
      <c r="G3569" s="44"/>
      <c r="H3569" s="151"/>
      <c r="I3569" s="151"/>
      <c r="J3569" s="151"/>
      <c r="K3569" s="153" t="s">
        <v>10</v>
      </c>
      <c r="L3569" s="39"/>
      <c r="M3569" s="162"/>
      <c r="N3569" s="39">
        <v>45595</v>
      </c>
      <c r="O3569" s="38">
        <v>6600</v>
      </c>
      <c r="P3569" s="6"/>
      <c r="Q3569" s="411"/>
      <c r="S3569" s="489"/>
      <c r="T3569" s="113"/>
      <c r="U3569" s="501"/>
      <c r="V3569" s="494">
        <v>120</v>
      </c>
      <c r="W3569" s="2041" t="e">
        <f t="shared" si="285"/>
        <v>#VALUE!</v>
      </c>
    </row>
    <row r="3570" spans="1:23" s="7" customFormat="1" ht="15.95" customHeight="1">
      <c r="A3570" s="1"/>
      <c r="B3570" s="12" t="s">
        <v>8023</v>
      </c>
      <c r="C3570" s="6" t="s">
        <v>8032</v>
      </c>
      <c r="D3570" s="15" t="s">
        <v>8033</v>
      </c>
      <c r="E3570" s="24" t="s">
        <v>1491</v>
      </c>
      <c r="F3570" s="44"/>
      <c r="G3570" s="44" t="s">
        <v>129</v>
      </c>
      <c r="H3570" s="67">
        <v>14</v>
      </c>
      <c r="I3570" s="68">
        <v>4</v>
      </c>
      <c r="J3570" s="67">
        <f>H3570*I3570</f>
        <v>56</v>
      </c>
      <c r="K3570" s="46">
        <v>2.54</v>
      </c>
      <c r="L3570" s="46">
        <f t="shared" ref="L3570:L3575" si="286">K3570*J3570</f>
        <v>142.24</v>
      </c>
      <c r="M3570" s="162" t="s">
        <v>2219</v>
      </c>
      <c r="N3570" s="39">
        <v>45595</v>
      </c>
      <c r="O3570" s="38">
        <v>6600</v>
      </c>
      <c r="P3570" s="46">
        <f t="shared" ref="P3570:P3575" si="287">K3570*(VLOOKUP(B3570,$C$2:$F$6,3,FALSE))</f>
        <v>2.2351999999999999</v>
      </c>
      <c r="Q3570" s="483">
        <v>2.2400000000000002</v>
      </c>
      <c r="R3570" s="704">
        <f t="shared" ref="R3570:R3575" si="288">Q3570*J3570</f>
        <v>125.44000000000001</v>
      </c>
      <c r="S3570" s="489">
        <v>135</v>
      </c>
      <c r="T3570" s="113">
        <f t="shared" ref="T3570:T3575" si="289">S3570*J3570</f>
        <v>7560</v>
      </c>
      <c r="U3570" s="512"/>
      <c r="V3570" s="494">
        <v>120</v>
      </c>
      <c r="W3570" s="2041">
        <f t="shared" si="285"/>
        <v>0.55708661417322836</v>
      </c>
    </row>
    <row r="3571" spans="1:23" s="7" customFormat="1" ht="15.95" customHeight="1">
      <c r="A3571" s="1"/>
      <c r="B3571" s="12" t="s">
        <v>8023</v>
      </c>
      <c r="C3571" s="6" t="s">
        <v>8032</v>
      </c>
      <c r="D3571" s="15" t="s">
        <v>8033</v>
      </c>
      <c r="E3571" s="24" t="s">
        <v>1121</v>
      </c>
      <c r="F3571" s="44"/>
      <c r="G3571" s="44" t="s">
        <v>129</v>
      </c>
      <c r="H3571" s="67">
        <v>14</v>
      </c>
      <c r="I3571" s="68">
        <v>4</v>
      </c>
      <c r="J3571" s="67">
        <f>H3571*I3571</f>
        <v>56</v>
      </c>
      <c r="K3571" s="46">
        <v>1.8</v>
      </c>
      <c r="L3571" s="46">
        <f t="shared" si="286"/>
        <v>100.8</v>
      </c>
      <c r="M3571" s="162" t="s">
        <v>2219</v>
      </c>
      <c r="N3571" s="39">
        <v>45595</v>
      </c>
      <c r="O3571" s="38">
        <v>6600</v>
      </c>
      <c r="P3571" s="46">
        <f t="shared" si="287"/>
        <v>1.5840000000000001</v>
      </c>
      <c r="Q3571" s="483">
        <v>1.58</v>
      </c>
      <c r="R3571" s="704">
        <f t="shared" si="288"/>
        <v>88.48</v>
      </c>
      <c r="S3571" s="489">
        <v>90</v>
      </c>
      <c r="T3571" s="567">
        <f t="shared" si="289"/>
        <v>5040</v>
      </c>
      <c r="U3571" s="512"/>
      <c r="V3571" s="494">
        <v>120</v>
      </c>
      <c r="W3571" s="2041">
        <f t="shared" si="285"/>
        <v>0.58333333333333337</v>
      </c>
    </row>
    <row r="3572" spans="1:23" s="7" customFormat="1" ht="15.95" customHeight="1">
      <c r="A3572" s="1"/>
      <c r="B3572" s="12" t="s">
        <v>8023</v>
      </c>
      <c r="C3572" s="6" t="s">
        <v>8032</v>
      </c>
      <c r="D3572" s="15" t="s">
        <v>8033</v>
      </c>
      <c r="E3572" s="24" t="s">
        <v>1489</v>
      </c>
      <c r="F3572" s="44"/>
      <c r="G3572" s="44" t="s">
        <v>129</v>
      </c>
      <c r="H3572" s="67">
        <v>14</v>
      </c>
      <c r="I3572" s="68">
        <v>4</v>
      </c>
      <c r="J3572" s="67">
        <f>H3572*I3572</f>
        <v>56</v>
      </c>
      <c r="K3572" s="46">
        <v>2.23</v>
      </c>
      <c r="L3572" s="46">
        <f t="shared" si="286"/>
        <v>124.88</v>
      </c>
      <c r="M3572" s="162" t="s">
        <v>2219</v>
      </c>
      <c r="N3572" s="39">
        <v>45595</v>
      </c>
      <c r="O3572" s="38">
        <v>6600</v>
      </c>
      <c r="P3572" s="46">
        <f t="shared" si="287"/>
        <v>1.9623999999999999</v>
      </c>
      <c r="Q3572" s="483">
        <v>1.96</v>
      </c>
      <c r="R3572" s="704">
        <f t="shared" si="288"/>
        <v>109.75999999999999</v>
      </c>
      <c r="S3572" s="489">
        <v>115</v>
      </c>
      <c r="T3572" s="113">
        <f t="shared" si="289"/>
        <v>6440</v>
      </c>
      <c r="U3572" s="512"/>
      <c r="V3572" s="494">
        <v>120</v>
      </c>
      <c r="W3572" s="2041">
        <f t="shared" si="285"/>
        <v>0.57025411061285503</v>
      </c>
    </row>
    <row r="3573" spans="1:23" s="7" customFormat="1" ht="15.95" customHeight="1">
      <c r="A3573" s="1"/>
      <c r="B3573" s="12" t="s">
        <v>1856</v>
      </c>
      <c r="C3573" s="6" t="s">
        <v>8032</v>
      </c>
      <c r="D3573" s="15" t="s">
        <v>8033</v>
      </c>
      <c r="E3573" s="24" t="s">
        <v>2349</v>
      </c>
      <c r="F3573" s="44"/>
      <c r="G3573" s="44" t="s">
        <v>78</v>
      </c>
      <c r="H3573" s="8">
        <v>14</v>
      </c>
      <c r="I3573" s="68">
        <v>4</v>
      </c>
      <c r="J3573" s="67">
        <f>I3573*H3573</f>
        <v>56</v>
      </c>
      <c r="K3573" s="46">
        <v>1.88</v>
      </c>
      <c r="L3573" s="46">
        <f t="shared" si="286"/>
        <v>105.28</v>
      </c>
      <c r="M3573" s="162" t="s">
        <v>2219</v>
      </c>
      <c r="N3573" s="39">
        <v>45595</v>
      </c>
      <c r="O3573" s="38">
        <v>6600</v>
      </c>
      <c r="P3573" s="46">
        <f t="shared" si="287"/>
        <v>1.6543999999999999</v>
      </c>
      <c r="Q3573" s="483">
        <v>1.65</v>
      </c>
      <c r="R3573" s="704">
        <f t="shared" si="288"/>
        <v>92.399999999999991</v>
      </c>
      <c r="S3573" s="489">
        <v>135</v>
      </c>
      <c r="T3573" s="567">
        <f t="shared" si="289"/>
        <v>7560</v>
      </c>
      <c r="U3573" s="517"/>
      <c r="V3573" s="494">
        <v>120</v>
      </c>
      <c r="W3573" s="2041">
        <f t="shared" si="285"/>
        <v>0.40159574468085107</v>
      </c>
    </row>
    <row r="3574" spans="1:23" s="7" customFormat="1" ht="15.95" customHeight="1">
      <c r="A3574" s="1"/>
      <c r="B3574" s="12" t="s">
        <v>8023</v>
      </c>
      <c r="C3574" s="6" t="s">
        <v>8032</v>
      </c>
      <c r="D3574" s="15" t="s">
        <v>8033</v>
      </c>
      <c r="E3574" s="24" t="s">
        <v>1537</v>
      </c>
      <c r="F3574" s="44"/>
      <c r="G3574" s="44" t="s">
        <v>129</v>
      </c>
      <c r="H3574" s="67">
        <v>14</v>
      </c>
      <c r="I3574" s="68">
        <v>4</v>
      </c>
      <c r="J3574" s="67">
        <f>H3574*I3574</f>
        <v>56</v>
      </c>
      <c r="K3574" s="46">
        <v>1.89</v>
      </c>
      <c r="L3574" s="46">
        <f t="shared" si="286"/>
        <v>105.83999999999999</v>
      </c>
      <c r="M3574" s="162" t="s">
        <v>2219</v>
      </c>
      <c r="N3574" s="39">
        <v>45595</v>
      </c>
      <c r="O3574" s="38">
        <v>6600</v>
      </c>
      <c r="P3574" s="46">
        <f t="shared" si="287"/>
        <v>1.6632</v>
      </c>
      <c r="Q3574" s="483">
        <v>1.66</v>
      </c>
      <c r="R3574" s="704">
        <f t="shared" si="288"/>
        <v>92.96</v>
      </c>
      <c r="S3574" s="489">
        <v>80</v>
      </c>
      <c r="T3574" s="113">
        <f t="shared" si="289"/>
        <v>4480</v>
      </c>
      <c r="U3574" s="512"/>
      <c r="V3574" s="494">
        <v>120</v>
      </c>
      <c r="W3574" s="2041">
        <f t="shared" si="285"/>
        <v>0.64726631393298062</v>
      </c>
    </row>
    <row r="3575" spans="1:23" s="218" customFormat="1" ht="15">
      <c r="A3575" s="1"/>
      <c r="B3575" s="541"/>
      <c r="C3575" s="6" t="s">
        <v>8032</v>
      </c>
      <c r="D3575" s="15" t="s">
        <v>8033</v>
      </c>
      <c r="E3575" s="24"/>
      <c r="F3575" s="26"/>
      <c r="G3575" s="24" t="s">
        <v>31</v>
      </c>
      <c r="H3575" s="45"/>
      <c r="I3575" s="41"/>
      <c r="J3575" s="45">
        <v>1</v>
      </c>
      <c r="K3575" s="46">
        <v>15</v>
      </c>
      <c r="L3575" s="46">
        <f t="shared" si="286"/>
        <v>15</v>
      </c>
      <c r="M3575" s="39"/>
      <c r="N3575" s="39">
        <v>45595</v>
      </c>
      <c r="O3575" s="38">
        <v>6600</v>
      </c>
      <c r="P3575" s="46" t="e">
        <f t="shared" si="287"/>
        <v>#N/A</v>
      </c>
      <c r="Q3575" s="483">
        <v>15</v>
      </c>
      <c r="R3575" s="704">
        <f t="shared" si="288"/>
        <v>15</v>
      </c>
      <c r="S3575" s="489">
        <v>900</v>
      </c>
      <c r="T3575" s="113">
        <f t="shared" si="289"/>
        <v>900</v>
      </c>
      <c r="U3575" s="504"/>
      <c r="V3575" s="494">
        <v>120</v>
      </c>
      <c r="W3575" s="2041">
        <f t="shared" si="285"/>
        <v>0.5</v>
      </c>
    </row>
    <row r="3576" spans="1:23" s="314" customFormat="1" ht="15">
      <c r="A3576" s="1"/>
      <c r="B3576" s="313"/>
      <c r="C3576" s="302" t="s">
        <v>8032</v>
      </c>
      <c r="D3576" s="303" t="s">
        <v>8033</v>
      </c>
      <c r="E3576" s="304"/>
      <c r="F3576" s="305"/>
      <c r="G3576" s="305" t="s">
        <v>1227</v>
      </c>
      <c r="H3576" s="307" t="s">
        <v>1228</v>
      </c>
      <c r="I3576" s="308"/>
      <c r="J3576" s="306"/>
      <c r="K3576" s="315">
        <v>0</v>
      </c>
      <c r="L3576" s="310"/>
      <c r="M3576" s="310"/>
      <c r="N3576" s="310">
        <v>45595</v>
      </c>
      <c r="O3576" s="309">
        <v>6600</v>
      </c>
      <c r="P3576" s="302"/>
      <c r="Q3576" s="485">
        <v>0</v>
      </c>
      <c r="S3576" s="535">
        <v>0</v>
      </c>
      <c r="T3576" s="322">
        <v>0</v>
      </c>
      <c r="U3576" s="515"/>
      <c r="V3576" s="494">
        <v>120</v>
      </c>
      <c r="W3576" s="2041" t="e">
        <f t="shared" si="285"/>
        <v>#DIV/0!</v>
      </c>
    </row>
    <row r="3577" spans="1:23" s="7" customFormat="1" ht="15" customHeight="1">
      <c r="A3577" s="1"/>
      <c r="B3577" s="12"/>
      <c r="C3577" s="6" t="s">
        <v>8029</v>
      </c>
      <c r="D3577" s="15" t="s">
        <v>8030</v>
      </c>
      <c r="E3577" s="20" t="s">
        <v>7915</v>
      </c>
      <c r="F3577" s="26"/>
      <c r="G3577" s="24"/>
      <c r="H3577" s="67"/>
      <c r="I3577" s="68"/>
      <c r="J3577" s="67"/>
      <c r="K3577" s="17" t="s">
        <v>10</v>
      </c>
      <c r="L3577" s="39"/>
      <c r="M3577" s="39"/>
      <c r="N3577" s="39">
        <v>45672</v>
      </c>
      <c r="O3577" s="38">
        <v>6741</v>
      </c>
      <c r="P3577" s="180" t="e">
        <f>K3577*(VLOOKUP(B3577,$C$2:$F$6,3,FALSE))</f>
        <v>#VALUE!</v>
      </c>
      <c r="Q3577" s="483"/>
      <c r="R3577" s="704"/>
      <c r="S3577" s="489"/>
      <c r="T3577" s="113">
        <f>S3577*J3577</f>
        <v>0</v>
      </c>
      <c r="U3577" s="517"/>
      <c r="V3577" s="494">
        <v>120</v>
      </c>
      <c r="W3577" s="2041" t="e">
        <f t="shared" si="285"/>
        <v>#VALUE!</v>
      </c>
    </row>
    <row r="3578" spans="1:23" s="7" customFormat="1" ht="15.75">
      <c r="A3578" s="1"/>
      <c r="B3578" s="12" t="s">
        <v>1856</v>
      </c>
      <c r="C3578" s="6" t="s">
        <v>8029</v>
      </c>
      <c r="D3578" s="15" t="s">
        <v>8030</v>
      </c>
      <c r="E3578" s="24" t="s">
        <v>7993</v>
      </c>
      <c r="F3578" s="26"/>
      <c r="G3578" s="24" t="s">
        <v>8031</v>
      </c>
      <c r="H3578" s="151"/>
      <c r="I3578" s="41"/>
      <c r="J3578" s="67">
        <v>200</v>
      </c>
      <c r="K3578" s="25">
        <v>2.64</v>
      </c>
      <c r="L3578" s="46">
        <f>K3578*J3578</f>
        <v>528</v>
      </c>
      <c r="M3578" s="162" t="s">
        <v>2219</v>
      </c>
      <c r="N3578" s="39">
        <v>45672</v>
      </c>
      <c r="O3578" s="38">
        <v>6741</v>
      </c>
      <c r="P3578" s="180">
        <v>2.1</v>
      </c>
      <c r="Q3578" s="483">
        <v>2.1</v>
      </c>
      <c r="R3578" s="704">
        <f>Q3578*J3578</f>
        <v>420</v>
      </c>
      <c r="S3578" s="489">
        <f>102+70</f>
        <v>172</v>
      </c>
      <c r="T3578" s="113">
        <f>S3578*J3578</f>
        <v>34400</v>
      </c>
      <c r="U3578" s="517"/>
      <c r="V3578" s="494">
        <v>120</v>
      </c>
      <c r="W3578" s="2041">
        <f t="shared" si="285"/>
        <v>0.45707070707070707</v>
      </c>
    </row>
    <row r="3579" spans="1:23" ht="18" customHeight="1">
      <c r="B3579" s="12" t="s">
        <v>1862</v>
      </c>
      <c r="C3579" s="6" t="s">
        <v>8257</v>
      </c>
      <c r="D3579" s="15" t="s">
        <v>8030</v>
      </c>
      <c r="E3579" s="24"/>
      <c r="F3579" s="138"/>
      <c r="G3579" s="44" t="s">
        <v>8256</v>
      </c>
      <c r="H3579" s="8"/>
      <c r="I3579" s="41"/>
      <c r="J3579" s="45">
        <v>1</v>
      </c>
      <c r="K3579" s="46">
        <v>75</v>
      </c>
      <c r="L3579" s="46">
        <f>K3579*J3579</f>
        <v>75</v>
      </c>
      <c r="M3579" s="112"/>
      <c r="N3579" s="39">
        <v>45672</v>
      </c>
      <c r="O3579" s="38">
        <v>6741</v>
      </c>
      <c r="P3579" s="46">
        <f>K3579*(VLOOKUP(B3579,$C$2:$F$6,3,FALSE))</f>
        <v>75</v>
      </c>
      <c r="Q3579" s="483">
        <v>75</v>
      </c>
      <c r="R3579" s="704">
        <f>Q3579*J3579</f>
        <v>75</v>
      </c>
      <c r="S3579" s="489">
        <v>7000</v>
      </c>
      <c r="T3579" s="113">
        <f>S3579*J3579</f>
        <v>7000</v>
      </c>
      <c r="U3579" s="511"/>
      <c r="V3579" s="494">
        <v>120</v>
      </c>
      <c r="W3579" s="2041">
        <f t="shared" si="285"/>
        <v>0.22222222222222221</v>
      </c>
    </row>
    <row r="3580" spans="1:23" ht="18" customHeight="1">
      <c r="B3580" s="12" t="s">
        <v>1862</v>
      </c>
      <c r="C3580" s="6" t="s">
        <v>8029</v>
      </c>
      <c r="D3580" s="15" t="s">
        <v>8030</v>
      </c>
      <c r="E3580" s="24"/>
      <c r="F3580" s="138"/>
      <c r="G3580" s="44" t="s">
        <v>1993</v>
      </c>
      <c r="H3580" s="8"/>
      <c r="I3580" s="41"/>
      <c r="J3580" s="45">
        <v>1</v>
      </c>
      <c r="K3580" s="46">
        <v>12</v>
      </c>
      <c r="L3580" s="46">
        <f>K3580*J3580</f>
        <v>12</v>
      </c>
      <c r="M3580" s="112"/>
      <c r="N3580" s="39">
        <v>45672</v>
      </c>
      <c r="O3580" s="38">
        <v>6741</v>
      </c>
      <c r="P3580" s="46">
        <f>K3580*(VLOOKUP(B3580,$C$2:$F$6,3,FALSE))</f>
        <v>12</v>
      </c>
      <c r="Q3580" s="483">
        <v>12</v>
      </c>
      <c r="R3580" s="704">
        <f>Q3580*J3580</f>
        <v>12</v>
      </c>
      <c r="S3580" s="489">
        <v>0</v>
      </c>
      <c r="T3580" s="113">
        <f>S3580*J3580</f>
        <v>0</v>
      </c>
      <c r="U3580" s="511"/>
      <c r="V3580" s="494">
        <v>120</v>
      </c>
      <c r="W3580" s="2041">
        <f t="shared" si="285"/>
        <v>1</v>
      </c>
    </row>
    <row r="3581" spans="1:23" s="314" customFormat="1" ht="15">
      <c r="A3581" s="1"/>
      <c r="B3581" s="313"/>
      <c r="C3581" s="302" t="s">
        <v>8029</v>
      </c>
      <c r="D3581" s="303" t="s">
        <v>8030</v>
      </c>
      <c r="E3581" s="304"/>
      <c r="F3581" s="305"/>
      <c r="G3581" s="305" t="s">
        <v>1227</v>
      </c>
      <c r="H3581" s="307" t="s">
        <v>3438</v>
      </c>
      <c r="I3581" s="308"/>
      <c r="J3581" s="306">
        <v>200</v>
      </c>
      <c r="K3581" s="315">
        <f>0.25*J3581</f>
        <v>50</v>
      </c>
      <c r="L3581" s="329"/>
      <c r="M3581" s="310"/>
      <c r="N3581" s="310">
        <v>45672</v>
      </c>
      <c r="O3581" s="309">
        <v>6741</v>
      </c>
      <c r="P3581" s="302"/>
      <c r="Q3581" s="329">
        <v>50</v>
      </c>
      <c r="R3581" s="329">
        <v>50</v>
      </c>
      <c r="S3581" s="489">
        <v>3550</v>
      </c>
      <c r="T3581" s="489">
        <v>3550</v>
      </c>
      <c r="U3581" s="515"/>
      <c r="V3581" s="494">
        <v>120</v>
      </c>
      <c r="W3581" s="2041">
        <f t="shared" si="285"/>
        <v>0.40833333333333333</v>
      </c>
    </row>
    <row r="3582" spans="1:23" s="7" customFormat="1" ht="15" customHeight="1">
      <c r="B3582" s="12"/>
      <c r="C3582" s="6" t="s">
        <v>8102</v>
      </c>
      <c r="D3582" s="15" t="s">
        <v>958</v>
      </c>
      <c r="E3582" s="20" t="s">
        <v>628</v>
      </c>
      <c r="F3582" s="26"/>
      <c r="G3582" s="24"/>
      <c r="H3582" s="67"/>
      <c r="I3582" s="318"/>
      <c r="J3582" s="67"/>
      <c r="K3582" s="17" t="s">
        <v>134</v>
      </c>
      <c r="L3582" s="39"/>
      <c r="M3582" s="39"/>
      <c r="N3582" s="39">
        <v>45602</v>
      </c>
      <c r="O3582" s="38">
        <v>6611</v>
      </c>
      <c r="P3582" s="179" t="s">
        <v>23</v>
      </c>
      <c r="Q3582" s="438" t="s">
        <v>959</v>
      </c>
      <c r="R3582" s="704"/>
      <c r="S3582" s="489"/>
      <c r="T3582" s="113"/>
      <c r="U3582" s="510"/>
      <c r="V3582" s="494">
        <v>120</v>
      </c>
      <c r="W3582" s="2041" t="e">
        <f t="shared" si="285"/>
        <v>#VALUE!</v>
      </c>
    </row>
    <row r="3583" spans="1:23" s="7" customFormat="1" ht="18" customHeight="1">
      <c r="B3583" s="12" t="s">
        <v>1856</v>
      </c>
      <c r="C3583" s="6" t="s">
        <v>8102</v>
      </c>
      <c r="D3583" s="15" t="s">
        <v>958</v>
      </c>
      <c r="E3583" s="24">
        <v>5291</v>
      </c>
      <c r="F3583" s="26">
        <v>4</v>
      </c>
      <c r="G3583" s="24" t="s">
        <v>499</v>
      </c>
      <c r="H3583" s="67">
        <v>50</v>
      </c>
      <c r="I3583" s="68">
        <v>1</v>
      </c>
      <c r="J3583" s="67">
        <f>H3583*I3583</f>
        <v>50</v>
      </c>
      <c r="K3583" s="46">
        <v>0.35</v>
      </c>
      <c r="L3583" s="46">
        <f>K3583*J3583</f>
        <v>17.5</v>
      </c>
      <c r="M3583" s="162" t="s">
        <v>2219</v>
      </c>
      <c r="N3583" s="39">
        <v>45602</v>
      </c>
      <c r="O3583" s="38">
        <v>6611</v>
      </c>
      <c r="P3583" s="180">
        <v>0.13</v>
      </c>
      <c r="Q3583" s="180">
        <v>0.13</v>
      </c>
      <c r="R3583" s="704">
        <f>Q3583*J3583</f>
        <v>6.5</v>
      </c>
      <c r="S3583" s="489">
        <v>7.7</v>
      </c>
      <c r="T3583" s="113">
        <f>S3583*J3583</f>
        <v>385</v>
      </c>
      <c r="U3583" s="867"/>
      <c r="V3583" s="494">
        <v>120</v>
      </c>
      <c r="W3583" s="2041">
        <f t="shared" si="285"/>
        <v>0.81666666666666665</v>
      </c>
    </row>
    <row r="3584" spans="1:23" s="7" customFormat="1" ht="18" customHeight="1">
      <c r="B3584" s="12" t="s">
        <v>1856</v>
      </c>
      <c r="C3584" s="6" t="s">
        <v>8102</v>
      </c>
      <c r="D3584" s="15" t="s">
        <v>958</v>
      </c>
      <c r="E3584" s="24">
        <v>5291</v>
      </c>
      <c r="F3584" s="26">
        <v>4</v>
      </c>
      <c r="G3584" s="24" t="s">
        <v>29</v>
      </c>
      <c r="H3584" s="67">
        <v>50</v>
      </c>
      <c r="I3584" s="68">
        <v>5</v>
      </c>
      <c r="J3584" s="67">
        <f>H3584*I3584</f>
        <v>250</v>
      </c>
      <c r="K3584" s="46">
        <v>0.35</v>
      </c>
      <c r="L3584" s="46">
        <f>K3584*J3584</f>
        <v>87.5</v>
      </c>
      <c r="M3584" s="162" t="s">
        <v>2219</v>
      </c>
      <c r="N3584" s="39">
        <v>45602</v>
      </c>
      <c r="O3584" s="38">
        <v>6611</v>
      </c>
      <c r="P3584" s="180">
        <v>0.13</v>
      </c>
      <c r="Q3584" s="180">
        <v>0.13</v>
      </c>
      <c r="R3584" s="704">
        <f>Q3584*J3584</f>
        <v>32.5</v>
      </c>
      <c r="S3584" s="489">
        <v>7.7</v>
      </c>
      <c r="T3584" s="113">
        <f>S3584*J3584</f>
        <v>1925</v>
      </c>
      <c r="U3584" s="867"/>
      <c r="V3584" s="494">
        <v>120</v>
      </c>
      <c r="W3584" s="2041">
        <f t="shared" si="285"/>
        <v>0.81666666666666665</v>
      </c>
    </row>
    <row r="3585" spans="1:23" ht="15.95" customHeight="1">
      <c r="C3585" s="6" t="s">
        <v>8102</v>
      </c>
      <c r="D3585" s="15" t="s">
        <v>958</v>
      </c>
      <c r="E3585" s="24"/>
      <c r="F3585" s="138"/>
      <c r="G3585" s="44" t="s">
        <v>1993</v>
      </c>
      <c r="H3585" s="8"/>
      <c r="I3585" s="41"/>
      <c r="J3585" s="45">
        <v>1</v>
      </c>
      <c r="K3585" s="46">
        <v>10</v>
      </c>
      <c r="L3585" s="46">
        <v>0</v>
      </c>
      <c r="M3585" s="112"/>
      <c r="N3585" s="39">
        <v>45602</v>
      </c>
      <c r="O3585" s="38">
        <v>6611</v>
      </c>
      <c r="P3585" s="179"/>
      <c r="Q3585" s="180">
        <v>10</v>
      </c>
      <c r="R3585" s="180">
        <v>10</v>
      </c>
      <c r="S3585" s="498">
        <v>850</v>
      </c>
      <c r="T3585" s="498">
        <v>850</v>
      </c>
      <c r="U3585" s="511"/>
      <c r="V3585" s="494">
        <v>120</v>
      </c>
      <c r="W3585" s="2041">
        <f t="shared" si="285"/>
        <v>0.29166666666666669</v>
      </c>
    </row>
    <row r="3586" spans="1:23" s="314" customFormat="1" ht="15" customHeight="1">
      <c r="B3586" s="313"/>
      <c r="C3586" s="302" t="s">
        <v>8102</v>
      </c>
      <c r="D3586" s="303" t="s">
        <v>958</v>
      </c>
      <c r="E3586" s="304"/>
      <c r="F3586" s="305"/>
      <c r="G3586" s="305" t="s">
        <v>1227</v>
      </c>
      <c r="H3586" s="410"/>
      <c r="I3586" s="308"/>
      <c r="J3586" s="410">
        <v>300</v>
      </c>
      <c r="K3586" s="315">
        <f>0.2*J3586</f>
        <v>60</v>
      </c>
      <c r="L3586" s="315"/>
      <c r="M3586" s="784"/>
      <c r="N3586" s="310">
        <v>45602</v>
      </c>
      <c r="O3586" s="309">
        <v>6611</v>
      </c>
      <c r="P3586" s="302"/>
      <c r="Q3586" s="315">
        <f>K3586-Q3585</f>
        <v>50</v>
      </c>
      <c r="R3586" s="315">
        <v>50</v>
      </c>
      <c r="S3586" s="2361">
        <v>2751</v>
      </c>
      <c r="T3586" s="2361">
        <v>2751</v>
      </c>
      <c r="U3586" s="1084"/>
      <c r="V3586" s="494">
        <v>120</v>
      </c>
      <c r="W3586" s="2041">
        <f t="shared" si="285"/>
        <v>0.61791666666666667</v>
      </c>
    </row>
    <row r="3587" spans="1:23" s="7" customFormat="1" ht="15" customHeight="1">
      <c r="A3587" s="1"/>
      <c r="B3587" s="12"/>
      <c r="C3587" s="6" t="s">
        <v>8107</v>
      </c>
      <c r="D3587" s="15" t="s">
        <v>5251</v>
      </c>
      <c r="E3587" s="20" t="s">
        <v>8109</v>
      </c>
      <c r="F3587" s="26"/>
      <c r="G3587" s="24"/>
      <c r="H3587" s="67"/>
      <c r="I3587" s="68"/>
      <c r="J3587" s="67"/>
      <c r="K3587" s="17" t="s">
        <v>10</v>
      </c>
      <c r="L3587" s="39"/>
      <c r="M3587" s="39"/>
      <c r="N3587" s="39">
        <v>45604</v>
      </c>
      <c r="O3587" s="38">
        <v>6624</v>
      </c>
      <c r="P3587" s="180" t="e">
        <f>K3587*(VLOOKUP(B3587,$C$2:$F$6,3,FALSE))</f>
        <v>#VALUE!</v>
      </c>
      <c r="Q3587" s="483"/>
      <c r="R3587" s="704"/>
      <c r="S3587" s="489"/>
      <c r="T3587" s="113">
        <f>S3587*J3587</f>
        <v>0</v>
      </c>
      <c r="U3587" s="517"/>
      <c r="V3587" s="494">
        <v>120</v>
      </c>
      <c r="W3587" s="2041" t="e">
        <f t="shared" si="285"/>
        <v>#VALUE!</v>
      </c>
    </row>
    <row r="3588" spans="1:23" s="7" customFormat="1" ht="15.75" customHeight="1">
      <c r="A3588" s="1"/>
      <c r="B3588" s="12" t="s">
        <v>1856</v>
      </c>
      <c r="C3588" s="6" t="s">
        <v>8107</v>
      </c>
      <c r="D3588" s="15" t="s">
        <v>5251</v>
      </c>
      <c r="E3588" s="24" t="s">
        <v>8108</v>
      </c>
      <c r="F3588" s="26"/>
      <c r="G3588" s="24" t="s">
        <v>7694</v>
      </c>
      <c r="H3588" s="151"/>
      <c r="I3588" s="41"/>
      <c r="J3588" s="67">
        <v>20</v>
      </c>
      <c r="K3588" s="25">
        <v>0.91</v>
      </c>
      <c r="L3588" s="46">
        <f>K3588*J3588</f>
        <v>18.2</v>
      </c>
      <c r="M3588" s="162" t="s">
        <v>2219</v>
      </c>
      <c r="N3588" s="39">
        <v>45604</v>
      </c>
      <c r="O3588" s="38">
        <v>6624</v>
      </c>
      <c r="P3588" s="180">
        <f>K3588*(VLOOKUP(B3588,$C$2:$F$6,3,FALSE))</f>
        <v>0.80080000000000007</v>
      </c>
      <c r="Q3588" s="483">
        <v>0.8</v>
      </c>
      <c r="R3588" s="704">
        <f>Q3588*J3588</f>
        <v>16</v>
      </c>
      <c r="S3588" s="489">
        <v>65</v>
      </c>
      <c r="T3588" s="113">
        <f>S3588*J3588</f>
        <v>1300</v>
      </c>
      <c r="U3588" s="517"/>
      <c r="V3588" s="494">
        <v>120</v>
      </c>
      <c r="W3588" s="2041">
        <f t="shared" si="285"/>
        <v>0.40476190476190477</v>
      </c>
    </row>
    <row r="3589" spans="1:23" ht="18" customHeight="1">
      <c r="B3589" s="12" t="s">
        <v>1862</v>
      </c>
      <c r="C3589" s="6" t="s">
        <v>8107</v>
      </c>
      <c r="D3589" s="15" t="s">
        <v>5251</v>
      </c>
      <c r="E3589" s="24"/>
      <c r="F3589" s="138"/>
      <c r="G3589" s="44" t="s">
        <v>1993</v>
      </c>
      <c r="H3589" s="8"/>
      <c r="I3589" s="41"/>
      <c r="J3589" s="45">
        <v>1</v>
      </c>
      <c r="K3589" s="46">
        <v>12</v>
      </c>
      <c r="L3589" s="46">
        <f>K3589*J3589</f>
        <v>12</v>
      </c>
      <c r="M3589" s="112"/>
      <c r="N3589" s="39">
        <v>45604</v>
      </c>
      <c r="O3589" s="38">
        <v>6624</v>
      </c>
      <c r="P3589" s="46">
        <f>K3589*(VLOOKUP(B3589,$C$2:$F$6,3,FALSE))</f>
        <v>12</v>
      </c>
      <c r="Q3589" s="483">
        <v>12</v>
      </c>
      <c r="R3589" s="704">
        <f>Q3589*J3589</f>
        <v>12</v>
      </c>
      <c r="S3589" s="489">
        <v>900</v>
      </c>
      <c r="T3589" s="113">
        <f>S3589*J3589</f>
        <v>900</v>
      </c>
      <c r="U3589" s="511"/>
      <c r="V3589" s="494">
        <v>120</v>
      </c>
      <c r="W3589" s="2041">
        <f t="shared" si="285"/>
        <v>0.375</v>
      </c>
    </row>
    <row r="3590" spans="1:23" s="314" customFormat="1" ht="15">
      <c r="A3590" s="1"/>
      <c r="B3590" s="313"/>
      <c r="C3590" s="302" t="s">
        <v>8107</v>
      </c>
      <c r="D3590" s="303" t="s">
        <v>5251</v>
      </c>
      <c r="E3590" s="304"/>
      <c r="F3590" s="305"/>
      <c r="G3590" s="305" t="s">
        <v>1227</v>
      </c>
      <c r="H3590" s="307" t="s">
        <v>1228</v>
      </c>
      <c r="I3590" s="308"/>
      <c r="J3590" s="306"/>
      <c r="K3590" s="315">
        <v>0</v>
      </c>
      <c r="L3590" s="310"/>
      <c r="M3590" s="310"/>
      <c r="N3590" s="310">
        <v>45604</v>
      </c>
      <c r="O3590" s="309">
        <v>6624</v>
      </c>
      <c r="P3590" s="302"/>
      <c r="Q3590" s="485">
        <v>0</v>
      </c>
      <c r="S3590" s="536">
        <v>0</v>
      </c>
      <c r="T3590" s="322">
        <v>0</v>
      </c>
      <c r="U3590" s="515"/>
      <c r="V3590" s="494">
        <v>120</v>
      </c>
      <c r="W3590" s="2041" t="e">
        <f t="shared" si="285"/>
        <v>#DIV/0!</v>
      </c>
    </row>
    <row r="3591" spans="1:23" s="7" customFormat="1" ht="18.600000000000001" customHeight="1">
      <c r="A3591" s="1"/>
      <c r="B3591" s="12"/>
      <c r="C3591" s="6" t="s">
        <v>8110</v>
      </c>
      <c r="D3591" s="15" t="s">
        <v>8033</v>
      </c>
      <c r="E3591" s="20" t="s">
        <v>1003</v>
      </c>
      <c r="F3591" s="24"/>
      <c r="G3591" s="44"/>
      <c r="H3591" s="151"/>
      <c r="I3591" s="151"/>
      <c r="J3591" s="151"/>
      <c r="K3591" s="153" t="s">
        <v>10</v>
      </c>
      <c r="L3591" s="39"/>
      <c r="M3591" s="162"/>
      <c r="N3591" s="39">
        <v>45610</v>
      </c>
      <c r="O3591" s="38">
        <v>6628</v>
      </c>
      <c r="P3591" s="6"/>
      <c r="Q3591" s="411"/>
      <c r="S3591" s="489"/>
      <c r="T3591" s="113"/>
      <c r="U3591" s="501"/>
      <c r="V3591" s="494">
        <v>120</v>
      </c>
      <c r="W3591" s="2041" t="e">
        <f t="shared" si="285"/>
        <v>#VALUE!</v>
      </c>
    </row>
    <row r="3592" spans="1:23" s="7" customFormat="1" ht="15.95" customHeight="1">
      <c r="A3592" s="1"/>
      <c r="B3592" s="12" t="s">
        <v>1856</v>
      </c>
      <c r="C3592" s="6" t="s">
        <v>8110</v>
      </c>
      <c r="D3592" s="15" t="s">
        <v>8033</v>
      </c>
      <c r="E3592" s="24" t="s">
        <v>1491</v>
      </c>
      <c r="F3592" s="44"/>
      <c r="G3592" s="44" t="s">
        <v>129</v>
      </c>
      <c r="H3592" s="67">
        <v>14</v>
      </c>
      <c r="I3592" s="68">
        <v>8</v>
      </c>
      <c r="J3592" s="67">
        <f>H3592*I3592</f>
        <v>112</v>
      </c>
      <c r="K3592" s="46">
        <v>2.54</v>
      </c>
      <c r="L3592" s="46">
        <f t="shared" ref="L3592:L3597" si="290">K3592*J3592</f>
        <v>284.48</v>
      </c>
      <c r="M3592" s="162" t="s">
        <v>2219</v>
      </c>
      <c r="N3592" s="39">
        <v>45610</v>
      </c>
      <c r="O3592" s="38">
        <v>6628</v>
      </c>
      <c r="P3592" s="46">
        <f t="shared" ref="P3592:P3597" si="291">K3592*(VLOOKUP(B3592,$C$2:$F$6,3,FALSE))</f>
        <v>2.2351999999999999</v>
      </c>
      <c r="Q3592" s="483">
        <v>2.2400000000000002</v>
      </c>
      <c r="R3592" s="704">
        <f t="shared" ref="R3592:R3597" si="292">Q3592*J3592</f>
        <v>250.88000000000002</v>
      </c>
      <c r="S3592" s="489">
        <v>135</v>
      </c>
      <c r="T3592" s="113">
        <f t="shared" ref="T3592:T3597" si="293">S3592*J3592</f>
        <v>15120</v>
      </c>
      <c r="U3592" s="512"/>
      <c r="V3592" s="494">
        <v>120</v>
      </c>
      <c r="W3592" s="2041">
        <f t="shared" si="285"/>
        <v>0.55708661417322836</v>
      </c>
    </row>
    <row r="3593" spans="1:23" s="7" customFormat="1" ht="15.95" customHeight="1">
      <c r="A3593" s="1"/>
      <c r="B3593" s="12" t="s">
        <v>1856</v>
      </c>
      <c r="C3593" s="6" t="s">
        <v>8110</v>
      </c>
      <c r="D3593" s="15" t="s">
        <v>8033</v>
      </c>
      <c r="E3593" s="24" t="s">
        <v>1121</v>
      </c>
      <c r="F3593" s="44"/>
      <c r="G3593" s="44" t="s">
        <v>129</v>
      </c>
      <c r="H3593" s="67">
        <v>14</v>
      </c>
      <c r="I3593" s="68">
        <v>8</v>
      </c>
      <c r="J3593" s="67">
        <f>H3593*I3593</f>
        <v>112</v>
      </c>
      <c r="K3593" s="46">
        <v>1.8</v>
      </c>
      <c r="L3593" s="46">
        <f t="shared" si="290"/>
        <v>201.6</v>
      </c>
      <c r="M3593" s="162" t="s">
        <v>2219</v>
      </c>
      <c r="N3593" s="39">
        <v>45610</v>
      </c>
      <c r="O3593" s="38">
        <v>6628</v>
      </c>
      <c r="P3593" s="46">
        <f t="shared" si="291"/>
        <v>1.5840000000000001</v>
      </c>
      <c r="Q3593" s="483">
        <v>1.58</v>
      </c>
      <c r="R3593" s="704">
        <f t="shared" si="292"/>
        <v>176.96</v>
      </c>
      <c r="S3593" s="489">
        <v>90</v>
      </c>
      <c r="T3593" s="567">
        <f t="shared" si="293"/>
        <v>10080</v>
      </c>
      <c r="U3593" s="512"/>
      <c r="V3593" s="494">
        <v>120</v>
      </c>
      <c r="W3593" s="2041">
        <f t="shared" si="285"/>
        <v>0.58333333333333337</v>
      </c>
    </row>
    <row r="3594" spans="1:23" s="7" customFormat="1" ht="15.95" customHeight="1">
      <c r="A3594" s="1"/>
      <c r="B3594" s="12" t="s">
        <v>1856</v>
      </c>
      <c r="C3594" s="6" t="s">
        <v>8110</v>
      </c>
      <c r="D3594" s="15" t="s">
        <v>8033</v>
      </c>
      <c r="E3594" s="24" t="s">
        <v>1489</v>
      </c>
      <c r="F3594" s="44"/>
      <c r="G3594" s="44" t="s">
        <v>129</v>
      </c>
      <c r="H3594" s="67">
        <v>14</v>
      </c>
      <c r="I3594" s="68">
        <v>8</v>
      </c>
      <c r="J3594" s="67">
        <f>H3594*I3594</f>
        <v>112</v>
      </c>
      <c r="K3594" s="46">
        <v>2.23</v>
      </c>
      <c r="L3594" s="46">
        <f t="shared" si="290"/>
        <v>249.76</v>
      </c>
      <c r="M3594" s="162" t="s">
        <v>2219</v>
      </c>
      <c r="N3594" s="39">
        <v>45610</v>
      </c>
      <c r="O3594" s="38">
        <v>6628</v>
      </c>
      <c r="P3594" s="46">
        <f t="shared" si="291"/>
        <v>1.9623999999999999</v>
      </c>
      <c r="Q3594" s="483">
        <v>1.96</v>
      </c>
      <c r="R3594" s="704">
        <f t="shared" si="292"/>
        <v>219.51999999999998</v>
      </c>
      <c r="S3594" s="489">
        <v>115</v>
      </c>
      <c r="T3594" s="113">
        <f t="shared" si="293"/>
        <v>12880</v>
      </c>
      <c r="U3594" s="512"/>
      <c r="V3594" s="494">
        <v>120</v>
      </c>
      <c r="W3594" s="2041">
        <f t="shared" ref="W3594:W3603" si="294">(((K3594*V3594)-S3594)/(K3594*V3594))</f>
        <v>0.57025411061285503</v>
      </c>
    </row>
    <row r="3595" spans="1:23" s="7" customFormat="1" ht="15.95" customHeight="1">
      <c r="A3595" s="1"/>
      <c r="B3595" s="12" t="s">
        <v>1856</v>
      </c>
      <c r="C3595" s="6" t="s">
        <v>8110</v>
      </c>
      <c r="D3595" s="15" t="s">
        <v>8033</v>
      </c>
      <c r="E3595" s="24" t="s">
        <v>2349</v>
      </c>
      <c r="F3595" s="44"/>
      <c r="G3595" s="44" t="s">
        <v>78</v>
      </c>
      <c r="H3595" s="8">
        <v>14</v>
      </c>
      <c r="I3595" s="68">
        <v>8</v>
      </c>
      <c r="J3595" s="67">
        <f>I3595*H3595</f>
        <v>112</v>
      </c>
      <c r="K3595" s="46">
        <v>1.88</v>
      </c>
      <c r="L3595" s="46">
        <f t="shared" si="290"/>
        <v>210.56</v>
      </c>
      <c r="M3595" s="162" t="s">
        <v>2219</v>
      </c>
      <c r="N3595" s="39">
        <v>45610</v>
      </c>
      <c r="O3595" s="38">
        <v>6628</v>
      </c>
      <c r="P3595" s="46">
        <f t="shared" si="291"/>
        <v>1.6543999999999999</v>
      </c>
      <c r="Q3595" s="483">
        <v>1.65</v>
      </c>
      <c r="R3595" s="704">
        <f t="shared" si="292"/>
        <v>184.79999999999998</v>
      </c>
      <c r="S3595" s="489">
        <v>135</v>
      </c>
      <c r="T3595" s="567">
        <f t="shared" si="293"/>
        <v>15120</v>
      </c>
      <c r="U3595" s="517"/>
      <c r="V3595" s="494">
        <v>120</v>
      </c>
      <c r="W3595" s="2041">
        <f t="shared" si="294"/>
        <v>0.40159574468085107</v>
      </c>
    </row>
    <row r="3596" spans="1:23" s="7" customFormat="1" ht="15.95" customHeight="1">
      <c r="A3596" s="1"/>
      <c r="B3596" s="12" t="s">
        <v>1856</v>
      </c>
      <c r="C3596" s="6" t="s">
        <v>8110</v>
      </c>
      <c r="D3596" s="15" t="s">
        <v>8033</v>
      </c>
      <c r="E3596" s="24" t="s">
        <v>1537</v>
      </c>
      <c r="F3596" s="44"/>
      <c r="G3596" s="44" t="s">
        <v>129</v>
      </c>
      <c r="H3596" s="67">
        <v>14</v>
      </c>
      <c r="I3596" s="68">
        <v>8</v>
      </c>
      <c r="J3596" s="67">
        <f>H3596*I3596</f>
        <v>112</v>
      </c>
      <c r="K3596" s="46">
        <v>1.89</v>
      </c>
      <c r="L3596" s="46">
        <f t="shared" si="290"/>
        <v>211.67999999999998</v>
      </c>
      <c r="M3596" s="162" t="s">
        <v>2219</v>
      </c>
      <c r="N3596" s="39">
        <v>45610</v>
      </c>
      <c r="O3596" s="38">
        <v>6628</v>
      </c>
      <c r="P3596" s="46">
        <f t="shared" si="291"/>
        <v>1.6632</v>
      </c>
      <c r="Q3596" s="483">
        <v>1.66</v>
      </c>
      <c r="R3596" s="704">
        <f t="shared" si="292"/>
        <v>185.92</v>
      </c>
      <c r="S3596" s="489">
        <v>80</v>
      </c>
      <c r="T3596" s="113">
        <f t="shared" si="293"/>
        <v>8960</v>
      </c>
      <c r="U3596" s="512"/>
      <c r="V3596" s="494">
        <v>120</v>
      </c>
      <c r="W3596" s="2041">
        <f t="shared" si="294"/>
        <v>0.64726631393298062</v>
      </c>
    </row>
    <row r="3597" spans="1:23" s="218" customFormat="1" ht="15">
      <c r="A3597" s="1"/>
      <c r="B3597" s="541"/>
      <c r="C3597" s="6" t="s">
        <v>8110</v>
      </c>
      <c r="D3597" s="15" t="s">
        <v>8033</v>
      </c>
      <c r="E3597" s="24"/>
      <c r="F3597" s="26"/>
      <c r="G3597" s="24" t="s">
        <v>31</v>
      </c>
      <c r="H3597" s="45"/>
      <c r="I3597" s="41"/>
      <c r="J3597" s="45">
        <v>1</v>
      </c>
      <c r="K3597" s="46">
        <v>15</v>
      </c>
      <c r="L3597" s="46">
        <f t="shared" si="290"/>
        <v>15</v>
      </c>
      <c r="M3597" s="39"/>
      <c r="N3597" s="39">
        <v>45610</v>
      </c>
      <c r="O3597" s="38">
        <v>6628</v>
      </c>
      <c r="P3597" s="46" t="e">
        <f t="shared" si="291"/>
        <v>#N/A</v>
      </c>
      <c r="Q3597" s="483">
        <v>15</v>
      </c>
      <c r="R3597" s="704">
        <f t="shared" si="292"/>
        <v>15</v>
      </c>
      <c r="S3597" s="489">
        <v>900</v>
      </c>
      <c r="T3597" s="113">
        <f t="shared" si="293"/>
        <v>900</v>
      </c>
      <c r="U3597" s="504"/>
      <c r="V3597" s="494">
        <v>120</v>
      </c>
      <c r="W3597" s="2041">
        <f t="shared" si="294"/>
        <v>0.5</v>
      </c>
    </row>
    <row r="3598" spans="1:23" s="314" customFormat="1" ht="15">
      <c r="A3598" s="1"/>
      <c r="B3598" s="313"/>
      <c r="C3598" s="302" t="s">
        <v>8110</v>
      </c>
      <c r="D3598" s="303" t="s">
        <v>8033</v>
      </c>
      <c r="E3598" s="304"/>
      <c r="F3598" s="305"/>
      <c r="G3598" s="305" t="s">
        <v>1227</v>
      </c>
      <c r="H3598" s="307" t="s">
        <v>1228</v>
      </c>
      <c r="I3598" s="308"/>
      <c r="J3598" s="306"/>
      <c r="K3598" s="315">
        <v>0</v>
      </c>
      <c r="L3598" s="310"/>
      <c r="M3598" s="310"/>
      <c r="N3598" s="310">
        <v>45610</v>
      </c>
      <c r="O3598" s="309">
        <v>6628</v>
      </c>
      <c r="P3598" s="302"/>
      <c r="Q3598" s="485">
        <v>0</v>
      </c>
      <c r="S3598" s="535">
        <v>0</v>
      </c>
      <c r="T3598" s="322">
        <v>0</v>
      </c>
      <c r="U3598" s="515"/>
      <c r="V3598" s="494">
        <v>120</v>
      </c>
      <c r="W3598" s="2041" t="e">
        <f t="shared" si="294"/>
        <v>#DIV/0!</v>
      </c>
    </row>
    <row r="3599" spans="1:23" s="7" customFormat="1" ht="15" customHeight="1">
      <c r="A3599" s="1"/>
      <c r="B3599" s="12"/>
      <c r="C3599" s="6" t="s">
        <v>8139</v>
      </c>
      <c r="D3599" s="15" t="s">
        <v>5251</v>
      </c>
      <c r="E3599" s="20" t="s">
        <v>8109</v>
      </c>
      <c r="F3599" s="26"/>
      <c r="G3599" s="24"/>
      <c r="H3599" s="67"/>
      <c r="I3599" s="68"/>
      <c r="J3599" s="67"/>
      <c r="K3599" s="17" t="s">
        <v>10</v>
      </c>
      <c r="L3599" s="39"/>
      <c r="M3599" s="39"/>
      <c r="N3599" s="39">
        <v>45646</v>
      </c>
      <c r="O3599" s="38">
        <v>6723</v>
      </c>
      <c r="P3599" s="180" t="e">
        <f>K3599*(VLOOKUP(B3599,$C$2:$F$6,3,FALSE))</f>
        <v>#VALUE!</v>
      </c>
      <c r="Q3599" s="483"/>
      <c r="R3599" s="704"/>
      <c r="S3599" s="489"/>
      <c r="T3599" s="113">
        <f>S3599*J3599</f>
        <v>0</v>
      </c>
      <c r="U3599" s="517"/>
      <c r="V3599" s="494">
        <v>120</v>
      </c>
      <c r="W3599" s="2041" t="e">
        <f t="shared" si="294"/>
        <v>#VALUE!</v>
      </c>
    </row>
    <row r="3600" spans="1:23" s="7" customFormat="1" ht="15.75" customHeight="1">
      <c r="A3600" s="1"/>
      <c r="B3600" s="12" t="s">
        <v>1862</v>
      </c>
      <c r="C3600" s="6" t="s">
        <v>8139</v>
      </c>
      <c r="D3600" s="15" t="s">
        <v>5251</v>
      </c>
      <c r="E3600" s="24" t="s">
        <v>8186</v>
      </c>
      <c r="F3600" s="26"/>
      <c r="G3600" s="24" t="s">
        <v>8122</v>
      </c>
      <c r="H3600" s="151"/>
      <c r="I3600" s="41"/>
      <c r="J3600" s="45">
        <v>1</v>
      </c>
      <c r="K3600" s="25">
        <v>65</v>
      </c>
      <c r="L3600" s="46">
        <f>K3600*J3600</f>
        <v>65</v>
      </c>
      <c r="M3600" s="162" t="s">
        <v>2219</v>
      </c>
      <c r="N3600" s="39">
        <v>45646</v>
      </c>
      <c r="O3600" s="38">
        <v>6723</v>
      </c>
      <c r="P3600" s="180">
        <f>K3600*(VLOOKUP(B3600,$C$2:$F$6,3,FALSE))</f>
        <v>65</v>
      </c>
      <c r="Q3600" s="483">
        <v>65</v>
      </c>
      <c r="R3600" s="704">
        <f>Q3600*J3600</f>
        <v>65</v>
      </c>
      <c r="S3600" s="489">
        <v>6000</v>
      </c>
      <c r="T3600" s="113">
        <f>S3600*J3600</f>
        <v>6000</v>
      </c>
      <c r="U3600" s="517"/>
      <c r="V3600" s="494">
        <v>120</v>
      </c>
      <c r="W3600" s="2041">
        <f t="shared" si="294"/>
        <v>0.23076923076923078</v>
      </c>
    </row>
    <row r="3601" spans="1:23" s="7" customFormat="1" ht="15.75" customHeight="1">
      <c r="A3601" s="1"/>
      <c r="B3601" s="12" t="s">
        <v>1856</v>
      </c>
      <c r="C3601" s="6" t="s">
        <v>8139</v>
      </c>
      <c r="D3601" s="15" t="s">
        <v>5251</v>
      </c>
      <c r="E3601" s="24" t="s">
        <v>8186</v>
      </c>
      <c r="F3601" s="26"/>
      <c r="G3601" s="24" t="s">
        <v>8123</v>
      </c>
      <c r="H3601" s="151"/>
      <c r="I3601" s="41"/>
      <c r="J3601" s="67">
        <v>20</v>
      </c>
      <c r="K3601" s="25">
        <v>1.74</v>
      </c>
      <c r="L3601" s="46">
        <f>K3601*J3601</f>
        <v>34.799999999999997</v>
      </c>
      <c r="M3601" s="162" t="s">
        <v>2219</v>
      </c>
      <c r="N3601" s="39">
        <v>45646</v>
      </c>
      <c r="O3601" s="38">
        <v>6723</v>
      </c>
      <c r="P3601" s="180">
        <f>K3601*(VLOOKUP(B3601,$C$2:$F$6,3,FALSE))</f>
        <v>1.5311999999999999</v>
      </c>
      <c r="Q3601" s="483">
        <v>1.53</v>
      </c>
      <c r="R3601" s="704">
        <f>Q3601*J3601</f>
        <v>30.6</v>
      </c>
      <c r="S3601" s="532">
        <v>125</v>
      </c>
      <c r="T3601" s="113">
        <f>S3601*J3601</f>
        <v>2500</v>
      </c>
      <c r="U3601" s="517"/>
      <c r="V3601" s="494">
        <v>120</v>
      </c>
      <c r="W3601" s="2041">
        <f t="shared" si="294"/>
        <v>0.40134099616858243</v>
      </c>
    </row>
    <row r="3602" spans="1:23" s="7" customFormat="1" ht="15.75" customHeight="1">
      <c r="A3602" s="1"/>
      <c r="B3602" s="12" t="s">
        <v>1856</v>
      </c>
      <c r="C3602" s="6" t="s">
        <v>8139</v>
      </c>
      <c r="D3602" s="15" t="s">
        <v>5251</v>
      </c>
      <c r="E3602" s="24" t="s">
        <v>8186</v>
      </c>
      <c r="F3602" s="26"/>
      <c r="G3602" s="24" t="s">
        <v>8124</v>
      </c>
      <c r="H3602" s="151"/>
      <c r="I3602" s="41"/>
      <c r="J3602" s="67">
        <v>20</v>
      </c>
      <c r="K3602" s="25">
        <v>1.74</v>
      </c>
      <c r="L3602" s="46">
        <f>K3602*J3602</f>
        <v>34.799999999999997</v>
      </c>
      <c r="M3602" s="162" t="s">
        <v>2219</v>
      </c>
      <c r="N3602" s="39">
        <v>45646</v>
      </c>
      <c r="O3602" s="38">
        <v>6723</v>
      </c>
      <c r="P3602" s="180">
        <f>K3602*(VLOOKUP(B3602,$C$2:$F$6,3,FALSE))</f>
        <v>1.5311999999999999</v>
      </c>
      <c r="Q3602" s="483">
        <v>1.53</v>
      </c>
      <c r="R3602" s="704">
        <f>Q3602*J3602</f>
        <v>30.6</v>
      </c>
      <c r="S3602" s="532">
        <v>125</v>
      </c>
      <c r="T3602" s="113">
        <f>S3602*J3602</f>
        <v>2500</v>
      </c>
      <c r="U3602" s="517"/>
      <c r="V3602" s="494">
        <v>120</v>
      </c>
      <c r="W3602" s="2041">
        <f t="shared" si="294"/>
        <v>0.40134099616858243</v>
      </c>
    </row>
    <row r="3603" spans="1:23" s="7" customFormat="1" ht="15.75" customHeight="1">
      <c r="A3603" s="1"/>
      <c r="B3603" s="12" t="s">
        <v>1862</v>
      </c>
      <c r="C3603" s="6" t="s">
        <v>8139</v>
      </c>
      <c r="D3603" s="15" t="s">
        <v>5251</v>
      </c>
      <c r="E3603" s="24" t="s">
        <v>8186</v>
      </c>
      <c r="F3603" s="26"/>
      <c r="G3603" s="24" t="s">
        <v>3334</v>
      </c>
      <c r="H3603" s="151"/>
      <c r="I3603" s="41"/>
      <c r="J3603" s="45">
        <v>2</v>
      </c>
      <c r="K3603" s="25">
        <v>75</v>
      </c>
      <c r="L3603" s="46">
        <f>K3603*J3603</f>
        <v>150</v>
      </c>
      <c r="M3603" s="162" t="s">
        <v>2219</v>
      </c>
      <c r="N3603" s="39">
        <v>45646</v>
      </c>
      <c r="O3603" s="38">
        <v>6723</v>
      </c>
      <c r="P3603" s="180">
        <f>K3603*(VLOOKUP(B3603,$C$2:$F$6,3,FALSE))</f>
        <v>75</v>
      </c>
      <c r="Q3603" s="483">
        <v>75</v>
      </c>
      <c r="R3603" s="704">
        <f>Q3603*J3603</f>
        <v>150</v>
      </c>
      <c r="S3603" s="489">
        <v>7000</v>
      </c>
      <c r="T3603" s="113">
        <f>S3603*J3603</f>
        <v>14000</v>
      </c>
      <c r="U3603" s="517"/>
      <c r="V3603" s="494">
        <v>120</v>
      </c>
      <c r="W3603" s="2041">
        <f t="shared" si="294"/>
        <v>0.22222222222222221</v>
      </c>
    </row>
    <row r="3604" spans="1:23" s="7" customFormat="1" ht="15.75" customHeight="1">
      <c r="A3604" s="1"/>
      <c r="B3604" s="12"/>
      <c r="C3604" s="6" t="s">
        <v>8138</v>
      </c>
      <c r="D3604" s="15" t="s">
        <v>5251</v>
      </c>
      <c r="E3604" s="20" t="s">
        <v>8215</v>
      </c>
      <c r="F3604" s="26"/>
      <c r="G3604" s="24"/>
      <c r="H3604" s="151"/>
      <c r="I3604" s="41"/>
      <c r="J3604" s="67"/>
      <c r="K3604" s="25"/>
      <c r="L3604" s="46"/>
      <c r="M3604" s="162"/>
      <c r="N3604" s="39">
        <v>45646</v>
      </c>
      <c r="O3604" s="38">
        <v>6723</v>
      </c>
      <c r="P3604" s="180"/>
      <c r="Q3604" s="483"/>
      <c r="R3604" s="704"/>
      <c r="S3604" s="489">
        <v>0</v>
      </c>
      <c r="T3604" s="113"/>
      <c r="U3604" s="2429"/>
      <c r="V3604" s="494"/>
      <c r="W3604" s="2041"/>
    </row>
    <row r="3605" spans="1:23" s="7" customFormat="1" ht="15.75" customHeight="1">
      <c r="A3605" s="1"/>
      <c r="B3605" s="12" t="s">
        <v>1862</v>
      </c>
      <c r="C3605" s="6" t="s">
        <v>8233</v>
      </c>
      <c r="D3605" s="15" t="s">
        <v>5251</v>
      </c>
      <c r="E3605" s="24" t="s">
        <v>8204</v>
      </c>
      <c r="F3605" s="26"/>
      <c r="G3605" s="24" t="s">
        <v>8122</v>
      </c>
      <c r="H3605" s="151"/>
      <c r="I3605" s="41"/>
      <c r="J3605" s="45">
        <v>1</v>
      </c>
      <c r="K3605" s="25">
        <v>65</v>
      </c>
      <c r="L3605" s="46">
        <f>K3605*J3605</f>
        <v>65</v>
      </c>
      <c r="M3605" s="162" t="s">
        <v>2219</v>
      </c>
      <c r="N3605" s="39">
        <v>45646</v>
      </c>
      <c r="O3605" s="38">
        <v>6723</v>
      </c>
      <c r="P3605" s="180">
        <f>K3605*(VLOOKUP(B3605,$C$2:$F$6,3,FALSE))</f>
        <v>65</v>
      </c>
      <c r="Q3605" s="483">
        <v>65</v>
      </c>
      <c r="R3605" s="704">
        <f>Q3605*J3605</f>
        <v>65</v>
      </c>
      <c r="S3605" s="489">
        <v>6000</v>
      </c>
      <c r="T3605" s="113">
        <f>S3605*J3605</f>
        <v>6000</v>
      </c>
      <c r="U3605" s="517"/>
      <c r="V3605" s="494">
        <v>120</v>
      </c>
      <c r="W3605" s="2041">
        <f>(((K3605*V3605)-S3605)/(K3605*V3605))</f>
        <v>0.23076923076923078</v>
      </c>
    </row>
    <row r="3606" spans="1:23" s="7" customFormat="1" ht="15.75" customHeight="1">
      <c r="A3606" s="1"/>
      <c r="B3606" s="12" t="s">
        <v>1856</v>
      </c>
      <c r="C3606" s="6" t="s">
        <v>8138</v>
      </c>
      <c r="D3606" s="15" t="s">
        <v>5251</v>
      </c>
      <c r="E3606" s="24" t="s">
        <v>8204</v>
      </c>
      <c r="F3606" s="26"/>
      <c r="G3606" s="24" t="s">
        <v>8123</v>
      </c>
      <c r="H3606" s="151"/>
      <c r="I3606" s="41"/>
      <c r="J3606" s="67">
        <v>10</v>
      </c>
      <c r="K3606" s="25">
        <v>1.6</v>
      </c>
      <c r="L3606" s="46">
        <f>K3606*J3606</f>
        <v>16</v>
      </c>
      <c r="M3606" s="162" t="s">
        <v>2219</v>
      </c>
      <c r="N3606" s="39">
        <v>45646</v>
      </c>
      <c r="O3606" s="38">
        <v>6723</v>
      </c>
      <c r="P3606" s="180">
        <f>K3606*(VLOOKUP(B3606,$C$2:$F$6,3,FALSE))</f>
        <v>1.4080000000000001</v>
      </c>
      <c r="Q3606" s="483">
        <v>1.41</v>
      </c>
      <c r="R3606" s="704">
        <f>Q3606*J3606</f>
        <v>14.1</v>
      </c>
      <c r="S3606" s="532">
        <v>115</v>
      </c>
      <c r="T3606" s="113">
        <f>S3606*J3606</f>
        <v>1150</v>
      </c>
      <c r="U3606" s="517"/>
      <c r="V3606" s="494">
        <v>120</v>
      </c>
      <c r="W3606" s="2041">
        <f>(((K3606*V3606)-S3606)/(K3606*V3606))</f>
        <v>0.40104166666666669</v>
      </c>
    </row>
    <row r="3607" spans="1:23" s="7" customFormat="1" ht="15.75" customHeight="1">
      <c r="A3607" s="1"/>
      <c r="B3607" s="12" t="s">
        <v>1856</v>
      </c>
      <c r="C3607" s="6" t="s">
        <v>8138</v>
      </c>
      <c r="D3607" s="15" t="s">
        <v>5251</v>
      </c>
      <c r="E3607" s="24" t="s">
        <v>8204</v>
      </c>
      <c r="F3607" s="26"/>
      <c r="G3607" s="24" t="s">
        <v>8124</v>
      </c>
      <c r="H3607" s="151"/>
      <c r="I3607" s="41"/>
      <c r="J3607" s="67">
        <v>10</v>
      </c>
      <c r="K3607" s="25">
        <v>1.6</v>
      </c>
      <c r="L3607" s="46">
        <f>K3607*J3607</f>
        <v>16</v>
      </c>
      <c r="M3607" s="162" t="s">
        <v>2219</v>
      </c>
      <c r="N3607" s="39">
        <v>45646</v>
      </c>
      <c r="O3607" s="38">
        <v>6723</v>
      </c>
      <c r="P3607" s="180">
        <f>K3607*(VLOOKUP(B3607,$C$2:$F$6,3,FALSE))</f>
        <v>1.4080000000000001</v>
      </c>
      <c r="Q3607" s="483">
        <v>1.41</v>
      </c>
      <c r="R3607" s="704">
        <f>Q3607*J3607</f>
        <v>14.1</v>
      </c>
      <c r="S3607" s="532">
        <v>115</v>
      </c>
      <c r="T3607" s="113">
        <f>S3607*J3607</f>
        <v>1150</v>
      </c>
      <c r="U3607" s="517"/>
      <c r="V3607" s="494">
        <v>120</v>
      </c>
      <c r="W3607" s="2041">
        <f>(((K3607*V3607)-S3607)/(K3607*V3607))</f>
        <v>0.40104166666666669</v>
      </c>
    </row>
    <row r="3608" spans="1:23" s="7" customFormat="1" ht="15.75" customHeight="1">
      <c r="A3608" s="1"/>
      <c r="B3608" s="12"/>
      <c r="C3608" s="6" t="s">
        <v>8139</v>
      </c>
      <c r="D3608" s="15" t="s">
        <v>5251</v>
      </c>
      <c r="E3608" s="20" t="s">
        <v>8215</v>
      </c>
      <c r="F3608" s="26"/>
      <c r="G3608" s="24"/>
      <c r="H3608" s="151"/>
      <c r="I3608" s="41"/>
      <c r="J3608" s="67" t="s">
        <v>8221</v>
      </c>
      <c r="K3608" s="25"/>
      <c r="L3608" s="46"/>
      <c r="M3608" s="162"/>
      <c r="N3608" s="39">
        <v>45646</v>
      </c>
      <c r="O3608" s="38">
        <v>6723</v>
      </c>
      <c r="P3608" s="180"/>
      <c r="Q3608" s="483"/>
      <c r="R3608" s="704"/>
      <c r="S3608" s="489">
        <v>0</v>
      </c>
      <c r="T3608" s="113"/>
      <c r="U3608" s="2429"/>
      <c r="V3608" s="494"/>
      <c r="W3608" s="2041"/>
    </row>
    <row r="3609" spans="1:23" s="7" customFormat="1" ht="15.75" customHeight="1">
      <c r="A3609" s="1"/>
      <c r="B3609" s="12" t="s">
        <v>1862</v>
      </c>
      <c r="C3609" s="6" t="s">
        <v>8138</v>
      </c>
      <c r="D3609" s="15" t="s">
        <v>5251</v>
      </c>
      <c r="E3609" s="24" t="s">
        <v>8205</v>
      </c>
      <c r="F3609" s="26"/>
      <c r="G3609" s="24" t="s">
        <v>8122</v>
      </c>
      <c r="H3609" s="151"/>
      <c r="I3609" s="41"/>
      <c r="J3609" s="45">
        <v>1</v>
      </c>
      <c r="K3609" s="25">
        <v>65</v>
      </c>
      <c r="L3609" s="46">
        <f>K3609*J3609</f>
        <v>65</v>
      </c>
      <c r="M3609" s="162" t="s">
        <v>2219</v>
      </c>
      <c r="N3609" s="39">
        <v>45646</v>
      </c>
      <c r="O3609" s="38">
        <v>6723</v>
      </c>
      <c r="P3609" s="180">
        <f>K3609*(VLOOKUP(B3609,$C$2:$F$6,3,FALSE))</f>
        <v>65</v>
      </c>
      <c r="Q3609" s="483">
        <v>65</v>
      </c>
      <c r="R3609" s="704">
        <f>Q3609*J3609</f>
        <v>65</v>
      </c>
      <c r="S3609" s="489">
        <v>6000</v>
      </c>
      <c r="T3609" s="113">
        <f>S3609*J3609</f>
        <v>6000</v>
      </c>
      <c r="U3609" s="517"/>
      <c r="V3609" s="494">
        <v>120</v>
      </c>
      <c r="W3609" s="2041">
        <f>(((K3609*V3609)-S3609)/(K3609*V3609))</f>
        <v>0.23076923076923078</v>
      </c>
    </row>
    <row r="3610" spans="1:23" s="7" customFormat="1" ht="15.75" customHeight="1">
      <c r="A3610" s="1"/>
      <c r="B3610" s="12" t="s">
        <v>1856</v>
      </c>
      <c r="C3610" s="6" t="s">
        <v>8138</v>
      </c>
      <c r="D3610" s="15" t="s">
        <v>5251</v>
      </c>
      <c r="E3610" s="24" t="s">
        <v>8205</v>
      </c>
      <c r="F3610" s="26"/>
      <c r="G3610" s="24" t="s">
        <v>8123</v>
      </c>
      <c r="H3610" s="151"/>
      <c r="I3610" s="41"/>
      <c r="J3610" s="67">
        <v>10</v>
      </c>
      <c r="K3610" s="25">
        <v>1.95</v>
      </c>
      <c r="L3610" s="46">
        <f>K3610*J3610</f>
        <v>19.5</v>
      </c>
      <c r="M3610" s="162" t="s">
        <v>2219</v>
      </c>
      <c r="N3610" s="39">
        <v>45646</v>
      </c>
      <c r="O3610" s="38">
        <v>6723</v>
      </c>
      <c r="P3610" s="180">
        <f>K3610*(VLOOKUP(B3610,$C$2:$F$6,3,FALSE))</f>
        <v>1.716</v>
      </c>
      <c r="Q3610" s="483">
        <v>1.72</v>
      </c>
      <c r="R3610" s="704">
        <f>Q3610*J3610</f>
        <v>17.2</v>
      </c>
      <c r="S3610" s="532">
        <v>140</v>
      </c>
      <c r="T3610" s="113">
        <f>S3610*J3610</f>
        <v>1400</v>
      </c>
      <c r="U3610" s="517"/>
      <c r="V3610" s="494">
        <v>120</v>
      </c>
      <c r="W3610" s="2041">
        <f>(((K3610*V3610)-S3610)/(K3610*V3610))</f>
        <v>0.40170940170940173</v>
      </c>
    </row>
    <row r="3611" spans="1:23" s="7" customFormat="1" ht="15.75" customHeight="1">
      <c r="A3611" s="1"/>
      <c r="B3611" s="12" t="s">
        <v>1856</v>
      </c>
      <c r="C3611" s="6" t="s">
        <v>8138</v>
      </c>
      <c r="D3611" s="15" t="s">
        <v>5251</v>
      </c>
      <c r="E3611" s="24" t="s">
        <v>8205</v>
      </c>
      <c r="F3611" s="26"/>
      <c r="G3611" s="24" t="s">
        <v>8124</v>
      </c>
      <c r="H3611" s="151"/>
      <c r="I3611" s="41"/>
      <c r="J3611" s="67">
        <v>10</v>
      </c>
      <c r="K3611" s="25">
        <v>1.95</v>
      </c>
      <c r="L3611" s="46">
        <f>K3611*J3611</f>
        <v>19.5</v>
      </c>
      <c r="M3611" s="162" t="s">
        <v>2219</v>
      </c>
      <c r="N3611" s="39">
        <v>45646</v>
      </c>
      <c r="O3611" s="38">
        <v>6723</v>
      </c>
      <c r="P3611" s="180">
        <f>K3611*(VLOOKUP(B3611,$C$2:$F$6,3,FALSE))</f>
        <v>1.716</v>
      </c>
      <c r="Q3611" s="483">
        <v>1.72</v>
      </c>
      <c r="R3611" s="704">
        <f>Q3611*J3611</f>
        <v>17.2</v>
      </c>
      <c r="S3611" s="532">
        <v>140</v>
      </c>
      <c r="T3611" s="113">
        <f>S3611*J3611</f>
        <v>1400</v>
      </c>
      <c r="U3611" s="517"/>
      <c r="V3611" s="494">
        <v>120</v>
      </c>
      <c r="W3611" s="2041">
        <f>(((K3611*V3611)-S3611)/(K3611*V3611))</f>
        <v>0.40170940170940173</v>
      </c>
    </row>
    <row r="3612" spans="1:23" s="7" customFormat="1" ht="15.75" customHeight="1">
      <c r="A3612" s="1"/>
      <c r="B3612" s="12"/>
      <c r="C3612" s="6" t="s">
        <v>8138</v>
      </c>
      <c r="D3612" s="15" t="s">
        <v>5251</v>
      </c>
      <c r="E3612" s="20" t="s">
        <v>8215</v>
      </c>
      <c r="F3612" s="26"/>
      <c r="G3612" s="24"/>
      <c r="H3612" s="151"/>
      <c r="I3612" s="41"/>
      <c r="J3612" s="67"/>
      <c r="K3612" s="25"/>
      <c r="L3612" s="46"/>
      <c r="M3612" s="162"/>
      <c r="N3612" s="39">
        <v>45646</v>
      </c>
      <c r="O3612" s="38">
        <v>6723</v>
      </c>
      <c r="P3612" s="180"/>
      <c r="Q3612" s="483"/>
      <c r="R3612" s="704"/>
      <c r="S3612" s="489">
        <v>0</v>
      </c>
      <c r="T3612" s="113"/>
      <c r="U3612" s="2429"/>
      <c r="V3612" s="494"/>
      <c r="W3612" s="2041"/>
    </row>
    <row r="3613" spans="1:23" s="7" customFormat="1" ht="15.75" customHeight="1">
      <c r="A3613" s="1"/>
      <c r="B3613" s="12" t="s">
        <v>1862</v>
      </c>
      <c r="C3613" s="6" t="s">
        <v>8138</v>
      </c>
      <c r="D3613" s="15" t="s">
        <v>5251</v>
      </c>
      <c r="E3613" s="24" t="s">
        <v>8206</v>
      </c>
      <c r="F3613" s="26"/>
      <c r="G3613" s="24" t="s">
        <v>8122</v>
      </c>
      <c r="H3613" s="151"/>
      <c r="I3613" s="41"/>
      <c r="J3613" s="45">
        <v>1</v>
      </c>
      <c r="K3613" s="25">
        <v>65</v>
      </c>
      <c r="L3613" s="46">
        <f>K3613*J3613</f>
        <v>65</v>
      </c>
      <c r="M3613" s="162" t="s">
        <v>2219</v>
      </c>
      <c r="N3613" s="39">
        <v>45646</v>
      </c>
      <c r="O3613" s="38">
        <v>6723</v>
      </c>
      <c r="P3613" s="180">
        <f>K3613*(VLOOKUP(B3613,$C$2:$F$6,3,FALSE))</f>
        <v>65</v>
      </c>
      <c r="Q3613" s="483">
        <v>65</v>
      </c>
      <c r="R3613" s="704">
        <f>Q3613*J3613</f>
        <v>65</v>
      </c>
      <c r="S3613" s="489">
        <v>6000</v>
      </c>
      <c r="T3613" s="113">
        <f>S3613*J3613</f>
        <v>6000</v>
      </c>
      <c r="U3613" s="517"/>
      <c r="V3613" s="494">
        <v>120</v>
      </c>
      <c r="W3613" s="2041">
        <f t="shared" ref="W3613:W3644" si="295">(((K3613*V3613)-S3613)/(K3613*V3613))</f>
        <v>0.23076923076923078</v>
      </c>
    </row>
    <row r="3614" spans="1:23" s="7" customFormat="1" ht="15.75" customHeight="1">
      <c r="A3614" s="1"/>
      <c r="B3614" s="12" t="s">
        <v>1856</v>
      </c>
      <c r="C3614" s="6" t="s">
        <v>8138</v>
      </c>
      <c r="D3614" s="15" t="s">
        <v>5251</v>
      </c>
      <c r="E3614" s="24" t="s">
        <v>8206</v>
      </c>
      <c r="F3614" s="26"/>
      <c r="G3614" s="24" t="s">
        <v>8123</v>
      </c>
      <c r="H3614" s="151"/>
      <c r="I3614" s="41"/>
      <c r="J3614" s="67">
        <v>10</v>
      </c>
      <c r="K3614" s="25">
        <v>2.1</v>
      </c>
      <c r="L3614" s="46">
        <f>K3614*J3614</f>
        <v>21</v>
      </c>
      <c r="M3614" s="162" t="s">
        <v>2219</v>
      </c>
      <c r="N3614" s="39">
        <v>45646</v>
      </c>
      <c r="O3614" s="38">
        <v>6723</v>
      </c>
      <c r="P3614" s="180">
        <f>K3614*(VLOOKUP(B3614,$C$2:$F$6,3,FALSE))</f>
        <v>1.8480000000000001</v>
      </c>
      <c r="Q3614" s="483">
        <v>1.85</v>
      </c>
      <c r="R3614" s="704">
        <f>Q3614*J3614</f>
        <v>18.5</v>
      </c>
      <c r="S3614" s="532">
        <v>151</v>
      </c>
      <c r="T3614" s="113">
        <f>S3614*J3614</f>
        <v>1510</v>
      </c>
      <c r="U3614" s="517"/>
      <c r="V3614" s="494">
        <v>120</v>
      </c>
      <c r="W3614" s="2041">
        <f t="shared" si="295"/>
        <v>0.40079365079365081</v>
      </c>
    </row>
    <row r="3615" spans="1:23" s="7" customFormat="1" ht="15.75" customHeight="1">
      <c r="A3615" s="1"/>
      <c r="B3615" s="12" t="s">
        <v>1856</v>
      </c>
      <c r="C3615" s="6" t="s">
        <v>8138</v>
      </c>
      <c r="D3615" s="15" t="s">
        <v>5251</v>
      </c>
      <c r="E3615" s="24" t="s">
        <v>8206</v>
      </c>
      <c r="F3615" s="26"/>
      <c r="G3615" s="24" t="s">
        <v>8124</v>
      </c>
      <c r="H3615" s="151"/>
      <c r="I3615" s="41"/>
      <c r="J3615" s="67">
        <v>10</v>
      </c>
      <c r="K3615" s="25">
        <v>2.1</v>
      </c>
      <c r="L3615" s="46">
        <f>K3615*J3615</f>
        <v>21</v>
      </c>
      <c r="M3615" s="162" t="s">
        <v>2219</v>
      </c>
      <c r="N3615" s="39">
        <v>45646</v>
      </c>
      <c r="O3615" s="38">
        <v>6723</v>
      </c>
      <c r="P3615" s="180">
        <f>K3615*(VLOOKUP(B3615,$C$2:$F$6,3,FALSE))</f>
        <v>1.8480000000000001</v>
      </c>
      <c r="Q3615" s="483">
        <v>1.85</v>
      </c>
      <c r="R3615" s="704">
        <f>Q3615*J3615</f>
        <v>18.5</v>
      </c>
      <c r="S3615" s="532">
        <v>151</v>
      </c>
      <c r="T3615" s="113">
        <f>S3615*J3615</f>
        <v>1510</v>
      </c>
      <c r="U3615" s="517"/>
      <c r="V3615" s="494">
        <v>120</v>
      </c>
      <c r="W3615" s="2041">
        <f t="shared" si="295"/>
        <v>0.40079365079365081</v>
      </c>
    </row>
    <row r="3616" spans="1:23" s="7" customFormat="1" ht="15.75" customHeight="1">
      <c r="A3616" s="1"/>
      <c r="B3616" s="12" t="s">
        <v>1862</v>
      </c>
      <c r="C3616" s="6" t="s">
        <v>8138</v>
      </c>
      <c r="D3616" s="15" t="s">
        <v>5251</v>
      </c>
      <c r="E3616" s="24" t="s">
        <v>8245</v>
      </c>
      <c r="F3616" s="26"/>
      <c r="G3616" s="24" t="s">
        <v>8126</v>
      </c>
      <c r="H3616" s="151"/>
      <c r="I3616" s="41"/>
      <c r="J3616" s="45">
        <v>2</v>
      </c>
      <c r="K3616" s="25">
        <v>75</v>
      </c>
      <c r="L3616" s="46">
        <f>K3616*J3616</f>
        <v>150</v>
      </c>
      <c r="M3616" s="162" t="s">
        <v>2219</v>
      </c>
      <c r="N3616" s="39">
        <v>45646</v>
      </c>
      <c r="O3616" s="38">
        <v>6723</v>
      </c>
      <c r="P3616" s="180">
        <f>K3616*(VLOOKUP(B3616,$C$2:$F$6,3,FALSE))</f>
        <v>75</v>
      </c>
      <c r="Q3616" s="483">
        <v>75</v>
      </c>
      <c r="R3616" s="704">
        <f>Q3616*J3616</f>
        <v>150</v>
      </c>
      <c r="S3616" s="489">
        <v>7000</v>
      </c>
      <c r="T3616" s="113">
        <f>S3616*J3616</f>
        <v>14000</v>
      </c>
      <c r="U3616" s="517"/>
      <c r="V3616" s="494">
        <v>120</v>
      </c>
      <c r="W3616" s="2041">
        <f t="shared" si="295"/>
        <v>0.22222222222222221</v>
      </c>
    </row>
    <row r="3617" spans="1:23" ht="18" customHeight="1">
      <c r="B3617" s="12" t="s">
        <v>1862</v>
      </c>
      <c r="C3617" s="6" t="s">
        <v>8138</v>
      </c>
      <c r="D3617" s="15" t="s">
        <v>5251</v>
      </c>
      <c r="E3617" s="24"/>
      <c r="F3617" s="138"/>
      <c r="G3617" s="44" t="s">
        <v>1993</v>
      </c>
      <c r="H3617" s="8"/>
      <c r="I3617" s="41"/>
      <c r="J3617" s="45">
        <v>1</v>
      </c>
      <c r="K3617" s="46">
        <v>12</v>
      </c>
      <c r="L3617" s="46">
        <f>K3617*J3617</f>
        <v>12</v>
      </c>
      <c r="M3617" s="112"/>
      <c r="N3617" s="39">
        <v>45646</v>
      </c>
      <c r="O3617" s="38">
        <v>6723</v>
      </c>
      <c r="P3617" s="46">
        <f>K3617*(VLOOKUP(B3617,$C$2:$F$6,3,FALSE))</f>
        <v>12</v>
      </c>
      <c r="Q3617" s="483">
        <v>12</v>
      </c>
      <c r="R3617" s="704">
        <f>Q3617*J3617</f>
        <v>12</v>
      </c>
      <c r="S3617" s="489">
        <v>0</v>
      </c>
      <c r="T3617" s="113">
        <v>0</v>
      </c>
      <c r="U3617" s="511"/>
      <c r="V3617" s="494">
        <v>120</v>
      </c>
      <c r="W3617" s="2041">
        <f t="shared" si="295"/>
        <v>1</v>
      </c>
    </row>
    <row r="3618" spans="1:23" s="314" customFormat="1" ht="15">
      <c r="A3618" s="1"/>
      <c r="B3618" s="313"/>
      <c r="C3618" s="302" t="s">
        <v>8138</v>
      </c>
      <c r="D3618" s="303" t="s">
        <v>5251</v>
      </c>
      <c r="E3618" s="304"/>
      <c r="F3618" s="305"/>
      <c r="G3618" s="305" t="s">
        <v>1227</v>
      </c>
      <c r="H3618" s="307" t="s">
        <v>1228</v>
      </c>
      <c r="I3618" s="308"/>
      <c r="J3618" s="306"/>
      <c r="K3618" s="315">
        <v>0</v>
      </c>
      <c r="L3618" s="310"/>
      <c r="M3618" s="310"/>
      <c r="N3618" s="310">
        <v>45646</v>
      </c>
      <c r="O3618" s="309">
        <v>6723</v>
      </c>
      <c r="P3618" s="302"/>
      <c r="Q3618" s="485">
        <v>0</v>
      </c>
      <c r="S3618" s="536">
        <v>0</v>
      </c>
      <c r="T3618" s="322">
        <v>0</v>
      </c>
      <c r="U3618" s="515"/>
      <c r="V3618" s="494">
        <v>120</v>
      </c>
      <c r="W3618" s="2041" t="e">
        <f t="shared" si="295"/>
        <v>#DIV/0!</v>
      </c>
    </row>
    <row r="3619" spans="1:23" s="7" customFormat="1" ht="15" customHeight="1">
      <c r="A3619" s="1"/>
      <c r="B3619" s="12"/>
      <c r="C3619" s="6" t="s">
        <v>8135</v>
      </c>
      <c r="D3619" s="15" t="s">
        <v>169</v>
      </c>
      <c r="E3619" s="20" t="s">
        <v>7141</v>
      </c>
      <c r="F3619" s="26"/>
      <c r="G3619" s="24"/>
      <c r="H3619" s="67"/>
      <c r="I3619" s="68"/>
      <c r="J3619" s="67"/>
      <c r="K3619" s="17" t="s">
        <v>10</v>
      </c>
      <c r="L3619" s="39"/>
      <c r="M3619" s="39"/>
      <c r="N3619" s="39">
        <v>45691</v>
      </c>
      <c r="O3619" s="38">
        <v>6728</v>
      </c>
      <c r="P3619" s="180" t="e">
        <f>K3619*(VLOOKUP(B3619,$C$2:$F$6,3,FALSE))</f>
        <v>#VALUE!</v>
      </c>
      <c r="Q3619" s="483"/>
      <c r="R3619" s="704"/>
      <c r="S3619" s="489"/>
      <c r="T3619" s="113">
        <f>S3619*J3619</f>
        <v>0</v>
      </c>
      <c r="U3619" s="517"/>
      <c r="V3619" s="494">
        <v>120</v>
      </c>
      <c r="W3619" s="2041" t="e">
        <f t="shared" si="295"/>
        <v>#VALUE!</v>
      </c>
    </row>
    <row r="3620" spans="1:23" s="7" customFormat="1" ht="15.75" customHeight="1">
      <c r="A3620" s="1"/>
      <c r="B3620" s="12" t="s">
        <v>1856</v>
      </c>
      <c r="C3620" s="6" t="s">
        <v>8135</v>
      </c>
      <c r="D3620" s="15" t="s">
        <v>169</v>
      </c>
      <c r="E3620" s="24" t="s">
        <v>2611</v>
      </c>
      <c r="F3620" s="26"/>
      <c r="G3620" s="24" t="s">
        <v>78</v>
      </c>
      <c r="H3620" s="151">
        <v>14</v>
      </c>
      <c r="I3620" s="41">
        <v>47</v>
      </c>
      <c r="J3620" s="67">
        <f>H3620*I3620</f>
        <v>658</v>
      </c>
      <c r="K3620" s="25">
        <v>3.89</v>
      </c>
      <c r="L3620" s="46">
        <f>K3620*J3620</f>
        <v>2559.62</v>
      </c>
      <c r="M3620" s="162" t="s">
        <v>2219</v>
      </c>
      <c r="N3620" s="39">
        <v>45691</v>
      </c>
      <c r="O3620" s="38">
        <v>6728</v>
      </c>
      <c r="P3620" s="180">
        <f>K3620*(VLOOKUP(B3620,$C$2:$F$6,3,FALSE))</f>
        <v>3.4232</v>
      </c>
      <c r="Q3620" s="483">
        <v>3.42</v>
      </c>
      <c r="R3620" s="704">
        <f>Q3620*J3620</f>
        <v>2250.36</v>
      </c>
      <c r="S3620" s="489">
        <v>280</v>
      </c>
      <c r="T3620" s="113">
        <f>S3620*J3620</f>
        <v>184240</v>
      </c>
      <c r="U3620" s="517"/>
      <c r="V3620" s="494">
        <v>120</v>
      </c>
      <c r="W3620" s="2041">
        <f t="shared" si="295"/>
        <v>0.40017137960582694</v>
      </c>
    </row>
    <row r="3621" spans="1:23" s="314" customFormat="1" ht="15">
      <c r="A3621" s="1"/>
      <c r="B3621" s="313"/>
      <c r="C3621" s="302" t="s">
        <v>8135</v>
      </c>
      <c r="D3621" s="303" t="s">
        <v>169</v>
      </c>
      <c r="E3621" s="304"/>
      <c r="F3621" s="305"/>
      <c r="G3621" s="305" t="s">
        <v>1227</v>
      </c>
      <c r="H3621" s="307" t="s">
        <v>3438</v>
      </c>
      <c r="I3621" s="308"/>
      <c r="J3621" s="306"/>
      <c r="K3621" s="329">
        <v>190</v>
      </c>
      <c r="L3621" s="329">
        <v>190</v>
      </c>
      <c r="M3621" s="310"/>
      <c r="N3621" s="310">
        <v>45691</v>
      </c>
      <c r="O3621" s="309">
        <v>6728</v>
      </c>
      <c r="P3621" s="302"/>
      <c r="Q3621" s="329">
        <v>190</v>
      </c>
      <c r="R3621" s="329">
        <v>190</v>
      </c>
      <c r="S3621" s="2272">
        <v>17834</v>
      </c>
      <c r="T3621" s="2272">
        <v>17834</v>
      </c>
      <c r="U3621" s="1115"/>
      <c r="V3621" s="494">
        <v>120</v>
      </c>
      <c r="W3621" s="2041">
        <f t="shared" si="295"/>
        <v>0.21780701754385964</v>
      </c>
    </row>
    <row r="3622" spans="1:23" s="7" customFormat="1" ht="15">
      <c r="B3622" s="12"/>
      <c r="C3622" s="6" t="s">
        <v>8142</v>
      </c>
      <c r="D3622" s="15" t="s">
        <v>3026</v>
      </c>
      <c r="E3622" s="20" t="s">
        <v>408</v>
      </c>
      <c r="F3622" s="44"/>
      <c r="G3622" s="44"/>
      <c r="H3622" s="151"/>
      <c r="I3622" s="151"/>
      <c r="J3622" s="151"/>
      <c r="K3622" s="17" t="s">
        <v>134</v>
      </c>
      <c r="L3622" s="39"/>
      <c r="M3622" s="39"/>
      <c r="N3622" s="39">
        <v>45643</v>
      </c>
      <c r="O3622" s="38">
        <v>6711</v>
      </c>
      <c r="P3622" s="6"/>
      <c r="Q3622" s="524"/>
      <c r="S3622" s="489"/>
      <c r="T3622" s="113"/>
      <c r="U3622" s="501"/>
      <c r="V3622" s="494">
        <v>120</v>
      </c>
      <c r="W3622" s="2041" t="e">
        <f t="shared" si="295"/>
        <v>#VALUE!</v>
      </c>
    </row>
    <row r="3623" spans="1:23" s="7" customFormat="1" ht="15" customHeight="1">
      <c r="B3623" s="12" t="s">
        <v>1856</v>
      </c>
      <c r="C3623" s="6" t="s">
        <v>8142</v>
      </c>
      <c r="D3623" s="15" t="s">
        <v>3026</v>
      </c>
      <c r="E3623" s="24" t="s">
        <v>1219</v>
      </c>
      <c r="F3623" s="26"/>
      <c r="G3623" s="24" t="s">
        <v>17</v>
      </c>
      <c r="H3623" s="67">
        <v>50</v>
      </c>
      <c r="I3623" s="68">
        <v>50</v>
      </c>
      <c r="J3623" s="8">
        <f>H3623*I3623</f>
        <v>2500</v>
      </c>
      <c r="K3623" s="46">
        <v>0.3</v>
      </c>
      <c r="L3623" s="46">
        <f>K3623*J3623</f>
        <v>750</v>
      </c>
      <c r="M3623" s="162" t="s">
        <v>2219</v>
      </c>
      <c r="N3623" s="39">
        <v>45643</v>
      </c>
      <c r="O3623" s="38">
        <v>6711</v>
      </c>
      <c r="P3623" s="46">
        <f>K3623*(VLOOKUP(B3623,$C$2:$F$6,3,FALSE))</f>
        <v>0.26400000000000001</v>
      </c>
      <c r="Q3623" s="482">
        <v>0.26</v>
      </c>
      <c r="R3623" s="704">
        <f>Q3623*J3623</f>
        <v>650</v>
      </c>
      <c r="S3623" s="489">
        <v>18</v>
      </c>
      <c r="T3623" s="113">
        <f>S3623*J3623</f>
        <v>45000</v>
      </c>
      <c r="U3623" s="1603"/>
      <c r="V3623" s="494">
        <v>120</v>
      </c>
      <c r="W3623" s="2041">
        <f t="shared" si="295"/>
        <v>0.5</v>
      </c>
    </row>
    <row r="3624" spans="1:23" s="7" customFormat="1" ht="15" customHeight="1">
      <c r="B3624" s="12" t="s">
        <v>1856</v>
      </c>
      <c r="C3624" s="6" t="s">
        <v>8142</v>
      </c>
      <c r="D3624" s="15" t="s">
        <v>3026</v>
      </c>
      <c r="E3624" s="24" t="s">
        <v>5772</v>
      </c>
      <c r="F3624" s="26"/>
      <c r="G3624" s="24" t="s">
        <v>17</v>
      </c>
      <c r="H3624" s="67">
        <v>50</v>
      </c>
      <c r="I3624" s="68">
        <v>100</v>
      </c>
      <c r="J3624" s="8">
        <f>H3624*I3624</f>
        <v>5000</v>
      </c>
      <c r="K3624" s="46">
        <v>0.26</v>
      </c>
      <c r="L3624" s="46">
        <f>K3624*J3624</f>
        <v>1300</v>
      </c>
      <c r="M3624" s="162" t="s">
        <v>2219</v>
      </c>
      <c r="N3624" s="39">
        <v>45643</v>
      </c>
      <c r="O3624" s="38">
        <v>6711</v>
      </c>
      <c r="P3624" s="46">
        <f>K3624*(VLOOKUP(B3624,$C$2:$F$6,3,FALSE))</f>
        <v>0.2288</v>
      </c>
      <c r="Q3624" s="482">
        <v>0.23</v>
      </c>
      <c r="R3624" s="704">
        <f>Q3624*J3624</f>
        <v>1150</v>
      </c>
      <c r="S3624" s="489">
        <v>15.1</v>
      </c>
      <c r="T3624" s="113">
        <f>S3624*J3624</f>
        <v>75500</v>
      </c>
      <c r="U3624" s="1603"/>
      <c r="V3624" s="494">
        <v>120</v>
      </c>
      <c r="W3624" s="2041">
        <f t="shared" si="295"/>
        <v>0.51602564102564097</v>
      </c>
    </row>
    <row r="3625" spans="1:23" s="217" customFormat="1" ht="15.95" customHeight="1">
      <c r="B3625" s="539"/>
      <c r="C3625" s="216" t="s">
        <v>8142</v>
      </c>
      <c r="D3625" s="109" t="s">
        <v>3026</v>
      </c>
      <c r="E3625" s="228"/>
      <c r="F3625" s="160"/>
      <c r="G3625" s="42" t="s">
        <v>1993</v>
      </c>
      <c r="H3625" s="214"/>
      <c r="I3625" s="215"/>
      <c r="J3625" s="43">
        <v>1</v>
      </c>
      <c r="K3625" s="229">
        <v>12</v>
      </c>
      <c r="L3625" s="229">
        <v>0</v>
      </c>
      <c r="M3625" s="969"/>
      <c r="N3625" s="39">
        <v>45643</v>
      </c>
      <c r="O3625" s="38">
        <v>6711</v>
      </c>
      <c r="P3625" s="692"/>
      <c r="Q3625" s="970">
        <v>0</v>
      </c>
      <c r="R3625" s="970">
        <v>0</v>
      </c>
      <c r="S3625" s="498">
        <v>1100</v>
      </c>
      <c r="T3625" s="567">
        <v>1100</v>
      </c>
      <c r="U3625" s="667"/>
      <c r="V3625" s="547">
        <v>120</v>
      </c>
      <c r="W3625" s="2051">
        <f t="shared" si="295"/>
        <v>0.2361111111111111</v>
      </c>
    </row>
    <row r="3626" spans="1:23" s="314" customFormat="1" ht="15.6" customHeight="1">
      <c r="B3626" s="313"/>
      <c r="C3626" s="302" t="s">
        <v>8142</v>
      </c>
      <c r="D3626" s="303" t="s">
        <v>3026</v>
      </c>
      <c r="E3626" s="304"/>
      <c r="F3626" s="305"/>
      <c r="G3626" s="305" t="s">
        <v>1227</v>
      </c>
      <c r="H3626" s="307" t="s">
        <v>3438</v>
      </c>
      <c r="I3626" s="308"/>
      <c r="J3626" s="306"/>
      <c r="K3626" s="329">
        <v>480</v>
      </c>
      <c r="L3626" s="329">
        <v>480</v>
      </c>
      <c r="M3626" s="310"/>
      <c r="N3626" s="310">
        <v>45643</v>
      </c>
      <c r="O3626" s="309">
        <v>6711</v>
      </c>
      <c r="P3626" s="302"/>
      <c r="Q3626" s="329">
        <v>480</v>
      </c>
      <c r="R3626" s="329">
        <v>480</v>
      </c>
      <c r="S3626" s="2449">
        <v>48790</v>
      </c>
      <c r="T3626" s="2449">
        <v>48790</v>
      </c>
      <c r="U3626" s="1115"/>
      <c r="V3626" s="494">
        <v>120</v>
      </c>
      <c r="W3626" s="2041">
        <f t="shared" si="295"/>
        <v>0.1529513888888889</v>
      </c>
    </row>
    <row r="3627" spans="1:23" s="7" customFormat="1" ht="18" customHeight="1">
      <c r="B3627" s="12"/>
      <c r="C3627" s="6" t="s">
        <v>8156</v>
      </c>
      <c r="D3627" s="15" t="s">
        <v>2451</v>
      </c>
      <c r="E3627" s="20" t="s">
        <v>79</v>
      </c>
      <c r="F3627" s="150"/>
      <c r="G3627" s="24"/>
      <c r="H3627" s="151"/>
      <c r="I3627" s="152"/>
      <c r="J3627" s="151"/>
      <c r="K3627" s="34" t="s">
        <v>10</v>
      </c>
      <c r="L3627" s="39"/>
      <c r="M3627" s="39"/>
      <c r="N3627" s="39">
        <v>45625</v>
      </c>
      <c r="O3627" s="38">
        <v>6664</v>
      </c>
      <c r="P3627" s="15"/>
      <c r="Q3627" s="483"/>
      <c r="S3627" s="489"/>
      <c r="T3627" s="113"/>
      <c r="U3627" s="506"/>
      <c r="V3627" s="494">
        <v>120</v>
      </c>
      <c r="W3627" s="2041" t="e">
        <f t="shared" si="295"/>
        <v>#VALUE!</v>
      </c>
    </row>
    <row r="3628" spans="1:23" s="7" customFormat="1" ht="15" customHeight="1">
      <c r="B3628" s="12" t="s">
        <v>1858</v>
      </c>
      <c r="C3628" s="6" t="s">
        <v>8156</v>
      </c>
      <c r="D3628" s="15" t="s">
        <v>2451</v>
      </c>
      <c r="E3628" s="24">
        <v>2440</v>
      </c>
      <c r="F3628" s="150">
        <v>140</v>
      </c>
      <c r="G3628" s="24" t="s">
        <v>6922</v>
      </c>
      <c r="H3628" s="8">
        <v>30</v>
      </c>
      <c r="I3628" s="41">
        <v>1</v>
      </c>
      <c r="J3628" s="8">
        <f>H3628*I3628</f>
        <v>30</v>
      </c>
      <c r="K3628" s="46">
        <v>5.53</v>
      </c>
      <c r="L3628" s="46">
        <f>K3628*J3628</f>
        <v>165.9</v>
      </c>
      <c r="M3628" s="162" t="s">
        <v>2219</v>
      </c>
      <c r="N3628" s="39">
        <v>45625</v>
      </c>
      <c r="O3628" s="38">
        <v>6664</v>
      </c>
      <c r="P3628" s="46">
        <v>4.12</v>
      </c>
      <c r="Q3628" s="483">
        <v>4.12</v>
      </c>
      <c r="R3628" s="704">
        <f>Q3628*J3628</f>
        <v>123.60000000000001</v>
      </c>
      <c r="S3628" s="489">
        <v>310</v>
      </c>
      <c r="T3628" s="567">
        <f>S3628*J3628</f>
        <v>9300</v>
      </c>
      <c r="U3628" s="882"/>
      <c r="V3628" s="494">
        <v>120</v>
      </c>
      <c r="W3628" s="2041">
        <f t="shared" si="295"/>
        <v>0.53285111512959615</v>
      </c>
    </row>
    <row r="3629" spans="1:23" s="7" customFormat="1" ht="15" customHeight="1">
      <c r="B3629" s="12" t="s">
        <v>1858</v>
      </c>
      <c r="C3629" s="6" t="s">
        <v>8156</v>
      </c>
      <c r="D3629" s="15" t="s">
        <v>2451</v>
      </c>
      <c r="E3629" s="24">
        <v>2440</v>
      </c>
      <c r="F3629" s="150">
        <v>140</v>
      </c>
      <c r="G3629" s="24" t="s">
        <v>8155</v>
      </c>
      <c r="H3629" s="8">
        <v>58</v>
      </c>
      <c r="I3629" s="41">
        <v>1</v>
      </c>
      <c r="J3629" s="67">
        <f>H3629*I3629</f>
        <v>58</v>
      </c>
      <c r="K3629" s="46">
        <v>5.53</v>
      </c>
      <c r="L3629" s="46">
        <f>K3629*J3629</f>
        <v>320.74</v>
      </c>
      <c r="M3629" s="162" t="s">
        <v>2219</v>
      </c>
      <c r="N3629" s="39">
        <v>45625</v>
      </c>
      <c r="O3629" s="38">
        <v>6664</v>
      </c>
      <c r="P3629" s="46">
        <v>4.12</v>
      </c>
      <c r="Q3629" s="483">
        <v>4.12</v>
      </c>
      <c r="R3629" s="704">
        <f>Q3629*J3629</f>
        <v>238.96</v>
      </c>
      <c r="S3629" s="489">
        <v>310</v>
      </c>
      <c r="T3629" s="567">
        <f>S3629*J3629</f>
        <v>17980</v>
      </c>
      <c r="U3629" s="882"/>
      <c r="V3629" s="494">
        <v>120</v>
      </c>
      <c r="W3629" s="2041">
        <f t="shared" si="295"/>
        <v>0.53285111512959615</v>
      </c>
    </row>
    <row r="3630" spans="1:23" s="7" customFormat="1" ht="15" customHeight="1">
      <c r="B3630" s="12" t="s">
        <v>1862</v>
      </c>
      <c r="C3630" s="6" t="s">
        <v>8156</v>
      </c>
      <c r="D3630" s="15" t="s">
        <v>2451</v>
      </c>
      <c r="E3630" s="24"/>
      <c r="F3630" s="138"/>
      <c r="G3630" s="44" t="s">
        <v>5355</v>
      </c>
      <c r="H3630" s="45"/>
      <c r="I3630" s="41"/>
      <c r="J3630" s="45">
        <v>1</v>
      </c>
      <c r="K3630" s="46">
        <v>12</v>
      </c>
      <c r="L3630" s="46">
        <f>K3630*J3630</f>
        <v>12</v>
      </c>
      <c r="M3630" s="112"/>
      <c r="N3630" s="39">
        <v>45625</v>
      </c>
      <c r="O3630" s="38">
        <v>6664</v>
      </c>
      <c r="P3630" s="46"/>
      <c r="Q3630" s="483">
        <v>12</v>
      </c>
      <c r="R3630" s="483">
        <v>12</v>
      </c>
      <c r="S3630" s="489">
        <v>1000</v>
      </c>
      <c r="T3630" s="489">
        <v>1000</v>
      </c>
      <c r="U3630" s="501"/>
      <c r="V3630" s="494">
        <v>120</v>
      </c>
      <c r="W3630" s="2041">
        <f t="shared" si="295"/>
        <v>0.30555555555555558</v>
      </c>
    </row>
    <row r="3631" spans="1:23" s="378" customFormat="1" ht="15" customHeight="1">
      <c r="B3631" s="312"/>
      <c r="C3631" s="302" t="s">
        <v>8156</v>
      </c>
      <c r="D3631" s="303" t="s">
        <v>2451</v>
      </c>
      <c r="E3631" s="304"/>
      <c r="F3631" s="305"/>
      <c r="G3631" s="305" t="s">
        <v>2371</v>
      </c>
      <c r="H3631" s="307" t="s">
        <v>1442</v>
      </c>
      <c r="I3631" s="308"/>
      <c r="J3631" s="306">
        <v>88</v>
      </c>
      <c r="K3631" s="315">
        <f>1.15*88</f>
        <v>101.19999999999999</v>
      </c>
      <c r="L3631" s="310"/>
      <c r="M3631" s="310"/>
      <c r="N3631" s="310">
        <v>45625</v>
      </c>
      <c r="O3631" s="309">
        <v>6664</v>
      </c>
      <c r="P3631" s="302"/>
      <c r="Q3631" s="315">
        <f>1.15*88</f>
        <v>101.19999999999999</v>
      </c>
      <c r="R3631" s="315">
        <f>1.15*88</f>
        <v>101.19999999999999</v>
      </c>
      <c r="S3631" s="2438">
        <f>6500+2500</f>
        <v>9000</v>
      </c>
      <c r="T3631" s="2438">
        <f>6500+2500</f>
        <v>9000</v>
      </c>
      <c r="U3631" s="515"/>
      <c r="V3631" s="494">
        <v>120</v>
      </c>
      <c r="W3631" s="2041">
        <f t="shared" si="295"/>
        <v>0.25889328063241096</v>
      </c>
    </row>
    <row r="3632" spans="1:23" s="7" customFormat="1" ht="18" customHeight="1">
      <c r="B3632" s="12"/>
      <c r="C3632" s="6" t="s">
        <v>8156</v>
      </c>
      <c r="D3632" s="15" t="s">
        <v>2451</v>
      </c>
      <c r="E3632" s="20" t="s">
        <v>79</v>
      </c>
      <c r="F3632" s="150"/>
      <c r="G3632" s="24"/>
      <c r="H3632" s="151"/>
      <c r="I3632" s="152"/>
      <c r="J3632" s="151"/>
      <c r="K3632" s="34" t="s">
        <v>10</v>
      </c>
      <c r="L3632" s="39"/>
      <c r="M3632" s="39"/>
      <c r="N3632" s="39">
        <v>45651</v>
      </c>
      <c r="O3632" s="38">
        <v>6727</v>
      </c>
      <c r="P3632" s="15"/>
      <c r="Q3632" s="483"/>
      <c r="S3632" s="489"/>
      <c r="T3632" s="113"/>
      <c r="U3632" s="506"/>
      <c r="V3632" s="494">
        <v>120</v>
      </c>
      <c r="W3632" s="2041" t="e">
        <f t="shared" si="295"/>
        <v>#VALUE!</v>
      </c>
    </row>
    <row r="3633" spans="1:23" s="7" customFormat="1" ht="15" customHeight="1">
      <c r="B3633" s="12" t="s">
        <v>1858</v>
      </c>
      <c r="C3633" s="6" t="s">
        <v>8156</v>
      </c>
      <c r="D3633" s="15" t="s">
        <v>2451</v>
      </c>
      <c r="E3633" s="24">
        <v>2440</v>
      </c>
      <c r="F3633" s="150">
        <v>140</v>
      </c>
      <c r="G3633" s="24" t="s">
        <v>8154</v>
      </c>
      <c r="H3633" s="8">
        <v>53</v>
      </c>
      <c r="I3633" s="41">
        <v>1</v>
      </c>
      <c r="J3633" s="67">
        <f>H3633*I3633</f>
        <v>53</v>
      </c>
      <c r="K3633" s="46">
        <v>10.55</v>
      </c>
      <c r="L3633" s="46">
        <f>K3633*J3633</f>
        <v>559.15000000000009</v>
      </c>
      <c r="M3633" s="162" t="s">
        <v>2219</v>
      </c>
      <c r="N3633" s="39">
        <v>45651</v>
      </c>
      <c r="O3633" s="38">
        <v>6727</v>
      </c>
      <c r="P3633" s="46">
        <v>8.5299999999999994</v>
      </c>
      <c r="Q3633" s="483">
        <v>8.5299999999999994</v>
      </c>
      <c r="R3633" s="704">
        <f>Q3633*J3633</f>
        <v>452.09</v>
      </c>
      <c r="S3633" s="489">
        <v>870</v>
      </c>
      <c r="T3633" s="567">
        <f>S3633*J3633</f>
        <v>46110</v>
      </c>
      <c r="U3633" s="882"/>
      <c r="V3633" s="494">
        <v>120</v>
      </c>
      <c r="W3633" s="2041">
        <f t="shared" si="295"/>
        <v>0.3127962085308057</v>
      </c>
    </row>
    <row r="3634" spans="1:23" s="7" customFormat="1" ht="15" customHeight="1">
      <c r="B3634" s="12" t="s">
        <v>1862</v>
      </c>
      <c r="C3634" s="6" t="s">
        <v>8156</v>
      </c>
      <c r="D3634" s="15" t="s">
        <v>2451</v>
      </c>
      <c r="E3634" s="56"/>
      <c r="F3634" s="138"/>
      <c r="G3634" s="44" t="s">
        <v>1993</v>
      </c>
      <c r="H3634" s="45"/>
      <c r="I3634" s="41"/>
      <c r="J3634" s="45">
        <v>1</v>
      </c>
      <c r="K3634" s="46">
        <v>20</v>
      </c>
      <c r="L3634" s="46">
        <v>20</v>
      </c>
      <c r="M3634" s="112"/>
      <c r="N3634" s="39">
        <v>45651</v>
      </c>
      <c r="O3634" s="38">
        <v>6727</v>
      </c>
      <c r="P3634" s="46"/>
      <c r="Q3634" s="46">
        <v>20</v>
      </c>
      <c r="R3634" s="46">
        <v>20</v>
      </c>
      <c r="S3634" s="489">
        <v>2500</v>
      </c>
      <c r="T3634" s="489">
        <v>2500</v>
      </c>
      <c r="U3634" s="501"/>
      <c r="V3634" s="494">
        <v>120</v>
      </c>
      <c r="W3634" s="2041">
        <f t="shared" si="295"/>
        <v>-4.1666666666666664E-2</v>
      </c>
    </row>
    <row r="3635" spans="1:23" s="378" customFormat="1" ht="15" customHeight="1">
      <c r="B3635" s="312"/>
      <c r="C3635" s="302" t="s">
        <v>8156</v>
      </c>
      <c r="D3635" s="303" t="s">
        <v>2451</v>
      </c>
      <c r="E3635" s="304"/>
      <c r="F3635" s="305"/>
      <c r="G3635" s="305" t="s">
        <v>2371</v>
      </c>
      <c r="H3635" s="307" t="s">
        <v>1442</v>
      </c>
      <c r="I3635" s="308"/>
      <c r="J3635" s="306">
        <v>53</v>
      </c>
      <c r="K3635" s="315">
        <f>1.48*53</f>
        <v>78.44</v>
      </c>
      <c r="L3635" s="310"/>
      <c r="M3635" s="310"/>
      <c r="N3635" s="310">
        <v>45651</v>
      </c>
      <c r="O3635" s="309">
        <v>6727</v>
      </c>
      <c r="P3635" s="302"/>
      <c r="Q3635" s="315">
        <v>78.44</v>
      </c>
      <c r="R3635" s="315">
        <v>78.44</v>
      </c>
      <c r="S3635" s="537">
        <f>1820+4198</f>
        <v>6018</v>
      </c>
      <c r="T3635" s="537">
        <f>1820+4198</f>
        <v>6018</v>
      </c>
      <c r="U3635" s="515"/>
      <c r="V3635" s="494">
        <v>120</v>
      </c>
      <c r="W3635" s="2041">
        <f t="shared" si="295"/>
        <v>0.36065782763895965</v>
      </c>
    </row>
    <row r="3636" spans="1:23" s="7" customFormat="1" ht="18.600000000000001" customHeight="1">
      <c r="A3636" s="1"/>
      <c r="B3636" s="12"/>
      <c r="C3636" s="6" t="s">
        <v>8157</v>
      </c>
      <c r="D3636" s="15" t="s">
        <v>8033</v>
      </c>
      <c r="E3636" s="20" t="s">
        <v>1003</v>
      </c>
      <c r="F3636" s="24"/>
      <c r="G3636" s="44"/>
      <c r="H3636" s="151"/>
      <c r="I3636" s="151"/>
      <c r="J3636" s="151"/>
      <c r="K3636" s="153" t="s">
        <v>10</v>
      </c>
      <c r="L3636" s="39"/>
      <c r="M3636" s="162"/>
      <c r="N3636" s="39">
        <v>45624</v>
      </c>
      <c r="O3636" s="38">
        <v>6666</v>
      </c>
      <c r="P3636" s="6"/>
      <c r="Q3636" s="411"/>
      <c r="S3636" s="489"/>
      <c r="T3636" s="113"/>
      <c r="U3636" s="501"/>
      <c r="V3636" s="494">
        <v>120</v>
      </c>
      <c r="W3636" s="2041" t="e">
        <f t="shared" si="295"/>
        <v>#VALUE!</v>
      </c>
    </row>
    <row r="3637" spans="1:23" s="7" customFormat="1" ht="15.95" customHeight="1">
      <c r="A3637" s="1"/>
      <c r="B3637" s="12" t="s">
        <v>1856</v>
      </c>
      <c r="C3637" s="6" t="s">
        <v>8157</v>
      </c>
      <c r="D3637" s="15" t="s">
        <v>8033</v>
      </c>
      <c r="E3637" s="24" t="s">
        <v>2349</v>
      </c>
      <c r="F3637" s="44"/>
      <c r="G3637" s="44" t="s">
        <v>78</v>
      </c>
      <c r="H3637" s="8">
        <v>14</v>
      </c>
      <c r="I3637" s="68">
        <v>8</v>
      </c>
      <c r="J3637" s="67">
        <f>I3637*H3637</f>
        <v>112</v>
      </c>
      <c r="K3637" s="46">
        <v>1.88</v>
      </c>
      <c r="L3637" s="46">
        <f>K3637*J3637</f>
        <v>210.56</v>
      </c>
      <c r="M3637" s="162" t="s">
        <v>2219</v>
      </c>
      <c r="N3637" s="39">
        <v>45624</v>
      </c>
      <c r="O3637" s="38">
        <v>6666</v>
      </c>
      <c r="P3637" s="46">
        <f>K3637*(VLOOKUP(B3637,$C$2:$F$6,3,FALSE))</f>
        <v>1.6543999999999999</v>
      </c>
      <c r="Q3637" s="483">
        <v>1.65</v>
      </c>
      <c r="R3637" s="704">
        <f>Q3637*J3637</f>
        <v>184.79999999999998</v>
      </c>
      <c r="S3637" s="489">
        <v>135</v>
      </c>
      <c r="T3637" s="567">
        <f>S3637*J3637</f>
        <v>15120</v>
      </c>
      <c r="U3637" s="517"/>
      <c r="V3637" s="494">
        <v>120</v>
      </c>
      <c r="W3637" s="2041">
        <f t="shared" si="295"/>
        <v>0.40159574468085107</v>
      </c>
    </row>
    <row r="3638" spans="1:23" s="218" customFormat="1" ht="15">
      <c r="A3638" s="1"/>
      <c r="B3638" s="541"/>
      <c r="C3638" s="6" t="s">
        <v>8157</v>
      </c>
      <c r="D3638" s="15" t="s">
        <v>8033</v>
      </c>
      <c r="E3638" s="24"/>
      <c r="F3638" s="26"/>
      <c r="G3638" s="24" t="s">
        <v>31</v>
      </c>
      <c r="H3638" s="45"/>
      <c r="I3638" s="41"/>
      <c r="J3638" s="45">
        <v>1</v>
      </c>
      <c r="K3638" s="46">
        <v>15</v>
      </c>
      <c r="L3638" s="46">
        <f>K3638*J3638</f>
        <v>15</v>
      </c>
      <c r="M3638" s="39"/>
      <c r="N3638" s="39">
        <v>45624</v>
      </c>
      <c r="O3638" s="38">
        <v>6666</v>
      </c>
      <c r="P3638" s="46" t="e">
        <f>K3638*(VLOOKUP(B3638,$C$2:$F$6,3,FALSE))</f>
        <v>#N/A</v>
      </c>
      <c r="Q3638" s="483">
        <v>15</v>
      </c>
      <c r="R3638" s="704">
        <f>Q3638*J3638</f>
        <v>15</v>
      </c>
      <c r="S3638" s="489">
        <v>1000</v>
      </c>
      <c r="T3638" s="113">
        <f>S3638*J3638</f>
        <v>1000</v>
      </c>
      <c r="U3638" s="504"/>
      <c r="V3638" s="494">
        <v>120</v>
      </c>
      <c r="W3638" s="2041">
        <f t="shared" si="295"/>
        <v>0.44444444444444442</v>
      </c>
    </row>
    <row r="3639" spans="1:23" s="314" customFormat="1" ht="15">
      <c r="A3639" s="1"/>
      <c r="B3639" s="313"/>
      <c r="C3639" s="302" t="s">
        <v>8157</v>
      </c>
      <c r="D3639" s="303" t="s">
        <v>8033</v>
      </c>
      <c r="E3639" s="304"/>
      <c r="F3639" s="305"/>
      <c r="G3639" s="305" t="s">
        <v>1227</v>
      </c>
      <c r="H3639" s="307" t="s">
        <v>1228</v>
      </c>
      <c r="I3639" s="308"/>
      <c r="J3639" s="306"/>
      <c r="K3639" s="315">
        <v>0</v>
      </c>
      <c r="L3639" s="310"/>
      <c r="M3639" s="310"/>
      <c r="N3639" s="310">
        <v>45624</v>
      </c>
      <c r="O3639" s="309">
        <v>6666</v>
      </c>
      <c r="P3639" s="302"/>
      <c r="Q3639" s="485">
        <v>0</v>
      </c>
      <c r="S3639" s="535">
        <v>0</v>
      </c>
      <c r="T3639" s="322">
        <v>0</v>
      </c>
      <c r="U3639" s="515"/>
      <c r="V3639" s="494">
        <v>120</v>
      </c>
      <c r="W3639" s="2041" t="e">
        <f t="shared" si="295"/>
        <v>#DIV/0!</v>
      </c>
    </row>
    <row r="3640" spans="1:23" s="7" customFormat="1" ht="15">
      <c r="A3640" s="1"/>
      <c r="B3640" s="12"/>
      <c r="C3640" s="6" t="s">
        <v>8163</v>
      </c>
      <c r="D3640" s="15" t="s">
        <v>6025</v>
      </c>
      <c r="E3640" s="20" t="s">
        <v>55</v>
      </c>
      <c r="F3640" s="26"/>
      <c r="G3640" s="24"/>
      <c r="H3640" s="67"/>
      <c r="I3640" s="68"/>
      <c r="J3640" s="67"/>
      <c r="K3640" s="17" t="s">
        <v>10</v>
      </c>
      <c r="L3640" s="39"/>
      <c r="M3640" s="39"/>
      <c r="N3640" s="39">
        <v>45632</v>
      </c>
      <c r="O3640" s="38">
        <v>6687</v>
      </c>
      <c r="P3640" s="6"/>
      <c r="Q3640" s="481"/>
      <c r="S3640" s="489"/>
      <c r="T3640" s="113"/>
      <c r="U3640" s="500"/>
      <c r="V3640" s="494">
        <v>120</v>
      </c>
      <c r="W3640" s="2041" t="e">
        <f t="shared" si="295"/>
        <v>#VALUE!</v>
      </c>
    </row>
    <row r="3641" spans="1:23" s="7" customFormat="1" ht="15.75">
      <c r="A3641" s="1"/>
      <c r="B3641" s="12" t="s">
        <v>1856</v>
      </c>
      <c r="C3641" s="6" t="s">
        <v>8163</v>
      </c>
      <c r="D3641" s="15" t="s">
        <v>6025</v>
      </c>
      <c r="E3641" s="24" t="s">
        <v>242</v>
      </c>
      <c r="F3641" s="26"/>
      <c r="G3641" s="24" t="s">
        <v>78</v>
      </c>
      <c r="H3641" s="151">
        <v>13.7</v>
      </c>
      <c r="I3641" s="41">
        <v>105</v>
      </c>
      <c r="J3641" s="199">
        <f>H3641*I3641</f>
        <v>1438.5</v>
      </c>
      <c r="K3641" s="46">
        <v>1.39</v>
      </c>
      <c r="L3641" s="46">
        <f>K3641*J3641</f>
        <v>1999.5149999999999</v>
      </c>
      <c r="M3641" s="162" t="s">
        <v>2219</v>
      </c>
      <c r="N3641" s="39">
        <v>45632</v>
      </c>
      <c r="O3641" s="38">
        <v>6687</v>
      </c>
      <c r="P3641" s="46">
        <f>K3641*(VLOOKUP(B3641,$C$2:$F$6,3,FALSE))</f>
        <v>1.2231999999999998</v>
      </c>
      <c r="Q3641" s="485">
        <v>1.22</v>
      </c>
      <c r="R3641" s="704">
        <f>Q3641*J3641</f>
        <v>1754.97</v>
      </c>
      <c r="S3641" s="489">
        <v>100</v>
      </c>
      <c r="T3641" s="567">
        <f>S3641*J3641</f>
        <v>143850</v>
      </c>
      <c r="U3641" s="505"/>
      <c r="V3641" s="494">
        <v>120</v>
      </c>
      <c r="W3641" s="2041">
        <f t="shared" si="295"/>
        <v>0.40047961630695439</v>
      </c>
    </row>
    <row r="3642" spans="1:23" s="314" customFormat="1" ht="15" customHeight="1">
      <c r="A3642" s="1"/>
      <c r="B3642" s="313"/>
      <c r="C3642" s="302" t="s">
        <v>8163</v>
      </c>
      <c r="D3642" s="303" t="s">
        <v>6025</v>
      </c>
      <c r="E3642" s="304"/>
      <c r="F3642" s="305"/>
      <c r="G3642" s="305" t="s">
        <v>1227</v>
      </c>
      <c r="H3642" s="307" t="s">
        <v>3438</v>
      </c>
      <c r="I3642" s="308"/>
      <c r="J3642" s="306"/>
      <c r="K3642" s="329">
        <v>150</v>
      </c>
      <c r="L3642" s="329">
        <v>150</v>
      </c>
      <c r="M3642" s="310"/>
      <c r="N3642" s="310">
        <v>45632</v>
      </c>
      <c r="O3642" s="309">
        <v>6687</v>
      </c>
      <c r="P3642" s="302"/>
      <c r="Q3642" s="329">
        <v>150</v>
      </c>
      <c r="R3642" s="329">
        <v>150</v>
      </c>
      <c r="S3642" s="2450">
        <v>7401</v>
      </c>
      <c r="T3642" s="2450">
        <v>7401</v>
      </c>
      <c r="U3642" s="515"/>
      <c r="V3642" s="494">
        <v>120</v>
      </c>
      <c r="W3642" s="2041">
        <f t="shared" si="295"/>
        <v>0.58883333333333332</v>
      </c>
    </row>
    <row r="3643" spans="1:23" s="7" customFormat="1" ht="15">
      <c r="A3643" s="1"/>
      <c r="B3643" s="12"/>
      <c r="C3643" s="6" t="s">
        <v>8163</v>
      </c>
      <c r="D3643" s="15" t="s">
        <v>6025</v>
      </c>
      <c r="E3643" s="20" t="s">
        <v>55</v>
      </c>
      <c r="F3643" s="26"/>
      <c r="G3643" s="24"/>
      <c r="H3643" s="67"/>
      <c r="I3643" s="68"/>
      <c r="J3643" s="67"/>
      <c r="K3643" s="17" t="s">
        <v>10</v>
      </c>
      <c r="L3643" s="39"/>
      <c r="M3643" s="39"/>
      <c r="N3643" s="39">
        <v>45705</v>
      </c>
      <c r="O3643" s="38">
        <v>6804</v>
      </c>
      <c r="P3643" s="6"/>
      <c r="Q3643" s="481"/>
      <c r="S3643" s="489"/>
      <c r="T3643" s="113"/>
      <c r="U3643" s="500"/>
      <c r="V3643" s="494">
        <v>120</v>
      </c>
      <c r="W3643" s="2041" t="e">
        <f t="shared" si="295"/>
        <v>#VALUE!</v>
      </c>
    </row>
    <row r="3644" spans="1:23" s="7" customFormat="1" ht="15.75">
      <c r="A3644" s="1"/>
      <c r="B3644" s="12" t="s">
        <v>1856</v>
      </c>
      <c r="C3644" s="6" t="s">
        <v>8163</v>
      </c>
      <c r="D3644" s="15" t="s">
        <v>6025</v>
      </c>
      <c r="E3644" s="24" t="s">
        <v>242</v>
      </c>
      <c r="F3644" s="26"/>
      <c r="G3644" s="24" t="s">
        <v>78</v>
      </c>
      <c r="H3644" s="151">
        <v>13.7</v>
      </c>
      <c r="I3644" s="41">
        <v>146</v>
      </c>
      <c r="J3644" s="199">
        <f>H3644*I3644</f>
        <v>2000.1999999999998</v>
      </c>
      <c r="K3644" s="46">
        <v>1.39</v>
      </c>
      <c r="L3644" s="46">
        <f>K3644*J3644</f>
        <v>2780.2779999999993</v>
      </c>
      <c r="M3644" s="162" t="s">
        <v>2219</v>
      </c>
      <c r="N3644" s="39">
        <v>45705</v>
      </c>
      <c r="O3644" s="38">
        <v>6804</v>
      </c>
      <c r="P3644" s="46">
        <f>K3644*(VLOOKUP(B3644,$C$2:$F$6,3,FALSE))</f>
        <v>1.2231999999999998</v>
      </c>
      <c r="Q3644" s="485">
        <v>1.22</v>
      </c>
      <c r="R3644" s="704">
        <f>Q3644*J3644</f>
        <v>2440.2439999999997</v>
      </c>
      <c r="S3644" s="489">
        <v>100</v>
      </c>
      <c r="T3644" s="567">
        <f>S3644*J3644</f>
        <v>200019.99999999997</v>
      </c>
      <c r="U3644" s="505"/>
      <c r="V3644" s="494">
        <v>120</v>
      </c>
      <c r="W3644" s="2041">
        <f t="shared" si="295"/>
        <v>0.40047961630695439</v>
      </c>
    </row>
    <row r="3645" spans="1:23" s="314" customFormat="1" ht="15" customHeight="1">
      <c r="A3645" s="1"/>
      <c r="B3645" s="313"/>
      <c r="C3645" s="302" t="s">
        <v>8163</v>
      </c>
      <c r="D3645" s="303" t="s">
        <v>6025</v>
      </c>
      <c r="E3645" s="304"/>
      <c r="F3645" s="305"/>
      <c r="G3645" s="305" t="s">
        <v>1227</v>
      </c>
      <c r="H3645" s="307" t="s">
        <v>3438</v>
      </c>
      <c r="I3645" s="308"/>
      <c r="J3645" s="306"/>
      <c r="K3645" s="329">
        <v>150</v>
      </c>
      <c r="L3645" s="329">
        <v>150</v>
      </c>
      <c r="M3645" s="310"/>
      <c r="N3645" s="310">
        <v>45705</v>
      </c>
      <c r="O3645" s="309">
        <v>6804</v>
      </c>
      <c r="P3645" s="302"/>
      <c r="Q3645" s="329">
        <v>150</v>
      </c>
      <c r="R3645" s="329">
        <v>150</v>
      </c>
      <c r="S3645" s="2468">
        <v>7375</v>
      </c>
      <c r="T3645" s="2468">
        <v>7375</v>
      </c>
      <c r="U3645" s="515"/>
      <c r="V3645" s="494">
        <v>120</v>
      </c>
      <c r="W3645" s="2041">
        <f t="shared" ref="W3645:W3676" si="296">(((K3645*V3645)-S3645)/(K3645*V3645))</f>
        <v>0.59027777777777779</v>
      </c>
    </row>
    <row r="3646" spans="1:23" s="7" customFormat="1" ht="15">
      <c r="B3646" s="12"/>
      <c r="C3646" s="6" t="s">
        <v>8176</v>
      </c>
      <c r="D3646" s="15" t="s">
        <v>8166</v>
      </c>
      <c r="E3646" s="20" t="s">
        <v>7726</v>
      </c>
      <c r="F3646" s="26"/>
      <c r="G3646" s="24"/>
      <c r="H3646" s="67"/>
      <c r="I3646" s="68"/>
      <c r="J3646" s="67"/>
      <c r="K3646" s="17" t="s">
        <v>134</v>
      </c>
      <c r="L3646" s="39"/>
      <c r="M3646" s="39"/>
      <c r="N3646" s="39">
        <v>45719</v>
      </c>
      <c r="O3646" s="38">
        <v>6764</v>
      </c>
      <c r="P3646" s="6" t="s">
        <v>23</v>
      </c>
      <c r="Q3646" s="481"/>
      <c r="S3646" s="489"/>
      <c r="T3646" s="113"/>
      <c r="U3646" s="500"/>
      <c r="V3646" s="494">
        <v>120</v>
      </c>
      <c r="W3646" s="2041" t="e">
        <f t="shared" si="296"/>
        <v>#VALUE!</v>
      </c>
    </row>
    <row r="3647" spans="1:23" s="7" customFormat="1" ht="17.25" customHeight="1">
      <c r="B3647" s="12" t="s">
        <v>1856</v>
      </c>
      <c r="C3647" s="6" t="s">
        <v>8176</v>
      </c>
      <c r="D3647" s="15" t="s">
        <v>8166</v>
      </c>
      <c r="E3647" s="24" t="s">
        <v>7722</v>
      </c>
      <c r="F3647" s="44"/>
      <c r="G3647" s="44" t="s">
        <v>7728</v>
      </c>
      <c r="H3647" s="151"/>
      <c r="I3647" s="152"/>
      <c r="J3647" s="8">
        <v>5775</v>
      </c>
      <c r="K3647" s="46">
        <v>5.25</v>
      </c>
      <c r="L3647" s="46">
        <f>K3647*J3647</f>
        <v>30318.75</v>
      </c>
      <c r="M3647" s="162" t="s">
        <v>2219</v>
      </c>
      <c r="N3647" s="39">
        <v>45719</v>
      </c>
      <c r="O3647" s="38">
        <v>6764</v>
      </c>
      <c r="P3647" s="46">
        <f>K3647*(VLOOKUP(B3647,$C$2:$F$6,3,FALSE))</f>
        <v>4.62</v>
      </c>
      <c r="Q3647" s="46">
        <v>4.62</v>
      </c>
      <c r="R3647" s="703">
        <f>Q3647*J3647</f>
        <v>26680.5</v>
      </c>
      <c r="S3647" s="94">
        <v>410</v>
      </c>
      <c r="T3647" s="7">
        <f>S3647*J3647</f>
        <v>2367750</v>
      </c>
      <c r="U3647" s="23"/>
      <c r="V3647" s="494">
        <v>120</v>
      </c>
      <c r="W3647" s="2041">
        <f t="shared" si="296"/>
        <v>0.34920634920634919</v>
      </c>
    </row>
    <row r="3648" spans="1:23" s="314" customFormat="1" ht="15" customHeight="1">
      <c r="A3648" s="1"/>
      <c r="B3648" s="313"/>
      <c r="C3648" s="302" t="s">
        <v>8176</v>
      </c>
      <c r="D3648" s="303" t="s">
        <v>8166</v>
      </c>
      <c r="E3648" s="304"/>
      <c r="F3648" s="305"/>
      <c r="G3648" s="305" t="s">
        <v>1227</v>
      </c>
      <c r="H3648" s="307" t="s">
        <v>1228</v>
      </c>
      <c r="I3648" s="308"/>
      <c r="J3648" s="306"/>
      <c r="K3648" s="315">
        <v>0</v>
      </c>
      <c r="L3648" s="310"/>
      <c r="M3648" s="310"/>
      <c r="N3648" s="310">
        <v>45719</v>
      </c>
      <c r="O3648" s="309">
        <v>6764</v>
      </c>
      <c r="P3648" s="302"/>
      <c r="Q3648" s="485">
        <v>0</v>
      </c>
      <c r="S3648" s="535">
        <v>0</v>
      </c>
      <c r="T3648" s="322">
        <v>0</v>
      </c>
      <c r="U3648" s="515"/>
      <c r="V3648" s="494">
        <v>120</v>
      </c>
      <c r="W3648" s="2041" t="e">
        <f t="shared" si="296"/>
        <v>#DIV/0!</v>
      </c>
    </row>
    <row r="3649" spans="2:23" s="7" customFormat="1" ht="17.25" customHeight="1">
      <c r="B3649" s="12"/>
      <c r="C3649" s="6" t="s">
        <v>8182</v>
      </c>
      <c r="D3649" s="15" t="s">
        <v>1666</v>
      </c>
      <c r="E3649" s="20" t="s">
        <v>1092</v>
      </c>
      <c r="F3649" s="150"/>
      <c r="G3649" s="24"/>
      <c r="H3649" s="151"/>
      <c r="I3649" s="152"/>
      <c r="J3649" s="151"/>
      <c r="K3649" s="34" t="s">
        <v>10</v>
      </c>
      <c r="L3649" s="213"/>
      <c r="M3649" s="39"/>
      <c r="N3649" s="39">
        <v>45638</v>
      </c>
      <c r="O3649" s="38">
        <v>6701</v>
      </c>
      <c r="P3649" s="15"/>
      <c r="Q3649" s="703"/>
      <c r="U3649" s="15"/>
      <c r="V3649" s="494">
        <v>120</v>
      </c>
      <c r="W3649" s="2041" t="e">
        <f t="shared" si="296"/>
        <v>#VALUE!</v>
      </c>
    </row>
    <row r="3650" spans="2:23" s="7" customFormat="1" ht="18" customHeight="1">
      <c r="B3650" s="12" t="s">
        <v>1858</v>
      </c>
      <c r="C3650" s="6" t="s">
        <v>8182</v>
      </c>
      <c r="D3650" s="15" t="s">
        <v>1666</v>
      </c>
      <c r="E3650" s="24" t="s">
        <v>1093</v>
      </c>
      <c r="F3650" s="150">
        <v>150</v>
      </c>
      <c r="G3650" s="44" t="s">
        <v>8181</v>
      </c>
      <c r="H3650" s="151"/>
      <c r="I3650" s="152"/>
      <c r="J3650" s="8">
        <v>5</v>
      </c>
      <c r="K3650" s="46">
        <v>6.25</v>
      </c>
      <c r="L3650" s="46">
        <f>K3650*J3650</f>
        <v>31.25</v>
      </c>
      <c r="M3650" s="162" t="s">
        <v>2607</v>
      </c>
      <c r="N3650" s="39">
        <v>45638</v>
      </c>
      <c r="O3650" s="38">
        <v>6701</v>
      </c>
      <c r="P3650" s="46">
        <f>K3650*(VLOOKUP(B3650,$C$2:$F$6,3,FALSE))</f>
        <v>5.875</v>
      </c>
      <c r="Q3650" s="703">
        <v>5.88</v>
      </c>
      <c r="R3650" s="703">
        <f>Q3650*J3650</f>
        <v>29.4</v>
      </c>
      <c r="S3650" s="7">
        <v>570</v>
      </c>
      <c r="T3650" s="7">
        <f>S3650*J3650</f>
        <v>2850</v>
      </c>
      <c r="U3650" s="23"/>
      <c r="V3650" s="494">
        <v>120</v>
      </c>
      <c r="W3650" s="2041">
        <f t="shared" si="296"/>
        <v>0.24</v>
      </c>
    </row>
    <row r="3651" spans="2:23" s="7" customFormat="1" ht="15.95" customHeight="1">
      <c r="B3651" s="12"/>
      <c r="C3651" s="6" t="s">
        <v>8182</v>
      </c>
      <c r="D3651" s="15" t="s">
        <v>1666</v>
      </c>
      <c r="E3651" s="24"/>
      <c r="F3651" s="138"/>
      <c r="G3651" s="44" t="s">
        <v>5355</v>
      </c>
      <c r="H3651" s="8"/>
      <c r="I3651" s="41"/>
      <c r="J3651" s="45">
        <v>1</v>
      </c>
      <c r="K3651" s="46">
        <v>12</v>
      </c>
      <c r="L3651" s="46">
        <f>K3651*J3651</f>
        <v>12</v>
      </c>
      <c r="M3651" s="39"/>
      <c r="N3651" s="39">
        <v>45638</v>
      </c>
      <c r="O3651" s="38">
        <v>6701</v>
      </c>
      <c r="P3651" s="6"/>
      <c r="Q3651" s="483">
        <v>12</v>
      </c>
      <c r="R3651" s="703">
        <f>Q3651*J3651</f>
        <v>12</v>
      </c>
      <c r="S3651" s="489">
        <v>1000</v>
      </c>
      <c r="T3651" s="113">
        <f>S3651*J3651</f>
        <v>1000</v>
      </c>
      <c r="U3651" s="501"/>
      <c r="V3651" s="494">
        <v>120</v>
      </c>
      <c r="W3651" s="2041">
        <f t="shared" si="296"/>
        <v>0.30555555555555558</v>
      </c>
    </row>
    <row r="3652" spans="2:23" s="7" customFormat="1" ht="15.95" customHeight="1">
      <c r="B3652" s="12"/>
      <c r="C3652" s="6" t="s">
        <v>8182</v>
      </c>
      <c r="D3652" s="15" t="s">
        <v>1666</v>
      </c>
      <c r="E3652" s="24"/>
      <c r="F3652" s="138"/>
      <c r="G3652" s="44" t="s">
        <v>1993</v>
      </c>
      <c r="H3652" s="8"/>
      <c r="I3652" s="41"/>
      <c r="J3652" s="45">
        <v>1</v>
      </c>
      <c r="K3652" s="46">
        <v>12</v>
      </c>
      <c r="L3652" s="46">
        <f>K3652*J3652</f>
        <v>12</v>
      </c>
      <c r="M3652" s="39"/>
      <c r="N3652" s="39">
        <v>45638</v>
      </c>
      <c r="O3652" s="38">
        <v>6701</v>
      </c>
      <c r="P3652" s="6"/>
      <c r="Q3652" s="483">
        <v>12</v>
      </c>
      <c r="R3652" s="703">
        <f>Q3652*J3652</f>
        <v>12</v>
      </c>
      <c r="S3652" s="489">
        <v>1600</v>
      </c>
      <c r="T3652" s="113">
        <v>1600</v>
      </c>
      <c r="U3652" s="501"/>
      <c r="V3652" s="494">
        <v>120</v>
      </c>
      <c r="W3652" s="2041">
        <f t="shared" si="296"/>
        <v>-0.1111111111111111</v>
      </c>
    </row>
    <row r="3653" spans="2:23" s="314" customFormat="1" ht="15">
      <c r="B3653" s="313"/>
      <c r="C3653" s="302" t="s">
        <v>8182</v>
      </c>
      <c r="D3653" s="303" t="s">
        <v>1666</v>
      </c>
      <c r="E3653" s="304"/>
      <c r="F3653" s="305"/>
      <c r="G3653" s="305" t="s">
        <v>1227</v>
      </c>
      <c r="H3653" s="307" t="s">
        <v>1228</v>
      </c>
      <c r="I3653" s="308"/>
      <c r="J3653" s="306"/>
      <c r="K3653" s="315">
        <v>0</v>
      </c>
      <c r="L3653" s="310"/>
      <c r="M3653" s="310"/>
      <c r="N3653" s="310">
        <v>45638</v>
      </c>
      <c r="O3653" s="309">
        <v>6701</v>
      </c>
      <c r="P3653" s="302"/>
      <c r="Q3653" s="485">
        <v>0</v>
      </c>
      <c r="S3653" s="535">
        <v>0</v>
      </c>
      <c r="T3653" s="322">
        <v>0</v>
      </c>
      <c r="U3653" s="515"/>
      <c r="V3653" s="494">
        <v>120</v>
      </c>
      <c r="W3653" s="2041" t="e">
        <f t="shared" si="296"/>
        <v>#DIV/0!</v>
      </c>
    </row>
    <row r="3654" spans="2:23" s="7" customFormat="1" ht="15" customHeight="1">
      <c r="B3654" s="12"/>
      <c r="C3654" s="6" t="s">
        <v>8225</v>
      </c>
      <c r="D3654" s="15" t="s">
        <v>8224</v>
      </c>
      <c r="E3654" s="2013" t="s">
        <v>8219</v>
      </c>
      <c r="F3654" s="26"/>
      <c r="G3654" s="24"/>
      <c r="H3654" s="67"/>
      <c r="I3654" s="68"/>
      <c r="J3654" s="67"/>
      <c r="K3654" s="17" t="s">
        <v>134</v>
      </c>
      <c r="L3654" s="39"/>
      <c r="M3654" s="39"/>
      <c r="N3654" s="39">
        <v>45645</v>
      </c>
      <c r="O3654" s="38">
        <v>6717</v>
      </c>
      <c r="P3654" s="179" t="s">
        <v>23</v>
      </c>
      <c r="Q3654" s="438" t="s">
        <v>959</v>
      </c>
      <c r="R3654" s="704"/>
      <c r="S3654" s="489"/>
      <c r="T3654" s="113"/>
      <c r="U3654" s="510"/>
      <c r="V3654" s="494">
        <v>120</v>
      </c>
      <c r="W3654" s="2041" t="e">
        <f t="shared" si="296"/>
        <v>#VALUE!</v>
      </c>
    </row>
    <row r="3655" spans="2:23" s="7" customFormat="1" ht="18" customHeight="1">
      <c r="B3655" s="12" t="s">
        <v>1856</v>
      </c>
      <c r="C3655" s="6" t="s">
        <v>8225</v>
      </c>
      <c r="D3655" s="15" t="s">
        <v>8224</v>
      </c>
      <c r="E3655" s="24" t="s">
        <v>8217</v>
      </c>
      <c r="F3655" s="246">
        <v>9</v>
      </c>
      <c r="G3655" s="24" t="s">
        <v>5974</v>
      </c>
      <c r="H3655" s="8">
        <v>100</v>
      </c>
      <c r="I3655" s="68">
        <v>1</v>
      </c>
      <c r="J3655" s="67">
        <f>I3655*H3655</f>
        <v>100</v>
      </c>
      <c r="K3655" s="46">
        <v>0.37</v>
      </c>
      <c r="L3655" s="46">
        <f>K3655*J3655</f>
        <v>37</v>
      </c>
      <c r="M3655" s="162" t="s">
        <v>8226</v>
      </c>
      <c r="N3655" s="39">
        <v>45645</v>
      </c>
      <c r="O3655" s="38">
        <v>6717</v>
      </c>
      <c r="P3655" s="46">
        <f>K3655*(VLOOKUP(B3655,$C$2:$F$6,3,FALSE))</f>
        <v>0.3256</v>
      </c>
      <c r="Q3655" s="180">
        <v>0.33</v>
      </c>
      <c r="R3655" s="704">
        <f>Q3655*J3655</f>
        <v>33</v>
      </c>
      <c r="S3655" s="489">
        <v>22</v>
      </c>
      <c r="T3655" s="113">
        <f>S3655*J3655</f>
        <v>2200</v>
      </c>
      <c r="U3655" s="867"/>
      <c r="V3655" s="494">
        <v>120</v>
      </c>
      <c r="W3655" s="2041">
        <f t="shared" si="296"/>
        <v>0.50450450450450446</v>
      </c>
    </row>
    <row r="3656" spans="2:23" ht="15.95" customHeight="1">
      <c r="C3656" s="6" t="s">
        <v>8225</v>
      </c>
      <c r="D3656" s="15" t="s">
        <v>8224</v>
      </c>
      <c r="E3656" s="24"/>
      <c r="F3656" s="138"/>
      <c r="G3656" s="44" t="s">
        <v>1993</v>
      </c>
      <c r="H3656" s="8"/>
      <c r="I3656" s="68"/>
      <c r="J3656" s="45">
        <v>1</v>
      </c>
      <c r="K3656" s="46">
        <v>12</v>
      </c>
      <c r="L3656" s="46">
        <f>K3656*J3656</f>
        <v>12</v>
      </c>
      <c r="M3656" s="112"/>
      <c r="N3656" s="39">
        <v>45645</v>
      </c>
      <c r="O3656" s="38">
        <v>6717</v>
      </c>
      <c r="P3656" s="46" t="e">
        <f>K3656*(VLOOKUP(B3656,$C$2:$F$6,3,FALSE))</f>
        <v>#N/A</v>
      </c>
      <c r="Q3656" s="180">
        <v>12</v>
      </c>
      <c r="R3656" s="180">
        <v>12</v>
      </c>
      <c r="S3656" s="498">
        <v>1000</v>
      </c>
      <c r="T3656" s="568">
        <v>1000</v>
      </c>
      <c r="U3656" s="511"/>
      <c r="V3656" s="494">
        <v>120</v>
      </c>
      <c r="W3656" s="2041">
        <f t="shared" si="296"/>
        <v>0.30555555555555558</v>
      </c>
    </row>
    <row r="3657" spans="2:23" s="314" customFormat="1" ht="15">
      <c r="B3657" s="313"/>
      <c r="C3657" s="302" t="s">
        <v>8225</v>
      </c>
      <c r="D3657" s="303" t="s">
        <v>8224</v>
      </c>
      <c r="E3657" s="371"/>
      <c r="F3657" s="305"/>
      <c r="G3657" s="305" t="s">
        <v>1227</v>
      </c>
      <c r="H3657" s="307" t="s">
        <v>1228</v>
      </c>
      <c r="I3657" s="308"/>
      <c r="J3657" s="306"/>
      <c r="K3657" s="315">
        <v>0</v>
      </c>
      <c r="L3657" s="310"/>
      <c r="M3657" s="310"/>
      <c r="N3657" s="310">
        <v>45645</v>
      </c>
      <c r="O3657" s="309">
        <v>6717</v>
      </c>
      <c r="P3657" s="302"/>
      <c r="Q3657" s="531">
        <v>0</v>
      </c>
      <c r="S3657" s="535">
        <v>0</v>
      </c>
      <c r="T3657" s="322">
        <v>0</v>
      </c>
      <c r="U3657" s="1115"/>
      <c r="V3657" s="494">
        <v>120</v>
      </c>
      <c r="W3657" s="2041" t="e">
        <f t="shared" si="296"/>
        <v>#DIV/0!</v>
      </c>
    </row>
    <row r="3658" spans="2:23" ht="18" customHeight="1">
      <c r="C3658" s="6" t="s">
        <v>8222</v>
      </c>
      <c r="D3658" s="15" t="s">
        <v>8223</v>
      </c>
      <c r="E3658" s="20" t="s">
        <v>260</v>
      </c>
      <c r="F3658" s="44"/>
      <c r="G3658" s="44"/>
      <c r="H3658" s="151"/>
      <c r="I3658" s="151"/>
      <c r="J3658" s="151"/>
      <c r="K3658" s="34" t="s">
        <v>134</v>
      </c>
      <c r="L3658" s="39"/>
      <c r="M3658" s="39"/>
      <c r="N3658" s="2453">
        <v>45685</v>
      </c>
      <c r="O3658" s="2455">
        <v>6718</v>
      </c>
      <c r="P3658" s="6"/>
      <c r="Q3658" s="524"/>
      <c r="S3658" s="1995"/>
      <c r="T3658" s="113"/>
      <c r="U3658" s="501"/>
      <c r="V3658" s="494">
        <v>120</v>
      </c>
      <c r="W3658" s="2041" t="e">
        <f t="shared" si="296"/>
        <v>#VALUE!</v>
      </c>
    </row>
    <row r="3659" spans="2:23" ht="18" customHeight="1">
      <c r="B3659" s="28" t="s">
        <v>1856</v>
      </c>
      <c r="C3659" s="6" t="s">
        <v>8222</v>
      </c>
      <c r="D3659" s="15" t="s">
        <v>8223</v>
      </c>
      <c r="E3659" s="1012">
        <v>4141</v>
      </c>
      <c r="F3659" s="44">
        <v>6</v>
      </c>
      <c r="G3659" s="24" t="s">
        <v>3096</v>
      </c>
      <c r="H3659" s="67">
        <v>20</v>
      </c>
      <c r="I3659" s="68">
        <v>30</v>
      </c>
      <c r="J3659" s="67">
        <f>H3659*I3659</f>
        <v>600</v>
      </c>
      <c r="K3659" s="46">
        <v>1.47</v>
      </c>
      <c r="L3659" s="46">
        <f>K3659*J3659</f>
        <v>882</v>
      </c>
      <c r="M3659" s="162" t="s">
        <v>2219</v>
      </c>
      <c r="N3659" s="2453">
        <v>45685</v>
      </c>
      <c r="O3659" s="2455">
        <v>6718</v>
      </c>
      <c r="P3659" s="46">
        <f>K3659*(VLOOKUP(B3659,$C$2:$F$6,3,FALSE))</f>
        <v>1.2936000000000001</v>
      </c>
      <c r="Q3659" s="482">
        <v>1.29</v>
      </c>
      <c r="R3659" s="704">
        <f>Q3659*J3659</f>
        <v>774</v>
      </c>
      <c r="S3659" s="489">
        <v>87</v>
      </c>
      <c r="T3659" s="113">
        <f>S3659*J3659</f>
        <v>52200</v>
      </c>
      <c r="U3659" s="699"/>
      <c r="V3659" s="494">
        <v>120</v>
      </c>
      <c r="W3659" s="2041">
        <f t="shared" si="296"/>
        <v>0.50680272108843538</v>
      </c>
    </row>
    <row r="3660" spans="2:23" ht="15.95" customHeight="1">
      <c r="C3660" s="6" t="s">
        <v>8222</v>
      </c>
      <c r="D3660" s="15" t="s">
        <v>8223</v>
      </c>
      <c r="E3660" s="24"/>
      <c r="F3660" s="138"/>
      <c r="G3660" s="44" t="s">
        <v>1993</v>
      </c>
      <c r="H3660" s="8"/>
      <c r="I3660" s="68"/>
      <c r="J3660" s="45">
        <v>1</v>
      </c>
      <c r="K3660" s="46">
        <v>12</v>
      </c>
      <c r="L3660" s="46">
        <f>K3660*J3660</f>
        <v>12</v>
      </c>
      <c r="M3660" s="112"/>
      <c r="N3660" s="2453">
        <v>45685</v>
      </c>
      <c r="O3660" s="2455">
        <v>6718</v>
      </c>
      <c r="P3660" s="46" t="e">
        <f>K3660*(VLOOKUP(B3660,$C$2:$F$6,3,FALSE))</f>
        <v>#N/A</v>
      </c>
      <c r="Q3660" s="180">
        <v>12</v>
      </c>
      <c r="R3660" s="180">
        <v>12</v>
      </c>
      <c r="S3660" s="498">
        <v>0</v>
      </c>
      <c r="T3660" s="568">
        <f>S3660*J3660</f>
        <v>0</v>
      </c>
      <c r="U3660" s="511"/>
      <c r="V3660" s="494">
        <v>120</v>
      </c>
      <c r="W3660" s="2041">
        <f t="shared" si="296"/>
        <v>1</v>
      </c>
    </row>
    <row r="3661" spans="2:23" ht="15.95" customHeight="1">
      <c r="C3661" s="6" t="s">
        <v>8222</v>
      </c>
      <c r="D3661" s="15" t="s">
        <v>8223</v>
      </c>
      <c r="E3661" s="24"/>
      <c r="F3661" s="138"/>
      <c r="G3661" s="44" t="s">
        <v>8259</v>
      </c>
      <c r="H3661" s="8"/>
      <c r="I3661" s="68"/>
      <c r="J3661" s="45">
        <v>1</v>
      </c>
      <c r="K3661" s="46">
        <v>25</v>
      </c>
      <c r="L3661" s="46">
        <f>K3661*J3661</f>
        <v>25</v>
      </c>
      <c r="M3661" s="112"/>
      <c r="N3661" s="2453">
        <v>45685</v>
      </c>
      <c r="O3661" s="2455">
        <v>6718</v>
      </c>
      <c r="P3661" s="46" t="e">
        <f>K3661*(VLOOKUP(B3661,$C$2:$F$6,3,FALSE))</f>
        <v>#N/A</v>
      </c>
      <c r="Q3661" s="180">
        <v>0</v>
      </c>
      <c r="R3661" s="180">
        <v>0</v>
      </c>
      <c r="S3661" s="498">
        <v>0</v>
      </c>
      <c r="T3661" s="568">
        <f>S3661*J3661</f>
        <v>0</v>
      </c>
      <c r="U3661" s="511"/>
      <c r="V3661" s="494">
        <v>120</v>
      </c>
      <c r="W3661" s="2041">
        <f t="shared" si="296"/>
        <v>1</v>
      </c>
    </row>
    <row r="3662" spans="2:23" s="314" customFormat="1" ht="15">
      <c r="B3662" s="313"/>
      <c r="C3662" s="302" t="s">
        <v>8222</v>
      </c>
      <c r="D3662" s="303" t="s">
        <v>8223</v>
      </c>
      <c r="E3662" s="304"/>
      <c r="F3662" s="305"/>
      <c r="G3662" s="305" t="s">
        <v>1227</v>
      </c>
      <c r="H3662" s="307" t="s">
        <v>1228</v>
      </c>
      <c r="I3662" s="308"/>
      <c r="J3662" s="306"/>
      <c r="K3662" s="315">
        <v>0</v>
      </c>
      <c r="L3662" s="310"/>
      <c r="M3662" s="310"/>
      <c r="N3662" s="2454">
        <v>45685</v>
      </c>
      <c r="O3662" s="2456">
        <v>6718</v>
      </c>
      <c r="P3662" s="302"/>
      <c r="Q3662" s="485">
        <v>0</v>
      </c>
      <c r="S3662" s="536">
        <v>0</v>
      </c>
      <c r="T3662" s="322">
        <v>0</v>
      </c>
      <c r="U3662" s="515"/>
      <c r="V3662" s="494">
        <v>120</v>
      </c>
      <c r="W3662" s="2041" t="e">
        <f t="shared" si="296"/>
        <v>#DIV/0!</v>
      </c>
    </row>
    <row r="3663" spans="2:23" s="7" customFormat="1" ht="15" customHeight="1">
      <c r="B3663" s="12"/>
      <c r="C3663" s="6" t="s">
        <v>8234</v>
      </c>
      <c r="D3663" s="15" t="s">
        <v>8231</v>
      </c>
      <c r="E3663" s="20" t="s">
        <v>6221</v>
      </c>
      <c r="F3663" s="26"/>
      <c r="G3663" s="24"/>
      <c r="H3663" s="67"/>
      <c r="I3663" s="68"/>
      <c r="J3663" s="67"/>
      <c r="K3663" s="17" t="s">
        <v>134</v>
      </c>
      <c r="L3663" s="39"/>
      <c r="M3663" s="39"/>
      <c r="N3663" s="39">
        <v>45650</v>
      </c>
      <c r="O3663" s="38">
        <v>6721</v>
      </c>
      <c r="P3663" s="179" t="s">
        <v>23</v>
      </c>
      <c r="Q3663" s="438" t="s">
        <v>959</v>
      </c>
      <c r="R3663" s="704"/>
      <c r="S3663" s="707"/>
      <c r="T3663" s="113"/>
      <c r="U3663" s="2068"/>
      <c r="V3663" s="494">
        <v>120</v>
      </c>
      <c r="W3663" s="2041" t="e">
        <f t="shared" si="296"/>
        <v>#VALUE!</v>
      </c>
    </row>
    <row r="3664" spans="2:23" s="7" customFormat="1" ht="18" customHeight="1">
      <c r="B3664" s="12" t="s">
        <v>1856</v>
      </c>
      <c r="C3664" s="6" t="s">
        <v>8234</v>
      </c>
      <c r="D3664" s="15" t="s">
        <v>8231</v>
      </c>
      <c r="E3664" s="24" t="s">
        <v>6214</v>
      </c>
      <c r="F3664" s="26">
        <v>9</v>
      </c>
      <c r="G3664" s="24" t="s">
        <v>6224</v>
      </c>
      <c r="H3664" s="67">
        <v>30</v>
      </c>
      <c r="I3664" s="68">
        <v>2</v>
      </c>
      <c r="J3664" s="67">
        <f>H3664*I3664</f>
        <v>60</v>
      </c>
      <c r="K3664" s="46">
        <v>1.25</v>
      </c>
      <c r="L3664" s="46">
        <f>K3664*J3664</f>
        <v>75</v>
      </c>
      <c r="M3664" s="162" t="s">
        <v>2219</v>
      </c>
      <c r="N3664" s="39">
        <v>45650</v>
      </c>
      <c r="O3664" s="38">
        <v>6721</v>
      </c>
      <c r="P3664" s="46">
        <f>K3664*(VLOOKUP(B3664,$C$2:$F$6,3,FALSE))</f>
        <v>1.1000000000000001</v>
      </c>
      <c r="Q3664" s="180">
        <v>1.1000000000000001</v>
      </c>
      <c r="R3664" s="704">
        <f>Q3664*J3664</f>
        <v>66</v>
      </c>
      <c r="S3664" s="489">
        <v>86</v>
      </c>
      <c r="T3664" s="113">
        <f>S3664*J3664</f>
        <v>5160</v>
      </c>
      <c r="U3664" s="489"/>
      <c r="V3664" s="494">
        <v>120</v>
      </c>
      <c r="W3664" s="2041">
        <f t="shared" si="296"/>
        <v>0.42666666666666669</v>
      </c>
    </row>
    <row r="3665" spans="1:23" s="7" customFormat="1" ht="18" customHeight="1">
      <c r="B3665" s="12" t="s">
        <v>1856</v>
      </c>
      <c r="C3665" s="6" t="s">
        <v>8234</v>
      </c>
      <c r="D3665" s="15" t="s">
        <v>8231</v>
      </c>
      <c r="E3665" s="24" t="s">
        <v>6214</v>
      </c>
      <c r="F3665" s="26">
        <v>15</v>
      </c>
      <c r="G3665" s="24" t="s">
        <v>6224</v>
      </c>
      <c r="H3665" s="67">
        <v>30</v>
      </c>
      <c r="I3665" s="68">
        <v>2</v>
      </c>
      <c r="J3665" s="67">
        <f>H3665*I3665</f>
        <v>60</v>
      </c>
      <c r="K3665" s="46">
        <v>1.53</v>
      </c>
      <c r="L3665" s="46">
        <f>K3665*J3665</f>
        <v>91.8</v>
      </c>
      <c r="M3665" s="162" t="s">
        <v>2219</v>
      </c>
      <c r="N3665" s="39">
        <v>45650</v>
      </c>
      <c r="O3665" s="38">
        <v>6721</v>
      </c>
      <c r="P3665" s="46">
        <f>K3665*(VLOOKUP(B3665,$C$2:$F$6,3,FALSE))</f>
        <v>1.3464</v>
      </c>
      <c r="Q3665" s="180">
        <v>1.35</v>
      </c>
      <c r="R3665" s="704">
        <f>Q3665*J3665</f>
        <v>81</v>
      </c>
      <c r="S3665" s="489">
        <v>105</v>
      </c>
      <c r="T3665" s="113">
        <f>S3665*J3665</f>
        <v>6300</v>
      </c>
      <c r="U3665" s="489"/>
      <c r="V3665" s="494">
        <v>120</v>
      </c>
      <c r="W3665" s="2041">
        <f t="shared" si="296"/>
        <v>0.42810457516339867</v>
      </c>
    </row>
    <row r="3666" spans="1:23" s="7" customFormat="1" ht="15" customHeight="1">
      <c r="B3666" s="12"/>
      <c r="C3666" s="6" t="s">
        <v>8234</v>
      </c>
      <c r="D3666" s="15" t="s">
        <v>8231</v>
      </c>
      <c r="E3666" s="20" t="s">
        <v>3737</v>
      </c>
      <c r="F3666" s="26"/>
      <c r="G3666" s="24"/>
      <c r="H3666" s="67"/>
      <c r="I3666" s="68"/>
      <c r="J3666" s="67"/>
      <c r="K3666" s="17" t="s">
        <v>134</v>
      </c>
      <c r="L3666" s="39"/>
      <c r="M3666" s="39"/>
      <c r="N3666" s="39">
        <v>45650</v>
      </c>
      <c r="O3666" s="38">
        <v>6721</v>
      </c>
      <c r="P3666" s="179" t="s">
        <v>23</v>
      </c>
      <c r="Q3666" s="438" t="s">
        <v>959</v>
      </c>
      <c r="R3666" s="704"/>
      <c r="S3666" s="707"/>
      <c r="T3666" s="113"/>
      <c r="U3666" s="2068"/>
      <c r="V3666" s="494">
        <v>120</v>
      </c>
      <c r="W3666" s="2041" t="e">
        <f t="shared" si="296"/>
        <v>#VALUE!</v>
      </c>
    </row>
    <row r="3667" spans="1:23" s="7" customFormat="1" ht="18" customHeight="1">
      <c r="B3667" s="12" t="s">
        <v>1856</v>
      </c>
      <c r="C3667" s="6" t="s">
        <v>8234</v>
      </c>
      <c r="D3667" s="15" t="s">
        <v>8231</v>
      </c>
      <c r="E3667" s="24">
        <v>3744</v>
      </c>
      <c r="F3667" s="26">
        <v>15</v>
      </c>
      <c r="G3667" s="24" t="s">
        <v>8232</v>
      </c>
      <c r="H3667" s="67">
        <v>50</v>
      </c>
      <c r="I3667" s="68">
        <v>2</v>
      </c>
      <c r="J3667" s="67">
        <f>H3667*I3667</f>
        <v>100</v>
      </c>
      <c r="K3667" s="46">
        <v>0.77</v>
      </c>
      <c r="L3667" s="46">
        <f>K3667*J3667</f>
        <v>77</v>
      </c>
      <c r="M3667" s="162" t="s">
        <v>2219</v>
      </c>
      <c r="N3667" s="39">
        <v>45650</v>
      </c>
      <c r="O3667" s="38">
        <v>6721</v>
      </c>
      <c r="P3667" s="46">
        <f>K3667*(VLOOKUP(B3667,$C$2:$F$6,3,FALSE))</f>
        <v>0.67759999999999998</v>
      </c>
      <c r="Q3667" s="180">
        <v>0.68</v>
      </c>
      <c r="R3667" s="704">
        <f>Q3667*J3667</f>
        <v>68</v>
      </c>
      <c r="S3667" s="2442">
        <v>45.6</v>
      </c>
      <c r="T3667" s="113">
        <f>S3667*J3667</f>
        <v>4560</v>
      </c>
      <c r="U3667" s="489"/>
      <c r="V3667" s="494">
        <v>120</v>
      </c>
      <c r="W3667" s="2041">
        <f t="shared" si="296"/>
        <v>0.50649350649350655</v>
      </c>
    </row>
    <row r="3668" spans="1:23" ht="15.95" customHeight="1">
      <c r="C3668" s="6" t="s">
        <v>8234</v>
      </c>
      <c r="D3668" s="15" t="s">
        <v>8231</v>
      </c>
      <c r="E3668" s="24"/>
      <c r="F3668" s="138"/>
      <c r="G3668" s="44" t="s">
        <v>1993</v>
      </c>
      <c r="H3668" s="8"/>
      <c r="I3668" s="68"/>
      <c r="J3668" s="45">
        <v>2</v>
      </c>
      <c r="K3668" s="46">
        <v>24</v>
      </c>
      <c r="L3668" s="46">
        <f>K3668*J3668</f>
        <v>48</v>
      </c>
      <c r="M3668" s="112"/>
      <c r="N3668" s="39">
        <v>45650</v>
      </c>
      <c r="O3668" s="38">
        <v>6721</v>
      </c>
      <c r="P3668" s="46" t="e">
        <f>K3668*(VLOOKUP(B3668,$C$2:$F$6,3,FALSE))</f>
        <v>#N/A</v>
      </c>
      <c r="Q3668" s="180">
        <v>24</v>
      </c>
      <c r="R3668" s="704">
        <f>Q3668*J3668</f>
        <v>48</v>
      </c>
      <c r="S3668" s="498">
        <v>1000</v>
      </c>
      <c r="T3668" s="568">
        <f>S3668*J3668+1100*1</f>
        <v>3100</v>
      </c>
      <c r="U3668" s="511"/>
      <c r="V3668" s="494">
        <v>120</v>
      </c>
      <c r="W3668" s="2041">
        <f t="shared" si="296"/>
        <v>0.65277777777777779</v>
      </c>
    </row>
    <row r="3669" spans="1:23" s="314" customFormat="1" ht="15">
      <c r="B3669" s="313"/>
      <c r="C3669" s="302" t="s">
        <v>8234</v>
      </c>
      <c r="D3669" s="303" t="s">
        <v>8231</v>
      </c>
      <c r="E3669" s="304"/>
      <c r="F3669" s="305"/>
      <c r="G3669" s="305" t="s">
        <v>1227</v>
      </c>
      <c r="H3669" s="307" t="s">
        <v>1228</v>
      </c>
      <c r="I3669" s="308"/>
      <c r="J3669" s="306"/>
      <c r="K3669" s="315">
        <v>0</v>
      </c>
      <c r="L3669" s="310"/>
      <c r="M3669" s="310"/>
      <c r="N3669" s="310">
        <v>45650</v>
      </c>
      <c r="O3669" s="309">
        <v>6721</v>
      </c>
      <c r="P3669" s="302"/>
      <c r="Q3669" s="485">
        <v>0</v>
      </c>
      <c r="S3669" s="536">
        <v>0</v>
      </c>
      <c r="T3669" s="322">
        <v>0</v>
      </c>
      <c r="U3669" s="515"/>
      <c r="V3669" s="494">
        <v>120</v>
      </c>
      <c r="W3669" s="2041" t="e">
        <f t="shared" si="296"/>
        <v>#DIV/0!</v>
      </c>
    </row>
    <row r="3670" spans="1:23" s="7" customFormat="1" ht="15" customHeight="1">
      <c r="A3670" s="1"/>
      <c r="B3670" s="12"/>
      <c r="C3670" s="6" t="s">
        <v>8230</v>
      </c>
      <c r="D3670" s="15" t="s">
        <v>8229</v>
      </c>
      <c r="E3670" s="20" t="s">
        <v>7832</v>
      </c>
      <c r="F3670" s="26"/>
      <c r="G3670" s="24"/>
      <c r="H3670" s="67"/>
      <c r="I3670" s="68"/>
      <c r="J3670" s="67"/>
      <c r="K3670" s="17" t="s">
        <v>10</v>
      </c>
      <c r="L3670" s="39"/>
      <c r="M3670" s="39"/>
      <c r="N3670" s="39">
        <v>45650</v>
      </c>
      <c r="O3670" s="38">
        <v>6722</v>
      </c>
      <c r="P3670" s="180" t="e">
        <f>K3670*(VLOOKUP(B3670,$C$2:$F$6,3,FALSE))</f>
        <v>#VALUE!</v>
      </c>
      <c r="Q3670" s="483"/>
      <c r="R3670" s="704"/>
      <c r="S3670" s="489"/>
      <c r="T3670" s="113">
        <f>S3670*J3670</f>
        <v>0</v>
      </c>
      <c r="U3670" s="517"/>
      <c r="V3670" s="494">
        <v>120</v>
      </c>
      <c r="W3670" s="2041" t="e">
        <f t="shared" si="296"/>
        <v>#VALUE!</v>
      </c>
    </row>
    <row r="3671" spans="1:23" s="7" customFormat="1" ht="15.75" customHeight="1">
      <c r="A3671" s="1"/>
      <c r="B3671" s="12" t="s">
        <v>1856</v>
      </c>
      <c r="C3671" s="6" t="s">
        <v>8230</v>
      </c>
      <c r="D3671" s="15" t="s">
        <v>8229</v>
      </c>
      <c r="E3671" s="24" t="s">
        <v>6913</v>
      </c>
      <c r="F3671" s="26"/>
      <c r="G3671" s="24" t="s">
        <v>78</v>
      </c>
      <c r="H3671" s="151"/>
      <c r="I3671" s="41"/>
      <c r="J3671" s="67">
        <v>100</v>
      </c>
      <c r="K3671" s="25">
        <v>0.59</v>
      </c>
      <c r="L3671" s="46">
        <f>K3671*J3671</f>
        <v>59</v>
      </c>
      <c r="M3671" s="162" t="s">
        <v>2219</v>
      </c>
      <c r="N3671" s="39">
        <v>45650</v>
      </c>
      <c r="O3671" s="38">
        <v>6722</v>
      </c>
      <c r="P3671" s="180">
        <f>K3671*(VLOOKUP(B3671,$C$2:$F$6,3,FALSE))</f>
        <v>0.51919999999999999</v>
      </c>
      <c r="Q3671" s="483">
        <v>0.52</v>
      </c>
      <c r="R3671" s="704">
        <f>Q3671*J3671</f>
        <v>52</v>
      </c>
      <c r="S3671" s="489">
        <v>42</v>
      </c>
      <c r="T3671" s="113">
        <f>S3671*J3671</f>
        <v>4200</v>
      </c>
      <c r="U3671" s="517"/>
      <c r="V3671" s="494">
        <v>120</v>
      </c>
      <c r="W3671" s="2041">
        <f t="shared" si="296"/>
        <v>0.40677966101694912</v>
      </c>
    </row>
    <row r="3672" spans="1:23" s="7" customFormat="1" ht="18" customHeight="1">
      <c r="B3672" s="12"/>
      <c r="C3672" s="6" t="s">
        <v>8230</v>
      </c>
      <c r="D3672" s="15" t="s">
        <v>8229</v>
      </c>
      <c r="E3672" s="238"/>
      <c r="F3672" s="44"/>
      <c r="G3672" s="24" t="s">
        <v>2975</v>
      </c>
      <c r="H3672" s="8"/>
      <c r="I3672" s="152" ph="1"/>
      <c r="J3672" s="45">
        <v>1</v>
      </c>
      <c r="K3672" s="46">
        <v>12</v>
      </c>
      <c r="L3672" s="46">
        <f>K3672*J3672</f>
        <v>12</v>
      </c>
      <c r="M3672" s="112"/>
      <c r="N3672" s="39">
        <v>45650</v>
      </c>
      <c r="O3672" s="38">
        <v>6722</v>
      </c>
      <c r="P3672" s="6"/>
      <c r="Q3672" s="703">
        <v>12</v>
      </c>
      <c r="R3672" s="703">
        <f>Q3672*J3672</f>
        <v>12</v>
      </c>
      <c r="S3672" s="7">
        <v>900</v>
      </c>
      <c r="T3672" s="113">
        <f>S3672*J3672</f>
        <v>900</v>
      </c>
      <c r="U3672" s="23"/>
      <c r="V3672" s="494">
        <v>120</v>
      </c>
      <c r="W3672" s="2041">
        <f t="shared" si="296"/>
        <v>0.375</v>
      </c>
    </row>
    <row r="3673" spans="1:23" s="314" customFormat="1" ht="15">
      <c r="A3673" s="1"/>
      <c r="B3673" s="313"/>
      <c r="C3673" s="302" t="s">
        <v>8230</v>
      </c>
      <c r="D3673" s="303" t="s">
        <v>8229</v>
      </c>
      <c r="E3673" s="371"/>
      <c r="F3673" s="305"/>
      <c r="G3673" s="305" t="s">
        <v>1227</v>
      </c>
      <c r="H3673" s="307" t="s">
        <v>1228</v>
      </c>
      <c r="I3673" s="308"/>
      <c r="J3673" s="306"/>
      <c r="K3673" s="315">
        <v>0</v>
      </c>
      <c r="L3673" s="310"/>
      <c r="M3673" s="310"/>
      <c r="N3673" s="310">
        <v>45650</v>
      </c>
      <c r="O3673" s="309">
        <v>6722</v>
      </c>
      <c r="P3673" s="302"/>
      <c r="Q3673" s="485">
        <v>0</v>
      </c>
      <c r="S3673" s="536">
        <v>0</v>
      </c>
      <c r="T3673" s="322">
        <v>0</v>
      </c>
      <c r="U3673" s="515"/>
      <c r="V3673" s="494">
        <v>120</v>
      </c>
      <c r="W3673" s="2041" t="e">
        <f t="shared" si="296"/>
        <v>#DIV/0!</v>
      </c>
    </row>
    <row r="3674" spans="1:23" s="7" customFormat="1" ht="15" customHeight="1">
      <c r="A3674" s="1"/>
      <c r="B3674" s="12"/>
      <c r="C3674" s="6" t="s">
        <v>8238</v>
      </c>
      <c r="D3674" s="15" t="s">
        <v>8239</v>
      </c>
      <c r="E3674" s="20" t="s">
        <v>8243</v>
      </c>
      <c r="F3674" s="26"/>
      <c r="G3674" s="24"/>
      <c r="H3674" s="67"/>
      <c r="I3674" s="68"/>
      <c r="J3674" s="67"/>
      <c r="K3674" s="17" t="s">
        <v>10</v>
      </c>
      <c r="L3674" s="39"/>
      <c r="M3674" s="39"/>
      <c r="N3674" s="39">
        <v>45663</v>
      </c>
      <c r="O3674" s="38">
        <v>6739</v>
      </c>
      <c r="P3674" s="180" t="e">
        <f>K3674*(VLOOKUP(B3674,$C$2:$F$6,3,FALSE))</f>
        <v>#VALUE!</v>
      </c>
      <c r="Q3674" s="483"/>
      <c r="R3674" s="704"/>
      <c r="S3674" s="489"/>
      <c r="T3674" s="113">
        <f>S3674*J3674</f>
        <v>0</v>
      </c>
      <c r="U3674" s="517"/>
      <c r="V3674" s="494">
        <v>120</v>
      </c>
      <c r="W3674" s="2041" t="e">
        <f t="shared" si="296"/>
        <v>#VALUE!</v>
      </c>
    </row>
    <row r="3675" spans="1:23" s="7" customFormat="1" ht="15.75" customHeight="1">
      <c r="A3675" s="1"/>
      <c r="B3675" s="12" t="s">
        <v>1856</v>
      </c>
      <c r="C3675" s="6" t="s">
        <v>8238</v>
      </c>
      <c r="D3675" s="15" t="s">
        <v>8239</v>
      </c>
      <c r="E3675" s="24" t="s">
        <v>3330</v>
      </c>
      <c r="F3675" s="26"/>
      <c r="G3675" s="24" t="s">
        <v>8240</v>
      </c>
      <c r="H3675" s="151"/>
      <c r="I3675" s="41"/>
      <c r="J3675" s="67">
        <v>40</v>
      </c>
      <c r="K3675" s="25">
        <v>0.69</v>
      </c>
      <c r="L3675" s="46">
        <f>K3675*J3675</f>
        <v>27.599999999999998</v>
      </c>
      <c r="M3675" s="162" t="s">
        <v>2219</v>
      </c>
      <c r="N3675" s="39">
        <v>45663</v>
      </c>
      <c r="O3675" s="38">
        <v>6739</v>
      </c>
      <c r="P3675" s="180">
        <f>K3675*(VLOOKUP(B3675,$C$2:$F$6,3,FALSE))</f>
        <v>0.60719999999999996</v>
      </c>
      <c r="Q3675" s="483">
        <v>0.61</v>
      </c>
      <c r="R3675" s="704">
        <f>Q3675*J3675</f>
        <v>24.4</v>
      </c>
      <c r="S3675" s="489">
        <v>49</v>
      </c>
      <c r="T3675" s="113">
        <f>S3675*J3675</f>
        <v>1960</v>
      </c>
      <c r="U3675" s="517"/>
      <c r="V3675" s="494">
        <v>120</v>
      </c>
      <c r="W3675" s="2041">
        <f t="shared" si="296"/>
        <v>0.40821256038647341</v>
      </c>
    </row>
    <row r="3676" spans="1:23" s="7" customFormat="1" ht="18" customHeight="1">
      <c r="B3676" s="12" t="s">
        <v>8241</v>
      </c>
      <c r="C3676" s="6" t="s">
        <v>8238</v>
      </c>
      <c r="D3676" s="15" t="s">
        <v>8239</v>
      </c>
      <c r="E3676" s="238"/>
      <c r="F3676" s="44"/>
      <c r="G3676" s="24" t="s">
        <v>8242</v>
      </c>
      <c r="H3676" s="8"/>
      <c r="I3676" s="152" ph="1"/>
      <c r="J3676" s="45">
        <v>1</v>
      </c>
      <c r="K3676" s="46">
        <v>75</v>
      </c>
      <c r="L3676" s="46">
        <f>K3676*J3676</f>
        <v>75</v>
      </c>
      <c r="M3676" s="112"/>
      <c r="N3676" s="39">
        <v>45663</v>
      </c>
      <c r="O3676" s="38">
        <v>6739</v>
      </c>
      <c r="P3676" s="180">
        <f>K3676*(VLOOKUP(B3676,$C$2:$F$6,3,FALSE))</f>
        <v>75</v>
      </c>
      <c r="Q3676" s="703">
        <v>75</v>
      </c>
      <c r="R3676" s="703">
        <f>Q3676*J3676</f>
        <v>75</v>
      </c>
      <c r="S3676" s="7">
        <v>7000</v>
      </c>
      <c r="T3676" s="113">
        <f>S3676*J3676</f>
        <v>7000</v>
      </c>
      <c r="U3676" s="23"/>
      <c r="V3676" s="494">
        <v>120</v>
      </c>
      <c r="W3676" s="2041">
        <f t="shared" si="296"/>
        <v>0.22222222222222221</v>
      </c>
    </row>
    <row r="3677" spans="1:23" s="7" customFormat="1" ht="18" customHeight="1">
      <c r="B3677" s="12"/>
      <c r="C3677" s="6" t="s">
        <v>8238</v>
      </c>
      <c r="D3677" s="15" t="s">
        <v>8239</v>
      </c>
      <c r="E3677" s="238"/>
      <c r="F3677" s="44"/>
      <c r="G3677" s="24" t="s">
        <v>2975</v>
      </c>
      <c r="H3677" s="8"/>
      <c r="I3677" s="152" ph="1"/>
      <c r="J3677" s="45">
        <v>1</v>
      </c>
      <c r="K3677" s="46">
        <v>12</v>
      </c>
      <c r="L3677" s="46">
        <f>K3677*J3677</f>
        <v>12</v>
      </c>
      <c r="M3677" s="112"/>
      <c r="N3677" s="39">
        <v>45663</v>
      </c>
      <c r="O3677" s="38">
        <v>6739</v>
      </c>
      <c r="P3677" s="6"/>
      <c r="Q3677" s="703">
        <v>12</v>
      </c>
      <c r="R3677" s="703">
        <f>Q3677*J3677</f>
        <v>12</v>
      </c>
      <c r="S3677" s="7">
        <v>0</v>
      </c>
      <c r="T3677" s="113">
        <f>S3677*J3677</f>
        <v>0</v>
      </c>
      <c r="U3677" s="23"/>
      <c r="V3677" s="494">
        <v>120</v>
      </c>
      <c r="W3677" s="2041">
        <f t="shared" ref="W3677:W3708" si="297">(((K3677*V3677)-S3677)/(K3677*V3677))</f>
        <v>1</v>
      </c>
    </row>
    <row r="3678" spans="1:23" s="314" customFormat="1" ht="15">
      <c r="A3678" s="1"/>
      <c r="B3678" s="313"/>
      <c r="C3678" s="302" t="s">
        <v>8238</v>
      </c>
      <c r="D3678" s="303" t="s">
        <v>8239</v>
      </c>
      <c r="E3678" s="371"/>
      <c r="F3678" s="305"/>
      <c r="G3678" s="305" t="s">
        <v>1227</v>
      </c>
      <c r="H3678" s="307" t="s">
        <v>1228</v>
      </c>
      <c r="I3678" s="308"/>
      <c r="J3678" s="306"/>
      <c r="K3678" s="315">
        <v>0</v>
      </c>
      <c r="L3678" s="310"/>
      <c r="M3678" s="310"/>
      <c r="N3678" s="310">
        <v>45663</v>
      </c>
      <c r="O3678" s="309">
        <v>6739</v>
      </c>
      <c r="P3678" s="302"/>
      <c r="Q3678" s="485">
        <v>0</v>
      </c>
      <c r="S3678" s="536">
        <v>0</v>
      </c>
      <c r="T3678" s="322">
        <v>0</v>
      </c>
      <c r="U3678" s="515"/>
      <c r="V3678" s="494">
        <v>120</v>
      </c>
      <c r="W3678" s="2041" t="e">
        <f t="shared" si="297"/>
        <v>#DIV/0!</v>
      </c>
    </row>
    <row r="3679" spans="1:23" s="222" customFormat="1" ht="15" customHeight="1">
      <c r="B3679" s="232"/>
      <c r="C3679" s="220"/>
      <c r="D3679" s="224" t="s">
        <v>3120</v>
      </c>
      <c r="E3679" s="991" t="s">
        <v>628</v>
      </c>
      <c r="F3679" s="176"/>
      <c r="G3679" s="177"/>
      <c r="H3679" s="221"/>
      <c r="I3679" s="2337"/>
      <c r="J3679" s="221"/>
      <c r="K3679" s="2338" t="s">
        <v>134</v>
      </c>
      <c r="L3679" s="994"/>
      <c r="M3679" s="994"/>
      <c r="N3679" s="376" t="s">
        <v>96</v>
      </c>
      <c r="O3679" s="376" t="s">
        <v>96</v>
      </c>
      <c r="P3679" s="2339" t="s">
        <v>23</v>
      </c>
      <c r="Q3679" s="2340" t="s">
        <v>959</v>
      </c>
      <c r="R3679" s="2231"/>
      <c r="S3679" s="493"/>
      <c r="T3679" s="566"/>
      <c r="U3679" s="2341"/>
      <c r="V3679" s="495">
        <v>120</v>
      </c>
      <c r="W3679" s="2233" t="e">
        <f t="shared" si="297"/>
        <v>#VALUE!</v>
      </c>
    </row>
    <row r="3680" spans="1:23" s="222" customFormat="1" ht="18" customHeight="1">
      <c r="B3680" s="232" t="s">
        <v>1856</v>
      </c>
      <c r="C3680" s="220"/>
      <c r="D3680" s="224" t="s">
        <v>3120</v>
      </c>
      <c r="E3680" s="2445">
        <v>5291</v>
      </c>
      <c r="F3680" s="176">
        <v>8</v>
      </c>
      <c r="G3680" s="177" t="s">
        <v>499</v>
      </c>
      <c r="H3680" s="221">
        <v>50</v>
      </c>
      <c r="I3680" s="997">
        <v>8</v>
      </c>
      <c r="J3680" s="221">
        <f>H3680*I3680</f>
        <v>400</v>
      </c>
      <c r="K3680" s="201">
        <v>0.54</v>
      </c>
      <c r="L3680" s="201">
        <f>K3680*J3680</f>
        <v>216</v>
      </c>
      <c r="M3680" s="1000" t="s">
        <v>2219</v>
      </c>
      <c r="N3680" s="376" t="s">
        <v>96</v>
      </c>
      <c r="O3680" s="376" t="s">
        <v>96</v>
      </c>
      <c r="P3680" s="2230">
        <f>K3680*(VLOOKUP(B3680,$C$2:$F$6,3,FALSE))</f>
        <v>0.47520000000000001</v>
      </c>
      <c r="Q3680" s="2230">
        <v>0.48</v>
      </c>
      <c r="R3680" s="2231">
        <f>Q3680*J3680</f>
        <v>192</v>
      </c>
      <c r="S3680" s="493">
        <v>28.8</v>
      </c>
      <c r="T3680" s="566">
        <f>S3680*J3680</f>
        <v>11520</v>
      </c>
      <c r="U3680" s="2342"/>
      <c r="V3680" s="495">
        <v>120</v>
      </c>
      <c r="W3680" s="2233">
        <f t="shared" si="297"/>
        <v>0.55555555555555569</v>
      </c>
    </row>
    <row r="3681" spans="1:23" s="1048" customFormat="1" ht="18" customHeight="1">
      <c r="B3681" s="232" t="s">
        <v>1862</v>
      </c>
      <c r="C3681" s="220"/>
      <c r="D3681" s="224" t="s">
        <v>3120</v>
      </c>
      <c r="E3681" s="177"/>
      <c r="F3681" s="2234"/>
      <c r="G3681" s="187" t="s">
        <v>1993</v>
      </c>
      <c r="H3681" s="226"/>
      <c r="I3681" s="227"/>
      <c r="J3681" s="1043">
        <v>1</v>
      </c>
      <c r="K3681" s="201">
        <v>12</v>
      </c>
      <c r="L3681" s="201">
        <f>K3681*J3681</f>
        <v>12</v>
      </c>
      <c r="M3681" s="2235"/>
      <c r="N3681" s="376" t="s">
        <v>96</v>
      </c>
      <c r="O3681" s="376" t="s">
        <v>96</v>
      </c>
      <c r="P3681" s="201">
        <f>K3681*(VLOOKUP(B3681,$C$2:$F$6,3,FALSE))</f>
        <v>12</v>
      </c>
      <c r="Q3681" s="484">
        <v>12</v>
      </c>
      <c r="R3681" s="2231">
        <f>Q3681*J3681</f>
        <v>12</v>
      </c>
      <c r="S3681" s="2236">
        <v>850</v>
      </c>
      <c r="T3681" s="2236">
        <v>850</v>
      </c>
      <c r="U3681" s="2238"/>
      <c r="V3681" s="495">
        <v>120</v>
      </c>
      <c r="W3681" s="2233">
        <f t="shared" si="297"/>
        <v>0.40972222222222221</v>
      </c>
    </row>
    <row r="3682" spans="1:23" s="1048" customFormat="1" ht="18" customHeight="1">
      <c r="B3682" s="1042"/>
      <c r="C3682" s="220"/>
      <c r="D3682" s="224" t="s">
        <v>3120</v>
      </c>
      <c r="E3682" s="225"/>
      <c r="F3682" s="187"/>
      <c r="G3682" s="187" t="s">
        <v>1227</v>
      </c>
      <c r="H3682" s="1043" t="s">
        <v>1228</v>
      </c>
      <c r="I3682" s="231"/>
      <c r="J3682" s="223"/>
      <c r="K3682" s="201">
        <v>0</v>
      </c>
      <c r="L3682" s="994"/>
      <c r="M3682" s="994"/>
      <c r="N3682" s="376" t="s">
        <v>96</v>
      </c>
      <c r="O3682" s="376" t="s">
        <v>96</v>
      </c>
      <c r="P3682" s="220"/>
      <c r="Q3682" s="2446">
        <v>0</v>
      </c>
      <c r="S3682" s="1045">
        <v>0</v>
      </c>
      <c r="T3682" s="1046">
        <v>0</v>
      </c>
      <c r="U3682" s="1047"/>
      <c r="V3682" s="495">
        <v>120</v>
      </c>
      <c r="W3682" s="2233" t="e">
        <f t="shared" si="297"/>
        <v>#DIV/0!</v>
      </c>
    </row>
    <row r="3683" spans="1:23" ht="18" customHeight="1">
      <c r="C3683" s="6" t="s">
        <v>8255</v>
      </c>
      <c r="D3683" s="15" t="s">
        <v>8246</v>
      </c>
      <c r="E3683" s="20" t="s">
        <v>260</v>
      </c>
      <c r="F3683" s="44"/>
      <c r="G3683" s="44"/>
      <c r="H3683" s="151"/>
      <c r="I3683" s="151"/>
      <c r="J3683" s="151"/>
      <c r="K3683" s="34" t="s">
        <v>134</v>
      </c>
      <c r="L3683" s="39"/>
      <c r="M3683" s="39"/>
      <c r="N3683" s="39">
        <v>45706</v>
      </c>
      <c r="O3683" s="38">
        <v>6751</v>
      </c>
      <c r="P3683" s="6"/>
      <c r="Q3683" s="524"/>
      <c r="S3683" s="1995"/>
      <c r="T3683" s="113"/>
      <c r="U3683" s="501"/>
      <c r="V3683" s="494">
        <v>120</v>
      </c>
      <c r="W3683" s="2041" t="e">
        <f t="shared" si="297"/>
        <v>#VALUE!</v>
      </c>
    </row>
    <row r="3684" spans="1:23" ht="18" customHeight="1">
      <c r="B3684" s="28" t="s">
        <v>1856</v>
      </c>
      <c r="C3684" s="6" t="s">
        <v>8255</v>
      </c>
      <c r="D3684" s="15" t="s">
        <v>8246</v>
      </c>
      <c r="E3684" s="24">
        <v>4141</v>
      </c>
      <c r="F3684" s="44">
        <v>6</v>
      </c>
      <c r="G3684" s="24" t="s">
        <v>8247</v>
      </c>
      <c r="H3684" s="67">
        <v>20</v>
      </c>
      <c r="I3684" s="68">
        <v>51</v>
      </c>
      <c r="J3684" s="67">
        <f>H3684*I3684</f>
        <v>1020</v>
      </c>
      <c r="K3684" s="46">
        <v>1.47</v>
      </c>
      <c r="L3684" s="46">
        <f>K3684*J3684</f>
        <v>1499.3999999999999</v>
      </c>
      <c r="M3684" s="162" t="s">
        <v>2219</v>
      </c>
      <c r="N3684" s="39">
        <v>45706</v>
      </c>
      <c r="O3684" s="38">
        <v>6751</v>
      </c>
      <c r="P3684" s="46">
        <f>K3684*(VLOOKUP(B3684,$C$2:$F$6,3,FALSE))</f>
        <v>1.2936000000000001</v>
      </c>
      <c r="Q3684" s="482">
        <v>1.29</v>
      </c>
      <c r="R3684" s="704">
        <f>Q3684*J3684</f>
        <v>1315.8</v>
      </c>
      <c r="S3684" s="489">
        <v>87</v>
      </c>
      <c r="T3684" s="113">
        <f>S3684*J3684</f>
        <v>88740</v>
      </c>
      <c r="U3684" s="699"/>
      <c r="V3684" s="494">
        <v>120</v>
      </c>
      <c r="W3684" s="2041">
        <f t="shared" si="297"/>
        <v>0.50680272108843538</v>
      </c>
    </row>
    <row r="3685" spans="1:23" ht="18" customHeight="1">
      <c r="B3685" s="28" t="s">
        <v>1856</v>
      </c>
      <c r="C3685" s="6" t="s">
        <v>8255</v>
      </c>
      <c r="D3685" s="15" t="s">
        <v>8246</v>
      </c>
      <c r="E3685" s="24">
        <v>4141</v>
      </c>
      <c r="F3685" s="44">
        <v>6</v>
      </c>
      <c r="G3685" s="24" t="s">
        <v>8248</v>
      </c>
      <c r="H3685" s="67">
        <v>20</v>
      </c>
      <c r="I3685" s="68">
        <v>27</v>
      </c>
      <c r="J3685" s="67">
        <f>H3685*I3685</f>
        <v>540</v>
      </c>
      <c r="K3685" s="46">
        <v>1.47</v>
      </c>
      <c r="L3685" s="46">
        <f>K3685*J3685</f>
        <v>793.8</v>
      </c>
      <c r="M3685" s="162" t="s">
        <v>2219</v>
      </c>
      <c r="N3685" s="39">
        <v>45706</v>
      </c>
      <c r="O3685" s="38">
        <v>6751</v>
      </c>
      <c r="P3685" s="46">
        <f>K3685*(VLOOKUP(B3685,$C$2:$F$6,3,FALSE))</f>
        <v>1.2936000000000001</v>
      </c>
      <c r="Q3685" s="482">
        <v>1.29</v>
      </c>
      <c r="R3685" s="704">
        <f>Q3685*J3685</f>
        <v>696.6</v>
      </c>
      <c r="S3685" s="489">
        <v>87</v>
      </c>
      <c r="T3685" s="113">
        <f>S3685*J3685</f>
        <v>46980</v>
      </c>
      <c r="U3685" s="699"/>
      <c r="V3685" s="494">
        <v>120</v>
      </c>
      <c r="W3685" s="2041">
        <f t="shared" si="297"/>
        <v>0.50680272108843538</v>
      </c>
    </row>
    <row r="3686" spans="1:23" s="2396" customFormat="1" ht="18" customHeight="1">
      <c r="A3686" s="2443"/>
      <c r="B3686" s="2444"/>
      <c r="C3686" s="216" t="s">
        <v>8255</v>
      </c>
      <c r="D3686" s="109" t="s">
        <v>8246</v>
      </c>
      <c r="E3686" s="228"/>
      <c r="F3686" s="160"/>
      <c r="G3686" s="2447" t="s">
        <v>1664</v>
      </c>
      <c r="H3686" s="214"/>
      <c r="I3686" s="215"/>
      <c r="J3686" s="326">
        <v>78</v>
      </c>
      <c r="K3686" s="229">
        <v>0</v>
      </c>
      <c r="L3686" s="229">
        <f>K3686*J3686</f>
        <v>0</v>
      </c>
      <c r="M3686" s="969"/>
      <c r="N3686" s="2448">
        <v>45706</v>
      </c>
      <c r="O3686" s="38">
        <v>6751</v>
      </c>
      <c r="P3686" s="216"/>
      <c r="Q3686" s="229">
        <f>P3686*O3686</f>
        <v>0</v>
      </c>
      <c r="R3686" s="229">
        <f>Q3686*P3686</f>
        <v>0</v>
      </c>
      <c r="S3686" s="489">
        <v>35</v>
      </c>
      <c r="T3686" s="567">
        <f>S3686*J3686</f>
        <v>2730</v>
      </c>
      <c r="U3686" s="503"/>
      <c r="V3686" s="494">
        <v>120</v>
      </c>
      <c r="W3686" s="2041" t="e">
        <f t="shared" si="297"/>
        <v>#DIV/0!</v>
      </c>
    </row>
    <row r="3687" spans="1:23" s="314" customFormat="1" ht="15">
      <c r="B3687" s="313"/>
      <c r="C3687" s="302" t="s">
        <v>8255</v>
      </c>
      <c r="D3687" s="303" t="s">
        <v>8246</v>
      </c>
      <c r="E3687" s="304"/>
      <c r="F3687" s="305"/>
      <c r="G3687" s="305" t="s">
        <v>1227</v>
      </c>
      <c r="H3687" s="307" t="s">
        <v>1228</v>
      </c>
      <c r="I3687" s="308"/>
      <c r="J3687" s="306"/>
      <c r="K3687" s="315">
        <v>0</v>
      </c>
      <c r="L3687" s="310"/>
      <c r="M3687" s="310"/>
      <c r="N3687" s="310">
        <v>45706</v>
      </c>
      <c r="O3687" s="309">
        <v>6751</v>
      </c>
      <c r="P3687" s="302"/>
      <c r="Q3687" s="485">
        <v>0</v>
      </c>
      <c r="S3687" s="536">
        <v>0</v>
      </c>
      <c r="T3687" s="322">
        <v>0</v>
      </c>
      <c r="U3687" s="515"/>
      <c r="V3687" s="494">
        <v>120</v>
      </c>
      <c r="W3687" s="2041" t="e">
        <f t="shared" si="297"/>
        <v>#DIV/0!</v>
      </c>
    </row>
    <row r="3688" spans="1:23" s="7" customFormat="1" ht="15" customHeight="1">
      <c r="A3688" s="1"/>
      <c r="B3688" s="12"/>
      <c r="C3688" s="6" t="s">
        <v>8251</v>
      </c>
      <c r="D3688" s="15" t="s">
        <v>5251</v>
      </c>
      <c r="E3688" s="20" t="s">
        <v>8252</v>
      </c>
      <c r="F3688" s="26"/>
      <c r="G3688" s="24"/>
      <c r="H3688" s="67"/>
      <c r="I3688" s="68"/>
      <c r="J3688" s="67"/>
      <c r="K3688" s="17" t="s">
        <v>10</v>
      </c>
      <c r="L3688" s="39"/>
      <c r="M3688" s="39"/>
      <c r="N3688" s="39">
        <v>45664</v>
      </c>
      <c r="O3688" s="38">
        <v>6747</v>
      </c>
      <c r="P3688" s="180" t="e">
        <f>K3688*(VLOOKUP(B3688,$C$2:$F$6,3,FALSE))</f>
        <v>#VALUE!</v>
      </c>
      <c r="Q3688" s="483"/>
      <c r="R3688" s="704"/>
      <c r="S3688" s="489"/>
      <c r="T3688" s="113">
        <f>S3688*J3688</f>
        <v>0</v>
      </c>
      <c r="U3688" s="517"/>
      <c r="V3688" s="494">
        <v>120</v>
      </c>
      <c r="W3688" s="2041" t="e">
        <f t="shared" si="297"/>
        <v>#VALUE!</v>
      </c>
    </row>
    <row r="3689" spans="1:23" s="7" customFormat="1" ht="15.75" customHeight="1">
      <c r="A3689" s="1"/>
      <c r="B3689" s="12" t="s">
        <v>1856</v>
      </c>
      <c r="C3689" s="6" t="s">
        <v>8251</v>
      </c>
      <c r="D3689" s="15" t="s">
        <v>5251</v>
      </c>
      <c r="E3689" s="24" t="s">
        <v>8253</v>
      </c>
      <c r="F3689" s="26"/>
      <c r="G3689" s="24" t="s">
        <v>7694</v>
      </c>
      <c r="H3689" s="151"/>
      <c r="I3689" s="41"/>
      <c r="J3689" s="67">
        <v>30</v>
      </c>
      <c r="K3689" s="25">
        <v>1.81</v>
      </c>
      <c r="L3689" s="46">
        <f>K3689*J3689</f>
        <v>54.300000000000004</v>
      </c>
      <c r="M3689" s="162" t="s">
        <v>2219</v>
      </c>
      <c r="N3689" s="39">
        <v>45664</v>
      </c>
      <c r="O3689" s="38">
        <v>6747</v>
      </c>
      <c r="P3689" s="180">
        <f>K3689*(VLOOKUP(B3689,$C$2:$F$6,3,FALSE))</f>
        <v>1.5928</v>
      </c>
      <c r="Q3689" s="483">
        <v>1.59</v>
      </c>
      <c r="R3689" s="704">
        <f>Q3689*J3689</f>
        <v>47.7</v>
      </c>
      <c r="S3689" s="489">
        <v>130</v>
      </c>
      <c r="T3689" s="113">
        <f>S3689*J3689</f>
        <v>3900</v>
      </c>
      <c r="U3689" s="517"/>
      <c r="V3689" s="494">
        <v>120</v>
      </c>
      <c r="W3689" s="2041">
        <f t="shared" si="297"/>
        <v>0.40147329650092084</v>
      </c>
    </row>
    <row r="3690" spans="1:23" s="7" customFormat="1" ht="15.75" customHeight="1">
      <c r="A3690" s="1"/>
      <c r="B3690" s="12" t="s">
        <v>1856</v>
      </c>
      <c r="C3690" s="6" t="s">
        <v>8251</v>
      </c>
      <c r="D3690" s="15" t="s">
        <v>5251</v>
      </c>
      <c r="E3690" s="24" t="s">
        <v>8254</v>
      </c>
      <c r="F3690" s="26"/>
      <c r="G3690" s="24" t="s">
        <v>7694</v>
      </c>
      <c r="H3690" s="151"/>
      <c r="I3690" s="41"/>
      <c r="J3690" s="67">
        <v>30</v>
      </c>
      <c r="K3690" s="25">
        <v>3.55</v>
      </c>
      <c r="L3690" s="46">
        <f>K3690*J3690</f>
        <v>106.5</v>
      </c>
      <c r="M3690" s="162" t="s">
        <v>2219</v>
      </c>
      <c r="N3690" s="39">
        <v>45664</v>
      </c>
      <c r="O3690" s="38">
        <v>6747</v>
      </c>
      <c r="P3690" s="180">
        <f>K3690*(VLOOKUP(B3690,$C$2:$F$6,3,FALSE))</f>
        <v>3.1239999999999997</v>
      </c>
      <c r="Q3690" s="483">
        <v>3.12</v>
      </c>
      <c r="R3690" s="704">
        <f>Q3690*J3690</f>
        <v>93.600000000000009</v>
      </c>
      <c r="S3690" s="489">
        <v>255</v>
      </c>
      <c r="T3690" s="113">
        <f>S3690*J3690</f>
        <v>7650</v>
      </c>
      <c r="U3690" s="517"/>
      <c r="V3690" s="494">
        <v>120</v>
      </c>
      <c r="W3690" s="2041">
        <f t="shared" si="297"/>
        <v>0.40140845070422537</v>
      </c>
    </row>
    <row r="3691" spans="1:23" ht="18" customHeight="1">
      <c r="B3691" s="12" t="s">
        <v>1862</v>
      </c>
      <c r="C3691" s="6" t="s">
        <v>8251</v>
      </c>
      <c r="D3691" s="15" t="s">
        <v>5251</v>
      </c>
      <c r="E3691" s="24"/>
      <c r="F3691" s="138"/>
      <c r="G3691" s="44" t="s">
        <v>1993</v>
      </c>
      <c r="H3691" s="8"/>
      <c r="I3691" s="41"/>
      <c r="J3691" s="45">
        <v>1</v>
      </c>
      <c r="K3691" s="46">
        <v>12</v>
      </c>
      <c r="L3691" s="46">
        <f>K3691*J3691</f>
        <v>12</v>
      </c>
      <c r="M3691" s="112"/>
      <c r="N3691" s="39">
        <v>45664</v>
      </c>
      <c r="O3691" s="38">
        <v>6747</v>
      </c>
      <c r="P3691" s="46">
        <f>K3691*(VLOOKUP(B3691,$C$2:$F$6,3,FALSE))</f>
        <v>12</v>
      </c>
      <c r="Q3691" s="483">
        <v>12</v>
      </c>
      <c r="R3691" s="704">
        <f>Q3691*J3691</f>
        <v>12</v>
      </c>
      <c r="S3691" s="489">
        <v>0</v>
      </c>
      <c r="T3691" s="113">
        <f>S3691*J3691</f>
        <v>0</v>
      </c>
      <c r="U3691" s="511"/>
      <c r="V3691" s="494">
        <v>120</v>
      </c>
      <c r="W3691" s="2041">
        <f t="shared" si="297"/>
        <v>1</v>
      </c>
    </row>
    <row r="3692" spans="1:23" s="314" customFormat="1" ht="15">
      <c r="A3692" s="1"/>
      <c r="B3692" s="313"/>
      <c r="C3692" s="302" t="s">
        <v>8251</v>
      </c>
      <c r="D3692" s="303" t="s">
        <v>5251</v>
      </c>
      <c r="E3692" s="304"/>
      <c r="F3692" s="305"/>
      <c r="G3692" s="305" t="s">
        <v>1227</v>
      </c>
      <c r="H3692" s="307" t="s">
        <v>1228</v>
      </c>
      <c r="I3692" s="308"/>
      <c r="J3692" s="306"/>
      <c r="K3692" s="315">
        <v>0</v>
      </c>
      <c r="L3692" s="310"/>
      <c r="M3692" s="310"/>
      <c r="N3692" s="310">
        <v>45664</v>
      </c>
      <c r="O3692" s="309">
        <v>6747</v>
      </c>
      <c r="P3692" s="302"/>
      <c r="Q3692" s="485">
        <v>0</v>
      </c>
      <c r="S3692" s="536">
        <v>0</v>
      </c>
      <c r="T3692" s="322">
        <v>0</v>
      </c>
      <c r="U3692" s="515"/>
      <c r="V3692" s="494">
        <v>120</v>
      </c>
      <c r="W3692" s="2041" t="e">
        <f t="shared" si="297"/>
        <v>#DIV/0!</v>
      </c>
    </row>
    <row r="3693" spans="1:23" s="7" customFormat="1" ht="15" customHeight="1">
      <c r="B3693" s="12"/>
      <c r="C3693" s="6" t="s">
        <v>8258</v>
      </c>
      <c r="D3693" s="15" t="s">
        <v>958</v>
      </c>
      <c r="E3693" s="20" t="s">
        <v>628</v>
      </c>
      <c r="F3693" s="26"/>
      <c r="G3693" s="24"/>
      <c r="H3693" s="67"/>
      <c r="I3693" s="318"/>
      <c r="J3693" s="67"/>
      <c r="K3693" s="17" t="s">
        <v>134</v>
      </c>
      <c r="L3693" s="39"/>
      <c r="M3693" s="39"/>
      <c r="N3693" s="39">
        <v>45667</v>
      </c>
      <c r="O3693" s="38">
        <v>6750</v>
      </c>
      <c r="P3693" s="179" t="s">
        <v>23</v>
      </c>
      <c r="Q3693" s="438" t="s">
        <v>959</v>
      </c>
      <c r="R3693" s="704"/>
      <c r="S3693" s="489"/>
      <c r="T3693" s="113"/>
      <c r="U3693" s="510"/>
      <c r="V3693" s="494">
        <v>120</v>
      </c>
      <c r="W3693" s="2041" t="e">
        <f t="shared" si="297"/>
        <v>#VALUE!</v>
      </c>
    </row>
    <row r="3694" spans="1:23" s="7" customFormat="1" ht="18" customHeight="1">
      <c r="B3694" s="12" t="s">
        <v>1856</v>
      </c>
      <c r="C3694" s="6" t="s">
        <v>8258</v>
      </c>
      <c r="D3694" s="15" t="s">
        <v>958</v>
      </c>
      <c r="E3694" s="24">
        <v>5291</v>
      </c>
      <c r="F3694" s="26">
        <v>6</v>
      </c>
      <c r="G3694" s="24" t="s">
        <v>29</v>
      </c>
      <c r="H3694" s="67">
        <v>50</v>
      </c>
      <c r="I3694" s="68">
        <v>26</v>
      </c>
      <c r="J3694" s="67">
        <f>H3694*I3694</f>
        <v>1300</v>
      </c>
      <c r="K3694" s="46">
        <v>0.51</v>
      </c>
      <c r="L3694" s="46">
        <f>K3694*J3694</f>
        <v>663</v>
      </c>
      <c r="M3694" s="162" t="s">
        <v>2219</v>
      </c>
      <c r="N3694" s="39">
        <v>45667</v>
      </c>
      <c r="O3694" s="38">
        <v>6750</v>
      </c>
      <c r="P3694" s="180">
        <v>0.24</v>
      </c>
      <c r="Q3694" s="180">
        <v>0.24</v>
      </c>
      <c r="R3694" s="704">
        <f>Q3694*J3694</f>
        <v>312</v>
      </c>
      <c r="S3694" s="489">
        <v>14.6</v>
      </c>
      <c r="T3694" s="113">
        <f>S3694*J3694</f>
        <v>18980</v>
      </c>
      <c r="U3694" s="867"/>
      <c r="V3694" s="494">
        <v>120</v>
      </c>
      <c r="W3694" s="2041">
        <f t="shared" si="297"/>
        <v>0.76143790849673199</v>
      </c>
    </row>
    <row r="3695" spans="1:23" ht="15.95" customHeight="1">
      <c r="C3695" s="6" t="s">
        <v>8258</v>
      </c>
      <c r="D3695" s="15" t="s">
        <v>958</v>
      </c>
      <c r="E3695" s="24"/>
      <c r="F3695" s="138"/>
      <c r="G3695" s="44" t="s">
        <v>1993</v>
      </c>
      <c r="H3695" s="8"/>
      <c r="I3695" s="41"/>
      <c r="J3695" s="45">
        <v>1</v>
      </c>
      <c r="K3695" s="46">
        <v>10</v>
      </c>
      <c r="L3695" s="46">
        <v>0</v>
      </c>
      <c r="M3695" s="112"/>
      <c r="N3695" s="39">
        <v>45667</v>
      </c>
      <c r="O3695" s="38">
        <v>6750</v>
      </c>
      <c r="P3695" s="179"/>
      <c r="Q3695" s="180">
        <v>10</v>
      </c>
      <c r="R3695" s="180">
        <v>10</v>
      </c>
      <c r="S3695" s="498">
        <v>850</v>
      </c>
      <c r="T3695" s="498">
        <v>850</v>
      </c>
      <c r="U3695" s="511"/>
      <c r="V3695" s="494">
        <v>120</v>
      </c>
      <c r="W3695" s="2041">
        <f t="shared" si="297"/>
        <v>0.29166666666666669</v>
      </c>
    </row>
    <row r="3696" spans="1:23" s="314" customFormat="1" ht="15" customHeight="1">
      <c r="B3696" s="313"/>
      <c r="C3696" s="302" t="s">
        <v>8258</v>
      </c>
      <c r="D3696" s="303" t="s">
        <v>958</v>
      </c>
      <c r="E3696" s="304"/>
      <c r="F3696" s="305"/>
      <c r="G3696" s="305" t="s">
        <v>1227</v>
      </c>
      <c r="H3696" s="410"/>
      <c r="I3696" s="308"/>
      <c r="J3696" s="410">
        <v>1300</v>
      </c>
      <c r="K3696" s="315">
        <f>0.24*1300</f>
        <v>312</v>
      </c>
      <c r="L3696" s="315"/>
      <c r="M3696" s="784"/>
      <c r="N3696" s="310">
        <v>45667</v>
      </c>
      <c r="O3696" s="309">
        <v>6750</v>
      </c>
      <c r="P3696" s="302"/>
      <c r="Q3696" s="315">
        <f>K3696-Q3695</f>
        <v>302</v>
      </c>
      <c r="R3696" s="315">
        <v>302</v>
      </c>
      <c r="S3696" s="928">
        <v>14621</v>
      </c>
      <c r="T3696" s="928">
        <v>14621</v>
      </c>
      <c r="U3696" s="1084"/>
      <c r="V3696" s="494">
        <v>120</v>
      </c>
      <c r="W3696" s="2041">
        <f t="shared" si="297"/>
        <v>0.60948183760683761</v>
      </c>
    </row>
    <row r="3697" spans="2:24" s="7" customFormat="1" ht="15">
      <c r="B3697" s="12"/>
      <c r="C3697" s="6" t="s">
        <v>8280</v>
      </c>
      <c r="D3697" s="15" t="s">
        <v>6623</v>
      </c>
      <c r="E3697" s="20" t="s">
        <v>408</v>
      </c>
      <c r="F3697" s="44"/>
      <c r="G3697" s="44"/>
      <c r="H3697" s="151"/>
      <c r="I3697" s="151"/>
      <c r="J3697" s="151"/>
      <c r="K3697" s="17" t="s">
        <v>134</v>
      </c>
      <c r="L3697" s="39"/>
      <c r="M3697" s="39"/>
      <c r="N3697" s="39">
        <v>45693</v>
      </c>
      <c r="O3697" s="38">
        <v>6793</v>
      </c>
      <c r="P3697" s="6"/>
      <c r="Q3697" s="524"/>
      <c r="S3697" s="489"/>
      <c r="T3697" s="113"/>
      <c r="U3697" s="501"/>
      <c r="V3697" s="494">
        <v>120</v>
      </c>
      <c r="W3697" s="2041" t="e">
        <f t="shared" si="297"/>
        <v>#VALUE!</v>
      </c>
    </row>
    <row r="3698" spans="2:24" s="7" customFormat="1" ht="15" customHeight="1">
      <c r="B3698" s="12" t="s">
        <v>1856</v>
      </c>
      <c r="C3698" s="6" t="s">
        <v>8280</v>
      </c>
      <c r="D3698" s="15" t="s">
        <v>6623</v>
      </c>
      <c r="E3698" s="1012" t="s">
        <v>5772</v>
      </c>
      <c r="F3698" s="26"/>
      <c r="G3698" s="24" t="s">
        <v>17</v>
      </c>
      <c r="H3698" s="67">
        <v>50</v>
      </c>
      <c r="I3698" s="68">
        <v>280</v>
      </c>
      <c r="J3698" s="8">
        <f>H3698*I3698</f>
        <v>14000</v>
      </c>
      <c r="K3698" s="46">
        <v>0.26</v>
      </c>
      <c r="L3698" s="46">
        <f>K3698*J3698</f>
        <v>3640</v>
      </c>
      <c r="M3698" s="162" t="s">
        <v>2219</v>
      </c>
      <c r="N3698" s="39">
        <v>45693</v>
      </c>
      <c r="O3698" s="38">
        <v>6793</v>
      </c>
      <c r="P3698" s="46">
        <f>K3698*(VLOOKUP(B3698,$C$2:$F$6,3,FALSE))</f>
        <v>0.2288</v>
      </c>
      <c r="Q3698" s="482">
        <v>0.23</v>
      </c>
      <c r="R3698" s="704">
        <f>Q3698*J3698</f>
        <v>3220</v>
      </c>
      <c r="S3698" s="489">
        <v>15.1</v>
      </c>
      <c r="T3698" s="113">
        <f>S3698*J3698</f>
        <v>211400</v>
      </c>
      <c r="U3698" s="1603"/>
      <c r="V3698" s="494">
        <v>120</v>
      </c>
      <c r="W3698" s="2041">
        <f t="shared" si="297"/>
        <v>0.51602564102564097</v>
      </c>
    </row>
    <row r="3699" spans="2:24" s="218" customFormat="1" ht="15.95" customHeight="1">
      <c r="B3699" s="541"/>
      <c r="C3699" s="216" t="s">
        <v>8280</v>
      </c>
      <c r="D3699" s="109" t="s">
        <v>6623</v>
      </c>
      <c r="E3699" s="228"/>
      <c r="F3699" s="160"/>
      <c r="G3699" s="42" t="s">
        <v>1993</v>
      </c>
      <c r="H3699" s="214"/>
      <c r="I3699" s="215"/>
      <c r="J3699" s="43">
        <v>1</v>
      </c>
      <c r="K3699" s="229">
        <v>12</v>
      </c>
      <c r="L3699" s="229">
        <v>0</v>
      </c>
      <c r="M3699" s="2448"/>
      <c r="N3699" s="39">
        <v>45693</v>
      </c>
      <c r="O3699" s="38">
        <v>6793</v>
      </c>
      <c r="P3699" s="216"/>
      <c r="Q3699" s="229">
        <v>0</v>
      </c>
      <c r="R3699" s="229">
        <v>0</v>
      </c>
      <c r="S3699" s="1011">
        <v>1100</v>
      </c>
      <c r="T3699" s="2452">
        <f>S3699*J3699</f>
        <v>1100</v>
      </c>
      <c r="U3699" s="504"/>
      <c r="V3699" s="547">
        <v>120</v>
      </c>
      <c r="W3699" s="2051">
        <f t="shared" si="297"/>
        <v>0.2361111111111111</v>
      </c>
    </row>
    <row r="3700" spans="2:24" s="314" customFormat="1" ht="15.6" customHeight="1">
      <c r="B3700" s="313"/>
      <c r="C3700" s="302" t="s">
        <v>8280</v>
      </c>
      <c r="D3700" s="303" t="s">
        <v>6623</v>
      </c>
      <c r="E3700" s="304"/>
      <c r="F3700" s="305"/>
      <c r="G3700" s="305" t="s">
        <v>1227</v>
      </c>
      <c r="H3700" s="307" t="s">
        <v>1228</v>
      </c>
      <c r="I3700" s="308"/>
      <c r="J3700" s="306"/>
      <c r="K3700" s="315">
        <v>0</v>
      </c>
      <c r="L3700" s="310"/>
      <c r="M3700" s="310"/>
      <c r="N3700" s="310">
        <v>45693</v>
      </c>
      <c r="O3700" s="309">
        <v>6793</v>
      </c>
      <c r="P3700" s="302"/>
      <c r="Q3700" s="531">
        <v>0</v>
      </c>
      <c r="S3700" s="535">
        <v>0</v>
      </c>
      <c r="T3700" s="322">
        <v>0</v>
      </c>
      <c r="U3700" s="1115"/>
      <c r="V3700" s="494">
        <v>120</v>
      </c>
      <c r="W3700" s="2041" t="e">
        <f t="shared" si="297"/>
        <v>#DIV/0!</v>
      </c>
    </row>
    <row r="3701" spans="2:24" s="7" customFormat="1" ht="15" customHeight="1">
      <c r="B3701" s="12"/>
      <c r="C3701" s="6" t="s">
        <v>8284</v>
      </c>
      <c r="D3701" s="15" t="s">
        <v>8283</v>
      </c>
      <c r="E3701" s="20" t="s">
        <v>6633</v>
      </c>
      <c r="F3701" s="26"/>
      <c r="G3701" s="24"/>
      <c r="H3701" s="67"/>
      <c r="I3701" s="68"/>
      <c r="J3701" s="67"/>
      <c r="K3701" s="17" t="s">
        <v>140</v>
      </c>
      <c r="L3701" s="39"/>
      <c r="M3701" s="39"/>
      <c r="N3701" s="39">
        <v>45684</v>
      </c>
      <c r="O3701" s="38">
        <v>6797</v>
      </c>
      <c r="P3701" s="179" t="s">
        <v>23</v>
      </c>
      <c r="Q3701" s="438" t="s">
        <v>959</v>
      </c>
      <c r="R3701" s="704"/>
      <c r="S3701" s="707"/>
      <c r="T3701" s="113"/>
      <c r="U3701" s="2068"/>
      <c r="V3701" s="494">
        <v>120</v>
      </c>
      <c r="W3701" s="2041" t="e">
        <f t="shared" si="297"/>
        <v>#VALUE!</v>
      </c>
    </row>
    <row r="3702" spans="2:24" s="7" customFormat="1" ht="18" customHeight="1">
      <c r="B3702" s="12" t="s">
        <v>1862</v>
      </c>
      <c r="C3702" s="6" t="s">
        <v>8284</v>
      </c>
      <c r="D3702" s="15" t="s">
        <v>8283</v>
      </c>
      <c r="E3702" s="2451" t="s">
        <v>8277</v>
      </c>
      <c r="F3702" s="138"/>
      <c r="G3702" s="44"/>
      <c r="H3702" s="8"/>
      <c r="I3702" s="68"/>
      <c r="J3702" s="45">
        <v>1</v>
      </c>
      <c r="K3702" s="207">
        <v>10</v>
      </c>
      <c r="L3702" s="46">
        <f t="shared" ref="L3702:L3712" si="298">K3702*J3702</f>
        <v>10</v>
      </c>
      <c r="M3702" s="162" t="s">
        <v>2219</v>
      </c>
      <c r="N3702" s="39">
        <v>45684</v>
      </c>
      <c r="O3702" s="38">
        <v>6797</v>
      </c>
      <c r="P3702" s="46">
        <f t="shared" ref="P3702:P3719" si="299">K3702*(VLOOKUP(B3702,$C$2:$F$6,3,FALSE))</f>
        <v>10</v>
      </c>
      <c r="Q3702" s="180">
        <v>10</v>
      </c>
      <c r="R3702" s="704">
        <f t="shared" ref="R3702:R3719" si="300">Q3702*J3702</f>
        <v>10</v>
      </c>
      <c r="S3702" s="498">
        <v>1000</v>
      </c>
      <c r="T3702" s="568">
        <f t="shared" ref="T3702:T3718" si="301">S3702*J3702</f>
        <v>1000</v>
      </c>
      <c r="U3702" s="511"/>
      <c r="V3702" s="494">
        <v>120</v>
      </c>
      <c r="W3702" s="2041">
        <f t="shared" si="297"/>
        <v>0.16666666666666666</v>
      </c>
      <c r="X3702" s="1"/>
    </row>
    <row r="3703" spans="2:24" s="7" customFormat="1" ht="18" customHeight="1">
      <c r="B3703" s="12" t="s">
        <v>1862</v>
      </c>
      <c r="C3703" s="6" t="s">
        <v>8284</v>
      </c>
      <c r="D3703" s="15" t="s">
        <v>8283</v>
      </c>
      <c r="E3703" s="2451" t="s">
        <v>8278</v>
      </c>
      <c r="F3703" s="138"/>
      <c r="G3703" s="44"/>
      <c r="H3703" s="8"/>
      <c r="I3703" s="68"/>
      <c r="J3703" s="45">
        <v>1</v>
      </c>
      <c r="K3703" s="207">
        <v>15</v>
      </c>
      <c r="L3703" s="46">
        <f t="shared" si="298"/>
        <v>15</v>
      </c>
      <c r="M3703" s="162" t="s">
        <v>2219</v>
      </c>
      <c r="N3703" s="39">
        <v>45684</v>
      </c>
      <c r="O3703" s="38">
        <v>6797</v>
      </c>
      <c r="P3703" s="46">
        <f t="shared" si="299"/>
        <v>15</v>
      </c>
      <c r="Q3703" s="180">
        <v>15</v>
      </c>
      <c r="R3703" s="704">
        <f t="shared" si="300"/>
        <v>15</v>
      </c>
      <c r="S3703" s="498">
        <v>1000</v>
      </c>
      <c r="T3703" s="568">
        <f t="shared" si="301"/>
        <v>1000</v>
      </c>
      <c r="U3703" s="511"/>
      <c r="V3703" s="494">
        <v>120</v>
      </c>
      <c r="W3703" s="2041">
        <f t="shared" si="297"/>
        <v>0.44444444444444442</v>
      </c>
      <c r="X3703" s="1"/>
    </row>
    <row r="3704" spans="2:24" s="7" customFormat="1" ht="18" customHeight="1">
      <c r="B3704" s="12" t="s">
        <v>1862</v>
      </c>
      <c r="C3704" s="6" t="s">
        <v>8284</v>
      </c>
      <c r="D3704" s="15" t="s">
        <v>8283</v>
      </c>
      <c r="E3704" s="2451">
        <v>4255</v>
      </c>
      <c r="F3704" s="138"/>
      <c r="G3704" s="44"/>
      <c r="H3704" s="8"/>
      <c r="I3704" s="68"/>
      <c r="J3704" s="45">
        <v>1</v>
      </c>
      <c r="K3704" s="207">
        <v>10</v>
      </c>
      <c r="L3704" s="46">
        <f t="shared" si="298"/>
        <v>10</v>
      </c>
      <c r="M3704" s="162" t="s">
        <v>2219</v>
      </c>
      <c r="N3704" s="39">
        <v>45684</v>
      </c>
      <c r="O3704" s="38">
        <v>6797</v>
      </c>
      <c r="P3704" s="46">
        <f t="shared" si="299"/>
        <v>10</v>
      </c>
      <c r="Q3704" s="180">
        <v>10</v>
      </c>
      <c r="R3704" s="704">
        <f t="shared" si="300"/>
        <v>10</v>
      </c>
      <c r="S3704" s="498">
        <v>1000</v>
      </c>
      <c r="T3704" s="568">
        <f t="shared" si="301"/>
        <v>1000</v>
      </c>
      <c r="U3704" s="511"/>
      <c r="V3704" s="494">
        <v>120</v>
      </c>
      <c r="W3704" s="2041">
        <f t="shared" si="297"/>
        <v>0.16666666666666666</v>
      </c>
      <c r="X3704" s="1"/>
    </row>
    <row r="3705" spans="2:24" s="7" customFormat="1" ht="18" customHeight="1">
      <c r="B3705" s="12" t="s">
        <v>1862</v>
      </c>
      <c r="C3705" s="6" t="s">
        <v>8284</v>
      </c>
      <c r="D3705" s="15" t="s">
        <v>8283</v>
      </c>
      <c r="E3705" s="2451" t="s">
        <v>8260</v>
      </c>
      <c r="F3705" s="138"/>
      <c r="G3705" s="44"/>
      <c r="H3705" s="8"/>
      <c r="I3705" s="68"/>
      <c r="J3705" s="45">
        <v>1</v>
      </c>
      <c r="K3705" s="207">
        <v>5</v>
      </c>
      <c r="L3705" s="46">
        <f t="shared" si="298"/>
        <v>5</v>
      </c>
      <c r="M3705" s="162" t="s">
        <v>2219</v>
      </c>
      <c r="N3705" s="39">
        <v>45684</v>
      </c>
      <c r="O3705" s="38">
        <v>6797</v>
      </c>
      <c r="P3705" s="46">
        <f t="shared" si="299"/>
        <v>5</v>
      </c>
      <c r="Q3705" s="180">
        <v>5</v>
      </c>
      <c r="R3705" s="704">
        <f t="shared" si="300"/>
        <v>5</v>
      </c>
      <c r="S3705" s="498">
        <v>500</v>
      </c>
      <c r="T3705" s="568">
        <f t="shared" si="301"/>
        <v>500</v>
      </c>
      <c r="U3705" s="511"/>
      <c r="V3705" s="494">
        <v>120</v>
      </c>
      <c r="W3705" s="2041">
        <f t="shared" si="297"/>
        <v>0.16666666666666666</v>
      </c>
      <c r="X3705" s="1"/>
    </row>
    <row r="3706" spans="2:24" s="7" customFormat="1" ht="18" customHeight="1">
      <c r="B3706" s="12" t="s">
        <v>1862</v>
      </c>
      <c r="C3706" s="6" t="s">
        <v>8284</v>
      </c>
      <c r="D3706" s="15" t="s">
        <v>8283</v>
      </c>
      <c r="E3706" s="2451" t="s">
        <v>8261</v>
      </c>
      <c r="F3706" s="138"/>
      <c r="G3706" s="44"/>
      <c r="H3706" s="8"/>
      <c r="I3706" s="68"/>
      <c r="J3706" s="45">
        <v>1</v>
      </c>
      <c r="K3706" s="207">
        <v>5</v>
      </c>
      <c r="L3706" s="46">
        <f t="shared" si="298"/>
        <v>5</v>
      </c>
      <c r="M3706" s="162" t="s">
        <v>2219</v>
      </c>
      <c r="N3706" s="39">
        <v>45684</v>
      </c>
      <c r="O3706" s="38">
        <v>6797</v>
      </c>
      <c r="P3706" s="46">
        <f t="shared" si="299"/>
        <v>5</v>
      </c>
      <c r="Q3706" s="180">
        <v>5</v>
      </c>
      <c r="R3706" s="704">
        <f t="shared" si="300"/>
        <v>5</v>
      </c>
      <c r="S3706" s="498">
        <v>0</v>
      </c>
      <c r="T3706" s="568">
        <f t="shared" si="301"/>
        <v>0</v>
      </c>
      <c r="U3706" s="511"/>
      <c r="V3706" s="494">
        <v>120</v>
      </c>
      <c r="W3706" s="2041">
        <f t="shared" si="297"/>
        <v>1</v>
      </c>
      <c r="X3706" s="1"/>
    </row>
    <row r="3707" spans="2:24" s="7" customFormat="1" ht="18" customHeight="1">
      <c r="B3707" s="12" t="s">
        <v>1862</v>
      </c>
      <c r="C3707" s="6" t="s">
        <v>8284</v>
      </c>
      <c r="D3707" s="15" t="s">
        <v>8283</v>
      </c>
      <c r="E3707" s="2451" t="s">
        <v>8262</v>
      </c>
      <c r="F3707" s="138"/>
      <c r="G3707" s="44"/>
      <c r="H3707" s="8"/>
      <c r="I3707" s="68"/>
      <c r="J3707" s="45">
        <v>1</v>
      </c>
      <c r="K3707" s="207">
        <v>10</v>
      </c>
      <c r="L3707" s="46">
        <f t="shared" si="298"/>
        <v>10</v>
      </c>
      <c r="M3707" s="162" t="s">
        <v>2219</v>
      </c>
      <c r="N3707" s="39">
        <v>45684</v>
      </c>
      <c r="O3707" s="38">
        <v>6797</v>
      </c>
      <c r="P3707" s="46">
        <f t="shared" si="299"/>
        <v>10</v>
      </c>
      <c r="Q3707" s="180">
        <v>10</v>
      </c>
      <c r="R3707" s="704">
        <f t="shared" si="300"/>
        <v>10</v>
      </c>
      <c r="S3707" s="498">
        <v>1000</v>
      </c>
      <c r="T3707" s="568">
        <f t="shared" si="301"/>
        <v>1000</v>
      </c>
      <c r="U3707" s="511"/>
      <c r="V3707" s="494">
        <v>120</v>
      </c>
      <c r="W3707" s="2041">
        <f t="shared" si="297"/>
        <v>0.16666666666666666</v>
      </c>
      <c r="X3707" s="1"/>
    </row>
    <row r="3708" spans="2:24" s="7" customFormat="1" ht="18" customHeight="1">
      <c r="B3708" s="12" t="s">
        <v>1862</v>
      </c>
      <c r="C3708" s="6" t="s">
        <v>8284</v>
      </c>
      <c r="D3708" s="15" t="s">
        <v>8283</v>
      </c>
      <c r="E3708" s="2451">
        <v>4142</v>
      </c>
      <c r="F3708" s="138"/>
      <c r="G3708" s="44"/>
      <c r="H3708" s="8"/>
      <c r="I3708" s="68"/>
      <c r="J3708" s="45">
        <v>1</v>
      </c>
      <c r="K3708" s="207">
        <v>10</v>
      </c>
      <c r="L3708" s="46">
        <f t="shared" si="298"/>
        <v>10</v>
      </c>
      <c r="M3708" s="162" t="s">
        <v>2219</v>
      </c>
      <c r="N3708" s="39">
        <v>45684</v>
      </c>
      <c r="O3708" s="38">
        <v>6797</v>
      </c>
      <c r="P3708" s="46">
        <f t="shared" si="299"/>
        <v>10</v>
      </c>
      <c r="Q3708" s="180">
        <v>10</v>
      </c>
      <c r="R3708" s="704">
        <f t="shared" si="300"/>
        <v>10</v>
      </c>
      <c r="S3708" s="498">
        <v>1000</v>
      </c>
      <c r="T3708" s="568">
        <f t="shared" si="301"/>
        <v>1000</v>
      </c>
      <c r="U3708" s="511"/>
      <c r="V3708" s="494">
        <v>120</v>
      </c>
      <c r="W3708" s="2041">
        <f t="shared" si="297"/>
        <v>0.16666666666666666</v>
      </c>
      <c r="X3708" s="1"/>
    </row>
    <row r="3709" spans="2:24" s="7" customFormat="1" ht="18" customHeight="1">
      <c r="B3709" s="12" t="s">
        <v>1862</v>
      </c>
      <c r="C3709" s="6" t="s">
        <v>8284</v>
      </c>
      <c r="D3709" s="15" t="s">
        <v>8283</v>
      </c>
      <c r="E3709" s="2451" t="s">
        <v>8282</v>
      </c>
      <c r="F3709" s="138"/>
      <c r="G3709" s="44"/>
      <c r="H3709" s="8"/>
      <c r="I3709" s="68"/>
      <c r="J3709" s="45">
        <v>1</v>
      </c>
      <c r="K3709" s="207">
        <v>0</v>
      </c>
      <c r="L3709" s="46">
        <f t="shared" si="298"/>
        <v>0</v>
      </c>
      <c r="M3709" s="162" t="s">
        <v>2219</v>
      </c>
      <c r="N3709" s="39">
        <v>45684</v>
      </c>
      <c r="O3709" s="38">
        <v>6797</v>
      </c>
      <c r="P3709" s="46">
        <f t="shared" si="299"/>
        <v>0</v>
      </c>
      <c r="Q3709" s="180">
        <v>0</v>
      </c>
      <c r="R3709" s="704">
        <f t="shared" si="300"/>
        <v>0</v>
      </c>
      <c r="S3709" s="498">
        <v>0</v>
      </c>
      <c r="T3709" s="568">
        <f t="shared" si="301"/>
        <v>0</v>
      </c>
      <c r="U3709" s="511"/>
      <c r="V3709" s="494">
        <v>120</v>
      </c>
      <c r="W3709" s="2041" t="e">
        <f t="shared" ref="W3709:W3731" si="302">(((K3709*V3709)-S3709)/(K3709*V3709))</f>
        <v>#DIV/0!</v>
      </c>
      <c r="X3709" s="1"/>
    </row>
    <row r="3710" spans="2:24" s="7" customFormat="1" ht="18" customHeight="1">
      <c r="B3710" s="12" t="s">
        <v>1862</v>
      </c>
      <c r="C3710" s="6" t="s">
        <v>8284</v>
      </c>
      <c r="D3710" s="15" t="s">
        <v>8283</v>
      </c>
      <c r="E3710" s="2451" t="s">
        <v>8263</v>
      </c>
      <c r="F3710" s="138"/>
      <c r="G3710" s="44"/>
      <c r="H3710" s="8"/>
      <c r="I3710" s="68"/>
      <c r="J3710" s="45">
        <v>1</v>
      </c>
      <c r="K3710" s="207">
        <v>5</v>
      </c>
      <c r="L3710" s="46">
        <f t="shared" si="298"/>
        <v>5</v>
      </c>
      <c r="M3710" s="162" t="s">
        <v>2219</v>
      </c>
      <c r="N3710" s="39">
        <v>45684</v>
      </c>
      <c r="O3710" s="38">
        <v>6797</v>
      </c>
      <c r="P3710" s="46">
        <f t="shared" si="299"/>
        <v>5</v>
      </c>
      <c r="Q3710" s="180">
        <v>5</v>
      </c>
      <c r="R3710" s="704">
        <f t="shared" si="300"/>
        <v>5</v>
      </c>
      <c r="S3710" s="498">
        <v>500</v>
      </c>
      <c r="T3710" s="568">
        <f t="shared" si="301"/>
        <v>500</v>
      </c>
      <c r="U3710" s="511"/>
      <c r="V3710" s="494">
        <v>120</v>
      </c>
      <c r="W3710" s="2041">
        <f t="shared" si="302"/>
        <v>0.16666666666666666</v>
      </c>
      <c r="X3710" s="1"/>
    </row>
    <row r="3711" spans="2:24" s="7" customFormat="1" ht="18" customHeight="1">
      <c r="B3711" s="12" t="s">
        <v>1862</v>
      </c>
      <c r="C3711" s="6" t="s">
        <v>8284</v>
      </c>
      <c r="D3711" s="15" t="s">
        <v>8283</v>
      </c>
      <c r="E3711" s="2451" t="s">
        <v>8264</v>
      </c>
      <c r="F3711" s="138"/>
      <c r="G3711" s="44"/>
      <c r="H3711" s="8"/>
      <c r="I3711" s="68"/>
      <c r="J3711" s="45">
        <v>1</v>
      </c>
      <c r="K3711" s="207">
        <v>5</v>
      </c>
      <c r="L3711" s="46">
        <f t="shared" si="298"/>
        <v>5</v>
      </c>
      <c r="M3711" s="162" t="s">
        <v>2219</v>
      </c>
      <c r="N3711" s="39">
        <v>45684</v>
      </c>
      <c r="O3711" s="38">
        <v>6797</v>
      </c>
      <c r="P3711" s="46">
        <f t="shared" si="299"/>
        <v>5</v>
      </c>
      <c r="Q3711" s="180">
        <v>5</v>
      </c>
      <c r="R3711" s="704">
        <f t="shared" si="300"/>
        <v>5</v>
      </c>
      <c r="S3711" s="498">
        <v>500</v>
      </c>
      <c r="T3711" s="568">
        <f t="shared" si="301"/>
        <v>500</v>
      </c>
      <c r="U3711" s="511"/>
      <c r="V3711" s="494">
        <v>120</v>
      </c>
      <c r="W3711" s="2041">
        <f t="shared" si="302"/>
        <v>0.16666666666666666</v>
      </c>
      <c r="X3711" s="1"/>
    </row>
    <row r="3712" spans="2:24" s="7" customFormat="1" ht="18" customHeight="1">
      <c r="B3712" s="12" t="s">
        <v>1862</v>
      </c>
      <c r="C3712" s="6" t="s">
        <v>8284</v>
      </c>
      <c r="D3712" s="15" t="s">
        <v>8283</v>
      </c>
      <c r="E3712" s="2451" t="s">
        <v>8265</v>
      </c>
      <c r="F3712" s="138"/>
      <c r="G3712" s="44"/>
      <c r="H3712" s="8"/>
      <c r="I3712" s="68"/>
      <c r="J3712" s="45">
        <v>1</v>
      </c>
      <c r="K3712" s="207">
        <v>5</v>
      </c>
      <c r="L3712" s="46">
        <f t="shared" si="298"/>
        <v>5</v>
      </c>
      <c r="M3712" s="162" t="s">
        <v>2219</v>
      </c>
      <c r="N3712" s="39">
        <v>45684</v>
      </c>
      <c r="O3712" s="38">
        <v>6797</v>
      </c>
      <c r="P3712" s="46">
        <f t="shared" si="299"/>
        <v>5</v>
      </c>
      <c r="Q3712" s="180">
        <v>5</v>
      </c>
      <c r="R3712" s="704">
        <f t="shared" si="300"/>
        <v>5</v>
      </c>
      <c r="S3712" s="498">
        <v>500</v>
      </c>
      <c r="T3712" s="568">
        <f t="shared" si="301"/>
        <v>500</v>
      </c>
      <c r="U3712" s="511"/>
      <c r="V3712" s="494">
        <v>120</v>
      </c>
      <c r="W3712" s="2041">
        <f t="shared" si="302"/>
        <v>0.16666666666666666</v>
      </c>
      <c r="X3712" s="1"/>
    </row>
    <row r="3713" spans="2:24" s="7" customFormat="1" ht="18" customHeight="1">
      <c r="B3713" s="12" t="s">
        <v>1862</v>
      </c>
      <c r="C3713" s="6" t="s">
        <v>8284</v>
      </c>
      <c r="D3713" s="15" t="s">
        <v>8283</v>
      </c>
      <c r="E3713" s="2451" t="s">
        <v>8281</v>
      </c>
      <c r="F3713" s="138"/>
      <c r="G3713" s="44"/>
      <c r="H3713" s="8"/>
      <c r="I3713" s="68"/>
      <c r="J3713" s="45"/>
      <c r="K3713" s="46"/>
      <c r="L3713" s="46"/>
      <c r="M3713" s="162"/>
      <c r="N3713" s="39">
        <v>45684</v>
      </c>
      <c r="O3713" s="38">
        <v>6797</v>
      </c>
      <c r="P3713" s="46">
        <f t="shared" si="299"/>
        <v>0</v>
      </c>
      <c r="Q3713" s="180">
        <v>0</v>
      </c>
      <c r="R3713" s="704">
        <f t="shared" si="300"/>
        <v>0</v>
      </c>
      <c r="S3713" s="498">
        <v>0</v>
      </c>
      <c r="T3713" s="568">
        <f t="shared" si="301"/>
        <v>0</v>
      </c>
      <c r="U3713" s="511"/>
      <c r="V3713" s="494">
        <v>120</v>
      </c>
      <c r="W3713" s="2041" t="e">
        <f t="shared" si="302"/>
        <v>#DIV/0!</v>
      </c>
      <c r="X3713" s="1"/>
    </row>
    <row r="3714" spans="2:24" s="7" customFormat="1" ht="18" customHeight="1">
      <c r="B3714" s="12" t="s">
        <v>1862</v>
      </c>
      <c r="C3714" s="6" t="s">
        <v>8284</v>
      </c>
      <c r="D3714" s="15" t="s">
        <v>8283</v>
      </c>
      <c r="E3714" s="2451" t="s">
        <v>8272</v>
      </c>
      <c r="F3714" s="138"/>
      <c r="G3714" s="44"/>
      <c r="H3714" s="8"/>
      <c r="I3714" s="68"/>
      <c r="J3714" s="45">
        <v>1</v>
      </c>
      <c r="K3714" s="46">
        <v>0</v>
      </c>
      <c r="L3714" s="46">
        <f t="shared" ref="L3714:L3719" si="303">K3714*J3714</f>
        <v>0</v>
      </c>
      <c r="M3714" s="162" t="s">
        <v>2219</v>
      </c>
      <c r="N3714" s="39">
        <v>45684</v>
      </c>
      <c r="O3714" s="38">
        <v>6797</v>
      </c>
      <c r="P3714" s="46">
        <f t="shared" si="299"/>
        <v>0</v>
      </c>
      <c r="Q3714" s="180">
        <v>0</v>
      </c>
      <c r="R3714" s="704">
        <f t="shared" si="300"/>
        <v>0</v>
      </c>
      <c r="S3714" s="498">
        <v>0</v>
      </c>
      <c r="T3714" s="568">
        <f t="shared" si="301"/>
        <v>0</v>
      </c>
      <c r="U3714" s="511"/>
      <c r="V3714" s="494">
        <v>120</v>
      </c>
      <c r="W3714" s="2041" t="e">
        <f t="shared" si="302"/>
        <v>#DIV/0!</v>
      </c>
      <c r="X3714" s="1"/>
    </row>
    <row r="3715" spans="2:24" s="7" customFormat="1" ht="18" customHeight="1">
      <c r="B3715" s="12" t="s">
        <v>1862</v>
      </c>
      <c r="C3715" s="6" t="s">
        <v>8284</v>
      </c>
      <c r="D3715" s="15" t="s">
        <v>8283</v>
      </c>
      <c r="E3715" s="2451" t="s">
        <v>8274</v>
      </c>
      <c r="F3715" s="138"/>
      <c r="G3715" s="44"/>
      <c r="H3715" s="8"/>
      <c r="I3715" s="68"/>
      <c r="J3715" s="45">
        <v>1</v>
      </c>
      <c r="K3715" s="46">
        <v>0</v>
      </c>
      <c r="L3715" s="46">
        <f t="shared" si="303"/>
        <v>0</v>
      </c>
      <c r="M3715" s="162" t="s">
        <v>2219</v>
      </c>
      <c r="N3715" s="39">
        <v>45684</v>
      </c>
      <c r="O3715" s="38">
        <v>6797</v>
      </c>
      <c r="P3715" s="46">
        <f t="shared" si="299"/>
        <v>0</v>
      </c>
      <c r="Q3715" s="180">
        <v>0</v>
      </c>
      <c r="R3715" s="704">
        <f t="shared" si="300"/>
        <v>0</v>
      </c>
      <c r="S3715" s="498">
        <v>0</v>
      </c>
      <c r="T3715" s="568">
        <f t="shared" si="301"/>
        <v>0</v>
      </c>
      <c r="U3715" s="511"/>
      <c r="V3715" s="494">
        <v>120</v>
      </c>
      <c r="W3715" s="2041" t="e">
        <f t="shared" si="302"/>
        <v>#DIV/0!</v>
      </c>
      <c r="X3715" s="1"/>
    </row>
    <row r="3716" spans="2:24" s="7" customFormat="1" ht="18" customHeight="1">
      <c r="B3716" s="12" t="s">
        <v>1862</v>
      </c>
      <c r="C3716" s="6" t="s">
        <v>8284</v>
      </c>
      <c r="D3716" s="15" t="s">
        <v>8283</v>
      </c>
      <c r="E3716" s="2451" t="s">
        <v>8275</v>
      </c>
      <c r="F3716" s="138"/>
      <c r="G3716" s="44"/>
      <c r="H3716" s="8"/>
      <c r="I3716" s="68"/>
      <c r="J3716" s="45">
        <v>1</v>
      </c>
      <c r="K3716" s="46">
        <v>0</v>
      </c>
      <c r="L3716" s="46">
        <f t="shared" si="303"/>
        <v>0</v>
      </c>
      <c r="M3716" s="162" t="s">
        <v>2219</v>
      </c>
      <c r="N3716" s="39">
        <v>45684</v>
      </c>
      <c r="O3716" s="38">
        <v>6797</v>
      </c>
      <c r="P3716" s="46">
        <f t="shared" si="299"/>
        <v>0</v>
      </c>
      <c r="Q3716" s="180">
        <v>0</v>
      </c>
      <c r="R3716" s="704">
        <f t="shared" si="300"/>
        <v>0</v>
      </c>
      <c r="S3716" s="498">
        <v>0</v>
      </c>
      <c r="T3716" s="568">
        <f t="shared" si="301"/>
        <v>0</v>
      </c>
      <c r="U3716" s="511"/>
      <c r="V3716" s="494">
        <v>120</v>
      </c>
      <c r="W3716" s="2041" t="e">
        <f t="shared" si="302"/>
        <v>#DIV/0!</v>
      </c>
      <c r="X3716" s="1"/>
    </row>
    <row r="3717" spans="2:24" s="7" customFormat="1" ht="18" customHeight="1">
      <c r="B3717" s="12" t="s">
        <v>1862</v>
      </c>
      <c r="C3717" s="6" t="s">
        <v>8284</v>
      </c>
      <c r="D3717" s="15" t="s">
        <v>8283</v>
      </c>
      <c r="E3717" s="2451" t="s">
        <v>8273</v>
      </c>
      <c r="F3717" s="138"/>
      <c r="G3717" s="44"/>
      <c r="H3717" s="8"/>
      <c r="I3717" s="68"/>
      <c r="J3717" s="45">
        <v>1</v>
      </c>
      <c r="K3717" s="46">
        <v>0</v>
      </c>
      <c r="L3717" s="46">
        <f t="shared" si="303"/>
        <v>0</v>
      </c>
      <c r="M3717" s="162" t="s">
        <v>2219</v>
      </c>
      <c r="N3717" s="39">
        <v>45684</v>
      </c>
      <c r="O3717" s="38">
        <v>6797</v>
      </c>
      <c r="P3717" s="46">
        <f t="shared" si="299"/>
        <v>0</v>
      </c>
      <c r="Q3717" s="180">
        <v>0</v>
      </c>
      <c r="R3717" s="704">
        <f t="shared" si="300"/>
        <v>0</v>
      </c>
      <c r="S3717" s="498">
        <v>0</v>
      </c>
      <c r="T3717" s="568">
        <f t="shared" si="301"/>
        <v>0</v>
      </c>
      <c r="U3717" s="511"/>
      <c r="V3717" s="494">
        <v>120</v>
      </c>
      <c r="W3717" s="2041" t="e">
        <f t="shared" si="302"/>
        <v>#DIV/0!</v>
      </c>
      <c r="X3717" s="1"/>
    </row>
    <row r="3718" spans="2:24" s="7" customFormat="1" ht="18" customHeight="1">
      <c r="B3718" s="12" t="s">
        <v>1862</v>
      </c>
      <c r="C3718" s="6" t="s">
        <v>8284</v>
      </c>
      <c r="D3718" s="15" t="s">
        <v>8283</v>
      </c>
      <c r="E3718" s="2451" t="s">
        <v>8276</v>
      </c>
      <c r="F3718" s="138"/>
      <c r="G3718" s="44"/>
      <c r="H3718" s="8"/>
      <c r="I3718" s="68"/>
      <c r="J3718" s="45">
        <v>1</v>
      </c>
      <c r="K3718" s="46">
        <v>0</v>
      </c>
      <c r="L3718" s="46">
        <f t="shared" si="303"/>
        <v>0</v>
      </c>
      <c r="M3718" s="162" t="s">
        <v>2219</v>
      </c>
      <c r="N3718" s="39">
        <v>45684</v>
      </c>
      <c r="O3718" s="38">
        <v>6797</v>
      </c>
      <c r="P3718" s="46">
        <f t="shared" si="299"/>
        <v>0</v>
      </c>
      <c r="Q3718" s="180">
        <v>0</v>
      </c>
      <c r="R3718" s="704">
        <f t="shared" si="300"/>
        <v>0</v>
      </c>
      <c r="S3718" s="498">
        <v>0</v>
      </c>
      <c r="T3718" s="568">
        <f t="shared" si="301"/>
        <v>0</v>
      </c>
      <c r="U3718" s="511"/>
      <c r="V3718" s="494">
        <v>120</v>
      </c>
      <c r="W3718" s="2041" t="e">
        <f t="shared" si="302"/>
        <v>#DIV/0!</v>
      </c>
      <c r="X3718" s="1"/>
    </row>
    <row r="3719" spans="2:24" s="217" customFormat="1" ht="18" customHeight="1">
      <c r="B3719" s="541" t="s">
        <v>1862</v>
      </c>
      <c r="C3719" s="6" t="s">
        <v>8284</v>
      </c>
      <c r="D3719" s="15" t="s">
        <v>8283</v>
      </c>
      <c r="E3719" s="228"/>
      <c r="F3719" s="160"/>
      <c r="G3719" s="42" t="s">
        <v>1993</v>
      </c>
      <c r="H3719" s="214"/>
      <c r="I3719" s="215"/>
      <c r="J3719" s="43">
        <v>1</v>
      </c>
      <c r="K3719" s="229">
        <v>0</v>
      </c>
      <c r="L3719" s="229">
        <f t="shared" si="303"/>
        <v>0</v>
      </c>
      <c r="M3719" s="969"/>
      <c r="N3719" s="39">
        <v>45684</v>
      </c>
      <c r="O3719" s="38">
        <v>6797</v>
      </c>
      <c r="P3719" s="229">
        <f t="shared" si="299"/>
        <v>0</v>
      </c>
      <c r="Q3719" s="525">
        <v>0</v>
      </c>
      <c r="R3719" s="973">
        <f t="shared" si="300"/>
        <v>0</v>
      </c>
      <c r="S3719" s="1011">
        <v>1000</v>
      </c>
      <c r="T3719" s="2452">
        <v>1000</v>
      </c>
      <c r="U3719" s="667"/>
      <c r="V3719" s="547">
        <v>120</v>
      </c>
      <c r="W3719" s="2051" t="e">
        <f t="shared" si="302"/>
        <v>#DIV/0!</v>
      </c>
    </row>
    <row r="3720" spans="2:24" s="314" customFormat="1" ht="15">
      <c r="B3720" s="313"/>
      <c r="C3720" s="302" t="s">
        <v>8284</v>
      </c>
      <c r="D3720" s="303" t="s">
        <v>8283</v>
      </c>
      <c r="E3720" s="371"/>
      <c r="F3720" s="305"/>
      <c r="G3720" s="305" t="s">
        <v>1227</v>
      </c>
      <c r="H3720" s="307" t="s">
        <v>1228</v>
      </c>
      <c r="I3720" s="308"/>
      <c r="J3720" s="306"/>
      <c r="K3720" s="315">
        <v>0</v>
      </c>
      <c r="L3720" s="310"/>
      <c r="M3720" s="310"/>
      <c r="N3720" s="310">
        <v>45684</v>
      </c>
      <c r="O3720" s="309">
        <v>6797</v>
      </c>
      <c r="P3720" s="302"/>
      <c r="Q3720" s="531">
        <v>0</v>
      </c>
      <c r="S3720" s="535">
        <v>0</v>
      </c>
      <c r="T3720" s="322">
        <v>0</v>
      </c>
      <c r="U3720" s="1115"/>
      <c r="V3720" s="494">
        <v>120</v>
      </c>
      <c r="W3720" s="2041" t="e">
        <f t="shared" si="302"/>
        <v>#DIV/0!</v>
      </c>
    </row>
    <row r="3721" spans="2:24" ht="15">
      <c r="C3721" s="6" t="s">
        <v>8285</v>
      </c>
      <c r="D3721" s="15" t="s">
        <v>5483</v>
      </c>
      <c r="E3721" s="20" t="s">
        <v>5469</v>
      </c>
      <c r="F3721" s="44"/>
      <c r="G3721" s="44"/>
      <c r="H3721" s="151"/>
      <c r="I3721" s="151"/>
      <c r="J3721" s="151"/>
      <c r="K3721" s="34" t="s">
        <v>134</v>
      </c>
      <c r="L3721" s="39"/>
      <c r="M3721" s="39"/>
      <c r="N3721" s="39">
        <v>45686</v>
      </c>
      <c r="O3721" s="38">
        <v>6808</v>
      </c>
      <c r="P3721" s="6"/>
      <c r="Q3721" s="524"/>
      <c r="S3721" s="489"/>
      <c r="T3721" s="113"/>
      <c r="U3721" s="501"/>
      <c r="V3721" s="494">
        <v>120</v>
      </c>
      <c r="W3721" s="2041" t="e">
        <f t="shared" si="302"/>
        <v>#VALUE!</v>
      </c>
    </row>
    <row r="3722" spans="2:24" ht="15.75">
      <c r="B3722" s="28" t="s">
        <v>1856</v>
      </c>
      <c r="C3722" s="6" t="s">
        <v>8285</v>
      </c>
      <c r="D3722" s="15" t="s">
        <v>5483</v>
      </c>
      <c r="E3722" s="24">
        <v>3846</v>
      </c>
      <c r="F3722" s="29">
        <v>10</v>
      </c>
      <c r="G3722" s="24" t="s">
        <v>8286</v>
      </c>
      <c r="H3722" s="67">
        <v>50</v>
      </c>
      <c r="I3722" s="68">
        <v>3</v>
      </c>
      <c r="J3722" s="67">
        <f>H3722*I3722</f>
        <v>150</v>
      </c>
      <c r="K3722" s="46">
        <v>0.84</v>
      </c>
      <c r="L3722" s="46">
        <f>K3722*J3722</f>
        <v>126</v>
      </c>
      <c r="M3722" s="162" t="s">
        <v>2219</v>
      </c>
      <c r="N3722" s="39">
        <v>45686</v>
      </c>
      <c r="O3722" s="38">
        <v>6808</v>
      </c>
      <c r="P3722" s="46">
        <f>K3722*(VLOOKUP(B3722,$C$2:$F$6,3,FALSE))</f>
        <v>0.73919999999999997</v>
      </c>
      <c r="Q3722" s="482">
        <v>0.74</v>
      </c>
      <c r="R3722" s="704">
        <f>Q3722*J3722</f>
        <v>111</v>
      </c>
      <c r="S3722" s="489">
        <v>58</v>
      </c>
      <c r="T3722" s="113">
        <f>S3722*J3722</f>
        <v>8700</v>
      </c>
      <c r="U3722" s="1603"/>
      <c r="V3722" s="494">
        <v>120</v>
      </c>
      <c r="W3722" s="2041">
        <f t="shared" si="302"/>
        <v>0.42460317460317459</v>
      </c>
    </row>
    <row r="3723" spans="2:24" ht="15.75">
      <c r="B3723" s="28" t="s">
        <v>1856</v>
      </c>
      <c r="C3723" s="6" t="s">
        <v>8285</v>
      </c>
      <c r="D3723" s="15" t="s">
        <v>5483</v>
      </c>
      <c r="E3723" s="24">
        <v>3846</v>
      </c>
      <c r="F3723" s="29">
        <v>10</v>
      </c>
      <c r="G3723" s="24" t="s">
        <v>6757</v>
      </c>
      <c r="H3723" s="67">
        <v>50</v>
      </c>
      <c r="I3723" s="68">
        <v>4</v>
      </c>
      <c r="J3723" s="67">
        <f>H3723*I3723</f>
        <v>200</v>
      </c>
      <c r="K3723" s="46">
        <v>0.84</v>
      </c>
      <c r="L3723" s="46">
        <f>K3723*J3723</f>
        <v>168</v>
      </c>
      <c r="M3723" s="162" t="s">
        <v>2219</v>
      </c>
      <c r="N3723" s="39">
        <v>45686</v>
      </c>
      <c r="O3723" s="38">
        <v>6808</v>
      </c>
      <c r="P3723" s="46">
        <f>K3723*(VLOOKUP(B3723,$C$2:$F$6,3,FALSE))</f>
        <v>0.73919999999999997</v>
      </c>
      <c r="Q3723" s="482">
        <v>0.74</v>
      </c>
      <c r="R3723" s="704">
        <f>Q3723*J3723</f>
        <v>148</v>
      </c>
      <c r="S3723" s="489">
        <v>58</v>
      </c>
      <c r="T3723" s="113">
        <f>S3723*J3723</f>
        <v>11600</v>
      </c>
      <c r="U3723" s="1603"/>
      <c r="V3723" s="494">
        <v>120</v>
      </c>
      <c r="W3723" s="2041">
        <f t="shared" si="302"/>
        <v>0.42460317460317459</v>
      </c>
    </row>
    <row r="3724" spans="2:24" ht="15.75">
      <c r="B3724" s="28" t="s">
        <v>1856</v>
      </c>
      <c r="C3724" s="6" t="s">
        <v>8285</v>
      </c>
      <c r="D3724" s="15" t="s">
        <v>5483</v>
      </c>
      <c r="E3724" s="24">
        <v>3846</v>
      </c>
      <c r="F3724" s="29">
        <v>10</v>
      </c>
      <c r="G3724" s="24" t="s">
        <v>7848</v>
      </c>
      <c r="H3724" s="67">
        <v>50</v>
      </c>
      <c r="I3724" s="68">
        <v>2</v>
      </c>
      <c r="J3724" s="67">
        <f>H3724*I3724</f>
        <v>100</v>
      </c>
      <c r="K3724" s="46">
        <v>0.84</v>
      </c>
      <c r="L3724" s="46">
        <f>K3724*J3724</f>
        <v>84</v>
      </c>
      <c r="M3724" s="162" t="s">
        <v>2219</v>
      </c>
      <c r="N3724" s="39">
        <v>45686</v>
      </c>
      <c r="O3724" s="38">
        <v>6808</v>
      </c>
      <c r="P3724" s="46">
        <f>K3724*(VLOOKUP(B3724,$C$2:$F$6,3,FALSE))</f>
        <v>0.73919999999999997</v>
      </c>
      <c r="Q3724" s="482">
        <v>0.74</v>
      </c>
      <c r="R3724" s="704">
        <f>Q3724*J3724</f>
        <v>74</v>
      </c>
      <c r="S3724" s="489">
        <v>58</v>
      </c>
      <c r="T3724" s="113">
        <f>S3724*J3724</f>
        <v>5800</v>
      </c>
      <c r="U3724" s="1603"/>
      <c r="V3724" s="494">
        <v>120</v>
      </c>
      <c r="W3724" s="2041">
        <f t="shared" si="302"/>
        <v>0.42460317460317459</v>
      </c>
    </row>
    <row r="3725" spans="2:24" ht="15.75">
      <c r="B3725" s="28" t="s">
        <v>1856</v>
      </c>
      <c r="C3725" s="6" t="s">
        <v>8285</v>
      </c>
      <c r="D3725" s="15" t="s">
        <v>5483</v>
      </c>
      <c r="E3725" s="24">
        <v>3846</v>
      </c>
      <c r="F3725" s="29">
        <v>10</v>
      </c>
      <c r="G3725" s="24" t="s">
        <v>6755</v>
      </c>
      <c r="H3725" s="67">
        <v>50</v>
      </c>
      <c r="I3725" s="68">
        <v>2</v>
      </c>
      <c r="J3725" s="67">
        <f>H3725*I3725</f>
        <v>100</v>
      </c>
      <c r="K3725" s="46">
        <v>0.84</v>
      </c>
      <c r="L3725" s="46">
        <f>K3725*J3725</f>
        <v>84</v>
      </c>
      <c r="M3725" s="162" t="s">
        <v>2219</v>
      </c>
      <c r="N3725" s="39">
        <v>45686</v>
      </c>
      <c r="O3725" s="38">
        <v>6808</v>
      </c>
      <c r="P3725" s="46">
        <f>K3725*(VLOOKUP(B3725,$C$2:$F$6,3,FALSE))</f>
        <v>0.73919999999999997</v>
      </c>
      <c r="Q3725" s="482">
        <v>0.74</v>
      </c>
      <c r="R3725" s="704">
        <f>Q3725*J3725</f>
        <v>74</v>
      </c>
      <c r="S3725" s="489">
        <v>58</v>
      </c>
      <c r="T3725" s="113">
        <f>S3725*J3725</f>
        <v>5800</v>
      </c>
      <c r="U3725" s="1603"/>
      <c r="V3725" s="494">
        <v>120</v>
      </c>
      <c r="W3725" s="2041">
        <f t="shared" si="302"/>
        <v>0.42460317460317459</v>
      </c>
    </row>
    <row r="3726" spans="2:24" ht="15">
      <c r="B3726" s="12" t="s">
        <v>1862</v>
      </c>
      <c r="C3726" s="6" t="s">
        <v>8285</v>
      </c>
      <c r="D3726" s="15" t="s">
        <v>5470</v>
      </c>
      <c r="E3726" s="24"/>
      <c r="F3726" s="138"/>
      <c r="G3726" s="44" t="s">
        <v>1993</v>
      </c>
      <c r="H3726" s="8"/>
      <c r="I3726" s="41"/>
      <c r="J3726" s="45">
        <v>1</v>
      </c>
      <c r="K3726" s="46">
        <v>12</v>
      </c>
      <c r="L3726" s="46">
        <f>K3726*J3726</f>
        <v>12</v>
      </c>
      <c r="M3726" s="112"/>
      <c r="N3726" s="39">
        <v>45686</v>
      </c>
      <c r="O3726" s="38">
        <v>6808</v>
      </c>
      <c r="P3726" s="46">
        <f>K3726*(VLOOKUP(B3726,$C$2:$F$6,3,FALSE))</f>
        <v>12</v>
      </c>
      <c r="Q3726" s="483">
        <v>12</v>
      </c>
      <c r="R3726" s="704">
        <v>12</v>
      </c>
      <c r="S3726" s="489">
        <v>0</v>
      </c>
      <c r="T3726" s="113">
        <v>0</v>
      </c>
      <c r="U3726" s="511"/>
      <c r="V3726" s="494">
        <v>120</v>
      </c>
      <c r="W3726" s="2041">
        <f t="shared" si="302"/>
        <v>1</v>
      </c>
    </row>
    <row r="3727" spans="2:24" s="314" customFormat="1" ht="15">
      <c r="B3727" s="313"/>
      <c r="C3727" s="302" t="s">
        <v>8285</v>
      </c>
      <c r="D3727" s="303" t="s">
        <v>5470</v>
      </c>
      <c r="E3727" s="304"/>
      <c r="F3727" s="305"/>
      <c r="G3727" s="305" t="s">
        <v>1227</v>
      </c>
      <c r="H3727" s="307" t="s">
        <v>1243</v>
      </c>
      <c r="I3727" s="308"/>
      <c r="J3727" s="306"/>
      <c r="K3727" s="329">
        <v>70</v>
      </c>
      <c r="L3727" s="329">
        <v>70</v>
      </c>
      <c r="M3727" s="310"/>
      <c r="N3727" s="310">
        <v>45686</v>
      </c>
      <c r="O3727" s="309">
        <v>6808</v>
      </c>
      <c r="P3727" s="302"/>
      <c r="Q3727" s="329">
        <v>70</v>
      </c>
      <c r="R3727" s="329">
        <v>70</v>
      </c>
      <c r="S3727" s="2272">
        <v>6915</v>
      </c>
      <c r="T3727" s="2272">
        <v>6915</v>
      </c>
      <c r="U3727" s="515"/>
      <c r="V3727" s="494">
        <v>120</v>
      </c>
      <c r="W3727" s="2041">
        <f t="shared" si="302"/>
        <v>0.1767857142857143</v>
      </c>
    </row>
    <row r="3728" spans="2:24" s="7" customFormat="1" ht="15" customHeight="1">
      <c r="B3728" s="12"/>
      <c r="C3728" s="6" t="s">
        <v>8287</v>
      </c>
      <c r="D3728" s="15" t="s">
        <v>8231</v>
      </c>
      <c r="E3728" s="20" t="s">
        <v>3737</v>
      </c>
      <c r="F3728" s="26"/>
      <c r="G3728" s="24"/>
      <c r="H3728" s="67"/>
      <c r="I3728" s="68"/>
      <c r="J3728" s="67"/>
      <c r="K3728" s="34" t="s">
        <v>134</v>
      </c>
      <c r="L3728" s="39"/>
      <c r="M3728" s="39"/>
      <c r="N3728" s="39">
        <v>45686</v>
      </c>
      <c r="O3728" s="38">
        <v>6811</v>
      </c>
      <c r="P3728" s="179" t="s">
        <v>23</v>
      </c>
      <c r="Q3728" s="2457" t="s">
        <v>959</v>
      </c>
      <c r="R3728" s="704"/>
      <c r="S3728" s="707"/>
      <c r="T3728" s="113"/>
      <c r="U3728" s="2068"/>
      <c r="V3728" s="494">
        <v>120</v>
      </c>
      <c r="W3728" s="2041" t="e">
        <f t="shared" si="302"/>
        <v>#VALUE!</v>
      </c>
    </row>
    <row r="3729" spans="1:23" s="7" customFormat="1" ht="18" customHeight="1">
      <c r="B3729" s="12" t="s">
        <v>1856</v>
      </c>
      <c r="C3729" s="6" t="s">
        <v>8287</v>
      </c>
      <c r="D3729" s="15" t="s">
        <v>8231</v>
      </c>
      <c r="E3729" s="24">
        <v>3744</v>
      </c>
      <c r="F3729" s="26">
        <v>50</v>
      </c>
      <c r="G3729" s="24" t="s">
        <v>8232</v>
      </c>
      <c r="H3729" s="67">
        <v>20</v>
      </c>
      <c r="I3729" s="68">
        <v>1</v>
      </c>
      <c r="J3729" s="67">
        <f>H3729*I3729</f>
        <v>20</v>
      </c>
      <c r="K3729" s="46">
        <v>2.2799999999999998</v>
      </c>
      <c r="L3729" s="46">
        <f>K3729*J3729</f>
        <v>45.599999999999994</v>
      </c>
      <c r="M3729" s="162" t="s">
        <v>2219</v>
      </c>
      <c r="N3729" s="39">
        <v>45686</v>
      </c>
      <c r="O3729" s="38">
        <v>6811</v>
      </c>
      <c r="P3729" s="46">
        <f>K3729*(VLOOKUP(B3729,$C$2:$F$6,3,FALSE))</f>
        <v>2.0063999999999997</v>
      </c>
      <c r="Q3729" s="180">
        <v>2.0099999999999998</v>
      </c>
      <c r="R3729" s="704">
        <f>Q3729*J3729</f>
        <v>40.199999999999996</v>
      </c>
      <c r="S3729" s="2442">
        <v>136.25</v>
      </c>
      <c r="T3729" s="113">
        <f>S3729*J3729</f>
        <v>2725</v>
      </c>
      <c r="U3729" s="489"/>
      <c r="V3729" s="494">
        <v>120</v>
      </c>
      <c r="W3729" s="2041">
        <f t="shared" si="302"/>
        <v>0.5020102339181286</v>
      </c>
    </row>
    <row r="3730" spans="1:23" ht="15.95" customHeight="1">
      <c r="C3730" s="6" t="s">
        <v>8287</v>
      </c>
      <c r="D3730" s="15" t="s">
        <v>8231</v>
      </c>
      <c r="E3730" s="24"/>
      <c r="F3730" s="138"/>
      <c r="G3730" s="44" t="s">
        <v>1993</v>
      </c>
      <c r="H3730" s="8"/>
      <c r="I3730" s="68"/>
      <c r="J3730" s="45">
        <v>1</v>
      </c>
      <c r="K3730" s="46">
        <v>12</v>
      </c>
      <c r="L3730" s="46">
        <f>K3730*J3730</f>
        <v>12</v>
      </c>
      <c r="M3730" s="112"/>
      <c r="N3730" s="39">
        <v>45686</v>
      </c>
      <c r="O3730" s="38">
        <v>6811</v>
      </c>
      <c r="P3730" s="46" t="e">
        <f>K3730*(VLOOKUP(B3730,$C$2:$F$6,3,FALSE))</f>
        <v>#N/A</v>
      </c>
      <c r="Q3730" s="180">
        <v>12</v>
      </c>
      <c r="R3730" s="704">
        <f>Q3730*J3730</f>
        <v>12</v>
      </c>
      <c r="S3730" s="498">
        <v>1000</v>
      </c>
      <c r="T3730" s="113">
        <f>S3730*J3730</f>
        <v>1000</v>
      </c>
      <c r="U3730" s="511"/>
      <c r="V3730" s="494">
        <v>120</v>
      </c>
      <c r="W3730" s="2041">
        <f t="shared" si="302"/>
        <v>0.30555555555555558</v>
      </c>
    </row>
    <row r="3731" spans="1:23" s="314" customFormat="1" ht="15">
      <c r="B3731" s="313"/>
      <c r="C3731" s="302" t="s">
        <v>8287</v>
      </c>
      <c r="D3731" s="303" t="s">
        <v>8231</v>
      </c>
      <c r="E3731" s="304"/>
      <c r="F3731" s="305"/>
      <c r="G3731" s="305" t="s">
        <v>1227</v>
      </c>
      <c r="H3731" s="307" t="s">
        <v>1228</v>
      </c>
      <c r="I3731" s="308"/>
      <c r="J3731" s="306"/>
      <c r="K3731" s="315">
        <v>0</v>
      </c>
      <c r="L3731" s="310"/>
      <c r="M3731" s="310"/>
      <c r="N3731" s="310">
        <v>45686</v>
      </c>
      <c r="O3731" s="309">
        <v>6811</v>
      </c>
      <c r="P3731" s="302"/>
      <c r="Q3731" s="485">
        <v>0</v>
      </c>
      <c r="S3731" s="536">
        <v>0</v>
      </c>
      <c r="T3731" s="322">
        <v>0</v>
      </c>
      <c r="U3731" s="515"/>
      <c r="V3731" s="494">
        <v>120</v>
      </c>
      <c r="W3731" s="2041" t="e">
        <f t="shared" si="302"/>
        <v>#DIV/0!</v>
      </c>
    </row>
    <row r="3732" spans="1:23" s="7" customFormat="1" ht="18" customHeight="1">
      <c r="B3732" s="12"/>
      <c r="C3732" s="6" t="s">
        <v>8289</v>
      </c>
      <c r="D3732" s="15" t="s">
        <v>7984</v>
      </c>
      <c r="E3732" s="20" t="s">
        <v>7645</v>
      </c>
      <c r="F3732" s="24"/>
      <c r="G3732" s="44"/>
      <c r="H3732" s="151"/>
      <c r="I3732" s="151"/>
      <c r="J3732" s="151"/>
      <c r="K3732" s="153" t="s">
        <v>10</v>
      </c>
      <c r="L3732" s="39"/>
      <c r="M3732" s="39"/>
      <c r="N3732" s="2453">
        <v>45701</v>
      </c>
      <c r="O3732" s="38">
        <v>6847</v>
      </c>
      <c r="P3732" s="6"/>
      <c r="Q3732" s="411"/>
      <c r="S3732" s="2350" t="s">
        <v>2297</v>
      </c>
      <c r="T3732" s="113"/>
      <c r="U3732" s="2399"/>
      <c r="V3732" s="494">
        <v>120</v>
      </c>
    </row>
    <row r="3733" spans="1:23" s="7" customFormat="1" ht="15.95" customHeight="1">
      <c r="B3733" s="12" t="s">
        <v>1856</v>
      </c>
      <c r="C3733" s="6" t="s">
        <v>8289</v>
      </c>
      <c r="D3733" s="15" t="s">
        <v>7984</v>
      </c>
      <c r="E3733" s="1012" t="s">
        <v>7293</v>
      </c>
      <c r="F3733" s="44">
        <v>4</v>
      </c>
      <c r="G3733" s="44" t="s">
        <v>7929</v>
      </c>
      <c r="H3733" s="67">
        <v>30</v>
      </c>
      <c r="I3733" s="68">
        <v>70</v>
      </c>
      <c r="J3733" s="67">
        <f>H3733*I3733</f>
        <v>2100</v>
      </c>
      <c r="K3733" s="46">
        <v>0.28999999999999998</v>
      </c>
      <c r="L3733" s="46">
        <f>K3733*J3733</f>
        <v>609</v>
      </c>
      <c r="M3733" s="162" t="s">
        <v>2219</v>
      </c>
      <c r="N3733" s="2453">
        <v>45701</v>
      </c>
      <c r="O3733" s="38">
        <v>6847</v>
      </c>
      <c r="P3733" s="46">
        <f>K3733*(VLOOKUP(B3733,$C$2:$F$6,3,FALSE))</f>
        <v>0.25519999999999998</v>
      </c>
      <c r="Q3733" s="483">
        <v>0.26</v>
      </c>
      <c r="R3733" s="704">
        <f>Q3733*J3733</f>
        <v>546</v>
      </c>
      <c r="S3733" s="2351">
        <v>16.033000000000001</v>
      </c>
      <c r="T3733" s="113">
        <f>S3733*J3733</f>
        <v>33669.300000000003</v>
      </c>
      <c r="U3733" s="2351"/>
      <c r="V3733" s="494">
        <v>120</v>
      </c>
      <c r="W3733" s="2041">
        <f>(((K3733*V3733)-S3733)/(K3733*V3733))</f>
        <v>0.53928160919540225</v>
      </c>
    </row>
    <row r="3734" spans="1:23" s="7" customFormat="1" ht="15.95" customHeight="1">
      <c r="B3734" s="12" t="s">
        <v>1856</v>
      </c>
      <c r="C3734" s="6" t="s">
        <v>8289</v>
      </c>
      <c r="D3734" s="15" t="s">
        <v>7984</v>
      </c>
      <c r="E3734" s="1012" t="s">
        <v>7293</v>
      </c>
      <c r="F3734" s="44">
        <v>4</v>
      </c>
      <c r="G3734" s="44" t="s">
        <v>7930</v>
      </c>
      <c r="H3734" s="67">
        <v>30</v>
      </c>
      <c r="I3734" s="68">
        <v>202</v>
      </c>
      <c r="J3734" s="67">
        <f>H3734*I3734</f>
        <v>6060</v>
      </c>
      <c r="K3734" s="46">
        <v>0.28999999999999998</v>
      </c>
      <c r="L3734" s="46">
        <f>K3734*J3734</f>
        <v>1757.3999999999999</v>
      </c>
      <c r="M3734" s="162" t="s">
        <v>2219</v>
      </c>
      <c r="N3734" s="2453">
        <v>45701</v>
      </c>
      <c r="O3734" s="38">
        <v>6847</v>
      </c>
      <c r="P3734" s="46">
        <f>K3734*(VLOOKUP(B3734,$C$2:$F$6,3,FALSE))</f>
        <v>0.25519999999999998</v>
      </c>
      <c r="Q3734" s="483">
        <v>0.26</v>
      </c>
      <c r="R3734" s="704">
        <f>Q3734*J3734</f>
        <v>1575.6000000000001</v>
      </c>
      <c r="S3734" s="2351">
        <v>16.033000000000001</v>
      </c>
      <c r="T3734" s="113">
        <f>S3734*J3734</f>
        <v>97159.98000000001</v>
      </c>
      <c r="U3734" s="2351"/>
      <c r="V3734" s="494">
        <v>120</v>
      </c>
      <c r="W3734" s="2041">
        <f>(((K3734*V3734)-S3734)/(K3734*V3734))</f>
        <v>0.53928160919540225</v>
      </c>
    </row>
    <row r="3735" spans="1:23" s="7" customFormat="1" ht="18" customHeight="1">
      <c r="B3735" s="12"/>
      <c r="C3735" s="6" t="s">
        <v>8288</v>
      </c>
      <c r="D3735" s="15" t="s">
        <v>7984</v>
      </c>
      <c r="E3735" s="2451" t="s">
        <v>7645</v>
      </c>
      <c r="F3735" s="24"/>
      <c r="G3735" s="44"/>
      <c r="H3735" s="151"/>
      <c r="I3735" s="151"/>
      <c r="J3735" s="151"/>
      <c r="K3735" s="153" t="s">
        <v>10</v>
      </c>
      <c r="L3735" s="39"/>
      <c r="M3735" s="39"/>
      <c r="N3735" s="2453">
        <v>45701</v>
      </c>
      <c r="O3735" s="38">
        <v>6847</v>
      </c>
      <c r="P3735" s="6"/>
      <c r="Q3735" s="411"/>
      <c r="S3735" s="2350" t="s">
        <v>2297</v>
      </c>
      <c r="T3735" s="113"/>
      <c r="U3735" s="2399"/>
      <c r="V3735" s="494">
        <v>120</v>
      </c>
    </row>
    <row r="3736" spans="1:23" s="7" customFormat="1" ht="15.95" customHeight="1">
      <c r="B3736" s="12" t="s">
        <v>1856</v>
      </c>
      <c r="C3736" s="6" t="s">
        <v>8288</v>
      </c>
      <c r="D3736" s="15" t="s">
        <v>7984</v>
      </c>
      <c r="E3736" s="1012" t="s">
        <v>7293</v>
      </c>
      <c r="F3736" s="44">
        <v>4</v>
      </c>
      <c r="G3736" s="44" t="s">
        <v>7929</v>
      </c>
      <c r="H3736" s="67">
        <v>30</v>
      </c>
      <c r="I3736" s="68">
        <v>24</v>
      </c>
      <c r="J3736" s="67">
        <f>H3736*I3736</f>
        <v>720</v>
      </c>
      <c r="K3736" s="46">
        <v>0.28999999999999998</v>
      </c>
      <c r="L3736" s="46">
        <f>K3736*J3736</f>
        <v>208.79999999999998</v>
      </c>
      <c r="M3736" s="162" t="s">
        <v>2219</v>
      </c>
      <c r="N3736" s="2453">
        <v>45701</v>
      </c>
      <c r="O3736" s="38">
        <v>6847</v>
      </c>
      <c r="P3736" s="46">
        <f>K3736*(VLOOKUP(B3736,$C$2:$F$6,3,FALSE))</f>
        <v>0.25519999999999998</v>
      </c>
      <c r="Q3736" s="483">
        <v>0.26</v>
      </c>
      <c r="R3736" s="704">
        <f>Q3736*J3736</f>
        <v>187.20000000000002</v>
      </c>
      <c r="S3736" s="2351">
        <v>16.033000000000001</v>
      </c>
      <c r="T3736" s="113">
        <f>S3736*J3736</f>
        <v>11543.76</v>
      </c>
      <c r="U3736" s="2351"/>
      <c r="V3736" s="494">
        <v>120</v>
      </c>
      <c r="W3736" s="2041">
        <f t="shared" ref="W3736:W3770" si="304">(((K3736*V3736)-S3736)/(K3736*V3736))</f>
        <v>0.53928160919540225</v>
      </c>
    </row>
    <row r="3737" spans="1:23" s="7" customFormat="1" ht="15.95" customHeight="1">
      <c r="B3737" s="12" t="s">
        <v>1856</v>
      </c>
      <c r="C3737" s="6" t="s">
        <v>8288</v>
      </c>
      <c r="D3737" s="15" t="s">
        <v>7984</v>
      </c>
      <c r="E3737" s="1012" t="s">
        <v>7293</v>
      </c>
      <c r="F3737" s="44">
        <v>4</v>
      </c>
      <c r="G3737" s="44" t="s">
        <v>7930</v>
      </c>
      <c r="H3737" s="67">
        <v>30</v>
      </c>
      <c r="I3737" s="68">
        <v>46</v>
      </c>
      <c r="J3737" s="67">
        <f>H3737*I3737</f>
        <v>1380</v>
      </c>
      <c r="K3737" s="46">
        <v>0.28999999999999998</v>
      </c>
      <c r="L3737" s="46">
        <f>K3737*J3737</f>
        <v>400.2</v>
      </c>
      <c r="M3737" s="162" t="s">
        <v>2219</v>
      </c>
      <c r="N3737" s="2453">
        <v>45701</v>
      </c>
      <c r="O3737" s="38">
        <v>6847</v>
      </c>
      <c r="P3737" s="46">
        <f>K3737*(VLOOKUP(B3737,$C$2:$F$6,3,FALSE))</f>
        <v>0.25519999999999998</v>
      </c>
      <c r="Q3737" s="483">
        <v>0.26</v>
      </c>
      <c r="R3737" s="704">
        <f>Q3737*J3737</f>
        <v>358.8</v>
      </c>
      <c r="S3737" s="2351">
        <v>16.033000000000001</v>
      </c>
      <c r="T3737" s="113">
        <f>S3737*J3737</f>
        <v>22125.54</v>
      </c>
      <c r="U3737" s="2351"/>
      <c r="V3737" s="494">
        <v>120</v>
      </c>
      <c r="W3737" s="2041">
        <f t="shared" si="304"/>
        <v>0.53928160919540225</v>
      </c>
    </row>
    <row r="3738" spans="1:23" ht="15.95" customHeight="1">
      <c r="C3738" s="6" t="s">
        <v>8288</v>
      </c>
      <c r="D3738" s="15" t="s">
        <v>7984</v>
      </c>
      <c r="E3738" s="24"/>
      <c r="F3738" s="138"/>
      <c r="G3738" s="44" t="s">
        <v>8259</v>
      </c>
      <c r="H3738" s="8"/>
      <c r="I3738" s="68"/>
      <c r="J3738" s="45">
        <v>1</v>
      </c>
      <c r="K3738" s="46">
        <v>25</v>
      </c>
      <c r="L3738" s="46">
        <f>K3738*J3738</f>
        <v>25</v>
      </c>
      <c r="M3738" s="112"/>
      <c r="N3738" s="2453">
        <v>45701</v>
      </c>
      <c r="O3738" s="38">
        <v>6847</v>
      </c>
      <c r="P3738" s="46" t="e">
        <f>K3738*(VLOOKUP(B3738,$C$2:$F$6,3,FALSE))</f>
        <v>#N/A</v>
      </c>
      <c r="Q3738" s="180">
        <v>0</v>
      </c>
      <c r="R3738" s="704">
        <f>Q3738*J3738</f>
        <v>0</v>
      </c>
      <c r="S3738" s="498">
        <v>0</v>
      </c>
      <c r="T3738" s="113">
        <f>S3738*J3738</f>
        <v>0</v>
      </c>
      <c r="U3738" s="511"/>
      <c r="V3738" s="494">
        <v>120</v>
      </c>
      <c r="W3738" s="2041">
        <f t="shared" si="304"/>
        <v>1</v>
      </c>
    </row>
    <row r="3739" spans="1:23" s="314" customFormat="1" ht="18" customHeight="1">
      <c r="B3739" s="313"/>
      <c r="C3739" s="302" t="s">
        <v>8288</v>
      </c>
      <c r="D3739" s="303" t="s">
        <v>7984</v>
      </c>
      <c r="E3739" s="304"/>
      <c r="F3739" s="305"/>
      <c r="G3739" s="305" t="s">
        <v>1227</v>
      </c>
      <c r="H3739" s="307" t="s">
        <v>1228</v>
      </c>
      <c r="I3739" s="308"/>
      <c r="J3739" s="306"/>
      <c r="K3739" s="315">
        <v>0</v>
      </c>
      <c r="L3739" s="310"/>
      <c r="M3739" s="310"/>
      <c r="N3739" s="310">
        <v>45701</v>
      </c>
      <c r="O3739" s="309">
        <v>6847</v>
      </c>
      <c r="P3739" s="302"/>
      <c r="Q3739" s="485">
        <v>0</v>
      </c>
      <c r="S3739" s="536">
        <v>0</v>
      </c>
      <c r="T3739" s="322">
        <v>0</v>
      </c>
      <c r="U3739" s="515"/>
      <c r="V3739" s="494">
        <v>120</v>
      </c>
      <c r="W3739" s="2041" t="e">
        <f t="shared" si="304"/>
        <v>#DIV/0!</v>
      </c>
    </row>
    <row r="3740" spans="1:23" s="7" customFormat="1" ht="15">
      <c r="A3740" s="1"/>
      <c r="B3740" s="12"/>
      <c r="C3740" s="6" t="s">
        <v>8295</v>
      </c>
      <c r="D3740" s="15" t="s">
        <v>8294</v>
      </c>
      <c r="E3740" s="20" t="s">
        <v>177</v>
      </c>
      <c r="F3740" s="26"/>
      <c r="G3740" s="24"/>
      <c r="H3740" s="67"/>
      <c r="I3740" s="68"/>
      <c r="J3740" s="67"/>
      <c r="K3740" s="10" t="s">
        <v>10</v>
      </c>
      <c r="L3740" s="39"/>
      <c r="M3740" s="39"/>
      <c r="N3740" s="39">
        <v>45701</v>
      </c>
      <c r="O3740" s="38">
        <v>6850</v>
      </c>
      <c r="P3740" s="6" t="s">
        <v>3</v>
      </c>
      <c r="Q3740" s="481"/>
      <c r="S3740" s="2458" t="s">
        <v>2297</v>
      </c>
      <c r="T3740" s="113"/>
      <c r="U3740" s="500"/>
      <c r="V3740" s="494">
        <v>120</v>
      </c>
      <c r="W3740" s="2041" t="e">
        <f t="shared" si="304"/>
        <v>#VALUE!</v>
      </c>
    </row>
    <row r="3741" spans="1:23" s="7" customFormat="1" ht="15" customHeight="1">
      <c r="A3741" s="1"/>
      <c r="B3741" s="12" t="s">
        <v>1856</v>
      </c>
      <c r="C3741" s="6" t="s">
        <v>8295</v>
      </c>
      <c r="D3741" s="15" t="s">
        <v>8294</v>
      </c>
      <c r="E3741" s="24">
        <v>12701</v>
      </c>
      <c r="F3741" s="26">
        <v>19</v>
      </c>
      <c r="G3741" s="24" t="s">
        <v>8297</v>
      </c>
      <c r="H3741" s="67">
        <v>10</v>
      </c>
      <c r="I3741" s="68">
        <v>1</v>
      </c>
      <c r="J3741" s="8">
        <f>H3741*I3741</f>
        <v>10</v>
      </c>
      <c r="K3741" s="25">
        <v>1.25</v>
      </c>
      <c r="L3741" s="46">
        <f>K3741*J3741</f>
        <v>12.5</v>
      </c>
      <c r="M3741" s="162" t="s">
        <v>2219</v>
      </c>
      <c r="N3741" s="39">
        <v>45701</v>
      </c>
      <c r="O3741" s="38">
        <v>6850</v>
      </c>
      <c r="P3741" s="46">
        <f>K3741*(VLOOKUP(B3741,$C$2:$F$6,3,FALSE))</f>
        <v>1.1000000000000001</v>
      </c>
      <c r="Q3741" s="482">
        <v>1.1000000000000001</v>
      </c>
      <c r="R3741" s="704">
        <f>Q3741*J3741</f>
        <v>11</v>
      </c>
      <c r="S3741" s="489">
        <v>66.599999999999994</v>
      </c>
      <c r="T3741" s="113">
        <f>S3741*J3741</f>
        <v>666</v>
      </c>
      <c r="U3741" s="1890"/>
      <c r="V3741" s="494">
        <v>120</v>
      </c>
      <c r="W3741" s="2041">
        <f t="shared" si="304"/>
        <v>0.55600000000000005</v>
      </c>
    </row>
    <row r="3742" spans="1:23" s="7" customFormat="1" ht="15" customHeight="1">
      <c r="A3742" s="1"/>
      <c r="B3742" s="12" t="s">
        <v>1856</v>
      </c>
      <c r="C3742" s="6" t="s">
        <v>8295</v>
      </c>
      <c r="D3742" s="15" t="s">
        <v>8294</v>
      </c>
      <c r="E3742" s="24">
        <v>12701</v>
      </c>
      <c r="F3742" s="26">
        <v>19</v>
      </c>
      <c r="G3742" s="24" t="s">
        <v>8296</v>
      </c>
      <c r="H3742" s="67">
        <v>10</v>
      </c>
      <c r="I3742" s="68">
        <v>1</v>
      </c>
      <c r="J3742" s="8">
        <f>H3742*I3742</f>
        <v>10</v>
      </c>
      <c r="K3742" s="25">
        <v>1.25</v>
      </c>
      <c r="L3742" s="46">
        <f>K3742*J3742</f>
        <v>12.5</v>
      </c>
      <c r="M3742" s="162" t="s">
        <v>2219</v>
      </c>
      <c r="N3742" s="39">
        <v>45701</v>
      </c>
      <c r="O3742" s="38">
        <v>6850</v>
      </c>
      <c r="P3742" s="46">
        <f>K3742*(VLOOKUP(B3742,$C$2:$F$6,3,FALSE))</f>
        <v>1.1000000000000001</v>
      </c>
      <c r="Q3742" s="482">
        <v>1.1000000000000001</v>
      </c>
      <c r="R3742" s="704">
        <f>Q3742*J3742</f>
        <v>11</v>
      </c>
      <c r="S3742" s="489">
        <v>66.599999999999994</v>
      </c>
      <c r="T3742" s="113">
        <f>S3742*J3742</f>
        <v>666</v>
      </c>
      <c r="U3742" s="1890"/>
      <c r="V3742" s="494">
        <v>120</v>
      </c>
      <c r="W3742" s="2041">
        <f t="shared" si="304"/>
        <v>0.55600000000000005</v>
      </c>
    </row>
    <row r="3743" spans="1:23" ht="15.95" customHeight="1">
      <c r="C3743" s="6" t="s">
        <v>8295</v>
      </c>
      <c r="D3743" s="15" t="s">
        <v>8294</v>
      </c>
      <c r="E3743" s="24"/>
      <c r="F3743" s="138"/>
      <c r="G3743" s="44" t="s">
        <v>1993</v>
      </c>
      <c r="H3743" s="8"/>
      <c r="I3743" s="68"/>
      <c r="J3743" s="45">
        <v>1</v>
      </c>
      <c r="K3743" s="46">
        <v>12</v>
      </c>
      <c r="L3743" s="46">
        <f>K3743*J3743</f>
        <v>12</v>
      </c>
      <c r="M3743" s="112"/>
      <c r="N3743" s="39">
        <v>45701</v>
      </c>
      <c r="O3743" s="38">
        <v>6850</v>
      </c>
      <c r="P3743" s="46" t="e">
        <f>K3743*(VLOOKUP(B3743,$C$2:$F$6,3,FALSE))</f>
        <v>#N/A</v>
      </c>
      <c r="Q3743" s="180">
        <v>12</v>
      </c>
      <c r="R3743" s="704">
        <f>Q3743*J3743</f>
        <v>12</v>
      </c>
      <c r="S3743" s="2459">
        <v>0</v>
      </c>
      <c r="T3743" s="2452">
        <f>S3743*J3743</f>
        <v>0</v>
      </c>
      <c r="U3743" s="511"/>
      <c r="V3743" s="494">
        <v>120</v>
      </c>
      <c r="W3743" s="2041">
        <f t="shared" si="304"/>
        <v>1</v>
      </c>
    </row>
    <row r="3744" spans="1:23" s="314" customFormat="1" ht="18" customHeight="1">
      <c r="B3744" s="313"/>
      <c r="C3744" s="302" t="s">
        <v>8295</v>
      </c>
      <c r="D3744" s="303" t="s">
        <v>8294</v>
      </c>
      <c r="E3744" s="304"/>
      <c r="F3744" s="305"/>
      <c r="G3744" s="305" t="s">
        <v>1227</v>
      </c>
      <c r="H3744" s="307" t="s">
        <v>3438</v>
      </c>
      <c r="I3744" s="308"/>
      <c r="J3744" s="306"/>
      <c r="K3744" s="315">
        <v>25</v>
      </c>
      <c r="L3744" s="315">
        <v>25</v>
      </c>
      <c r="M3744" s="310"/>
      <c r="N3744" s="310">
        <v>45701</v>
      </c>
      <c r="O3744" s="309">
        <v>6850</v>
      </c>
      <c r="P3744" s="302"/>
      <c r="Q3744" s="485">
        <v>25</v>
      </c>
      <c r="R3744" s="485">
        <v>25</v>
      </c>
      <c r="S3744" s="536">
        <v>2219</v>
      </c>
      <c r="T3744" s="322">
        <v>2219</v>
      </c>
      <c r="U3744" s="515"/>
      <c r="V3744" s="494">
        <v>120</v>
      </c>
      <c r="W3744" s="2041">
        <f t="shared" si="304"/>
        <v>0.26033333333333336</v>
      </c>
    </row>
    <row r="3745" spans="1:23" s="7" customFormat="1" ht="15" customHeight="1">
      <c r="A3745" s="1"/>
      <c r="B3745" s="12"/>
      <c r="C3745" s="6" t="s">
        <v>8299</v>
      </c>
      <c r="D3745" s="15" t="s">
        <v>8298</v>
      </c>
      <c r="E3745" s="20" t="s">
        <v>8300</v>
      </c>
      <c r="F3745" s="26"/>
      <c r="G3745" s="24"/>
      <c r="H3745" s="67"/>
      <c r="I3745" s="68"/>
      <c r="J3745" s="67"/>
      <c r="K3745" s="17" t="s">
        <v>10</v>
      </c>
      <c r="L3745" s="39"/>
      <c r="M3745" s="39"/>
      <c r="N3745" s="39">
        <v>45716</v>
      </c>
      <c r="O3745" s="38">
        <v>6893</v>
      </c>
      <c r="P3745" s="180" t="e">
        <f>K3745*(VLOOKUP(B3745,$C$2:$F$6,3,FALSE))</f>
        <v>#VALUE!</v>
      </c>
      <c r="Q3745" s="483"/>
      <c r="R3745" s="704"/>
      <c r="S3745" s="489"/>
      <c r="T3745" s="113">
        <f>S3745*J3745</f>
        <v>0</v>
      </c>
      <c r="U3745" s="517"/>
      <c r="V3745" s="494">
        <v>120</v>
      </c>
      <c r="W3745" s="2041" t="e">
        <f t="shared" si="304"/>
        <v>#VALUE!</v>
      </c>
    </row>
    <row r="3746" spans="1:23" s="7" customFormat="1" ht="15.75" customHeight="1">
      <c r="A3746" s="1"/>
      <c r="B3746" s="12" t="s">
        <v>1856</v>
      </c>
      <c r="C3746" s="6" t="s">
        <v>8302</v>
      </c>
      <c r="D3746" s="15" t="s">
        <v>8298</v>
      </c>
      <c r="E3746" s="24" t="s">
        <v>8301</v>
      </c>
      <c r="F3746" s="26"/>
      <c r="G3746" s="24" t="s">
        <v>7696</v>
      </c>
      <c r="H3746" s="151"/>
      <c r="I3746" s="41"/>
      <c r="J3746" s="67">
        <v>20</v>
      </c>
      <c r="K3746" s="25">
        <v>1.48</v>
      </c>
      <c r="L3746" s="46">
        <f>K3746*J3746</f>
        <v>29.6</v>
      </c>
      <c r="M3746" s="162" t="s">
        <v>2219</v>
      </c>
      <c r="N3746" s="39">
        <v>45716</v>
      </c>
      <c r="O3746" s="38">
        <v>6893</v>
      </c>
      <c r="P3746" s="180">
        <f>K3746*(VLOOKUP(B3746,$C$2:$F$6,3,FALSE))</f>
        <v>1.3024</v>
      </c>
      <c r="Q3746" s="483">
        <v>1.3</v>
      </c>
      <c r="R3746" s="704">
        <f>Q3746*J3746</f>
        <v>26</v>
      </c>
      <c r="S3746" s="489">
        <v>106</v>
      </c>
      <c r="T3746" s="113">
        <f>S3746*J3746</f>
        <v>2120</v>
      </c>
      <c r="U3746" s="517"/>
      <c r="V3746" s="494">
        <v>120</v>
      </c>
      <c r="W3746" s="2041">
        <f t="shared" si="304"/>
        <v>0.40315315315315314</v>
      </c>
    </row>
    <row r="3747" spans="1:23" ht="18" customHeight="1">
      <c r="B3747" s="12" t="s">
        <v>1862</v>
      </c>
      <c r="C3747" s="6" t="s">
        <v>8299</v>
      </c>
      <c r="D3747" s="15" t="s">
        <v>8298</v>
      </c>
      <c r="E3747" s="24"/>
      <c r="F3747" s="138"/>
      <c r="G3747" s="44" t="s">
        <v>1993</v>
      </c>
      <c r="H3747" s="8"/>
      <c r="I3747" s="41"/>
      <c r="J3747" s="45">
        <v>1</v>
      </c>
      <c r="K3747" s="46">
        <v>12</v>
      </c>
      <c r="L3747" s="46">
        <f>K3747*J3747</f>
        <v>12</v>
      </c>
      <c r="M3747" s="112"/>
      <c r="N3747" s="39">
        <v>45716</v>
      </c>
      <c r="O3747" s="38">
        <v>6893</v>
      </c>
      <c r="P3747" s="46">
        <f>K3747*(VLOOKUP(B3747,$C$2:$F$6,3,FALSE))</f>
        <v>12</v>
      </c>
      <c r="Q3747" s="483">
        <v>12</v>
      </c>
      <c r="R3747" s="704">
        <f>Q3747*J3747</f>
        <v>12</v>
      </c>
      <c r="S3747" s="489">
        <v>900</v>
      </c>
      <c r="T3747" s="113">
        <f>S3747*J3747</f>
        <v>900</v>
      </c>
      <c r="U3747" s="511"/>
      <c r="V3747" s="494">
        <v>120</v>
      </c>
      <c r="W3747" s="2041">
        <f t="shared" si="304"/>
        <v>0.375</v>
      </c>
    </row>
    <row r="3748" spans="1:23" s="314" customFormat="1" ht="15">
      <c r="A3748" s="1"/>
      <c r="B3748" s="313"/>
      <c r="C3748" s="302" t="s">
        <v>8299</v>
      </c>
      <c r="D3748" s="303" t="s">
        <v>8298</v>
      </c>
      <c r="E3748" s="304"/>
      <c r="F3748" s="305"/>
      <c r="G3748" s="305" t="s">
        <v>1227</v>
      </c>
      <c r="H3748" s="307" t="s">
        <v>1228</v>
      </c>
      <c r="I3748" s="308"/>
      <c r="J3748" s="306"/>
      <c r="K3748" s="315">
        <v>0</v>
      </c>
      <c r="L3748" s="310"/>
      <c r="M3748" s="310"/>
      <c r="N3748" s="310">
        <v>45716</v>
      </c>
      <c r="O3748" s="309">
        <v>6893</v>
      </c>
      <c r="P3748" s="302"/>
      <c r="Q3748" s="485">
        <v>0</v>
      </c>
      <c r="S3748" s="536">
        <v>0</v>
      </c>
      <c r="T3748" s="322">
        <v>0</v>
      </c>
      <c r="U3748" s="515"/>
      <c r="V3748" s="494">
        <v>120</v>
      </c>
      <c r="W3748" s="2041" t="e">
        <f t="shared" si="304"/>
        <v>#DIV/0!</v>
      </c>
    </row>
    <row r="3749" spans="1:23" s="7" customFormat="1" ht="18" customHeight="1">
      <c r="B3749" s="12"/>
      <c r="C3749" s="6"/>
      <c r="D3749" s="15" t="s">
        <v>2451</v>
      </c>
      <c r="E3749" s="20" t="s">
        <v>79</v>
      </c>
      <c r="F3749" s="150"/>
      <c r="G3749" s="24"/>
      <c r="H3749" s="151"/>
      <c r="I3749" s="152"/>
      <c r="J3749" s="151"/>
      <c r="K3749" s="34" t="s">
        <v>10</v>
      </c>
      <c r="L3749" s="39"/>
      <c r="M3749" s="39"/>
      <c r="N3749" s="39"/>
      <c r="O3749" s="38"/>
      <c r="P3749" s="15"/>
      <c r="Q3749" s="483"/>
      <c r="S3749" s="2458" t="s">
        <v>8314</v>
      </c>
      <c r="T3749" s="113"/>
      <c r="U3749" s="506"/>
      <c r="V3749" s="494">
        <v>120</v>
      </c>
      <c r="W3749" s="2041" t="e">
        <f t="shared" si="304"/>
        <v>#VALUE!</v>
      </c>
    </row>
    <row r="3750" spans="1:23" s="7" customFormat="1" ht="15" customHeight="1">
      <c r="B3750" s="12" t="s">
        <v>1858</v>
      </c>
      <c r="C3750" s="6"/>
      <c r="D3750" s="15" t="s">
        <v>2451</v>
      </c>
      <c r="E3750" s="95">
        <v>2440</v>
      </c>
      <c r="F3750" s="150">
        <v>140</v>
      </c>
      <c r="G3750" s="24" t="s">
        <v>6922</v>
      </c>
      <c r="H3750" s="8">
        <v>58</v>
      </c>
      <c r="I3750" s="41">
        <v>10</v>
      </c>
      <c r="J3750" s="8">
        <f>H3750*I3750</f>
        <v>580</v>
      </c>
      <c r="K3750" s="46">
        <v>5.53</v>
      </c>
      <c r="L3750" s="46">
        <f>K3750*J3750</f>
        <v>3207.4</v>
      </c>
      <c r="M3750" s="162" t="s">
        <v>2219</v>
      </c>
      <c r="N3750" s="39"/>
      <c r="O3750" s="38"/>
      <c r="P3750" s="46">
        <v>4.12</v>
      </c>
      <c r="Q3750" s="483">
        <v>4.12</v>
      </c>
      <c r="R3750" s="704">
        <f>Q3750*J3750</f>
        <v>2389.6</v>
      </c>
      <c r="S3750" s="489">
        <f>310+15</f>
        <v>325</v>
      </c>
      <c r="T3750" s="567">
        <f>S3750*J3750</f>
        <v>188500</v>
      </c>
      <c r="U3750" s="882"/>
      <c r="V3750" s="494">
        <v>120</v>
      </c>
      <c r="W3750" s="2041">
        <f t="shared" si="304"/>
        <v>0.51024713682941536</v>
      </c>
    </row>
    <row r="3751" spans="1:23" s="7" customFormat="1" ht="15" customHeight="1">
      <c r="B3751" s="12" t="s">
        <v>1858</v>
      </c>
      <c r="C3751" s="6"/>
      <c r="D3751" s="15" t="s">
        <v>2451</v>
      </c>
      <c r="E3751" s="95">
        <v>2440</v>
      </c>
      <c r="F3751" s="150">
        <v>140</v>
      </c>
      <c r="G3751" s="24" t="s">
        <v>30</v>
      </c>
      <c r="H3751" s="8">
        <v>58</v>
      </c>
      <c r="I3751" s="41">
        <v>10</v>
      </c>
      <c r="J3751" s="67">
        <f>H3751*I3751</f>
        <v>580</v>
      </c>
      <c r="K3751" s="46">
        <v>5.53</v>
      </c>
      <c r="L3751" s="46">
        <f>K3751*J3751</f>
        <v>3207.4</v>
      </c>
      <c r="M3751" s="162" t="s">
        <v>2219</v>
      </c>
      <c r="N3751" s="39"/>
      <c r="O3751" s="38"/>
      <c r="P3751" s="46">
        <v>4.12</v>
      </c>
      <c r="Q3751" s="483">
        <v>4.12</v>
      </c>
      <c r="R3751" s="704">
        <f>Q3751*J3751</f>
        <v>2389.6</v>
      </c>
      <c r="S3751" s="489">
        <f>310+15</f>
        <v>325</v>
      </c>
      <c r="T3751" s="567">
        <f>S3751*J3751</f>
        <v>188500</v>
      </c>
      <c r="U3751" s="882"/>
      <c r="V3751" s="494">
        <v>120</v>
      </c>
      <c r="W3751" s="2041">
        <f t="shared" si="304"/>
        <v>0.51024713682941536</v>
      </c>
    </row>
    <row r="3752" spans="1:23" s="378" customFormat="1" ht="15" customHeight="1">
      <c r="B3752" s="312"/>
      <c r="C3752" s="302"/>
      <c r="D3752" s="303" t="s">
        <v>2451</v>
      </c>
      <c r="E3752" s="304"/>
      <c r="F3752" s="305"/>
      <c r="G3752" s="305" t="s">
        <v>2371</v>
      </c>
      <c r="H3752" s="307" t="s">
        <v>1442</v>
      </c>
      <c r="I3752" s="308"/>
      <c r="J3752" s="306">
        <v>1160</v>
      </c>
      <c r="K3752" s="315">
        <f>1.15*1160</f>
        <v>1334</v>
      </c>
      <c r="L3752" s="310"/>
      <c r="M3752" s="310"/>
      <c r="N3752" s="310"/>
      <c r="O3752" s="309"/>
      <c r="P3752" s="302"/>
      <c r="Q3752" s="315">
        <f>1.15*1160</f>
        <v>1334</v>
      </c>
      <c r="R3752" s="315">
        <f>1.15*1160</f>
        <v>1334</v>
      </c>
      <c r="S3752" s="2438" t="s">
        <v>8315</v>
      </c>
      <c r="T3752" s="2438" t="s">
        <v>8315</v>
      </c>
      <c r="U3752" s="515"/>
      <c r="V3752" s="494">
        <v>120</v>
      </c>
      <c r="W3752" s="2041" t="e">
        <f t="shared" si="304"/>
        <v>#VALUE!</v>
      </c>
    </row>
    <row r="3753" spans="1:23" ht="18" customHeight="1">
      <c r="C3753" s="6" t="s">
        <v>8317</v>
      </c>
      <c r="D3753" s="15" t="s">
        <v>8223</v>
      </c>
      <c r="E3753" s="20" t="s">
        <v>260</v>
      </c>
      <c r="F3753" s="44"/>
      <c r="G3753" s="44"/>
      <c r="H3753" s="151"/>
      <c r="I3753" s="151"/>
      <c r="J3753" s="151"/>
      <c r="K3753" s="34" t="s">
        <v>134</v>
      </c>
      <c r="L3753" s="39"/>
      <c r="M3753" s="39"/>
      <c r="N3753" s="2453">
        <v>45743</v>
      </c>
      <c r="O3753" s="2455">
        <v>6888</v>
      </c>
      <c r="P3753" s="6"/>
      <c r="Q3753" s="524"/>
      <c r="S3753" s="1995"/>
      <c r="T3753" s="113"/>
      <c r="U3753" s="501"/>
      <c r="V3753" s="494">
        <v>120</v>
      </c>
      <c r="W3753" s="2041" t="e">
        <f t="shared" si="304"/>
        <v>#VALUE!</v>
      </c>
    </row>
    <row r="3754" spans="1:23" ht="18" customHeight="1">
      <c r="B3754" s="28" t="s">
        <v>1856</v>
      </c>
      <c r="C3754" s="6" t="s">
        <v>8317</v>
      </c>
      <c r="D3754" s="15" t="s">
        <v>8223</v>
      </c>
      <c r="E3754" s="24">
        <v>4141</v>
      </c>
      <c r="F3754" s="44">
        <v>6</v>
      </c>
      <c r="G3754" s="24" t="s">
        <v>8316</v>
      </c>
      <c r="H3754" s="67">
        <v>20</v>
      </c>
      <c r="I3754" s="68">
        <v>19</v>
      </c>
      <c r="J3754" s="67">
        <f>H3754*I3754</f>
        <v>380</v>
      </c>
      <c r="K3754" s="46">
        <v>1.47</v>
      </c>
      <c r="L3754" s="46">
        <f>K3754*J3754</f>
        <v>558.6</v>
      </c>
      <c r="M3754" s="162" t="s">
        <v>2219</v>
      </c>
      <c r="N3754" s="2453">
        <v>45743</v>
      </c>
      <c r="O3754" s="2455">
        <v>6888</v>
      </c>
      <c r="P3754" s="46">
        <f>K3754*(VLOOKUP(B3754,$C$2:$F$6,3,FALSE))</f>
        <v>1.2936000000000001</v>
      </c>
      <c r="Q3754" s="482">
        <v>1.29</v>
      </c>
      <c r="R3754" s="704">
        <f>Q3754*J3754</f>
        <v>490.2</v>
      </c>
      <c r="S3754" s="489">
        <v>87</v>
      </c>
      <c r="T3754" s="113">
        <f>S3754*J3754</f>
        <v>33060</v>
      </c>
      <c r="U3754" s="699"/>
      <c r="V3754" s="494">
        <v>120</v>
      </c>
      <c r="W3754" s="2041">
        <f t="shared" si="304"/>
        <v>0.50680272108843538</v>
      </c>
    </row>
    <row r="3755" spans="1:23" ht="15.95" customHeight="1">
      <c r="C3755" s="6" t="s">
        <v>8317</v>
      </c>
      <c r="D3755" s="15" t="s">
        <v>8223</v>
      </c>
      <c r="E3755" s="24"/>
      <c r="F3755" s="138"/>
      <c r="G3755" s="44" t="s">
        <v>1993</v>
      </c>
      <c r="H3755" s="8"/>
      <c r="I3755" s="68"/>
      <c r="J3755" s="45">
        <v>1</v>
      </c>
      <c r="K3755" s="46">
        <v>12</v>
      </c>
      <c r="L3755" s="46">
        <f>K3755*J3755</f>
        <v>12</v>
      </c>
      <c r="M3755" s="112"/>
      <c r="N3755" s="2453">
        <v>45743</v>
      </c>
      <c r="O3755" s="2455">
        <v>6888</v>
      </c>
      <c r="P3755" s="46" t="e">
        <f>K3755*(VLOOKUP(B3755,$C$2:$F$6,3,FALSE))</f>
        <v>#N/A</v>
      </c>
      <c r="Q3755" s="180">
        <v>12</v>
      </c>
      <c r="R3755" s="180">
        <v>12</v>
      </c>
      <c r="S3755" s="498">
        <v>0</v>
      </c>
      <c r="T3755" s="568">
        <f>S3755*J3755</f>
        <v>0</v>
      </c>
      <c r="U3755" s="511"/>
      <c r="V3755" s="494">
        <v>120</v>
      </c>
      <c r="W3755" s="2041">
        <f t="shared" si="304"/>
        <v>1</v>
      </c>
    </row>
    <row r="3756" spans="1:23" ht="15.95" customHeight="1">
      <c r="C3756" s="6" t="s">
        <v>8317</v>
      </c>
      <c r="D3756" s="15" t="s">
        <v>8223</v>
      </c>
      <c r="E3756" s="24"/>
      <c r="F3756" s="138"/>
      <c r="G3756" s="44" t="s">
        <v>8259</v>
      </c>
      <c r="H3756" s="8"/>
      <c r="I3756" s="41"/>
      <c r="J3756" s="45">
        <v>1</v>
      </c>
      <c r="K3756" s="46">
        <v>25</v>
      </c>
      <c r="L3756" s="46">
        <f>K3756*J3756</f>
        <v>25</v>
      </c>
      <c r="M3756" s="112"/>
      <c r="N3756" s="39">
        <v>45743</v>
      </c>
      <c r="O3756" s="38">
        <v>6888</v>
      </c>
      <c r="P3756" s="46" t="e">
        <f>K3756*(VLOOKUP(B3756,$C$2:$F$6,3,FALSE))</f>
        <v>#N/A</v>
      </c>
      <c r="Q3756" s="180">
        <v>0</v>
      </c>
      <c r="R3756" s="180">
        <v>0</v>
      </c>
      <c r="S3756" s="498">
        <v>0</v>
      </c>
      <c r="T3756" s="568">
        <f>S3756*J3756</f>
        <v>0</v>
      </c>
      <c r="U3756" s="511"/>
      <c r="V3756" s="494">
        <v>120</v>
      </c>
      <c r="W3756" s="2041">
        <f t="shared" si="304"/>
        <v>1</v>
      </c>
    </row>
    <row r="3757" spans="1:23" s="314" customFormat="1" ht="15">
      <c r="B3757" s="313"/>
      <c r="C3757" s="302" t="s">
        <v>8317</v>
      </c>
      <c r="D3757" s="303" t="s">
        <v>8223</v>
      </c>
      <c r="E3757" s="304"/>
      <c r="F3757" s="305"/>
      <c r="G3757" s="305" t="s">
        <v>1227</v>
      </c>
      <c r="H3757" s="307" t="s">
        <v>1228</v>
      </c>
      <c r="I3757" s="308"/>
      <c r="J3757" s="306"/>
      <c r="K3757" s="315">
        <v>0</v>
      </c>
      <c r="L3757" s="310"/>
      <c r="M3757" s="310"/>
      <c r="N3757" s="2454">
        <v>45743</v>
      </c>
      <c r="O3757" s="2456">
        <v>6888</v>
      </c>
      <c r="P3757" s="302"/>
      <c r="Q3757" s="485">
        <v>0</v>
      </c>
      <c r="S3757" s="536">
        <v>0</v>
      </c>
      <c r="T3757" s="322">
        <v>0</v>
      </c>
      <c r="U3757" s="515"/>
      <c r="V3757" s="494">
        <v>120</v>
      </c>
      <c r="W3757" s="2041" t="e">
        <f t="shared" si="304"/>
        <v>#DIV/0!</v>
      </c>
    </row>
    <row r="3758" spans="1:23" ht="18" customHeight="1">
      <c r="C3758" s="6" t="s">
        <v>8318</v>
      </c>
      <c r="D3758" s="15" t="s">
        <v>8246</v>
      </c>
      <c r="E3758" s="20" t="s">
        <v>260</v>
      </c>
      <c r="F3758" s="44"/>
      <c r="G3758" s="44"/>
      <c r="H3758" s="151"/>
      <c r="I3758" s="151"/>
      <c r="J3758" s="151"/>
      <c r="K3758" s="34" t="s">
        <v>134</v>
      </c>
      <c r="L3758" s="39"/>
      <c r="M3758" s="39"/>
      <c r="N3758" s="39">
        <v>45740</v>
      </c>
      <c r="O3758" s="38">
        <v>6901</v>
      </c>
      <c r="P3758" s="6"/>
      <c r="Q3758" s="524"/>
      <c r="S3758" s="1995"/>
      <c r="T3758" s="113"/>
      <c r="U3758" s="501"/>
      <c r="V3758" s="494">
        <v>120</v>
      </c>
      <c r="W3758" s="2041" t="e">
        <f t="shared" si="304"/>
        <v>#VALUE!</v>
      </c>
    </row>
    <row r="3759" spans="1:23" ht="18" customHeight="1">
      <c r="B3759" s="28" t="s">
        <v>1856</v>
      </c>
      <c r="C3759" s="6" t="s">
        <v>8318</v>
      </c>
      <c r="D3759" s="15" t="s">
        <v>8246</v>
      </c>
      <c r="E3759" s="24">
        <v>4141</v>
      </c>
      <c r="F3759" s="44">
        <v>6</v>
      </c>
      <c r="G3759" s="24" t="s">
        <v>8319</v>
      </c>
      <c r="H3759" s="67">
        <v>20</v>
      </c>
      <c r="I3759" s="68">
        <v>60</v>
      </c>
      <c r="J3759" s="67">
        <f>H3759*I3759</f>
        <v>1200</v>
      </c>
      <c r="K3759" s="46">
        <v>1.47</v>
      </c>
      <c r="L3759" s="46">
        <f>K3759*J3759</f>
        <v>1764</v>
      </c>
      <c r="M3759" s="162" t="s">
        <v>2219</v>
      </c>
      <c r="N3759" s="39">
        <v>45740</v>
      </c>
      <c r="O3759" s="38">
        <v>6901</v>
      </c>
      <c r="P3759" s="46">
        <f>K3759*(VLOOKUP(B3759,$C$2:$F$6,3,FALSE))</f>
        <v>1.2936000000000001</v>
      </c>
      <c r="Q3759" s="482">
        <v>1.29</v>
      </c>
      <c r="R3759" s="704">
        <f>Q3759*J3759</f>
        <v>1548</v>
      </c>
      <c r="S3759" s="489">
        <v>87</v>
      </c>
      <c r="T3759" s="113">
        <f>S3759*J3759</f>
        <v>104400</v>
      </c>
      <c r="U3759" s="699"/>
      <c r="V3759" s="494">
        <v>120</v>
      </c>
      <c r="W3759" s="2041">
        <f t="shared" si="304"/>
        <v>0.50680272108843538</v>
      </c>
    </row>
    <row r="3760" spans="1:23" ht="15.95" customHeight="1">
      <c r="C3760" s="6" t="s">
        <v>8318</v>
      </c>
      <c r="D3760" s="15" t="s">
        <v>8246</v>
      </c>
      <c r="E3760" s="24"/>
      <c r="F3760" s="138"/>
      <c r="G3760" s="44" t="s">
        <v>1993</v>
      </c>
      <c r="H3760" s="8"/>
      <c r="I3760" s="68"/>
      <c r="J3760" s="45">
        <v>1</v>
      </c>
      <c r="K3760" s="46">
        <v>12</v>
      </c>
      <c r="L3760" s="46">
        <f>K3760*J3760</f>
        <v>12</v>
      </c>
      <c r="M3760" s="112"/>
      <c r="N3760" s="39">
        <v>45740</v>
      </c>
      <c r="O3760" s="2455">
        <v>6901</v>
      </c>
      <c r="P3760" s="46" t="e">
        <f>K3760*(VLOOKUP(B3760,$C$2:$F$6,3,FALSE))</f>
        <v>#N/A</v>
      </c>
      <c r="Q3760" s="180">
        <v>12</v>
      </c>
      <c r="R3760" s="180">
        <v>12</v>
      </c>
      <c r="S3760" s="498">
        <v>0</v>
      </c>
      <c r="T3760" s="568">
        <f>S3760*J3760</f>
        <v>0</v>
      </c>
      <c r="U3760" s="511"/>
      <c r="V3760" s="494">
        <v>120</v>
      </c>
      <c r="W3760" s="2041">
        <f t="shared" si="304"/>
        <v>1</v>
      </c>
    </row>
    <row r="3761" spans="1:23" s="2396" customFormat="1" ht="18" customHeight="1">
      <c r="A3761" s="2443"/>
      <c r="B3761" s="2444"/>
      <c r="C3761" s="216" t="s">
        <v>8318</v>
      </c>
      <c r="D3761" s="109" t="s">
        <v>8246</v>
      </c>
      <c r="E3761" s="228"/>
      <c r="F3761" s="160"/>
      <c r="G3761" s="2447" t="s">
        <v>1664</v>
      </c>
      <c r="H3761" s="214"/>
      <c r="I3761" s="215"/>
      <c r="J3761" s="326">
        <v>60</v>
      </c>
      <c r="K3761" s="229">
        <v>0</v>
      </c>
      <c r="L3761" s="229">
        <f>K3761*J3761</f>
        <v>0</v>
      </c>
      <c r="M3761" s="969"/>
      <c r="N3761" s="39">
        <v>45740</v>
      </c>
      <c r="O3761" s="38">
        <v>6901</v>
      </c>
      <c r="P3761" s="216"/>
      <c r="Q3761" s="229">
        <f>P3761*O3761</f>
        <v>0</v>
      </c>
      <c r="R3761" s="229">
        <f>Q3761*P3761</f>
        <v>0</v>
      </c>
      <c r="S3761" s="489">
        <v>0</v>
      </c>
      <c r="T3761" s="567">
        <f>S3761*J3761</f>
        <v>0</v>
      </c>
      <c r="U3761" s="503"/>
      <c r="V3761" s="494">
        <v>120</v>
      </c>
      <c r="W3761" s="2041" t="e">
        <f t="shared" si="304"/>
        <v>#DIV/0!</v>
      </c>
    </row>
    <row r="3762" spans="1:23" s="314" customFormat="1" ht="15">
      <c r="B3762" s="313"/>
      <c r="C3762" s="302" t="s">
        <v>8318</v>
      </c>
      <c r="D3762" s="303" t="s">
        <v>8246</v>
      </c>
      <c r="E3762" s="304"/>
      <c r="F3762" s="305"/>
      <c r="G3762" s="305" t="s">
        <v>1227</v>
      </c>
      <c r="H3762" s="307" t="s">
        <v>1228</v>
      </c>
      <c r="I3762" s="308"/>
      <c r="J3762" s="306"/>
      <c r="K3762" s="315">
        <v>0</v>
      </c>
      <c r="L3762" s="310"/>
      <c r="M3762" s="310"/>
      <c r="N3762" s="310">
        <v>45740</v>
      </c>
      <c r="O3762" s="309">
        <v>6901</v>
      </c>
      <c r="P3762" s="302"/>
      <c r="Q3762" s="485">
        <v>0</v>
      </c>
      <c r="S3762" s="536">
        <v>0</v>
      </c>
      <c r="T3762" s="322">
        <v>0</v>
      </c>
      <c r="U3762" s="515"/>
      <c r="V3762" s="494">
        <v>120</v>
      </c>
      <c r="W3762" s="2041" t="e">
        <f t="shared" si="304"/>
        <v>#DIV/0!</v>
      </c>
    </row>
    <row r="3763" spans="1:23" s="7" customFormat="1" ht="15">
      <c r="B3763" s="12"/>
      <c r="C3763" s="6" t="s">
        <v>8320</v>
      </c>
      <c r="D3763" s="15" t="s">
        <v>3026</v>
      </c>
      <c r="E3763" s="20" t="s">
        <v>408</v>
      </c>
      <c r="F3763" s="44"/>
      <c r="G3763" s="44"/>
      <c r="H3763" s="151"/>
      <c r="I3763" s="151"/>
      <c r="J3763" s="151"/>
      <c r="K3763" s="17" t="s">
        <v>134</v>
      </c>
      <c r="L3763" s="39"/>
      <c r="M3763" s="39"/>
      <c r="N3763" s="39">
        <v>45735</v>
      </c>
      <c r="O3763" s="38">
        <v>6960</v>
      </c>
      <c r="P3763" s="6"/>
      <c r="Q3763" s="524"/>
      <c r="S3763" s="489"/>
      <c r="T3763" s="113"/>
      <c r="U3763" s="501"/>
      <c r="V3763" s="494">
        <v>120</v>
      </c>
      <c r="W3763" s="2041" t="e">
        <f t="shared" si="304"/>
        <v>#VALUE!</v>
      </c>
    </row>
    <row r="3764" spans="1:23" s="7" customFormat="1" ht="15" customHeight="1">
      <c r="B3764" s="12" t="s">
        <v>1856</v>
      </c>
      <c r="C3764" s="6" t="s">
        <v>8320</v>
      </c>
      <c r="D3764" s="15" t="s">
        <v>3026</v>
      </c>
      <c r="E3764" s="24" t="s">
        <v>1219</v>
      </c>
      <c r="F3764" s="26"/>
      <c r="G3764" s="24" t="s">
        <v>17</v>
      </c>
      <c r="H3764" s="67">
        <v>50</v>
      </c>
      <c r="I3764" s="68">
        <v>50</v>
      </c>
      <c r="J3764" s="8">
        <f>H3764*I3764</f>
        <v>2500</v>
      </c>
      <c r="K3764" s="46">
        <v>0.3</v>
      </c>
      <c r="L3764" s="46">
        <f>K3764*J3764</f>
        <v>750</v>
      </c>
      <c r="M3764" s="162" t="s">
        <v>2219</v>
      </c>
      <c r="N3764" s="39">
        <v>45735</v>
      </c>
      <c r="O3764" s="38">
        <v>6960</v>
      </c>
      <c r="P3764" s="46">
        <f>K3764*(VLOOKUP(B3764,$C$2:$F$6,3,FALSE))</f>
        <v>0.26400000000000001</v>
      </c>
      <c r="Q3764" s="482">
        <v>0.26</v>
      </c>
      <c r="R3764" s="704">
        <f>Q3764*J3764</f>
        <v>650</v>
      </c>
      <c r="S3764" s="489">
        <v>18</v>
      </c>
      <c r="T3764" s="113">
        <f>S3764*J3764</f>
        <v>45000</v>
      </c>
      <c r="U3764" s="1603"/>
      <c r="V3764" s="494">
        <v>120</v>
      </c>
      <c r="W3764" s="2041">
        <f t="shared" si="304"/>
        <v>0.5</v>
      </c>
    </row>
    <row r="3765" spans="1:23" s="7" customFormat="1" ht="15" customHeight="1">
      <c r="B3765" s="12" t="s">
        <v>1856</v>
      </c>
      <c r="C3765" s="6" t="s">
        <v>8320</v>
      </c>
      <c r="D3765" s="15" t="s">
        <v>3026</v>
      </c>
      <c r="E3765" s="24" t="s">
        <v>5772</v>
      </c>
      <c r="F3765" s="26"/>
      <c r="G3765" s="24" t="s">
        <v>17</v>
      </c>
      <c r="H3765" s="67">
        <v>50</v>
      </c>
      <c r="I3765" s="68">
        <v>50</v>
      </c>
      <c r="J3765" s="8">
        <f>H3765*I3765</f>
        <v>2500</v>
      </c>
      <c r="K3765" s="46">
        <v>0.26</v>
      </c>
      <c r="L3765" s="46">
        <f>K3765*J3765</f>
        <v>650</v>
      </c>
      <c r="M3765" s="162" t="s">
        <v>2219</v>
      </c>
      <c r="N3765" s="39">
        <v>45735</v>
      </c>
      <c r="O3765" s="38">
        <v>6960</v>
      </c>
      <c r="P3765" s="46">
        <f>K3765*(VLOOKUP(B3765,$C$2:$F$6,3,FALSE))</f>
        <v>0.2288</v>
      </c>
      <c r="Q3765" s="482">
        <v>0.23</v>
      </c>
      <c r="R3765" s="704">
        <f>Q3765*J3765</f>
        <v>575</v>
      </c>
      <c r="S3765" s="489">
        <v>15.1</v>
      </c>
      <c r="T3765" s="113">
        <f>S3765*J3765</f>
        <v>37750</v>
      </c>
      <c r="U3765" s="1603"/>
      <c r="V3765" s="494">
        <v>120</v>
      </c>
      <c r="W3765" s="2041">
        <f t="shared" si="304"/>
        <v>0.51602564102564097</v>
      </c>
    </row>
    <row r="3766" spans="1:23" ht="15.95" customHeight="1">
      <c r="C3766" s="6" t="s">
        <v>8320</v>
      </c>
      <c r="D3766" s="15" t="s">
        <v>3026</v>
      </c>
      <c r="E3766" s="24"/>
      <c r="F3766" s="138"/>
      <c r="G3766" s="44" t="s">
        <v>1993</v>
      </c>
      <c r="H3766" s="8"/>
      <c r="I3766" s="68"/>
      <c r="J3766" s="45">
        <v>1</v>
      </c>
      <c r="K3766" s="46">
        <v>12</v>
      </c>
      <c r="L3766" s="46">
        <f>K3766*J3766</f>
        <v>12</v>
      </c>
      <c r="M3766" s="112"/>
      <c r="N3766" s="2453">
        <v>45735</v>
      </c>
      <c r="O3766" s="2455">
        <v>6960</v>
      </c>
      <c r="P3766" s="46" t="e">
        <f>K3766*(VLOOKUP(B3766,$C$2:$F$6,3,FALSE))</f>
        <v>#N/A</v>
      </c>
      <c r="Q3766" s="180">
        <v>12</v>
      </c>
      <c r="R3766" s="180">
        <v>12</v>
      </c>
      <c r="S3766" s="498">
        <v>1100</v>
      </c>
      <c r="T3766" s="498">
        <v>1100</v>
      </c>
      <c r="U3766" s="511"/>
      <c r="V3766" s="494">
        <v>120</v>
      </c>
      <c r="W3766" s="2041">
        <f t="shared" si="304"/>
        <v>0.2361111111111111</v>
      </c>
    </row>
    <row r="3767" spans="1:23" s="314" customFormat="1" ht="15.6" customHeight="1">
      <c r="B3767" s="313"/>
      <c r="C3767" s="302" t="s">
        <v>8320</v>
      </c>
      <c r="D3767" s="303" t="s">
        <v>3026</v>
      </c>
      <c r="E3767" s="304"/>
      <c r="F3767" s="305"/>
      <c r="G3767" s="305" t="s">
        <v>1227</v>
      </c>
      <c r="H3767" s="307" t="s">
        <v>3438</v>
      </c>
      <c r="I3767" s="308"/>
      <c r="J3767" s="306"/>
      <c r="K3767" s="329">
        <v>343</v>
      </c>
      <c r="L3767" s="329">
        <v>343</v>
      </c>
      <c r="M3767" s="310"/>
      <c r="N3767" s="310">
        <v>45735</v>
      </c>
      <c r="O3767" s="309">
        <v>6960</v>
      </c>
      <c r="P3767" s="302"/>
      <c r="Q3767" s="329">
        <v>343</v>
      </c>
      <c r="R3767" s="329">
        <v>343</v>
      </c>
      <c r="S3767" s="2272">
        <v>36803</v>
      </c>
      <c r="T3767" s="2272">
        <v>36803</v>
      </c>
      <c r="U3767" s="1115"/>
      <c r="V3767" s="494">
        <v>120</v>
      </c>
      <c r="W3767" s="2041">
        <f t="shared" si="304"/>
        <v>0.10585519922254616</v>
      </c>
    </row>
    <row r="3768" spans="1:23" s="7" customFormat="1" ht="15">
      <c r="A3768" s="1"/>
      <c r="B3768" s="12"/>
      <c r="C3768" s="6" t="s">
        <v>8328</v>
      </c>
      <c r="D3768" s="15" t="s">
        <v>11</v>
      </c>
      <c r="E3768" s="20" t="s">
        <v>2689</v>
      </c>
      <c r="F3768" s="26"/>
      <c r="G3768" s="24"/>
      <c r="H3768" s="67"/>
      <c r="I3768" s="68"/>
      <c r="J3768" s="67"/>
      <c r="K3768" s="10" t="s">
        <v>10</v>
      </c>
      <c r="L3768" s="39"/>
      <c r="M3768" s="39"/>
      <c r="N3768" s="39">
        <v>45733</v>
      </c>
      <c r="O3768" s="38">
        <v>6949</v>
      </c>
      <c r="P3768" s="6" t="s">
        <v>3</v>
      </c>
      <c r="Q3768" s="481"/>
      <c r="S3768" s="489"/>
      <c r="T3768" s="113"/>
      <c r="U3768" s="500"/>
      <c r="V3768" s="494">
        <v>120</v>
      </c>
      <c r="W3768" s="2041" t="e">
        <f t="shared" si="304"/>
        <v>#VALUE!</v>
      </c>
    </row>
    <row r="3769" spans="1:23" s="7" customFormat="1" ht="15" customHeight="1">
      <c r="A3769" s="1"/>
      <c r="B3769" s="12" t="s">
        <v>1856</v>
      </c>
      <c r="C3769" s="6" t="s">
        <v>8328</v>
      </c>
      <c r="D3769" s="15" t="s">
        <v>11</v>
      </c>
      <c r="E3769" s="24">
        <v>11700</v>
      </c>
      <c r="F3769" s="26">
        <v>24</v>
      </c>
      <c r="G3769" s="24" t="s">
        <v>7699</v>
      </c>
      <c r="H3769" s="67">
        <v>10</v>
      </c>
      <c r="I3769" s="68">
        <v>8</v>
      </c>
      <c r="J3769" s="8">
        <f>H3769*I3769</f>
        <v>80</v>
      </c>
      <c r="K3769" s="25">
        <v>2.59</v>
      </c>
      <c r="L3769" s="46">
        <f>K3769*J3769</f>
        <v>207.2</v>
      </c>
      <c r="M3769" s="162" t="s">
        <v>2219</v>
      </c>
      <c r="N3769" s="39">
        <v>45733</v>
      </c>
      <c r="O3769" s="38">
        <v>6949</v>
      </c>
      <c r="P3769" s="46">
        <f>K3769*(VLOOKUP(B3769,$C$2:$F$6,3,FALSE))</f>
        <v>2.2791999999999999</v>
      </c>
      <c r="Q3769" s="482">
        <v>2.2799999999999998</v>
      </c>
      <c r="R3769" s="704">
        <f>Q3769*J3769</f>
        <v>182.39999999999998</v>
      </c>
      <c r="S3769" s="489">
        <v>153.30000000000001</v>
      </c>
      <c r="T3769" s="113">
        <f>S3769*J3769</f>
        <v>12264</v>
      </c>
      <c r="U3769" s="1597"/>
      <c r="V3769" s="494">
        <v>120</v>
      </c>
      <c r="W3769" s="2041">
        <f t="shared" si="304"/>
        <v>0.50675675675675669</v>
      </c>
    </row>
    <row r="3770" spans="1:23" s="314" customFormat="1" ht="15">
      <c r="B3770" s="313"/>
      <c r="C3770" s="302" t="s">
        <v>8328</v>
      </c>
      <c r="D3770" s="303" t="s">
        <v>11</v>
      </c>
      <c r="E3770" s="304"/>
      <c r="F3770" s="305"/>
      <c r="G3770" s="305" t="s">
        <v>1227</v>
      </c>
      <c r="H3770" s="307" t="s">
        <v>5693</v>
      </c>
      <c r="I3770" s="308"/>
      <c r="J3770" s="306"/>
      <c r="K3770" s="315">
        <v>0</v>
      </c>
      <c r="L3770" s="310"/>
      <c r="M3770" s="310"/>
      <c r="N3770" s="310">
        <v>45733</v>
      </c>
      <c r="O3770" s="309">
        <v>6949</v>
      </c>
      <c r="P3770" s="302"/>
      <c r="Q3770" s="485">
        <v>0</v>
      </c>
      <c r="S3770" s="536">
        <v>4918</v>
      </c>
      <c r="T3770" s="322">
        <v>4918</v>
      </c>
      <c r="U3770" s="515"/>
      <c r="V3770" s="494">
        <v>120</v>
      </c>
      <c r="W3770" s="2041" t="e">
        <f t="shared" si="304"/>
        <v>#DIV/0!</v>
      </c>
    </row>
    <row r="3771" spans="1:23" s="7" customFormat="1" ht="18" customHeight="1">
      <c r="B3771" s="12"/>
      <c r="C3771" s="6" t="s">
        <v>8329</v>
      </c>
      <c r="D3771" s="15" t="s">
        <v>11</v>
      </c>
      <c r="E3771" s="20" t="s">
        <v>6401</v>
      </c>
      <c r="F3771" s="150"/>
      <c r="G3771" s="24"/>
      <c r="H3771" s="151"/>
      <c r="I3771" s="152"/>
      <c r="J3771" s="151"/>
      <c r="K3771" s="34" t="s">
        <v>10</v>
      </c>
      <c r="L3771" s="39"/>
      <c r="M3771" s="39"/>
      <c r="N3771" s="39">
        <v>45730</v>
      </c>
      <c r="O3771" s="38">
        <v>6495</v>
      </c>
      <c r="P3771" s="15"/>
      <c r="Q3771" s="483"/>
      <c r="S3771" s="2080"/>
      <c r="T3771" s="113"/>
      <c r="U3771" s="506"/>
      <c r="V3771" s="494">
        <v>120</v>
      </c>
    </row>
    <row r="3772" spans="1:23" s="7" customFormat="1" ht="15.75">
      <c r="B3772" s="12" t="s">
        <v>1858</v>
      </c>
      <c r="C3772" s="6" t="s">
        <v>8329</v>
      </c>
      <c r="D3772" s="15" t="s">
        <v>11</v>
      </c>
      <c r="E3772" s="24" t="s">
        <v>6362</v>
      </c>
      <c r="F3772" s="150">
        <v>115</v>
      </c>
      <c r="G3772" s="24" t="s">
        <v>7839</v>
      </c>
      <c r="H3772" s="19">
        <v>25</v>
      </c>
      <c r="I3772" s="68">
        <v>2</v>
      </c>
      <c r="J3772" s="198">
        <f>H3772*I3772</f>
        <v>50</v>
      </c>
      <c r="K3772" s="25">
        <v>3.23</v>
      </c>
      <c r="L3772" s="46">
        <f>K3772*J3772</f>
        <v>161.5</v>
      </c>
      <c r="M3772" s="162" t="s">
        <v>2219</v>
      </c>
      <c r="N3772" s="39">
        <v>45730</v>
      </c>
      <c r="O3772" s="38">
        <v>6495</v>
      </c>
      <c r="P3772" s="46">
        <f>K3772*(VLOOKUP(B3772,$C$2:$F$6,3,FALSE))</f>
        <v>3.0362</v>
      </c>
      <c r="Q3772" s="483">
        <v>3.04</v>
      </c>
      <c r="R3772" s="704">
        <f>Q3772*J3772</f>
        <v>152</v>
      </c>
      <c r="S3772" s="532">
        <v>230</v>
      </c>
      <c r="T3772" s="567">
        <f>S3772*J3772</f>
        <v>11500</v>
      </c>
      <c r="U3772" s="501"/>
      <c r="V3772" s="494">
        <v>120</v>
      </c>
      <c r="W3772" s="2041">
        <f t="shared" ref="W3772:W3789" si="305">(((K3772*V3772)-S3772)/(K3772*V3772))</f>
        <v>0.40660474716202272</v>
      </c>
    </row>
    <row r="3773" spans="1:23" s="7" customFormat="1" ht="15.75">
      <c r="B3773" s="12" t="s">
        <v>1858</v>
      </c>
      <c r="C3773" s="6" t="s">
        <v>8329</v>
      </c>
      <c r="D3773" s="15" t="s">
        <v>11</v>
      </c>
      <c r="E3773" s="24" t="s">
        <v>6362</v>
      </c>
      <c r="F3773" s="150">
        <v>115</v>
      </c>
      <c r="G3773" s="24" t="s">
        <v>7839</v>
      </c>
      <c r="H3773" s="19">
        <v>25.5</v>
      </c>
      <c r="I3773" s="68">
        <v>1</v>
      </c>
      <c r="J3773" s="198">
        <f>H3773*I3773</f>
        <v>25.5</v>
      </c>
      <c r="K3773" s="25">
        <v>3.23</v>
      </c>
      <c r="L3773" s="46">
        <f>K3773*J3773</f>
        <v>82.364999999999995</v>
      </c>
      <c r="M3773" s="162" t="s">
        <v>2219</v>
      </c>
      <c r="N3773" s="39">
        <v>45730</v>
      </c>
      <c r="O3773" s="38">
        <v>6495</v>
      </c>
      <c r="P3773" s="46">
        <f>K3773*(VLOOKUP(B3773,$C$2:$F$6,3,FALSE))</f>
        <v>3.0362</v>
      </c>
      <c r="Q3773" s="483">
        <v>3.04</v>
      </c>
      <c r="R3773" s="704">
        <f>Q3773*J3773</f>
        <v>77.52</v>
      </c>
      <c r="S3773" s="532">
        <v>230</v>
      </c>
      <c r="T3773" s="567">
        <f>S3773*J3773</f>
        <v>5865</v>
      </c>
      <c r="U3773" s="501"/>
      <c r="V3773" s="494">
        <v>120</v>
      </c>
      <c r="W3773" s="2041">
        <f t="shared" si="305"/>
        <v>0.40660474716202272</v>
      </c>
    </row>
    <row r="3774" spans="1:23" s="7" customFormat="1" ht="15.75">
      <c r="B3774" s="12" t="s">
        <v>1858</v>
      </c>
      <c r="C3774" s="6" t="s">
        <v>8329</v>
      </c>
      <c r="D3774" s="15" t="s">
        <v>11</v>
      </c>
      <c r="E3774" s="24" t="s">
        <v>6362</v>
      </c>
      <c r="F3774" s="150">
        <v>115</v>
      </c>
      <c r="G3774" s="24" t="s">
        <v>7839</v>
      </c>
      <c r="H3774" s="19">
        <v>26</v>
      </c>
      <c r="I3774" s="68">
        <v>7</v>
      </c>
      <c r="J3774" s="198">
        <f>H3774*I3774</f>
        <v>182</v>
      </c>
      <c r="K3774" s="25">
        <v>3.23</v>
      </c>
      <c r="L3774" s="46">
        <f>K3774*J3774</f>
        <v>587.86</v>
      </c>
      <c r="M3774" s="162" t="s">
        <v>2219</v>
      </c>
      <c r="N3774" s="39">
        <v>45730</v>
      </c>
      <c r="O3774" s="38">
        <v>6495</v>
      </c>
      <c r="P3774" s="46">
        <f>K3774*(VLOOKUP(B3774,$C$2:$F$6,3,FALSE))</f>
        <v>3.0362</v>
      </c>
      <c r="Q3774" s="483">
        <v>3.04</v>
      </c>
      <c r="R3774" s="704">
        <f>Q3774*J3774</f>
        <v>553.28</v>
      </c>
      <c r="S3774" s="532">
        <v>230</v>
      </c>
      <c r="T3774" s="567">
        <f>S3774*J3774</f>
        <v>41860</v>
      </c>
      <c r="U3774" s="501"/>
      <c r="V3774" s="494">
        <v>120</v>
      </c>
      <c r="W3774" s="2041">
        <f t="shared" si="305"/>
        <v>0.40660474716202272</v>
      </c>
    </row>
    <row r="3775" spans="1:23" s="217" customFormat="1" ht="15.95" customHeight="1">
      <c r="B3775" s="539"/>
      <c r="C3775" s="6" t="s">
        <v>8329</v>
      </c>
      <c r="D3775" s="15" t="s">
        <v>11</v>
      </c>
      <c r="E3775" s="24"/>
      <c r="F3775" s="160"/>
      <c r="G3775" s="42" t="s">
        <v>1993</v>
      </c>
      <c r="H3775" s="214"/>
      <c r="I3775" s="215"/>
      <c r="J3775" s="43">
        <v>1</v>
      </c>
      <c r="K3775" s="229">
        <v>20</v>
      </c>
      <c r="L3775" s="229">
        <v>0</v>
      </c>
      <c r="M3775" s="969"/>
      <c r="N3775" s="39">
        <v>45730</v>
      </c>
      <c r="O3775" s="38">
        <v>6495</v>
      </c>
      <c r="P3775" s="692"/>
      <c r="Q3775" s="970">
        <v>0</v>
      </c>
      <c r="R3775" s="970">
        <v>0</v>
      </c>
      <c r="S3775" s="498">
        <v>0</v>
      </c>
      <c r="T3775" s="567">
        <f>S3775*J3775</f>
        <v>0</v>
      </c>
      <c r="U3775" s="667"/>
      <c r="V3775" s="547">
        <v>120</v>
      </c>
      <c r="W3775" s="2051">
        <f t="shared" si="305"/>
        <v>1</v>
      </c>
    </row>
    <row r="3776" spans="1:23" ht="15">
      <c r="C3776" s="6" t="s">
        <v>8329</v>
      </c>
      <c r="D3776" s="15" t="s">
        <v>11</v>
      </c>
      <c r="E3776" s="20" t="s">
        <v>79</v>
      </c>
      <c r="F3776" s="150"/>
      <c r="G3776" s="24"/>
      <c r="H3776" s="151"/>
      <c r="I3776" s="152"/>
      <c r="J3776" s="151"/>
      <c r="K3776" s="153" t="s">
        <v>10</v>
      </c>
      <c r="L3776" s="39"/>
      <c r="M3776" s="39"/>
      <c r="N3776" s="39">
        <v>45730</v>
      </c>
      <c r="O3776" s="38">
        <v>6495</v>
      </c>
      <c r="P3776" s="15"/>
      <c r="Q3776" s="483"/>
      <c r="S3776" s="2208"/>
      <c r="T3776" s="113"/>
      <c r="V3776" s="494">
        <v>120</v>
      </c>
      <c r="W3776" s="2041" t="e">
        <f t="shared" si="305"/>
        <v>#VALUE!</v>
      </c>
    </row>
    <row r="3777" spans="1:23" ht="15.75">
      <c r="B3777" s="12" t="s">
        <v>1858</v>
      </c>
      <c r="C3777" s="6" t="s">
        <v>8329</v>
      </c>
      <c r="D3777" s="15" t="s">
        <v>11</v>
      </c>
      <c r="E3777" s="24">
        <v>2440</v>
      </c>
      <c r="F3777" s="150">
        <v>140</v>
      </c>
      <c r="G3777" s="24" t="s">
        <v>30</v>
      </c>
      <c r="H3777" s="19">
        <v>58</v>
      </c>
      <c r="I3777" s="68">
        <v>4</v>
      </c>
      <c r="J3777" s="19">
        <f>H3777*I3777</f>
        <v>232</v>
      </c>
      <c r="K3777" s="46">
        <v>4.05</v>
      </c>
      <c r="L3777" s="46">
        <f>K3777*J3777</f>
        <v>939.59999999999991</v>
      </c>
      <c r="M3777" s="162" t="s">
        <v>2219</v>
      </c>
      <c r="N3777" s="39">
        <v>45730</v>
      </c>
      <c r="O3777" s="38">
        <v>6495</v>
      </c>
      <c r="P3777" s="46">
        <f>K3777*(VLOOKUP(B3777,$C$2:$F$6,3,FALSE))</f>
        <v>3.8069999999999995</v>
      </c>
      <c r="Q3777" s="483">
        <v>3.81</v>
      </c>
      <c r="R3777" s="704">
        <f>Q3777*J3777</f>
        <v>883.92</v>
      </c>
      <c r="S3777" s="489">
        <v>310</v>
      </c>
      <c r="T3777" s="567">
        <f>S3777*J3777</f>
        <v>71920</v>
      </c>
      <c r="V3777" s="494">
        <v>120</v>
      </c>
      <c r="W3777" s="2041">
        <f t="shared" si="305"/>
        <v>0.36213991769547327</v>
      </c>
    </row>
    <row r="3778" spans="1:23" ht="15.75">
      <c r="B3778" s="12" t="s">
        <v>1858</v>
      </c>
      <c r="C3778" s="6" t="s">
        <v>8329</v>
      </c>
      <c r="D3778" s="15" t="s">
        <v>11</v>
      </c>
      <c r="E3778" s="24">
        <v>2440</v>
      </c>
      <c r="F3778" s="150">
        <v>140</v>
      </c>
      <c r="G3778" s="24" t="s">
        <v>8330</v>
      </c>
      <c r="H3778" s="19">
        <v>58</v>
      </c>
      <c r="I3778" s="68">
        <v>1</v>
      </c>
      <c r="J3778" s="19">
        <f>H3778*I3778</f>
        <v>58</v>
      </c>
      <c r="K3778" s="46">
        <v>4.05</v>
      </c>
      <c r="L3778" s="46">
        <f>K3778*J3778</f>
        <v>234.89999999999998</v>
      </c>
      <c r="M3778" s="162" t="s">
        <v>2219</v>
      </c>
      <c r="N3778" s="39">
        <v>45730</v>
      </c>
      <c r="O3778" s="38">
        <v>6495</v>
      </c>
      <c r="P3778" s="46">
        <f>K3778*(VLOOKUP(B3778,$C$2:$F$6,3,FALSE))</f>
        <v>3.8069999999999995</v>
      </c>
      <c r="Q3778" s="483">
        <v>3.81</v>
      </c>
      <c r="R3778" s="704">
        <f>Q3778*J3778</f>
        <v>220.98</v>
      </c>
      <c r="S3778" s="489">
        <v>310</v>
      </c>
      <c r="T3778" s="567">
        <f>S3778*J3778</f>
        <v>17980</v>
      </c>
      <c r="V3778" s="494">
        <v>120</v>
      </c>
      <c r="W3778" s="2041">
        <f t="shared" si="305"/>
        <v>0.36213991769547327</v>
      </c>
    </row>
    <row r="3779" spans="1:23" ht="15.75">
      <c r="B3779" s="12" t="s">
        <v>1858</v>
      </c>
      <c r="C3779" s="6" t="s">
        <v>8329</v>
      </c>
      <c r="D3779" s="15" t="s">
        <v>11</v>
      </c>
      <c r="E3779" s="24">
        <v>2440</v>
      </c>
      <c r="F3779" s="150">
        <v>140</v>
      </c>
      <c r="G3779" s="24" t="s">
        <v>8331</v>
      </c>
      <c r="H3779" s="19">
        <v>58</v>
      </c>
      <c r="I3779" s="68">
        <v>5</v>
      </c>
      <c r="J3779" s="19">
        <f>H3779*I3779</f>
        <v>290</v>
      </c>
      <c r="K3779" s="46">
        <v>4.05</v>
      </c>
      <c r="L3779" s="46">
        <f>K3779*J3779</f>
        <v>1174.5</v>
      </c>
      <c r="M3779" s="162" t="s">
        <v>2219</v>
      </c>
      <c r="N3779" s="39">
        <v>45730</v>
      </c>
      <c r="O3779" s="38">
        <v>6495</v>
      </c>
      <c r="P3779" s="46">
        <f>K3779*(VLOOKUP(B3779,$C$2:$F$6,3,FALSE))</f>
        <v>3.8069999999999995</v>
      </c>
      <c r="Q3779" s="483">
        <v>3.81</v>
      </c>
      <c r="R3779" s="704">
        <f>Q3779*J3779</f>
        <v>1104.9000000000001</v>
      </c>
      <c r="S3779" s="489">
        <v>310</v>
      </c>
      <c r="T3779" s="567">
        <f>S3779*J3779</f>
        <v>89900</v>
      </c>
      <c r="V3779" s="494">
        <v>120</v>
      </c>
      <c r="W3779" s="2041">
        <f t="shared" si="305"/>
        <v>0.36213991769547327</v>
      </c>
    </row>
    <row r="3780" spans="1:23" ht="15.75">
      <c r="B3780" s="12" t="s">
        <v>1858</v>
      </c>
      <c r="C3780" s="6" t="s">
        <v>8329</v>
      </c>
      <c r="D3780" s="15" t="s">
        <v>11</v>
      </c>
      <c r="E3780" s="24">
        <v>2440</v>
      </c>
      <c r="F3780" s="150">
        <v>140</v>
      </c>
      <c r="G3780" s="24" t="s">
        <v>8332</v>
      </c>
      <c r="H3780" s="19">
        <v>58</v>
      </c>
      <c r="I3780" s="68">
        <v>5</v>
      </c>
      <c r="J3780" s="19">
        <f>H3780*I3780</f>
        <v>290</v>
      </c>
      <c r="K3780" s="46">
        <v>4.05</v>
      </c>
      <c r="L3780" s="46">
        <f>K3780*J3780</f>
        <v>1174.5</v>
      </c>
      <c r="M3780" s="162" t="s">
        <v>2219</v>
      </c>
      <c r="N3780" s="39">
        <v>45730</v>
      </c>
      <c r="O3780" s="38">
        <v>6495</v>
      </c>
      <c r="P3780" s="46">
        <f>K3780*(VLOOKUP(B3780,$C$2:$F$6,3,FALSE))</f>
        <v>3.8069999999999995</v>
      </c>
      <c r="Q3780" s="483">
        <v>3.81</v>
      </c>
      <c r="R3780" s="704">
        <f>Q3780*J3780</f>
        <v>1104.9000000000001</v>
      </c>
      <c r="S3780" s="489">
        <v>310</v>
      </c>
      <c r="T3780" s="567">
        <f>S3780*J3780</f>
        <v>89900</v>
      </c>
      <c r="V3780" s="494">
        <v>120</v>
      </c>
      <c r="W3780" s="2041">
        <f t="shared" si="305"/>
        <v>0.36213991769547327</v>
      </c>
    </row>
    <row r="3781" spans="1:23" s="217" customFormat="1" ht="15.95" customHeight="1">
      <c r="B3781" s="539"/>
      <c r="C3781" s="6" t="s">
        <v>8329</v>
      </c>
      <c r="D3781" s="15" t="s">
        <v>11</v>
      </c>
      <c r="E3781" s="56"/>
      <c r="F3781" s="160"/>
      <c r="G3781" s="42" t="s">
        <v>1993</v>
      </c>
      <c r="H3781" s="214"/>
      <c r="I3781" s="215"/>
      <c r="J3781" s="43">
        <v>1</v>
      </c>
      <c r="K3781" s="229">
        <v>20</v>
      </c>
      <c r="L3781" s="229">
        <v>0</v>
      </c>
      <c r="M3781" s="969"/>
      <c r="N3781" s="39">
        <v>45730</v>
      </c>
      <c r="O3781" s="38">
        <v>6495</v>
      </c>
      <c r="P3781" s="692"/>
      <c r="Q3781" s="970">
        <v>0</v>
      </c>
      <c r="R3781" s="970">
        <v>0</v>
      </c>
      <c r="S3781" s="498">
        <v>2500</v>
      </c>
      <c r="T3781" s="567">
        <f>S3781*J3781</f>
        <v>2500</v>
      </c>
      <c r="U3781" s="667"/>
      <c r="V3781" s="547">
        <v>120</v>
      </c>
      <c r="W3781" s="2051">
        <f t="shared" si="305"/>
        <v>-4.1666666666666664E-2</v>
      </c>
    </row>
    <row r="3782" spans="1:23" s="314" customFormat="1" ht="15" customHeight="1">
      <c r="A3782" s="1"/>
      <c r="B3782" s="313"/>
      <c r="C3782" s="302" t="s">
        <v>8329</v>
      </c>
      <c r="D3782" s="303" t="s">
        <v>11</v>
      </c>
      <c r="E3782" s="304"/>
      <c r="F3782" s="305"/>
      <c r="G3782" s="305" t="s">
        <v>1227</v>
      </c>
      <c r="H3782" s="307" t="s">
        <v>1228</v>
      </c>
      <c r="I3782" s="308"/>
      <c r="J3782" s="306"/>
      <c r="K3782" s="316">
        <v>0</v>
      </c>
      <c r="L3782" s="310"/>
      <c r="M3782" s="310"/>
      <c r="N3782" s="310">
        <v>45730</v>
      </c>
      <c r="O3782" s="309">
        <v>6495</v>
      </c>
      <c r="P3782" s="302"/>
      <c r="Q3782" s="485">
        <v>0</v>
      </c>
      <c r="S3782" s="536">
        <v>0</v>
      </c>
      <c r="T3782" s="322">
        <v>0</v>
      </c>
      <c r="U3782" s="515"/>
      <c r="V3782" s="494">
        <v>120</v>
      </c>
      <c r="W3782" s="2041" t="e">
        <f t="shared" si="305"/>
        <v>#DIV/0!</v>
      </c>
    </row>
    <row r="3783" spans="1:23" s="7" customFormat="1" ht="15">
      <c r="B3783" s="12"/>
      <c r="C3783" s="6" t="s">
        <v>8333</v>
      </c>
      <c r="D3783" s="15" t="s">
        <v>6623</v>
      </c>
      <c r="E3783" s="20" t="s">
        <v>408</v>
      </c>
      <c r="F3783" s="44"/>
      <c r="G3783" s="44"/>
      <c r="H3783" s="151"/>
      <c r="I3783" s="151"/>
      <c r="J3783" s="151"/>
      <c r="K3783" s="17" t="s">
        <v>134</v>
      </c>
      <c r="L3783" s="39"/>
      <c r="M3783" s="39"/>
      <c r="N3783" s="39">
        <v>45726</v>
      </c>
      <c r="O3783" s="38">
        <v>6918</v>
      </c>
      <c r="P3783" s="6"/>
      <c r="Q3783" s="524"/>
      <c r="S3783" s="489"/>
      <c r="T3783" s="113"/>
      <c r="U3783" s="501"/>
      <c r="V3783" s="494">
        <v>120</v>
      </c>
      <c r="W3783" s="2041" t="e">
        <f t="shared" si="305"/>
        <v>#VALUE!</v>
      </c>
    </row>
    <row r="3784" spans="1:23" s="7" customFormat="1" ht="15" customHeight="1">
      <c r="B3784" s="12" t="s">
        <v>1856</v>
      </c>
      <c r="C3784" s="6" t="s">
        <v>8333</v>
      </c>
      <c r="D3784" s="15" t="s">
        <v>6623</v>
      </c>
      <c r="E3784" s="24" t="s">
        <v>5772</v>
      </c>
      <c r="F3784" s="26"/>
      <c r="G3784" s="24" t="s">
        <v>17</v>
      </c>
      <c r="H3784" s="67">
        <v>50</v>
      </c>
      <c r="I3784" s="68">
        <v>40</v>
      </c>
      <c r="J3784" s="8">
        <f>H3784*I3784</f>
        <v>2000</v>
      </c>
      <c r="K3784" s="46">
        <v>0.26</v>
      </c>
      <c r="L3784" s="46">
        <f>K3784*J3784</f>
        <v>520</v>
      </c>
      <c r="M3784" s="162" t="s">
        <v>2219</v>
      </c>
      <c r="N3784" s="39">
        <v>45726</v>
      </c>
      <c r="O3784" s="38">
        <v>6918</v>
      </c>
      <c r="P3784" s="46">
        <f>K3784*(VLOOKUP(B3784,$C$2:$F$6,3,FALSE))</f>
        <v>0.2288</v>
      </c>
      <c r="Q3784" s="482">
        <v>0.23</v>
      </c>
      <c r="R3784" s="704">
        <f>Q3784*J3784</f>
        <v>460</v>
      </c>
      <c r="S3784" s="489">
        <v>15.1</v>
      </c>
      <c r="T3784" s="113">
        <f>S3784*J3784</f>
        <v>30200</v>
      </c>
      <c r="U3784" s="1603"/>
      <c r="V3784" s="494">
        <v>120</v>
      </c>
      <c r="W3784" s="2041">
        <f t="shared" si="305"/>
        <v>0.51602564102564097</v>
      </c>
    </row>
    <row r="3785" spans="1:23" ht="15.95" customHeight="1">
      <c r="C3785" s="6" t="s">
        <v>8333</v>
      </c>
      <c r="D3785" s="15" t="s">
        <v>6623</v>
      </c>
      <c r="E3785" s="24"/>
      <c r="F3785" s="138"/>
      <c r="G3785" s="44" t="s">
        <v>1993</v>
      </c>
      <c r="H3785" s="8"/>
      <c r="I3785" s="68"/>
      <c r="J3785" s="45">
        <v>1</v>
      </c>
      <c r="K3785" s="46">
        <v>12</v>
      </c>
      <c r="L3785" s="46">
        <f>K3785*J3785</f>
        <v>12</v>
      </c>
      <c r="M3785" s="112"/>
      <c r="N3785" s="2453">
        <v>45726</v>
      </c>
      <c r="O3785" s="2455">
        <v>6918</v>
      </c>
      <c r="P3785" s="46" t="e">
        <f>K3785*(VLOOKUP(B3785,$C$2:$F$6,3,FALSE))</f>
        <v>#N/A</v>
      </c>
      <c r="Q3785" s="180">
        <v>12</v>
      </c>
      <c r="R3785" s="180">
        <v>12</v>
      </c>
      <c r="S3785" s="498">
        <v>1100</v>
      </c>
      <c r="T3785" s="498">
        <v>1100</v>
      </c>
      <c r="U3785" s="511"/>
      <c r="V3785" s="494">
        <v>120</v>
      </c>
      <c r="W3785" s="2041">
        <f t="shared" si="305"/>
        <v>0.2361111111111111</v>
      </c>
    </row>
    <row r="3786" spans="1:23" s="314" customFormat="1" ht="15.6" customHeight="1">
      <c r="B3786" s="313"/>
      <c r="C3786" s="302" t="s">
        <v>8333</v>
      </c>
      <c r="D3786" s="303" t="s">
        <v>6623</v>
      </c>
      <c r="E3786" s="304"/>
      <c r="F3786" s="305"/>
      <c r="G3786" s="305" t="s">
        <v>1227</v>
      </c>
      <c r="H3786" s="307" t="s">
        <v>1228</v>
      </c>
      <c r="I3786" s="308"/>
      <c r="J3786" s="306"/>
      <c r="K3786" s="315">
        <v>0</v>
      </c>
      <c r="L3786" s="310"/>
      <c r="M3786" s="310"/>
      <c r="N3786" s="310">
        <v>45726</v>
      </c>
      <c r="O3786" s="309">
        <v>6918</v>
      </c>
      <c r="P3786" s="302"/>
      <c r="Q3786" s="531">
        <v>0</v>
      </c>
      <c r="S3786" s="535">
        <v>0</v>
      </c>
      <c r="T3786" s="322">
        <v>0</v>
      </c>
      <c r="U3786" s="1115"/>
      <c r="V3786" s="494">
        <v>120</v>
      </c>
      <c r="W3786" s="2041" t="e">
        <f t="shared" si="305"/>
        <v>#DIV/0!</v>
      </c>
    </row>
    <row r="3787" spans="1:23" s="7" customFormat="1" ht="15" customHeight="1">
      <c r="A3787" s="1"/>
      <c r="B3787" s="12"/>
      <c r="C3787" s="6" t="s">
        <v>8342</v>
      </c>
      <c r="D3787" s="15" t="s">
        <v>5251</v>
      </c>
      <c r="E3787" s="20" t="s">
        <v>8109</v>
      </c>
      <c r="F3787" s="26"/>
      <c r="G3787" s="24"/>
      <c r="H3787" s="67"/>
      <c r="I3787" s="68"/>
      <c r="J3787" s="67"/>
      <c r="K3787" s="17" t="s">
        <v>10</v>
      </c>
      <c r="L3787" s="39"/>
      <c r="M3787" s="39"/>
      <c r="N3787" s="39">
        <v>45748</v>
      </c>
      <c r="O3787" s="38">
        <v>6994</v>
      </c>
      <c r="P3787" s="180" t="e">
        <f>K3787*(VLOOKUP(B3787,$C$2:$F$6,3,FALSE))</f>
        <v>#VALUE!</v>
      </c>
      <c r="Q3787" s="483"/>
      <c r="R3787" s="704"/>
      <c r="S3787" s="489"/>
      <c r="T3787" s="113">
        <f>S3787*J3787</f>
        <v>0</v>
      </c>
      <c r="U3787" s="517"/>
      <c r="V3787" s="494">
        <v>120</v>
      </c>
      <c r="W3787" s="2041" t="e">
        <f t="shared" si="305"/>
        <v>#VALUE!</v>
      </c>
    </row>
    <row r="3788" spans="1:23" s="7" customFormat="1" ht="15.75" customHeight="1">
      <c r="A3788" s="1"/>
      <c r="B3788" s="12" t="s">
        <v>1862</v>
      </c>
      <c r="C3788" s="6" t="s">
        <v>8342</v>
      </c>
      <c r="D3788" s="15" t="s">
        <v>5251</v>
      </c>
      <c r="E3788" s="24" t="s">
        <v>8186</v>
      </c>
      <c r="F3788" s="26"/>
      <c r="G3788" s="24" t="s">
        <v>8344</v>
      </c>
      <c r="H3788" s="151"/>
      <c r="I3788" s="41"/>
      <c r="J3788" s="45">
        <v>1</v>
      </c>
      <c r="K3788" s="25">
        <v>65</v>
      </c>
      <c r="L3788" s="46">
        <f>K3788*J3788</f>
        <v>65</v>
      </c>
      <c r="M3788" s="162" t="s">
        <v>2219</v>
      </c>
      <c r="N3788" s="39">
        <v>45748</v>
      </c>
      <c r="O3788" s="38">
        <v>6994</v>
      </c>
      <c r="P3788" s="180">
        <f>K3788*(VLOOKUP(B3788,$C$2:$F$6,3,FALSE))</f>
        <v>65</v>
      </c>
      <c r="Q3788" s="483">
        <v>65</v>
      </c>
      <c r="R3788" s="704">
        <f>Q3788*J3788</f>
        <v>65</v>
      </c>
      <c r="S3788" s="489">
        <v>6000</v>
      </c>
      <c r="T3788" s="113">
        <f>S3788*J3788</f>
        <v>6000</v>
      </c>
      <c r="U3788" s="517"/>
      <c r="V3788" s="494">
        <v>120</v>
      </c>
      <c r="W3788" s="2041">
        <f t="shared" si="305"/>
        <v>0.23076923076923078</v>
      </c>
    </row>
    <row r="3789" spans="1:23" s="7" customFormat="1" ht="15.75" customHeight="1">
      <c r="A3789" s="1"/>
      <c r="B3789" s="12" t="s">
        <v>1856</v>
      </c>
      <c r="C3789" s="6" t="s">
        <v>8342</v>
      </c>
      <c r="D3789" s="15" t="s">
        <v>5251</v>
      </c>
      <c r="E3789" s="24" t="s">
        <v>8186</v>
      </c>
      <c r="F3789" s="26"/>
      <c r="G3789" s="24" t="s">
        <v>8345</v>
      </c>
      <c r="H3789" s="151"/>
      <c r="I3789" s="41"/>
      <c r="J3789" s="67">
        <v>100</v>
      </c>
      <c r="K3789" s="25">
        <v>2.71</v>
      </c>
      <c r="L3789" s="46">
        <f>K3789*J3789</f>
        <v>271</v>
      </c>
      <c r="M3789" s="162" t="s">
        <v>2219</v>
      </c>
      <c r="N3789" s="39">
        <v>45748</v>
      </c>
      <c r="O3789" s="38">
        <v>6994</v>
      </c>
      <c r="P3789" s="180">
        <f>K3789*(VLOOKUP(B3789,$C$2:$F$6,3,FALSE))</f>
        <v>2.3847999999999998</v>
      </c>
      <c r="Q3789" s="483">
        <v>2.38</v>
      </c>
      <c r="R3789" s="704">
        <f>Q3789*J3789</f>
        <v>238</v>
      </c>
      <c r="S3789" s="532">
        <f>125+70</f>
        <v>195</v>
      </c>
      <c r="T3789" s="113">
        <f>S3789*J3789</f>
        <v>19500</v>
      </c>
      <c r="U3789" s="517"/>
      <c r="V3789" s="494">
        <v>120</v>
      </c>
      <c r="W3789" s="2041">
        <f t="shared" si="305"/>
        <v>0.40036900369003686</v>
      </c>
    </row>
    <row r="3790" spans="1:23" s="7" customFormat="1" ht="15.75" customHeight="1">
      <c r="A3790" s="1"/>
      <c r="B3790" s="12"/>
      <c r="C3790" s="6" t="s">
        <v>8343</v>
      </c>
      <c r="D3790" s="15" t="s">
        <v>5251</v>
      </c>
      <c r="E3790" s="20" t="s">
        <v>8215</v>
      </c>
      <c r="F3790" s="26"/>
      <c r="G3790" s="24"/>
      <c r="H3790" s="151"/>
      <c r="I3790" s="41"/>
      <c r="J3790" s="67"/>
      <c r="K3790" s="25"/>
      <c r="L3790" s="46"/>
      <c r="M3790" s="162"/>
      <c r="N3790" s="39">
        <v>45748</v>
      </c>
      <c r="O3790" s="38">
        <v>6994</v>
      </c>
      <c r="P3790" s="180"/>
      <c r="Q3790" s="483"/>
      <c r="R3790" s="704"/>
      <c r="S3790" s="489">
        <v>0</v>
      </c>
      <c r="T3790" s="113"/>
      <c r="U3790" s="2429"/>
      <c r="V3790" s="494"/>
      <c r="W3790" s="2041"/>
    </row>
    <row r="3791" spans="1:23" s="7" customFormat="1" ht="15.75" customHeight="1">
      <c r="A3791" s="1"/>
      <c r="B3791" s="12" t="s">
        <v>1862</v>
      </c>
      <c r="C3791" s="6" t="s">
        <v>8343</v>
      </c>
      <c r="D3791" s="15" t="s">
        <v>5251</v>
      </c>
      <c r="E3791" s="24" t="s">
        <v>8204</v>
      </c>
      <c r="F3791" s="26"/>
      <c r="G3791" s="24" t="s">
        <v>8344</v>
      </c>
      <c r="H3791" s="151"/>
      <c r="I3791" s="41"/>
      <c r="J3791" s="45">
        <v>1</v>
      </c>
      <c r="K3791" s="25">
        <v>65</v>
      </c>
      <c r="L3791" s="46">
        <f>K3791*J3791</f>
        <v>65</v>
      </c>
      <c r="M3791" s="162" t="s">
        <v>2219</v>
      </c>
      <c r="N3791" s="39">
        <v>45748</v>
      </c>
      <c r="O3791" s="38">
        <v>6994</v>
      </c>
      <c r="P3791" s="180">
        <f>K3791*(VLOOKUP(B3791,$C$2:$F$6,3,FALSE))</f>
        <v>65</v>
      </c>
      <c r="Q3791" s="483">
        <v>65</v>
      </c>
      <c r="R3791" s="704">
        <f>Q3791*J3791</f>
        <v>65</v>
      </c>
      <c r="S3791" s="489">
        <v>6000</v>
      </c>
      <c r="T3791" s="113">
        <f>S3791*J3791</f>
        <v>6000</v>
      </c>
      <c r="U3791" s="517"/>
      <c r="V3791" s="494">
        <v>120</v>
      </c>
      <c r="W3791" s="2041">
        <f>(((K3791*V3791)-S3791)/(K3791*V3791))</f>
        <v>0.23076923076923078</v>
      </c>
    </row>
    <row r="3792" spans="1:23" s="7" customFormat="1" ht="15.75" customHeight="1">
      <c r="A3792" s="1"/>
      <c r="B3792" s="12" t="s">
        <v>1856</v>
      </c>
      <c r="C3792" s="6" t="s">
        <v>8343</v>
      </c>
      <c r="D3792" s="15" t="s">
        <v>5251</v>
      </c>
      <c r="E3792" s="24" t="s">
        <v>8204</v>
      </c>
      <c r="F3792" s="26"/>
      <c r="G3792" s="24" t="s">
        <v>8345</v>
      </c>
      <c r="H3792" s="151"/>
      <c r="I3792" s="41"/>
      <c r="J3792" s="67">
        <v>100</v>
      </c>
      <c r="K3792" s="25">
        <v>2.57</v>
      </c>
      <c r="L3792" s="46">
        <f>K3792*J3792</f>
        <v>257</v>
      </c>
      <c r="M3792" s="162" t="s">
        <v>2219</v>
      </c>
      <c r="N3792" s="39">
        <v>45748</v>
      </c>
      <c r="O3792" s="38">
        <v>6994</v>
      </c>
      <c r="P3792" s="180">
        <f>K3792*(VLOOKUP(B3792,$C$2:$F$6,3,FALSE))</f>
        <v>2.2616000000000001</v>
      </c>
      <c r="Q3792" s="483">
        <v>2.2599999999999998</v>
      </c>
      <c r="R3792" s="704">
        <f>Q3792*J3792</f>
        <v>225.99999999999997</v>
      </c>
      <c r="S3792" s="532">
        <f>115+70</f>
        <v>185</v>
      </c>
      <c r="T3792" s="113">
        <f>S3792*J3792</f>
        <v>18500</v>
      </c>
      <c r="U3792" s="517"/>
      <c r="V3792" s="494">
        <v>120</v>
      </c>
      <c r="W3792" s="2041">
        <f>(((K3792*V3792)-S3792)/(K3792*V3792))</f>
        <v>0.40012970168612189</v>
      </c>
    </row>
    <row r="3793" spans="1:23" s="7" customFormat="1" ht="15.75" customHeight="1">
      <c r="A3793" s="1"/>
      <c r="B3793" s="12"/>
      <c r="C3793" s="6" t="s">
        <v>8343</v>
      </c>
      <c r="D3793" s="15" t="s">
        <v>5251</v>
      </c>
      <c r="E3793" s="20" t="s">
        <v>8215</v>
      </c>
      <c r="F3793" s="26"/>
      <c r="G3793" s="24"/>
      <c r="H3793" s="151"/>
      <c r="I3793" s="41"/>
      <c r="J3793" s="67" t="s">
        <v>2690</v>
      </c>
      <c r="K3793" s="25"/>
      <c r="L3793" s="46"/>
      <c r="M3793" s="162"/>
      <c r="N3793" s="39">
        <v>45748</v>
      </c>
      <c r="O3793" s="38">
        <v>6994</v>
      </c>
      <c r="P3793" s="180"/>
      <c r="Q3793" s="483"/>
      <c r="R3793" s="704"/>
      <c r="S3793" s="489">
        <v>0</v>
      </c>
      <c r="T3793" s="113"/>
      <c r="U3793" s="2429"/>
      <c r="V3793" s="494"/>
      <c r="W3793" s="2041"/>
    </row>
    <row r="3794" spans="1:23" s="7" customFormat="1" ht="15.95" customHeight="1">
      <c r="A3794" s="1"/>
      <c r="B3794" s="12" t="s">
        <v>1862</v>
      </c>
      <c r="C3794" s="6" t="s">
        <v>8343</v>
      </c>
      <c r="D3794" s="15" t="s">
        <v>5251</v>
      </c>
      <c r="E3794" s="24" t="s">
        <v>8205</v>
      </c>
      <c r="F3794" s="26"/>
      <c r="G3794" s="24" t="s">
        <v>8344</v>
      </c>
      <c r="H3794" s="151"/>
      <c r="I3794" s="41"/>
      <c r="J3794" s="45">
        <v>1</v>
      </c>
      <c r="K3794" s="25">
        <v>65</v>
      </c>
      <c r="L3794" s="46">
        <f>K3794*J3794</f>
        <v>65</v>
      </c>
      <c r="M3794" s="162" t="s">
        <v>2219</v>
      </c>
      <c r="N3794" s="39">
        <v>45748</v>
      </c>
      <c r="O3794" s="38">
        <v>6994</v>
      </c>
      <c r="P3794" s="180">
        <f>K3794*(VLOOKUP(B3794,$C$2:$F$6,3,FALSE))</f>
        <v>65</v>
      </c>
      <c r="Q3794" s="483">
        <v>65</v>
      </c>
      <c r="R3794" s="704">
        <f>Q3794*J3794</f>
        <v>65</v>
      </c>
      <c r="S3794" s="489">
        <v>6000</v>
      </c>
      <c r="T3794" s="113">
        <f>S3794*J3794</f>
        <v>6000</v>
      </c>
      <c r="U3794" s="517"/>
      <c r="V3794" s="494">
        <v>120</v>
      </c>
      <c r="W3794" s="2041">
        <f>(((K3794*V3794)-S3794)/(K3794*V3794))</f>
        <v>0.23076923076923078</v>
      </c>
    </row>
    <row r="3795" spans="1:23" s="7" customFormat="1" ht="15.75" customHeight="1">
      <c r="A3795" s="1"/>
      <c r="B3795" s="12" t="s">
        <v>1856</v>
      </c>
      <c r="C3795" s="6" t="s">
        <v>8343</v>
      </c>
      <c r="D3795" s="15" t="s">
        <v>5251</v>
      </c>
      <c r="E3795" s="24" t="s">
        <v>8205</v>
      </c>
      <c r="F3795" s="26"/>
      <c r="G3795" s="24" t="s">
        <v>8345</v>
      </c>
      <c r="H3795" s="151"/>
      <c r="I3795" s="41"/>
      <c r="J3795" s="67">
        <v>100</v>
      </c>
      <c r="K3795" s="25">
        <v>2.92</v>
      </c>
      <c r="L3795" s="46">
        <f>K3795*J3795</f>
        <v>292</v>
      </c>
      <c r="M3795" s="162" t="s">
        <v>2219</v>
      </c>
      <c r="N3795" s="39">
        <v>45748</v>
      </c>
      <c r="O3795" s="38">
        <v>6994</v>
      </c>
      <c r="P3795" s="180">
        <f>K3795*(VLOOKUP(B3795,$C$2:$F$6,3,FALSE))</f>
        <v>2.5695999999999999</v>
      </c>
      <c r="Q3795" s="483">
        <v>2.57</v>
      </c>
      <c r="R3795" s="704">
        <f>Q3795*J3795</f>
        <v>257</v>
      </c>
      <c r="S3795" s="532">
        <f>140+70</f>
        <v>210</v>
      </c>
      <c r="T3795" s="113">
        <f>S3795*J3795</f>
        <v>21000</v>
      </c>
      <c r="U3795" s="517"/>
      <c r="V3795" s="494">
        <v>120</v>
      </c>
      <c r="W3795" s="2041">
        <f>(((K3795*V3795)-S3795)/(K3795*V3795))</f>
        <v>0.40068493150684925</v>
      </c>
    </row>
    <row r="3796" spans="1:23" s="7" customFormat="1" ht="15.75" customHeight="1">
      <c r="A3796" s="1"/>
      <c r="B3796" s="12"/>
      <c r="C3796" s="6" t="s">
        <v>8343</v>
      </c>
      <c r="D3796" s="15" t="s">
        <v>5251</v>
      </c>
      <c r="E3796" s="20" t="s">
        <v>8215</v>
      </c>
      <c r="F3796" s="26"/>
      <c r="G3796" s="24"/>
      <c r="H3796" s="151"/>
      <c r="I3796" s="41"/>
      <c r="J3796" s="67"/>
      <c r="K3796" s="25"/>
      <c r="L3796" s="46"/>
      <c r="M3796" s="162"/>
      <c r="N3796" s="39">
        <v>45748</v>
      </c>
      <c r="O3796" s="38">
        <v>6994</v>
      </c>
      <c r="P3796" s="180"/>
      <c r="Q3796" s="483"/>
      <c r="R3796" s="704"/>
      <c r="S3796" s="489">
        <v>0</v>
      </c>
      <c r="T3796" s="113"/>
      <c r="U3796" s="2429"/>
      <c r="V3796" s="494"/>
      <c r="W3796" s="2041"/>
    </row>
    <row r="3797" spans="1:23" s="7" customFormat="1" ht="15.75" customHeight="1">
      <c r="A3797" s="1"/>
      <c r="B3797" s="12" t="s">
        <v>1862</v>
      </c>
      <c r="C3797" s="6" t="s">
        <v>8343</v>
      </c>
      <c r="D3797" s="15" t="s">
        <v>5251</v>
      </c>
      <c r="E3797" s="24" t="s">
        <v>8206</v>
      </c>
      <c r="F3797" s="26"/>
      <c r="G3797" s="24" t="s">
        <v>8344</v>
      </c>
      <c r="H3797" s="151"/>
      <c r="I3797" s="41"/>
      <c r="J3797" s="45">
        <v>1</v>
      </c>
      <c r="K3797" s="25">
        <v>65</v>
      </c>
      <c r="L3797" s="46">
        <f>K3797*J3797</f>
        <v>65</v>
      </c>
      <c r="M3797" s="162" t="s">
        <v>2219</v>
      </c>
      <c r="N3797" s="39">
        <v>45748</v>
      </c>
      <c r="O3797" s="38">
        <v>6994</v>
      </c>
      <c r="P3797" s="180">
        <f>K3797*(VLOOKUP(B3797,$C$2:$F$6,3,FALSE))</f>
        <v>65</v>
      </c>
      <c r="Q3797" s="483">
        <v>65</v>
      </c>
      <c r="R3797" s="704">
        <f>Q3797*J3797</f>
        <v>65</v>
      </c>
      <c r="S3797" s="489">
        <v>6000</v>
      </c>
      <c r="T3797" s="113">
        <f>S3797*J3797</f>
        <v>6000</v>
      </c>
      <c r="U3797" s="517"/>
      <c r="V3797" s="494">
        <v>120</v>
      </c>
      <c r="W3797" s="2041">
        <f t="shared" ref="W3797:W3810" si="306">(((K3797*V3797)-S3797)/(K3797*V3797))</f>
        <v>0.23076923076923078</v>
      </c>
    </row>
    <row r="3798" spans="1:23" s="7" customFormat="1" ht="15.75" customHeight="1">
      <c r="A3798" s="1"/>
      <c r="B3798" s="12" t="s">
        <v>1856</v>
      </c>
      <c r="C3798" s="6" t="s">
        <v>8343</v>
      </c>
      <c r="D3798" s="15" t="s">
        <v>5251</v>
      </c>
      <c r="E3798" s="24" t="s">
        <v>8206</v>
      </c>
      <c r="F3798" s="26"/>
      <c r="G3798" s="24" t="s">
        <v>8345</v>
      </c>
      <c r="H3798" s="151"/>
      <c r="I3798" s="41"/>
      <c r="J3798" s="67">
        <v>100</v>
      </c>
      <c r="K3798" s="25">
        <v>3.07</v>
      </c>
      <c r="L3798" s="46">
        <f>K3798*J3798</f>
        <v>307</v>
      </c>
      <c r="M3798" s="162" t="s">
        <v>2219</v>
      </c>
      <c r="N3798" s="39">
        <v>45748</v>
      </c>
      <c r="O3798" s="38">
        <v>6994</v>
      </c>
      <c r="P3798" s="180">
        <f>K3798*(VLOOKUP(B3798,$C$2:$F$6,3,FALSE))</f>
        <v>2.7016</v>
      </c>
      <c r="Q3798" s="483">
        <v>2.7</v>
      </c>
      <c r="R3798" s="704">
        <f>Q3798*J3798</f>
        <v>270</v>
      </c>
      <c r="S3798" s="532">
        <f>151+70</f>
        <v>221</v>
      </c>
      <c r="T3798" s="113">
        <f>S3798*J3798</f>
        <v>22100</v>
      </c>
      <c r="U3798" s="517"/>
      <c r="V3798" s="494">
        <v>120</v>
      </c>
      <c r="W3798" s="2041">
        <f t="shared" si="306"/>
        <v>0.40010857763300756</v>
      </c>
    </row>
    <row r="3799" spans="1:23" ht="18" customHeight="1">
      <c r="B3799" s="12" t="s">
        <v>1862</v>
      </c>
      <c r="C3799" s="6" t="s">
        <v>8343</v>
      </c>
      <c r="D3799" s="15" t="s">
        <v>5251</v>
      </c>
      <c r="E3799" s="24"/>
      <c r="F3799" s="138"/>
      <c r="G3799" s="44" t="s">
        <v>1993</v>
      </c>
      <c r="H3799" s="8"/>
      <c r="I3799" s="41"/>
      <c r="J3799" s="45">
        <v>1</v>
      </c>
      <c r="K3799" s="46">
        <v>12</v>
      </c>
      <c r="L3799" s="46">
        <f>K3799*J3799</f>
        <v>12</v>
      </c>
      <c r="M3799" s="112"/>
      <c r="N3799" s="39">
        <v>45748</v>
      </c>
      <c r="O3799" s="38">
        <v>6994</v>
      </c>
      <c r="P3799" s="46">
        <f>K3799*(VLOOKUP(B3799,$C$2:$F$6,3,FALSE))</f>
        <v>12</v>
      </c>
      <c r="Q3799" s="483">
        <v>12</v>
      </c>
      <c r="R3799" s="704">
        <f>Q3799*J3799</f>
        <v>12</v>
      </c>
      <c r="S3799" s="489">
        <v>0</v>
      </c>
      <c r="T3799" s="113">
        <v>0</v>
      </c>
      <c r="U3799" s="511"/>
      <c r="V3799" s="494">
        <v>120</v>
      </c>
      <c r="W3799" s="2041">
        <f t="shared" si="306"/>
        <v>1</v>
      </c>
    </row>
    <row r="3800" spans="1:23" s="314" customFormat="1" ht="15">
      <c r="A3800" s="1"/>
      <c r="B3800" s="313"/>
      <c r="C3800" s="302" t="s">
        <v>8343</v>
      </c>
      <c r="D3800" s="303" t="s">
        <v>5251</v>
      </c>
      <c r="E3800" s="304"/>
      <c r="F3800" s="305"/>
      <c r="G3800" s="305" t="s">
        <v>1227</v>
      </c>
      <c r="H3800" s="307" t="s">
        <v>1228</v>
      </c>
      <c r="I3800" s="308"/>
      <c r="J3800" s="306"/>
      <c r="K3800" s="315">
        <v>0</v>
      </c>
      <c r="L3800" s="310"/>
      <c r="M3800" s="310"/>
      <c r="N3800" s="310">
        <v>45748</v>
      </c>
      <c r="O3800" s="309">
        <v>6994</v>
      </c>
      <c r="P3800" s="302"/>
      <c r="Q3800" s="485">
        <v>0</v>
      </c>
      <c r="S3800" s="536">
        <v>0</v>
      </c>
      <c r="T3800" s="322">
        <v>0</v>
      </c>
      <c r="U3800" s="515"/>
      <c r="V3800" s="494">
        <v>120</v>
      </c>
      <c r="W3800" s="2041" t="e">
        <f t="shared" si="306"/>
        <v>#DIV/0!</v>
      </c>
    </row>
    <row r="3801" spans="1:23" s="7" customFormat="1" ht="15" customHeight="1">
      <c r="A3801" s="1"/>
      <c r="B3801" s="12"/>
      <c r="C3801" s="6" t="s">
        <v>8350</v>
      </c>
      <c r="D3801" s="15" t="s">
        <v>8239</v>
      </c>
      <c r="E3801" s="20" t="s">
        <v>8243</v>
      </c>
      <c r="F3801" s="26"/>
      <c r="G3801" s="24"/>
      <c r="H3801" s="67"/>
      <c r="I3801" s="68"/>
      <c r="J3801" s="67"/>
      <c r="K3801" s="17" t="s">
        <v>10</v>
      </c>
      <c r="L3801" s="39"/>
      <c r="M3801" s="39"/>
      <c r="N3801" s="39">
        <v>45750</v>
      </c>
      <c r="O3801" s="38">
        <v>6995</v>
      </c>
      <c r="P3801" s="180" t="e">
        <f>K3801*(VLOOKUP(B3801,$C$2:$F$6,3,FALSE))</f>
        <v>#VALUE!</v>
      </c>
      <c r="Q3801" s="483"/>
      <c r="R3801" s="704"/>
      <c r="S3801" s="489"/>
      <c r="T3801" s="113">
        <f>S3801*J3801</f>
        <v>0</v>
      </c>
      <c r="U3801" s="517"/>
      <c r="V3801" s="494">
        <v>120</v>
      </c>
      <c r="W3801" s="2041" t="e">
        <f t="shared" si="306"/>
        <v>#VALUE!</v>
      </c>
    </row>
    <row r="3802" spans="1:23" s="7" customFormat="1" ht="15.75" customHeight="1">
      <c r="A3802" s="1"/>
      <c r="B3802" s="12" t="s">
        <v>1856</v>
      </c>
      <c r="C3802" s="6" t="s">
        <v>8350</v>
      </c>
      <c r="D3802" s="15" t="s">
        <v>8239</v>
      </c>
      <c r="E3802" s="24" t="s">
        <v>3330</v>
      </c>
      <c r="F3802" s="26"/>
      <c r="G3802" s="24" t="s">
        <v>8240</v>
      </c>
      <c r="H3802" s="151"/>
      <c r="I3802" s="41"/>
      <c r="J3802" s="67">
        <v>337</v>
      </c>
      <c r="K3802" s="25">
        <v>1.66</v>
      </c>
      <c r="L3802" s="46">
        <f>K3802*J3802</f>
        <v>559.41999999999996</v>
      </c>
      <c r="M3802" s="162" t="s">
        <v>2219</v>
      </c>
      <c r="N3802" s="2453">
        <v>45750</v>
      </c>
      <c r="O3802" s="38">
        <v>6995</v>
      </c>
      <c r="P3802" s="180">
        <f>K3802*(VLOOKUP(B3802,$C$2:$F$6,3,FALSE))</f>
        <v>1.4607999999999999</v>
      </c>
      <c r="Q3802" s="483">
        <v>1.46</v>
      </c>
      <c r="R3802" s="704">
        <f>Q3802*J3802</f>
        <v>492.02</v>
      </c>
      <c r="S3802" s="489">
        <f>49+70</f>
        <v>119</v>
      </c>
      <c r="T3802" s="113">
        <f>S3802*J3802</f>
        <v>40103</v>
      </c>
      <c r="U3802" s="517"/>
      <c r="V3802" s="494">
        <v>120</v>
      </c>
      <c r="W3802" s="2041">
        <f t="shared" si="306"/>
        <v>0.40261044176706823</v>
      </c>
    </row>
    <row r="3803" spans="1:23" s="7" customFormat="1" ht="18" customHeight="1">
      <c r="B3803" s="12"/>
      <c r="C3803" s="6" t="s">
        <v>8350</v>
      </c>
      <c r="D3803" s="15" t="s">
        <v>8239</v>
      </c>
      <c r="E3803" s="238"/>
      <c r="F3803" s="44"/>
      <c r="G3803" s="24" t="s">
        <v>2975</v>
      </c>
      <c r="H3803" s="8"/>
      <c r="I3803" s="152" ph="1"/>
      <c r="J3803" s="45">
        <v>1</v>
      </c>
      <c r="K3803" s="46">
        <v>12</v>
      </c>
      <c r="L3803" s="46">
        <f>K3803*J3803</f>
        <v>12</v>
      </c>
      <c r="M3803" s="112"/>
      <c r="N3803" s="39">
        <v>45750</v>
      </c>
      <c r="O3803" s="38">
        <v>6995</v>
      </c>
      <c r="P3803" s="6"/>
      <c r="Q3803" s="703">
        <v>12</v>
      </c>
      <c r="R3803" s="703">
        <f>Q3803*J3803</f>
        <v>12</v>
      </c>
      <c r="S3803" s="7">
        <v>0</v>
      </c>
      <c r="T3803" s="113">
        <f>S3803*J3803</f>
        <v>0</v>
      </c>
      <c r="U3803" s="23"/>
      <c r="V3803" s="494">
        <v>120</v>
      </c>
      <c r="W3803" s="2041">
        <f t="shared" si="306"/>
        <v>1</v>
      </c>
    </row>
    <row r="3804" spans="1:23" s="314" customFormat="1" ht="15">
      <c r="A3804" s="1"/>
      <c r="B3804" s="313"/>
      <c r="C3804" s="302" t="s">
        <v>8350</v>
      </c>
      <c r="D3804" s="303" t="s">
        <v>8239</v>
      </c>
      <c r="E3804" s="371"/>
      <c r="F3804" s="305"/>
      <c r="G3804" s="305" t="s">
        <v>1227</v>
      </c>
      <c r="H3804" s="307" t="s">
        <v>1228</v>
      </c>
      <c r="I3804" s="308"/>
      <c r="J3804" s="306"/>
      <c r="K3804" s="315">
        <v>0</v>
      </c>
      <c r="L3804" s="310"/>
      <c r="M3804" s="310"/>
      <c r="N3804" s="310">
        <v>45750</v>
      </c>
      <c r="O3804" s="309">
        <v>6995</v>
      </c>
      <c r="P3804" s="302"/>
      <c r="Q3804" s="485">
        <v>0</v>
      </c>
      <c r="S3804" s="536">
        <v>0</v>
      </c>
      <c r="T3804" s="322">
        <v>0</v>
      </c>
      <c r="U3804" s="515"/>
      <c r="V3804" s="494">
        <v>120</v>
      </c>
      <c r="W3804" s="2041" t="e">
        <f t="shared" si="306"/>
        <v>#DIV/0!</v>
      </c>
    </row>
    <row r="3805" spans="1:23" s="7" customFormat="1" ht="18.600000000000001" customHeight="1">
      <c r="A3805" s="1"/>
      <c r="B3805" s="12"/>
      <c r="C3805" s="6" t="s">
        <v>8376</v>
      </c>
      <c r="D3805" s="15" t="s">
        <v>8033</v>
      </c>
      <c r="E3805" s="20" t="s">
        <v>1003</v>
      </c>
      <c r="F3805" s="24"/>
      <c r="G3805" s="44"/>
      <c r="H3805" s="151"/>
      <c r="I3805" s="151"/>
      <c r="J3805" s="151"/>
      <c r="K3805" s="153" t="s">
        <v>10</v>
      </c>
      <c r="L3805" s="39"/>
      <c r="M3805" s="162"/>
      <c r="N3805" s="39">
        <v>45744</v>
      </c>
      <c r="O3805" s="38">
        <v>6966</v>
      </c>
      <c r="P3805" s="6"/>
      <c r="Q3805" s="411"/>
      <c r="S3805" s="489"/>
      <c r="T3805" s="113"/>
      <c r="U3805" s="501"/>
      <c r="V3805" s="494">
        <v>120</v>
      </c>
      <c r="W3805" s="2041" t="e">
        <f t="shared" si="306"/>
        <v>#VALUE!</v>
      </c>
    </row>
    <row r="3806" spans="1:23" s="7" customFormat="1" ht="15.95" customHeight="1">
      <c r="A3806" s="1"/>
      <c r="B3806" s="12" t="s">
        <v>1856</v>
      </c>
      <c r="C3806" s="6" t="s">
        <v>8376</v>
      </c>
      <c r="D3806" s="15" t="s">
        <v>8033</v>
      </c>
      <c r="E3806" s="24" t="s">
        <v>2349</v>
      </c>
      <c r="F3806" s="44"/>
      <c r="G3806" s="44" t="s">
        <v>78</v>
      </c>
      <c r="H3806" s="8">
        <v>14</v>
      </c>
      <c r="I3806" s="68">
        <v>73</v>
      </c>
      <c r="J3806" s="67">
        <f>I3806*H3806</f>
        <v>1022</v>
      </c>
      <c r="K3806" s="46">
        <v>1.88</v>
      </c>
      <c r="L3806" s="46">
        <f>K3806*J3806</f>
        <v>1921.36</v>
      </c>
      <c r="M3806" s="162" t="s">
        <v>2219</v>
      </c>
      <c r="N3806" s="39">
        <v>45744</v>
      </c>
      <c r="O3806" s="38">
        <v>6966</v>
      </c>
      <c r="P3806" s="46">
        <f>K3806*(VLOOKUP(B3806,$C$2:$F$6,3,FALSE))</f>
        <v>1.6543999999999999</v>
      </c>
      <c r="Q3806" s="483">
        <v>1.65</v>
      </c>
      <c r="R3806" s="704">
        <f>Q3806*J3806</f>
        <v>1686.3</v>
      </c>
      <c r="S3806" s="489">
        <v>135</v>
      </c>
      <c r="T3806" s="567">
        <f>S3806*J3806</f>
        <v>137970</v>
      </c>
      <c r="U3806" s="517"/>
      <c r="V3806" s="494">
        <v>120</v>
      </c>
      <c r="W3806" s="2041">
        <f t="shared" si="306"/>
        <v>0.40159574468085107</v>
      </c>
    </row>
    <row r="3807" spans="1:23" s="7" customFormat="1" ht="15.95" customHeight="1">
      <c r="A3807" s="1"/>
      <c r="B3807" s="12" t="s">
        <v>1856</v>
      </c>
      <c r="C3807" s="6" t="s">
        <v>8376</v>
      </c>
      <c r="D3807" s="15" t="s">
        <v>8033</v>
      </c>
      <c r="E3807" s="24" t="s">
        <v>2349</v>
      </c>
      <c r="F3807" s="44"/>
      <c r="G3807" s="44" t="s">
        <v>78</v>
      </c>
      <c r="H3807" s="8">
        <v>14</v>
      </c>
      <c r="I3807" s="68">
        <v>208</v>
      </c>
      <c r="J3807" s="67">
        <f>I3807*H3807</f>
        <v>2912</v>
      </c>
      <c r="K3807" s="46">
        <v>1.88</v>
      </c>
      <c r="L3807" s="46">
        <f>K3807*J3807</f>
        <v>5474.5599999999995</v>
      </c>
      <c r="M3807" s="162" t="s">
        <v>2219</v>
      </c>
      <c r="N3807" s="39">
        <v>45779</v>
      </c>
      <c r="O3807" s="38">
        <v>7089</v>
      </c>
      <c r="P3807" s="46">
        <f>K3807*(VLOOKUP(B3807,$C$2:$F$6,3,FALSE))</f>
        <v>1.6543999999999999</v>
      </c>
      <c r="Q3807" s="483">
        <v>1.65</v>
      </c>
      <c r="R3807" s="704">
        <f>Q3807*J3807</f>
        <v>4804.8</v>
      </c>
      <c r="S3807" s="489">
        <v>135</v>
      </c>
      <c r="T3807" s="567">
        <f>S3807*J3807</f>
        <v>393120</v>
      </c>
      <c r="U3807" s="517"/>
      <c r="V3807" s="494">
        <v>120</v>
      </c>
      <c r="W3807" s="2041">
        <f t="shared" si="306"/>
        <v>0.40159574468085107</v>
      </c>
    </row>
    <row r="3808" spans="1:23" s="314" customFormat="1" ht="15">
      <c r="A3808" s="1"/>
      <c r="B3808" s="313"/>
      <c r="C3808" s="302" t="s">
        <v>8376</v>
      </c>
      <c r="D3808" s="303" t="s">
        <v>8033</v>
      </c>
      <c r="E3808" s="304"/>
      <c r="F3808" s="305"/>
      <c r="G3808" s="305" t="s">
        <v>1227</v>
      </c>
      <c r="H3808" s="307" t="s">
        <v>1228</v>
      </c>
      <c r="I3808" s="308"/>
      <c r="J3808" s="306"/>
      <c r="K3808" s="315">
        <v>240</v>
      </c>
      <c r="L3808" s="315">
        <v>240</v>
      </c>
      <c r="M3808" s="310"/>
      <c r="N3808" s="310">
        <v>45779</v>
      </c>
      <c r="O3808" s="309">
        <v>7089</v>
      </c>
      <c r="P3808" s="302"/>
      <c r="Q3808" s="485">
        <v>240</v>
      </c>
      <c r="R3808" s="485">
        <v>240</v>
      </c>
      <c r="S3808" s="536">
        <v>23581</v>
      </c>
      <c r="T3808" s="536">
        <v>23581</v>
      </c>
      <c r="U3808" s="515"/>
      <c r="V3808" s="494">
        <v>120</v>
      </c>
      <c r="W3808" s="2041">
        <f t="shared" si="306"/>
        <v>0.18121527777777777</v>
      </c>
    </row>
    <row r="3809" spans="1:23" s="7" customFormat="1" ht="18.600000000000001" customHeight="1">
      <c r="A3809" s="1"/>
      <c r="B3809" s="12"/>
      <c r="C3809" s="6" t="s">
        <v>8380</v>
      </c>
      <c r="D3809" s="15" t="s">
        <v>8033</v>
      </c>
      <c r="E3809" s="20" t="s">
        <v>1003</v>
      </c>
      <c r="F3809" s="24"/>
      <c r="G3809" s="44"/>
      <c r="H3809" s="151"/>
      <c r="I3809" s="151"/>
      <c r="J3809" s="151"/>
      <c r="K3809" s="153" t="s">
        <v>10</v>
      </c>
      <c r="L3809" s="39"/>
      <c r="M3809" s="162"/>
      <c r="N3809" s="39">
        <v>45744</v>
      </c>
      <c r="O3809" s="38">
        <v>6966</v>
      </c>
      <c r="P3809" s="6"/>
      <c r="Q3809" s="411"/>
      <c r="S3809" s="489"/>
      <c r="T3809" s="113"/>
      <c r="U3809" s="501"/>
      <c r="V3809" s="494">
        <v>120</v>
      </c>
      <c r="W3809" s="2041" t="e">
        <f t="shared" si="306"/>
        <v>#VALUE!</v>
      </c>
    </row>
    <row r="3810" spans="1:23" s="7" customFormat="1" ht="15.95" customHeight="1">
      <c r="A3810" s="1"/>
      <c r="B3810" s="12" t="s">
        <v>1856</v>
      </c>
      <c r="C3810" s="6" t="s">
        <v>8380</v>
      </c>
      <c r="D3810" s="15" t="s">
        <v>8033</v>
      </c>
      <c r="E3810" s="24" t="s">
        <v>2349</v>
      </c>
      <c r="F3810" s="44"/>
      <c r="G3810" s="44" t="s">
        <v>78</v>
      </c>
      <c r="H3810" s="8">
        <v>14</v>
      </c>
      <c r="I3810" s="68">
        <v>1</v>
      </c>
      <c r="J3810" s="67">
        <f>I3810*H3810</f>
        <v>14</v>
      </c>
      <c r="K3810" s="46">
        <v>1.88</v>
      </c>
      <c r="L3810" s="46">
        <f>K3810*J3810</f>
        <v>26.32</v>
      </c>
      <c r="M3810" s="162" t="s">
        <v>2219</v>
      </c>
      <c r="N3810" s="39">
        <v>45744</v>
      </c>
      <c r="O3810" s="38">
        <v>6966</v>
      </c>
      <c r="P3810" s="46">
        <f>K3810*(VLOOKUP(B3810,$C$2:$F$6,3,FALSE))</f>
        <v>1.6543999999999999</v>
      </c>
      <c r="Q3810" s="483">
        <v>1.65</v>
      </c>
      <c r="R3810" s="704">
        <f>Q3810*J3810</f>
        <v>23.099999999999998</v>
      </c>
      <c r="S3810" s="489">
        <v>135</v>
      </c>
      <c r="T3810" s="567">
        <f>S3810*J3810</f>
        <v>1890</v>
      </c>
      <c r="U3810" s="517"/>
      <c r="V3810" s="494">
        <v>120</v>
      </c>
      <c r="W3810" s="2041">
        <f t="shared" si="306"/>
        <v>0.40159574468085107</v>
      </c>
    </row>
    <row r="3811" spans="1:23" s="7" customFormat="1" ht="18" customHeight="1">
      <c r="B3811" s="12"/>
      <c r="C3811" s="216" t="s">
        <v>8380</v>
      </c>
      <c r="D3811" s="109" t="s">
        <v>8033</v>
      </c>
      <c r="E3811" s="325"/>
      <c r="F3811" s="42"/>
      <c r="G3811" s="228" t="s">
        <v>2975</v>
      </c>
      <c r="H3811" s="214"/>
      <c r="I3811" s="326" ph="1"/>
      <c r="J3811" s="43">
        <v>1</v>
      </c>
      <c r="K3811" s="229">
        <v>12</v>
      </c>
      <c r="L3811" s="229">
        <v>0</v>
      </c>
      <c r="M3811" s="112"/>
      <c r="N3811" s="39">
        <v>45744</v>
      </c>
      <c r="O3811" s="38">
        <v>6966</v>
      </c>
      <c r="P3811" s="6"/>
      <c r="Q3811" s="703">
        <v>0</v>
      </c>
      <c r="R3811" s="703">
        <f>Q3811*J3811</f>
        <v>0</v>
      </c>
      <c r="S3811" s="7">
        <v>1000</v>
      </c>
      <c r="T3811" s="7">
        <v>1000</v>
      </c>
      <c r="U3811" s="23"/>
      <c r="V3811" s="494">
        <v>120</v>
      </c>
      <c r="W3811" s="2041">
        <f>(((K3811*V3811)-S3812)/(K3811*V3811))</f>
        <v>-10.607638888888889</v>
      </c>
    </row>
    <row r="3812" spans="1:23" s="314" customFormat="1" ht="15">
      <c r="A3812" s="1"/>
      <c r="B3812" s="313"/>
      <c r="C3812" s="302" t="s">
        <v>8380</v>
      </c>
      <c r="D3812" s="303" t="s">
        <v>8033</v>
      </c>
      <c r="E3812" s="304"/>
      <c r="F3812" s="305"/>
      <c r="G3812" s="305" t="s">
        <v>1227</v>
      </c>
      <c r="H3812" s="307"/>
      <c r="I3812" s="308"/>
      <c r="J3812" s="306"/>
      <c r="K3812" s="315">
        <v>168</v>
      </c>
      <c r="L3812" s="315">
        <v>168</v>
      </c>
      <c r="M3812" s="310"/>
      <c r="N3812" s="310">
        <v>45744</v>
      </c>
      <c r="O3812" s="309">
        <v>6966</v>
      </c>
      <c r="P3812" s="302"/>
      <c r="Q3812" s="485">
        <v>168</v>
      </c>
      <c r="R3812" s="485">
        <v>168</v>
      </c>
      <c r="S3812" s="2272">
        <v>16715</v>
      </c>
      <c r="T3812" s="2272">
        <v>16715</v>
      </c>
      <c r="U3812" s="515"/>
      <c r="V3812" s="494">
        <v>120</v>
      </c>
      <c r="W3812" s="2041" t="e">
        <f>(((K3812*V3812)-#REF!)/(K3812*V3812))</f>
        <v>#REF!</v>
      </c>
    </row>
    <row r="3813" spans="1:23" s="7" customFormat="1" ht="15" customHeight="1">
      <c r="B3813" s="12"/>
      <c r="C3813" s="6" t="s">
        <v>8389</v>
      </c>
      <c r="D3813" s="15" t="s">
        <v>8390</v>
      </c>
      <c r="E3813" s="2013" t="s">
        <v>8394</v>
      </c>
      <c r="F3813" s="26"/>
      <c r="G3813" s="24"/>
      <c r="H3813" s="67"/>
      <c r="I3813" s="68"/>
      <c r="J3813" s="67"/>
      <c r="K3813" s="17" t="s">
        <v>134</v>
      </c>
      <c r="L3813" s="39"/>
      <c r="M3813" s="39"/>
      <c r="N3813" s="39">
        <v>45747</v>
      </c>
      <c r="O3813" s="38">
        <v>6978</v>
      </c>
      <c r="P3813" s="179" t="s">
        <v>23</v>
      </c>
      <c r="Q3813" s="438" t="s">
        <v>959</v>
      </c>
      <c r="R3813" s="704"/>
      <c r="S3813" s="489"/>
      <c r="T3813" s="113"/>
      <c r="U3813" s="510"/>
      <c r="V3813" s="494">
        <v>120</v>
      </c>
      <c r="W3813" s="2041" t="e">
        <f t="shared" ref="W3813:W3825" si="307">(((K3813*V3813)-S3813)/(K3813*V3813))</f>
        <v>#VALUE!</v>
      </c>
    </row>
    <row r="3814" spans="1:23" s="7" customFormat="1" ht="18" customHeight="1">
      <c r="B3814" s="12" t="s">
        <v>1856</v>
      </c>
      <c r="C3814" s="6" t="s">
        <v>8389</v>
      </c>
      <c r="D3814" s="15" t="s">
        <v>8390</v>
      </c>
      <c r="E3814" s="1012" t="s">
        <v>8391</v>
      </c>
      <c r="F3814" s="246">
        <v>4</v>
      </c>
      <c r="G3814" s="24" t="s">
        <v>5974</v>
      </c>
      <c r="H3814" s="8">
        <v>100</v>
      </c>
      <c r="I3814" s="68">
        <v>8</v>
      </c>
      <c r="J3814" s="67">
        <f>I3814*H3814</f>
        <v>800</v>
      </c>
      <c r="K3814" s="46">
        <v>0.34</v>
      </c>
      <c r="L3814" s="46">
        <f>K3814*J3814</f>
        <v>272</v>
      </c>
      <c r="M3814" s="162" t="s">
        <v>8226</v>
      </c>
      <c r="N3814" s="2453">
        <v>45747</v>
      </c>
      <c r="O3814" s="38">
        <v>6978</v>
      </c>
      <c r="P3814" s="46">
        <f>K3814*(VLOOKUP(B3814,$C$2:$F$6,3,FALSE))</f>
        <v>0.29920000000000002</v>
      </c>
      <c r="Q3814" s="180">
        <v>0.3</v>
      </c>
      <c r="R3814" s="704">
        <f>Q3814*J3814</f>
        <v>240</v>
      </c>
      <c r="S3814" s="489">
        <v>20</v>
      </c>
      <c r="T3814" s="113">
        <f>S3814*J3814</f>
        <v>16000</v>
      </c>
      <c r="U3814" s="867"/>
      <c r="V3814" s="494">
        <v>120</v>
      </c>
      <c r="W3814" s="2041">
        <f t="shared" si="307"/>
        <v>0.50980392156862753</v>
      </c>
    </row>
    <row r="3815" spans="1:23" ht="15.95" customHeight="1">
      <c r="C3815" s="6" t="s">
        <v>8389</v>
      </c>
      <c r="D3815" s="15" t="s">
        <v>8390</v>
      </c>
      <c r="E3815" s="24"/>
      <c r="F3815" s="138"/>
      <c r="G3815" s="44" t="s">
        <v>1993</v>
      </c>
      <c r="H3815" s="8"/>
      <c r="I3815" s="68"/>
      <c r="J3815" s="45">
        <v>1</v>
      </c>
      <c r="K3815" s="46">
        <v>12</v>
      </c>
      <c r="L3815" s="46">
        <f>K3815*J3815</f>
        <v>12</v>
      </c>
      <c r="M3815" s="112"/>
      <c r="N3815" s="39">
        <v>45747</v>
      </c>
      <c r="O3815" s="38">
        <v>6978</v>
      </c>
      <c r="P3815" s="46" t="e">
        <f>K3815*(VLOOKUP(B3815,$C$2:$F$6,3,FALSE))</f>
        <v>#N/A</v>
      </c>
      <c r="Q3815" s="180">
        <v>12</v>
      </c>
      <c r="R3815" s="180">
        <v>12</v>
      </c>
      <c r="S3815" s="498">
        <v>0</v>
      </c>
      <c r="T3815" s="113">
        <f>S3815*J3815</f>
        <v>0</v>
      </c>
      <c r="U3815" s="511"/>
      <c r="V3815" s="494">
        <v>120</v>
      </c>
      <c r="W3815" s="2041">
        <f t="shared" si="307"/>
        <v>1</v>
      </c>
    </row>
    <row r="3816" spans="1:23" s="314" customFormat="1" ht="15">
      <c r="B3816" s="313"/>
      <c r="C3816" s="302" t="s">
        <v>8389</v>
      </c>
      <c r="D3816" s="303" t="s">
        <v>8390</v>
      </c>
      <c r="E3816" s="371"/>
      <c r="F3816" s="305"/>
      <c r="G3816" s="305" t="s">
        <v>1227</v>
      </c>
      <c r="H3816" s="307" t="s">
        <v>1228</v>
      </c>
      <c r="I3816" s="308"/>
      <c r="J3816" s="306"/>
      <c r="K3816" s="315">
        <v>0</v>
      </c>
      <c r="L3816" s="310"/>
      <c r="M3816" s="310"/>
      <c r="N3816" s="310">
        <v>45747</v>
      </c>
      <c r="O3816" s="309">
        <v>6978</v>
      </c>
      <c r="P3816" s="302"/>
      <c r="Q3816" s="531">
        <v>0</v>
      </c>
      <c r="S3816" s="535">
        <v>0</v>
      </c>
      <c r="T3816" s="322">
        <v>0</v>
      </c>
      <c r="U3816" s="1115"/>
      <c r="V3816" s="494">
        <v>120</v>
      </c>
      <c r="W3816" s="2041" t="e">
        <f t="shared" si="307"/>
        <v>#DIV/0!</v>
      </c>
    </row>
    <row r="3817" spans="1:23" s="7" customFormat="1" ht="15" customHeight="1">
      <c r="B3817" s="12"/>
      <c r="C3817" s="6" t="s">
        <v>8392</v>
      </c>
      <c r="D3817" s="15" t="s">
        <v>8393</v>
      </c>
      <c r="E3817" s="2013" t="s">
        <v>8394</v>
      </c>
      <c r="F3817" s="26"/>
      <c r="G3817" s="24"/>
      <c r="H3817" s="67"/>
      <c r="I3817" s="68"/>
      <c r="J3817" s="67"/>
      <c r="K3817" s="17" t="s">
        <v>134</v>
      </c>
      <c r="L3817" s="39"/>
      <c r="M3817" s="39"/>
      <c r="N3817" s="39">
        <v>45742</v>
      </c>
      <c r="O3817" s="38">
        <v>6977</v>
      </c>
      <c r="P3817" s="179" t="s">
        <v>23</v>
      </c>
      <c r="Q3817" s="438" t="s">
        <v>959</v>
      </c>
      <c r="R3817" s="704"/>
      <c r="S3817" s="489"/>
      <c r="T3817" s="113"/>
      <c r="U3817" s="510"/>
      <c r="V3817" s="494">
        <v>120</v>
      </c>
      <c r="W3817" s="2041" t="e">
        <f t="shared" si="307"/>
        <v>#VALUE!</v>
      </c>
    </row>
    <row r="3818" spans="1:23" s="7" customFormat="1" ht="18" customHeight="1">
      <c r="B3818" s="12" t="s">
        <v>1856</v>
      </c>
      <c r="C3818" s="6" t="s">
        <v>8392</v>
      </c>
      <c r="D3818" s="15" t="s">
        <v>8393</v>
      </c>
      <c r="E3818" s="1012" t="s">
        <v>8391</v>
      </c>
      <c r="F3818" s="246">
        <v>4</v>
      </c>
      <c r="G3818" s="24" t="s">
        <v>5974</v>
      </c>
      <c r="H3818" s="8">
        <v>100</v>
      </c>
      <c r="I3818" s="68">
        <v>2</v>
      </c>
      <c r="J3818" s="67">
        <f>I3818*H3818</f>
        <v>200</v>
      </c>
      <c r="K3818" s="46">
        <v>0.34</v>
      </c>
      <c r="L3818" s="46">
        <f>K3818*J3818</f>
        <v>68</v>
      </c>
      <c r="M3818" s="162" t="s">
        <v>8226</v>
      </c>
      <c r="N3818" s="39">
        <v>45742</v>
      </c>
      <c r="O3818" s="38">
        <v>6977</v>
      </c>
      <c r="P3818" s="46">
        <f>K3818*(VLOOKUP(B3818,$C$2:$F$6,3,FALSE))</f>
        <v>0.29920000000000002</v>
      </c>
      <c r="Q3818" s="180">
        <v>0.3</v>
      </c>
      <c r="R3818" s="704">
        <f>Q3818*J3818</f>
        <v>60</v>
      </c>
      <c r="S3818" s="489">
        <v>20</v>
      </c>
      <c r="T3818" s="113">
        <f>S3818*J3818</f>
        <v>4000</v>
      </c>
      <c r="U3818" s="867"/>
      <c r="V3818" s="494">
        <v>120</v>
      </c>
      <c r="W3818" s="2041">
        <f t="shared" si="307"/>
        <v>0.50980392156862753</v>
      </c>
    </row>
    <row r="3819" spans="1:23" ht="15.95" customHeight="1">
      <c r="C3819" s="6" t="s">
        <v>8392</v>
      </c>
      <c r="D3819" s="15" t="s">
        <v>8393</v>
      </c>
      <c r="E3819" s="24"/>
      <c r="F3819" s="138"/>
      <c r="G3819" s="44" t="s">
        <v>1993</v>
      </c>
      <c r="H3819" s="8"/>
      <c r="I3819" s="68"/>
      <c r="J3819" s="45">
        <v>1</v>
      </c>
      <c r="K3819" s="46">
        <v>12</v>
      </c>
      <c r="L3819" s="46">
        <f>K3819*J3819</f>
        <v>12</v>
      </c>
      <c r="M3819" s="112"/>
      <c r="N3819" s="39">
        <v>45742</v>
      </c>
      <c r="O3819" s="38">
        <v>6977</v>
      </c>
      <c r="P3819" s="46" t="e">
        <f>K3819*(VLOOKUP(B3819,$C$2:$F$6,3,FALSE))</f>
        <v>#N/A</v>
      </c>
      <c r="Q3819" s="180">
        <v>12</v>
      </c>
      <c r="R3819" s="180">
        <v>12</v>
      </c>
      <c r="S3819" s="498">
        <v>0</v>
      </c>
      <c r="T3819" s="113">
        <f>S3819*J3819</f>
        <v>0</v>
      </c>
      <c r="U3819" s="511"/>
      <c r="V3819" s="494">
        <v>120</v>
      </c>
      <c r="W3819" s="2041">
        <f t="shared" si="307"/>
        <v>1</v>
      </c>
    </row>
    <row r="3820" spans="1:23" s="314" customFormat="1" ht="15">
      <c r="B3820" s="313"/>
      <c r="C3820" s="302" t="s">
        <v>8392</v>
      </c>
      <c r="D3820" s="303" t="s">
        <v>8393</v>
      </c>
      <c r="E3820" s="371"/>
      <c r="F3820" s="305"/>
      <c r="G3820" s="305" t="s">
        <v>1227</v>
      </c>
      <c r="H3820" s="307" t="s">
        <v>1228</v>
      </c>
      <c r="I3820" s="308"/>
      <c r="J3820" s="306"/>
      <c r="K3820" s="315">
        <v>0</v>
      </c>
      <c r="L3820" s="310"/>
      <c r="M3820" s="310"/>
      <c r="N3820" s="310">
        <v>45742</v>
      </c>
      <c r="O3820" s="309">
        <v>6977</v>
      </c>
      <c r="P3820" s="302"/>
      <c r="Q3820" s="531">
        <v>0</v>
      </c>
      <c r="S3820" s="535">
        <v>0</v>
      </c>
      <c r="T3820" s="322">
        <v>0</v>
      </c>
      <c r="U3820" s="1115"/>
      <c r="V3820" s="494">
        <v>120</v>
      </c>
      <c r="W3820" s="2041" t="e">
        <f t="shared" si="307"/>
        <v>#DIV/0!</v>
      </c>
    </row>
    <row r="3821" spans="1:23" s="7" customFormat="1" ht="15" customHeight="1">
      <c r="B3821" s="12"/>
      <c r="C3821" s="6" t="s">
        <v>8398</v>
      </c>
      <c r="D3821" s="15" t="s">
        <v>958</v>
      </c>
      <c r="E3821" s="20" t="s">
        <v>628</v>
      </c>
      <c r="F3821" s="26"/>
      <c r="G3821" s="24"/>
      <c r="H3821" s="67"/>
      <c r="I3821" s="318"/>
      <c r="J3821" s="67"/>
      <c r="K3821" s="17" t="s">
        <v>134</v>
      </c>
      <c r="L3821" s="39"/>
      <c r="M3821" s="39"/>
      <c r="N3821" s="39">
        <v>45748</v>
      </c>
      <c r="O3821" s="38">
        <v>6973</v>
      </c>
      <c r="P3821" s="179" t="s">
        <v>23</v>
      </c>
      <c r="Q3821" s="438" t="s">
        <v>959</v>
      </c>
      <c r="R3821" s="704"/>
      <c r="S3821" s="489"/>
      <c r="T3821" s="113"/>
      <c r="U3821" s="510"/>
      <c r="V3821" s="494">
        <v>120</v>
      </c>
      <c r="W3821" s="2041" t="e">
        <f t="shared" si="307"/>
        <v>#VALUE!</v>
      </c>
    </row>
    <row r="3822" spans="1:23" s="7" customFormat="1" ht="18" customHeight="1">
      <c r="B3822" s="12" t="s">
        <v>1856</v>
      </c>
      <c r="C3822" s="6" t="s">
        <v>8398</v>
      </c>
      <c r="D3822" s="15" t="s">
        <v>958</v>
      </c>
      <c r="E3822" s="24">
        <v>5291</v>
      </c>
      <c r="F3822" s="26">
        <v>6</v>
      </c>
      <c r="G3822" s="24" t="s">
        <v>29</v>
      </c>
      <c r="H3822" s="67">
        <v>50</v>
      </c>
      <c r="I3822" s="68">
        <v>6</v>
      </c>
      <c r="J3822" s="67">
        <f>H3822*I3822</f>
        <v>300</v>
      </c>
      <c r="K3822" s="46">
        <v>0.51</v>
      </c>
      <c r="L3822" s="46">
        <f>K3822*J3822</f>
        <v>153</v>
      </c>
      <c r="M3822" s="162" t="s">
        <v>2219</v>
      </c>
      <c r="N3822" s="39">
        <v>45748</v>
      </c>
      <c r="O3822" s="38">
        <v>6973</v>
      </c>
      <c r="P3822" s="180">
        <v>0.24</v>
      </c>
      <c r="Q3822" s="180">
        <v>0.24</v>
      </c>
      <c r="R3822" s="704">
        <f>Q3822*J3822</f>
        <v>72</v>
      </c>
      <c r="S3822" s="489">
        <v>14.6</v>
      </c>
      <c r="T3822" s="113">
        <f>S3822*J3822</f>
        <v>4380</v>
      </c>
      <c r="U3822" s="867"/>
      <c r="V3822" s="494">
        <v>120</v>
      </c>
      <c r="W3822" s="2041">
        <f t="shared" si="307"/>
        <v>0.76143790849673199</v>
      </c>
    </row>
    <row r="3823" spans="1:23" s="7" customFormat="1" ht="18" customHeight="1">
      <c r="B3823" s="12" t="s">
        <v>1856</v>
      </c>
      <c r="C3823" s="6" t="s">
        <v>8398</v>
      </c>
      <c r="D3823" s="15" t="s">
        <v>958</v>
      </c>
      <c r="E3823" s="24">
        <v>5291</v>
      </c>
      <c r="F3823" s="26">
        <v>6</v>
      </c>
      <c r="G3823" s="24" t="s">
        <v>499</v>
      </c>
      <c r="H3823" s="67">
        <v>50</v>
      </c>
      <c r="I3823" s="68">
        <v>5</v>
      </c>
      <c r="J3823" s="67">
        <f>H3823*I3823</f>
        <v>250</v>
      </c>
      <c r="K3823" s="46">
        <v>0.51</v>
      </c>
      <c r="L3823" s="46">
        <f>K3823*J3823</f>
        <v>127.5</v>
      </c>
      <c r="M3823" s="162" t="s">
        <v>2219</v>
      </c>
      <c r="N3823" s="39">
        <v>45748</v>
      </c>
      <c r="O3823" s="38">
        <v>6973</v>
      </c>
      <c r="P3823" s="180">
        <v>0.24</v>
      </c>
      <c r="Q3823" s="180">
        <v>0.24</v>
      </c>
      <c r="R3823" s="704">
        <f>Q3823*J3823</f>
        <v>60</v>
      </c>
      <c r="S3823" s="489">
        <v>14.6</v>
      </c>
      <c r="T3823" s="113">
        <f>S3823*J3823</f>
        <v>3650</v>
      </c>
      <c r="U3823" s="867"/>
      <c r="V3823" s="494">
        <v>120</v>
      </c>
      <c r="W3823" s="2041">
        <f t="shared" si="307"/>
        <v>0.76143790849673199</v>
      </c>
    </row>
    <row r="3824" spans="1:23" ht="15.95" customHeight="1">
      <c r="C3824" s="6" t="s">
        <v>8398</v>
      </c>
      <c r="D3824" s="15" t="s">
        <v>958</v>
      </c>
      <c r="E3824" s="24"/>
      <c r="F3824" s="138"/>
      <c r="G3824" s="44" t="s">
        <v>1993</v>
      </c>
      <c r="H3824" s="8"/>
      <c r="I3824" s="41"/>
      <c r="J3824" s="45">
        <v>1</v>
      </c>
      <c r="K3824" s="46">
        <v>10</v>
      </c>
      <c r="L3824" s="46">
        <v>0</v>
      </c>
      <c r="M3824" s="112"/>
      <c r="N3824" s="39">
        <v>45748</v>
      </c>
      <c r="O3824" s="38">
        <v>6973</v>
      </c>
      <c r="P3824" s="179"/>
      <c r="Q3824" s="180">
        <v>10</v>
      </c>
      <c r="R3824" s="180">
        <v>10</v>
      </c>
      <c r="S3824" s="498">
        <v>850</v>
      </c>
      <c r="T3824" s="568">
        <f>S3824*J3824</f>
        <v>850</v>
      </c>
      <c r="U3824" s="511"/>
      <c r="V3824" s="494">
        <v>120</v>
      </c>
      <c r="W3824" s="2041">
        <f t="shared" si="307"/>
        <v>0.29166666666666669</v>
      </c>
    </row>
    <row r="3825" spans="1:23" s="314" customFormat="1" ht="15" customHeight="1">
      <c r="B3825" s="313"/>
      <c r="C3825" s="302" t="s">
        <v>8398</v>
      </c>
      <c r="D3825" s="303" t="s">
        <v>958</v>
      </c>
      <c r="E3825" s="304"/>
      <c r="F3825" s="305"/>
      <c r="G3825" s="305" t="s">
        <v>1227</v>
      </c>
      <c r="H3825" s="410"/>
      <c r="I3825" s="308"/>
      <c r="J3825" s="410">
        <v>550</v>
      </c>
      <c r="K3825" s="315">
        <v>132</v>
      </c>
      <c r="L3825" s="315"/>
      <c r="M3825" s="784"/>
      <c r="N3825" s="310">
        <v>45748</v>
      </c>
      <c r="O3825" s="309">
        <v>6973</v>
      </c>
      <c r="P3825" s="302"/>
      <c r="Q3825" s="315">
        <f>K3825-Q3824</f>
        <v>122</v>
      </c>
      <c r="R3825" s="315">
        <v>122</v>
      </c>
      <c r="S3825" s="2523">
        <v>5272</v>
      </c>
      <c r="T3825" s="2523">
        <v>5272</v>
      </c>
      <c r="U3825" s="1084"/>
      <c r="V3825" s="494">
        <v>120</v>
      </c>
      <c r="W3825" s="2041">
        <f t="shared" si="307"/>
        <v>0.66717171717171719</v>
      </c>
    </row>
    <row r="3826" spans="1:23" ht="15">
      <c r="C3826" s="6" t="s">
        <v>8395</v>
      </c>
      <c r="D3826" s="15" t="s">
        <v>2309</v>
      </c>
      <c r="E3826" s="20" t="s">
        <v>79</v>
      </c>
      <c r="F3826" s="150"/>
      <c r="G3826" s="24"/>
      <c r="H3826" s="151"/>
      <c r="I3826" s="152"/>
      <c r="J3826" s="151"/>
      <c r="K3826" s="153" t="s">
        <v>10</v>
      </c>
      <c r="L3826" s="39"/>
      <c r="M3826" s="39"/>
      <c r="N3826" s="39">
        <v>45742</v>
      </c>
      <c r="O3826" s="38">
        <v>6979</v>
      </c>
      <c r="P3826" s="15"/>
      <c r="Q3826" s="483"/>
      <c r="S3826" s="2272"/>
      <c r="T3826" s="2272"/>
      <c r="V3826" s="494">
        <v>120</v>
      </c>
      <c r="W3826"/>
    </row>
    <row r="3827" spans="1:23" ht="15.75">
      <c r="B3827" s="12" t="s">
        <v>1858</v>
      </c>
      <c r="C3827" s="6" t="s">
        <v>8395</v>
      </c>
      <c r="D3827" s="15" t="s">
        <v>2309</v>
      </c>
      <c r="E3827" s="1012">
        <v>5600</v>
      </c>
      <c r="F3827" s="150">
        <v>148</v>
      </c>
      <c r="G3827" s="24" t="s">
        <v>8396</v>
      </c>
      <c r="H3827" s="67"/>
      <c r="I3827" s="68"/>
      <c r="J3827" s="67">
        <v>12</v>
      </c>
      <c r="K3827" s="46">
        <v>8.75</v>
      </c>
      <c r="L3827" s="46">
        <f>K3827*J3827</f>
        <v>105</v>
      </c>
      <c r="M3827" s="162" t="s">
        <v>2219</v>
      </c>
      <c r="N3827" s="39">
        <v>45742</v>
      </c>
      <c r="O3827" s="38">
        <v>6979</v>
      </c>
      <c r="P3827" s="46">
        <f>K3827*(VLOOKUP(B3827,$C$2:$F$6,3,FALSE))</f>
        <v>8.2249999999999996</v>
      </c>
      <c r="Q3827" s="483">
        <v>8.23</v>
      </c>
      <c r="R3827" s="704">
        <f>Q3827*J3827</f>
        <v>98.76</v>
      </c>
      <c r="S3827" s="532">
        <v>630</v>
      </c>
      <c r="T3827" s="567">
        <f>S3827*J3827</f>
        <v>7560</v>
      </c>
      <c r="V3827" s="494">
        <v>120</v>
      </c>
      <c r="W3827" s="2041">
        <f t="shared" ref="W3827:W3852" si="308">(((K3827*V3827)-S3827)/(K3827*V3827))</f>
        <v>0.4</v>
      </c>
    </row>
    <row r="3828" spans="1:23" s="7" customFormat="1" ht="15.95" customHeight="1">
      <c r="B3828" s="12"/>
      <c r="C3828" s="6" t="s">
        <v>8395</v>
      </c>
      <c r="D3828" s="15" t="s">
        <v>2309</v>
      </c>
      <c r="E3828" s="24"/>
      <c r="F3828" s="138"/>
      <c r="G3828" s="44" t="s">
        <v>1075</v>
      </c>
      <c r="H3828" s="8"/>
      <c r="I3828" s="41"/>
      <c r="J3828" s="45">
        <v>1</v>
      </c>
      <c r="K3828" s="46">
        <v>15</v>
      </c>
      <c r="L3828" s="46">
        <f>K3828*J3828</f>
        <v>15</v>
      </c>
      <c r="M3828" s="39"/>
      <c r="N3828" s="39">
        <v>45742</v>
      </c>
      <c r="O3828" s="38">
        <v>6979</v>
      </c>
      <c r="P3828" s="6"/>
      <c r="Q3828" s="483">
        <v>15</v>
      </c>
      <c r="R3828" s="704">
        <f>Q3828*J3828</f>
        <v>15</v>
      </c>
      <c r="S3828" s="1011">
        <v>1000</v>
      </c>
      <c r="T3828" s="2452">
        <f>S3828*J3828</f>
        <v>1000</v>
      </c>
      <c r="U3828" s="501"/>
      <c r="V3828" s="494">
        <v>120</v>
      </c>
      <c r="W3828" s="2041">
        <f t="shared" si="308"/>
        <v>0.44444444444444442</v>
      </c>
    </row>
    <row r="3829" spans="1:23" s="7" customFormat="1" ht="15.95" customHeight="1">
      <c r="B3829" s="12"/>
      <c r="C3829" s="6" t="s">
        <v>8395</v>
      </c>
      <c r="D3829" s="15" t="s">
        <v>2309</v>
      </c>
      <c r="E3829" s="24"/>
      <c r="F3829" s="138"/>
      <c r="G3829" s="44" t="s">
        <v>1993</v>
      </c>
      <c r="H3829" s="8"/>
      <c r="I3829" s="41"/>
      <c r="J3829" s="45">
        <v>1</v>
      </c>
      <c r="K3829" s="46">
        <v>25</v>
      </c>
      <c r="L3829" s="46">
        <f>K3829*J3829</f>
        <v>25</v>
      </c>
      <c r="M3829" s="39"/>
      <c r="N3829" s="39">
        <v>45742</v>
      </c>
      <c r="O3829" s="38">
        <v>6979</v>
      </c>
      <c r="P3829" s="6"/>
      <c r="Q3829" s="483">
        <v>25</v>
      </c>
      <c r="R3829" s="704">
        <f>Q3829*J3829</f>
        <v>25</v>
      </c>
      <c r="S3829" s="1011">
        <v>1600</v>
      </c>
      <c r="T3829" s="2452">
        <f>S3829*J3829</f>
        <v>1600</v>
      </c>
      <c r="U3829" s="501"/>
      <c r="V3829" s="494">
        <v>120</v>
      </c>
      <c r="W3829" s="2041">
        <f t="shared" si="308"/>
        <v>0.46666666666666667</v>
      </c>
    </row>
    <row r="3830" spans="1:23" s="314" customFormat="1" ht="15">
      <c r="B3830" s="313"/>
      <c r="C3830" s="302" t="s">
        <v>8395</v>
      </c>
      <c r="D3830" s="303" t="s">
        <v>2309</v>
      </c>
      <c r="E3830" s="304"/>
      <c r="F3830" s="305"/>
      <c r="G3830" s="305" t="s">
        <v>1227</v>
      </c>
      <c r="H3830" s="307" t="s">
        <v>1243</v>
      </c>
      <c r="I3830" s="308"/>
      <c r="J3830" s="306"/>
      <c r="K3830" s="329">
        <v>69</v>
      </c>
      <c r="L3830" s="329">
        <v>69</v>
      </c>
      <c r="M3830" s="310"/>
      <c r="N3830" s="310">
        <v>45742</v>
      </c>
      <c r="O3830" s="309">
        <v>6979</v>
      </c>
      <c r="P3830" s="685"/>
      <c r="Q3830" s="329">
        <v>69</v>
      </c>
      <c r="R3830" s="329">
        <v>69</v>
      </c>
      <c r="S3830" s="2272">
        <v>6191</v>
      </c>
      <c r="T3830" s="2272">
        <v>6191</v>
      </c>
      <c r="U3830" s="688"/>
      <c r="V3830" s="494">
        <v>120</v>
      </c>
      <c r="W3830" s="2041">
        <f t="shared" si="308"/>
        <v>0.25229468599033816</v>
      </c>
    </row>
    <row r="3831" spans="1:23" s="7" customFormat="1" ht="15" customHeight="1">
      <c r="A3831" s="1"/>
      <c r="B3831" s="12"/>
      <c r="C3831" s="6" t="s">
        <v>8401</v>
      </c>
      <c r="D3831" s="15" t="s">
        <v>8298</v>
      </c>
      <c r="E3831" s="20" t="s">
        <v>8300</v>
      </c>
      <c r="F3831" s="26"/>
      <c r="G3831" s="24"/>
      <c r="H3831" s="67"/>
      <c r="I3831" s="68"/>
      <c r="J3831" s="67"/>
      <c r="K3831" s="17" t="s">
        <v>10</v>
      </c>
      <c r="L3831" s="39"/>
      <c r="M3831" s="39"/>
      <c r="N3831" s="39">
        <v>45775</v>
      </c>
      <c r="O3831" s="38">
        <v>7073</v>
      </c>
      <c r="P3831" s="180" t="e">
        <f>K3831*(VLOOKUP(B3831,$C$2:$F$6,3,FALSE))</f>
        <v>#VALUE!</v>
      </c>
      <c r="Q3831" s="483"/>
      <c r="R3831" s="704"/>
      <c r="S3831" s="489"/>
      <c r="T3831" s="113">
        <f>S3831*J3831</f>
        <v>0</v>
      </c>
      <c r="U3831" s="517"/>
      <c r="V3831" s="494">
        <v>120</v>
      </c>
      <c r="W3831" s="2041" t="e">
        <f t="shared" si="308"/>
        <v>#VALUE!</v>
      </c>
    </row>
    <row r="3832" spans="1:23" s="7" customFormat="1" ht="15.75" customHeight="1">
      <c r="A3832" s="1"/>
      <c r="B3832" s="12" t="s">
        <v>1856</v>
      </c>
      <c r="C3832" s="6" t="s">
        <v>8401</v>
      </c>
      <c r="D3832" s="15" t="s">
        <v>8298</v>
      </c>
      <c r="E3832" s="1012" t="s">
        <v>8301</v>
      </c>
      <c r="F3832" s="26"/>
      <c r="G3832" s="24" t="s">
        <v>8402</v>
      </c>
      <c r="H3832" s="151"/>
      <c r="I3832" s="41"/>
      <c r="J3832" s="67">
        <v>40</v>
      </c>
      <c r="K3832" s="25">
        <v>1.48</v>
      </c>
      <c r="L3832" s="46">
        <f>K3832*J3832</f>
        <v>59.2</v>
      </c>
      <c r="M3832" s="162" t="s">
        <v>2219</v>
      </c>
      <c r="N3832" s="2453">
        <v>45775</v>
      </c>
      <c r="O3832" s="38">
        <v>7073</v>
      </c>
      <c r="P3832" s="180">
        <f>K3832*(VLOOKUP(B3832,$C$2:$F$6,3,FALSE))</f>
        <v>1.3024</v>
      </c>
      <c r="Q3832" s="483">
        <v>1.3</v>
      </c>
      <c r="R3832" s="704">
        <f>Q3832*J3832</f>
        <v>52</v>
      </c>
      <c r="S3832" s="489">
        <v>106</v>
      </c>
      <c r="T3832" s="113">
        <f>S3832*J3832</f>
        <v>4240</v>
      </c>
      <c r="U3832" s="517"/>
      <c r="V3832" s="494">
        <v>120</v>
      </c>
      <c r="W3832" s="2041">
        <f t="shared" si="308"/>
        <v>0.40315315315315314</v>
      </c>
    </row>
    <row r="3833" spans="1:23" s="7" customFormat="1" ht="15.75" customHeight="1">
      <c r="A3833" s="1"/>
      <c r="B3833" s="12" t="s">
        <v>1856</v>
      </c>
      <c r="C3833" s="6" t="s">
        <v>8401</v>
      </c>
      <c r="D3833" s="15" t="s">
        <v>8298</v>
      </c>
      <c r="E3833" s="1012" t="s">
        <v>8301</v>
      </c>
      <c r="F3833" s="26"/>
      <c r="G3833" s="24" t="s">
        <v>8403</v>
      </c>
      <c r="H3833" s="151"/>
      <c r="I3833" s="41"/>
      <c r="J3833" s="67">
        <v>40</v>
      </c>
      <c r="K3833" s="25">
        <v>1.48</v>
      </c>
      <c r="L3833" s="46">
        <f>K3833*J3833</f>
        <v>59.2</v>
      </c>
      <c r="M3833" s="162" t="s">
        <v>2219</v>
      </c>
      <c r="N3833" s="2453">
        <v>45775</v>
      </c>
      <c r="O3833" s="38">
        <v>7073</v>
      </c>
      <c r="P3833" s="180">
        <f>K3833*(VLOOKUP(B3833,$C$2:$F$6,3,FALSE))</f>
        <v>1.3024</v>
      </c>
      <c r="Q3833" s="483">
        <v>1.3</v>
      </c>
      <c r="R3833" s="704">
        <f>Q3833*J3833</f>
        <v>52</v>
      </c>
      <c r="S3833" s="489">
        <v>106</v>
      </c>
      <c r="T3833" s="113">
        <f>S3833*J3833</f>
        <v>4240</v>
      </c>
      <c r="U3833" s="517"/>
      <c r="V3833" s="494">
        <v>120</v>
      </c>
      <c r="W3833" s="2041">
        <f t="shared" si="308"/>
        <v>0.40315315315315314</v>
      </c>
    </row>
    <row r="3834" spans="1:23" s="7" customFormat="1" ht="15.75" customHeight="1">
      <c r="A3834" s="1"/>
      <c r="B3834" s="12" t="s">
        <v>8405</v>
      </c>
      <c r="C3834" s="6" t="s">
        <v>8401</v>
      </c>
      <c r="D3834" s="15" t="s">
        <v>8298</v>
      </c>
      <c r="E3834" s="95"/>
      <c r="F3834" s="26"/>
      <c r="G3834" s="24" t="s">
        <v>8404</v>
      </c>
      <c r="H3834" s="151"/>
      <c r="I3834" s="41"/>
      <c r="J3834" s="45">
        <v>2</v>
      </c>
      <c r="K3834" s="46">
        <v>75</v>
      </c>
      <c r="L3834" s="46">
        <f>K3834*J3834</f>
        <v>150</v>
      </c>
      <c r="M3834" s="162"/>
      <c r="N3834" s="2453">
        <v>45775</v>
      </c>
      <c r="O3834" s="38">
        <v>7073</v>
      </c>
      <c r="P3834" s="180">
        <f>K3834*(VLOOKUP(B3834,$C$2:$F$6,3,FALSE))</f>
        <v>75</v>
      </c>
      <c r="Q3834" s="483">
        <v>75</v>
      </c>
      <c r="R3834" s="704">
        <f>Q3834*J3834</f>
        <v>150</v>
      </c>
      <c r="S3834" s="489">
        <v>7000</v>
      </c>
      <c r="T3834" s="113">
        <f>S3834*J3834</f>
        <v>14000</v>
      </c>
      <c r="U3834" s="2429"/>
      <c r="V3834" s="494">
        <v>120</v>
      </c>
      <c r="W3834" s="2041">
        <f t="shared" si="308"/>
        <v>0.22222222222222221</v>
      </c>
    </row>
    <row r="3835" spans="1:23" ht="18" customHeight="1">
      <c r="B3835" s="12" t="s">
        <v>1862</v>
      </c>
      <c r="C3835" s="6" t="s">
        <v>8401</v>
      </c>
      <c r="D3835" s="15" t="s">
        <v>8298</v>
      </c>
      <c r="E3835" s="24"/>
      <c r="F3835" s="138"/>
      <c r="G3835" s="44" t="s">
        <v>1993</v>
      </c>
      <c r="H3835" s="8"/>
      <c r="I3835" s="41"/>
      <c r="J3835" s="45">
        <v>1</v>
      </c>
      <c r="K3835" s="46">
        <v>12</v>
      </c>
      <c r="L3835" s="46">
        <f>K3835*J3835</f>
        <v>12</v>
      </c>
      <c r="M3835" s="112"/>
      <c r="N3835" s="39">
        <v>45775</v>
      </c>
      <c r="O3835" s="38">
        <v>7073</v>
      </c>
      <c r="P3835" s="46">
        <f>K3835*(VLOOKUP(B3835,$C$2:$F$6,3,FALSE))</f>
        <v>12</v>
      </c>
      <c r="Q3835" s="483">
        <v>12</v>
      </c>
      <c r="R3835" s="704">
        <f>Q3835*J3835</f>
        <v>12</v>
      </c>
      <c r="S3835" s="489">
        <v>0</v>
      </c>
      <c r="T3835" s="113">
        <f>S3835*J3835</f>
        <v>0</v>
      </c>
      <c r="U3835" s="511"/>
      <c r="V3835" s="494">
        <v>120</v>
      </c>
      <c r="W3835" s="2041">
        <f t="shared" si="308"/>
        <v>1</v>
      </c>
    </row>
    <row r="3836" spans="1:23" s="314" customFormat="1" ht="15">
      <c r="A3836" s="1"/>
      <c r="B3836" s="313"/>
      <c r="C3836" s="302" t="s">
        <v>8401</v>
      </c>
      <c r="D3836" s="303" t="s">
        <v>8298</v>
      </c>
      <c r="E3836" s="304"/>
      <c r="F3836" s="305"/>
      <c r="G3836" s="305" t="s">
        <v>1227</v>
      </c>
      <c r="H3836" s="307" t="s">
        <v>1228</v>
      </c>
      <c r="I3836" s="308"/>
      <c r="J3836" s="306"/>
      <c r="K3836" s="315">
        <v>0</v>
      </c>
      <c r="L3836" s="310"/>
      <c r="M3836" s="310"/>
      <c r="N3836" s="310">
        <v>45775</v>
      </c>
      <c r="O3836" s="309">
        <v>7073</v>
      </c>
      <c r="P3836" s="302"/>
      <c r="Q3836" s="485">
        <v>0</v>
      </c>
      <c r="S3836" s="536">
        <v>0</v>
      </c>
      <c r="T3836" s="322">
        <v>0</v>
      </c>
      <c r="U3836" s="515"/>
      <c r="V3836" s="494">
        <v>120</v>
      </c>
      <c r="W3836" s="2041" t="e">
        <f t="shared" si="308"/>
        <v>#DIV/0!</v>
      </c>
    </row>
    <row r="3837" spans="1:23" ht="18" customHeight="1">
      <c r="C3837" s="6" t="s">
        <v>8407</v>
      </c>
      <c r="D3837" s="15" t="s">
        <v>8246</v>
      </c>
      <c r="E3837" s="20" t="s">
        <v>260</v>
      </c>
      <c r="F3837" s="44"/>
      <c r="G3837" s="44"/>
      <c r="H3837" s="151"/>
      <c r="I3837" s="151"/>
      <c r="J3837" s="151"/>
      <c r="K3837" s="34" t="s">
        <v>134</v>
      </c>
      <c r="L3837" s="39"/>
      <c r="M3837" s="39"/>
      <c r="N3837" s="39">
        <v>45784</v>
      </c>
      <c r="O3837" s="38">
        <v>6993</v>
      </c>
      <c r="P3837" s="6"/>
      <c r="Q3837" s="524"/>
      <c r="S3837" s="1995"/>
      <c r="T3837" s="113"/>
      <c r="U3837" s="501"/>
      <c r="V3837" s="494">
        <v>120</v>
      </c>
      <c r="W3837" s="2041" t="e">
        <f t="shared" si="308"/>
        <v>#VALUE!</v>
      </c>
    </row>
    <row r="3838" spans="1:23" ht="18" customHeight="1">
      <c r="B3838" s="28" t="s">
        <v>1856</v>
      </c>
      <c r="C3838" s="6" t="s">
        <v>8407</v>
      </c>
      <c r="D3838" s="15" t="s">
        <v>8246</v>
      </c>
      <c r="E3838" s="24">
        <v>4141</v>
      </c>
      <c r="F3838" s="44">
        <v>6</v>
      </c>
      <c r="G3838" s="24" t="s">
        <v>8408</v>
      </c>
      <c r="H3838" s="67">
        <v>20</v>
      </c>
      <c r="I3838" s="68">
        <v>54</v>
      </c>
      <c r="J3838" s="67">
        <f>H3838*I3838</f>
        <v>1080</v>
      </c>
      <c r="K3838" s="46">
        <v>1.47</v>
      </c>
      <c r="L3838" s="46">
        <f>K3838*J3838</f>
        <v>1587.6</v>
      </c>
      <c r="M3838" s="162" t="s">
        <v>2219</v>
      </c>
      <c r="N3838" s="39">
        <v>45784</v>
      </c>
      <c r="O3838" s="38">
        <v>6993</v>
      </c>
      <c r="P3838" s="46">
        <f>K3838*(VLOOKUP(B3838,$C$2:$F$6,3,FALSE))</f>
        <v>1.2936000000000001</v>
      </c>
      <c r="Q3838" s="482">
        <v>1.29</v>
      </c>
      <c r="R3838" s="704">
        <f>Q3838*J3838</f>
        <v>1393.2</v>
      </c>
      <c r="S3838" s="489">
        <v>87</v>
      </c>
      <c r="T3838" s="113">
        <f>S3838*J3838</f>
        <v>93960</v>
      </c>
      <c r="U3838" s="699"/>
      <c r="V3838" s="494">
        <v>120</v>
      </c>
      <c r="W3838" s="2041">
        <f t="shared" si="308"/>
        <v>0.50680272108843538</v>
      </c>
    </row>
    <row r="3839" spans="1:23" ht="18" customHeight="1">
      <c r="B3839" s="28" t="s">
        <v>1856</v>
      </c>
      <c r="C3839" s="6" t="s">
        <v>8407</v>
      </c>
      <c r="D3839" s="15" t="s">
        <v>8246</v>
      </c>
      <c r="E3839" s="24">
        <v>4141</v>
      </c>
      <c r="F3839" s="44">
        <v>6</v>
      </c>
      <c r="G3839" s="24" t="s">
        <v>48</v>
      </c>
      <c r="H3839" s="67">
        <v>20</v>
      </c>
      <c r="I3839" s="68">
        <v>92</v>
      </c>
      <c r="J3839" s="67">
        <f>H3839*I3839</f>
        <v>1840</v>
      </c>
      <c r="K3839" s="46">
        <v>1.47</v>
      </c>
      <c r="L3839" s="46">
        <f>K3839*J3839</f>
        <v>2704.7999999999997</v>
      </c>
      <c r="M3839" s="162" t="s">
        <v>2219</v>
      </c>
      <c r="N3839" s="39">
        <v>45784</v>
      </c>
      <c r="O3839" s="38">
        <v>6993</v>
      </c>
      <c r="P3839" s="46">
        <f>K3839*(VLOOKUP(B3839,$C$2:$F$6,3,FALSE))</f>
        <v>1.2936000000000001</v>
      </c>
      <c r="Q3839" s="482">
        <v>1.29</v>
      </c>
      <c r="R3839" s="704">
        <f>Q3839*J3839</f>
        <v>2373.6</v>
      </c>
      <c r="S3839" s="489">
        <v>87</v>
      </c>
      <c r="T3839" s="113">
        <f>S3839*J3839</f>
        <v>160080</v>
      </c>
      <c r="U3839" s="699"/>
      <c r="V3839" s="494">
        <v>120</v>
      </c>
      <c r="W3839" s="2041">
        <f t="shared" si="308"/>
        <v>0.50680272108843538</v>
      </c>
    </row>
    <row r="3840" spans="1:23" ht="18" customHeight="1">
      <c r="B3840" s="28" t="s">
        <v>1856</v>
      </c>
      <c r="C3840" s="6" t="s">
        <v>8407</v>
      </c>
      <c r="D3840" s="15" t="s">
        <v>8246</v>
      </c>
      <c r="E3840" s="24">
        <v>4141</v>
      </c>
      <c r="F3840" s="44">
        <v>6</v>
      </c>
      <c r="G3840" s="24" t="s">
        <v>8409</v>
      </c>
      <c r="H3840" s="67">
        <v>20</v>
      </c>
      <c r="I3840" s="68">
        <v>97</v>
      </c>
      <c r="J3840" s="67">
        <f>H3840*I3840</f>
        <v>1940</v>
      </c>
      <c r="K3840" s="46">
        <v>1.47</v>
      </c>
      <c r="L3840" s="46">
        <f>K3840*J3840</f>
        <v>2851.7999999999997</v>
      </c>
      <c r="M3840" s="162" t="s">
        <v>2219</v>
      </c>
      <c r="N3840" s="39">
        <v>45784</v>
      </c>
      <c r="O3840" s="38">
        <v>6993</v>
      </c>
      <c r="P3840" s="46">
        <f>K3840*(VLOOKUP(B3840,$C$2:$F$6,3,FALSE))</f>
        <v>1.2936000000000001</v>
      </c>
      <c r="Q3840" s="482">
        <v>1.29</v>
      </c>
      <c r="R3840" s="704">
        <f>Q3840*J3840</f>
        <v>2502.6</v>
      </c>
      <c r="S3840" s="489">
        <v>87</v>
      </c>
      <c r="T3840" s="113">
        <f>S3840*J3840</f>
        <v>168780</v>
      </c>
      <c r="U3840" s="699"/>
      <c r="V3840" s="494">
        <v>120</v>
      </c>
      <c r="W3840" s="2041">
        <f t="shared" si="308"/>
        <v>0.50680272108843538</v>
      </c>
    </row>
    <row r="3841" spans="1:23" s="2396" customFormat="1" ht="18" customHeight="1">
      <c r="A3841" s="2443"/>
      <c r="B3841" s="2444"/>
      <c r="C3841" s="6" t="s">
        <v>8407</v>
      </c>
      <c r="D3841" s="109" t="s">
        <v>8246</v>
      </c>
      <c r="E3841" s="24"/>
      <c r="F3841" s="160"/>
      <c r="G3841" s="2447" t="s">
        <v>1664</v>
      </c>
      <c r="H3841" s="214"/>
      <c r="I3841" s="215"/>
      <c r="J3841" s="326">
        <v>243</v>
      </c>
      <c r="K3841" s="229">
        <v>0</v>
      </c>
      <c r="L3841" s="229">
        <f>K3841*J3841</f>
        <v>0</v>
      </c>
      <c r="M3841" s="969"/>
      <c r="N3841" s="39">
        <v>45784</v>
      </c>
      <c r="O3841" s="38">
        <v>6993</v>
      </c>
      <c r="P3841" s="216"/>
      <c r="Q3841" s="229">
        <f>P3841*O3841</f>
        <v>0</v>
      </c>
      <c r="R3841" s="229">
        <f>Q3841*P3841</f>
        <v>0</v>
      </c>
      <c r="S3841" s="489">
        <v>35</v>
      </c>
      <c r="T3841" s="567">
        <f>S3841*J3841</f>
        <v>8505</v>
      </c>
      <c r="U3841" s="503"/>
      <c r="V3841" s="494">
        <v>120</v>
      </c>
      <c r="W3841" s="2041" t="e">
        <f t="shared" si="308"/>
        <v>#DIV/0!</v>
      </c>
    </row>
    <row r="3842" spans="1:23" s="314" customFormat="1" ht="15">
      <c r="B3842" s="313"/>
      <c r="C3842" s="302" t="s">
        <v>8407</v>
      </c>
      <c r="D3842" s="303" t="s">
        <v>8246</v>
      </c>
      <c r="E3842" s="304"/>
      <c r="F3842" s="305"/>
      <c r="G3842" s="305" t="s">
        <v>1227</v>
      </c>
      <c r="H3842" s="307" t="s">
        <v>1228</v>
      </c>
      <c r="I3842" s="308"/>
      <c r="J3842" s="306"/>
      <c r="K3842" s="315">
        <v>0</v>
      </c>
      <c r="L3842" s="310"/>
      <c r="M3842" s="310"/>
      <c r="N3842" s="310">
        <v>45784</v>
      </c>
      <c r="O3842" s="309">
        <v>6993</v>
      </c>
      <c r="P3842" s="302"/>
      <c r="Q3842" s="485">
        <v>0</v>
      </c>
      <c r="S3842" s="536">
        <v>0</v>
      </c>
      <c r="T3842" s="322">
        <v>0</v>
      </c>
      <c r="U3842" s="515"/>
      <c r="V3842" s="494">
        <v>120</v>
      </c>
      <c r="W3842" s="2041" t="e">
        <f t="shared" si="308"/>
        <v>#DIV/0!</v>
      </c>
    </row>
    <row r="3843" spans="1:23" s="7" customFormat="1" ht="18.600000000000001" customHeight="1">
      <c r="A3843" s="1"/>
      <c r="B3843" s="12"/>
      <c r="C3843" s="6" t="s">
        <v>8428</v>
      </c>
      <c r="D3843" s="15" t="s">
        <v>8</v>
      </c>
      <c r="E3843" s="20" t="s">
        <v>1003</v>
      </c>
      <c r="F3843" s="24"/>
      <c r="G3843" s="44"/>
      <c r="H3843" s="151"/>
      <c r="I3843" s="151"/>
      <c r="J3843" s="151"/>
      <c r="K3843" s="153" t="s">
        <v>10</v>
      </c>
      <c r="L3843" s="39"/>
      <c r="M3843" s="162"/>
      <c r="N3843" s="39">
        <v>45751</v>
      </c>
      <c r="O3843" s="38">
        <v>7000</v>
      </c>
      <c r="P3843" s="6"/>
      <c r="Q3843" s="411"/>
      <c r="S3843" s="489"/>
      <c r="T3843" s="113"/>
      <c r="U3843" s="501"/>
      <c r="V3843" s="494">
        <v>120</v>
      </c>
      <c r="W3843" s="2041" t="e">
        <f t="shared" si="308"/>
        <v>#VALUE!</v>
      </c>
    </row>
    <row r="3844" spans="1:23" s="7" customFormat="1" ht="15.95" customHeight="1">
      <c r="A3844" s="1"/>
      <c r="B3844" s="12" t="s">
        <v>1856</v>
      </c>
      <c r="C3844" s="6" t="s">
        <v>8428</v>
      </c>
      <c r="D3844" s="15" t="s">
        <v>8</v>
      </c>
      <c r="E3844" s="24" t="s">
        <v>1493</v>
      </c>
      <c r="F3844" s="44"/>
      <c r="G3844" s="44" t="s">
        <v>7694</v>
      </c>
      <c r="H3844" s="8">
        <v>14</v>
      </c>
      <c r="I3844" s="68">
        <v>2</v>
      </c>
      <c r="J3844" s="67">
        <f>I3844*H3844</f>
        <v>28</v>
      </c>
      <c r="K3844" s="46">
        <v>3.41</v>
      </c>
      <c r="L3844" s="46">
        <f>K3844*J3844</f>
        <v>95.48</v>
      </c>
      <c r="M3844" s="162" t="s">
        <v>2219</v>
      </c>
      <c r="N3844" s="39">
        <v>45751</v>
      </c>
      <c r="O3844" s="38">
        <v>7000</v>
      </c>
      <c r="P3844" s="46">
        <f>K3844*(VLOOKUP(B3844,$C$2:$F$6,3,FALSE))</f>
        <v>3.0008000000000004</v>
      </c>
      <c r="Q3844" s="483">
        <v>3</v>
      </c>
      <c r="R3844" s="704">
        <f>Q3844*J3844</f>
        <v>84</v>
      </c>
      <c r="S3844" s="489">
        <v>245</v>
      </c>
      <c r="T3844" s="567">
        <f>S3844*J3844</f>
        <v>6860</v>
      </c>
      <c r="U3844" s="517"/>
      <c r="V3844" s="494">
        <v>120</v>
      </c>
      <c r="W3844" s="2041">
        <f t="shared" si="308"/>
        <v>0.40127077223851426</v>
      </c>
    </row>
    <row r="3845" spans="1:23" ht="18" customHeight="1">
      <c r="B3845" s="12" t="s">
        <v>1862</v>
      </c>
      <c r="C3845" s="6" t="s">
        <v>8428</v>
      </c>
      <c r="D3845" s="15" t="s">
        <v>8</v>
      </c>
      <c r="E3845" s="24"/>
      <c r="F3845" s="138"/>
      <c r="G3845" s="44" t="s">
        <v>1993</v>
      </c>
      <c r="H3845" s="8"/>
      <c r="I3845" s="41"/>
      <c r="J3845" s="45">
        <v>1</v>
      </c>
      <c r="K3845" s="46">
        <v>12</v>
      </c>
      <c r="L3845" s="46">
        <f>K3845*J3845</f>
        <v>12</v>
      </c>
      <c r="M3845" s="112"/>
      <c r="N3845" s="39">
        <v>45751</v>
      </c>
      <c r="O3845" s="38">
        <v>7000</v>
      </c>
      <c r="P3845" s="46">
        <f>K3845*(VLOOKUP(B3845,$C$2:$F$6,3,FALSE))</f>
        <v>12</v>
      </c>
      <c r="Q3845" s="483">
        <v>12</v>
      </c>
      <c r="R3845" s="704">
        <f>Q3845*J3845</f>
        <v>12</v>
      </c>
      <c r="S3845" s="489">
        <v>1000</v>
      </c>
      <c r="T3845" s="113">
        <f>S3845*J3845</f>
        <v>1000</v>
      </c>
      <c r="U3845" s="511"/>
      <c r="V3845" s="494">
        <v>120</v>
      </c>
      <c r="W3845" s="2041">
        <f t="shared" si="308"/>
        <v>0.30555555555555558</v>
      </c>
    </row>
    <row r="3846" spans="1:23" s="314" customFormat="1" ht="15">
      <c r="A3846" s="1"/>
      <c r="B3846" s="313"/>
      <c r="C3846" s="302" t="s">
        <v>8428</v>
      </c>
      <c r="D3846" s="303" t="s">
        <v>8</v>
      </c>
      <c r="E3846" s="304"/>
      <c r="F3846" s="305"/>
      <c r="G3846" s="305" t="s">
        <v>1227</v>
      </c>
      <c r="H3846" s="307" t="s">
        <v>1228</v>
      </c>
      <c r="I3846" s="308"/>
      <c r="J3846" s="306"/>
      <c r="K3846" s="315">
        <v>0</v>
      </c>
      <c r="L3846" s="310"/>
      <c r="M3846" s="310"/>
      <c r="N3846" s="310">
        <v>45751</v>
      </c>
      <c r="O3846" s="309">
        <v>7000</v>
      </c>
      <c r="P3846" s="302"/>
      <c r="Q3846" s="485">
        <v>0</v>
      </c>
      <c r="S3846" s="536">
        <v>0</v>
      </c>
      <c r="T3846" s="322">
        <v>0</v>
      </c>
      <c r="U3846" s="515"/>
      <c r="V3846" s="494">
        <v>120</v>
      </c>
      <c r="W3846" s="2041" t="e">
        <f t="shared" si="308"/>
        <v>#DIV/0!</v>
      </c>
    </row>
    <row r="3847" spans="1:23" ht="18" customHeight="1">
      <c r="C3847" s="6" t="s">
        <v>8429</v>
      </c>
      <c r="D3847" s="15" t="s">
        <v>6806</v>
      </c>
      <c r="E3847" s="20" t="s">
        <v>260</v>
      </c>
      <c r="F3847" s="44"/>
      <c r="G3847" s="44"/>
      <c r="H3847" s="151"/>
      <c r="I3847" s="151"/>
      <c r="J3847" s="151"/>
      <c r="K3847" s="34" t="s">
        <v>134</v>
      </c>
      <c r="L3847" s="39"/>
      <c r="M3847" s="39"/>
      <c r="N3847" s="39">
        <v>45779</v>
      </c>
      <c r="O3847" s="38">
        <v>7002</v>
      </c>
      <c r="P3847" s="6"/>
      <c r="Q3847" s="524"/>
      <c r="S3847" s="1995"/>
      <c r="T3847" s="113"/>
      <c r="U3847" s="501"/>
      <c r="V3847" s="494">
        <v>120</v>
      </c>
      <c r="W3847" s="2041" t="e">
        <f t="shared" si="308"/>
        <v>#VALUE!</v>
      </c>
    </row>
    <row r="3848" spans="1:23" ht="18" customHeight="1">
      <c r="B3848" s="28" t="s">
        <v>1856</v>
      </c>
      <c r="C3848" s="6" t="s">
        <v>8429</v>
      </c>
      <c r="D3848" s="15" t="s">
        <v>6806</v>
      </c>
      <c r="E3848" s="24">
        <v>4141</v>
      </c>
      <c r="F3848" s="44">
        <v>6</v>
      </c>
      <c r="G3848" s="24" t="s">
        <v>3096</v>
      </c>
      <c r="H3848" s="67">
        <v>20</v>
      </c>
      <c r="I3848" s="68">
        <v>50</v>
      </c>
      <c r="J3848" s="67">
        <f>H3848*I3848</f>
        <v>1000</v>
      </c>
      <c r="K3848" s="46">
        <v>1.47</v>
      </c>
      <c r="L3848" s="46">
        <f>K3848*J3848</f>
        <v>1470</v>
      </c>
      <c r="M3848" s="162" t="s">
        <v>2219</v>
      </c>
      <c r="N3848" s="39">
        <v>45779</v>
      </c>
      <c r="O3848" s="38">
        <v>7002</v>
      </c>
      <c r="P3848" s="46">
        <f>K3848*(VLOOKUP(B3848,$C$2:$F$6,3,FALSE))</f>
        <v>1.2936000000000001</v>
      </c>
      <c r="Q3848" s="482">
        <v>1.29</v>
      </c>
      <c r="R3848" s="704">
        <f>Q3848*J3848</f>
        <v>1290</v>
      </c>
      <c r="S3848" s="489">
        <v>87</v>
      </c>
      <c r="T3848" s="113">
        <f>S3848*J3848</f>
        <v>87000</v>
      </c>
      <c r="U3848" s="699"/>
      <c r="V3848" s="494">
        <v>120</v>
      </c>
      <c r="W3848" s="2041">
        <f t="shared" si="308"/>
        <v>0.50680272108843538</v>
      </c>
    </row>
    <row r="3849" spans="1:23" ht="18" customHeight="1">
      <c r="B3849" s="12" t="s">
        <v>1862</v>
      </c>
      <c r="C3849" s="6" t="s">
        <v>8429</v>
      </c>
      <c r="D3849" s="15" t="s">
        <v>6806</v>
      </c>
      <c r="E3849" s="24"/>
      <c r="F3849" s="138"/>
      <c r="G3849" s="44" t="s">
        <v>1993</v>
      </c>
      <c r="H3849" s="8"/>
      <c r="I3849" s="41"/>
      <c r="J3849" s="45">
        <v>1</v>
      </c>
      <c r="K3849" s="46">
        <v>12</v>
      </c>
      <c r="L3849" s="46">
        <f>K3849*J3849</f>
        <v>12</v>
      </c>
      <c r="M3849" s="112"/>
      <c r="N3849" s="39">
        <v>45779</v>
      </c>
      <c r="O3849" s="38">
        <v>7002</v>
      </c>
      <c r="P3849" s="46">
        <f>K3849*(VLOOKUP(B3849,$C$2:$F$6,3,FALSE))</f>
        <v>12</v>
      </c>
      <c r="Q3849" s="483">
        <v>12</v>
      </c>
      <c r="R3849" s="704">
        <f>Q3849*J3849</f>
        <v>12</v>
      </c>
      <c r="S3849" s="489">
        <v>0</v>
      </c>
      <c r="T3849" s="113">
        <f>S3849*J3849</f>
        <v>0</v>
      </c>
      <c r="U3849" s="511"/>
      <c r="V3849" s="494">
        <v>120</v>
      </c>
      <c r="W3849" s="2041">
        <f t="shared" si="308"/>
        <v>1</v>
      </c>
    </row>
    <row r="3850" spans="1:23" s="314" customFormat="1" ht="15">
      <c r="B3850" s="313"/>
      <c r="C3850" s="302" t="s">
        <v>8429</v>
      </c>
      <c r="D3850" s="303" t="s">
        <v>6806</v>
      </c>
      <c r="E3850" s="304"/>
      <c r="F3850" s="305"/>
      <c r="G3850" s="305" t="s">
        <v>1227</v>
      </c>
      <c r="H3850" s="307" t="s">
        <v>1228</v>
      </c>
      <c r="I3850" s="308"/>
      <c r="J3850" s="306"/>
      <c r="K3850" s="315">
        <v>0</v>
      </c>
      <c r="L3850" s="310"/>
      <c r="M3850" s="310"/>
      <c r="N3850" s="310">
        <v>45779</v>
      </c>
      <c r="O3850" s="309">
        <v>7002</v>
      </c>
      <c r="P3850" s="302"/>
      <c r="Q3850" s="485">
        <v>0</v>
      </c>
      <c r="S3850" s="536">
        <v>0</v>
      </c>
      <c r="T3850" s="322">
        <v>0</v>
      </c>
      <c r="U3850" s="515"/>
      <c r="V3850" s="494">
        <v>120</v>
      </c>
      <c r="W3850" s="2041" t="e">
        <f t="shared" si="308"/>
        <v>#DIV/0!</v>
      </c>
    </row>
    <row r="3851" spans="1:23" s="222" customFormat="1" ht="15" customHeight="1">
      <c r="A3851" s="1048"/>
      <c r="B3851" s="232"/>
      <c r="C3851" s="220"/>
      <c r="D3851" s="224" t="s">
        <v>5251</v>
      </c>
      <c r="E3851" s="991" t="s">
        <v>8109</v>
      </c>
      <c r="F3851" s="176"/>
      <c r="G3851" s="177"/>
      <c r="H3851" s="221"/>
      <c r="I3851" s="997"/>
      <c r="J3851" s="221"/>
      <c r="K3851" s="2338" t="s">
        <v>10</v>
      </c>
      <c r="L3851" s="994"/>
      <c r="M3851" s="994"/>
      <c r="N3851" s="786" t="s">
        <v>8471</v>
      </c>
      <c r="O3851" s="786" t="s">
        <v>8471</v>
      </c>
      <c r="P3851" s="2230" t="e">
        <f>K3851*(VLOOKUP(B3851,$C$2:$F$6,3,FALSE))</f>
        <v>#VALUE!</v>
      </c>
      <c r="Q3851" s="484"/>
      <c r="R3851" s="2231"/>
      <c r="S3851" s="493"/>
      <c r="T3851" s="566">
        <f>S3851*J3851</f>
        <v>0</v>
      </c>
      <c r="U3851" s="2232"/>
      <c r="V3851" s="495">
        <v>120</v>
      </c>
      <c r="W3851" s="2233" t="e">
        <f t="shared" si="308"/>
        <v>#VALUE!</v>
      </c>
    </row>
    <row r="3852" spans="1:23" s="222" customFormat="1" ht="15.75" customHeight="1">
      <c r="A3852" s="1048"/>
      <c r="B3852" s="232" t="s">
        <v>1856</v>
      </c>
      <c r="C3852" s="220"/>
      <c r="D3852" s="224" t="s">
        <v>5251</v>
      </c>
      <c r="E3852" s="2445" t="s">
        <v>8186</v>
      </c>
      <c r="F3852" s="176"/>
      <c r="G3852" s="177" t="s">
        <v>8345</v>
      </c>
      <c r="H3852" s="223"/>
      <c r="I3852" s="227"/>
      <c r="J3852" s="221">
        <v>1073</v>
      </c>
      <c r="K3852" s="999">
        <v>2.71</v>
      </c>
      <c r="L3852" s="201">
        <f>K3852*J3852</f>
        <v>2907.83</v>
      </c>
      <c r="M3852" s="1000" t="s">
        <v>2219</v>
      </c>
      <c r="N3852" s="786" t="s">
        <v>8471</v>
      </c>
      <c r="O3852" s="786" t="s">
        <v>8471</v>
      </c>
      <c r="P3852" s="2230">
        <f>K3852*(VLOOKUP(B3852,$C$2:$F$6,3,FALSE))</f>
        <v>2.3847999999999998</v>
      </c>
      <c r="Q3852" s="484">
        <v>2.38</v>
      </c>
      <c r="R3852" s="2231">
        <f>Q3852*J3852</f>
        <v>2553.7399999999998</v>
      </c>
      <c r="S3852" s="1045">
        <f>125+70</f>
        <v>195</v>
      </c>
      <c r="T3852" s="566">
        <f>S3852*J3852</f>
        <v>209235</v>
      </c>
      <c r="U3852" s="2232"/>
      <c r="V3852" s="495">
        <v>120</v>
      </c>
      <c r="W3852" s="2233">
        <f t="shared" si="308"/>
        <v>0.40036900369003686</v>
      </c>
    </row>
    <row r="3853" spans="1:23" s="222" customFormat="1" ht="15.75" customHeight="1">
      <c r="A3853" s="1048"/>
      <c r="B3853" s="232"/>
      <c r="C3853" s="220"/>
      <c r="D3853" s="224" t="s">
        <v>5251</v>
      </c>
      <c r="E3853" s="991" t="s">
        <v>8215</v>
      </c>
      <c r="F3853" s="176"/>
      <c r="G3853" s="177"/>
      <c r="H3853" s="223"/>
      <c r="I3853" s="227"/>
      <c r="J3853" s="221"/>
      <c r="K3853" s="999"/>
      <c r="L3853" s="201"/>
      <c r="M3853" s="1000"/>
      <c r="N3853" s="786" t="s">
        <v>8471</v>
      </c>
      <c r="O3853" s="786" t="s">
        <v>8471</v>
      </c>
      <c r="P3853" s="2230"/>
      <c r="Q3853" s="484"/>
      <c r="R3853" s="2231"/>
      <c r="S3853" s="493">
        <v>0</v>
      </c>
      <c r="T3853" s="566"/>
      <c r="U3853" s="2504"/>
      <c r="V3853" s="495"/>
      <c r="W3853" s="2233"/>
    </row>
    <row r="3854" spans="1:23" s="222" customFormat="1" ht="15.75" customHeight="1">
      <c r="A3854" s="1048"/>
      <c r="B3854" s="232" t="s">
        <v>1856</v>
      </c>
      <c r="C3854" s="220"/>
      <c r="D3854" s="224" t="s">
        <v>5251</v>
      </c>
      <c r="E3854" s="2445" t="s">
        <v>8204</v>
      </c>
      <c r="F3854" s="176"/>
      <c r="G3854" s="177" t="s">
        <v>8345</v>
      </c>
      <c r="H3854" s="223"/>
      <c r="I3854" s="227"/>
      <c r="J3854" s="221">
        <v>558</v>
      </c>
      <c r="K3854" s="999">
        <v>2.57</v>
      </c>
      <c r="L3854" s="201">
        <f>K3854*J3854</f>
        <v>1434.06</v>
      </c>
      <c r="M3854" s="1000" t="s">
        <v>2219</v>
      </c>
      <c r="N3854" s="786" t="s">
        <v>8471</v>
      </c>
      <c r="O3854" s="786" t="s">
        <v>8471</v>
      </c>
      <c r="P3854" s="2230">
        <f>K3854*(VLOOKUP(B3854,$C$2:$F$6,3,FALSE))</f>
        <v>2.2616000000000001</v>
      </c>
      <c r="Q3854" s="484">
        <v>2.2599999999999998</v>
      </c>
      <c r="R3854" s="2231">
        <f>Q3854*J3854</f>
        <v>1261.08</v>
      </c>
      <c r="S3854" s="1045">
        <f>115+70</f>
        <v>185</v>
      </c>
      <c r="T3854" s="566">
        <f>S3854*J3854</f>
        <v>103230</v>
      </c>
      <c r="U3854" s="2232"/>
      <c r="V3854" s="495">
        <v>120</v>
      </c>
      <c r="W3854" s="2233">
        <f>(((K3854*V3854)-S3854)/(K3854*V3854))</f>
        <v>0.40012970168612189</v>
      </c>
    </row>
    <row r="3855" spans="1:23" s="222" customFormat="1" ht="15.75" customHeight="1">
      <c r="A3855" s="1048"/>
      <c r="B3855" s="232"/>
      <c r="C3855" s="220"/>
      <c r="D3855" s="224" t="s">
        <v>5251</v>
      </c>
      <c r="E3855" s="991" t="s">
        <v>8215</v>
      </c>
      <c r="F3855" s="176"/>
      <c r="G3855" s="177"/>
      <c r="H3855" s="223"/>
      <c r="I3855" s="227"/>
      <c r="J3855" s="221" t="s">
        <v>2690</v>
      </c>
      <c r="K3855" s="999"/>
      <c r="L3855" s="201"/>
      <c r="M3855" s="1000"/>
      <c r="N3855" s="786" t="s">
        <v>8471</v>
      </c>
      <c r="O3855" s="786" t="s">
        <v>8471</v>
      </c>
      <c r="P3855" s="2230"/>
      <c r="Q3855" s="484"/>
      <c r="R3855" s="2231"/>
      <c r="S3855" s="493">
        <v>0</v>
      </c>
      <c r="T3855" s="566"/>
      <c r="U3855" s="2504"/>
      <c r="V3855" s="495"/>
      <c r="W3855" s="2233"/>
    </row>
    <row r="3856" spans="1:23" s="1041" customFormat="1" ht="15.95" customHeight="1">
      <c r="A3856" s="2505"/>
      <c r="B3856" s="1028" t="s">
        <v>1862</v>
      </c>
      <c r="C3856" s="1036"/>
      <c r="D3856" s="1029" t="s">
        <v>5251</v>
      </c>
      <c r="E3856" s="2506" t="s">
        <v>8205</v>
      </c>
      <c r="F3856" s="2507"/>
      <c r="G3856" s="2506" t="s">
        <v>8344</v>
      </c>
      <c r="H3856" s="2508"/>
      <c r="I3856" s="2509"/>
      <c r="J3856" s="1034">
        <v>1</v>
      </c>
      <c r="K3856" s="1035">
        <v>65</v>
      </c>
      <c r="L3856" s="1035">
        <v>0</v>
      </c>
      <c r="M3856" s="2510" t="s">
        <v>2219</v>
      </c>
      <c r="N3856" s="786" t="s">
        <v>8471</v>
      </c>
      <c r="O3856" s="786" t="s">
        <v>8471</v>
      </c>
      <c r="P3856" s="2511">
        <f>K3856*(VLOOKUP(B3856,$C$2:$F$6,3,FALSE))</f>
        <v>65</v>
      </c>
      <c r="Q3856" s="1035">
        <v>0</v>
      </c>
      <c r="R3856" s="1035">
        <v>0</v>
      </c>
      <c r="S3856" s="1038">
        <v>6000</v>
      </c>
      <c r="T3856" s="1039">
        <f>S3856*J3856</f>
        <v>6000</v>
      </c>
      <c r="U3856" s="2512"/>
      <c r="V3856" s="2513">
        <v>120</v>
      </c>
      <c r="W3856" s="2514">
        <f>(((K3856*V3856)-S3856)/(K3856*V3856))</f>
        <v>0.23076923076923078</v>
      </c>
    </row>
    <row r="3857" spans="1:23" s="222" customFormat="1" ht="15.75" customHeight="1">
      <c r="A3857" s="1048"/>
      <c r="B3857" s="232" t="s">
        <v>1856</v>
      </c>
      <c r="C3857" s="220"/>
      <c r="D3857" s="224" t="s">
        <v>5251</v>
      </c>
      <c r="E3857" s="2445" t="s">
        <v>8205</v>
      </c>
      <c r="F3857" s="176"/>
      <c r="G3857" s="177" t="s">
        <v>8345</v>
      </c>
      <c r="H3857" s="223"/>
      <c r="I3857" s="227"/>
      <c r="J3857" s="221">
        <v>173</v>
      </c>
      <c r="K3857" s="999">
        <v>2.92</v>
      </c>
      <c r="L3857" s="201">
        <f>K3857*J3857</f>
        <v>505.15999999999997</v>
      </c>
      <c r="M3857" s="1000" t="s">
        <v>2219</v>
      </c>
      <c r="N3857" s="786" t="s">
        <v>8471</v>
      </c>
      <c r="O3857" s="786" t="s">
        <v>8471</v>
      </c>
      <c r="P3857" s="2230">
        <f>K3857*(VLOOKUP(B3857,$C$2:$F$6,3,FALSE))</f>
        <v>2.5695999999999999</v>
      </c>
      <c r="Q3857" s="484">
        <v>2.57</v>
      </c>
      <c r="R3857" s="2231">
        <f>Q3857*J3857</f>
        <v>444.60999999999996</v>
      </c>
      <c r="S3857" s="1045">
        <f>140+70</f>
        <v>210</v>
      </c>
      <c r="T3857" s="566">
        <f>S3857*J3857</f>
        <v>36330</v>
      </c>
      <c r="U3857" s="2232"/>
      <c r="V3857" s="495">
        <v>120</v>
      </c>
      <c r="W3857" s="2233">
        <f>(((K3857*V3857)-S3857)/(K3857*V3857))</f>
        <v>0.40068493150684925</v>
      </c>
    </row>
    <row r="3858" spans="1:23" s="222" customFormat="1" ht="15.75" customHeight="1">
      <c r="A3858" s="1048"/>
      <c r="B3858" s="232"/>
      <c r="C3858" s="220"/>
      <c r="D3858" s="224" t="s">
        <v>5251</v>
      </c>
      <c r="E3858" s="991" t="s">
        <v>8215</v>
      </c>
      <c r="F3858" s="176"/>
      <c r="G3858" s="177"/>
      <c r="H3858" s="223"/>
      <c r="I3858" s="227"/>
      <c r="J3858" s="221"/>
      <c r="K3858" s="999"/>
      <c r="L3858" s="201"/>
      <c r="M3858" s="1000"/>
      <c r="N3858" s="786" t="s">
        <v>8471</v>
      </c>
      <c r="O3858" s="786" t="s">
        <v>8471</v>
      </c>
      <c r="P3858" s="2230"/>
      <c r="Q3858" s="484"/>
      <c r="R3858" s="2231"/>
      <c r="S3858" s="493">
        <v>0</v>
      </c>
      <c r="T3858" s="566"/>
      <c r="U3858" s="2504"/>
      <c r="V3858" s="495"/>
      <c r="W3858" s="2233"/>
    </row>
    <row r="3859" spans="1:23" s="1041" customFormat="1" ht="15.75" customHeight="1">
      <c r="A3859" s="2505"/>
      <c r="B3859" s="1028" t="s">
        <v>1862</v>
      </c>
      <c r="C3859" s="1036"/>
      <c r="D3859" s="1029" t="s">
        <v>5251</v>
      </c>
      <c r="E3859" s="2506" t="s">
        <v>8206</v>
      </c>
      <c r="F3859" s="2507"/>
      <c r="G3859" s="2506" t="s">
        <v>8344</v>
      </c>
      <c r="H3859" s="2508"/>
      <c r="I3859" s="2509"/>
      <c r="J3859" s="1034">
        <v>1</v>
      </c>
      <c r="K3859" s="1035">
        <v>65</v>
      </c>
      <c r="L3859" s="1035">
        <v>0</v>
      </c>
      <c r="M3859" s="2510" t="s">
        <v>2219</v>
      </c>
      <c r="N3859" s="786" t="s">
        <v>8471</v>
      </c>
      <c r="O3859" s="786" t="s">
        <v>8471</v>
      </c>
      <c r="P3859" s="2511">
        <f>K3859*(VLOOKUP(B3859,$C$2:$F$6,3,FALSE))</f>
        <v>65</v>
      </c>
      <c r="Q3859" s="1035">
        <v>0</v>
      </c>
      <c r="R3859" s="1035">
        <v>0</v>
      </c>
      <c r="S3859" s="1035">
        <v>0</v>
      </c>
      <c r="T3859" s="1035">
        <v>0</v>
      </c>
      <c r="U3859" s="2512"/>
      <c r="V3859" s="2513">
        <v>120</v>
      </c>
      <c r="W3859" s="2514">
        <f>(((K3859*V3859)-S3859)/(K3859*V3859))</f>
        <v>1</v>
      </c>
    </row>
    <row r="3860" spans="1:23" s="222" customFormat="1" ht="15.75" customHeight="1">
      <c r="A3860" s="1048"/>
      <c r="B3860" s="232" t="s">
        <v>1856</v>
      </c>
      <c r="C3860" s="220"/>
      <c r="D3860" s="224" t="s">
        <v>5251</v>
      </c>
      <c r="E3860" s="2445" t="s">
        <v>8206</v>
      </c>
      <c r="F3860" s="176"/>
      <c r="G3860" s="177" t="s">
        <v>8345</v>
      </c>
      <c r="H3860" s="223"/>
      <c r="I3860" s="227"/>
      <c r="J3860" s="221">
        <v>345</v>
      </c>
      <c r="K3860" s="999">
        <v>3.07</v>
      </c>
      <c r="L3860" s="201">
        <f>K3860*J3860</f>
        <v>1059.1499999999999</v>
      </c>
      <c r="M3860" s="1000" t="s">
        <v>2219</v>
      </c>
      <c r="N3860" s="786" t="s">
        <v>8471</v>
      </c>
      <c r="O3860" s="786" t="s">
        <v>8471</v>
      </c>
      <c r="P3860" s="2230">
        <f>K3860*(VLOOKUP(B3860,$C$2:$F$6,3,FALSE))</f>
        <v>2.7016</v>
      </c>
      <c r="Q3860" s="484">
        <v>2.7</v>
      </c>
      <c r="R3860" s="2231">
        <f>Q3860*J3860</f>
        <v>931.50000000000011</v>
      </c>
      <c r="S3860" s="1045">
        <f>151+70</f>
        <v>221</v>
      </c>
      <c r="T3860" s="566">
        <f>S3860*J3860</f>
        <v>76245</v>
      </c>
      <c r="U3860" s="2232"/>
      <c r="V3860" s="495">
        <v>120</v>
      </c>
      <c r="W3860" s="2233">
        <f>(((K3860*V3860)-S3860)/(K3860*V3860))</f>
        <v>0.40010857763300756</v>
      </c>
    </row>
    <row r="3861" spans="1:23" s="1048" customFormat="1" ht="15">
      <c r="B3861" s="1042"/>
      <c r="C3861" s="220"/>
      <c r="D3861" s="224" t="s">
        <v>5251</v>
      </c>
      <c r="E3861" s="225"/>
      <c r="F3861" s="187"/>
      <c r="G3861" s="187" t="s">
        <v>1227</v>
      </c>
      <c r="H3861" s="1043" t="s">
        <v>1228</v>
      </c>
      <c r="I3861" s="231"/>
      <c r="J3861" s="223"/>
      <c r="K3861" s="201">
        <v>0</v>
      </c>
      <c r="L3861" s="994"/>
      <c r="M3861" s="994"/>
      <c r="N3861" s="786" t="s">
        <v>8471</v>
      </c>
      <c r="O3861" s="786" t="s">
        <v>8471</v>
      </c>
      <c r="P3861" s="220"/>
      <c r="Q3861" s="2446">
        <v>0</v>
      </c>
      <c r="S3861" s="1045">
        <v>0</v>
      </c>
      <c r="T3861" s="1046">
        <v>0</v>
      </c>
      <c r="U3861" s="1047"/>
      <c r="V3861" s="495">
        <v>120</v>
      </c>
      <c r="W3861" s="2233" t="e">
        <f>(((K3861*V3861)-S3861)/(K3861*V3861))</f>
        <v>#DIV/0!</v>
      </c>
    </row>
    <row r="3862" spans="1:23" s="7" customFormat="1" ht="15">
      <c r="B3862" s="12"/>
      <c r="C3862" s="6" t="s">
        <v>8454</v>
      </c>
      <c r="D3862" s="15" t="s">
        <v>8455</v>
      </c>
      <c r="E3862" s="20" t="s">
        <v>3413</v>
      </c>
      <c r="F3862" s="26"/>
      <c r="G3862" s="24"/>
      <c r="H3862" s="67"/>
      <c r="I3862" s="68"/>
      <c r="J3862" s="67"/>
      <c r="K3862" s="10" t="s">
        <v>10</v>
      </c>
      <c r="L3862" s="39"/>
      <c r="M3862" s="39"/>
      <c r="N3862" s="39">
        <v>45771</v>
      </c>
      <c r="O3862" s="38">
        <v>7020</v>
      </c>
      <c r="P3862" s="6" t="s">
        <v>3</v>
      </c>
      <c r="Q3862" s="481"/>
      <c r="S3862" s="489"/>
      <c r="T3862" s="113"/>
      <c r="U3862" s="500"/>
      <c r="V3862" s="494">
        <v>120</v>
      </c>
    </row>
    <row r="3863" spans="1:23" s="7" customFormat="1" ht="15" customHeight="1">
      <c r="B3863" s="12" t="s">
        <v>1856</v>
      </c>
      <c r="C3863" s="6" t="s">
        <v>8454</v>
      </c>
      <c r="D3863" s="15" t="s">
        <v>8455</v>
      </c>
      <c r="E3863" s="24" t="s">
        <v>3414</v>
      </c>
      <c r="F3863" s="26"/>
      <c r="G3863" s="67" t="s">
        <v>56</v>
      </c>
      <c r="H3863" s="67"/>
      <c r="I3863" s="68"/>
      <c r="J3863" s="8">
        <v>1400</v>
      </c>
      <c r="K3863" s="25">
        <v>2.92</v>
      </c>
      <c r="L3863" s="46">
        <f>K3863*J3863</f>
        <v>4088</v>
      </c>
      <c r="M3863" s="162" t="s">
        <v>2219</v>
      </c>
      <c r="N3863" s="39">
        <v>45771</v>
      </c>
      <c r="O3863" s="38">
        <v>7020</v>
      </c>
      <c r="P3863" s="46">
        <v>2.39</v>
      </c>
      <c r="Q3863" s="482">
        <v>2.39</v>
      </c>
      <c r="R3863" s="704">
        <f>Q3863*J3863</f>
        <v>3346</v>
      </c>
      <c r="S3863" s="489">
        <v>0</v>
      </c>
      <c r="T3863" s="113">
        <f>S3863*J3863</f>
        <v>0</v>
      </c>
      <c r="U3863" s="1597"/>
      <c r="V3863" s="494">
        <v>120</v>
      </c>
    </row>
    <row r="3864" spans="1:23" s="7" customFormat="1" ht="15" customHeight="1">
      <c r="B3864" s="12" t="s">
        <v>1856</v>
      </c>
      <c r="C3864" s="6" t="s">
        <v>8454</v>
      </c>
      <c r="D3864" s="15" t="s">
        <v>8455</v>
      </c>
      <c r="E3864" s="24" t="s">
        <v>3414</v>
      </c>
      <c r="F3864" s="26"/>
      <c r="G3864" s="67" t="s">
        <v>56</v>
      </c>
      <c r="H3864" s="67"/>
      <c r="I3864" s="68"/>
      <c r="J3864" s="8">
        <v>600</v>
      </c>
      <c r="K3864" s="25">
        <v>2.92</v>
      </c>
      <c r="L3864" s="46">
        <f>K3864*J3864</f>
        <v>1752</v>
      </c>
      <c r="M3864" s="162" t="s">
        <v>2219</v>
      </c>
      <c r="N3864" s="39">
        <v>45771</v>
      </c>
      <c r="O3864" s="38">
        <v>7020</v>
      </c>
      <c r="P3864" s="46">
        <v>2.39</v>
      </c>
      <c r="Q3864" s="482">
        <v>2.39</v>
      </c>
      <c r="R3864" s="704">
        <f>Q3864*J3864</f>
        <v>1434</v>
      </c>
      <c r="S3864" s="489">
        <v>70</v>
      </c>
      <c r="T3864" s="113">
        <f>S3864*J3864</f>
        <v>42000</v>
      </c>
      <c r="U3864" s="1597"/>
      <c r="V3864" s="494">
        <v>120</v>
      </c>
    </row>
    <row r="3865" spans="1:23" s="314" customFormat="1" ht="15">
      <c r="A3865" s="1"/>
      <c r="B3865" s="313"/>
      <c r="C3865" s="302" t="s">
        <v>8454</v>
      </c>
      <c r="D3865" s="303" t="s">
        <v>8455</v>
      </c>
      <c r="E3865" s="304"/>
      <c r="F3865" s="305"/>
      <c r="G3865" s="305" t="s">
        <v>1227</v>
      </c>
      <c r="H3865" s="307" t="s">
        <v>2370</v>
      </c>
      <c r="I3865" s="308"/>
      <c r="J3865" s="306">
        <v>2000</v>
      </c>
      <c r="K3865" s="315">
        <f>0.2*J3865</f>
        <v>400</v>
      </c>
      <c r="L3865" s="310"/>
      <c r="M3865" s="310"/>
      <c r="N3865" s="310">
        <v>45771</v>
      </c>
      <c r="O3865" s="309">
        <v>7020</v>
      </c>
      <c r="P3865" s="302"/>
      <c r="Q3865" s="485">
        <v>400</v>
      </c>
      <c r="R3865" s="704">
        <v>400</v>
      </c>
      <c r="S3865" s="2525">
        <f>26000+3000</f>
        <v>29000</v>
      </c>
      <c r="T3865" s="2525">
        <f>26000+3000</f>
        <v>29000</v>
      </c>
      <c r="U3865" s="515"/>
      <c r="V3865" s="494">
        <v>120</v>
      </c>
      <c r="W3865" s="2041">
        <f t="shared" ref="W3865:W3888" si="309">(((K3865*V3865)-S3865)/(K3865*V3865))</f>
        <v>0.39583333333333331</v>
      </c>
    </row>
    <row r="3866" spans="1:23" ht="15">
      <c r="C3866" s="6" t="s">
        <v>8458</v>
      </c>
      <c r="D3866" s="15" t="s">
        <v>11</v>
      </c>
      <c r="E3866" s="20" t="s">
        <v>79</v>
      </c>
      <c r="F3866" s="150"/>
      <c r="G3866" s="24"/>
      <c r="H3866" s="151"/>
      <c r="I3866" s="152"/>
      <c r="J3866" s="151"/>
      <c r="K3866" s="153" t="s">
        <v>10</v>
      </c>
      <c r="L3866" s="39"/>
      <c r="M3866" s="39"/>
      <c r="N3866" s="39">
        <v>45793</v>
      </c>
      <c r="O3866" s="38">
        <v>7100</v>
      </c>
      <c r="P3866" s="15"/>
      <c r="Q3866" s="483"/>
      <c r="S3866" s="2503" t="s">
        <v>8469</v>
      </c>
      <c r="T3866" s="113"/>
      <c r="V3866" s="494">
        <v>120</v>
      </c>
      <c r="W3866" s="2041" t="e">
        <f t="shared" si="309"/>
        <v>#VALUE!</v>
      </c>
    </row>
    <row r="3867" spans="1:23" ht="15.75">
      <c r="B3867" s="12" t="s">
        <v>1858</v>
      </c>
      <c r="C3867" s="6" t="s">
        <v>8458</v>
      </c>
      <c r="D3867" s="15" t="s">
        <v>11</v>
      </c>
      <c r="E3867" s="1012">
        <v>2440</v>
      </c>
      <c r="F3867" s="150">
        <v>140</v>
      </c>
      <c r="G3867" s="24" t="s">
        <v>30</v>
      </c>
      <c r="H3867" s="19">
        <v>58</v>
      </c>
      <c r="I3867" s="68">
        <v>2</v>
      </c>
      <c r="J3867" s="19">
        <f>H3867*I3867</f>
        <v>116</v>
      </c>
      <c r="K3867" s="46">
        <v>4.05</v>
      </c>
      <c r="L3867" s="46">
        <f>K3867*J3867</f>
        <v>469.79999999999995</v>
      </c>
      <c r="M3867" s="162" t="s">
        <v>2219</v>
      </c>
      <c r="N3867" s="39">
        <v>45793</v>
      </c>
      <c r="O3867" s="38">
        <v>7100</v>
      </c>
      <c r="P3867" s="46">
        <f>K3867*(VLOOKUP(B3867,$C$2:$F$6,3,FALSE))</f>
        <v>3.8069999999999995</v>
      </c>
      <c r="Q3867" s="483">
        <v>3.81</v>
      </c>
      <c r="R3867" s="704">
        <f>Q3867*J3867</f>
        <v>441.96</v>
      </c>
      <c r="S3867" s="489">
        <f>310+15</f>
        <v>325</v>
      </c>
      <c r="T3867" s="567">
        <f t="shared" ref="T3867:T3872" si="310">S3867*J3867</f>
        <v>37700</v>
      </c>
      <c r="V3867" s="494">
        <v>120</v>
      </c>
      <c r="W3867" s="2041">
        <f t="shared" si="309"/>
        <v>0.33127572016460904</v>
      </c>
    </row>
    <row r="3868" spans="1:23" ht="15.75">
      <c r="B3868" s="12" t="s">
        <v>1858</v>
      </c>
      <c r="C3868" s="6" t="s">
        <v>8458</v>
      </c>
      <c r="D3868" s="15" t="s">
        <v>11</v>
      </c>
      <c r="E3868" s="1012">
        <v>2440</v>
      </c>
      <c r="F3868" s="150">
        <v>140</v>
      </c>
      <c r="G3868" s="24" t="s">
        <v>8459</v>
      </c>
      <c r="H3868" s="19">
        <v>58</v>
      </c>
      <c r="I3868" s="68">
        <v>2</v>
      </c>
      <c r="J3868" s="19">
        <f>H3868*I3868</f>
        <v>116</v>
      </c>
      <c r="K3868" s="46">
        <v>4.05</v>
      </c>
      <c r="L3868" s="46">
        <f>K3868*J3868</f>
        <v>469.79999999999995</v>
      </c>
      <c r="M3868" s="162" t="s">
        <v>2219</v>
      </c>
      <c r="N3868" s="39">
        <v>45793</v>
      </c>
      <c r="O3868" s="38">
        <v>7100</v>
      </c>
      <c r="P3868" s="46">
        <f>K3868*(VLOOKUP(B3868,$C$2:$F$6,3,FALSE))</f>
        <v>3.8069999999999995</v>
      </c>
      <c r="Q3868" s="483">
        <v>3.81</v>
      </c>
      <c r="R3868" s="704">
        <f>Q3868*J3868</f>
        <v>441.96</v>
      </c>
      <c r="S3868" s="489">
        <f>310+15</f>
        <v>325</v>
      </c>
      <c r="T3868" s="567">
        <f t="shared" si="310"/>
        <v>37700</v>
      </c>
      <c r="V3868" s="494">
        <v>120</v>
      </c>
      <c r="W3868" s="2041">
        <f t="shared" si="309"/>
        <v>0.33127572016460904</v>
      </c>
    </row>
    <row r="3869" spans="1:23" ht="15.75">
      <c r="B3869" s="12" t="s">
        <v>1858</v>
      </c>
      <c r="C3869" s="6" t="s">
        <v>8458</v>
      </c>
      <c r="D3869" s="15" t="s">
        <v>11</v>
      </c>
      <c r="E3869" s="1012">
        <v>2440</v>
      </c>
      <c r="F3869" s="150">
        <v>140</v>
      </c>
      <c r="G3869" s="24" t="s">
        <v>8460</v>
      </c>
      <c r="H3869" s="19">
        <v>58</v>
      </c>
      <c r="I3869" s="68">
        <v>3</v>
      </c>
      <c r="J3869" s="19">
        <f>H3869*I3869</f>
        <v>174</v>
      </c>
      <c r="K3869" s="46">
        <v>4.05</v>
      </c>
      <c r="L3869" s="46">
        <f>K3869*J3869</f>
        <v>704.69999999999993</v>
      </c>
      <c r="M3869" s="162" t="s">
        <v>2219</v>
      </c>
      <c r="N3869" s="39">
        <v>45793</v>
      </c>
      <c r="O3869" s="38">
        <v>7100</v>
      </c>
      <c r="P3869" s="46">
        <f>K3869*(VLOOKUP(B3869,$C$2:$F$6,3,FALSE))</f>
        <v>3.8069999999999995</v>
      </c>
      <c r="Q3869" s="483">
        <v>3.81</v>
      </c>
      <c r="R3869" s="704">
        <f>Q3869*J3869</f>
        <v>662.94</v>
      </c>
      <c r="S3869" s="489">
        <f>310+15</f>
        <v>325</v>
      </c>
      <c r="T3869" s="567">
        <f t="shared" si="310"/>
        <v>56550</v>
      </c>
      <c r="V3869" s="494">
        <v>120</v>
      </c>
      <c r="W3869" s="2041">
        <f t="shared" si="309"/>
        <v>0.33127572016460904</v>
      </c>
    </row>
    <row r="3870" spans="1:23" ht="15.75">
      <c r="B3870" s="12" t="s">
        <v>1858</v>
      </c>
      <c r="C3870" s="6" t="s">
        <v>8458</v>
      </c>
      <c r="D3870" s="15" t="s">
        <v>11</v>
      </c>
      <c r="E3870" s="1012">
        <v>2440</v>
      </c>
      <c r="F3870" s="150">
        <v>140</v>
      </c>
      <c r="G3870" s="24" t="s">
        <v>8461</v>
      </c>
      <c r="H3870" s="19">
        <v>58</v>
      </c>
      <c r="I3870" s="68">
        <v>4</v>
      </c>
      <c r="J3870" s="19">
        <f>H3870*I3870</f>
        <v>232</v>
      </c>
      <c r="K3870" s="46">
        <v>4.05</v>
      </c>
      <c r="L3870" s="46">
        <f>K3870*J3870</f>
        <v>939.59999999999991</v>
      </c>
      <c r="M3870" s="162" t="s">
        <v>2219</v>
      </c>
      <c r="N3870" s="39">
        <v>45793</v>
      </c>
      <c r="O3870" s="38">
        <v>7100</v>
      </c>
      <c r="P3870" s="46">
        <f>K3870*(VLOOKUP(B3870,$C$2:$F$6,3,FALSE))</f>
        <v>3.8069999999999995</v>
      </c>
      <c r="Q3870" s="483">
        <v>3.81</v>
      </c>
      <c r="R3870" s="704">
        <f>Q3870*J3870</f>
        <v>883.92</v>
      </c>
      <c r="S3870" s="489">
        <f>310+15</f>
        <v>325</v>
      </c>
      <c r="T3870" s="567">
        <f t="shared" si="310"/>
        <v>75400</v>
      </c>
      <c r="V3870" s="494">
        <v>120</v>
      </c>
      <c r="W3870" s="2041">
        <f t="shared" si="309"/>
        <v>0.33127572016460904</v>
      </c>
    </row>
    <row r="3871" spans="1:23" ht="15.75">
      <c r="B3871" s="12" t="s">
        <v>1858</v>
      </c>
      <c r="C3871" s="6" t="s">
        <v>8458</v>
      </c>
      <c r="D3871" s="15" t="s">
        <v>11</v>
      </c>
      <c r="E3871" s="1012">
        <v>2440</v>
      </c>
      <c r="F3871" s="150">
        <v>140</v>
      </c>
      <c r="G3871" s="24" t="s">
        <v>8462</v>
      </c>
      <c r="H3871" s="19">
        <v>58</v>
      </c>
      <c r="I3871" s="68">
        <v>3</v>
      </c>
      <c r="J3871" s="19">
        <f>H3871*I3871</f>
        <v>174</v>
      </c>
      <c r="K3871" s="46">
        <v>4.05</v>
      </c>
      <c r="L3871" s="46">
        <f>K3871*J3871</f>
        <v>704.69999999999993</v>
      </c>
      <c r="M3871" s="162" t="s">
        <v>2219</v>
      </c>
      <c r="N3871" s="39">
        <v>45793</v>
      </c>
      <c r="O3871" s="38">
        <v>7100</v>
      </c>
      <c r="P3871" s="46">
        <f>K3871*(VLOOKUP(B3871,$C$2:$F$6,3,FALSE))</f>
        <v>3.8069999999999995</v>
      </c>
      <c r="Q3871" s="483">
        <v>3.81</v>
      </c>
      <c r="R3871" s="704">
        <f>Q3871*J3871</f>
        <v>662.94</v>
      </c>
      <c r="S3871" s="489">
        <f>310+15</f>
        <v>325</v>
      </c>
      <c r="T3871" s="567">
        <f t="shared" si="310"/>
        <v>56550</v>
      </c>
      <c r="V3871" s="494">
        <v>120</v>
      </c>
      <c r="W3871" s="2041">
        <f t="shared" si="309"/>
        <v>0.33127572016460904</v>
      </c>
    </row>
    <row r="3872" spans="1:23" s="217" customFormat="1" ht="15.95" customHeight="1">
      <c r="B3872" s="539"/>
      <c r="C3872" s="6" t="s">
        <v>8458</v>
      </c>
      <c r="D3872" s="15" t="s">
        <v>11</v>
      </c>
      <c r="E3872" s="56"/>
      <c r="F3872" s="160"/>
      <c r="G3872" s="42" t="s">
        <v>1993</v>
      </c>
      <c r="H3872" s="214"/>
      <c r="I3872" s="215"/>
      <c r="J3872" s="43">
        <v>1</v>
      </c>
      <c r="K3872" s="229">
        <v>20</v>
      </c>
      <c r="L3872" s="229">
        <v>0</v>
      </c>
      <c r="M3872" s="969"/>
      <c r="N3872" s="39">
        <v>45793</v>
      </c>
      <c r="O3872" s="38">
        <v>7100</v>
      </c>
      <c r="P3872" s="692"/>
      <c r="Q3872" s="970">
        <v>0</v>
      </c>
      <c r="R3872" s="970">
        <v>0</v>
      </c>
      <c r="S3872" s="2459">
        <v>0</v>
      </c>
      <c r="T3872" s="2524">
        <f t="shared" si="310"/>
        <v>0</v>
      </c>
      <c r="U3872" s="667"/>
      <c r="V3872" s="547">
        <v>120</v>
      </c>
      <c r="W3872" s="2051">
        <f t="shared" si="309"/>
        <v>1</v>
      </c>
    </row>
    <row r="3873" spans="1:23" s="314" customFormat="1" ht="15" customHeight="1">
      <c r="A3873" s="1"/>
      <c r="B3873" s="313"/>
      <c r="C3873" s="302" t="s">
        <v>8458</v>
      </c>
      <c r="D3873" s="303" t="s">
        <v>11</v>
      </c>
      <c r="E3873" s="304"/>
      <c r="F3873" s="305"/>
      <c r="G3873" s="305" t="s">
        <v>1227</v>
      </c>
      <c r="H3873" s="307" t="s">
        <v>1228</v>
      </c>
      <c r="I3873" s="308"/>
      <c r="J3873" s="306"/>
      <c r="K3873" s="316">
        <v>0</v>
      </c>
      <c r="L3873" s="310"/>
      <c r="M3873" s="310"/>
      <c r="N3873" s="310">
        <v>45793</v>
      </c>
      <c r="O3873" s="309">
        <v>7100</v>
      </c>
      <c r="P3873" s="302"/>
      <c r="Q3873" s="485">
        <v>0</v>
      </c>
      <c r="S3873" s="536">
        <v>0</v>
      </c>
      <c r="T3873" s="322">
        <v>0</v>
      </c>
      <c r="U3873" s="515"/>
      <c r="V3873" s="494">
        <v>120</v>
      </c>
      <c r="W3873" s="2041" t="e">
        <f t="shared" si="309"/>
        <v>#DIV/0!</v>
      </c>
    </row>
    <row r="3874" spans="1:23" ht="15">
      <c r="C3874" s="6" t="s">
        <v>8463</v>
      </c>
      <c r="D3874" s="15" t="s">
        <v>11</v>
      </c>
      <c r="E3874" s="20" t="s">
        <v>79</v>
      </c>
      <c r="F3874" s="150"/>
      <c r="G3874" s="24"/>
      <c r="H3874" s="151"/>
      <c r="I3874" s="152"/>
      <c r="J3874" s="151"/>
      <c r="K3874" s="153" t="s">
        <v>10</v>
      </c>
      <c r="L3874" s="39"/>
      <c r="M3874" s="39"/>
      <c r="N3874" s="39">
        <v>45863</v>
      </c>
      <c r="O3874" s="38">
        <v>7318</v>
      </c>
      <c r="P3874" s="15"/>
      <c r="Q3874" s="483"/>
      <c r="S3874" s="2503" t="s">
        <v>8470</v>
      </c>
      <c r="T3874" s="113"/>
      <c r="V3874" s="494">
        <v>120</v>
      </c>
      <c r="W3874" s="2041" t="e">
        <f t="shared" si="309"/>
        <v>#VALUE!</v>
      </c>
    </row>
    <row r="3875" spans="1:23" ht="15.75">
      <c r="B3875" s="12" t="s">
        <v>1858</v>
      </c>
      <c r="C3875" s="6" t="s">
        <v>8463</v>
      </c>
      <c r="D3875" s="15" t="s">
        <v>11</v>
      </c>
      <c r="E3875" s="24" t="s">
        <v>3080</v>
      </c>
      <c r="F3875" s="150">
        <v>152</v>
      </c>
      <c r="G3875" s="24" t="s">
        <v>2601</v>
      </c>
      <c r="H3875" s="67">
        <v>58</v>
      </c>
      <c r="I3875" s="68">
        <v>9</v>
      </c>
      <c r="J3875" s="67">
        <f>H3875*I3875</f>
        <v>522</v>
      </c>
      <c r="K3875" s="46">
        <v>4.05</v>
      </c>
      <c r="L3875" s="46">
        <f>K3875*J3875</f>
        <v>2114.1</v>
      </c>
      <c r="M3875" s="162" t="s">
        <v>2219</v>
      </c>
      <c r="N3875" s="39">
        <v>45863</v>
      </c>
      <c r="O3875" s="38">
        <v>7318</v>
      </c>
      <c r="P3875" s="46">
        <f>K3875*(VLOOKUP(B3875,$C$2:$F$6,3,FALSE))</f>
        <v>3.8069999999999995</v>
      </c>
      <c r="Q3875" s="483">
        <v>3.81</v>
      </c>
      <c r="R3875" s="704">
        <f>Q3875*J3875</f>
        <v>1988.82</v>
      </c>
      <c r="S3875" s="489">
        <v>265</v>
      </c>
      <c r="T3875" s="567">
        <f>S3875*J3875</f>
        <v>138330</v>
      </c>
      <c r="V3875" s="494">
        <v>120</v>
      </c>
      <c r="W3875" s="2041">
        <f t="shared" si="309"/>
        <v>0.45473251028806583</v>
      </c>
    </row>
    <row r="3876" spans="1:23" ht="15.75">
      <c r="B3876" s="12" t="s">
        <v>1858</v>
      </c>
      <c r="C3876" s="6" t="s">
        <v>8463</v>
      </c>
      <c r="D3876" s="15" t="s">
        <v>11</v>
      </c>
      <c r="E3876" s="24" t="s">
        <v>3080</v>
      </c>
      <c r="F3876" s="150">
        <v>152</v>
      </c>
      <c r="G3876" s="24" t="s">
        <v>2601</v>
      </c>
      <c r="H3876" s="67">
        <v>58</v>
      </c>
      <c r="I3876" s="68">
        <v>4</v>
      </c>
      <c r="J3876" s="67">
        <f>H3876*I3876</f>
        <v>232</v>
      </c>
      <c r="K3876" s="46">
        <v>4.05</v>
      </c>
      <c r="L3876" s="46">
        <f>K3876*J3876</f>
        <v>939.59999999999991</v>
      </c>
      <c r="M3876" s="162" t="s">
        <v>2219</v>
      </c>
      <c r="N3876" s="39">
        <v>45903</v>
      </c>
      <c r="O3876" s="38">
        <v>7427</v>
      </c>
      <c r="P3876" s="46">
        <f>K3876*(VLOOKUP(B3876,$C$2:$F$6,3,FALSE))</f>
        <v>3.8069999999999995</v>
      </c>
      <c r="Q3876" s="483">
        <v>3.81</v>
      </c>
      <c r="R3876" s="704">
        <f>Q3876*J3876</f>
        <v>883.92</v>
      </c>
      <c r="S3876" s="489">
        <v>265</v>
      </c>
      <c r="T3876" s="567">
        <f>S3876*J3876</f>
        <v>61480</v>
      </c>
      <c r="V3876" s="494">
        <v>120</v>
      </c>
      <c r="W3876" s="2041">
        <f t="shared" si="309"/>
        <v>0.45473251028806583</v>
      </c>
    </row>
    <row r="3877" spans="1:23" ht="15.75">
      <c r="B3877" s="12" t="s">
        <v>1858</v>
      </c>
      <c r="C3877" s="6" t="s">
        <v>8463</v>
      </c>
      <c r="D3877" s="15" t="s">
        <v>11</v>
      </c>
      <c r="E3877" s="24" t="s">
        <v>3080</v>
      </c>
      <c r="F3877" s="150">
        <v>152</v>
      </c>
      <c r="G3877" s="24" t="s">
        <v>2601</v>
      </c>
      <c r="H3877" s="67">
        <v>59</v>
      </c>
      <c r="I3877" s="68">
        <v>2</v>
      </c>
      <c r="J3877" s="67">
        <f>H3877*I3877</f>
        <v>118</v>
      </c>
      <c r="K3877" s="46">
        <v>4.05</v>
      </c>
      <c r="L3877" s="46">
        <f>K3877*J3877</f>
        <v>477.9</v>
      </c>
      <c r="M3877" s="162" t="s">
        <v>2219</v>
      </c>
      <c r="N3877" s="39">
        <v>45903</v>
      </c>
      <c r="O3877" s="38">
        <v>7427</v>
      </c>
      <c r="P3877" s="46">
        <f>K3877*(VLOOKUP(B3877,$C$2:$F$6,3,FALSE))</f>
        <v>3.8069999999999995</v>
      </c>
      <c r="Q3877" s="483">
        <v>3.81</v>
      </c>
      <c r="R3877" s="704">
        <f>Q3877*J3877</f>
        <v>449.58</v>
      </c>
      <c r="S3877" s="489">
        <v>265</v>
      </c>
      <c r="T3877" s="567">
        <f>S3877*J3877</f>
        <v>31270</v>
      </c>
      <c r="V3877" s="494">
        <v>120</v>
      </c>
      <c r="W3877" s="2041">
        <f t="shared" si="309"/>
        <v>0.45473251028806583</v>
      </c>
    </row>
    <row r="3878" spans="1:23" ht="15.75">
      <c r="B3878" s="12" t="s">
        <v>1858</v>
      </c>
      <c r="C3878" s="6" t="s">
        <v>8463</v>
      </c>
      <c r="D3878" s="15" t="s">
        <v>11</v>
      </c>
      <c r="E3878" s="24" t="s">
        <v>3080</v>
      </c>
      <c r="F3878" s="150">
        <v>152</v>
      </c>
      <c r="G3878" s="24" t="s">
        <v>2601</v>
      </c>
      <c r="H3878" s="67">
        <v>68</v>
      </c>
      <c r="I3878" s="68">
        <v>3</v>
      </c>
      <c r="J3878" s="67">
        <f>H3878*I3878</f>
        <v>204</v>
      </c>
      <c r="K3878" s="46">
        <v>4.05</v>
      </c>
      <c r="L3878" s="46">
        <f>K3878*J3878</f>
        <v>826.19999999999993</v>
      </c>
      <c r="M3878" s="162" t="s">
        <v>2219</v>
      </c>
      <c r="N3878" s="39">
        <v>45903</v>
      </c>
      <c r="O3878" s="38">
        <v>7427</v>
      </c>
      <c r="P3878" s="46">
        <f>K3878*(VLOOKUP(B3878,$C$2:$F$6,3,FALSE))</f>
        <v>3.8069999999999995</v>
      </c>
      <c r="Q3878" s="483">
        <v>3.81</v>
      </c>
      <c r="R3878" s="704">
        <f>Q3878*J3878</f>
        <v>777.24</v>
      </c>
      <c r="S3878" s="489">
        <v>265</v>
      </c>
      <c r="T3878" s="567">
        <f>S3878*J3878</f>
        <v>54060</v>
      </c>
      <c r="V3878" s="494">
        <v>120</v>
      </c>
      <c r="W3878" s="2041">
        <f t="shared" si="309"/>
        <v>0.45473251028806583</v>
      </c>
    </row>
    <row r="3879" spans="1:23" s="217" customFormat="1" ht="15.95" customHeight="1">
      <c r="B3879" s="539"/>
      <c r="C3879" s="6" t="s">
        <v>8463</v>
      </c>
      <c r="D3879" s="15" t="s">
        <v>11</v>
      </c>
      <c r="E3879" s="56"/>
      <c r="F3879" s="160"/>
      <c r="G3879" s="42" t="s">
        <v>1993</v>
      </c>
      <c r="H3879" s="214"/>
      <c r="I3879" s="215"/>
      <c r="J3879" s="43">
        <v>1</v>
      </c>
      <c r="K3879" s="229">
        <v>20</v>
      </c>
      <c r="L3879" s="229">
        <v>0</v>
      </c>
      <c r="M3879" s="969"/>
      <c r="N3879" s="39">
        <v>45903</v>
      </c>
      <c r="O3879" s="38">
        <v>7427</v>
      </c>
      <c r="P3879" s="692"/>
      <c r="Q3879" s="970">
        <v>0</v>
      </c>
      <c r="R3879" s="970">
        <v>0</v>
      </c>
      <c r="S3879" s="498">
        <v>0</v>
      </c>
      <c r="T3879" s="567">
        <f>S3879*J3879</f>
        <v>0</v>
      </c>
      <c r="U3879" s="667"/>
      <c r="V3879" s="547">
        <v>120</v>
      </c>
      <c r="W3879" s="2051">
        <f t="shared" si="309"/>
        <v>1</v>
      </c>
    </row>
    <row r="3880" spans="1:23" s="314" customFormat="1" ht="15" customHeight="1">
      <c r="A3880" s="1"/>
      <c r="B3880" s="313"/>
      <c r="C3880" s="302" t="s">
        <v>8463</v>
      </c>
      <c r="D3880" s="303" t="s">
        <v>11</v>
      </c>
      <c r="E3880" s="304"/>
      <c r="F3880" s="305"/>
      <c r="G3880" s="305" t="s">
        <v>1227</v>
      </c>
      <c r="H3880" s="307" t="s">
        <v>1228</v>
      </c>
      <c r="I3880" s="308"/>
      <c r="J3880" s="306"/>
      <c r="K3880" s="316">
        <v>0</v>
      </c>
      <c r="L3880" s="310"/>
      <c r="M3880" s="310"/>
      <c r="N3880" s="310">
        <v>45903</v>
      </c>
      <c r="O3880" s="309">
        <v>7427</v>
      </c>
      <c r="P3880" s="302"/>
      <c r="Q3880" s="485">
        <v>0</v>
      </c>
      <c r="S3880" s="536">
        <v>0</v>
      </c>
      <c r="T3880" s="322">
        <v>0</v>
      </c>
      <c r="U3880" s="515"/>
      <c r="V3880" s="494">
        <v>120</v>
      </c>
      <c r="W3880" s="2041" t="e">
        <f t="shared" si="309"/>
        <v>#DIV/0!</v>
      </c>
    </row>
    <row r="3881" spans="1:23" s="7" customFormat="1" ht="15" customHeight="1">
      <c r="B3881" s="12"/>
      <c r="C3881" s="6" t="s">
        <v>8464</v>
      </c>
      <c r="D3881" s="15" t="s">
        <v>8465</v>
      </c>
      <c r="E3881" s="2013" t="s">
        <v>5978</v>
      </c>
      <c r="F3881" s="26"/>
      <c r="G3881" s="24"/>
      <c r="H3881" s="67"/>
      <c r="I3881" s="68"/>
      <c r="J3881" s="67"/>
      <c r="K3881" s="17" t="s">
        <v>134</v>
      </c>
      <c r="L3881" s="39"/>
      <c r="M3881" s="39"/>
      <c r="N3881" s="39">
        <v>45764</v>
      </c>
      <c r="O3881" s="38">
        <v>7031</v>
      </c>
      <c r="P3881" s="179" t="s">
        <v>23</v>
      </c>
      <c r="Q3881" s="438" t="s">
        <v>959</v>
      </c>
      <c r="R3881" s="704"/>
      <c r="S3881" s="489"/>
      <c r="T3881" s="113"/>
      <c r="U3881" s="510"/>
      <c r="V3881" s="494">
        <v>120</v>
      </c>
      <c r="W3881" s="2041" t="e">
        <f t="shared" si="309"/>
        <v>#VALUE!</v>
      </c>
    </row>
    <row r="3882" spans="1:23" s="7" customFormat="1" ht="18" customHeight="1">
      <c r="B3882" s="12" t="s">
        <v>1856</v>
      </c>
      <c r="C3882" s="6" t="s">
        <v>8464</v>
      </c>
      <c r="D3882" s="15" t="s">
        <v>8465</v>
      </c>
      <c r="E3882" s="1012" t="s">
        <v>5973</v>
      </c>
      <c r="F3882" s="246">
        <v>10</v>
      </c>
      <c r="G3882" s="24" t="s">
        <v>5974</v>
      </c>
      <c r="H3882" s="151">
        <v>100</v>
      </c>
      <c r="I3882" s="152">
        <v>3</v>
      </c>
      <c r="J3882" s="8">
        <f>H3882*I3882</f>
        <v>300</v>
      </c>
      <c r="K3882" s="46">
        <v>0.82</v>
      </c>
      <c r="L3882" s="46">
        <f>K3882*J3882</f>
        <v>245.99999999999997</v>
      </c>
      <c r="M3882" s="162" t="s">
        <v>8226</v>
      </c>
      <c r="N3882" s="2453">
        <v>45764</v>
      </c>
      <c r="O3882" s="38">
        <v>7031</v>
      </c>
      <c r="P3882" s="46">
        <f>K3882*(VLOOKUP(B3882,$C$2:$F$6,3,FALSE))</f>
        <v>0.72159999999999991</v>
      </c>
      <c r="Q3882" s="180">
        <v>0.72</v>
      </c>
      <c r="R3882" s="704">
        <f>Q3882*J3882</f>
        <v>216</v>
      </c>
      <c r="S3882" s="489">
        <v>44</v>
      </c>
      <c r="T3882" s="113">
        <f>S3882*J3882</f>
        <v>13200</v>
      </c>
      <c r="U3882" s="867"/>
      <c r="V3882" s="494">
        <v>120</v>
      </c>
      <c r="W3882" s="2041">
        <f t="shared" si="309"/>
        <v>0.55284552845528456</v>
      </c>
    </row>
    <row r="3883" spans="1:23" ht="15.95" customHeight="1">
      <c r="C3883" s="6" t="s">
        <v>8464</v>
      </c>
      <c r="D3883" s="15" t="s">
        <v>8465</v>
      </c>
      <c r="E3883" s="24"/>
      <c r="F3883" s="138"/>
      <c r="G3883" s="44" t="s">
        <v>1993</v>
      </c>
      <c r="H3883" s="8"/>
      <c r="I3883" s="68"/>
      <c r="J3883" s="45">
        <v>1</v>
      </c>
      <c r="K3883" s="46">
        <v>12</v>
      </c>
      <c r="L3883" s="46">
        <f>K3883*J3883</f>
        <v>12</v>
      </c>
      <c r="M3883" s="112"/>
      <c r="N3883" s="39">
        <v>45764</v>
      </c>
      <c r="O3883" s="38">
        <v>7031</v>
      </c>
      <c r="P3883" s="179"/>
      <c r="Q3883" s="180">
        <v>12</v>
      </c>
      <c r="R3883" s="180">
        <v>12</v>
      </c>
      <c r="S3883" s="498">
        <v>1000</v>
      </c>
      <c r="T3883" s="568">
        <f>S3883*J3883</f>
        <v>1000</v>
      </c>
      <c r="U3883" s="511"/>
      <c r="V3883" s="494">
        <v>120</v>
      </c>
      <c r="W3883" s="2041">
        <f t="shared" si="309"/>
        <v>0.30555555555555558</v>
      </c>
    </row>
    <row r="3884" spans="1:23" s="314" customFormat="1" ht="15">
      <c r="B3884" s="313"/>
      <c r="C3884" s="302" t="s">
        <v>8464</v>
      </c>
      <c r="D3884" s="303" t="s">
        <v>8465</v>
      </c>
      <c r="E3884" s="304"/>
      <c r="F3884" s="305"/>
      <c r="G3884" s="305" t="s">
        <v>1227</v>
      </c>
      <c r="H3884" s="307" t="s">
        <v>1228</v>
      </c>
      <c r="I3884" s="308"/>
      <c r="J3884" s="306"/>
      <c r="K3884" s="315">
        <v>53</v>
      </c>
      <c r="L3884" s="315">
        <v>53</v>
      </c>
      <c r="M3884" s="310"/>
      <c r="N3884" s="310">
        <v>45764</v>
      </c>
      <c r="O3884" s="309">
        <v>7031</v>
      </c>
      <c r="P3884" s="302"/>
      <c r="Q3884" s="485">
        <v>53</v>
      </c>
      <c r="R3884" s="485">
        <v>53</v>
      </c>
      <c r="S3884" s="2525">
        <v>5279</v>
      </c>
      <c r="T3884" s="2525">
        <v>5279</v>
      </c>
      <c r="U3884" s="515"/>
      <c r="V3884" s="494">
        <v>120</v>
      </c>
      <c r="W3884" s="2041">
        <f t="shared" si="309"/>
        <v>0.16996855345911949</v>
      </c>
    </row>
    <row r="3885" spans="1:23" s="7" customFormat="1" ht="15">
      <c r="B3885" s="12"/>
      <c r="C3885" s="6" t="s">
        <v>8466</v>
      </c>
      <c r="D3885" s="15" t="s">
        <v>8467</v>
      </c>
      <c r="E3885" s="20" t="s">
        <v>408</v>
      </c>
      <c r="F3885" s="44"/>
      <c r="G3885" s="44"/>
      <c r="H3885" s="151"/>
      <c r="I3885" s="151"/>
      <c r="J3885" s="151"/>
      <c r="K3885" s="17" t="s">
        <v>134</v>
      </c>
      <c r="L3885" s="39"/>
      <c r="M3885" s="39"/>
      <c r="N3885" s="39">
        <v>45765</v>
      </c>
      <c r="O3885" s="38">
        <v>7041</v>
      </c>
      <c r="P3885" s="6"/>
      <c r="Q3885" s="524"/>
      <c r="S3885" s="489"/>
      <c r="T3885" s="113"/>
      <c r="U3885" s="501"/>
      <c r="V3885" s="494">
        <v>120</v>
      </c>
      <c r="W3885" s="2041" t="e">
        <f t="shared" si="309"/>
        <v>#VALUE!</v>
      </c>
    </row>
    <row r="3886" spans="1:23" s="7" customFormat="1" ht="15" customHeight="1">
      <c r="B3886" s="12" t="s">
        <v>1856</v>
      </c>
      <c r="C3886" s="6" t="s">
        <v>8466</v>
      </c>
      <c r="D3886" s="15" t="s">
        <v>8467</v>
      </c>
      <c r="E3886" s="24" t="s">
        <v>8468</v>
      </c>
      <c r="F3886" s="26"/>
      <c r="G3886" s="24" t="s">
        <v>17</v>
      </c>
      <c r="H3886" s="67">
        <v>50</v>
      </c>
      <c r="I3886" s="68">
        <v>1</v>
      </c>
      <c r="J3886" s="8">
        <f>H3886*I3886</f>
        <v>50</v>
      </c>
      <c r="K3886" s="46">
        <v>0.17</v>
      </c>
      <c r="L3886" s="46">
        <f>K3886*J3886</f>
        <v>8.5</v>
      </c>
      <c r="M3886" s="162" t="s">
        <v>2219</v>
      </c>
      <c r="N3886" s="39">
        <v>45765</v>
      </c>
      <c r="O3886" s="38">
        <v>7041</v>
      </c>
      <c r="P3886" s="46">
        <f>K3886*(VLOOKUP(B3886,$C$2:$F$6,3,FALSE))</f>
        <v>0.14960000000000001</v>
      </c>
      <c r="Q3886" s="482">
        <v>0.15</v>
      </c>
      <c r="R3886" s="704">
        <f>Q3886*J3886</f>
        <v>7.5</v>
      </c>
      <c r="S3886" s="489">
        <v>9.4</v>
      </c>
      <c r="T3886" s="113">
        <f>S3886*J3886</f>
        <v>470</v>
      </c>
      <c r="U3886" s="1603"/>
      <c r="V3886" s="494">
        <v>120</v>
      </c>
      <c r="W3886" s="2041">
        <f t="shared" si="309"/>
        <v>0.53921568627450989</v>
      </c>
    </row>
    <row r="3887" spans="1:23" ht="15.95" customHeight="1">
      <c r="C3887" s="6" t="s">
        <v>8466</v>
      </c>
      <c r="D3887" s="15" t="s">
        <v>8467</v>
      </c>
      <c r="E3887" s="24"/>
      <c r="F3887" s="138"/>
      <c r="G3887" s="44" t="s">
        <v>1993</v>
      </c>
      <c r="H3887" s="8"/>
      <c r="I3887" s="68"/>
      <c r="J3887" s="45">
        <v>1</v>
      </c>
      <c r="K3887" s="46">
        <v>12</v>
      </c>
      <c r="L3887" s="46">
        <f>K3887*J3887</f>
        <v>12</v>
      </c>
      <c r="M3887" s="112"/>
      <c r="N3887" s="2453">
        <v>45765</v>
      </c>
      <c r="O3887" s="2455">
        <v>7041</v>
      </c>
      <c r="P3887" s="46" t="e">
        <f>K3887*(VLOOKUP(B3887,$C$2:$F$6,3,FALSE))</f>
        <v>#N/A</v>
      </c>
      <c r="Q3887" s="180">
        <v>12</v>
      </c>
      <c r="R3887" s="180">
        <v>12</v>
      </c>
      <c r="S3887" s="498">
        <v>1100</v>
      </c>
      <c r="T3887" s="498">
        <v>1100</v>
      </c>
      <c r="U3887" s="511"/>
      <c r="V3887" s="494">
        <v>120</v>
      </c>
      <c r="W3887" s="2041">
        <f t="shared" si="309"/>
        <v>0.2361111111111111</v>
      </c>
    </row>
    <row r="3888" spans="1:23" s="314" customFormat="1" ht="15.6" customHeight="1">
      <c r="B3888" s="313"/>
      <c r="C3888" s="302" t="s">
        <v>8466</v>
      </c>
      <c r="D3888" s="303" t="s">
        <v>8467</v>
      </c>
      <c r="E3888" s="304"/>
      <c r="F3888" s="305"/>
      <c r="G3888" s="305" t="s">
        <v>1227</v>
      </c>
      <c r="H3888" s="307" t="s">
        <v>1228</v>
      </c>
      <c r="I3888" s="308"/>
      <c r="J3888" s="306"/>
      <c r="K3888" s="315">
        <v>28</v>
      </c>
      <c r="L3888" s="315">
        <v>28</v>
      </c>
      <c r="M3888" s="310"/>
      <c r="N3888" s="310">
        <v>45765</v>
      </c>
      <c r="O3888" s="309">
        <v>7041</v>
      </c>
      <c r="P3888" s="302"/>
      <c r="Q3888" s="531">
        <v>28</v>
      </c>
      <c r="R3888" s="531">
        <v>28</v>
      </c>
      <c r="S3888" s="2459">
        <v>2788</v>
      </c>
      <c r="T3888" s="2459">
        <v>2788</v>
      </c>
      <c r="U3888" s="1115"/>
      <c r="V3888" s="494">
        <v>120</v>
      </c>
      <c r="W3888" s="2041">
        <f t="shared" si="309"/>
        <v>0.17023809523809524</v>
      </c>
    </row>
    <row r="3889" spans="1:23" s="7" customFormat="1" ht="18" customHeight="1">
      <c r="A3889" s="1"/>
      <c r="B3889" s="12"/>
      <c r="C3889" s="6" t="s">
        <v>8485</v>
      </c>
      <c r="D3889" s="15" t="s">
        <v>8229</v>
      </c>
      <c r="E3889" s="20" t="s">
        <v>6915</v>
      </c>
      <c r="F3889" s="24"/>
      <c r="G3889" s="44"/>
      <c r="H3889" s="151"/>
      <c r="I3889" s="151"/>
      <c r="J3889" s="151"/>
      <c r="K3889" s="153" t="s">
        <v>10</v>
      </c>
      <c r="L3889" s="39"/>
      <c r="M3889" s="39"/>
      <c r="N3889" s="39">
        <v>45812</v>
      </c>
      <c r="O3889" s="38">
        <v>7116</v>
      </c>
      <c r="P3889" s="6"/>
      <c r="Q3889" s="411"/>
      <c r="S3889" s="2458" t="s">
        <v>7324</v>
      </c>
      <c r="T3889" s="113"/>
      <c r="U3889" s="501"/>
      <c r="V3889" s="494">
        <v>120</v>
      </c>
    </row>
    <row r="3890" spans="1:23" s="7" customFormat="1" ht="15.95" customHeight="1">
      <c r="A3890" s="1"/>
      <c r="B3890" s="12" t="s">
        <v>1856</v>
      </c>
      <c r="C3890" s="6" t="s">
        <v>8485</v>
      </c>
      <c r="D3890" s="15" t="s">
        <v>8229</v>
      </c>
      <c r="E3890" s="1010" t="s">
        <v>6913</v>
      </c>
      <c r="F3890" s="44"/>
      <c r="G3890" s="24" t="s">
        <v>8475</v>
      </c>
      <c r="H3890" s="8"/>
      <c r="I3890" s="41"/>
      <c r="J3890" s="67">
        <v>350</v>
      </c>
      <c r="K3890" s="1007">
        <v>1.56</v>
      </c>
      <c r="L3890" s="46">
        <f>K3890*J3890</f>
        <v>546</v>
      </c>
      <c r="M3890" s="162" t="s">
        <v>2219</v>
      </c>
      <c r="N3890" s="39">
        <v>45812</v>
      </c>
      <c r="O3890" s="38">
        <v>7116</v>
      </c>
      <c r="P3890" s="180">
        <f>K3890*(VLOOKUP(B3890,$C$2:$F$6,3,FALSE))</f>
        <v>1.3728</v>
      </c>
      <c r="Q3890" s="483">
        <v>1.37</v>
      </c>
      <c r="R3890" s="704">
        <f>Q3890*J3890</f>
        <v>479.50000000000006</v>
      </c>
      <c r="S3890" s="489">
        <f>42+70</f>
        <v>112</v>
      </c>
      <c r="T3890" s="113">
        <f>S3890*J3890</f>
        <v>39200</v>
      </c>
      <c r="U3890" s="517"/>
      <c r="V3890" s="494">
        <v>120</v>
      </c>
      <c r="W3890" s="2041">
        <f t="shared" ref="W3890:W3908" si="311">(((K3890*V3890)-S3890)/(K3890*V3890))</f>
        <v>0.40170940170940178</v>
      </c>
    </row>
    <row r="3891" spans="1:23" s="7" customFormat="1" ht="15.95" customHeight="1">
      <c r="A3891" s="1"/>
      <c r="B3891" s="12" t="s">
        <v>1856</v>
      </c>
      <c r="C3891" s="6" t="s">
        <v>8485</v>
      </c>
      <c r="D3891" s="15" t="s">
        <v>8229</v>
      </c>
      <c r="E3891" s="1010" t="s">
        <v>6913</v>
      </c>
      <c r="F3891" s="44"/>
      <c r="G3891" s="24" t="s">
        <v>8476</v>
      </c>
      <c r="H3891" s="8"/>
      <c r="I3891" s="41"/>
      <c r="J3891" s="67">
        <v>300</v>
      </c>
      <c r="K3891" s="1007">
        <v>1.56</v>
      </c>
      <c r="L3891" s="46">
        <f>K3891*J3891</f>
        <v>468</v>
      </c>
      <c r="M3891" s="162" t="s">
        <v>2219</v>
      </c>
      <c r="N3891" s="39">
        <v>45812</v>
      </c>
      <c r="O3891" s="38">
        <v>7116</v>
      </c>
      <c r="P3891" s="180">
        <f>K3891*(VLOOKUP(B3891,$C$2:$F$6,3,FALSE))</f>
        <v>1.3728</v>
      </c>
      <c r="Q3891" s="483">
        <v>1.37</v>
      </c>
      <c r="R3891" s="704">
        <f>Q3891*J3891</f>
        <v>411.00000000000006</v>
      </c>
      <c r="S3891" s="489">
        <f>42+70</f>
        <v>112</v>
      </c>
      <c r="T3891" s="113">
        <f>S3891*J3891</f>
        <v>33600</v>
      </c>
      <c r="U3891" s="517"/>
      <c r="V3891" s="494">
        <v>120</v>
      </c>
      <c r="W3891" s="2041">
        <f t="shared" si="311"/>
        <v>0.40170940170940178</v>
      </c>
    </row>
    <row r="3892" spans="1:23" ht="15.95" customHeight="1">
      <c r="C3892" s="6" t="s">
        <v>8485</v>
      </c>
      <c r="D3892" s="15" t="s">
        <v>8229</v>
      </c>
      <c r="E3892" s="24"/>
      <c r="F3892" s="138"/>
      <c r="G3892" s="44" t="s">
        <v>1993</v>
      </c>
      <c r="H3892" s="8"/>
      <c r="I3892" s="68"/>
      <c r="J3892" s="45">
        <v>1</v>
      </c>
      <c r="K3892" s="46">
        <v>12</v>
      </c>
      <c r="L3892" s="46">
        <f>K3892*J3892</f>
        <v>12</v>
      </c>
      <c r="M3892" s="112"/>
      <c r="N3892" s="2453">
        <v>45812</v>
      </c>
      <c r="O3892" s="38">
        <v>7116</v>
      </c>
      <c r="P3892" s="46" t="e">
        <f>K3892*(VLOOKUP(B3892,$C$2:$F$6,3,FALSE))</f>
        <v>#N/A</v>
      </c>
      <c r="Q3892" s="180">
        <v>12</v>
      </c>
      <c r="R3892" s="180">
        <v>12</v>
      </c>
      <c r="S3892" s="498">
        <v>0</v>
      </c>
      <c r="T3892" s="498">
        <v>0</v>
      </c>
      <c r="U3892" s="511"/>
      <c r="V3892" s="494">
        <v>120</v>
      </c>
      <c r="W3892" s="2041">
        <f t="shared" si="311"/>
        <v>1</v>
      </c>
    </row>
    <row r="3893" spans="1:23" s="7" customFormat="1" ht="15.75" customHeight="1">
      <c r="A3893" s="1"/>
      <c r="B3893" s="12" t="s">
        <v>1856</v>
      </c>
      <c r="C3893" s="6" t="s">
        <v>8485</v>
      </c>
      <c r="D3893" s="15" t="s">
        <v>8229</v>
      </c>
      <c r="E3893" s="24" t="s">
        <v>6913</v>
      </c>
      <c r="F3893" s="26"/>
      <c r="G3893" s="24" t="s">
        <v>8054</v>
      </c>
      <c r="H3893" s="151"/>
      <c r="I3893" s="41"/>
      <c r="J3893" s="67">
        <v>300</v>
      </c>
      <c r="K3893" s="25">
        <v>0.59</v>
      </c>
      <c r="L3893" s="46">
        <f>K3893*J3893</f>
        <v>177</v>
      </c>
      <c r="M3893" s="162" t="s">
        <v>2219</v>
      </c>
      <c r="N3893" s="39">
        <v>45812</v>
      </c>
      <c r="O3893" s="38">
        <v>7116</v>
      </c>
      <c r="P3893" s="180">
        <f>K3893*(VLOOKUP(B3893,$C$2:$F$6,3,FALSE))</f>
        <v>0.51919999999999999</v>
      </c>
      <c r="Q3893" s="483">
        <v>0.52</v>
      </c>
      <c r="R3893" s="704">
        <f>Q3893*J3893</f>
        <v>156</v>
      </c>
      <c r="S3893" s="489">
        <v>42</v>
      </c>
      <c r="T3893" s="113">
        <f>S3893*J3893</f>
        <v>12600</v>
      </c>
      <c r="U3893" s="517"/>
      <c r="V3893" s="494">
        <v>120</v>
      </c>
      <c r="W3893" s="2041">
        <f t="shared" si="311"/>
        <v>0.40677966101694912</v>
      </c>
    </row>
    <row r="3894" spans="1:23" ht="15.95" customHeight="1">
      <c r="C3894" s="6" t="s">
        <v>8485</v>
      </c>
      <c r="D3894" s="15" t="s">
        <v>8229</v>
      </c>
      <c r="E3894" s="24"/>
      <c r="F3894" s="138"/>
      <c r="G3894" s="44" t="s">
        <v>1993</v>
      </c>
      <c r="H3894" s="8"/>
      <c r="I3894" s="68"/>
      <c r="J3894" s="45">
        <v>1</v>
      </c>
      <c r="K3894" s="46">
        <v>12</v>
      </c>
      <c r="L3894" s="46">
        <f>K3894*J3894</f>
        <v>12</v>
      </c>
      <c r="M3894" s="112"/>
      <c r="N3894" s="2453">
        <v>45812</v>
      </c>
      <c r="O3894" s="38">
        <v>7116</v>
      </c>
      <c r="P3894" s="46" t="e">
        <f>K3894*(VLOOKUP(B3894,$C$2:$F$6,3,FALSE))</f>
        <v>#N/A</v>
      </c>
      <c r="Q3894" s="180">
        <v>12</v>
      </c>
      <c r="R3894" s="180">
        <v>12</v>
      </c>
      <c r="S3894" s="498">
        <v>0</v>
      </c>
      <c r="T3894" s="498">
        <v>0</v>
      </c>
      <c r="U3894" s="511"/>
      <c r="V3894" s="494">
        <v>120</v>
      </c>
      <c r="W3894" s="2041">
        <f t="shared" si="311"/>
        <v>1</v>
      </c>
    </row>
    <row r="3895" spans="1:23" s="314" customFormat="1" ht="18" customHeight="1">
      <c r="B3895" s="313"/>
      <c r="C3895" s="302" t="s">
        <v>8485</v>
      </c>
      <c r="D3895" s="303" t="s">
        <v>8229</v>
      </c>
      <c r="E3895" s="371"/>
      <c r="F3895" s="305"/>
      <c r="G3895" s="305" t="s">
        <v>1227</v>
      </c>
      <c r="H3895" s="307" t="s">
        <v>1228</v>
      </c>
      <c r="I3895" s="308"/>
      <c r="J3895" s="306"/>
      <c r="K3895" s="315">
        <v>0</v>
      </c>
      <c r="L3895" s="310"/>
      <c r="M3895" s="310"/>
      <c r="N3895" s="310">
        <v>45812</v>
      </c>
      <c r="O3895" s="309">
        <v>7116</v>
      </c>
      <c r="P3895" s="302"/>
      <c r="Q3895" s="531">
        <v>0</v>
      </c>
      <c r="S3895" s="535">
        <v>0</v>
      </c>
      <c r="T3895" s="322">
        <v>0</v>
      </c>
      <c r="U3895" s="1115"/>
      <c r="V3895" s="494">
        <v>120</v>
      </c>
      <c r="W3895" s="2041" t="e">
        <f t="shared" si="311"/>
        <v>#DIV/0!</v>
      </c>
    </row>
    <row r="3896" spans="1:23" s="7" customFormat="1" ht="15" customHeight="1">
      <c r="A3896" s="1"/>
      <c r="B3896" s="12"/>
      <c r="C3896" s="6" t="s">
        <v>8482</v>
      </c>
      <c r="D3896" s="15" t="s">
        <v>8298</v>
      </c>
      <c r="E3896" s="20" t="s">
        <v>8300</v>
      </c>
      <c r="F3896" s="26"/>
      <c r="G3896" s="24"/>
      <c r="H3896" s="67"/>
      <c r="I3896" s="68"/>
      <c r="J3896" s="67"/>
      <c r="K3896" s="17" t="s">
        <v>10</v>
      </c>
      <c r="L3896" s="39"/>
      <c r="M3896" s="39"/>
      <c r="N3896" s="39">
        <v>45821</v>
      </c>
      <c r="O3896" s="38">
        <v>7202</v>
      </c>
      <c r="P3896" s="180" t="e">
        <f>K3896*(VLOOKUP(B3896,$C$2:$F$6,3,FALSE))</f>
        <v>#VALUE!</v>
      </c>
      <c r="Q3896" s="483"/>
      <c r="R3896" s="704"/>
      <c r="S3896" s="489"/>
      <c r="T3896" s="113">
        <f>S3896*J3896</f>
        <v>0</v>
      </c>
      <c r="U3896" s="517"/>
      <c r="V3896" s="494">
        <v>120</v>
      </c>
      <c r="W3896" s="2041" t="e">
        <f t="shared" si="311"/>
        <v>#VALUE!</v>
      </c>
    </row>
    <row r="3897" spans="1:23" s="7" customFormat="1" ht="15.75" customHeight="1">
      <c r="A3897" s="1"/>
      <c r="B3897" s="12" t="s">
        <v>1856</v>
      </c>
      <c r="C3897" s="6" t="s">
        <v>8482</v>
      </c>
      <c r="D3897" s="15" t="s">
        <v>8298</v>
      </c>
      <c r="E3897" s="24" t="s">
        <v>8301</v>
      </c>
      <c r="F3897" s="26"/>
      <c r="G3897" s="24" t="s">
        <v>8483</v>
      </c>
      <c r="H3897" s="151"/>
      <c r="I3897" s="41"/>
      <c r="J3897" s="67">
        <v>40</v>
      </c>
      <c r="K3897" s="25">
        <v>1.9</v>
      </c>
      <c r="L3897" s="46">
        <f>K3897*J3897</f>
        <v>76</v>
      </c>
      <c r="M3897" s="162" t="s">
        <v>2219</v>
      </c>
      <c r="N3897" s="2453">
        <v>45821</v>
      </c>
      <c r="O3897" s="38">
        <v>7202</v>
      </c>
      <c r="P3897" s="180">
        <f>K3897*(VLOOKUP(B3897,$C$2:$F$6,3,FALSE))</f>
        <v>1.6719999999999999</v>
      </c>
      <c r="Q3897" s="483">
        <v>1.67</v>
      </c>
      <c r="R3897" s="704">
        <f>Q3897*J3897</f>
        <v>66.8</v>
      </c>
      <c r="S3897" s="489">
        <v>160</v>
      </c>
      <c r="T3897" s="113">
        <f>S3897*J3897</f>
        <v>6400</v>
      </c>
      <c r="U3897" s="517"/>
      <c r="V3897" s="494">
        <v>130</v>
      </c>
      <c r="W3897" s="2041">
        <f t="shared" si="311"/>
        <v>0.35222672064777327</v>
      </c>
    </row>
    <row r="3898" spans="1:23" s="7" customFormat="1" ht="15.75" customHeight="1">
      <c r="A3898" s="1"/>
      <c r="B3898" s="12" t="s">
        <v>1862</v>
      </c>
      <c r="C3898" s="6" t="s">
        <v>8482</v>
      </c>
      <c r="D3898" s="15" t="s">
        <v>8298</v>
      </c>
      <c r="E3898" s="95"/>
      <c r="F3898" s="26"/>
      <c r="G3898" s="24" t="s">
        <v>3334</v>
      </c>
      <c r="H3898" s="151"/>
      <c r="I3898" s="41"/>
      <c r="J3898" s="45">
        <v>1</v>
      </c>
      <c r="K3898" s="46">
        <v>75</v>
      </c>
      <c r="L3898" s="46">
        <f>K3898*J3898</f>
        <v>75</v>
      </c>
      <c r="M3898" s="162"/>
      <c r="N3898" s="2453">
        <v>45821</v>
      </c>
      <c r="O3898" s="38">
        <v>7202</v>
      </c>
      <c r="P3898" s="180">
        <f>K3898*(VLOOKUP(B3898,$C$2:$F$6,3,FALSE))</f>
        <v>75</v>
      </c>
      <c r="Q3898" s="483">
        <v>75</v>
      </c>
      <c r="R3898" s="704">
        <f>Q3898*J3898</f>
        <v>75</v>
      </c>
      <c r="S3898" s="489">
        <v>7000</v>
      </c>
      <c r="T3898" s="113">
        <f>S3898*J3898</f>
        <v>7000</v>
      </c>
      <c r="U3898" s="2429"/>
      <c r="V3898" s="494">
        <v>120</v>
      </c>
      <c r="W3898" s="2041">
        <f t="shared" si="311"/>
        <v>0.22222222222222221</v>
      </c>
    </row>
    <row r="3899" spans="1:23" ht="18" customHeight="1">
      <c r="B3899" s="12" t="s">
        <v>1862</v>
      </c>
      <c r="C3899" s="6" t="s">
        <v>8482</v>
      </c>
      <c r="D3899" s="15" t="s">
        <v>8298</v>
      </c>
      <c r="E3899" s="24"/>
      <c r="F3899" s="138"/>
      <c r="G3899" s="44" t="s">
        <v>1993</v>
      </c>
      <c r="H3899" s="8"/>
      <c r="I3899" s="41"/>
      <c r="J3899" s="45">
        <v>1</v>
      </c>
      <c r="K3899" s="46">
        <v>12</v>
      </c>
      <c r="L3899" s="46">
        <f>K3899*J3899</f>
        <v>12</v>
      </c>
      <c r="M3899" s="112"/>
      <c r="N3899" s="39">
        <v>45821</v>
      </c>
      <c r="O3899" s="38">
        <v>7202</v>
      </c>
      <c r="P3899" s="46">
        <f>K3899*(VLOOKUP(B3899,$C$2:$F$6,3,FALSE))</f>
        <v>12</v>
      </c>
      <c r="Q3899" s="483">
        <v>12</v>
      </c>
      <c r="R3899" s="704">
        <f>Q3899*J3899</f>
        <v>12</v>
      </c>
      <c r="S3899" s="489">
        <v>0</v>
      </c>
      <c r="T3899" s="113">
        <v>0</v>
      </c>
      <c r="U3899" s="511"/>
      <c r="V3899" s="494">
        <v>120</v>
      </c>
      <c r="W3899" s="2041">
        <f t="shared" si="311"/>
        <v>1</v>
      </c>
    </row>
    <row r="3900" spans="1:23" s="314" customFormat="1" ht="15">
      <c r="A3900" s="1"/>
      <c r="B3900" s="313"/>
      <c r="C3900" s="302" t="s">
        <v>8482</v>
      </c>
      <c r="D3900" s="303" t="s">
        <v>8298</v>
      </c>
      <c r="E3900" s="304"/>
      <c r="F3900" s="305"/>
      <c r="G3900" s="305" t="s">
        <v>1227</v>
      </c>
      <c r="H3900" s="307" t="s">
        <v>1228</v>
      </c>
      <c r="I3900" s="308"/>
      <c r="J3900" s="306"/>
      <c r="K3900" s="315">
        <v>0</v>
      </c>
      <c r="L3900" s="310"/>
      <c r="M3900" s="310"/>
      <c r="N3900" s="310">
        <v>45821</v>
      </c>
      <c r="O3900" s="309">
        <v>7202</v>
      </c>
      <c r="P3900" s="302"/>
      <c r="Q3900" s="485">
        <v>0</v>
      </c>
      <c r="S3900" s="536">
        <v>0</v>
      </c>
      <c r="T3900" s="322">
        <v>0</v>
      </c>
      <c r="U3900" s="515"/>
      <c r="V3900" s="494">
        <v>120</v>
      </c>
      <c r="W3900" s="2041" t="e">
        <f t="shared" si="311"/>
        <v>#DIV/0!</v>
      </c>
    </row>
    <row r="3901" spans="1:23" s="7" customFormat="1" ht="15" customHeight="1">
      <c r="A3901" s="1"/>
      <c r="B3901" s="12"/>
      <c r="C3901" s="6" t="s">
        <v>8523</v>
      </c>
      <c r="D3901" s="15" t="s">
        <v>8503</v>
      </c>
      <c r="E3901" s="20" t="s">
        <v>8109</v>
      </c>
      <c r="F3901" s="26"/>
      <c r="G3901" s="24"/>
      <c r="H3901" s="67"/>
      <c r="I3901" s="68"/>
      <c r="J3901" s="67"/>
      <c r="K3901" s="17" t="s">
        <v>10</v>
      </c>
      <c r="L3901" s="39"/>
      <c r="M3901" s="39"/>
      <c r="N3901" s="39">
        <v>45803</v>
      </c>
      <c r="O3901" s="38">
        <v>7115</v>
      </c>
      <c r="P3901" s="180" t="e">
        <f t="shared" ref="P3901:P3908" si="312">K3901*(VLOOKUP(B3901,$C$2:$F$6,3,FALSE))</f>
        <v>#VALUE!</v>
      </c>
      <c r="Q3901" s="483"/>
      <c r="R3901" s="704"/>
      <c r="S3901" s="489"/>
      <c r="T3901" s="113">
        <f t="shared" ref="T3901:T3908" si="313">S3901*J3901</f>
        <v>0</v>
      </c>
      <c r="U3901" s="517"/>
      <c r="V3901" s="494">
        <v>120</v>
      </c>
      <c r="W3901" s="2041" t="e">
        <f t="shared" si="311"/>
        <v>#VALUE!</v>
      </c>
    </row>
    <row r="3902" spans="1:23" s="7" customFormat="1" ht="15.75" customHeight="1">
      <c r="A3902" s="1"/>
      <c r="B3902" s="12" t="s">
        <v>1862</v>
      </c>
      <c r="C3902" s="6" t="s">
        <v>8518</v>
      </c>
      <c r="D3902" s="15" t="s">
        <v>8503</v>
      </c>
      <c r="E3902" s="24" t="s">
        <v>8186</v>
      </c>
      <c r="F3902" s="26"/>
      <c r="G3902" s="2281" t="s">
        <v>8344</v>
      </c>
      <c r="H3902" s="2517"/>
      <c r="I3902" s="41"/>
      <c r="J3902" s="45">
        <v>1</v>
      </c>
      <c r="K3902" s="25">
        <v>65</v>
      </c>
      <c r="L3902" s="46">
        <f t="shared" ref="L3902:L3908" si="314">K3902*J3902</f>
        <v>65</v>
      </c>
      <c r="M3902" s="162" t="s">
        <v>2219</v>
      </c>
      <c r="N3902" s="39">
        <v>45803</v>
      </c>
      <c r="O3902" s="38">
        <v>7115</v>
      </c>
      <c r="P3902" s="180">
        <f t="shared" si="312"/>
        <v>65</v>
      </c>
      <c r="Q3902" s="483">
        <v>65</v>
      </c>
      <c r="R3902" s="704">
        <f t="shared" ref="R3902:R3908" si="315">Q3902*J3902</f>
        <v>65</v>
      </c>
      <c r="S3902" s="489">
        <v>6000</v>
      </c>
      <c r="T3902" s="113">
        <f t="shared" si="313"/>
        <v>6000</v>
      </c>
      <c r="U3902" s="517"/>
      <c r="V3902" s="494">
        <v>120</v>
      </c>
      <c r="W3902" s="2041">
        <f t="shared" si="311"/>
        <v>0.23076923076923078</v>
      </c>
    </row>
    <row r="3903" spans="1:23" s="7" customFormat="1" ht="15.75" customHeight="1">
      <c r="A3903" s="1"/>
      <c r="B3903" s="12" t="s">
        <v>1856</v>
      </c>
      <c r="C3903" s="6" t="s">
        <v>8518</v>
      </c>
      <c r="D3903" s="15" t="s">
        <v>8503</v>
      </c>
      <c r="E3903" s="24" t="s">
        <v>8186</v>
      </c>
      <c r="F3903" s="26"/>
      <c r="G3903" s="873" t="s">
        <v>8486</v>
      </c>
      <c r="H3903" s="2517"/>
      <c r="I3903" s="41"/>
      <c r="J3903" s="67">
        <v>30</v>
      </c>
      <c r="K3903" s="25">
        <v>1.74</v>
      </c>
      <c r="L3903" s="46">
        <f t="shared" si="314"/>
        <v>52.2</v>
      </c>
      <c r="M3903" s="162" t="s">
        <v>2219</v>
      </c>
      <c r="N3903" s="39">
        <v>45803</v>
      </c>
      <c r="O3903" s="38">
        <v>7115</v>
      </c>
      <c r="P3903" s="180">
        <f t="shared" si="312"/>
        <v>1.5311999999999999</v>
      </c>
      <c r="Q3903" s="483">
        <v>1.53</v>
      </c>
      <c r="R3903" s="704">
        <f t="shared" si="315"/>
        <v>45.9</v>
      </c>
      <c r="S3903" s="532">
        <v>125</v>
      </c>
      <c r="T3903" s="113">
        <f t="shared" si="313"/>
        <v>3750</v>
      </c>
      <c r="U3903" s="517"/>
      <c r="V3903" s="494">
        <v>120</v>
      </c>
      <c r="W3903" s="2041">
        <f t="shared" si="311"/>
        <v>0.40134099616858243</v>
      </c>
    </row>
    <row r="3904" spans="1:23" s="7" customFormat="1" ht="15.75" customHeight="1">
      <c r="A3904" s="1"/>
      <c r="B3904" s="12" t="s">
        <v>1856</v>
      </c>
      <c r="C3904" s="6" t="s">
        <v>8518</v>
      </c>
      <c r="D3904" s="15" t="s">
        <v>8503</v>
      </c>
      <c r="E3904" s="24" t="s">
        <v>8186</v>
      </c>
      <c r="F3904" s="26"/>
      <c r="G3904" s="841" t="s">
        <v>8487</v>
      </c>
      <c r="H3904" s="2517"/>
      <c r="I3904" s="41"/>
      <c r="J3904" s="67">
        <v>30</v>
      </c>
      <c r="K3904" s="25">
        <v>1.74</v>
      </c>
      <c r="L3904" s="46">
        <f t="shared" si="314"/>
        <v>52.2</v>
      </c>
      <c r="M3904" s="162" t="s">
        <v>2219</v>
      </c>
      <c r="N3904" s="39">
        <v>45803</v>
      </c>
      <c r="O3904" s="38">
        <v>7115</v>
      </c>
      <c r="P3904" s="180">
        <f t="shared" si="312"/>
        <v>1.5311999999999999</v>
      </c>
      <c r="Q3904" s="483">
        <v>1.53</v>
      </c>
      <c r="R3904" s="704">
        <f t="shared" si="315"/>
        <v>45.9</v>
      </c>
      <c r="S3904" s="532">
        <v>125</v>
      </c>
      <c r="T3904" s="113">
        <f t="shared" si="313"/>
        <v>3750</v>
      </c>
      <c r="U3904" s="517"/>
      <c r="V3904" s="494">
        <v>120</v>
      </c>
      <c r="W3904" s="2041">
        <f t="shared" si="311"/>
        <v>0.40134099616858243</v>
      </c>
    </row>
    <row r="3905" spans="1:23" s="7" customFormat="1" ht="15.75" customHeight="1">
      <c r="A3905" s="1"/>
      <c r="B3905" s="12" t="s">
        <v>1856</v>
      </c>
      <c r="C3905" s="6" t="s">
        <v>8519</v>
      </c>
      <c r="D3905" s="15" t="s">
        <v>8503</v>
      </c>
      <c r="E3905" s="24" t="s">
        <v>8186</v>
      </c>
      <c r="F3905" s="26"/>
      <c r="G3905" s="841" t="s">
        <v>8488</v>
      </c>
      <c r="H3905" s="2517"/>
      <c r="I3905" s="41"/>
      <c r="J3905" s="67">
        <v>40</v>
      </c>
      <c r="K3905" s="25">
        <v>1.74</v>
      </c>
      <c r="L3905" s="46">
        <f t="shared" si="314"/>
        <v>69.599999999999994</v>
      </c>
      <c r="M3905" s="162" t="s">
        <v>2219</v>
      </c>
      <c r="N3905" s="39">
        <v>45803</v>
      </c>
      <c r="O3905" s="38">
        <v>7115</v>
      </c>
      <c r="P3905" s="180">
        <f t="shared" si="312"/>
        <v>1.5311999999999999</v>
      </c>
      <c r="Q3905" s="483">
        <v>1.53</v>
      </c>
      <c r="R3905" s="704">
        <f t="shared" si="315"/>
        <v>61.2</v>
      </c>
      <c r="S3905" s="532">
        <v>125</v>
      </c>
      <c r="T3905" s="113">
        <f t="shared" si="313"/>
        <v>5000</v>
      </c>
      <c r="U3905" s="517"/>
      <c r="V3905" s="494">
        <v>120</v>
      </c>
      <c r="W3905" s="2041">
        <f t="shared" si="311"/>
        <v>0.40134099616858243</v>
      </c>
    </row>
    <row r="3906" spans="1:23" s="7" customFormat="1" ht="15.75" customHeight="1">
      <c r="A3906" s="1"/>
      <c r="B3906" s="12" t="s">
        <v>1856</v>
      </c>
      <c r="C3906" s="6" t="s">
        <v>8520</v>
      </c>
      <c r="D3906" s="15" t="s">
        <v>8503</v>
      </c>
      <c r="E3906" s="24" t="s">
        <v>8186</v>
      </c>
      <c r="F3906" s="26"/>
      <c r="G3906" s="873" t="s">
        <v>8489</v>
      </c>
      <c r="H3906" s="2517"/>
      <c r="I3906" s="41"/>
      <c r="J3906" s="67">
        <v>40</v>
      </c>
      <c r="K3906" s="25">
        <v>1.74</v>
      </c>
      <c r="L3906" s="46">
        <f t="shared" si="314"/>
        <v>69.599999999999994</v>
      </c>
      <c r="M3906" s="162" t="s">
        <v>2219</v>
      </c>
      <c r="N3906" s="39">
        <v>45803</v>
      </c>
      <c r="O3906" s="38">
        <v>7115</v>
      </c>
      <c r="P3906" s="180">
        <f t="shared" si="312"/>
        <v>1.5311999999999999</v>
      </c>
      <c r="Q3906" s="483">
        <v>1.53</v>
      </c>
      <c r="R3906" s="704">
        <f t="shared" si="315"/>
        <v>61.2</v>
      </c>
      <c r="S3906" s="532">
        <v>125</v>
      </c>
      <c r="T3906" s="113">
        <f t="shared" si="313"/>
        <v>5000</v>
      </c>
      <c r="U3906" s="517"/>
      <c r="V3906" s="494">
        <v>120</v>
      </c>
      <c r="W3906" s="2041">
        <f t="shared" si="311"/>
        <v>0.40134099616858243</v>
      </c>
    </row>
    <row r="3907" spans="1:23" s="7" customFormat="1" ht="15.75" customHeight="1">
      <c r="A3907" s="1"/>
      <c r="B3907" s="12" t="s">
        <v>1862</v>
      </c>
      <c r="C3907" s="6" t="s">
        <v>8523</v>
      </c>
      <c r="D3907" s="15" t="s">
        <v>8503</v>
      </c>
      <c r="E3907" s="24" t="s">
        <v>8186</v>
      </c>
      <c r="F3907" s="26"/>
      <c r="G3907" s="407" t="s">
        <v>3334</v>
      </c>
      <c r="H3907" s="2517"/>
      <c r="I3907" s="41"/>
      <c r="J3907" s="45">
        <v>4</v>
      </c>
      <c r="K3907" s="25">
        <v>75</v>
      </c>
      <c r="L3907" s="46">
        <f t="shared" si="314"/>
        <v>300</v>
      </c>
      <c r="M3907" s="162" t="s">
        <v>2219</v>
      </c>
      <c r="N3907" s="39">
        <v>45803</v>
      </c>
      <c r="O3907" s="38">
        <v>7115</v>
      </c>
      <c r="P3907" s="180">
        <f t="shared" si="312"/>
        <v>75</v>
      </c>
      <c r="Q3907" s="483">
        <v>75</v>
      </c>
      <c r="R3907" s="704">
        <f t="shared" si="315"/>
        <v>300</v>
      </c>
      <c r="S3907" s="489">
        <v>7000</v>
      </c>
      <c r="T3907" s="113">
        <f t="shared" si="313"/>
        <v>28000</v>
      </c>
      <c r="U3907" s="517"/>
      <c r="V3907" s="494">
        <v>120</v>
      </c>
      <c r="W3907" s="2041">
        <f t="shared" si="311"/>
        <v>0.22222222222222221</v>
      </c>
    </row>
    <row r="3908" spans="1:23" ht="18" customHeight="1">
      <c r="B3908" s="12" t="s">
        <v>1862</v>
      </c>
      <c r="C3908" s="6" t="s">
        <v>8522</v>
      </c>
      <c r="D3908" s="15" t="s">
        <v>8503</v>
      </c>
      <c r="E3908" s="24"/>
      <c r="F3908" s="138"/>
      <c r="G3908" s="44" t="s">
        <v>1993</v>
      </c>
      <c r="H3908" s="8"/>
      <c r="I3908" s="41"/>
      <c r="J3908" s="45">
        <v>1</v>
      </c>
      <c r="K3908" s="46">
        <v>12</v>
      </c>
      <c r="L3908" s="46">
        <f t="shared" si="314"/>
        <v>12</v>
      </c>
      <c r="M3908" s="112"/>
      <c r="N3908" s="39">
        <v>45803</v>
      </c>
      <c r="O3908" s="38">
        <v>7115</v>
      </c>
      <c r="P3908" s="46">
        <f t="shared" si="312"/>
        <v>12</v>
      </c>
      <c r="Q3908" s="483">
        <v>12</v>
      </c>
      <c r="R3908" s="704">
        <f t="shared" si="315"/>
        <v>12</v>
      </c>
      <c r="S3908" s="489">
        <v>0</v>
      </c>
      <c r="T3908" s="113">
        <f t="shared" si="313"/>
        <v>0</v>
      </c>
      <c r="U3908" s="511"/>
      <c r="V3908" s="494">
        <v>120</v>
      </c>
      <c r="W3908" s="2041">
        <f t="shared" si="311"/>
        <v>1</v>
      </c>
    </row>
    <row r="3909" spans="1:23" s="7" customFormat="1" ht="15.75" customHeight="1">
      <c r="A3909" s="1"/>
      <c r="B3909" s="12"/>
      <c r="C3909" s="6" t="s">
        <v>8519</v>
      </c>
      <c r="D3909" s="15" t="s">
        <v>8503</v>
      </c>
      <c r="E3909" s="20" t="s">
        <v>8215</v>
      </c>
      <c r="F3909" s="26"/>
      <c r="G3909" s="24"/>
      <c r="H3909" s="151"/>
      <c r="I3909" s="41"/>
      <c r="J3909" s="67"/>
      <c r="K3909" s="25"/>
      <c r="L3909" s="46"/>
      <c r="M3909" s="162"/>
      <c r="N3909" s="39">
        <v>45807</v>
      </c>
      <c r="O3909" s="38">
        <v>7169</v>
      </c>
      <c r="P3909" s="180"/>
      <c r="Q3909" s="483"/>
      <c r="R3909" s="704"/>
      <c r="S3909" s="489">
        <v>0</v>
      </c>
      <c r="T3909" s="113"/>
      <c r="U3909" s="2429"/>
      <c r="V3909" s="494"/>
      <c r="W3909" s="2393"/>
    </row>
    <row r="3910" spans="1:23" s="7" customFormat="1" ht="15.75" customHeight="1">
      <c r="A3910" s="1"/>
      <c r="B3910" s="12" t="s">
        <v>1862</v>
      </c>
      <c r="C3910" s="6" t="s">
        <v>8519</v>
      </c>
      <c r="D3910" s="15" t="s">
        <v>8503</v>
      </c>
      <c r="E3910" s="24" t="s">
        <v>8204</v>
      </c>
      <c r="F3910" s="26"/>
      <c r="G3910" s="2281" t="s">
        <v>8344</v>
      </c>
      <c r="H3910" s="151"/>
      <c r="I3910" s="41"/>
      <c r="J3910" s="45">
        <v>1</v>
      </c>
      <c r="K3910" s="25">
        <v>65</v>
      </c>
      <c r="L3910" s="46">
        <f>K3910*J3910</f>
        <v>65</v>
      </c>
      <c r="M3910" s="162" t="s">
        <v>2219</v>
      </c>
      <c r="N3910" s="39">
        <v>45807</v>
      </c>
      <c r="O3910" s="38">
        <v>7169</v>
      </c>
      <c r="P3910" s="180">
        <f>K3910*(VLOOKUP(B3910,$C$2:$F$6,3,FALSE))</f>
        <v>65</v>
      </c>
      <c r="Q3910" s="483">
        <v>65</v>
      </c>
      <c r="R3910" s="704">
        <f>Q3910*J3910</f>
        <v>65</v>
      </c>
      <c r="S3910" s="489">
        <v>6000</v>
      </c>
      <c r="T3910" s="113">
        <f>S3910*J3910</f>
        <v>6000</v>
      </c>
      <c r="U3910" s="517"/>
      <c r="V3910" s="494">
        <v>120</v>
      </c>
      <c r="W3910" s="2041">
        <f>(((K3910*V3910)-S3910)/(K3910*V3910))</f>
        <v>0.23076923076923078</v>
      </c>
    </row>
    <row r="3911" spans="1:23" s="7" customFormat="1" ht="15.75" customHeight="1">
      <c r="A3911" s="1"/>
      <c r="B3911" s="12" t="s">
        <v>1856</v>
      </c>
      <c r="C3911" s="6" t="s">
        <v>8519</v>
      </c>
      <c r="D3911" s="15" t="s">
        <v>8503</v>
      </c>
      <c r="E3911" s="24" t="s">
        <v>8204</v>
      </c>
      <c r="F3911" s="26"/>
      <c r="G3911" s="841" t="s">
        <v>8488</v>
      </c>
      <c r="H3911" s="151"/>
      <c r="I3911" s="41"/>
      <c r="J3911" s="67">
        <v>25</v>
      </c>
      <c r="K3911" s="25">
        <v>1.6</v>
      </c>
      <c r="L3911" s="46">
        <f>K3911*J3911</f>
        <v>40</v>
      </c>
      <c r="M3911" s="162" t="s">
        <v>2219</v>
      </c>
      <c r="N3911" s="39">
        <v>45807</v>
      </c>
      <c r="O3911" s="38">
        <v>7169</v>
      </c>
      <c r="P3911" s="180">
        <f>K3911*(VLOOKUP(B3911,$C$2:$F$6,3,FALSE))</f>
        <v>1.4080000000000001</v>
      </c>
      <c r="Q3911" s="483">
        <v>1.41</v>
      </c>
      <c r="R3911" s="704">
        <f>Q3911*J3911</f>
        <v>35.25</v>
      </c>
      <c r="S3911" s="532">
        <v>115</v>
      </c>
      <c r="T3911" s="113">
        <f>S3911*J3911</f>
        <v>2875</v>
      </c>
      <c r="U3911" s="517"/>
      <c r="V3911" s="494">
        <v>120</v>
      </c>
      <c r="W3911" s="2041">
        <f>(((K3911*V3911)-S3911)/(K3911*V3911))</f>
        <v>0.40104166666666669</v>
      </c>
    </row>
    <row r="3912" spans="1:23" s="7" customFormat="1" ht="15.75" customHeight="1">
      <c r="A3912" s="1"/>
      <c r="B3912" s="12" t="s">
        <v>1856</v>
      </c>
      <c r="C3912" s="6" t="s">
        <v>8519</v>
      </c>
      <c r="D3912" s="15" t="s">
        <v>8503</v>
      </c>
      <c r="E3912" s="24" t="s">
        <v>8204</v>
      </c>
      <c r="F3912" s="26"/>
      <c r="G3912" s="873" t="s">
        <v>8489</v>
      </c>
      <c r="H3912" s="151"/>
      <c r="I3912" s="41"/>
      <c r="J3912" s="67">
        <v>25</v>
      </c>
      <c r="K3912" s="25">
        <v>1.6</v>
      </c>
      <c r="L3912" s="46">
        <f>K3912*J3912</f>
        <v>40</v>
      </c>
      <c r="M3912" s="162" t="s">
        <v>2219</v>
      </c>
      <c r="N3912" s="39">
        <v>45807</v>
      </c>
      <c r="O3912" s="38">
        <v>7169</v>
      </c>
      <c r="P3912" s="180">
        <f>K3912*(VLOOKUP(B3912,$C$2:$F$6,3,FALSE))</f>
        <v>1.4080000000000001</v>
      </c>
      <c r="Q3912" s="483">
        <v>1.41</v>
      </c>
      <c r="R3912" s="704">
        <f>Q3912*J3912</f>
        <v>35.25</v>
      </c>
      <c r="S3912" s="532">
        <v>115</v>
      </c>
      <c r="T3912" s="113">
        <f>S3912*J3912</f>
        <v>2875</v>
      </c>
      <c r="U3912" s="517"/>
      <c r="V3912" s="494">
        <v>120</v>
      </c>
      <c r="W3912" s="2041">
        <f>(((K3912*V3912)-S3912)/(K3912*V3912))</f>
        <v>0.40104166666666669</v>
      </c>
    </row>
    <row r="3913" spans="1:23" s="7" customFormat="1" ht="15.75" customHeight="1">
      <c r="A3913" s="1"/>
      <c r="B3913" s="12"/>
      <c r="C3913" s="6" t="s">
        <v>8520</v>
      </c>
      <c r="D3913" s="15" t="s">
        <v>8503</v>
      </c>
      <c r="E3913" s="20" t="s">
        <v>8215</v>
      </c>
      <c r="F3913" s="26"/>
      <c r="G3913" s="24"/>
      <c r="H3913" s="151"/>
      <c r="I3913" s="41"/>
      <c r="J3913" s="67" t="s">
        <v>2690</v>
      </c>
      <c r="K3913" s="25"/>
      <c r="L3913" s="46"/>
      <c r="M3913" s="162"/>
      <c r="N3913" s="39">
        <v>45807</v>
      </c>
      <c r="O3913" s="38">
        <v>7169</v>
      </c>
      <c r="P3913" s="180"/>
      <c r="Q3913" s="483"/>
      <c r="R3913" s="704"/>
      <c r="S3913" s="489">
        <v>0</v>
      </c>
      <c r="T3913" s="113"/>
      <c r="U3913" s="2429"/>
      <c r="V3913" s="494"/>
      <c r="W3913" s="2393"/>
    </row>
    <row r="3914" spans="1:23" s="7" customFormat="1" ht="15.95" customHeight="1">
      <c r="A3914" s="1"/>
      <c r="B3914" s="12" t="s">
        <v>1862</v>
      </c>
      <c r="C3914" s="6" t="s">
        <v>8520</v>
      </c>
      <c r="D3914" s="15" t="s">
        <v>8503</v>
      </c>
      <c r="E3914" s="24" t="s">
        <v>8205</v>
      </c>
      <c r="F3914" s="26"/>
      <c r="G3914" s="24" t="s">
        <v>8344</v>
      </c>
      <c r="H3914" s="151"/>
      <c r="I3914" s="41"/>
      <c r="J3914" s="45">
        <v>1</v>
      </c>
      <c r="K3914" s="25">
        <v>65</v>
      </c>
      <c r="L3914" s="46">
        <f>K3914*J3914</f>
        <v>65</v>
      </c>
      <c r="M3914" s="162" t="s">
        <v>2219</v>
      </c>
      <c r="N3914" s="39">
        <v>45807</v>
      </c>
      <c r="O3914" s="38">
        <v>7169</v>
      </c>
      <c r="P3914" s="180">
        <f>K3914*(VLOOKUP(B3914,$C$2:$F$6,3,FALSE))</f>
        <v>65</v>
      </c>
      <c r="Q3914" s="483">
        <v>65</v>
      </c>
      <c r="R3914" s="704">
        <f>Q3914*J3914</f>
        <v>65</v>
      </c>
      <c r="S3914" s="489">
        <v>6000</v>
      </c>
      <c r="T3914" s="113">
        <f>S3914*J3914</f>
        <v>6000</v>
      </c>
      <c r="U3914" s="517"/>
      <c r="V3914" s="494">
        <v>120</v>
      </c>
      <c r="W3914" s="2041">
        <f>(((K3914*V3914)-S3914)/(K3914*V3914))</f>
        <v>0.23076923076923078</v>
      </c>
    </row>
    <row r="3915" spans="1:23" s="7" customFormat="1" ht="15.75" customHeight="1">
      <c r="A3915" s="1"/>
      <c r="B3915" s="12" t="s">
        <v>1856</v>
      </c>
      <c r="C3915" s="6" t="s">
        <v>8520</v>
      </c>
      <c r="D3915" s="15" t="s">
        <v>8503</v>
      </c>
      <c r="E3915" s="24" t="s">
        <v>8205</v>
      </c>
      <c r="F3915" s="26"/>
      <c r="G3915" s="841" t="s">
        <v>8488</v>
      </c>
      <c r="H3915" s="151"/>
      <c r="I3915" s="41"/>
      <c r="J3915" s="67">
        <v>15</v>
      </c>
      <c r="K3915" s="25">
        <v>1.95</v>
      </c>
      <c r="L3915" s="46">
        <f>K3915*J3915</f>
        <v>29.25</v>
      </c>
      <c r="M3915" s="162" t="s">
        <v>2219</v>
      </c>
      <c r="N3915" s="39">
        <v>45807</v>
      </c>
      <c r="O3915" s="38">
        <v>7169</v>
      </c>
      <c r="P3915" s="180">
        <f>K3915*(VLOOKUP(B3915,$C$2:$F$6,3,FALSE))</f>
        <v>1.716</v>
      </c>
      <c r="Q3915" s="483">
        <v>1.72</v>
      </c>
      <c r="R3915" s="704">
        <f>Q3915*J3915</f>
        <v>25.8</v>
      </c>
      <c r="S3915" s="532">
        <f>140</f>
        <v>140</v>
      </c>
      <c r="T3915" s="113">
        <f>S3915*J3915</f>
        <v>2100</v>
      </c>
      <c r="U3915" s="517"/>
      <c r="V3915" s="494">
        <v>120</v>
      </c>
      <c r="W3915" s="2393">
        <f>(((K3915*V3915)-S3915)/(K3915*V3915))</f>
        <v>0.40170940170940173</v>
      </c>
    </row>
    <row r="3916" spans="1:23" s="7" customFormat="1" ht="15.75" customHeight="1">
      <c r="A3916" s="1"/>
      <c r="B3916" s="12" t="s">
        <v>1856</v>
      </c>
      <c r="C3916" s="6" t="s">
        <v>8520</v>
      </c>
      <c r="D3916" s="15" t="s">
        <v>8503</v>
      </c>
      <c r="E3916" s="24" t="s">
        <v>8205</v>
      </c>
      <c r="F3916" s="26"/>
      <c r="G3916" s="873" t="s">
        <v>8489</v>
      </c>
      <c r="H3916" s="151"/>
      <c r="I3916" s="41"/>
      <c r="J3916" s="67">
        <v>15</v>
      </c>
      <c r="K3916" s="25">
        <v>1.95</v>
      </c>
      <c r="L3916" s="46">
        <f>K3916*J3916</f>
        <v>29.25</v>
      </c>
      <c r="M3916" s="162" t="s">
        <v>2219</v>
      </c>
      <c r="N3916" s="39">
        <v>45807</v>
      </c>
      <c r="O3916" s="38">
        <v>7169</v>
      </c>
      <c r="P3916" s="180">
        <f>K3916*(VLOOKUP(B3916,$C$2:$F$6,3,FALSE))</f>
        <v>1.716</v>
      </c>
      <c r="Q3916" s="483">
        <v>1.72</v>
      </c>
      <c r="R3916" s="704">
        <f>Q3916*J3916</f>
        <v>25.8</v>
      </c>
      <c r="S3916" s="532">
        <f>140</f>
        <v>140</v>
      </c>
      <c r="T3916" s="113">
        <f>S3916*J3916</f>
        <v>2100</v>
      </c>
      <c r="U3916" s="517"/>
      <c r="V3916" s="494">
        <v>120</v>
      </c>
      <c r="W3916" s="2393">
        <f>(((K3916*V3916)-S3916)/(K3916*V3916))</f>
        <v>0.40170940170940173</v>
      </c>
    </row>
    <row r="3917" spans="1:23" s="7" customFormat="1" ht="15.75" customHeight="1">
      <c r="A3917" s="1"/>
      <c r="B3917" s="12"/>
      <c r="C3917" s="6" t="s">
        <v>8520</v>
      </c>
      <c r="D3917" s="15" t="s">
        <v>8503</v>
      </c>
      <c r="E3917" s="20" t="s">
        <v>8215</v>
      </c>
      <c r="F3917" s="26"/>
      <c r="G3917" s="24"/>
      <c r="H3917" s="151"/>
      <c r="I3917" s="41"/>
      <c r="J3917" s="67"/>
      <c r="K3917" s="25"/>
      <c r="L3917" s="46"/>
      <c r="M3917" s="162"/>
      <c r="N3917" s="39">
        <v>45807</v>
      </c>
      <c r="O3917" s="38">
        <v>7169</v>
      </c>
      <c r="P3917" s="180"/>
      <c r="Q3917" s="483"/>
      <c r="R3917" s="704"/>
      <c r="S3917" s="489">
        <v>0</v>
      </c>
      <c r="T3917" s="113"/>
      <c r="U3917" s="2429"/>
      <c r="V3917" s="494"/>
      <c r="W3917" s="2393"/>
    </row>
    <row r="3918" spans="1:23" s="7" customFormat="1" ht="15.75" customHeight="1">
      <c r="A3918" s="1"/>
      <c r="B3918" s="12" t="s">
        <v>1862</v>
      </c>
      <c r="C3918" s="6" t="s">
        <v>8520</v>
      </c>
      <c r="D3918" s="15" t="s">
        <v>8503</v>
      </c>
      <c r="E3918" s="24" t="s">
        <v>8206</v>
      </c>
      <c r="F3918" s="26"/>
      <c r="G3918" s="24" t="s">
        <v>8344</v>
      </c>
      <c r="H3918" s="151"/>
      <c r="I3918" s="41"/>
      <c r="J3918" s="45">
        <v>1</v>
      </c>
      <c r="K3918" s="25">
        <v>65</v>
      </c>
      <c r="L3918" s="46">
        <f>K3918*J3918</f>
        <v>65</v>
      </c>
      <c r="M3918" s="162" t="s">
        <v>2219</v>
      </c>
      <c r="N3918" s="39">
        <v>45807</v>
      </c>
      <c r="O3918" s="38">
        <v>7169</v>
      </c>
      <c r="P3918" s="180">
        <f>K3918*(VLOOKUP(B3918,$C$2:$F$6,3,FALSE))</f>
        <v>65</v>
      </c>
      <c r="Q3918" s="483">
        <v>65</v>
      </c>
      <c r="R3918" s="704">
        <f>Q3918*J3918</f>
        <v>65</v>
      </c>
      <c r="S3918" s="489">
        <v>6000</v>
      </c>
      <c r="T3918" s="113">
        <f>S3918*J3918</f>
        <v>6000</v>
      </c>
      <c r="U3918" s="517"/>
      <c r="V3918" s="494">
        <v>120</v>
      </c>
      <c r="W3918" s="2041">
        <f t="shared" ref="W3918:W3923" si="316">(((K3918*V3918)-S3918)/(K3918*V3918))</f>
        <v>0.23076923076923078</v>
      </c>
    </row>
    <row r="3919" spans="1:23" s="7" customFormat="1" ht="15.75" customHeight="1">
      <c r="A3919" s="1"/>
      <c r="B3919" s="12" t="s">
        <v>1856</v>
      </c>
      <c r="C3919" s="6" t="s">
        <v>8520</v>
      </c>
      <c r="D3919" s="15" t="s">
        <v>8503</v>
      </c>
      <c r="E3919" s="24" t="s">
        <v>8206</v>
      </c>
      <c r="F3919" s="26"/>
      <c r="G3919" s="841" t="s">
        <v>8488</v>
      </c>
      <c r="H3919" s="151"/>
      <c r="I3919" s="41"/>
      <c r="J3919" s="67">
        <v>25</v>
      </c>
      <c r="K3919" s="25">
        <v>2.1</v>
      </c>
      <c r="L3919" s="46">
        <f>K3919*J3919</f>
        <v>52.5</v>
      </c>
      <c r="M3919" s="162" t="s">
        <v>2219</v>
      </c>
      <c r="N3919" s="39">
        <v>45807</v>
      </c>
      <c r="O3919" s="38">
        <v>7169</v>
      </c>
      <c r="P3919" s="180">
        <f>K3919*(VLOOKUP(B3919,$C$2:$F$6,3,FALSE))</f>
        <v>1.8480000000000001</v>
      </c>
      <c r="Q3919" s="483">
        <v>1.85</v>
      </c>
      <c r="R3919" s="704">
        <f>Q3919*J3919</f>
        <v>46.25</v>
      </c>
      <c r="S3919" s="532">
        <f>151</f>
        <v>151</v>
      </c>
      <c r="T3919" s="113">
        <f>S3919*J3919</f>
        <v>3775</v>
      </c>
      <c r="U3919" s="517"/>
      <c r="V3919" s="494">
        <v>120</v>
      </c>
      <c r="W3919" s="2393">
        <f t="shared" si="316"/>
        <v>0.40079365079365081</v>
      </c>
    </row>
    <row r="3920" spans="1:23" s="7" customFormat="1" ht="15.75" customHeight="1">
      <c r="A3920" s="1"/>
      <c r="B3920" s="12" t="s">
        <v>1856</v>
      </c>
      <c r="C3920" s="6" t="s">
        <v>8520</v>
      </c>
      <c r="D3920" s="15" t="s">
        <v>8503</v>
      </c>
      <c r="E3920" s="24" t="s">
        <v>8206</v>
      </c>
      <c r="F3920" s="26"/>
      <c r="G3920" s="873" t="s">
        <v>8489</v>
      </c>
      <c r="H3920" s="151"/>
      <c r="I3920" s="41"/>
      <c r="J3920" s="67">
        <v>25</v>
      </c>
      <c r="K3920" s="25">
        <v>2.1</v>
      </c>
      <c r="L3920" s="46">
        <f>K3920*J3920</f>
        <v>52.5</v>
      </c>
      <c r="M3920" s="162" t="s">
        <v>2219</v>
      </c>
      <c r="N3920" s="39">
        <v>45807</v>
      </c>
      <c r="O3920" s="38">
        <v>7169</v>
      </c>
      <c r="P3920" s="180">
        <f>K3920*(VLOOKUP(B3920,$C$2:$F$6,3,FALSE))</f>
        <v>1.8480000000000001</v>
      </c>
      <c r="Q3920" s="483">
        <v>1.85</v>
      </c>
      <c r="R3920" s="704">
        <f>Q3920*J3920</f>
        <v>46.25</v>
      </c>
      <c r="S3920" s="532">
        <f>151</f>
        <v>151</v>
      </c>
      <c r="T3920" s="113">
        <f>S3920*J3920</f>
        <v>3775</v>
      </c>
      <c r="U3920" s="517"/>
      <c r="V3920" s="494">
        <v>120</v>
      </c>
      <c r="W3920" s="2393">
        <f t="shared" si="316"/>
        <v>0.40079365079365081</v>
      </c>
    </row>
    <row r="3921" spans="1:23" s="7" customFormat="1" ht="15.75" customHeight="1">
      <c r="A3921" s="1"/>
      <c r="B3921" s="12" t="s">
        <v>1862</v>
      </c>
      <c r="C3921" s="6" t="s">
        <v>8521</v>
      </c>
      <c r="D3921" s="15" t="s">
        <v>8503</v>
      </c>
      <c r="E3921" s="24" t="s">
        <v>8245</v>
      </c>
      <c r="F3921" s="26"/>
      <c r="G3921" s="24" t="s">
        <v>8126</v>
      </c>
      <c r="H3921" s="151"/>
      <c r="I3921" s="41"/>
      <c r="J3921" s="45">
        <v>3</v>
      </c>
      <c r="K3921" s="25">
        <v>75</v>
      </c>
      <c r="L3921" s="46">
        <f>K3921*J3921</f>
        <v>225</v>
      </c>
      <c r="M3921" s="162" t="s">
        <v>2219</v>
      </c>
      <c r="N3921" s="39">
        <v>45807</v>
      </c>
      <c r="O3921" s="38">
        <v>7169</v>
      </c>
      <c r="P3921" s="180">
        <f>K3921*(VLOOKUP(B3921,$C$2:$F$6,3,FALSE))</f>
        <v>75</v>
      </c>
      <c r="Q3921" s="483">
        <v>75</v>
      </c>
      <c r="R3921" s="704">
        <f>Q3921*J3921</f>
        <v>225</v>
      </c>
      <c r="S3921" s="489">
        <v>7000</v>
      </c>
      <c r="T3921" s="113">
        <f>S3921*J3921</f>
        <v>21000</v>
      </c>
      <c r="U3921" s="517"/>
      <c r="V3921" s="494">
        <v>120</v>
      </c>
      <c r="W3921" s="2041">
        <f t="shared" si="316"/>
        <v>0.22222222222222221</v>
      </c>
    </row>
    <row r="3922" spans="1:23" s="218" customFormat="1" ht="15.75" customHeight="1">
      <c r="A3922" s="217"/>
      <c r="B3922" s="541" t="s">
        <v>1862</v>
      </c>
      <c r="C3922" s="216" t="s">
        <v>8521</v>
      </c>
      <c r="D3922" s="109" t="s">
        <v>8503</v>
      </c>
      <c r="E3922" s="24" t="s">
        <v>8245</v>
      </c>
      <c r="F3922" s="2519"/>
      <c r="G3922" s="228" t="s">
        <v>8126</v>
      </c>
      <c r="H3922" s="2520"/>
      <c r="I3922" s="215"/>
      <c r="J3922" s="43">
        <v>1</v>
      </c>
      <c r="K3922" s="229">
        <v>75</v>
      </c>
      <c r="L3922" s="229">
        <v>0</v>
      </c>
      <c r="M3922" s="2521" t="s">
        <v>2219</v>
      </c>
      <c r="N3922" s="39">
        <v>45807</v>
      </c>
      <c r="O3922" s="38">
        <v>7169</v>
      </c>
      <c r="P3922" s="970">
        <f>K3922*(VLOOKUP(B3922,$C$2:$F$6,3,FALSE))</f>
        <v>75</v>
      </c>
      <c r="Q3922" s="525">
        <v>0</v>
      </c>
      <c r="R3922" s="525">
        <v>0</v>
      </c>
      <c r="S3922" s="489">
        <v>7000</v>
      </c>
      <c r="T3922" s="113">
        <f>S3922*J3922</f>
        <v>7000</v>
      </c>
      <c r="U3922" s="2522"/>
      <c r="V3922" s="547">
        <v>120</v>
      </c>
      <c r="W3922" s="2051">
        <f t="shared" si="316"/>
        <v>0.22222222222222221</v>
      </c>
    </row>
    <row r="3923" spans="1:23" s="314" customFormat="1" ht="15">
      <c r="A3923" s="1"/>
      <c r="B3923" s="313"/>
      <c r="C3923" s="302" t="s">
        <v>8522</v>
      </c>
      <c r="D3923" s="303" t="s">
        <v>8503</v>
      </c>
      <c r="E3923" s="304"/>
      <c r="F3923" s="305"/>
      <c r="G3923" s="305" t="s">
        <v>1227</v>
      </c>
      <c r="H3923" s="307" t="s">
        <v>1228</v>
      </c>
      <c r="I3923" s="308"/>
      <c r="J3923" s="306"/>
      <c r="K3923" s="315">
        <v>0</v>
      </c>
      <c r="L3923" s="310"/>
      <c r="M3923" s="310"/>
      <c r="N3923" s="310">
        <v>45807</v>
      </c>
      <c r="O3923" s="309">
        <v>7169</v>
      </c>
      <c r="P3923" s="302"/>
      <c r="Q3923" s="485">
        <v>0</v>
      </c>
      <c r="S3923" s="536">
        <v>0</v>
      </c>
      <c r="T3923" s="322">
        <v>0</v>
      </c>
      <c r="U3923" s="515"/>
      <c r="V3923" s="494">
        <v>120</v>
      </c>
      <c r="W3923" s="2041" t="e">
        <f t="shared" si="316"/>
        <v>#DIV/0!</v>
      </c>
    </row>
    <row r="3924" spans="1:23" ht="15">
      <c r="C3924" s="6" t="s">
        <v>8491</v>
      </c>
      <c r="D3924" s="15" t="s">
        <v>2309</v>
      </c>
      <c r="E3924" s="20" t="s">
        <v>79</v>
      </c>
      <c r="F3924" s="150"/>
      <c r="G3924" s="24"/>
      <c r="H3924" s="151"/>
      <c r="I3924" s="152"/>
      <c r="J3924" s="151"/>
      <c r="K3924" s="153" t="s">
        <v>10</v>
      </c>
      <c r="L3924" s="39"/>
      <c r="M3924" s="39"/>
      <c r="N3924" s="39">
        <v>45789</v>
      </c>
      <c r="O3924" s="38">
        <v>7114</v>
      </c>
      <c r="P3924" s="15"/>
      <c r="Q3924" s="483"/>
      <c r="S3924" s="2272"/>
      <c r="T3924" s="2272"/>
      <c r="V3924" s="494">
        <v>120</v>
      </c>
      <c r="W3924"/>
    </row>
    <row r="3925" spans="1:23" ht="15.75">
      <c r="B3925" s="12" t="s">
        <v>1858</v>
      </c>
      <c r="C3925" s="6" t="s">
        <v>8491</v>
      </c>
      <c r="D3925" s="15" t="s">
        <v>2309</v>
      </c>
      <c r="E3925" s="24">
        <v>5600</v>
      </c>
      <c r="F3925" s="150">
        <v>148</v>
      </c>
      <c r="G3925" s="24" t="s">
        <v>8492</v>
      </c>
      <c r="H3925" s="67"/>
      <c r="I3925" s="68"/>
      <c r="J3925" s="67">
        <v>10</v>
      </c>
      <c r="K3925" s="46">
        <v>8.75</v>
      </c>
      <c r="L3925" s="46">
        <f>K3925*J3925</f>
        <v>87.5</v>
      </c>
      <c r="M3925" s="162" t="s">
        <v>2219</v>
      </c>
      <c r="N3925" s="39">
        <v>45789</v>
      </c>
      <c r="O3925" s="38">
        <v>7114</v>
      </c>
      <c r="P3925" s="46">
        <f>K3925*(VLOOKUP(B3925,$C$2:$F$6,3,FALSE))</f>
        <v>8.2249999999999996</v>
      </c>
      <c r="Q3925" s="483">
        <v>8.23</v>
      </c>
      <c r="R3925" s="704">
        <f>Q3925*J3925</f>
        <v>82.300000000000011</v>
      </c>
      <c r="S3925" s="532">
        <v>630</v>
      </c>
      <c r="T3925" s="567">
        <f>S3925*J3925</f>
        <v>6300</v>
      </c>
      <c r="V3925" s="494">
        <v>120</v>
      </c>
      <c r="W3925" s="2041">
        <f t="shared" ref="W3925:W3940" si="317">(((K3925*V3925)-S3925)/(K3925*V3925))</f>
        <v>0.4</v>
      </c>
    </row>
    <row r="3926" spans="1:23" ht="15.75">
      <c r="B3926" s="12" t="s">
        <v>1858</v>
      </c>
      <c r="C3926" s="6" t="s">
        <v>8491</v>
      </c>
      <c r="D3926" s="15" t="s">
        <v>2309</v>
      </c>
      <c r="E3926" s="24">
        <v>5600</v>
      </c>
      <c r="F3926" s="150">
        <v>148</v>
      </c>
      <c r="G3926" s="24" t="s">
        <v>335</v>
      </c>
      <c r="H3926" s="67"/>
      <c r="I3926" s="68"/>
      <c r="J3926" s="67">
        <v>10</v>
      </c>
      <c r="K3926" s="46">
        <v>8.75</v>
      </c>
      <c r="L3926" s="46">
        <f>K3926*J3926</f>
        <v>87.5</v>
      </c>
      <c r="M3926" s="162" t="s">
        <v>2219</v>
      </c>
      <c r="N3926" s="39">
        <v>45789</v>
      </c>
      <c r="O3926" s="38">
        <v>7114</v>
      </c>
      <c r="P3926" s="46">
        <f>K3926*(VLOOKUP(B3926,$C$2:$F$6,3,FALSE))</f>
        <v>8.2249999999999996</v>
      </c>
      <c r="Q3926" s="483">
        <v>8.23</v>
      </c>
      <c r="R3926" s="704">
        <f>Q3926*J3926</f>
        <v>82.300000000000011</v>
      </c>
      <c r="S3926" s="532">
        <v>630</v>
      </c>
      <c r="T3926" s="567">
        <f>S3926*J3926</f>
        <v>6300</v>
      </c>
      <c r="V3926" s="494">
        <v>120</v>
      </c>
      <c r="W3926" s="2041">
        <f t="shared" si="317"/>
        <v>0.4</v>
      </c>
    </row>
    <row r="3927" spans="1:23" s="7" customFormat="1" ht="15.95" customHeight="1">
      <c r="B3927" s="12"/>
      <c r="C3927" s="6" t="s">
        <v>8491</v>
      </c>
      <c r="D3927" s="15" t="s">
        <v>2309</v>
      </c>
      <c r="E3927" s="24"/>
      <c r="F3927" s="138"/>
      <c r="G3927" s="44" t="s">
        <v>1075</v>
      </c>
      <c r="H3927" s="8"/>
      <c r="I3927" s="41"/>
      <c r="J3927" s="45">
        <v>2</v>
      </c>
      <c r="K3927" s="46">
        <v>15</v>
      </c>
      <c r="L3927" s="46">
        <f>K3927*J3927</f>
        <v>30</v>
      </c>
      <c r="M3927" s="39"/>
      <c r="N3927" s="39">
        <v>45789</v>
      </c>
      <c r="O3927" s="38">
        <v>7114</v>
      </c>
      <c r="P3927" s="6"/>
      <c r="Q3927" s="483">
        <v>15</v>
      </c>
      <c r="R3927" s="704">
        <f>Q3927*J3927</f>
        <v>30</v>
      </c>
      <c r="S3927" s="1011">
        <v>1000</v>
      </c>
      <c r="T3927" s="2452">
        <f>S3927*J3927</f>
        <v>2000</v>
      </c>
      <c r="U3927" s="501"/>
      <c r="V3927" s="494">
        <v>120</v>
      </c>
      <c r="W3927" s="2041">
        <f t="shared" si="317"/>
        <v>0.44444444444444442</v>
      </c>
    </row>
    <row r="3928" spans="1:23" s="7" customFormat="1" ht="15.95" customHeight="1">
      <c r="B3928" s="12"/>
      <c r="C3928" s="6" t="s">
        <v>8491</v>
      </c>
      <c r="D3928" s="15" t="s">
        <v>2309</v>
      </c>
      <c r="E3928" s="24"/>
      <c r="F3928" s="138"/>
      <c r="G3928" s="44" t="s">
        <v>1993</v>
      </c>
      <c r="H3928" s="8"/>
      <c r="I3928" s="41"/>
      <c r="J3928" s="45">
        <v>1</v>
      </c>
      <c r="K3928" s="46">
        <v>25</v>
      </c>
      <c r="L3928" s="46">
        <f>K3928*J3928</f>
        <v>25</v>
      </c>
      <c r="M3928" s="39"/>
      <c r="N3928" s="39">
        <v>45789</v>
      </c>
      <c r="O3928" s="38">
        <v>7114</v>
      </c>
      <c r="P3928" s="6"/>
      <c r="Q3928" s="483">
        <v>25</v>
      </c>
      <c r="R3928" s="704">
        <f>Q3928*J3928</f>
        <v>25</v>
      </c>
      <c r="S3928" s="1011">
        <v>1600</v>
      </c>
      <c r="T3928" s="2452">
        <f>S3928*J3928</f>
        <v>1600</v>
      </c>
      <c r="U3928" s="501"/>
      <c r="V3928" s="494">
        <v>120</v>
      </c>
      <c r="W3928" s="2041">
        <f t="shared" si="317"/>
        <v>0.46666666666666667</v>
      </c>
    </row>
    <row r="3929" spans="1:23" s="314" customFormat="1" ht="15">
      <c r="B3929" s="313"/>
      <c r="C3929" s="302" t="s">
        <v>8491</v>
      </c>
      <c r="D3929" s="303" t="s">
        <v>2309</v>
      </c>
      <c r="E3929" s="304"/>
      <c r="F3929" s="305"/>
      <c r="G3929" s="305" t="s">
        <v>1227</v>
      </c>
      <c r="H3929" s="307" t="s">
        <v>1243</v>
      </c>
      <c r="I3929" s="308"/>
      <c r="J3929" s="306"/>
      <c r="K3929" s="329">
        <v>72</v>
      </c>
      <c r="L3929" s="329">
        <v>72</v>
      </c>
      <c r="M3929" s="310"/>
      <c r="N3929" s="310">
        <v>45789</v>
      </c>
      <c r="O3929" s="309">
        <v>7114</v>
      </c>
      <c r="P3929" s="685"/>
      <c r="Q3929" s="329">
        <v>72</v>
      </c>
      <c r="R3929" s="329">
        <v>72</v>
      </c>
      <c r="S3929" s="1011">
        <v>6663</v>
      </c>
      <c r="T3929" s="2452">
        <v>6663</v>
      </c>
      <c r="U3929" s="688"/>
      <c r="V3929" s="494">
        <v>120</v>
      </c>
      <c r="W3929" s="2041">
        <f t="shared" si="317"/>
        <v>0.22881944444444444</v>
      </c>
    </row>
    <row r="3930" spans="1:23" s="7" customFormat="1" ht="15" customHeight="1">
      <c r="A3930" s="1"/>
      <c r="B3930" s="12"/>
      <c r="C3930" s="6" t="s">
        <v>8517</v>
      </c>
      <c r="D3930" s="15" t="s">
        <v>5251</v>
      </c>
      <c r="E3930" s="20" t="s">
        <v>8252</v>
      </c>
      <c r="F3930" s="26"/>
      <c r="G3930" s="24"/>
      <c r="H3930" s="67"/>
      <c r="I3930" s="68"/>
      <c r="J3930" s="67"/>
      <c r="K3930" s="17" t="s">
        <v>10</v>
      </c>
      <c r="L3930" s="39"/>
      <c r="M3930" s="39"/>
      <c r="N3930" s="39">
        <v>45791</v>
      </c>
      <c r="O3930" s="38">
        <v>7125</v>
      </c>
      <c r="P3930" s="180" t="e">
        <f>K3930*(VLOOKUP(B3930,$C$2:$F$6,3,FALSE))</f>
        <v>#VALUE!</v>
      </c>
      <c r="Q3930" s="483"/>
      <c r="R3930" s="704"/>
      <c r="S3930" s="489"/>
      <c r="T3930" s="113">
        <f>S3930*J3930</f>
        <v>0</v>
      </c>
      <c r="U3930" s="517"/>
      <c r="V3930" s="494">
        <v>120</v>
      </c>
      <c r="W3930" s="2041" t="e">
        <f t="shared" si="317"/>
        <v>#VALUE!</v>
      </c>
    </row>
    <row r="3931" spans="1:23" s="7" customFormat="1" ht="15.75" customHeight="1">
      <c r="A3931" s="1"/>
      <c r="B3931" s="12" t="s">
        <v>1856</v>
      </c>
      <c r="C3931" s="6" t="s">
        <v>8517</v>
      </c>
      <c r="D3931" s="15" t="s">
        <v>5251</v>
      </c>
      <c r="E3931" s="1012" t="s">
        <v>8501</v>
      </c>
      <c r="F3931" s="26"/>
      <c r="G3931" s="24" t="s">
        <v>7694</v>
      </c>
      <c r="H3931" s="151"/>
      <c r="I3931" s="41"/>
      <c r="J3931" s="67">
        <v>20</v>
      </c>
      <c r="K3931" s="25">
        <v>2.56</v>
      </c>
      <c r="L3931" s="46">
        <f>K3931*J3931</f>
        <v>51.2</v>
      </c>
      <c r="M3931" s="162" t="s">
        <v>2219</v>
      </c>
      <c r="N3931" s="2453">
        <v>45791</v>
      </c>
      <c r="O3931" s="38">
        <v>7125</v>
      </c>
      <c r="P3931" s="180">
        <f>K3931*(VLOOKUP(B3931,$C$2:$F$6,3,FALSE))</f>
        <v>2.2528000000000001</v>
      </c>
      <c r="Q3931" s="483">
        <v>2.25</v>
      </c>
      <c r="R3931" s="704">
        <f>Q3931*J3931</f>
        <v>45</v>
      </c>
      <c r="S3931" s="489">
        <v>184</v>
      </c>
      <c r="T3931" s="113">
        <f>S3931*J3931</f>
        <v>3680</v>
      </c>
      <c r="U3931" s="517"/>
      <c r="V3931" s="494">
        <v>120</v>
      </c>
      <c r="W3931" s="2041">
        <f t="shared" si="317"/>
        <v>0.40104166666666663</v>
      </c>
    </row>
    <row r="3932" spans="1:23" s="7" customFormat="1" ht="15.75" customHeight="1">
      <c r="A3932" s="1"/>
      <c r="B3932" s="12" t="s">
        <v>1856</v>
      </c>
      <c r="C3932" s="6" t="s">
        <v>8517</v>
      </c>
      <c r="D3932" s="15" t="s">
        <v>5251</v>
      </c>
      <c r="E3932" s="1012" t="s">
        <v>8515</v>
      </c>
      <c r="F3932" s="26"/>
      <c r="G3932" s="24" t="s">
        <v>7694</v>
      </c>
      <c r="H3932" s="151"/>
      <c r="I3932" s="41"/>
      <c r="J3932" s="67">
        <v>10</v>
      </c>
      <c r="K3932" s="25">
        <v>2.42</v>
      </c>
      <c r="L3932" s="46">
        <f>K3932*J3932</f>
        <v>24.2</v>
      </c>
      <c r="M3932" s="162" t="s">
        <v>2219</v>
      </c>
      <c r="N3932" s="2453">
        <v>45791</v>
      </c>
      <c r="O3932" s="38">
        <v>7125</v>
      </c>
      <c r="P3932" s="180">
        <f>K3932*(VLOOKUP(B3932,$C$2:$F$6,3,FALSE))</f>
        <v>2.1295999999999999</v>
      </c>
      <c r="Q3932" s="483">
        <v>2.13</v>
      </c>
      <c r="R3932" s="704">
        <f>Q3932*J3932</f>
        <v>21.299999999999997</v>
      </c>
      <c r="S3932" s="489">
        <v>174</v>
      </c>
      <c r="T3932" s="113">
        <f>S3932*J3932</f>
        <v>1740</v>
      </c>
      <c r="U3932" s="517"/>
      <c r="V3932" s="494">
        <v>120</v>
      </c>
      <c r="W3932" s="2041">
        <f t="shared" si="317"/>
        <v>0.40082644628099168</v>
      </c>
    </row>
    <row r="3933" spans="1:23" ht="18" customHeight="1">
      <c r="B3933" s="12" t="s">
        <v>1862</v>
      </c>
      <c r="C3933" s="6" t="s">
        <v>8517</v>
      </c>
      <c r="D3933" s="15" t="s">
        <v>5251</v>
      </c>
      <c r="E3933" s="24"/>
      <c r="F3933" s="138"/>
      <c r="G3933" s="44" t="s">
        <v>1993</v>
      </c>
      <c r="H3933" s="8"/>
      <c r="I3933" s="41"/>
      <c r="J3933" s="45">
        <v>1</v>
      </c>
      <c r="K3933" s="46">
        <v>12</v>
      </c>
      <c r="L3933" s="46">
        <f>K3933*J3933</f>
        <v>12</v>
      </c>
      <c r="M3933" s="112"/>
      <c r="N3933" s="39">
        <v>45791</v>
      </c>
      <c r="O3933" s="38">
        <v>7125</v>
      </c>
      <c r="P3933" s="46">
        <f>K3933*(VLOOKUP(B3933,$C$2:$F$6,3,FALSE))</f>
        <v>12</v>
      </c>
      <c r="Q3933" s="483">
        <v>12</v>
      </c>
      <c r="R3933" s="704">
        <f>Q3933*J3933</f>
        <v>12</v>
      </c>
      <c r="S3933" s="1011">
        <v>900</v>
      </c>
      <c r="T3933" s="2452">
        <f>S3933*J3933</f>
        <v>900</v>
      </c>
      <c r="U3933" s="511"/>
      <c r="V3933" s="494">
        <v>120</v>
      </c>
      <c r="W3933" s="2041">
        <f t="shared" si="317"/>
        <v>0.375</v>
      </c>
    </row>
    <row r="3934" spans="1:23" s="314" customFormat="1" ht="15">
      <c r="A3934" s="1"/>
      <c r="B3934" s="313"/>
      <c r="C3934" s="302" t="s">
        <v>8517</v>
      </c>
      <c r="D3934" s="303" t="s">
        <v>5251</v>
      </c>
      <c r="E3934" s="304"/>
      <c r="F3934" s="305"/>
      <c r="G3934" s="305" t="s">
        <v>1227</v>
      </c>
      <c r="H3934" s="307" t="s">
        <v>1228</v>
      </c>
      <c r="I3934" s="308"/>
      <c r="J3934" s="306"/>
      <c r="K3934" s="315">
        <v>0</v>
      </c>
      <c r="L3934" s="310"/>
      <c r="M3934" s="310"/>
      <c r="N3934" s="310">
        <v>45791</v>
      </c>
      <c r="O3934" s="309">
        <v>7125</v>
      </c>
      <c r="P3934" s="302"/>
      <c r="Q3934" s="485">
        <v>0</v>
      </c>
      <c r="S3934" s="536">
        <v>0</v>
      </c>
      <c r="T3934" s="322">
        <v>0</v>
      </c>
      <c r="U3934" s="515"/>
      <c r="V3934" s="494">
        <v>120</v>
      </c>
      <c r="W3934" s="2041" t="e">
        <f t="shared" si="317"/>
        <v>#DIV/0!</v>
      </c>
    </row>
    <row r="3935" spans="1:23" s="7" customFormat="1" ht="15" customHeight="1">
      <c r="A3935" s="1"/>
      <c r="B3935" s="12"/>
      <c r="C3935" s="6" t="s">
        <v>8558</v>
      </c>
      <c r="D3935" s="15" t="s">
        <v>8503</v>
      </c>
      <c r="E3935" s="20" t="s">
        <v>8109</v>
      </c>
      <c r="F3935" s="26"/>
      <c r="G3935" s="24"/>
      <c r="H3935" s="67"/>
      <c r="I3935" s="68"/>
      <c r="J3935" s="67"/>
      <c r="K3935" s="17" t="s">
        <v>10</v>
      </c>
      <c r="L3935" s="39"/>
      <c r="M3935" s="39"/>
      <c r="N3935" s="39">
        <v>45824</v>
      </c>
      <c r="O3935" s="38">
        <v>7183</v>
      </c>
      <c r="P3935" s="180" t="e">
        <f>K3935*(VLOOKUP(B3935,$C$2:$F$6,3,FALSE))</f>
        <v>#VALUE!</v>
      </c>
      <c r="Q3935" s="483"/>
      <c r="R3935" s="704"/>
      <c r="S3935" s="489"/>
      <c r="T3935" s="113">
        <f>S3935*J3935</f>
        <v>0</v>
      </c>
      <c r="U3935" s="517"/>
      <c r="V3935" s="494">
        <v>120</v>
      </c>
      <c r="W3935" s="2041" t="e">
        <f t="shared" si="317"/>
        <v>#VALUE!</v>
      </c>
    </row>
    <row r="3936" spans="1:23" s="7" customFormat="1" ht="15.75" customHeight="1">
      <c r="A3936" s="1"/>
      <c r="B3936" s="12" t="s">
        <v>1862</v>
      </c>
      <c r="C3936" s="6" t="s">
        <v>8558</v>
      </c>
      <c r="D3936" s="15" t="s">
        <v>8503</v>
      </c>
      <c r="E3936" s="24" t="s">
        <v>8186</v>
      </c>
      <c r="F3936" s="26"/>
      <c r="G3936" s="2281" t="s">
        <v>8344</v>
      </c>
      <c r="H3936" s="2517"/>
      <c r="I3936" s="41"/>
      <c r="J3936" s="45">
        <v>1</v>
      </c>
      <c r="K3936" s="25">
        <v>65</v>
      </c>
      <c r="L3936" s="46">
        <f>K3936*J3936</f>
        <v>65</v>
      </c>
      <c r="M3936" s="162" t="s">
        <v>2219</v>
      </c>
      <c r="N3936" s="39">
        <v>45824</v>
      </c>
      <c r="O3936" s="38">
        <v>7183</v>
      </c>
      <c r="P3936" s="180">
        <f>K3936*(VLOOKUP(B3936,$C$2:$F$6,3,FALSE))</f>
        <v>65</v>
      </c>
      <c r="Q3936" s="483">
        <v>65</v>
      </c>
      <c r="R3936" s="704">
        <f>Q3936*J3936</f>
        <v>65</v>
      </c>
      <c r="S3936" s="489">
        <v>0</v>
      </c>
      <c r="T3936" s="113">
        <f>S3936*J3936</f>
        <v>0</v>
      </c>
      <c r="U3936" s="517"/>
      <c r="V3936" s="494">
        <v>120</v>
      </c>
      <c r="W3936" s="2041">
        <f t="shared" si="317"/>
        <v>1</v>
      </c>
    </row>
    <row r="3937" spans="1:23" s="7" customFormat="1" ht="15.75" customHeight="1">
      <c r="A3937" s="1"/>
      <c r="B3937" s="12" t="s">
        <v>1856</v>
      </c>
      <c r="C3937" s="6" t="s">
        <v>8558</v>
      </c>
      <c r="D3937" s="15" t="s">
        <v>8503</v>
      </c>
      <c r="E3937" s="24" t="s">
        <v>8186</v>
      </c>
      <c r="F3937" s="26"/>
      <c r="G3937" s="873" t="s">
        <v>543</v>
      </c>
      <c r="H3937" s="2517"/>
      <c r="I3937" s="41"/>
      <c r="J3937" s="67">
        <v>15</v>
      </c>
      <c r="K3937" s="25">
        <v>1.74</v>
      </c>
      <c r="L3937" s="46">
        <f>K3937*J3937</f>
        <v>26.1</v>
      </c>
      <c r="M3937" s="162" t="s">
        <v>2219</v>
      </c>
      <c r="N3937" s="39">
        <v>45824</v>
      </c>
      <c r="O3937" s="38">
        <v>7183</v>
      </c>
      <c r="P3937" s="180">
        <f>K3937*(VLOOKUP(B3937,$C$2:$F$6,3,FALSE))</f>
        <v>1.5311999999999999</v>
      </c>
      <c r="Q3937" s="483">
        <v>1.53</v>
      </c>
      <c r="R3937" s="704">
        <f>Q3937*J3937</f>
        <v>22.95</v>
      </c>
      <c r="S3937" s="532">
        <v>125</v>
      </c>
      <c r="T3937" s="113">
        <f>S3937*J3937</f>
        <v>1875</v>
      </c>
      <c r="U3937" s="517"/>
      <c r="V3937" s="494">
        <v>120</v>
      </c>
      <c r="W3937" s="2041">
        <f t="shared" si="317"/>
        <v>0.40134099616858243</v>
      </c>
    </row>
    <row r="3938" spans="1:23" s="7" customFormat="1" ht="15.75" customHeight="1">
      <c r="A3938" s="1"/>
      <c r="B3938" s="12" t="s">
        <v>1862</v>
      </c>
      <c r="C3938" s="6" t="s">
        <v>8558</v>
      </c>
      <c r="D3938" s="15" t="s">
        <v>8503</v>
      </c>
      <c r="E3938" s="24" t="s">
        <v>8186</v>
      </c>
      <c r="F3938" s="26"/>
      <c r="G3938" s="407" t="s">
        <v>3334</v>
      </c>
      <c r="H3938" s="2517"/>
      <c r="I3938" s="41"/>
      <c r="J3938" s="45">
        <v>1</v>
      </c>
      <c r="K3938" s="25">
        <v>75</v>
      </c>
      <c r="L3938" s="46">
        <f>K3938*J3938</f>
        <v>75</v>
      </c>
      <c r="M3938" s="162" t="s">
        <v>2219</v>
      </c>
      <c r="N3938" s="39">
        <v>45824</v>
      </c>
      <c r="O3938" s="38">
        <v>7183</v>
      </c>
      <c r="P3938" s="180">
        <f>K3938*(VLOOKUP(B3938,$C$2:$F$6,3,FALSE))</f>
        <v>75</v>
      </c>
      <c r="Q3938" s="483">
        <v>75</v>
      </c>
      <c r="R3938" s="704">
        <f>Q3938*J3938</f>
        <v>75</v>
      </c>
      <c r="S3938" s="489">
        <v>7000</v>
      </c>
      <c r="T3938" s="113">
        <f>S3938*J3938</f>
        <v>7000</v>
      </c>
      <c r="U3938" s="517"/>
      <c r="V3938" s="494">
        <v>120</v>
      </c>
      <c r="W3938" s="2041">
        <f t="shared" si="317"/>
        <v>0.22222222222222221</v>
      </c>
    </row>
    <row r="3939" spans="1:23" ht="18" customHeight="1">
      <c r="B3939" s="12" t="s">
        <v>1862</v>
      </c>
      <c r="C3939" s="6" t="s">
        <v>8558</v>
      </c>
      <c r="D3939" s="15" t="s">
        <v>8503</v>
      </c>
      <c r="E3939" s="24"/>
      <c r="F3939" s="138"/>
      <c r="G3939" s="44" t="s">
        <v>1993</v>
      </c>
      <c r="H3939" s="8"/>
      <c r="I3939" s="41"/>
      <c r="J3939" s="45">
        <v>1</v>
      </c>
      <c r="K3939" s="46">
        <v>12</v>
      </c>
      <c r="L3939" s="46">
        <f>K3939*J3939</f>
        <v>12</v>
      </c>
      <c r="M3939" s="112"/>
      <c r="N3939" s="39">
        <v>45824</v>
      </c>
      <c r="O3939" s="38">
        <v>7183</v>
      </c>
      <c r="P3939" s="46">
        <f>K3939*(VLOOKUP(B3939,$C$2:$F$6,3,FALSE))</f>
        <v>12</v>
      </c>
      <c r="Q3939" s="483">
        <v>12</v>
      </c>
      <c r="R3939" s="704">
        <f>Q3939*J3939</f>
        <v>12</v>
      </c>
      <c r="S3939" s="489">
        <v>0</v>
      </c>
      <c r="T3939" s="113">
        <f>S3939*J3939</f>
        <v>0</v>
      </c>
      <c r="U3939" s="511"/>
      <c r="V3939" s="494">
        <v>120</v>
      </c>
      <c r="W3939" s="2041">
        <f t="shared" si="317"/>
        <v>1</v>
      </c>
    </row>
    <row r="3940" spans="1:23" s="314" customFormat="1" ht="15">
      <c r="A3940" s="1"/>
      <c r="B3940" s="313"/>
      <c r="C3940" s="302" t="s">
        <v>8558</v>
      </c>
      <c r="D3940" s="303" t="s">
        <v>8503</v>
      </c>
      <c r="E3940" s="304"/>
      <c r="F3940" s="305"/>
      <c r="G3940" s="305" t="s">
        <v>1227</v>
      </c>
      <c r="H3940" s="307" t="s">
        <v>1228</v>
      </c>
      <c r="I3940" s="308"/>
      <c r="J3940" s="306"/>
      <c r="K3940" s="315">
        <v>0</v>
      </c>
      <c r="L3940" s="310"/>
      <c r="M3940" s="310"/>
      <c r="N3940" s="310">
        <v>45824</v>
      </c>
      <c r="O3940" s="309">
        <v>7183</v>
      </c>
      <c r="P3940" s="302"/>
      <c r="Q3940" s="485">
        <v>0</v>
      </c>
      <c r="S3940" s="536">
        <v>0</v>
      </c>
      <c r="T3940" s="322">
        <v>0</v>
      </c>
      <c r="U3940" s="515"/>
      <c r="V3940" s="494">
        <v>120</v>
      </c>
      <c r="W3940" s="2041" t="e">
        <f t="shared" si="317"/>
        <v>#DIV/0!</v>
      </c>
    </row>
    <row r="3941" spans="1:23" s="7" customFormat="1" ht="15.75" customHeight="1">
      <c r="A3941" s="1"/>
      <c r="B3941" s="12"/>
      <c r="C3941" s="6" t="s">
        <v>8556</v>
      </c>
      <c r="D3941" s="15" t="s">
        <v>8503</v>
      </c>
      <c r="E3941" s="20" t="s">
        <v>8215</v>
      </c>
      <c r="F3941" s="26"/>
      <c r="G3941" s="24"/>
      <c r="H3941" s="151"/>
      <c r="I3941" s="41"/>
      <c r="J3941" s="67"/>
      <c r="K3941" s="25"/>
      <c r="L3941" s="46"/>
      <c r="M3941" s="162"/>
      <c r="N3941" s="39">
        <v>45838</v>
      </c>
      <c r="O3941" s="38">
        <v>7196</v>
      </c>
      <c r="P3941" s="180"/>
      <c r="Q3941" s="483"/>
      <c r="R3941" s="704"/>
      <c r="S3941" s="489">
        <v>0</v>
      </c>
      <c r="T3941" s="113"/>
      <c r="U3941" s="2429"/>
      <c r="V3941" s="494"/>
      <c r="W3941" s="2393"/>
    </row>
    <row r="3942" spans="1:23" s="7" customFormat="1" ht="15.75" customHeight="1">
      <c r="A3942" s="1"/>
      <c r="B3942" s="12" t="s">
        <v>1862</v>
      </c>
      <c r="C3942" s="6" t="s">
        <v>8556</v>
      </c>
      <c r="D3942" s="15" t="s">
        <v>8503</v>
      </c>
      <c r="E3942" s="24" t="s">
        <v>8204</v>
      </c>
      <c r="F3942" s="26"/>
      <c r="G3942" s="2281" t="s">
        <v>8344</v>
      </c>
      <c r="H3942" s="151"/>
      <c r="I3942" s="41"/>
      <c r="J3942" s="45">
        <v>1</v>
      </c>
      <c r="K3942" s="25">
        <v>65</v>
      </c>
      <c r="L3942" s="46">
        <v>0</v>
      </c>
      <c r="M3942" s="162" t="s">
        <v>2219</v>
      </c>
      <c r="N3942" s="39">
        <v>45838</v>
      </c>
      <c r="O3942" s="38">
        <v>7196</v>
      </c>
      <c r="P3942" s="180">
        <f>K3942*(VLOOKUP(B3942,$C$2:$F$6,3,FALSE))</f>
        <v>65</v>
      </c>
      <c r="Q3942" s="483">
        <v>0</v>
      </c>
      <c r="R3942" s="704">
        <f>Q3942*J3942</f>
        <v>0</v>
      </c>
      <c r="S3942" s="489">
        <v>0</v>
      </c>
      <c r="T3942" s="113">
        <f>S3942*J3942</f>
        <v>0</v>
      </c>
      <c r="U3942" s="517"/>
      <c r="V3942" s="494">
        <v>120</v>
      </c>
      <c r="W3942" s="2041">
        <f>(((K3942*V3942)-S3942)/(K3942*V3942))</f>
        <v>1</v>
      </c>
    </row>
    <row r="3943" spans="1:23" s="7" customFormat="1" ht="15.75" customHeight="1">
      <c r="A3943" s="1"/>
      <c r="B3943" s="12" t="s">
        <v>1856</v>
      </c>
      <c r="C3943" s="6" t="s">
        <v>8556</v>
      </c>
      <c r="D3943" s="15" t="s">
        <v>8503</v>
      </c>
      <c r="E3943" s="24" t="s">
        <v>8204</v>
      </c>
      <c r="F3943" s="26"/>
      <c r="G3943" s="873" t="s">
        <v>8489</v>
      </c>
      <c r="H3943" s="151"/>
      <c r="I3943" s="41"/>
      <c r="J3943" s="67">
        <v>25</v>
      </c>
      <c r="K3943" s="25">
        <v>1.6</v>
      </c>
      <c r="L3943" s="46">
        <f>K3943*J3943</f>
        <v>40</v>
      </c>
      <c r="M3943" s="162" t="s">
        <v>2219</v>
      </c>
      <c r="N3943" s="39">
        <v>45838</v>
      </c>
      <c r="O3943" s="38">
        <v>7196</v>
      </c>
      <c r="P3943" s="180">
        <f>K3943*(VLOOKUP(B3943,$C$2:$F$6,3,FALSE))</f>
        <v>1.4080000000000001</v>
      </c>
      <c r="Q3943" s="483">
        <v>1.41</v>
      </c>
      <c r="R3943" s="704">
        <f>Q3943*J3943</f>
        <v>35.25</v>
      </c>
      <c r="S3943" s="532">
        <v>115</v>
      </c>
      <c r="T3943" s="113">
        <f>S3943*J3943</f>
        <v>2875</v>
      </c>
      <c r="U3943" s="517"/>
      <c r="V3943" s="494">
        <v>120</v>
      </c>
      <c r="W3943" s="2041">
        <f>(((K3943*V3943)-S3943)/(K3943*V3943))</f>
        <v>0.40104166666666669</v>
      </c>
    </row>
    <row r="3944" spans="1:23" s="7" customFormat="1" ht="15.75" customHeight="1">
      <c r="A3944" s="1"/>
      <c r="B3944" s="12" t="s">
        <v>1856</v>
      </c>
      <c r="C3944" s="6" t="s">
        <v>8556</v>
      </c>
      <c r="D3944" s="15" t="s">
        <v>8503</v>
      </c>
      <c r="E3944" s="24" t="s">
        <v>8204</v>
      </c>
      <c r="F3944" s="26"/>
      <c r="G3944" s="873" t="s">
        <v>8555</v>
      </c>
      <c r="H3944" s="151"/>
      <c r="I3944" s="41"/>
      <c r="J3944" s="45">
        <v>1</v>
      </c>
      <c r="K3944" s="25"/>
      <c r="L3944" s="46">
        <v>-20</v>
      </c>
      <c r="M3944" s="162" t="s">
        <v>2219</v>
      </c>
      <c r="N3944" s="39">
        <v>45838</v>
      </c>
      <c r="O3944" s="38">
        <v>7196</v>
      </c>
      <c r="P3944" s="180">
        <f>K3944*(VLOOKUP(B3944,$C$2:$F$6,3,FALSE))</f>
        <v>0</v>
      </c>
      <c r="Q3944" s="483">
        <v>-17.63</v>
      </c>
      <c r="R3944" s="704">
        <f>Q3944*J3944</f>
        <v>-17.63</v>
      </c>
      <c r="S3944" s="532">
        <v>0</v>
      </c>
      <c r="T3944" s="113">
        <f>S3944*J3944</f>
        <v>0</v>
      </c>
      <c r="U3944" s="517"/>
      <c r="V3944" s="494">
        <v>120</v>
      </c>
      <c r="W3944" s="2041" t="e">
        <f>(((K3944*V3944)-S3944)/(K3944*V3944))</f>
        <v>#DIV/0!</v>
      </c>
    </row>
    <row r="3945" spans="1:23" s="7" customFormat="1" ht="15.75" customHeight="1">
      <c r="A3945" s="1"/>
      <c r="B3945" s="12" t="s">
        <v>1862</v>
      </c>
      <c r="C3945" s="6" t="s">
        <v>8556</v>
      </c>
      <c r="D3945" s="15" t="s">
        <v>8503</v>
      </c>
      <c r="E3945" s="24" t="s">
        <v>8204</v>
      </c>
      <c r="F3945" s="26"/>
      <c r="G3945" s="24" t="s">
        <v>3334</v>
      </c>
      <c r="H3945" s="151"/>
      <c r="I3945" s="41"/>
      <c r="J3945" s="45">
        <v>1</v>
      </c>
      <c r="K3945" s="25">
        <v>75</v>
      </c>
      <c r="L3945" s="46">
        <f>K3945*J3945</f>
        <v>75</v>
      </c>
      <c r="M3945" s="162" t="s">
        <v>2219</v>
      </c>
      <c r="N3945" s="39">
        <v>45838</v>
      </c>
      <c r="O3945" s="38">
        <v>7196</v>
      </c>
      <c r="P3945" s="180">
        <f>K3945*(VLOOKUP(B3945,$C$2:$F$6,3,FALSE))</f>
        <v>75</v>
      </c>
      <c r="Q3945" s="483">
        <v>75</v>
      </c>
      <c r="R3945" s="704">
        <f>Q3945*J3945</f>
        <v>75</v>
      </c>
      <c r="S3945" s="489">
        <v>7000</v>
      </c>
      <c r="T3945" s="113">
        <f>S3945*J3945</f>
        <v>7000</v>
      </c>
      <c r="U3945" s="517"/>
      <c r="V3945" s="494">
        <v>120</v>
      </c>
      <c r="W3945" s="2041">
        <f>(((K3945*V3945)-S3945)/(K3945*V3945))</f>
        <v>0.22222222222222221</v>
      </c>
    </row>
    <row r="3946" spans="1:23" s="7" customFormat="1" ht="15.75" customHeight="1">
      <c r="A3946" s="1"/>
      <c r="B3946" s="12"/>
      <c r="C3946" s="6" t="s">
        <v>8557</v>
      </c>
      <c r="D3946" s="15" t="s">
        <v>8503</v>
      </c>
      <c r="E3946" s="20" t="s">
        <v>8215</v>
      </c>
      <c r="F3946" s="26"/>
      <c r="G3946" s="24"/>
      <c r="H3946" s="151"/>
      <c r="I3946" s="41"/>
      <c r="J3946" s="67" t="s">
        <v>2690</v>
      </c>
      <c r="K3946" s="25"/>
      <c r="L3946" s="46"/>
      <c r="M3946" s="162"/>
      <c r="N3946" s="39">
        <v>45838</v>
      </c>
      <c r="O3946" s="38">
        <v>7196</v>
      </c>
      <c r="P3946" s="180"/>
      <c r="Q3946" s="483"/>
      <c r="R3946" s="704"/>
      <c r="S3946" s="489">
        <v>0</v>
      </c>
      <c r="T3946" s="113"/>
      <c r="U3946" s="2429"/>
      <c r="V3946" s="494"/>
      <c r="W3946" s="2393"/>
    </row>
    <row r="3947" spans="1:23" s="7" customFormat="1" ht="15.95" customHeight="1">
      <c r="A3947" s="1"/>
      <c r="B3947" s="12" t="s">
        <v>1862</v>
      </c>
      <c r="C3947" s="6" t="s">
        <v>8557</v>
      </c>
      <c r="D3947" s="15" t="s">
        <v>8503</v>
      </c>
      <c r="E3947" s="24" t="s">
        <v>8205</v>
      </c>
      <c r="F3947" s="26"/>
      <c r="G3947" s="24" t="s">
        <v>8344</v>
      </c>
      <c r="H3947" s="151"/>
      <c r="I3947" s="41"/>
      <c r="J3947" s="45">
        <v>1</v>
      </c>
      <c r="K3947" s="25">
        <v>65</v>
      </c>
      <c r="L3947" s="46">
        <v>0</v>
      </c>
      <c r="M3947" s="162" t="s">
        <v>2219</v>
      </c>
      <c r="N3947" s="39">
        <v>45838</v>
      </c>
      <c r="O3947" s="38">
        <v>7196</v>
      </c>
      <c r="P3947" s="180">
        <f>K3947*(VLOOKUP(B3947,$C$2:$F$6,3,FALSE))</f>
        <v>65</v>
      </c>
      <c r="Q3947" s="483">
        <v>0</v>
      </c>
      <c r="R3947" s="704">
        <f>Q3947*J3947</f>
        <v>0</v>
      </c>
      <c r="S3947" s="489">
        <v>0</v>
      </c>
      <c r="T3947" s="113">
        <f>S3947*J3947</f>
        <v>0</v>
      </c>
      <c r="U3947" s="517"/>
      <c r="V3947" s="494">
        <v>120</v>
      </c>
      <c r="W3947" s="2041">
        <f>(((K3947*V3947)-S3947)/(K3947*V3947))</f>
        <v>1</v>
      </c>
    </row>
    <row r="3948" spans="1:23" s="7" customFormat="1" ht="15.75" customHeight="1">
      <c r="A3948" s="1"/>
      <c r="B3948" s="12" t="s">
        <v>1856</v>
      </c>
      <c r="C3948" s="6" t="s">
        <v>8557</v>
      </c>
      <c r="D3948" s="15" t="s">
        <v>8503</v>
      </c>
      <c r="E3948" s="24" t="s">
        <v>8205</v>
      </c>
      <c r="F3948" s="26"/>
      <c r="G3948" s="873" t="s">
        <v>8489</v>
      </c>
      <c r="H3948" s="151"/>
      <c r="I3948" s="41"/>
      <c r="J3948" s="67">
        <v>15</v>
      </c>
      <c r="K3948" s="25">
        <v>1.95</v>
      </c>
      <c r="L3948" s="46">
        <f>K3948*J3948</f>
        <v>29.25</v>
      </c>
      <c r="M3948" s="162" t="s">
        <v>2219</v>
      </c>
      <c r="N3948" s="39">
        <v>45838</v>
      </c>
      <c r="O3948" s="38">
        <v>7196</v>
      </c>
      <c r="P3948" s="180">
        <f>K3948*(VLOOKUP(B3948,$C$2:$F$6,3,FALSE))</f>
        <v>1.716</v>
      </c>
      <c r="Q3948" s="483">
        <v>1.72</v>
      </c>
      <c r="R3948" s="704">
        <f>Q3948*J3948</f>
        <v>25.8</v>
      </c>
      <c r="S3948" s="532">
        <f>140</f>
        <v>140</v>
      </c>
      <c r="T3948" s="113">
        <f>S3948*J3948</f>
        <v>2100</v>
      </c>
      <c r="U3948" s="517"/>
      <c r="V3948" s="494">
        <v>120</v>
      </c>
      <c r="W3948" s="2393">
        <f>(((K3948*V3948)-S3948)/(K3948*V3948))</f>
        <v>0.40170940170940173</v>
      </c>
    </row>
    <row r="3949" spans="1:23" s="7" customFormat="1" ht="15.75" customHeight="1">
      <c r="A3949" s="1"/>
      <c r="B3949" s="12" t="s">
        <v>1856</v>
      </c>
      <c r="C3949" s="6" t="s">
        <v>8557</v>
      </c>
      <c r="D3949" s="15" t="s">
        <v>8503</v>
      </c>
      <c r="E3949" s="24" t="s">
        <v>8205</v>
      </c>
      <c r="F3949" s="26"/>
      <c r="G3949" s="873" t="s">
        <v>8555</v>
      </c>
      <c r="H3949" s="151"/>
      <c r="I3949" s="41"/>
      <c r="J3949" s="45">
        <v>1</v>
      </c>
      <c r="K3949" s="25"/>
      <c r="L3949" s="46">
        <v>-14.63</v>
      </c>
      <c r="M3949" s="162" t="s">
        <v>2219</v>
      </c>
      <c r="N3949" s="39">
        <v>45838</v>
      </c>
      <c r="O3949" s="38">
        <v>7196</v>
      </c>
      <c r="P3949" s="180">
        <f>K3949*(VLOOKUP(B3949,$C$2:$F$6,3,FALSE))</f>
        <v>0</v>
      </c>
      <c r="Q3949" s="46">
        <v>-12.9</v>
      </c>
      <c r="R3949" s="704">
        <f>Q3949*J3949</f>
        <v>-12.9</v>
      </c>
      <c r="S3949" s="532">
        <v>0</v>
      </c>
      <c r="T3949" s="113">
        <f>S3949*J3949</f>
        <v>0</v>
      </c>
      <c r="U3949" s="517"/>
      <c r="V3949" s="494">
        <v>120</v>
      </c>
      <c r="W3949" s="2041" t="e">
        <f>(((K3949*V3949)-S3949)/(K3949*V3949))</f>
        <v>#DIV/0!</v>
      </c>
    </row>
    <row r="3950" spans="1:23" s="7" customFormat="1" ht="15.75" customHeight="1">
      <c r="A3950" s="1"/>
      <c r="B3950" s="12" t="s">
        <v>1862</v>
      </c>
      <c r="C3950" s="6" t="s">
        <v>8557</v>
      </c>
      <c r="D3950" s="15" t="s">
        <v>8503</v>
      </c>
      <c r="E3950" s="24" t="s">
        <v>8205</v>
      </c>
      <c r="F3950" s="26"/>
      <c r="G3950" s="24" t="s">
        <v>3334</v>
      </c>
      <c r="H3950" s="151"/>
      <c r="I3950" s="41"/>
      <c r="J3950" s="45">
        <v>1</v>
      </c>
      <c r="K3950" s="25">
        <v>75</v>
      </c>
      <c r="L3950" s="46">
        <f>K3950*J3950</f>
        <v>75</v>
      </c>
      <c r="M3950" s="162" t="s">
        <v>2219</v>
      </c>
      <c r="N3950" s="39">
        <v>45838</v>
      </c>
      <c r="O3950" s="38">
        <v>7196</v>
      </c>
      <c r="P3950" s="180">
        <f>K3950*(VLOOKUP(B3950,$C$2:$F$6,3,FALSE))</f>
        <v>75</v>
      </c>
      <c r="Q3950" s="483">
        <v>75</v>
      </c>
      <c r="R3950" s="704">
        <f>Q3950*J3950</f>
        <v>75</v>
      </c>
      <c r="S3950" s="489">
        <v>7000</v>
      </c>
      <c r="T3950" s="113">
        <f>S3950*J3950</f>
        <v>7000</v>
      </c>
      <c r="U3950" s="517"/>
      <c r="V3950" s="494">
        <v>120</v>
      </c>
      <c r="W3950" s="2041">
        <f>(((K3950*V3950)-S3950)/(K3950*V3950))</f>
        <v>0.22222222222222221</v>
      </c>
    </row>
    <row r="3951" spans="1:23" s="7" customFormat="1" ht="15.75" customHeight="1">
      <c r="A3951" s="1"/>
      <c r="B3951" s="12"/>
      <c r="C3951" s="6" t="s">
        <v>8557</v>
      </c>
      <c r="D3951" s="15" t="s">
        <v>8503</v>
      </c>
      <c r="E3951" s="20" t="s">
        <v>8215</v>
      </c>
      <c r="F3951" s="26"/>
      <c r="G3951" s="24"/>
      <c r="H3951" s="151"/>
      <c r="I3951" s="41"/>
      <c r="J3951" s="67"/>
      <c r="K3951" s="25"/>
      <c r="L3951" s="46"/>
      <c r="M3951" s="162"/>
      <c r="N3951" s="39">
        <v>45838</v>
      </c>
      <c r="O3951" s="38">
        <v>7196</v>
      </c>
      <c r="P3951" s="180"/>
      <c r="Q3951" s="483"/>
      <c r="R3951" s="704"/>
      <c r="S3951" s="489">
        <v>0</v>
      </c>
      <c r="T3951" s="113"/>
      <c r="U3951" s="2429"/>
      <c r="V3951" s="494"/>
      <c r="W3951" s="2393"/>
    </row>
    <row r="3952" spans="1:23" s="7" customFormat="1" ht="15.75" customHeight="1">
      <c r="A3952" s="1"/>
      <c r="B3952" s="12" t="s">
        <v>1862</v>
      </c>
      <c r="C3952" s="6" t="s">
        <v>8557</v>
      </c>
      <c r="D3952" s="15" t="s">
        <v>8503</v>
      </c>
      <c r="E3952" s="24" t="s">
        <v>8206</v>
      </c>
      <c r="F3952" s="26"/>
      <c r="G3952" s="24" t="s">
        <v>8344</v>
      </c>
      <c r="H3952" s="151"/>
      <c r="I3952" s="41"/>
      <c r="J3952" s="45">
        <v>1</v>
      </c>
      <c r="K3952" s="25">
        <v>65</v>
      </c>
      <c r="L3952" s="46">
        <v>0</v>
      </c>
      <c r="M3952" s="162" t="s">
        <v>2219</v>
      </c>
      <c r="N3952" s="39">
        <v>45838</v>
      </c>
      <c r="O3952" s="38">
        <v>7196</v>
      </c>
      <c r="P3952" s="180">
        <f>K3952*(VLOOKUP(B3952,$C$2:$F$6,3,FALSE))</f>
        <v>65</v>
      </c>
      <c r="Q3952" s="483">
        <v>0</v>
      </c>
      <c r="R3952" s="704">
        <f>Q3952*J3952</f>
        <v>0</v>
      </c>
      <c r="S3952" s="489">
        <v>0</v>
      </c>
      <c r="T3952" s="113">
        <f>S3952*J3952</f>
        <v>0</v>
      </c>
      <c r="U3952" s="517"/>
      <c r="V3952" s="494">
        <v>120</v>
      </c>
      <c r="W3952" s="2041">
        <f t="shared" ref="W3952:W3983" si="318">(((K3952*V3952)-S3952)/(K3952*V3952))</f>
        <v>1</v>
      </c>
    </row>
    <row r="3953" spans="1:23" s="7" customFormat="1" ht="15.75" customHeight="1">
      <c r="A3953" s="1"/>
      <c r="B3953" s="12" t="s">
        <v>1856</v>
      </c>
      <c r="C3953" s="6" t="s">
        <v>8557</v>
      </c>
      <c r="D3953" s="15" t="s">
        <v>8503</v>
      </c>
      <c r="E3953" s="24" t="s">
        <v>8206</v>
      </c>
      <c r="F3953" s="26"/>
      <c r="G3953" s="873" t="s">
        <v>8489</v>
      </c>
      <c r="H3953" s="151"/>
      <c r="I3953" s="41"/>
      <c r="J3953" s="67">
        <v>25</v>
      </c>
      <c r="K3953" s="25">
        <v>2.1</v>
      </c>
      <c r="L3953" s="46">
        <f>K3953*J3953</f>
        <v>52.5</v>
      </c>
      <c r="M3953" s="162" t="s">
        <v>2219</v>
      </c>
      <c r="N3953" s="39">
        <v>45838</v>
      </c>
      <c r="O3953" s="38">
        <v>7196</v>
      </c>
      <c r="P3953" s="180">
        <f>K3953*(VLOOKUP(B3953,$C$2:$F$6,3,FALSE))</f>
        <v>1.8480000000000001</v>
      </c>
      <c r="Q3953" s="483">
        <v>1.85</v>
      </c>
      <c r="R3953" s="704">
        <f>Q3953*J3953</f>
        <v>46.25</v>
      </c>
      <c r="S3953" s="532">
        <f>151</f>
        <v>151</v>
      </c>
      <c r="T3953" s="113">
        <f>S3953*J3953</f>
        <v>3775</v>
      </c>
      <c r="U3953" s="517"/>
      <c r="V3953" s="494">
        <v>120</v>
      </c>
      <c r="W3953" s="2393">
        <f t="shared" si="318"/>
        <v>0.40079365079365081</v>
      </c>
    </row>
    <row r="3954" spans="1:23" s="7" customFormat="1" ht="15.75" customHeight="1">
      <c r="A3954" s="1"/>
      <c r="B3954" s="12" t="s">
        <v>1856</v>
      </c>
      <c r="C3954" s="6" t="s">
        <v>8557</v>
      </c>
      <c r="D3954" s="15" t="s">
        <v>8503</v>
      </c>
      <c r="E3954" s="24" t="s">
        <v>8206</v>
      </c>
      <c r="F3954" s="26"/>
      <c r="G3954" s="873" t="s">
        <v>8555</v>
      </c>
      <c r="H3954" s="151"/>
      <c r="I3954" s="41"/>
      <c r="J3954" s="45">
        <v>1</v>
      </c>
      <c r="K3954" s="25"/>
      <c r="L3954" s="46">
        <v>-26.25</v>
      </c>
      <c r="M3954" s="162" t="s">
        <v>2219</v>
      </c>
      <c r="N3954" s="39">
        <v>45838</v>
      </c>
      <c r="O3954" s="38">
        <v>7196</v>
      </c>
      <c r="P3954" s="180">
        <f>K3954*(VLOOKUP(B3954,$C$2:$F$6,3,FALSE))</f>
        <v>0</v>
      </c>
      <c r="Q3954" s="46">
        <v>-23.13</v>
      </c>
      <c r="R3954" s="704">
        <f>Q3954*J3954</f>
        <v>-23.13</v>
      </c>
      <c r="S3954" s="532">
        <v>0</v>
      </c>
      <c r="T3954" s="113">
        <f>S3954*J3954</f>
        <v>0</v>
      </c>
      <c r="U3954" s="517"/>
      <c r="V3954" s="494">
        <v>120</v>
      </c>
      <c r="W3954" s="2041" t="e">
        <f t="shared" si="318"/>
        <v>#DIV/0!</v>
      </c>
    </row>
    <row r="3955" spans="1:23" s="7" customFormat="1" ht="15.75" customHeight="1">
      <c r="A3955" s="1"/>
      <c r="B3955" s="12" t="s">
        <v>1862</v>
      </c>
      <c r="C3955" s="6" t="s">
        <v>8557</v>
      </c>
      <c r="D3955" s="15" t="s">
        <v>8503</v>
      </c>
      <c r="E3955" s="24" t="s">
        <v>8206</v>
      </c>
      <c r="F3955" s="26"/>
      <c r="G3955" s="24" t="s">
        <v>3334</v>
      </c>
      <c r="H3955" s="151"/>
      <c r="I3955" s="41"/>
      <c r="J3955" s="45">
        <v>1</v>
      </c>
      <c r="K3955" s="25">
        <v>75</v>
      </c>
      <c r="L3955" s="46">
        <f>K3955*J3955</f>
        <v>75</v>
      </c>
      <c r="M3955" s="162" t="s">
        <v>2219</v>
      </c>
      <c r="N3955" s="39">
        <v>45838</v>
      </c>
      <c r="O3955" s="38">
        <v>7196</v>
      </c>
      <c r="P3955" s="180">
        <f>K3955*(VLOOKUP(B3955,$C$2:$F$6,3,FALSE))</f>
        <v>75</v>
      </c>
      <c r="Q3955" s="483">
        <v>75</v>
      </c>
      <c r="R3955" s="704">
        <f>Q3955*J3955</f>
        <v>75</v>
      </c>
      <c r="S3955" s="489">
        <v>7000</v>
      </c>
      <c r="T3955" s="113">
        <f>S3955*J3955</f>
        <v>7000</v>
      </c>
      <c r="U3955" s="517"/>
      <c r="V3955" s="494">
        <v>120</v>
      </c>
      <c r="W3955" s="2041">
        <f t="shared" si="318"/>
        <v>0.22222222222222221</v>
      </c>
    </row>
    <row r="3956" spans="1:23" s="314" customFormat="1" ht="15">
      <c r="A3956" s="1"/>
      <c r="B3956" s="313"/>
      <c r="C3956" s="302" t="s">
        <v>8559</v>
      </c>
      <c r="D3956" s="303" t="s">
        <v>8503</v>
      </c>
      <c r="E3956" s="304"/>
      <c r="F3956" s="305"/>
      <c r="G3956" s="305" t="s">
        <v>1227</v>
      </c>
      <c r="H3956" s="307" t="s">
        <v>1228</v>
      </c>
      <c r="I3956" s="308"/>
      <c r="J3956" s="306"/>
      <c r="K3956" s="315">
        <v>0</v>
      </c>
      <c r="L3956" s="310"/>
      <c r="M3956" s="310"/>
      <c r="N3956" s="310">
        <v>45838</v>
      </c>
      <c r="O3956" s="309">
        <v>7196</v>
      </c>
      <c r="P3956" s="302"/>
      <c r="Q3956" s="485">
        <v>0</v>
      </c>
      <c r="S3956" s="536">
        <v>0</v>
      </c>
      <c r="T3956" s="322">
        <v>0</v>
      </c>
      <c r="U3956" s="515"/>
      <c r="V3956" s="494">
        <v>120</v>
      </c>
      <c r="W3956" s="2041" t="e">
        <f t="shared" si="318"/>
        <v>#DIV/0!</v>
      </c>
    </row>
    <row r="3957" spans="1:23" s="7" customFormat="1" ht="15" customHeight="1">
      <c r="A3957" s="1"/>
      <c r="B3957" s="12"/>
      <c r="C3957" s="6" t="s">
        <v>8562</v>
      </c>
      <c r="D3957" s="15" t="s">
        <v>6552</v>
      </c>
      <c r="E3957" s="20" t="s">
        <v>8252</v>
      </c>
      <c r="F3957" s="26"/>
      <c r="G3957" s="24"/>
      <c r="H3957" s="67"/>
      <c r="I3957" s="68"/>
      <c r="J3957" s="67"/>
      <c r="K3957" s="17" t="s">
        <v>10</v>
      </c>
      <c r="L3957" s="39"/>
      <c r="M3957" s="39"/>
      <c r="N3957" s="39">
        <v>45826</v>
      </c>
      <c r="O3957" s="38">
        <v>7216</v>
      </c>
      <c r="P3957" s="180" t="e">
        <f>K3957*(VLOOKUP(B3957,$C$2:$F$6,3,FALSE))</f>
        <v>#VALUE!</v>
      </c>
      <c r="Q3957" s="483"/>
      <c r="R3957" s="704"/>
      <c r="S3957" s="489"/>
      <c r="T3957" s="113">
        <f>S3957*J3957</f>
        <v>0</v>
      </c>
      <c r="U3957" s="517"/>
      <c r="V3957" s="494">
        <v>120</v>
      </c>
      <c r="W3957" s="2041" t="e">
        <f t="shared" si="318"/>
        <v>#VALUE!</v>
      </c>
    </row>
    <row r="3958" spans="1:23" s="7" customFormat="1" ht="15.75" customHeight="1">
      <c r="A3958" s="1"/>
      <c r="B3958" s="12" t="s">
        <v>1856</v>
      </c>
      <c r="C3958" s="6" t="s">
        <v>8562</v>
      </c>
      <c r="D3958" s="15" t="s">
        <v>6552</v>
      </c>
      <c r="E3958" s="1012" t="s">
        <v>8527</v>
      </c>
      <c r="F3958" s="26"/>
      <c r="G3958" s="24" t="s">
        <v>7694</v>
      </c>
      <c r="H3958" s="151"/>
      <c r="I3958" s="41"/>
      <c r="J3958" s="67">
        <v>10</v>
      </c>
      <c r="K3958" s="25">
        <v>4.3</v>
      </c>
      <c r="L3958" s="46">
        <f>K3958*J3958</f>
        <v>43</v>
      </c>
      <c r="M3958" s="162" t="s">
        <v>2219</v>
      </c>
      <c r="N3958" s="2453">
        <v>45826</v>
      </c>
      <c r="O3958" s="38">
        <v>7216</v>
      </c>
      <c r="P3958" s="180">
        <f>K3958*(VLOOKUP(B3958,$C$2:$F$6,3,FALSE))</f>
        <v>3.7839999999999998</v>
      </c>
      <c r="Q3958" s="483">
        <v>3.78</v>
      </c>
      <c r="R3958" s="704">
        <f>Q3958*J3958</f>
        <v>37.799999999999997</v>
      </c>
      <c r="S3958" s="489">
        <v>309</v>
      </c>
      <c r="T3958" s="113">
        <f>S3958*J3958</f>
        <v>3090</v>
      </c>
      <c r="U3958" s="517"/>
      <c r="V3958" s="494">
        <v>120</v>
      </c>
      <c r="W3958" s="2041">
        <f t="shared" si="318"/>
        <v>0.40116279069767441</v>
      </c>
    </row>
    <row r="3959" spans="1:23" s="7" customFormat="1" ht="15.75" customHeight="1">
      <c r="A3959" s="1"/>
      <c r="B3959" s="12" t="s">
        <v>1856</v>
      </c>
      <c r="C3959" s="6" t="s">
        <v>8562</v>
      </c>
      <c r="D3959" s="15" t="s">
        <v>6552</v>
      </c>
      <c r="E3959" s="1012" t="s">
        <v>8528</v>
      </c>
      <c r="F3959" s="26"/>
      <c r="G3959" s="24" t="s">
        <v>7694</v>
      </c>
      <c r="H3959" s="151"/>
      <c r="I3959" s="41"/>
      <c r="J3959" s="67">
        <v>10</v>
      </c>
      <c r="K3959" s="25">
        <v>2.44</v>
      </c>
      <c r="L3959" s="46">
        <f>K3959*J3959</f>
        <v>24.4</v>
      </c>
      <c r="M3959" s="162" t="s">
        <v>2219</v>
      </c>
      <c r="N3959" s="2453">
        <v>45826</v>
      </c>
      <c r="O3959" s="38">
        <v>7216</v>
      </c>
      <c r="P3959" s="180">
        <f>K3959*(VLOOKUP(B3959,$C$2:$F$6,3,FALSE))</f>
        <v>2.1471999999999998</v>
      </c>
      <c r="Q3959" s="483">
        <v>2.15</v>
      </c>
      <c r="R3959" s="704">
        <f>Q3959*J3959</f>
        <v>21.5</v>
      </c>
      <c r="S3959" s="489">
        <v>175</v>
      </c>
      <c r="T3959" s="113">
        <f>S3959*J3959</f>
        <v>1750</v>
      </c>
      <c r="U3959" s="517"/>
      <c r="V3959" s="494">
        <v>120</v>
      </c>
      <c r="W3959" s="2041">
        <f t="shared" si="318"/>
        <v>0.40232240437158473</v>
      </c>
    </row>
    <row r="3960" spans="1:23" s="7" customFormat="1" ht="15.75" customHeight="1">
      <c r="A3960" s="1"/>
      <c r="B3960" s="12" t="s">
        <v>1856</v>
      </c>
      <c r="C3960" s="6" t="s">
        <v>8562</v>
      </c>
      <c r="D3960" s="15" t="s">
        <v>6552</v>
      </c>
      <c r="E3960" s="1012" t="s">
        <v>8529</v>
      </c>
      <c r="F3960" s="26"/>
      <c r="G3960" s="24" t="s">
        <v>7694</v>
      </c>
      <c r="H3960" s="151"/>
      <c r="I3960" s="41"/>
      <c r="J3960" s="67">
        <v>10</v>
      </c>
      <c r="K3960" s="25">
        <v>6.55</v>
      </c>
      <c r="L3960" s="46">
        <f>K3960*J3960</f>
        <v>65.5</v>
      </c>
      <c r="M3960" s="162" t="s">
        <v>2219</v>
      </c>
      <c r="N3960" s="2453">
        <v>45826</v>
      </c>
      <c r="O3960" s="38">
        <v>7216</v>
      </c>
      <c r="P3960" s="180">
        <f>K3960*(VLOOKUP(B3960,$C$2:$F$6,3,FALSE))</f>
        <v>5.7640000000000002</v>
      </c>
      <c r="Q3960" s="483">
        <v>5.76</v>
      </c>
      <c r="R3960" s="704">
        <f>Q3960*J3960</f>
        <v>57.599999999999994</v>
      </c>
      <c r="S3960" s="489">
        <v>471</v>
      </c>
      <c r="T3960" s="113">
        <f>S3960*J3960</f>
        <v>4710</v>
      </c>
      <c r="U3960" s="517"/>
      <c r="V3960" s="494">
        <v>120</v>
      </c>
      <c r="W3960" s="2041">
        <f t="shared" si="318"/>
        <v>0.40076335877862596</v>
      </c>
    </row>
    <row r="3961" spans="1:23" ht="18" customHeight="1">
      <c r="B3961" s="12" t="s">
        <v>1862</v>
      </c>
      <c r="C3961" s="6" t="s">
        <v>8562</v>
      </c>
      <c r="D3961" s="15" t="s">
        <v>6552</v>
      </c>
      <c r="E3961" s="24"/>
      <c r="F3961" s="138"/>
      <c r="G3961" s="44" t="s">
        <v>1993</v>
      </c>
      <c r="H3961" s="8"/>
      <c r="I3961" s="41"/>
      <c r="J3961" s="45">
        <v>1</v>
      </c>
      <c r="K3961" s="46">
        <v>12</v>
      </c>
      <c r="L3961" s="46">
        <f>K3961*J3961</f>
        <v>12</v>
      </c>
      <c r="M3961" s="112"/>
      <c r="N3961" s="39">
        <v>45826</v>
      </c>
      <c r="O3961" s="38">
        <v>7216</v>
      </c>
      <c r="P3961" s="46">
        <f>K3961*(VLOOKUP(B3961,$C$2:$F$6,3,FALSE))</f>
        <v>12</v>
      </c>
      <c r="Q3961" s="483">
        <v>12</v>
      </c>
      <c r="R3961" s="704">
        <f>Q3961*J3961</f>
        <v>12</v>
      </c>
      <c r="S3961" s="1011">
        <v>900</v>
      </c>
      <c r="T3961" s="2452">
        <f>S3961*J3961</f>
        <v>900</v>
      </c>
      <c r="U3961" s="511"/>
      <c r="V3961" s="494">
        <v>120</v>
      </c>
      <c r="W3961" s="2041">
        <f t="shared" si="318"/>
        <v>0.375</v>
      </c>
    </row>
    <row r="3962" spans="1:23" s="314" customFormat="1" ht="15">
      <c r="A3962" s="1"/>
      <c r="B3962" s="313"/>
      <c r="C3962" s="302" t="s">
        <v>8562</v>
      </c>
      <c r="D3962" s="303" t="s">
        <v>6552</v>
      </c>
      <c r="E3962" s="304"/>
      <c r="F3962" s="305"/>
      <c r="G3962" s="305" t="s">
        <v>1227</v>
      </c>
      <c r="H3962" s="307" t="s">
        <v>1228</v>
      </c>
      <c r="I3962" s="308"/>
      <c r="J3962" s="306"/>
      <c r="K3962" s="315">
        <v>0</v>
      </c>
      <c r="L3962" s="310"/>
      <c r="M3962" s="310"/>
      <c r="N3962" s="310">
        <v>45826</v>
      </c>
      <c r="O3962" s="309">
        <v>7216</v>
      </c>
      <c r="P3962" s="302"/>
      <c r="Q3962" s="485">
        <v>0</v>
      </c>
      <c r="S3962" s="536">
        <v>0</v>
      </c>
      <c r="T3962" s="322">
        <v>0</v>
      </c>
      <c r="U3962" s="515"/>
      <c r="V3962" s="494">
        <v>120</v>
      </c>
      <c r="W3962" s="2041" t="e">
        <f t="shared" si="318"/>
        <v>#DIV/0!</v>
      </c>
    </row>
    <row r="3963" spans="1:23" s="7" customFormat="1" ht="15">
      <c r="B3963" s="12"/>
      <c r="C3963" s="6" t="s">
        <v>8563</v>
      </c>
      <c r="D3963" s="15" t="s">
        <v>3026</v>
      </c>
      <c r="E3963" s="20" t="s">
        <v>408</v>
      </c>
      <c r="F3963" s="44"/>
      <c r="G3963" s="44"/>
      <c r="H3963" s="151"/>
      <c r="I3963" s="151"/>
      <c r="J3963" s="151"/>
      <c r="K3963" s="17" t="s">
        <v>134</v>
      </c>
      <c r="L3963" s="39"/>
      <c r="M3963" s="39"/>
      <c r="N3963" s="39">
        <v>45847</v>
      </c>
      <c r="O3963" s="38">
        <v>7215</v>
      </c>
      <c r="P3963" s="6"/>
      <c r="Q3963" s="524"/>
      <c r="S3963" s="489"/>
      <c r="T3963" s="113"/>
      <c r="U3963" s="501"/>
      <c r="V3963" s="494">
        <v>120</v>
      </c>
      <c r="W3963" s="2041" t="e">
        <f t="shared" si="318"/>
        <v>#VALUE!</v>
      </c>
    </row>
    <row r="3964" spans="1:23" s="7" customFormat="1" ht="15" customHeight="1">
      <c r="B3964" s="12" t="s">
        <v>1856</v>
      </c>
      <c r="C3964" s="6" t="s">
        <v>8563</v>
      </c>
      <c r="D3964" s="15" t="s">
        <v>3026</v>
      </c>
      <c r="E3964" s="24" t="s">
        <v>5772</v>
      </c>
      <c r="F3964" s="26"/>
      <c r="G3964" s="24" t="s">
        <v>17</v>
      </c>
      <c r="H3964" s="67">
        <v>50</v>
      </c>
      <c r="I3964" s="68">
        <v>60</v>
      </c>
      <c r="J3964" s="8">
        <f>H3964*I3964</f>
        <v>3000</v>
      </c>
      <c r="K3964" s="46">
        <v>0.26</v>
      </c>
      <c r="L3964" s="46">
        <f>K3964*J3964</f>
        <v>780</v>
      </c>
      <c r="M3964" s="162" t="s">
        <v>2219</v>
      </c>
      <c r="N3964" s="39">
        <v>45847</v>
      </c>
      <c r="O3964" s="38">
        <v>7215</v>
      </c>
      <c r="P3964" s="46">
        <f>K3964*(VLOOKUP(B3964,$C$2:$F$6,3,FALSE))</f>
        <v>0.2288</v>
      </c>
      <c r="Q3964" s="482">
        <v>0.23</v>
      </c>
      <c r="R3964" s="704">
        <f>Q3964*J3964</f>
        <v>690</v>
      </c>
      <c r="S3964" s="489">
        <v>15.1</v>
      </c>
      <c r="T3964" s="113">
        <f>S3964*J3964</f>
        <v>45300</v>
      </c>
      <c r="U3964" s="1603"/>
      <c r="V3964" s="494">
        <v>120</v>
      </c>
      <c r="W3964" s="2041">
        <f t="shared" si="318"/>
        <v>0.51602564102564097</v>
      </c>
    </row>
    <row r="3965" spans="1:23" ht="15.95" customHeight="1">
      <c r="C3965" s="6" t="s">
        <v>8563</v>
      </c>
      <c r="D3965" s="15" t="s">
        <v>3026</v>
      </c>
      <c r="E3965" s="24"/>
      <c r="F3965" s="138"/>
      <c r="G3965" s="44" t="s">
        <v>1993</v>
      </c>
      <c r="H3965" s="8"/>
      <c r="I3965" s="68"/>
      <c r="J3965" s="45">
        <v>1</v>
      </c>
      <c r="K3965" s="46">
        <v>12</v>
      </c>
      <c r="L3965" s="46">
        <f>K3965*J3965</f>
        <v>12</v>
      </c>
      <c r="M3965" s="112"/>
      <c r="N3965" s="39">
        <v>45847</v>
      </c>
      <c r="O3965" s="38">
        <v>7215</v>
      </c>
      <c r="P3965" s="46" t="e">
        <f>K3965*(VLOOKUP(B3965,$C$2:$F$6,3,FALSE))</f>
        <v>#N/A</v>
      </c>
      <c r="Q3965" s="180">
        <v>12</v>
      </c>
      <c r="R3965" s="180">
        <v>12</v>
      </c>
      <c r="S3965" s="498">
        <v>1100</v>
      </c>
      <c r="T3965" s="498">
        <v>1100</v>
      </c>
      <c r="U3965" s="511"/>
      <c r="V3965" s="494">
        <v>120</v>
      </c>
      <c r="W3965" s="2041">
        <f t="shared" si="318"/>
        <v>0.2361111111111111</v>
      </c>
    </row>
    <row r="3966" spans="1:23" s="314" customFormat="1" ht="15.6" customHeight="1">
      <c r="B3966" s="313"/>
      <c r="C3966" s="302" t="s">
        <v>8563</v>
      </c>
      <c r="D3966" s="303" t="s">
        <v>3026</v>
      </c>
      <c r="E3966" s="304"/>
      <c r="F3966" s="305"/>
      <c r="G3966" s="305" t="s">
        <v>1227</v>
      </c>
      <c r="H3966" s="307" t="s">
        <v>3438</v>
      </c>
      <c r="I3966" s="308"/>
      <c r="J3966" s="306"/>
      <c r="K3966" s="329">
        <v>245</v>
      </c>
      <c r="L3966" s="329">
        <v>245</v>
      </c>
      <c r="M3966" s="310"/>
      <c r="N3966" s="310">
        <v>45847</v>
      </c>
      <c r="O3966" s="309">
        <v>7215</v>
      </c>
      <c r="P3966" s="302"/>
      <c r="Q3966" s="329">
        <v>245</v>
      </c>
      <c r="R3966" s="329">
        <v>245</v>
      </c>
      <c r="S3966" s="2545">
        <v>23130</v>
      </c>
      <c r="T3966" s="2545">
        <v>23130</v>
      </c>
      <c r="U3966" s="1115"/>
      <c r="V3966" s="494">
        <v>120</v>
      </c>
      <c r="W3966" s="2041">
        <f t="shared" si="318"/>
        <v>0.21326530612244898</v>
      </c>
    </row>
    <row r="3967" spans="1:23" s="7" customFormat="1" ht="15" customHeight="1">
      <c r="B3967" s="12"/>
      <c r="C3967" s="6" t="s">
        <v>8564</v>
      </c>
      <c r="D3967" s="15" t="s">
        <v>8393</v>
      </c>
      <c r="E3967" s="2013" t="s">
        <v>8394</v>
      </c>
      <c r="F3967" s="26"/>
      <c r="G3967" s="24"/>
      <c r="H3967" s="67"/>
      <c r="I3967" s="68"/>
      <c r="J3967" s="67"/>
      <c r="K3967" s="17" t="s">
        <v>134</v>
      </c>
      <c r="L3967" s="39"/>
      <c r="M3967" s="39"/>
      <c r="N3967" s="39">
        <v>45827</v>
      </c>
      <c r="O3967" s="38">
        <v>7222</v>
      </c>
      <c r="P3967" s="179" t="s">
        <v>23</v>
      </c>
      <c r="Q3967" s="438" t="s">
        <v>959</v>
      </c>
      <c r="R3967" s="704"/>
      <c r="S3967" s="489"/>
      <c r="T3967" s="113"/>
      <c r="U3967" s="510"/>
      <c r="V3967" s="494">
        <v>120</v>
      </c>
      <c r="W3967" s="2041" t="e">
        <f t="shared" si="318"/>
        <v>#VALUE!</v>
      </c>
    </row>
    <row r="3968" spans="1:23" s="7" customFormat="1" ht="18" customHeight="1">
      <c r="B3968" s="12" t="s">
        <v>1856</v>
      </c>
      <c r="C3968" s="6" t="s">
        <v>8564</v>
      </c>
      <c r="D3968" s="15" t="s">
        <v>8393</v>
      </c>
      <c r="E3968" s="24" t="s">
        <v>8391</v>
      </c>
      <c r="F3968" s="246">
        <v>4</v>
      </c>
      <c r="G3968" s="24" t="s">
        <v>5974</v>
      </c>
      <c r="H3968" s="8">
        <v>100</v>
      </c>
      <c r="I3968" s="68">
        <v>2</v>
      </c>
      <c r="J3968" s="67">
        <f>I3968*H3968</f>
        <v>200</v>
      </c>
      <c r="K3968" s="46">
        <v>0.34</v>
      </c>
      <c r="L3968" s="46">
        <f>K3968*J3968</f>
        <v>68</v>
      </c>
      <c r="M3968" s="162" t="s">
        <v>8226</v>
      </c>
      <c r="N3968" s="39">
        <v>45827</v>
      </c>
      <c r="O3968" s="38">
        <v>7222</v>
      </c>
      <c r="P3968" s="46">
        <f>K3968*(VLOOKUP(B3968,$C$2:$F$6,3,FALSE))</f>
        <v>0.29920000000000002</v>
      </c>
      <c r="Q3968" s="180">
        <v>0.3</v>
      </c>
      <c r="R3968" s="704">
        <f>Q3968*J3968</f>
        <v>60</v>
      </c>
      <c r="S3968" s="489">
        <v>20</v>
      </c>
      <c r="T3968" s="113">
        <f>S3968*J3968</f>
        <v>4000</v>
      </c>
      <c r="U3968" s="867"/>
      <c r="V3968" s="494">
        <v>120</v>
      </c>
      <c r="W3968" s="2041">
        <f t="shared" si="318"/>
        <v>0.50980392156862753</v>
      </c>
    </row>
    <row r="3969" spans="1:23" ht="15.95" customHeight="1">
      <c r="C3969" s="6" t="s">
        <v>8564</v>
      </c>
      <c r="D3969" s="15" t="s">
        <v>8393</v>
      </c>
      <c r="E3969" s="24"/>
      <c r="F3969" s="138"/>
      <c r="G3969" s="44" t="s">
        <v>1993</v>
      </c>
      <c r="H3969" s="8"/>
      <c r="I3969" s="68"/>
      <c r="J3969" s="45">
        <v>1</v>
      </c>
      <c r="K3969" s="46">
        <v>12</v>
      </c>
      <c r="L3969" s="46">
        <f>K3969*J3969</f>
        <v>12</v>
      </c>
      <c r="M3969" s="112"/>
      <c r="N3969" s="39">
        <v>45827</v>
      </c>
      <c r="O3969" s="38">
        <v>7222</v>
      </c>
      <c r="P3969" s="46" t="e">
        <f>K3969*(VLOOKUP(B3969,$C$2:$F$6,3,FALSE))</f>
        <v>#N/A</v>
      </c>
      <c r="Q3969" s="180">
        <v>12</v>
      </c>
      <c r="R3969" s="180">
        <v>12</v>
      </c>
      <c r="S3969" s="498">
        <v>0</v>
      </c>
      <c r="T3969" s="113">
        <v>0</v>
      </c>
      <c r="U3969" s="511"/>
      <c r="V3969" s="494">
        <v>120</v>
      </c>
      <c r="W3969" s="2041">
        <f t="shared" si="318"/>
        <v>1</v>
      </c>
    </row>
    <row r="3970" spans="1:23" s="314" customFormat="1" ht="15">
      <c r="B3970" s="313"/>
      <c r="C3970" s="302" t="s">
        <v>8564</v>
      </c>
      <c r="D3970" s="303" t="s">
        <v>8393</v>
      </c>
      <c r="E3970" s="371"/>
      <c r="F3970" s="305"/>
      <c r="G3970" s="305" t="s">
        <v>1227</v>
      </c>
      <c r="H3970" s="307" t="s">
        <v>1228</v>
      </c>
      <c r="I3970" s="308"/>
      <c r="J3970" s="306"/>
      <c r="K3970" s="315">
        <v>0</v>
      </c>
      <c r="L3970" s="310"/>
      <c r="M3970" s="310"/>
      <c r="N3970" s="310">
        <v>45827</v>
      </c>
      <c r="O3970" s="309">
        <v>7222</v>
      </c>
      <c r="P3970" s="302"/>
      <c r="Q3970" s="531">
        <v>0</v>
      </c>
      <c r="S3970" s="536">
        <v>0</v>
      </c>
      <c r="T3970" s="322">
        <v>0</v>
      </c>
      <c r="U3970" s="1115"/>
      <c r="V3970" s="494">
        <v>120</v>
      </c>
      <c r="W3970" s="2041" t="e">
        <f t="shared" si="318"/>
        <v>#DIV/0!</v>
      </c>
    </row>
    <row r="3971" spans="1:23" ht="18" customHeight="1">
      <c r="C3971" s="6" t="s">
        <v>8565</v>
      </c>
      <c r="D3971" s="15" t="s">
        <v>6806</v>
      </c>
      <c r="E3971" s="20" t="s">
        <v>260</v>
      </c>
      <c r="F3971" s="44"/>
      <c r="G3971" s="44"/>
      <c r="H3971" s="151"/>
      <c r="I3971" s="151"/>
      <c r="J3971" s="151"/>
      <c r="K3971" s="34" t="s">
        <v>134</v>
      </c>
      <c r="L3971" s="39"/>
      <c r="M3971" s="39"/>
      <c r="N3971" s="39">
        <v>45854</v>
      </c>
      <c r="O3971" s="38">
        <v>7241</v>
      </c>
      <c r="P3971" s="6"/>
      <c r="Q3971" s="524"/>
      <c r="S3971" s="1995"/>
      <c r="T3971" s="113"/>
      <c r="U3971" s="501"/>
      <c r="V3971" s="494">
        <v>120</v>
      </c>
      <c r="W3971" s="2041" t="e">
        <f t="shared" si="318"/>
        <v>#VALUE!</v>
      </c>
    </row>
    <row r="3972" spans="1:23" ht="18" customHeight="1">
      <c r="B3972" s="28" t="s">
        <v>1856</v>
      </c>
      <c r="C3972" s="6" t="s">
        <v>8565</v>
      </c>
      <c r="D3972" s="15" t="s">
        <v>6806</v>
      </c>
      <c r="E3972" s="24">
        <v>4141</v>
      </c>
      <c r="F3972" s="44">
        <v>6</v>
      </c>
      <c r="G3972" s="24" t="s">
        <v>3096</v>
      </c>
      <c r="H3972" s="67">
        <v>20</v>
      </c>
      <c r="I3972" s="68">
        <v>110</v>
      </c>
      <c r="J3972" s="67">
        <f>H3972*I3972</f>
        <v>2200</v>
      </c>
      <c r="K3972" s="46">
        <v>1.47</v>
      </c>
      <c r="L3972" s="46">
        <f>K3972*J3972</f>
        <v>3234</v>
      </c>
      <c r="M3972" s="162" t="s">
        <v>2219</v>
      </c>
      <c r="N3972" s="39">
        <v>45854</v>
      </c>
      <c r="O3972" s="38">
        <v>7241</v>
      </c>
      <c r="P3972" s="46">
        <f>K3972*(VLOOKUP(B3972,$C$2:$F$6,3,FALSE))</f>
        <v>1.2936000000000001</v>
      </c>
      <c r="Q3972" s="482">
        <v>1.29</v>
      </c>
      <c r="R3972" s="704">
        <f>Q3972*J3972</f>
        <v>2838</v>
      </c>
      <c r="S3972" s="489">
        <v>96</v>
      </c>
      <c r="T3972" s="113">
        <f>S3972*J3972</f>
        <v>211200</v>
      </c>
      <c r="U3972" s="699"/>
      <c r="V3972" s="494">
        <v>120</v>
      </c>
      <c r="W3972" s="2041">
        <f t="shared" si="318"/>
        <v>0.45578231292517007</v>
      </c>
    </row>
    <row r="3973" spans="1:23" s="314" customFormat="1" ht="15">
      <c r="B3973" s="313"/>
      <c r="C3973" s="302" t="s">
        <v>8565</v>
      </c>
      <c r="D3973" s="303" t="s">
        <v>6806</v>
      </c>
      <c r="E3973" s="304"/>
      <c r="F3973" s="305"/>
      <c r="G3973" s="305" t="s">
        <v>1227</v>
      </c>
      <c r="H3973" s="307" t="s">
        <v>1228</v>
      </c>
      <c r="I3973" s="308"/>
      <c r="J3973" s="306"/>
      <c r="K3973" s="315">
        <v>0</v>
      </c>
      <c r="L3973" s="310"/>
      <c r="M3973" s="310"/>
      <c r="N3973" s="310">
        <v>45854</v>
      </c>
      <c r="O3973" s="309">
        <v>7241</v>
      </c>
      <c r="P3973" s="302"/>
      <c r="Q3973" s="485">
        <v>0</v>
      </c>
      <c r="S3973" s="536">
        <v>0</v>
      </c>
      <c r="T3973" s="322">
        <v>0</v>
      </c>
      <c r="U3973" s="515"/>
      <c r="V3973" s="494">
        <v>120</v>
      </c>
      <c r="W3973" s="2041" t="e">
        <f t="shared" si="318"/>
        <v>#DIV/0!</v>
      </c>
    </row>
    <row r="3974" spans="1:23" s="7" customFormat="1" ht="15" customHeight="1">
      <c r="A3974" s="1"/>
      <c r="B3974" s="12"/>
      <c r="C3974" s="6" t="s">
        <v>8568</v>
      </c>
      <c r="D3974" s="15" t="s">
        <v>5251</v>
      </c>
      <c r="E3974" s="20" t="s">
        <v>8252</v>
      </c>
      <c r="F3974" s="26"/>
      <c r="G3974" s="24"/>
      <c r="H3974" s="67"/>
      <c r="I3974" s="68"/>
      <c r="J3974" s="67"/>
      <c r="K3974" s="17" t="s">
        <v>10</v>
      </c>
      <c r="L3974" s="39"/>
      <c r="M3974" s="39"/>
      <c r="N3974" s="39">
        <v>45862</v>
      </c>
      <c r="O3974" s="38">
        <v>7312</v>
      </c>
      <c r="P3974" s="180" t="e">
        <f>K3974*(VLOOKUP(B3974,$C$2:$F$6,3,FALSE))</f>
        <v>#VALUE!</v>
      </c>
      <c r="Q3974" s="483"/>
      <c r="R3974" s="704"/>
      <c r="S3974" s="2533"/>
      <c r="T3974" s="113">
        <f>S3974*J3974</f>
        <v>0</v>
      </c>
      <c r="U3974" s="517"/>
      <c r="V3974" s="494">
        <v>120</v>
      </c>
      <c r="W3974" s="2041" t="e">
        <f t="shared" si="318"/>
        <v>#VALUE!</v>
      </c>
    </row>
    <row r="3975" spans="1:23" s="7" customFormat="1" ht="15.75" customHeight="1">
      <c r="A3975" s="1"/>
      <c r="B3975" s="12" t="s">
        <v>1856</v>
      </c>
      <c r="C3975" s="6" t="s">
        <v>8568</v>
      </c>
      <c r="D3975" s="15" t="s">
        <v>5251</v>
      </c>
      <c r="E3975" s="24" t="s">
        <v>8498</v>
      </c>
      <c r="F3975" s="26"/>
      <c r="G3975" s="24" t="s">
        <v>8589</v>
      </c>
      <c r="H3975" s="151"/>
      <c r="I3975" s="41"/>
      <c r="J3975" s="67">
        <v>100</v>
      </c>
      <c r="K3975" s="25">
        <v>2.81</v>
      </c>
      <c r="L3975" s="46">
        <f>K3975*J3975</f>
        <v>281</v>
      </c>
      <c r="M3975" s="162" t="s">
        <v>2219</v>
      </c>
      <c r="N3975" s="39">
        <v>45862</v>
      </c>
      <c r="O3975" s="38">
        <v>7312</v>
      </c>
      <c r="P3975" s="180">
        <f>K3975*(VLOOKUP(B3975,$C$2:$F$6,3,FALSE))</f>
        <v>2.4727999999999999</v>
      </c>
      <c r="Q3975" s="483">
        <v>2.4700000000000002</v>
      </c>
      <c r="R3975" s="704">
        <f>Q3975*J3975</f>
        <v>247.00000000000003</v>
      </c>
      <c r="S3975" s="489">
        <f>202</f>
        <v>202</v>
      </c>
      <c r="T3975" s="113">
        <f>S3975*J3975</f>
        <v>20200</v>
      </c>
      <c r="U3975" s="517"/>
      <c r="V3975" s="494">
        <v>120</v>
      </c>
      <c r="W3975" s="2041">
        <f t="shared" si="318"/>
        <v>0.40094899169632264</v>
      </c>
    </row>
    <row r="3976" spans="1:23" ht="18" customHeight="1">
      <c r="B3976" s="12" t="s">
        <v>1862</v>
      </c>
      <c r="C3976" s="6" t="s">
        <v>8568</v>
      </c>
      <c r="D3976" s="15" t="s">
        <v>5251</v>
      </c>
      <c r="E3976" s="24"/>
      <c r="F3976" s="138"/>
      <c r="G3976" s="44" t="s">
        <v>1993</v>
      </c>
      <c r="H3976" s="8"/>
      <c r="I3976" s="41"/>
      <c r="J3976" s="45">
        <v>1</v>
      </c>
      <c r="K3976" s="46">
        <v>12</v>
      </c>
      <c r="L3976" s="46">
        <f>K3976*J3976</f>
        <v>12</v>
      </c>
      <c r="M3976" s="112"/>
      <c r="N3976" s="39">
        <v>45862</v>
      </c>
      <c r="O3976" s="38">
        <v>7312</v>
      </c>
      <c r="P3976" s="46">
        <f>K3976*(VLOOKUP(B3976,$C$2:$F$6,3,FALSE))</f>
        <v>12</v>
      </c>
      <c r="Q3976" s="483">
        <v>12</v>
      </c>
      <c r="R3976" s="704">
        <f>Q3976*J3976</f>
        <v>12</v>
      </c>
      <c r="S3976" s="489">
        <v>0</v>
      </c>
      <c r="T3976" s="113">
        <f>S3976*J3976</f>
        <v>0</v>
      </c>
      <c r="U3976" s="511"/>
      <c r="V3976" s="494">
        <v>120</v>
      </c>
      <c r="W3976" s="2041">
        <f t="shared" si="318"/>
        <v>1</v>
      </c>
    </row>
    <row r="3977" spans="1:23" s="314" customFormat="1" ht="15">
      <c r="A3977" s="1"/>
      <c r="B3977" s="313"/>
      <c r="C3977" s="302" t="s">
        <v>8568</v>
      </c>
      <c r="D3977" s="303" t="s">
        <v>5251</v>
      </c>
      <c r="E3977" s="304"/>
      <c r="F3977" s="305"/>
      <c r="G3977" s="305" t="s">
        <v>1227</v>
      </c>
      <c r="H3977" s="307" t="s">
        <v>1228</v>
      </c>
      <c r="I3977" s="308"/>
      <c r="J3977" s="306"/>
      <c r="K3977" s="315">
        <v>0</v>
      </c>
      <c r="L3977" s="310"/>
      <c r="M3977" s="310"/>
      <c r="N3977" s="310">
        <v>45862</v>
      </c>
      <c r="O3977" s="309">
        <v>7312</v>
      </c>
      <c r="P3977" s="302"/>
      <c r="Q3977" s="485">
        <v>0</v>
      </c>
      <c r="S3977" s="536">
        <v>0</v>
      </c>
      <c r="T3977" s="322">
        <v>0</v>
      </c>
      <c r="U3977" s="515"/>
      <c r="V3977" s="494">
        <v>120</v>
      </c>
      <c r="W3977" s="2041" t="e">
        <f t="shared" si="318"/>
        <v>#DIV/0!</v>
      </c>
    </row>
    <row r="3978" spans="1:23" s="7" customFormat="1" ht="15" customHeight="1">
      <c r="A3978" s="1"/>
      <c r="B3978" s="12"/>
      <c r="C3978" s="6" t="s">
        <v>8567</v>
      </c>
      <c r="D3978" s="15" t="s">
        <v>7994</v>
      </c>
      <c r="E3978" s="20" t="s">
        <v>7915</v>
      </c>
      <c r="F3978" s="26"/>
      <c r="G3978" s="24"/>
      <c r="H3978" s="67"/>
      <c r="I3978" s="68"/>
      <c r="J3978" s="67"/>
      <c r="K3978" s="17" t="s">
        <v>10</v>
      </c>
      <c r="L3978" s="39"/>
      <c r="M3978" s="39"/>
      <c r="N3978" s="39">
        <v>45835</v>
      </c>
      <c r="O3978" s="38">
        <v>7242</v>
      </c>
      <c r="P3978" s="180" t="e">
        <f>K3978*(VLOOKUP(B3978,$C$2:$F$6,3,FALSE))</f>
        <v>#VALUE!</v>
      </c>
      <c r="Q3978" s="483"/>
      <c r="R3978" s="704"/>
      <c r="S3978" s="489"/>
      <c r="T3978" s="113">
        <f>S3978*J3978</f>
        <v>0</v>
      </c>
      <c r="U3978" s="517"/>
      <c r="V3978" s="494">
        <v>120</v>
      </c>
      <c r="W3978" s="2041" t="e">
        <f t="shared" si="318"/>
        <v>#VALUE!</v>
      </c>
    </row>
    <row r="3979" spans="1:23" s="7" customFormat="1" ht="15.75" customHeight="1">
      <c r="A3979" s="1"/>
      <c r="B3979" s="12" t="s">
        <v>1856</v>
      </c>
      <c r="C3979" s="6" t="s">
        <v>8567</v>
      </c>
      <c r="D3979" s="15" t="s">
        <v>7994</v>
      </c>
      <c r="E3979" s="24" t="s">
        <v>7993</v>
      </c>
      <c r="F3979" s="26"/>
      <c r="G3979" s="24" t="s">
        <v>7694</v>
      </c>
      <c r="H3979" s="151"/>
      <c r="I3979" s="41"/>
      <c r="J3979" s="67">
        <v>20</v>
      </c>
      <c r="K3979" s="25">
        <v>1.42</v>
      </c>
      <c r="L3979" s="46">
        <f>K3979*J3979</f>
        <v>28.4</v>
      </c>
      <c r="M3979" s="162" t="s">
        <v>2219</v>
      </c>
      <c r="N3979" s="2453">
        <v>45835</v>
      </c>
      <c r="O3979" s="38">
        <v>7242</v>
      </c>
      <c r="P3979" s="180">
        <f>K3979*(VLOOKUP(B3979,$C$2:$F$6,3,FALSE))</f>
        <v>1.2496</v>
      </c>
      <c r="Q3979" s="483">
        <v>1.25</v>
      </c>
      <c r="R3979" s="704">
        <f>Q3979*J3979</f>
        <v>25</v>
      </c>
      <c r="S3979" s="489">
        <v>102</v>
      </c>
      <c r="T3979" s="113">
        <f>S3979*J3979</f>
        <v>2040</v>
      </c>
      <c r="U3979" s="517"/>
      <c r="V3979" s="494">
        <v>120</v>
      </c>
      <c r="W3979" s="2041">
        <f t="shared" si="318"/>
        <v>0.40140845070422526</v>
      </c>
    </row>
    <row r="3980" spans="1:23" ht="18" customHeight="1">
      <c r="B3980" s="12" t="s">
        <v>1862</v>
      </c>
      <c r="C3980" s="6" t="s">
        <v>8567</v>
      </c>
      <c r="D3980" s="15" t="s">
        <v>7994</v>
      </c>
      <c r="E3980" s="24"/>
      <c r="F3980" s="138"/>
      <c r="G3980" s="44" t="s">
        <v>1993</v>
      </c>
      <c r="H3980" s="8"/>
      <c r="I3980" s="41"/>
      <c r="J3980" s="45">
        <v>1</v>
      </c>
      <c r="K3980" s="46">
        <v>12</v>
      </c>
      <c r="L3980" s="46">
        <f>K3980*J3980</f>
        <v>12</v>
      </c>
      <c r="M3980" s="112"/>
      <c r="N3980" s="39">
        <v>45835</v>
      </c>
      <c r="O3980" s="38">
        <v>7242</v>
      </c>
      <c r="P3980" s="46">
        <f>K3980*(VLOOKUP(B3980,$C$2:$F$6,3,FALSE))</f>
        <v>12</v>
      </c>
      <c r="Q3980" s="483">
        <v>12</v>
      </c>
      <c r="R3980" s="704">
        <f>Q3980*J3980</f>
        <v>12</v>
      </c>
      <c r="S3980" s="489">
        <v>900</v>
      </c>
      <c r="T3980" s="113">
        <f>S3980*J3980</f>
        <v>900</v>
      </c>
      <c r="U3980" s="511"/>
      <c r="V3980" s="494">
        <v>120</v>
      </c>
      <c r="W3980" s="2041">
        <f t="shared" si="318"/>
        <v>0.375</v>
      </c>
    </row>
    <row r="3981" spans="1:23" s="314" customFormat="1" ht="15">
      <c r="A3981" s="1"/>
      <c r="B3981" s="313"/>
      <c r="C3981" s="302" t="s">
        <v>8567</v>
      </c>
      <c r="D3981" s="303" t="s">
        <v>7994</v>
      </c>
      <c r="E3981" s="304"/>
      <c r="F3981" s="305"/>
      <c r="G3981" s="305" t="s">
        <v>1227</v>
      </c>
      <c r="H3981" s="307" t="s">
        <v>1228</v>
      </c>
      <c r="I3981" s="308"/>
      <c r="J3981" s="306"/>
      <c r="K3981" s="315">
        <v>0</v>
      </c>
      <c r="L3981" s="310"/>
      <c r="M3981" s="310"/>
      <c r="N3981" s="310">
        <v>45835</v>
      </c>
      <c r="O3981" s="309">
        <v>7242</v>
      </c>
      <c r="P3981" s="302"/>
      <c r="Q3981" s="485">
        <v>0</v>
      </c>
      <c r="S3981" s="536">
        <v>0</v>
      </c>
      <c r="T3981" s="322">
        <v>0</v>
      </c>
      <c r="U3981" s="515"/>
      <c r="V3981" s="494">
        <v>120</v>
      </c>
      <c r="W3981" s="2041" t="e">
        <f t="shared" si="318"/>
        <v>#DIV/0!</v>
      </c>
    </row>
    <row r="3982" spans="1:23" s="7" customFormat="1" ht="15" customHeight="1">
      <c r="A3982" s="1"/>
      <c r="B3982" s="12"/>
      <c r="C3982" s="6" t="s">
        <v>8570</v>
      </c>
      <c r="D3982" s="15" t="s">
        <v>8298</v>
      </c>
      <c r="E3982" s="20" t="s">
        <v>8252</v>
      </c>
      <c r="F3982" s="26"/>
      <c r="G3982" s="24"/>
      <c r="H3982" s="67"/>
      <c r="I3982" s="68"/>
      <c r="J3982" s="67"/>
      <c r="K3982" s="17" t="s">
        <v>10</v>
      </c>
      <c r="L3982" s="39"/>
      <c r="M3982" s="39"/>
      <c r="N3982" s="39">
        <v>45839</v>
      </c>
      <c r="O3982" s="38">
        <v>7249</v>
      </c>
      <c r="P3982" s="180" t="e">
        <f>K3982*(VLOOKUP(B3982,$C$2:$F$6,3,FALSE))</f>
        <v>#VALUE!</v>
      </c>
      <c r="Q3982" s="483"/>
      <c r="R3982" s="704"/>
      <c r="S3982" s="489"/>
      <c r="T3982" s="113">
        <f>S3982*J3982</f>
        <v>0</v>
      </c>
      <c r="U3982" s="517"/>
      <c r="V3982" s="494">
        <v>120</v>
      </c>
      <c r="W3982" s="2041" t="e">
        <f t="shared" si="318"/>
        <v>#VALUE!</v>
      </c>
    </row>
    <row r="3983" spans="1:23" s="7" customFormat="1" ht="15.75" customHeight="1">
      <c r="A3983" s="1"/>
      <c r="B3983" s="12" t="s">
        <v>1856</v>
      </c>
      <c r="C3983" s="6" t="s">
        <v>8570</v>
      </c>
      <c r="D3983" s="15" t="s">
        <v>8298</v>
      </c>
      <c r="E3983" s="24" t="s">
        <v>8569</v>
      </c>
      <c r="F3983" s="26"/>
      <c r="G3983" s="24" t="s">
        <v>7694</v>
      </c>
      <c r="H3983" s="151"/>
      <c r="I3983" s="41"/>
      <c r="J3983" s="67">
        <v>50</v>
      </c>
      <c r="K3983" s="25">
        <v>3.28</v>
      </c>
      <c r="L3983" s="46">
        <f>K3983*J3983</f>
        <v>164</v>
      </c>
      <c r="M3983" s="162" t="s">
        <v>2219</v>
      </c>
      <c r="N3983" s="39">
        <v>45839</v>
      </c>
      <c r="O3983" s="38">
        <v>7249</v>
      </c>
      <c r="P3983" s="180">
        <f>K3983*(VLOOKUP(B3983,$C$2:$F$6,3,FALSE))</f>
        <v>2.8863999999999996</v>
      </c>
      <c r="Q3983" s="483">
        <v>2.89</v>
      </c>
      <c r="R3983" s="704">
        <f>Q3983*J3983</f>
        <v>144.5</v>
      </c>
      <c r="S3983" s="489">
        <v>236</v>
      </c>
      <c r="T3983" s="113">
        <f>S3983*J3983</f>
        <v>11800</v>
      </c>
      <c r="U3983" s="517"/>
      <c r="V3983" s="494">
        <v>120</v>
      </c>
      <c r="W3983" s="2041">
        <f t="shared" si="318"/>
        <v>0.40040650406504058</v>
      </c>
    </row>
    <row r="3984" spans="1:23" ht="18" customHeight="1">
      <c r="B3984" s="12" t="s">
        <v>1862</v>
      </c>
      <c r="C3984" s="6" t="s">
        <v>8570</v>
      </c>
      <c r="D3984" s="15" t="s">
        <v>8298</v>
      </c>
      <c r="E3984" s="24"/>
      <c r="F3984" s="138"/>
      <c r="G3984" s="44" t="s">
        <v>1993</v>
      </c>
      <c r="H3984" s="8"/>
      <c r="I3984" s="41"/>
      <c r="J3984" s="45">
        <v>1</v>
      </c>
      <c r="K3984" s="46">
        <v>12</v>
      </c>
      <c r="L3984" s="46">
        <f>K3984*J3984</f>
        <v>12</v>
      </c>
      <c r="M3984" s="112"/>
      <c r="N3984" s="39">
        <v>45839</v>
      </c>
      <c r="O3984" s="38">
        <v>7249</v>
      </c>
      <c r="P3984" s="46">
        <f>K3984*(VLOOKUP(B3984,$C$2:$F$6,3,FALSE))</f>
        <v>12</v>
      </c>
      <c r="Q3984" s="483">
        <v>12</v>
      </c>
      <c r="R3984" s="704">
        <f>Q3984*J3984</f>
        <v>12</v>
      </c>
      <c r="S3984" s="489">
        <v>0</v>
      </c>
      <c r="T3984" s="113">
        <f>S3984*J3984</f>
        <v>0</v>
      </c>
      <c r="U3984" s="511"/>
      <c r="V3984" s="494">
        <v>120</v>
      </c>
      <c r="W3984" s="2041">
        <f t="shared" ref="W3984:W4015" si="319">(((K3984*V3984)-S3984)/(K3984*V3984))</f>
        <v>1</v>
      </c>
    </row>
    <row r="3985" spans="1:23" s="314" customFormat="1" ht="15">
      <c r="A3985" s="1"/>
      <c r="B3985" s="313"/>
      <c r="C3985" s="302" t="s">
        <v>8570</v>
      </c>
      <c r="D3985" s="303" t="s">
        <v>8298</v>
      </c>
      <c r="E3985" s="304"/>
      <c r="F3985" s="305"/>
      <c r="G3985" s="305" t="s">
        <v>1227</v>
      </c>
      <c r="H3985" s="307" t="s">
        <v>1228</v>
      </c>
      <c r="I3985" s="308"/>
      <c r="J3985" s="306"/>
      <c r="K3985" s="315">
        <v>0</v>
      </c>
      <c r="L3985" s="310"/>
      <c r="M3985" s="310"/>
      <c r="N3985" s="310">
        <v>45839</v>
      </c>
      <c r="O3985" s="309">
        <v>7249</v>
      </c>
      <c r="P3985" s="302"/>
      <c r="Q3985" s="485">
        <v>0</v>
      </c>
      <c r="S3985" s="536">
        <v>0</v>
      </c>
      <c r="T3985" s="322">
        <v>0</v>
      </c>
      <c r="U3985" s="515"/>
      <c r="V3985" s="494">
        <v>120</v>
      </c>
      <c r="W3985" s="2041" t="e">
        <f t="shared" si="319"/>
        <v>#DIV/0!</v>
      </c>
    </row>
    <row r="3986" spans="1:23" s="7" customFormat="1" ht="15" customHeight="1">
      <c r="A3986" s="1"/>
      <c r="B3986" s="12"/>
      <c r="C3986" s="6" t="s">
        <v>8579</v>
      </c>
      <c r="D3986" s="15" t="s">
        <v>5251</v>
      </c>
      <c r="E3986" s="20" t="s">
        <v>8252</v>
      </c>
      <c r="F3986" s="26"/>
      <c r="G3986" s="24"/>
      <c r="H3986" s="67"/>
      <c r="I3986" s="68"/>
      <c r="J3986" s="67"/>
      <c r="K3986" s="17" t="s">
        <v>10</v>
      </c>
      <c r="L3986" s="39"/>
      <c r="M3986" s="39"/>
      <c r="N3986" s="39">
        <v>45862</v>
      </c>
      <c r="O3986" s="38">
        <v>7312</v>
      </c>
      <c r="P3986" s="180" t="e">
        <f>K3986*(VLOOKUP(B3986,$C$2:$F$6,3,FALSE))</f>
        <v>#VALUE!</v>
      </c>
      <c r="Q3986" s="483"/>
      <c r="R3986" s="704"/>
      <c r="S3986" s="2533"/>
      <c r="T3986" s="113">
        <f>S3986*J3986</f>
        <v>0</v>
      </c>
      <c r="U3986" s="517"/>
      <c r="V3986" s="494">
        <v>120</v>
      </c>
      <c r="W3986" s="2041" t="e">
        <f t="shared" si="319"/>
        <v>#VALUE!</v>
      </c>
    </row>
    <row r="3987" spans="1:23" s="7" customFormat="1" ht="15.75" customHeight="1">
      <c r="A3987" s="1"/>
      <c r="B3987" s="12" t="s">
        <v>1856</v>
      </c>
      <c r="C3987" s="6" t="s">
        <v>8579</v>
      </c>
      <c r="D3987" s="15" t="s">
        <v>5251</v>
      </c>
      <c r="E3987" s="24" t="s">
        <v>8578</v>
      </c>
      <c r="F3987" s="26"/>
      <c r="G3987" s="24" t="s">
        <v>8589</v>
      </c>
      <c r="H3987" s="151"/>
      <c r="I3987" s="41"/>
      <c r="J3987" s="67">
        <v>100</v>
      </c>
      <c r="K3987" s="25">
        <v>1.89</v>
      </c>
      <c r="L3987" s="46">
        <f>K3987*J3987</f>
        <v>189</v>
      </c>
      <c r="M3987" s="162" t="s">
        <v>2219</v>
      </c>
      <c r="N3987" s="39">
        <v>45862</v>
      </c>
      <c r="O3987" s="38">
        <v>7312</v>
      </c>
      <c r="P3987" s="180">
        <f>K3987*(VLOOKUP(B3987,$C$2:$F$6,3,FALSE))</f>
        <v>1.6632</v>
      </c>
      <c r="Q3987" s="483">
        <v>1.66</v>
      </c>
      <c r="R3987" s="704">
        <f>Q3987*J3987</f>
        <v>166</v>
      </c>
      <c r="S3987" s="489">
        <f>136</f>
        <v>136</v>
      </c>
      <c r="T3987" s="113">
        <f>S3987*J3987</f>
        <v>13600</v>
      </c>
      <c r="U3987" s="517"/>
      <c r="V3987" s="494">
        <v>120</v>
      </c>
      <c r="W3987" s="2041">
        <f t="shared" si="319"/>
        <v>0.400352733686067</v>
      </c>
    </row>
    <row r="3988" spans="1:23" ht="18" customHeight="1">
      <c r="B3988" s="12" t="s">
        <v>1862</v>
      </c>
      <c r="C3988" s="6" t="s">
        <v>8579</v>
      </c>
      <c r="D3988" s="15" t="s">
        <v>5251</v>
      </c>
      <c r="E3988" s="24"/>
      <c r="F3988" s="138"/>
      <c r="G3988" s="44" t="s">
        <v>1993</v>
      </c>
      <c r="H3988" s="8"/>
      <c r="I3988" s="41"/>
      <c r="J3988" s="45">
        <v>1</v>
      </c>
      <c r="K3988" s="46">
        <v>12</v>
      </c>
      <c r="L3988" s="46">
        <f>K3988*J3988</f>
        <v>12</v>
      </c>
      <c r="M3988" s="112"/>
      <c r="N3988" s="39">
        <v>45862</v>
      </c>
      <c r="O3988" s="38">
        <v>7312</v>
      </c>
      <c r="P3988" s="46">
        <f>K3988*(VLOOKUP(B3988,$C$2:$F$6,3,FALSE))</f>
        <v>12</v>
      </c>
      <c r="Q3988" s="483">
        <v>12</v>
      </c>
      <c r="R3988" s="704">
        <f>Q3988*J3988</f>
        <v>12</v>
      </c>
      <c r="S3988" s="489">
        <v>0</v>
      </c>
      <c r="T3988" s="113">
        <f>S3988*J3988</f>
        <v>0</v>
      </c>
      <c r="U3988" s="511"/>
      <c r="V3988" s="494">
        <v>120</v>
      </c>
      <c r="W3988" s="2041">
        <f t="shared" si="319"/>
        <v>1</v>
      </c>
    </row>
    <row r="3989" spans="1:23" s="314" customFormat="1" ht="15">
      <c r="A3989" s="1"/>
      <c r="B3989" s="313"/>
      <c r="C3989" s="302" t="s">
        <v>8579</v>
      </c>
      <c r="D3989" s="303" t="s">
        <v>5251</v>
      </c>
      <c r="E3989" s="304"/>
      <c r="F3989" s="305"/>
      <c r="G3989" s="305" t="s">
        <v>1227</v>
      </c>
      <c r="H3989" s="307" t="s">
        <v>1228</v>
      </c>
      <c r="I3989" s="308"/>
      <c r="J3989" s="306"/>
      <c r="K3989" s="315">
        <v>0</v>
      </c>
      <c r="L3989" s="310"/>
      <c r="M3989" s="310"/>
      <c r="N3989" s="310">
        <v>45862</v>
      </c>
      <c r="O3989" s="309">
        <v>7312</v>
      </c>
      <c r="P3989" s="302"/>
      <c r="Q3989" s="485">
        <v>0</v>
      </c>
      <c r="S3989" s="536">
        <v>0</v>
      </c>
      <c r="T3989" s="322">
        <v>0</v>
      </c>
      <c r="U3989" s="515"/>
      <c r="V3989" s="494">
        <v>120</v>
      </c>
      <c r="W3989" s="2041" t="e">
        <f t="shared" si="319"/>
        <v>#DIV/0!</v>
      </c>
    </row>
    <row r="3990" spans="1:23" s="7" customFormat="1" ht="15" customHeight="1">
      <c r="A3990" s="1"/>
      <c r="B3990" s="12"/>
      <c r="C3990" s="6" t="s">
        <v>8588</v>
      </c>
      <c r="D3990" s="15" t="s">
        <v>8298</v>
      </c>
      <c r="E3990" s="20" t="s">
        <v>8300</v>
      </c>
      <c r="F3990" s="26"/>
      <c r="G3990" s="24"/>
      <c r="H3990" s="67"/>
      <c r="I3990" s="68"/>
      <c r="J3990" s="67"/>
      <c r="K3990" s="17" t="s">
        <v>10</v>
      </c>
      <c r="L3990" s="39"/>
      <c r="M3990" s="39"/>
      <c r="N3990" s="39"/>
      <c r="O3990" s="38"/>
      <c r="P3990" s="180" t="e">
        <f t="shared" ref="P3990:P3996" si="320">K3990*(VLOOKUP(B3990,$C$2:$F$6,3,FALSE))</f>
        <v>#VALUE!</v>
      </c>
      <c r="Q3990" s="483"/>
      <c r="R3990" s="704"/>
      <c r="S3990" s="489"/>
      <c r="T3990" s="113">
        <f t="shared" ref="T3990:T3996" si="321">S3990*J3990</f>
        <v>0</v>
      </c>
      <c r="U3990" s="517"/>
      <c r="V3990" s="494">
        <v>120</v>
      </c>
      <c r="W3990" s="2041" t="e">
        <f t="shared" si="319"/>
        <v>#VALUE!</v>
      </c>
    </row>
    <row r="3991" spans="1:23" ht="18" customHeight="1">
      <c r="B3991" s="12" t="s">
        <v>1862</v>
      </c>
      <c r="C3991" s="6" t="s">
        <v>8588</v>
      </c>
      <c r="D3991" s="15" t="s">
        <v>8298</v>
      </c>
      <c r="E3991" s="20" t="s">
        <v>8795</v>
      </c>
      <c r="F3991" s="138"/>
      <c r="G3991" s="44" t="s">
        <v>8583</v>
      </c>
      <c r="H3991" s="8"/>
      <c r="I3991" s="41"/>
      <c r="J3991" s="45">
        <v>1</v>
      </c>
      <c r="K3991" s="46">
        <v>65</v>
      </c>
      <c r="L3991" s="46">
        <v>0</v>
      </c>
      <c r="M3991" s="112"/>
      <c r="N3991" s="2577" t="s">
        <v>8814</v>
      </c>
      <c r="O3991" s="2577" t="s">
        <v>8814</v>
      </c>
      <c r="P3991" s="46">
        <f t="shared" si="320"/>
        <v>65</v>
      </c>
      <c r="Q3991" s="483">
        <v>65</v>
      </c>
      <c r="R3991" s="704">
        <f t="shared" ref="R3991:R3996" si="322">Q3991*J3991</f>
        <v>65</v>
      </c>
      <c r="S3991" s="489">
        <v>0</v>
      </c>
      <c r="T3991" s="113">
        <f t="shared" si="321"/>
        <v>0</v>
      </c>
      <c r="U3991" s="511"/>
      <c r="V3991" s="494">
        <v>120</v>
      </c>
      <c r="W3991" s="2041">
        <f t="shared" si="319"/>
        <v>1</v>
      </c>
    </row>
    <row r="3992" spans="1:23" ht="18" customHeight="1">
      <c r="B3992" s="12" t="s">
        <v>1862</v>
      </c>
      <c r="C3992" s="6" t="s">
        <v>8588</v>
      </c>
      <c r="D3992" s="15" t="s">
        <v>8298</v>
      </c>
      <c r="E3992" s="20" t="s">
        <v>8582</v>
      </c>
      <c r="F3992" s="138"/>
      <c r="G3992" s="44" t="s">
        <v>8583</v>
      </c>
      <c r="H3992" s="8"/>
      <c r="I3992" s="41"/>
      <c r="J3992" s="45">
        <v>1</v>
      </c>
      <c r="K3992" s="46">
        <v>65</v>
      </c>
      <c r="L3992" s="46">
        <v>0</v>
      </c>
      <c r="M3992" s="112"/>
      <c r="N3992" s="2577" t="s">
        <v>8814</v>
      </c>
      <c r="O3992" s="2577" t="s">
        <v>8814</v>
      </c>
      <c r="P3992" s="46">
        <f t="shared" si="320"/>
        <v>65</v>
      </c>
      <c r="Q3992" s="483">
        <v>65</v>
      </c>
      <c r="R3992" s="704">
        <f t="shared" si="322"/>
        <v>65</v>
      </c>
      <c r="S3992" s="489">
        <v>0</v>
      </c>
      <c r="T3992" s="113">
        <f t="shared" si="321"/>
        <v>0</v>
      </c>
      <c r="U3992" s="511"/>
      <c r="V3992" s="494">
        <v>120</v>
      </c>
      <c r="W3992" s="2041">
        <f t="shared" si="319"/>
        <v>1</v>
      </c>
    </row>
    <row r="3993" spans="1:23" s="7" customFormat="1" ht="15.75" customHeight="1">
      <c r="A3993" s="1"/>
      <c r="B3993" s="12" t="s">
        <v>1856</v>
      </c>
      <c r="C3993" s="6" t="s">
        <v>8588</v>
      </c>
      <c r="D3993" s="15" t="s">
        <v>8298</v>
      </c>
      <c r="E3993" s="2451" t="s">
        <v>8609</v>
      </c>
      <c r="F3993" s="26"/>
      <c r="G3993" s="24" t="s">
        <v>8581</v>
      </c>
      <c r="H3993" s="151"/>
      <c r="I3993" s="41"/>
      <c r="J3993" s="8">
        <v>100</v>
      </c>
      <c r="K3993" s="25">
        <v>5.7</v>
      </c>
      <c r="L3993" s="46">
        <f>K3993*J3993</f>
        <v>570</v>
      </c>
      <c r="M3993" s="162" t="s">
        <v>2219</v>
      </c>
      <c r="N3993" s="2453">
        <v>45946</v>
      </c>
      <c r="O3993" s="38">
        <v>7541</v>
      </c>
      <c r="P3993" s="180">
        <f t="shared" si="320"/>
        <v>5.016</v>
      </c>
      <c r="Q3993" s="483">
        <v>5.0199999999999996</v>
      </c>
      <c r="R3993" s="704">
        <f t="shared" si="322"/>
        <v>501.99999999999994</v>
      </c>
      <c r="S3993" s="489">
        <v>410</v>
      </c>
      <c r="T3993" s="113">
        <f t="shared" si="321"/>
        <v>41000</v>
      </c>
      <c r="U3993" s="517"/>
      <c r="V3993" s="494">
        <v>120</v>
      </c>
      <c r="W3993" s="2041">
        <f t="shared" si="319"/>
        <v>0.40058479532163743</v>
      </c>
    </row>
    <row r="3994" spans="1:23" s="7" customFormat="1" ht="15.75" customHeight="1">
      <c r="A3994" s="1"/>
      <c r="B3994" s="12" t="s">
        <v>1856</v>
      </c>
      <c r="C3994" s="6" t="s">
        <v>8588</v>
      </c>
      <c r="D3994" s="15" t="s">
        <v>8298</v>
      </c>
      <c r="E3994" s="2451" t="s">
        <v>8609</v>
      </c>
      <c r="F3994" s="26"/>
      <c r="G3994" s="24" t="s">
        <v>8781</v>
      </c>
      <c r="H3994" s="151"/>
      <c r="I3994" s="41"/>
      <c r="J3994" s="8">
        <v>100</v>
      </c>
      <c r="K3994" s="25">
        <v>6.95</v>
      </c>
      <c r="L3994" s="46">
        <f>K3994*J3994</f>
        <v>695</v>
      </c>
      <c r="M3994" s="162" t="s">
        <v>2219</v>
      </c>
      <c r="N3994" s="2453">
        <v>45952</v>
      </c>
      <c r="O3994" s="38">
        <v>7361</v>
      </c>
      <c r="P3994" s="180">
        <f t="shared" si="320"/>
        <v>6.1160000000000005</v>
      </c>
      <c r="Q3994" s="483">
        <v>6.12</v>
      </c>
      <c r="R3994" s="704">
        <f t="shared" si="322"/>
        <v>612</v>
      </c>
      <c r="S3994" s="489">
        <f>410+90</f>
        <v>500</v>
      </c>
      <c r="T3994" s="113">
        <f t="shared" si="321"/>
        <v>50000</v>
      </c>
      <c r="U3994" s="517"/>
      <c r="V3994" s="494">
        <v>120</v>
      </c>
      <c r="W3994" s="2041">
        <f t="shared" si="319"/>
        <v>0.40047961630695444</v>
      </c>
    </row>
    <row r="3995" spans="1:23" s="7" customFormat="1" ht="15.75" customHeight="1">
      <c r="A3995" s="1"/>
      <c r="B3995" s="12" t="s">
        <v>1856</v>
      </c>
      <c r="C3995" s="6" t="s">
        <v>8588</v>
      </c>
      <c r="D3995" s="15" t="s">
        <v>8298</v>
      </c>
      <c r="E3995" s="2451" t="s">
        <v>8608</v>
      </c>
      <c r="F3995" s="26"/>
      <c r="G3995" s="24" t="s">
        <v>8581</v>
      </c>
      <c r="H3995" s="151"/>
      <c r="I3995" s="41"/>
      <c r="J3995" s="8">
        <v>100</v>
      </c>
      <c r="K3995" s="25">
        <v>5.0699999999999994</v>
      </c>
      <c r="L3995" s="46">
        <f>K3995*J3995</f>
        <v>506.99999999999994</v>
      </c>
      <c r="M3995" s="162" t="s">
        <v>2219</v>
      </c>
      <c r="N3995" s="2453">
        <v>45946</v>
      </c>
      <c r="O3995" s="38">
        <v>7541</v>
      </c>
      <c r="P3995" s="180">
        <f t="shared" si="320"/>
        <v>4.4615999999999998</v>
      </c>
      <c r="Q3995" s="483">
        <v>4.46</v>
      </c>
      <c r="R3995" s="704">
        <f t="shared" si="322"/>
        <v>446</v>
      </c>
      <c r="S3995" s="489">
        <v>365</v>
      </c>
      <c r="T3995" s="113">
        <f t="shared" si="321"/>
        <v>36500</v>
      </c>
      <c r="U3995" s="517"/>
      <c r="V3995" s="494">
        <v>120</v>
      </c>
      <c r="W3995" s="2041">
        <f t="shared" si="319"/>
        <v>0.40006574621959234</v>
      </c>
    </row>
    <row r="3996" spans="1:23" s="7" customFormat="1" ht="15.75" customHeight="1">
      <c r="A3996" s="1"/>
      <c r="B3996" s="12" t="s">
        <v>1856</v>
      </c>
      <c r="C3996" s="6" t="s">
        <v>8588</v>
      </c>
      <c r="D3996" s="15" t="s">
        <v>8298</v>
      </c>
      <c r="E3996" s="2451" t="s">
        <v>8608</v>
      </c>
      <c r="F3996" s="26"/>
      <c r="G3996" s="24" t="s">
        <v>8781</v>
      </c>
      <c r="H3996" s="151"/>
      <c r="I3996" s="41"/>
      <c r="J3996" s="8">
        <v>100</v>
      </c>
      <c r="K3996" s="25">
        <v>6.1899999999999995</v>
      </c>
      <c r="L3996" s="46">
        <f>K3996*J3996</f>
        <v>619</v>
      </c>
      <c r="M3996" s="162" t="s">
        <v>2219</v>
      </c>
      <c r="N3996" s="2453">
        <v>45952</v>
      </c>
      <c r="O3996" s="38">
        <v>7361</v>
      </c>
      <c r="P3996" s="180">
        <f t="shared" si="320"/>
        <v>5.4471999999999996</v>
      </c>
      <c r="Q3996" s="483">
        <v>5.45</v>
      </c>
      <c r="R3996" s="704">
        <f t="shared" si="322"/>
        <v>545</v>
      </c>
      <c r="S3996" s="489">
        <f>365+80</f>
        <v>445</v>
      </c>
      <c r="T3996" s="113">
        <f t="shared" si="321"/>
        <v>44500</v>
      </c>
      <c r="U3996" s="517"/>
      <c r="V3996" s="494">
        <v>120</v>
      </c>
      <c r="W3996" s="2041">
        <f t="shared" si="319"/>
        <v>0.40091545503500264</v>
      </c>
    </row>
    <row r="3997" spans="1:23" s="314" customFormat="1" ht="15">
      <c r="A3997" s="1"/>
      <c r="B3997" s="313"/>
      <c r="C3997" s="302" t="s">
        <v>8588</v>
      </c>
      <c r="D3997" s="303" t="s">
        <v>8298</v>
      </c>
      <c r="E3997" s="304"/>
      <c r="F3997" s="305"/>
      <c r="G3997" s="305" t="s">
        <v>1227</v>
      </c>
      <c r="H3997" s="307" t="s">
        <v>1228</v>
      </c>
      <c r="I3997" s="308"/>
      <c r="J3997" s="306"/>
      <c r="K3997" s="315">
        <v>0</v>
      </c>
      <c r="L3997" s="310"/>
      <c r="M3997" s="310"/>
      <c r="N3997" s="310"/>
      <c r="O3997" s="309"/>
      <c r="P3997" s="302"/>
      <c r="Q3997" s="485">
        <v>0</v>
      </c>
      <c r="S3997" s="536">
        <v>0</v>
      </c>
      <c r="T3997" s="322">
        <v>0</v>
      </c>
      <c r="U3997" s="515"/>
      <c r="V3997" s="494">
        <v>120</v>
      </c>
      <c r="W3997" s="2041" t="e">
        <f t="shared" si="319"/>
        <v>#DIV/0!</v>
      </c>
    </row>
    <row r="3998" spans="1:23" ht="18" customHeight="1">
      <c r="C3998" s="6" t="s">
        <v>8587</v>
      </c>
      <c r="D3998" s="15" t="s">
        <v>8246</v>
      </c>
      <c r="E3998" s="20" t="s">
        <v>260</v>
      </c>
      <c r="F3998" s="44"/>
      <c r="G3998" s="44"/>
      <c r="H3998" s="151"/>
      <c r="I3998" s="151"/>
      <c r="J3998" s="151"/>
      <c r="K3998" s="34" t="s">
        <v>134</v>
      </c>
      <c r="L3998" s="39"/>
      <c r="M3998" s="39"/>
      <c r="N3998" s="39">
        <v>45874</v>
      </c>
      <c r="O3998" s="38" t="s">
        <v>8673</v>
      </c>
      <c r="P3998" s="6"/>
      <c r="Q3998" s="524"/>
      <c r="S3998" s="1995"/>
      <c r="T3998" s="113"/>
      <c r="U3998" s="501"/>
      <c r="V3998" s="494">
        <v>120</v>
      </c>
      <c r="W3998" s="2041" t="e">
        <f t="shared" si="319"/>
        <v>#VALUE!</v>
      </c>
    </row>
    <row r="3999" spans="1:23" ht="18" customHeight="1">
      <c r="B3999" s="28" t="s">
        <v>1856</v>
      </c>
      <c r="C3999" s="6" t="s">
        <v>8587</v>
      </c>
      <c r="D3999" s="15" t="s">
        <v>8246</v>
      </c>
      <c r="E3999" s="1012">
        <v>4141</v>
      </c>
      <c r="F3999" s="44">
        <v>6</v>
      </c>
      <c r="G3999" s="24" t="s">
        <v>48</v>
      </c>
      <c r="H3999" s="67">
        <v>20</v>
      </c>
      <c r="I3999" s="68">
        <v>10</v>
      </c>
      <c r="J3999" s="67">
        <f>H3999*I3999</f>
        <v>200</v>
      </c>
      <c r="K3999" s="46">
        <v>1.47</v>
      </c>
      <c r="L3999" s="46">
        <f>K3999*J3999</f>
        <v>294</v>
      </c>
      <c r="M3999" s="162" t="s">
        <v>2219</v>
      </c>
      <c r="N3999" s="2453">
        <v>45874</v>
      </c>
      <c r="O3999" s="38" t="s">
        <v>8673</v>
      </c>
      <c r="P3999" s="46">
        <f>K3999*(VLOOKUP(B3999,$C$2:$F$6,3,FALSE))</f>
        <v>1.2936000000000001</v>
      </c>
      <c r="Q3999" s="482">
        <v>1.29</v>
      </c>
      <c r="R3999" s="704">
        <f>Q3999*J3999</f>
        <v>258</v>
      </c>
      <c r="S3999" s="489">
        <v>96</v>
      </c>
      <c r="T3999" s="113">
        <f>S3999*J3999</f>
        <v>19200</v>
      </c>
      <c r="U3999" s="699"/>
      <c r="V3999" s="494">
        <v>120</v>
      </c>
      <c r="W3999" s="2041">
        <f t="shared" si="319"/>
        <v>0.45578231292517007</v>
      </c>
    </row>
    <row r="4000" spans="1:23" s="314" customFormat="1" ht="15">
      <c r="A4000" s="1"/>
      <c r="B4000" s="313"/>
      <c r="C4000" s="302" t="s">
        <v>8587</v>
      </c>
      <c r="D4000" s="303" t="s">
        <v>8246</v>
      </c>
      <c r="E4000" s="304"/>
      <c r="F4000" s="305"/>
      <c r="G4000" s="305" t="s">
        <v>1227</v>
      </c>
      <c r="H4000" s="307" t="s">
        <v>1228</v>
      </c>
      <c r="I4000" s="308"/>
      <c r="J4000" s="306"/>
      <c r="K4000" s="315">
        <v>0</v>
      </c>
      <c r="L4000" s="310"/>
      <c r="M4000" s="310"/>
      <c r="N4000" s="310">
        <v>45874</v>
      </c>
      <c r="O4000" s="309" t="s">
        <v>8673</v>
      </c>
      <c r="P4000" s="302"/>
      <c r="Q4000" s="485">
        <v>0</v>
      </c>
      <c r="S4000" s="536">
        <v>0</v>
      </c>
      <c r="T4000" s="322">
        <v>0</v>
      </c>
      <c r="U4000" s="515"/>
      <c r="V4000" s="494">
        <v>120</v>
      </c>
      <c r="W4000" s="2041" t="e">
        <f t="shared" si="319"/>
        <v>#DIV/0!</v>
      </c>
    </row>
    <row r="4001" spans="1:23" s="7" customFormat="1" ht="15" customHeight="1">
      <c r="A4001" s="1"/>
      <c r="B4001" s="12"/>
      <c r="C4001" s="6" t="s">
        <v>8607</v>
      </c>
      <c r="D4001" s="15" t="s">
        <v>6552</v>
      </c>
      <c r="E4001" s="20" t="s">
        <v>8252</v>
      </c>
      <c r="F4001" s="26"/>
      <c r="G4001" s="24"/>
      <c r="H4001" s="67"/>
      <c r="I4001" s="68"/>
      <c r="J4001" s="67"/>
      <c r="K4001" s="17" t="s">
        <v>10</v>
      </c>
      <c r="L4001" s="39"/>
      <c r="M4001" s="39"/>
      <c r="N4001" s="39">
        <v>45860</v>
      </c>
      <c r="O4001" s="38">
        <v>7300</v>
      </c>
      <c r="P4001" s="180" t="e">
        <f>K4001*(VLOOKUP(B4001,$C$2:$F$6,3,FALSE))</f>
        <v>#VALUE!</v>
      </c>
      <c r="Q4001" s="483"/>
      <c r="R4001" s="704"/>
      <c r="S4001" s="489"/>
      <c r="T4001" s="113">
        <f>S4001*J4001</f>
        <v>0</v>
      </c>
      <c r="U4001" s="517"/>
      <c r="V4001" s="494">
        <v>120</v>
      </c>
      <c r="W4001" s="2041" t="e">
        <f t="shared" si="319"/>
        <v>#VALUE!</v>
      </c>
    </row>
    <row r="4002" spans="1:23" s="7" customFormat="1" ht="15.75" customHeight="1">
      <c r="A4002" s="1"/>
      <c r="B4002" s="12" t="s">
        <v>1856</v>
      </c>
      <c r="C4002" s="6" t="s">
        <v>8607</v>
      </c>
      <c r="D4002" s="15" t="s">
        <v>6552</v>
      </c>
      <c r="E4002" s="24" t="s">
        <v>8603</v>
      </c>
      <c r="F4002" s="26"/>
      <c r="G4002" s="24" t="s">
        <v>7694</v>
      </c>
      <c r="H4002" s="151"/>
      <c r="I4002" s="41"/>
      <c r="J4002" s="67">
        <v>10</v>
      </c>
      <c r="K4002" s="25">
        <v>1.8</v>
      </c>
      <c r="L4002" s="46">
        <f>K4002*J4002</f>
        <v>18</v>
      </c>
      <c r="M4002" s="162" t="s">
        <v>2219</v>
      </c>
      <c r="N4002" s="39">
        <v>45860</v>
      </c>
      <c r="O4002" s="38">
        <v>7300</v>
      </c>
      <c r="P4002" s="180">
        <f>K4002*(VLOOKUP(B4002,$C$2:$F$6,3,FALSE))</f>
        <v>1.5840000000000001</v>
      </c>
      <c r="Q4002" s="483">
        <v>1.58</v>
      </c>
      <c r="R4002" s="704">
        <f>Q4002*J4002</f>
        <v>15.8</v>
      </c>
      <c r="S4002" s="489">
        <v>129</v>
      </c>
      <c r="T4002" s="113">
        <f>S4002*J4002</f>
        <v>1290</v>
      </c>
      <c r="U4002" s="517"/>
      <c r="V4002" s="494">
        <v>120</v>
      </c>
      <c r="W4002" s="2041">
        <f t="shared" si="319"/>
        <v>0.40277777777777779</v>
      </c>
    </row>
    <row r="4003" spans="1:23" s="7" customFormat="1" ht="15.75" customHeight="1">
      <c r="A4003" s="1"/>
      <c r="B4003" s="12" t="s">
        <v>1856</v>
      </c>
      <c r="C4003" s="6" t="s">
        <v>8607</v>
      </c>
      <c r="D4003" s="15" t="s">
        <v>6552</v>
      </c>
      <c r="E4003" s="24" t="s">
        <v>8602</v>
      </c>
      <c r="F4003" s="26"/>
      <c r="G4003" s="24" t="s">
        <v>7694</v>
      </c>
      <c r="H4003" s="151"/>
      <c r="I4003" s="41"/>
      <c r="J4003" s="67">
        <v>10</v>
      </c>
      <c r="K4003" s="25">
        <v>2.16</v>
      </c>
      <c r="L4003" s="46">
        <f>K4003*J4003</f>
        <v>21.6</v>
      </c>
      <c r="M4003" s="162" t="s">
        <v>2219</v>
      </c>
      <c r="N4003" s="39">
        <v>45860</v>
      </c>
      <c r="O4003" s="38">
        <v>7300</v>
      </c>
      <c r="P4003" s="180">
        <f>K4003*(VLOOKUP(B4003,$C$2:$F$6,3,FALSE))</f>
        <v>1.9008</v>
      </c>
      <c r="Q4003" s="483">
        <v>1.9</v>
      </c>
      <c r="R4003" s="704">
        <f>Q4003*J4003</f>
        <v>19</v>
      </c>
      <c r="S4003" s="489">
        <v>155</v>
      </c>
      <c r="T4003" s="113">
        <f>S4003*J4003</f>
        <v>1550</v>
      </c>
      <c r="U4003" s="517"/>
      <c r="V4003" s="494">
        <v>120</v>
      </c>
      <c r="W4003" s="2041">
        <f t="shared" si="319"/>
        <v>0.40200617283950629</v>
      </c>
    </row>
    <row r="4004" spans="1:23" ht="18" customHeight="1">
      <c r="B4004" s="12" t="s">
        <v>1862</v>
      </c>
      <c r="C4004" s="6" t="s">
        <v>8607</v>
      </c>
      <c r="D4004" s="15" t="s">
        <v>6552</v>
      </c>
      <c r="E4004" s="24"/>
      <c r="F4004" s="138"/>
      <c r="G4004" s="44" t="s">
        <v>1993</v>
      </c>
      <c r="H4004" s="8"/>
      <c r="I4004" s="41"/>
      <c r="J4004" s="45">
        <v>1</v>
      </c>
      <c r="K4004" s="46">
        <v>12</v>
      </c>
      <c r="L4004" s="46">
        <f>K4004*J4004</f>
        <v>12</v>
      </c>
      <c r="M4004" s="112"/>
      <c r="N4004" s="39">
        <v>45860</v>
      </c>
      <c r="O4004" s="38">
        <v>7300</v>
      </c>
      <c r="P4004" s="46">
        <f>K4004*(VLOOKUP(B4004,$C$2:$F$6,3,FALSE))</f>
        <v>12</v>
      </c>
      <c r="Q4004" s="483">
        <v>12</v>
      </c>
      <c r="R4004" s="704">
        <f>Q4004*J4004</f>
        <v>12</v>
      </c>
      <c r="S4004" s="489">
        <v>900</v>
      </c>
      <c r="T4004" s="113">
        <f>S4004*J4004</f>
        <v>900</v>
      </c>
      <c r="U4004" s="511"/>
      <c r="V4004" s="494">
        <v>120</v>
      </c>
      <c r="W4004" s="2041">
        <f t="shared" si="319"/>
        <v>0.375</v>
      </c>
    </row>
    <row r="4005" spans="1:23" s="314" customFormat="1" ht="15">
      <c r="A4005" s="1"/>
      <c r="B4005" s="313"/>
      <c r="C4005" s="302" t="s">
        <v>8607</v>
      </c>
      <c r="D4005" s="303" t="s">
        <v>6552</v>
      </c>
      <c r="E4005" s="304"/>
      <c r="F4005" s="305"/>
      <c r="G4005" s="305" t="s">
        <v>1227</v>
      </c>
      <c r="H4005" s="307" t="s">
        <v>1228</v>
      </c>
      <c r="I4005" s="308"/>
      <c r="J4005" s="306"/>
      <c r="K4005" s="315">
        <v>0</v>
      </c>
      <c r="L4005" s="310"/>
      <c r="M4005" s="310"/>
      <c r="N4005" s="310">
        <v>45860</v>
      </c>
      <c r="O4005" s="309">
        <v>7300</v>
      </c>
      <c r="P4005" s="302"/>
      <c r="Q4005" s="485">
        <v>0</v>
      </c>
      <c r="S4005" s="536">
        <v>0</v>
      </c>
      <c r="T4005" s="322">
        <v>0</v>
      </c>
      <c r="U4005" s="515"/>
      <c r="V4005" s="494">
        <v>120</v>
      </c>
      <c r="W4005" s="2041" t="e">
        <f t="shared" si="319"/>
        <v>#DIV/0!</v>
      </c>
    </row>
    <row r="4006" spans="1:23" s="7" customFormat="1" ht="15">
      <c r="B4006" s="12"/>
      <c r="C4006" s="6" t="s">
        <v>8634</v>
      </c>
      <c r="D4006" s="15" t="s">
        <v>1666</v>
      </c>
      <c r="E4006" s="20" t="s">
        <v>1110</v>
      </c>
      <c r="F4006" s="44"/>
      <c r="G4006" s="44"/>
      <c r="H4006" s="151"/>
      <c r="I4006" s="151"/>
      <c r="J4006" s="151"/>
      <c r="K4006" s="17" t="s">
        <v>134</v>
      </c>
      <c r="L4006" s="39"/>
      <c r="M4006" s="39"/>
      <c r="N4006" s="39">
        <v>45863</v>
      </c>
      <c r="O4006" s="38">
        <v>7314</v>
      </c>
      <c r="P4006" s="6"/>
      <c r="Q4006" s="524"/>
      <c r="S4006" s="489"/>
      <c r="T4006" s="113"/>
      <c r="U4006" s="501"/>
      <c r="V4006" s="494">
        <v>120</v>
      </c>
      <c r="W4006" s="2041" t="e">
        <f t="shared" si="319"/>
        <v>#VALUE!</v>
      </c>
    </row>
    <row r="4007" spans="1:23" s="7" customFormat="1" ht="15" customHeight="1">
      <c r="B4007" s="12" t="s">
        <v>1856</v>
      </c>
      <c r="C4007" s="6" t="s">
        <v>8634</v>
      </c>
      <c r="D4007" s="15" t="s">
        <v>1666</v>
      </c>
      <c r="E4007" s="24" t="s">
        <v>8635</v>
      </c>
      <c r="F4007" s="26"/>
      <c r="G4007" s="24" t="s">
        <v>8636</v>
      </c>
      <c r="H4007" s="67">
        <v>50</v>
      </c>
      <c r="I4007" s="68">
        <v>1</v>
      </c>
      <c r="J4007" s="8">
        <f>H4007*I4007</f>
        <v>50</v>
      </c>
      <c r="K4007" s="46">
        <v>0.68</v>
      </c>
      <c r="L4007" s="46">
        <f>K4007*J4007</f>
        <v>34</v>
      </c>
      <c r="M4007" s="162" t="s">
        <v>2219</v>
      </c>
      <c r="N4007" s="39">
        <v>45863</v>
      </c>
      <c r="O4007" s="38">
        <v>7314</v>
      </c>
      <c r="P4007" s="46">
        <f>K4007*(VLOOKUP(B4007,$C$2:$F$6,3,FALSE))</f>
        <v>0.59840000000000004</v>
      </c>
      <c r="Q4007" s="482">
        <v>0.6</v>
      </c>
      <c r="R4007" s="704">
        <f>Q4007*J4007</f>
        <v>30</v>
      </c>
      <c r="S4007" s="489">
        <v>36.6</v>
      </c>
      <c r="T4007" s="113">
        <f>S4007*J4007</f>
        <v>1830</v>
      </c>
      <c r="U4007" s="1603"/>
      <c r="V4007" s="494">
        <v>120</v>
      </c>
      <c r="W4007" s="2041">
        <f t="shared" si="319"/>
        <v>0.55147058823529416</v>
      </c>
    </row>
    <row r="4008" spans="1:23" s="7" customFormat="1" ht="15" customHeight="1">
      <c r="B4008" s="12" t="s">
        <v>1856</v>
      </c>
      <c r="C4008" s="6" t="s">
        <v>8634</v>
      </c>
      <c r="D4008" s="15" t="s">
        <v>1666</v>
      </c>
      <c r="E4008" s="24" t="s">
        <v>8635</v>
      </c>
      <c r="F4008" s="26"/>
      <c r="G4008" s="24" t="s">
        <v>8637</v>
      </c>
      <c r="H4008" s="67">
        <v>50</v>
      </c>
      <c r="I4008" s="68">
        <v>1</v>
      </c>
      <c r="J4008" s="8">
        <f>H4008*I4008</f>
        <v>50</v>
      </c>
      <c r="K4008" s="46">
        <v>0.68</v>
      </c>
      <c r="L4008" s="46">
        <f>K4008*J4008</f>
        <v>34</v>
      </c>
      <c r="M4008" s="162" t="s">
        <v>2219</v>
      </c>
      <c r="N4008" s="39">
        <v>45863</v>
      </c>
      <c r="O4008" s="38">
        <v>7314</v>
      </c>
      <c r="P4008" s="46">
        <f>K4008*(VLOOKUP(B4008,$C$2:$F$6,3,FALSE))</f>
        <v>0.59840000000000004</v>
      </c>
      <c r="Q4008" s="482">
        <v>0.6</v>
      </c>
      <c r="R4008" s="704">
        <f>Q4008*J4008</f>
        <v>30</v>
      </c>
      <c r="S4008" s="489">
        <v>36.6</v>
      </c>
      <c r="T4008" s="113">
        <f>S4008*J4008</f>
        <v>1830</v>
      </c>
      <c r="U4008" s="1603"/>
      <c r="V4008" s="494">
        <v>120</v>
      </c>
      <c r="W4008" s="2041">
        <f t="shared" si="319"/>
        <v>0.55147058823529416</v>
      </c>
    </row>
    <row r="4009" spans="1:23" s="7" customFormat="1" ht="15" customHeight="1">
      <c r="B4009" s="12" t="s">
        <v>1856</v>
      </c>
      <c r="C4009" s="6" t="s">
        <v>8634</v>
      </c>
      <c r="D4009" s="15" t="s">
        <v>1666</v>
      </c>
      <c r="E4009" s="24" t="s">
        <v>8635</v>
      </c>
      <c r="F4009" s="26"/>
      <c r="G4009" s="24" t="s">
        <v>8638</v>
      </c>
      <c r="H4009" s="67">
        <v>50</v>
      </c>
      <c r="I4009" s="68">
        <v>1</v>
      </c>
      <c r="J4009" s="8">
        <f>H4009*I4009</f>
        <v>50</v>
      </c>
      <c r="K4009" s="46">
        <v>0.68</v>
      </c>
      <c r="L4009" s="46">
        <f>K4009*J4009</f>
        <v>34</v>
      </c>
      <c r="M4009" s="162" t="s">
        <v>2219</v>
      </c>
      <c r="N4009" s="39">
        <v>45863</v>
      </c>
      <c r="O4009" s="38">
        <v>7314</v>
      </c>
      <c r="P4009" s="46">
        <f>K4009*(VLOOKUP(B4009,$C$2:$F$6,3,FALSE))</f>
        <v>0.59840000000000004</v>
      </c>
      <c r="Q4009" s="482">
        <v>0.6</v>
      </c>
      <c r="R4009" s="704">
        <f>Q4009*J4009</f>
        <v>30</v>
      </c>
      <c r="S4009" s="489">
        <v>36.6</v>
      </c>
      <c r="T4009" s="113">
        <f>S4009*J4009</f>
        <v>1830</v>
      </c>
      <c r="U4009" s="1603"/>
      <c r="V4009" s="494">
        <v>120</v>
      </c>
      <c r="W4009" s="2041">
        <f t="shared" si="319"/>
        <v>0.55147058823529416</v>
      </c>
    </row>
    <row r="4010" spans="1:23" ht="15.95" customHeight="1">
      <c r="C4010" s="6" t="s">
        <v>8634</v>
      </c>
      <c r="D4010" s="15" t="s">
        <v>1666</v>
      </c>
      <c r="E4010" s="24"/>
      <c r="F4010" s="138"/>
      <c r="G4010" s="44" t="s">
        <v>1993</v>
      </c>
      <c r="H4010" s="8"/>
      <c r="I4010" s="68"/>
      <c r="J4010" s="45">
        <v>1</v>
      </c>
      <c r="K4010" s="46">
        <v>12</v>
      </c>
      <c r="L4010" s="46">
        <f>K4010*J4010</f>
        <v>12</v>
      </c>
      <c r="M4010" s="112"/>
      <c r="N4010" s="39">
        <v>45863</v>
      </c>
      <c r="O4010" s="38">
        <v>7314</v>
      </c>
      <c r="P4010" s="46" t="e">
        <f>K4010*(VLOOKUP(B4010,$C$2:$F$6,3,FALSE))</f>
        <v>#N/A</v>
      </c>
      <c r="Q4010" s="180">
        <v>12</v>
      </c>
      <c r="R4010" s="180">
        <v>12</v>
      </c>
      <c r="S4010" s="498">
        <v>1100</v>
      </c>
      <c r="T4010" s="498">
        <v>1100</v>
      </c>
      <c r="U4010" s="511"/>
      <c r="V4010" s="494">
        <v>120</v>
      </c>
      <c r="W4010" s="2041">
        <f t="shared" si="319"/>
        <v>0.2361111111111111</v>
      </c>
    </row>
    <row r="4011" spans="1:23" s="314" customFormat="1" ht="15.6" customHeight="1">
      <c r="B4011" s="313"/>
      <c r="C4011" s="302" t="s">
        <v>8634</v>
      </c>
      <c r="D4011" s="303" t="s">
        <v>1666</v>
      </c>
      <c r="E4011" s="304"/>
      <c r="F4011" s="305"/>
      <c r="G4011" s="305" t="s">
        <v>1227</v>
      </c>
      <c r="H4011" s="307" t="s">
        <v>1228</v>
      </c>
      <c r="I4011" s="308"/>
      <c r="J4011" s="306"/>
      <c r="K4011" s="315">
        <v>0</v>
      </c>
      <c r="L4011" s="310"/>
      <c r="M4011" s="310"/>
      <c r="N4011" s="310">
        <v>45863</v>
      </c>
      <c r="O4011" s="309">
        <v>7314</v>
      </c>
      <c r="P4011" s="302"/>
      <c r="Q4011" s="485">
        <v>0</v>
      </c>
      <c r="S4011" s="536">
        <v>0</v>
      </c>
      <c r="T4011" s="322">
        <v>0</v>
      </c>
      <c r="U4011" s="515"/>
      <c r="V4011" s="494">
        <v>120</v>
      </c>
      <c r="W4011" s="2041" t="e">
        <f t="shared" si="319"/>
        <v>#DIV/0!</v>
      </c>
    </row>
    <row r="4012" spans="1:23" ht="18" customHeight="1">
      <c r="C4012" s="6" t="s">
        <v>8643</v>
      </c>
      <c r="D4012" s="15" t="s">
        <v>8246</v>
      </c>
      <c r="E4012" s="20" t="s">
        <v>260</v>
      </c>
      <c r="F4012" s="44"/>
      <c r="G4012" s="44"/>
      <c r="H4012" s="151"/>
      <c r="I4012" s="151"/>
      <c r="J4012" s="151"/>
      <c r="K4012" s="34" t="s">
        <v>134</v>
      </c>
      <c r="L4012" s="39"/>
      <c r="M4012" s="39"/>
      <c r="N4012" s="39">
        <v>45904</v>
      </c>
      <c r="O4012" s="38" t="s">
        <v>8672</v>
      </c>
      <c r="P4012" s="6"/>
      <c r="Q4012" s="524"/>
      <c r="S4012" s="1995"/>
      <c r="T4012" s="113"/>
      <c r="U4012" s="501"/>
      <c r="V4012" s="494">
        <v>120</v>
      </c>
      <c r="W4012" s="2041" t="e">
        <f t="shared" si="319"/>
        <v>#VALUE!</v>
      </c>
    </row>
    <row r="4013" spans="1:23" ht="18" customHeight="1">
      <c r="B4013" s="28" t="s">
        <v>1856</v>
      </c>
      <c r="C4013" s="6" t="s">
        <v>8643</v>
      </c>
      <c r="D4013" s="15" t="s">
        <v>8246</v>
      </c>
      <c r="E4013" s="24">
        <v>4141</v>
      </c>
      <c r="F4013" s="44">
        <v>6</v>
      </c>
      <c r="G4013" s="24" t="s">
        <v>48</v>
      </c>
      <c r="H4013" s="67">
        <v>20</v>
      </c>
      <c r="I4013" s="68">
        <v>125</v>
      </c>
      <c r="J4013" s="67">
        <f>H4013*I4013</f>
        <v>2500</v>
      </c>
      <c r="K4013" s="46">
        <v>1.47</v>
      </c>
      <c r="L4013" s="46">
        <f>K4013*J4013</f>
        <v>3675</v>
      </c>
      <c r="M4013" s="162" t="s">
        <v>2219</v>
      </c>
      <c r="N4013" s="39">
        <v>45904</v>
      </c>
      <c r="O4013" s="38" t="s">
        <v>8672</v>
      </c>
      <c r="P4013" s="46">
        <f>K4013*(VLOOKUP(B4013,$C$2:$F$6,3,FALSE))</f>
        <v>1.2936000000000001</v>
      </c>
      <c r="Q4013" s="482">
        <v>1.29</v>
      </c>
      <c r="R4013" s="704">
        <f>Q4013*J4013</f>
        <v>3225</v>
      </c>
      <c r="S4013" s="489">
        <v>96</v>
      </c>
      <c r="T4013" s="113">
        <f>S4013*J4013</f>
        <v>240000</v>
      </c>
      <c r="U4013" s="699"/>
      <c r="V4013" s="494">
        <v>120</v>
      </c>
      <c r="W4013" s="2041">
        <f t="shared" si="319"/>
        <v>0.45578231292517007</v>
      </c>
    </row>
    <row r="4014" spans="1:23" ht="18" customHeight="1">
      <c r="B4014" s="12" t="s">
        <v>1862</v>
      </c>
      <c r="C4014" s="6" t="s">
        <v>8643</v>
      </c>
      <c r="D4014" s="15" t="s">
        <v>8246</v>
      </c>
      <c r="E4014" s="24"/>
      <c r="F4014" s="138"/>
      <c r="G4014" s="44" t="s">
        <v>1993</v>
      </c>
      <c r="H4014" s="8"/>
      <c r="I4014" s="41"/>
      <c r="J4014" s="45">
        <v>1</v>
      </c>
      <c r="K4014" s="46">
        <v>12</v>
      </c>
      <c r="L4014" s="46">
        <f>K4014*J4014</f>
        <v>12</v>
      </c>
      <c r="M4014" s="112"/>
      <c r="N4014" s="39">
        <v>45904</v>
      </c>
      <c r="O4014" s="38" t="s">
        <v>8672</v>
      </c>
      <c r="P4014" s="46">
        <f>K4014*(VLOOKUP(B4014,$C$2:$F$6,3,FALSE))</f>
        <v>12</v>
      </c>
      <c r="Q4014" s="483">
        <v>12</v>
      </c>
      <c r="R4014" s="704">
        <f>Q4014*J4014</f>
        <v>12</v>
      </c>
      <c r="S4014" s="1011">
        <v>1100</v>
      </c>
      <c r="T4014" s="2452">
        <f>S4014*J4014</f>
        <v>1100</v>
      </c>
      <c r="U4014" s="511"/>
      <c r="V4014" s="494">
        <v>120</v>
      </c>
      <c r="W4014" s="2041">
        <f t="shared" si="319"/>
        <v>0.2361111111111111</v>
      </c>
    </row>
    <row r="4015" spans="1:23" s="314" customFormat="1" ht="15">
      <c r="A4015" s="1"/>
      <c r="B4015" s="313"/>
      <c r="C4015" s="302" t="s">
        <v>8643</v>
      </c>
      <c r="D4015" s="303" t="s">
        <v>8246</v>
      </c>
      <c r="E4015" s="304"/>
      <c r="F4015" s="305"/>
      <c r="G4015" s="305" t="s">
        <v>1227</v>
      </c>
      <c r="H4015" s="307" t="s">
        <v>1228</v>
      </c>
      <c r="I4015" s="308"/>
      <c r="J4015" s="306"/>
      <c r="K4015" s="315">
        <v>0</v>
      </c>
      <c r="L4015" s="310"/>
      <c r="M4015" s="310"/>
      <c r="N4015" s="310">
        <v>45904</v>
      </c>
      <c r="O4015" s="309" t="s">
        <v>8713</v>
      </c>
      <c r="P4015" s="302"/>
      <c r="Q4015" s="485">
        <v>0</v>
      </c>
      <c r="S4015" s="536">
        <v>0</v>
      </c>
      <c r="T4015" s="322">
        <v>0</v>
      </c>
      <c r="U4015" s="515"/>
      <c r="V4015" s="494">
        <v>120</v>
      </c>
      <c r="W4015" s="2041" t="e">
        <f t="shared" si="319"/>
        <v>#DIV/0!</v>
      </c>
    </row>
    <row r="4016" spans="1:23" s="7" customFormat="1" ht="15" customHeight="1">
      <c r="A4016" s="1"/>
      <c r="B4016" s="12"/>
      <c r="C4016" s="6" t="s">
        <v>8644</v>
      </c>
      <c r="D4016" s="15" t="s">
        <v>6552</v>
      </c>
      <c r="E4016" s="20" t="s">
        <v>8300</v>
      </c>
      <c r="F4016" s="26"/>
      <c r="G4016" s="24"/>
      <c r="H4016" s="67"/>
      <c r="I4016" s="68"/>
      <c r="J4016" s="67"/>
      <c r="K4016" s="17" t="s">
        <v>10</v>
      </c>
      <c r="L4016" s="39"/>
      <c r="M4016" s="39"/>
      <c r="N4016" s="39">
        <v>45873</v>
      </c>
      <c r="O4016" s="38">
        <v>7351</v>
      </c>
      <c r="P4016" s="180" t="e">
        <f>K4016*(VLOOKUP(B4016,$C$2:$F$6,3,FALSE))</f>
        <v>#VALUE!</v>
      </c>
      <c r="Q4016" s="483"/>
      <c r="R4016" s="704"/>
      <c r="S4016" s="489"/>
      <c r="T4016" s="113">
        <f>S4016*J4016</f>
        <v>0</v>
      </c>
      <c r="U4016" s="517"/>
      <c r="V4016" s="494">
        <v>120</v>
      </c>
      <c r="W4016" s="2041" t="e">
        <f t="shared" ref="W4016:W4029" si="323">(((K4016*V4016)-S4016)/(K4016*V4016))</f>
        <v>#VALUE!</v>
      </c>
    </row>
    <row r="4017" spans="1:23" s="7" customFormat="1" ht="15.75" customHeight="1">
      <c r="A4017" s="1"/>
      <c r="B4017" s="12" t="s">
        <v>1856</v>
      </c>
      <c r="C4017" s="6" t="s">
        <v>8644</v>
      </c>
      <c r="D4017" s="15" t="s">
        <v>6552</v>
      </c>
      <c r="E4017" s="24" t="s">
        <v>8645</v>
      </c>
      <c r="F4017" s="26"/>
      <c r="G4017" s="24" t="s">
        <v>8653</v>
      </c>
      <c r="H4017" s="151"/>
      <c r="I4017" s="41"/>
      <c r="J4017" s="67">
        <v>50</v>
      </c>
      <c r="K4017" s="25">
        <v>2.41</v>
      </c>
      <c r="L4017" s="46">
        <f>K4017*J4017</f>
        <v>120.5</v>
      </c>
      <c r="M4017" s="162" t="s">
        <v>2219</v>
      </c>
      <c r="N4017" s="39">
        <v>45873</v>
      </c>
      <c r="O4017" s="38">
        <v>7351</v>
      </c>
      <c r="P4017" s="180">
        <f>K4017*(VLOOKUP(B4017,$C$2:$F$6,3,FALSE))</f>
        <v>2.1208</v>
      </c>
      <c r="Q4017" s="483">
        <v>2.12</v>
      </c>
      <c r="R4017" s="704">
        <f>Q4017*J4017</f>
        <v>106</v>
      </c>
      <c r="S4017" s="489">
        <v>173</v>
      </c>
      <c r="T4017" s="113">
        <f>S4017*J4017</f>
        <v>8650</v>
      </c>
      <c r="U4017" s="517"/>
      <c r="V4017" s="494">
        <v>120</v>
      </c>
      <c r="W4017" s="2041">
        <f t="shared" si="323"/>
        <v>0.40179806362378984</v>
      </c>
    </row>
    <row r="4018" spans="1:23" ht="18" customHeight="1">
      <c r="B4018" s="12" t="s">
        <v>1862</v>
      </c>
      <c r="C4018" s="6" t="s">
        <v>8644</v>
      </c>
      <c r="D4018" s="15" t="s">
        <v>6552</v>
      </c>
      <c r="E4018" s="24"/>
      <c r="F4018" s="138"/>
      <c r="G4018" s="44" t="s">
        <v>256</v>
      </c>
      <c r="H4018" s="8"/>
      <c r="I4018" s="41"/>
      <c r="J4018" s="45">
        <v>1</v>
      </c>
      <c r="K4018" s="46">
        <v>85</v>
      </c>
      <c r="L4018" s="46">
        <f>K4018*J4018</f>
        <v>85</v>
      </c>
      <c r="M4018" s="112"/>
      <c r="N4018" s="39">
        <v>45873</v>
      </c>
      <c r="O4018" s="38">
        <v>7351</v>
      </c>
      <c r="P4018" s="46">
        <f>K4018*(VLOOKUP(B4018,$C$2:$F$6,3,FALSE))</f>
        <v>85</v>
      </c>
      <c r="Q4018" s="483">
        <v>85</v>
      </c>
      <c r="R4018" s="704">
        <f>Q4018*J4018</f>
        <v>85</v>
      </c>
      <c r="S4018" s="489">
        <v>8000</v>
      </c>
      <c r="T4018" s="113">
        <f>S4018*J4018</f>
        <v>8000</v>
      </c>
      <c r="U4018" s="511"/>
      <c r="V4018" s="494">
        <v>120</v>
      </c>
      <c r="W4018" s="2041">
        <f t="shared" si="323"/>
        <v>0.21568627450980393</v>
      </c>
    </row>
    <row r="4019" spans="1:23" s="7" customFormat="1" ht="15.75" customHeight="1">
      <c r="A4019" s="1"/>
      <c r="B4019" s="12" t="s">
        <v>1856</v>
      </c>
      <c r="C4019" s="6" t="s">
        <v>8644</v>
      </c>
      <c r="D4019" s="15" t="s">
        <v>6552</v>
      </c>
      <c r="E4019" s="24" t="s">
        <v>8645</v>
      </c>
      <c r="F4019" s="26"/>
      <c r="G4019" s="24" t="s">
        <v>7696</v>
      </c>
      <c r="H4019" s="151"/>
      <c r="I4019" s="41"/>
      <c r="J4019" s="67">
        <v>100</v>
      </c>
      <c r="K4019" s="25">
        <v>2.41</v>
      </c>
      <c r="L4019" s="46">
        <f>K4019*J4019</f>
        <v>241</v>
      </c>
      <c r="M4019" s="162" t="s">
        <v>2219</v>
      </c>
      <c r="N4019" s="39">
        <v>45870</v>
      </c>
      <c r="O4019" s="38">
        <v>7339</v>
      </c>
      <c r="P4019" s="180">
        <f>K4019*(VLOOKUP(B4019,$C$2:$F$6,3,FALSE))</f>
        <v>2.1208</v>
      </c>
      <c r="Q4019" s="483">
        <v>2.12</v>
      </c>
      <c r="R4019" s="704">
        <f>Q4019*J4019</f>
        <v>212</v>
      </c>
      <c r="S4019" s="489">
        <v>173</v>
      </c>
      <c r="T4019" s="113">
        <f>S4019*J4019</f>
        <v>17300</v>
      </c>
      <c r="U4019" s="517"/>
      <c r="V4019" s="494">
        <v>120</v>
      </c>
      <c r="W4019" s="2041">
        <f t="shared" si="323"/>
        <v>0.40179806362378984</v>
      </c>
    </row>
    <row r="4020" spans="1:23" ht="18" customHeight="1">
      <c r="B4020" s="12" t="s">
        <v>1862</v>
      </c>
      <c r="C4020" s="6" t="s">
        <v>8644</v>
      </c>
      <c r="D4020" s="15" t="s">
        <v>6552</v>
      </c>
      <c r="E4020" s="24"/>
      <c r="F4020" s="138"/>
      <c r="G4020" s="44" t="s">
        <v>1993</v>
      </c>
      <c r="H4020" s="8"/>
      <c r="I4020" s="41"/>
      <c r="J4020" s="45">
        <v>1</v>
      </c>
      <c r="K4020" s="46">
        <v>12</v>
      </c>
      <c r="L4020" s="46">
        <f>K4020*J4020</f>
        <v>12</v>
      </c>
      <c r="M4020" s="112"/>
      <c r="N4020" s="39">
        <v>45870</v>
      </c>
      <c r="O4020" s="38">
        <v>7339</v>
      </c>
      <c r="P4020" s="46">
        <f>K4020*(VLOOKUP(B4020,$C$2:$F$6,3,FALSE))</f>
        <v>12</v>
      </c>
      <c r="Q4020" s="483">
        <v>12</v>
      </c>
      <c r="R4020" s="704">
        <f>Q4020*J4020</f>
        <v>12</v>
      </c>
      <c r="S4020" s="489">
        <v>0</v>
      </c>
      <c r="T4020" s="113">
        <f>S4020*J4020</f>
        <v>0</v>
      </c>
      <c r="U4020" s="511"/>
      <c r="V4020" s="494">
        <v>120</v>
      </c>
      <c r="W4020" s="2041">
        <f t="shared" si="323"/>
        <v>1</v>
      </c>
    </row>
    <row r="4021" spans="1:23" s="314" customFormat="1" ht="15">
      <c r="A4021" s="1"/>
      <c r="B4021" s="313"/>
      <c r="C4021" s="302" t="s">
        <v>8644</v>
      </c>
      <c r="D4021" s="303" t="s">
        <v>6552</v>
      </c>
      <c r="E4021" s="304"/>
      <c r="F4021" s="305"/>
      <c r="G4021" s="305" t="s">
        <v>1227</v>
      </c>
      <c r="H4021" s="307" t="s">
        <v>1228</v>
      </c>
      <c r="I4021" s="308"/>
      <c r="J4021" s="306"/>
      <c r="K4021" s="315">
        <v>0</v>
      </c>
      <c r="L4021" s="310"/>
      <c r="M4021" s="310"/>
      <c r="N4021" s="310">
        <v>45870</v>
      </c>
      <c r="O4021" s="309">
        <v>7339</v>
      </c>
      <c r="P4021" s="302"/>
      <c r="Q4021" s="485">
        <v>0</v>
      </c>
      <c r="S4021" s="536">
        <v>0</v>
      </c>
      <c r="T4021" s="322">
        <v>0</v>
      </c>
      <c r="U4021" s="515"/>
      <c r="V4021" s="494">
        <v>120</v>
      </c>
      <c r="W4021" s="2041" t="e">
        <f t="shared" si="323"/>
        <v>#DIV/0!</v>
      </c>
    </row>
    <row r="4022" spans="1:23" s="7" customFormat="1" ht="15" customHeight="1">
      <c r="A4022" s="1"/>
      <c r="B4022" s="12"/>
      <c r="C4022" s="6" t="s">
        <v>8669</v>
      </c>
      <c r="D4022" s="15" t="s">
        <v>5251</v>
      </c>
      <c r="E4022" s="20" t="s">
        <v>8252</v>
      </c>
      <c r="F4022" s="26"/>
      <c r="G4022" s="24"/>
      <c r="H4022" s="67"/>
      <c r="I4022" s="68"/>
      <c r="J4022" s="67"/>
      <c r="K4022" s="17" t="s">
        <v>10</v>
      </c>
      <c r="L4022" s="39"/>
      <c r="M4022" s="39"/>
      <c r="N4022" s="39">
        <v>45873</v>
      </c>
      <c r="O4022" s="38">
        <v>7342</v>
      </c>
      <c r="P4022" s="180" t="e">
        <f>K4022*(VLOOKUP(B4022,$C$2:$F$6,3,FALSE))</f>
        <v>#VALUE!</v>
      </c>
      <c r="Q4022" s="483"/>
      <c r="R4022" s="704"/>
      <c r="S4022" s="2533"/>
      <c r="T4022" s="113">
        <f>S4022*J4022</f>
        <v>0</v>
      </c>
      <c r="U4022" s="517"/>
      <c r="V4022" s="494">
        <v>120</v>
      </c>
      <c r="W4022" s="2041" t="e">
        <f t="shared" si="323"/>
        <v>#VALUE!</v>
      </c>
    </row>
    <row r="4023" spans="1:23" s="7" customFormat="1" ht="15.75" customHeight="1">
      <c r="A4023" s="1"/>
      <c r="B4023" s="12" t="s">
        <v>1856</v>
      </c>
      <c r="C4023" s="6" t="s">
        <v>8669</v>
      </c>
      <c r="D4023" s="15" t="s">
        <v>5251</v>
      </c>
      <c r="E4023" s="24" t="s">
        <v>8663</v>
      </c>
      <c r="F4023" s="26"/>
      <c r="G4023" s="24" t="s">
        <v>7694</v>
      </c>
      <c r="H4023" s="151"/>
      <c r="I4023" s="41"/>
      <c r="J4023" s="67">
        <v>10</v>
      </c>
      <c r="K4023" s="25">
        <v>3.06</v>
      </c>
      <c r="L4023" s="46">
        <f>K4023*J4023</f>
        <v>30.6</v>
      </c>
      <c r="M4023" s="162" t="s">
        <v>2219</v>
      </c>
      <c r="N4023" s="39">
        <v>45873</v>
      </c>
      <c r="O4023" s="38">
        <v>7342</v>
      </c>
      <c r="P4023" s="180">
        <f>K4023*(VLOOKUP(B4023,$C$2:$F$6,3,FALSE))</f>
        <v>2.6928000000000001</v>
      </c>
      <c r="Q4023" s="483">
        <v>2.69</v>
      </c>
      <c r="R4023" s="704">
        <f>Q4023*J4023</f>
        <v>26.9</v>
      </c>
      <c r="S4023" s="489">
        <v>196</v>
      </c>
      <c r="T4023" s="113">
        <f>S4023*J4023</f>
        <v>1960</v>
      </c>
      <c r="U4023" s="517"/>
      <c r="V4023" s="494">
        <v>120</v>
      </c>
      <c r="W4023" s="2041">
        <f t="shared" si="323"/>
        <v>0.4662309368191721</v>
      </c>
    </row>
    <row r="4024" spans="1:23" ht="18" customHeight="1">
      <c r="B4024" s="12" t="s">
        <v>1862</v>
      </c>
      <c r="C4024" s="6" t="s">
        <v>8669</v>
      </c>
      <c r="D4024" s="15" t="s">
        <v>5251</v>
      </c>
      <c r="E4024" s="24"/>
      <c r="F4024" s="138"/>
      <c r="G4024" s="44" t="s">
        <v>1993</v>
      </c>
      <c r="H4024" s="8"/>
      <c r="I4024" s="41"/>
      <c r="J4024" s="45">
        <v>1</v>
      </c>
      <c r="K4024" s="46">
        <v>12</v>
      </c>
      <c r="L4024" s="46">
        <f>K4024*J4024</f>
        <v>12</v>
      </c>
      <c r="M4024" s="112"/>
      <c r="N4024" s="39">
        <v>45873</v>
      </c>
      <c r="O4024" s="38">
        <v>7342</v>
      </c>
      <c r="P4024" s="46">
        <f>K4024*(VLOOKUP(B4024,$C$2:$F$6,3,FALSE))</f>
        <v>12</v>
      </c>
      <c r="Q4024" s="483">
        <v>12</v>
      </c>
      <c r="R4024" s="704">
        <f>Q4024*J4024</f>
        <v>12</v>
      </c>
      <c r="S4024" s="489">
        <v>900</v>
      </c>
      <c r="T4024" s="113">
        <f>S4024*J4024</f>
        <v>900</v>
      </c>
      <c r="U4024" s="511"/>
      <c r="V4024" s="494">
        <v>120</v>
      </c>
      <c r="W4024" s="2041">
        <f t="shared" si="323"/>
        <v>0.375</v>
      </c>
    </row>
    <row r="4025" spans="1:23" s="314" customFormat="1" ht="15">
      <c r="A4025" s="1"/>
      <c r="B4025" s="313"/>
      <c r="C4025" s="302" t="s">
        <v>8668</v>
      </c>
      <c r="D4025" s="303" t="s">
        <v>5251</v>
      </c>
      <c r="E4025" s="304"/>
      <c r="F4025" s="305"/>
      <c r="G4025" s="305" t="s">
        <v>1227</v>
      </c>
      <c r="H4025" s="307" t="s">
        <v>1228</v>
      </c>
      <c r="I4025" s="308"/>
      <c r="J4025" s="306"/>
      <c r="K4025" s="315">
        <v>0</v>
      </c>
      <c r="L4025" s="310"/>
      <c r="M4025" s="310"/>
      <c r="N4025" s="310">
        <v>45873</v>
      </c>
      <c r="O4025" s="309">
        <v>7342</v>
      </c>
      <c r="P4025" s="302"/>
      <c r="Q4025" s="485">
        <v>0</v>
      </c>
      <c r="S4025" s="536">
        <v>0</v>
      </c>
      <c r="T4025" s="322">
        <v>0</v>
      </c>
      <c r="U4025" s="515"/>
      <c r="V4025" s="494">
        <v>120</v>
      </c>
      <c r="W4025" s="2041" t="e">
        <f t="shared" si="323"/>
        <v>#DIV/0!</v>
      </c>
    </row>
    <row r="4026" spans="1:23" s="7" customFormat="1" ht="15" customHeight="1">
      <c r="A4026" s="1"/>
      <c r="B4026" s="12"/>
      <c r="C4026" s="6" t="s">
        <v>8665</v>
      </c>
      <c r="D4026" s="15" t="s">
        <v>6552</v>
      </c>
      <c r="E4026" s="20" t="s">
        <v>8664</v>
      </c>
      <c r="F4026" s="26"/>
      <c r="G4026" s="24"/>
      <c r="H4026" s="67"/>
      <c r="I4026" s="68"/>
      <c r="J4026" s="67"/>
      <c r="K4026" s="17" t="s">
        <v>10</v>
      </c>
      <c r="L4026" s="39"/>
      <c r="M4026" s="39"/>
      <c r="N4026" s="39">
        <v>45873</v>
      </c>
      <c r="O4026" s="38">
        <v>7341</v>
      </c>
      <c r="P4026" s="180" t="e">
        <f>K4026*(VLOOKUP(B4026,$C$2:$F$6,3,FALSE))</f>
        <v>#VALUE!</v>
      </c>
      <c r="Q4026" s="483"/>
      <c r="R4026" s="704"/>
      <c r="S4026" s="489"/>
      <c r="T4026" s="113">
        <f>S4026*J4026</f>
        <v>0</v>
      </c>
      <c r="U4026" s="517"/>
      <c r="V4026" s="494">
        <v>120</v>
      </c>
      <c r="W4026" s="2041" t="e">
        <f t="shared" si="323"/>
        <v>#VALUE!</v>
      </c>
    </row>
    <row r="4027" spans="1:23" s="7" customFormat="1" ht="15.75" customHeight="1">
      <c r="A4027" s="1"/>
      <c r="B4027" s="12" t="s">
        <v>1856</v>
      </c>
      <c r="C4027" s="6" t="s">
        <v>8665</v>
      </c>
      <c r="D4027" s="15" t="s">
        <v>6552</v>
      </c>
      <c r="E4027" s="24" t="s">
        <v>8631</v>
      </c>
      <c r="F4027" s="26"/>
      <c r="G4027" s="24" t="s">
        <v>7694</v>
      </c>
      <c r="H4027" s="151"/>
      <c r="I4027" s="41"/>
      <c r="J4027" s="67">
        <v>10</v>
      </c>
      <c r="K4027" s="25">
        <v>1.64</v>
      </c>
      <c r="L4027" s="46">
        <f>K4027*J4027</f>
        <v>16.399999999999999</v>
      </c>
      <c r="M4027" s="162" t="s">
        <v>2219</v>
      </c>
      <c r="N4027" s="39">
        <v>45873</v>
      </c>
      <c r="O4027" s="38">
        <v>7341</v>
      </c>
      <c r="P4027" s="180">
        <f>K4027*(VLOOKUP(B4027,$C$2:$F$6,3,FALSE))</f>
        <v>1.4431999999999998</v>
      </c>
      <c r="Q4027" s="483">
        <v>1.44</v>
      </c>
      <c r="R4027" s="704">
        <f>Q4027*J4027</f>
        <v>14.399999999999999</v>
      </c>
      <c r="S4027" s="489">
        <v>118</v>
      </c>
      <c r="T4027" s="113">
        <f>S4027*J4027</f>
        <v>1180</v>
      </c>
      <c r="U4027" s="517"/>
      <c r="V4027" s="494">
        <v>120</v>
      </c>
      <c r="W4027" s="2041">
        <f t="shared" si="323"/>
        <v>0.40040650406504058</v>
      </c>
    </row>
    <row r="4028" spans="1:23" ht="18" customHeight="1">
      <c r="B4028" s="12" t="s">
        <v>1862</v>
      </c>
      <c r="C4028" s="6" t="s">
        <v>8665</v>
      </c>
      <c r="D4028" s="15" t="s">
        <v>6552</v>
      </c>
      <c r="E4028" s="24"/>
      <c r="F4028" s="138"/>
      <c r="G4028" s="44" t="s">
        <v>1993</v>
      </c>
      <c r="H4028" s="8"/>
      <c r="I4028" s="41"/>
      <c r="J4028" s="45">
        <v>1</v>
      </c>
      <c r="K4028" s="46">
        <v>12</v>
      </c>
      <c r="L4028" s="46">
        <f>K4028*J4028</f>
        <v>12</v>
      </c>
      <c r="M4028" s="112"/>
      <c r="N4028" s="39">
        <v>45873</v>
      </c>
      <c r="O4028" s="38">
        <v>7341</v>
      </c>
      <c r="P4028" s="46">
        <f>K4028*(VLOOKUP(B4028,$C$2:$F$6,3,FALSE))</f>
        <v>12</v>
      </c>
      <c r="Q4028" s="483">
        <v>12</v>
      </c>
      <c r="R4028" s="704">
        <f>Q4028*J4028</f>
        <v>12</v>
      </c>
      <c r="S4028" s="489">
        <v>0</v>
      </c>
      <c r="T4028" s="113">
        <f>S4028*J4028</f>
        <v>0</v>
      </c>
      <c r="U4028" s="511"/>
      <c r="V4028" s="494">
        <v>120</v>
      </c>
      <c r="W4028" s="2041">
        <f t="shared" si="323"/>
        <v>1</v>
      </c>
    </row>
    <row r="4029" spans="1:23" s="314" customFormat="1" ht="15">
      <c r="A4029" s="1"/>
      <c r="B4029" s="313"/>
      <c r="C4029" s="302" t="s">
        <v>8665</v>
      </c>
      <c r="D4029" s="303" t="s">
        <v>6552</v>
      </c>
      <c r="E4029" s="304"/>
      <c r="F4029" s="305"/>
      <c r="G4029" s="305" t="s">
        <v>1227</v>
      </c>
      <c r="H4029" s="307" t="s">
        <v>1228</v>
      </c>
      <c r="I4029" s="308"/>
      <c r="J4029" s="306"/>
      <c r="K4029" s="315">
        <v>0</v>
      </c>
      <c r="L4029" s="310"/>
      <c r="M4029" s="310"/>
      <c r="N4029" s="310">
        <v>45873</v>
      </c>
      <c r="O4029" s="309">
        <v>7341</v>
      </c>
      <c r="P4029" s="302"/>
      <c r="Q4029" s="485">
        <v>0</v>
      </c>
      <c r="S4029" s="536">
        <v>0</v>
      </c>
      <c r="T4029" s="322">
        <v>0</v>
      </c>
      <c r="U4029" s="515"/>
      <c r="V4029" s="494">
        <v>120</v>
      </c>
      <c r="W4029" s="2041" t="e">
        <f t="shared" si="323"/>
        <v>#DIV/0!</v>
      </c>
    </row>
    <row r="4030" spans="1:23" s="7" customFormat="1" ht="18" customHeight="1">
      <c r="B4030" s="12"/>
      <c r="C4030" s="6" t="s">
        <v>8670</v>
      </c>
      <c r="D4030" s="15" t="s">
        <v>3120</v>
      </c>
      <c r="E4030" s="7" t="s">
        <v>8666</v>
      </c>
      <c r="F4030" s="700"/>
      <c r="G4030" s="640"/>
      <c r="H4030" s="641"/>
      <c r="I4030" s="701"/>
      <c r="J4030" s="702"/>
      <c r="K4030" s="153" t="s">
        <v>10</v>
      </c>
      <c r="L4030" s="219"/>
      <c r="M4030" s="11"/>
      <c r="N4030" s="39">
        <v>45874</v>
      </c>
      <c r="O4030" s="2333" t="s">
        <v>8667</v>
      </c>
      <c r="P4030" s="6"/>
      <c r="Q4030" s="703"/>
      <c r="S4030" s="2544" t="s">
        <v>8671</v>
      </c>
      <c r="U4030" s="46"/>
      <c r="V4030" s="494">
        <v>120</v>
      </c>
    </row>
    <row r="4031" spans="1:23" ht="18" customHeight="1">
      <c r="B4031" s="28" t="s">
        <v>1856</v>
      </c>
      <c r="C4031" s="6" t="s">
        <v>8670</v>
      </c>
      <c r="D4031" s="15" t="s">
        <v>3120</v>
      </c>
      <c r="E4031" s="56" t="s">
        <v>18</v>
      </c>
      <c r="F4031" s="44">
        <v>30</v>
      </c>
      <c r="G4031" s="24" t="s">
        <v>2727</v>
      </c>
      <c r="H4031" s="151">
        <v>30</v>
      </c>
      <c r="I4031" s="152">
        <v>1</v>
      </c>
      <c r="J4031" s="67">
        <v>5</v>
      </c>
      <c r="K4031" s="46">
        <v>6.39</v>
      </c>
      <c r="L4031" s="46">
        <f>K4031*J4031</f>
        <v>31.95</v>
      </c>
      <c r="M4031" s="162" t="s">
        <v>2219</v>
      </c>
      <c r="N4031" s="39">
        <v>45874</v>
      </c>
      <c r="O4031" s="1208" t="s">
        <v>8667</v>
      </c>
      <c r="P4031" s="46">
        <f>K4031*(VLOOKUP(B4031,$C$2:$F$6,3,FALSE))</f>
        <v>5.6231999999999998</v>
      </c>
      <c r="Q4031" s="482">
        <v>5.62</v>
      </c>
      <c r="R4031" s="704">
        <f>Q4031*J4031</f>
        <v>28.1</v>
      </c>
      <c r="S4031" s="489">
        <f>230*2</f>
        <v>460</v>
      </c>
      <c r="T4031" s="113">
        <f>S4031*J4031</f>
        <v>2300</v>
      </c>
      <c r="U4031" s="507"/>
      <c r="V4031" s="494">
        <v>120</v>
      </c>
      <c r="W4031" s="2041">
        <f t="shared" ref="W4031:W4062" si="324">(((K4031*V4031)-S4031)/(K4031*V4031))</f>
        <v>0.40010432968179444</v>
      </c>
    </row>
    <row r="4032" spans="1:23" ht="18" customHeight="1">
      <c r="B4032" s="28" t="s">
        <v>1856</v>
      </c>
      <c r="C4032" s="6" t="s">
        <v>8670</v>
      </c>
      <c r="D4032" s="15" t="s">
        <v>3120</v>
      </c>
      <c r="E4032" s="56" t="s">
        <v>18</v>
      </c>
      <c r="F4032" s="44">
        <v>30</v>
      </c>
      <c r="G4032" s="24" t="s">
        <v>7582</v>
      </c>
      <c r="H4032" s="151">
        <v>30</v>
      </c>
      <c r="I4032" s="152">
        <v>1</v>
      </c>
      <c r="J4032" s="67">
        <v>5</v>
      </c>
      <c r="K4032" s="46">
        <v>6.39</v>
      </c>
      <c r="L4032" s="46">
        <f>K4032*J4032</f>
        <v>31.95</v>
      </c>
      <c r="M4032" s="162" t="s">
        <v>2219</v>
      </c>
      <c r="N4032" s="39">
        <v>45874</v>
      </c>
      <c r="O4032" s="1208" t="s">
        <v>8667</v>
      </c>
      <c r="P4032" s="46">
        <f>K4032*(VLOOKUP(B4032,$C$2:$F$6,3,FALSE))</f>
        <v>5.6231999999999998</v>
      </c>
      <c r="Q4032" s="482">
        <v>5.62</v>
      </c>
      <c r="R4032" s="704">
        <f>Q4032*J4032</f>
        <v>28.1</v>
      </c>
      <c r="S4032" s="489">
        <f>230*2</f>
        <v>460</v>
      </c>
      <c r="T4032" s="113">
        <f>S4032*J4032</f>
        <v>2300</v>
      </c>
      <c r="U4032" s="507"/>
      <c r="V4032" s="494">
        <v>120</v>
      </c>
      <c r="W4032" s="2041">
        <f t="shared" si="324"/>
        <v>0.40010432968179444</v>
      </c>
    </row>
    <row r="4033" spans="1:23" ht="15.95" customHeight="1">
      <c r="C4033" s="6" t="s">
        <v>8670</v>
      </c>
      <c r="D4033" s="15" t="s">
        <v>3120</v>
      </c>
      <c r="E4033" s="24"/>
      <c r="F4033" s="138"/>
      <c r="G4033" s="44" t="s">
        <v>1993</v>
      </c>
      <c r="H4033" s="8"/>
      <c r="I4033" s="41"/>
      <c r="J4033" s="45">
        <v>1</v>
      </c>
      <c r="K4033" s="46">
        <v>12</v>
      </c>
      <c r="L4033" s="46">
        <f>K4033*J4033</f>
        <v>12</v>
      </c>
      <c r="M4033" s="112"/>
      <c r="N4033" s="39">
        <v>45874</v>
      </c>
      <c r="O4033" s="1208" t="s">
        <v>8667</v>
      </c>
      <c r="P4033" s="46" t="e">
        <f>K4033*(VLOOKUP(B4033,$C$2:$F$6,3,FALSE))</f>
        <v>#N/A</v>
      </c>
      <c r="Q4033" s="483">
        <v>12</v>
      </c>
      <c r="R4033" s="704">
        <f>Q4033*J4033</f>
        <v>12</v>
      </c>
      <c r="S4033" s="489">
        <v>1000</v>
      </c>
      <c r="T4033" s="113">
        <f>S4033*J4033</f>
        <v>1000</v>
      </c>
      <c r="U4033" s="511"/>
      <c r="V4033" s="494">
        <v>120</v>
      </c>
      <c r="W4033" s="2041">
        <f t="shared" si="324"/>
        <v>0.30555555555555558</v>
      </c>
    </row>
    <row r="4034" spans="1:23" s="314" customFormat="1" ht="15">
      <c r="B4034" s="313"/>
      <c r="C4034" s="302" t="s">
        <v>8670</v>
      </c>
      <c r="D4034" s="303" t="s">
        <v>3120</v>
      </c>
      <c r="E4034" s="371"/>
      <c r="F4034" s="305"/>
      <c r="G4034" s="305" t="s">
        <v>1227</v>
      </c>
      <c r="H4034" s="307" t="s">
        <v>1228</v>
      </c>
      <c r="I4034" s="308"/>
      <c r="J4034" s="306"/>
      <c r="K4034" s="315">
        <v>0</v>
      </c>
      <c r="L4034" s="310"/>
      <c r="M4034" s="310"/>
      <c r="N4034" s="310">
        <v>45874</v>
      </c>
      <c r="O4034" s="2543" t="s">
        <v>8667</v>
      </c>
      <c r="P4034" s="302"/>
      <c r="Q4034" s="485">
        <v>0</v>
      </c>
      <c r="R4034" s="704">
        <v>0</v>
      </c>
      <c r="S4034" s="536">
        <v>0</v>
      </c>
      <c r="T4034" s="322">
        <v>0</v>
      </c>
      <c r="U4034" s="515"/>
      <c r="V4034" s="494">
        <v>120</v>
      </c>
      <c r="W4034" s="2041" t="e">
        <f t="shared" si="324"/>
        <v>#DIV/0!</v>
      </c>
    </row>
    <row r="4035" spans="1:23" s="7" customFormat="1" ht="15" customHeight="1">
      <c r="A4035" s="1"/>
      <c r="B4035" s="12"/>
      <c r="C4035" s="6" t="s">
        <v>8676</v>
      </c>
      <c r="D4035" s="15" t="s">
        <v>8674</v>
      </c>
      <c r="E4035" s="20" t="s">
        <v>8109</v>
      </c>
      <c r="F4035" s="26"/>
      <c r="G4035" s="24"/>
      <c r="H4035" s="67"/>
      <c r="I4035" s="68"/>
      <c r="J4035" s="67"/>
      <c r="K4035" s="17" t="s">
        <v>10</v>
      </c>
      <c r="L4035" s="39"/>
      <c r="M4035" s="39"/>
      <c r="N4035" s="39">
        <v>45926</v>
      </c>
      <c r="O4035" s="38">
        <v>7377</v>
      </c>
      <c r="P4035" s="180" t="e">
        <f>K4035*(VLOOKUP(B4035,$C$2:$F$6,3,FALSE))</f>
        <v>#VALUE!</v>
      </c>
      <c r="Q4035" s="483"/>
      <c r="R4035" s="704"/>
      <c r="S4035" s="2546" t="s">
        <v>8675</v>
      </c>
      <c r="T4035" s="113" t="e">
        <f>S4035*J4035</f>
        <v>#VALUE!</v>
      </c>
      <c r="U4035" s="517"/>
      <c r="V4035" s="494">
        <v>120</v>
      </c>
      <c r="W4035" s="2393" t="e">
        <f t="shared" si="324"/>
        <v>#VALUE!</v>
      </c>
    </row>
    <row r="4036" spans="1:23" s="7" customFormat="1" ht="15.75" customHeight="1">
      <c r="A4036" s="1"/>
      <c r="B4036" s="12" t="s">
        <v>1856</v>
      </c>
      <c r="C4036" s="6" t="s">
        <v>8676</v>
      </c>
      <c r="D4036" s="15" t="s">
        <v>8674</v>
      </c>
      <c r="E4036" s="24" t="s">
        <v>8186</v>
      </c>
      <c r="F4036" s="26"/>
      <c r="G4036" s="24" t="s">
        <v>8345</v>
      </c>
      <c r="H4036" s="151"/>
      <c r="I4036" s="41"/>
      <c r="J4036" s="67">
        <v>780</v>
      </c>
      <c r="K4036" s="25">
        <v>2.71</v>
      </c>
      <c r="L4036" s="46">
        <f>K4036*J4036</f>
        <v>2113.8000000000002</v>
      </c>
      <c r="M4036" s="162" t="s">
        <v>2219</v>
      </c>
      <c r="N4036" s="39">
        <v>45926</v>
      </c>
      <c r="O4036" s="38">
        <v>7377</v>
      </c>
      <c r="P4036" s="180">
        <f>K4036*(VLOOKUP(B4036,$C$2:$F$6,3,FALSE))</f>
        <v>2.3847999999999998</v>
      </c>
      <c r="Q4036" s="483">
        <v>2.38</v>
      </c>
      <c r="R4036" s="704">
        <f>Q4036*J4036</f>
        <v>1856.3999999999999</v>
      </c>
      <c r="S4036" s="532">
        <f>125+80</f>
        <v>205</v>
      </c>
      <c r="T4036" s="113">
        <f>S4036*J4036</f>
        <v>159900</v>
      </c>
      <c r="U4036" s="517"/>
      <c r="V4036" s="494">
        <v>120</v>
      </c>
      <c r="W4036" s="2393">
        <f t="shared" si="324"/>
        <v>0.36961869618696186</v>
      </c>
    </row>
    <row r="4037" spans="1:23" ht="15.95" customHeight="1">
      <c r="C4037" s="6" t="s">
        <v>8676</v>
      </c>
      <c r="D4037" s="15" t="s">
        <v>8674</v>
      </c>
      <c r="E4037" s="24"/>
      <c r="F4037" s="138"/>
      <c r="G4037" s="44" t="s">
        <v>8259</v>
      </c>
      <c r="H4037" s="8"/>
      <c r="I4037" s="41"/>
      <c r="J4037" s="45">
        <v>1</v>
      </c>
      <c r="K4037" s="46">
        <v>25</v>
      </c>
      <c r="L4037" s="46">
        <f>K4037*J4037</f>
        <v>25</v>
      </c>
      <c r="M4037" s="112"/>
      <c r="N4037" s="39">
        <v>45926</v>
      </c>
      <c r="O4037" s="38">
        <v>7377</v>
      </c>
      <c r="P4037" s="46" t="e">
        <f>K4037*(VLOOKUP(B4037,$C$2:$F$6,3,FALSE))</f>
        <v>#N/A</v>
      </c>
      <c r="Q4037" s="180">
        <v>0</v>
      </c>
      <c r="R4037" s="180">
        <v>0</v>
      </c>
      <c r="S4037" s="498">
        <v>0</v>
      </c>
      <c r="T4037" s="568">
        <f>S4037*J4037</f>
        <v>0</v>
      </c>
      <c r="U4037" s="511"/>
      <c r="V4037" s="494">
        <v>120</v>
      </c>
      <c r="W4037" s="2041">
        <f t="shared" si="324"/>
        <v>1</v>
      </c>
    </row>
    <row r="4038" spans="1:23" s="7" customFormat="1" ht="15.75" customHeight="1">
      <c r="A4038" s="1"/>
      <c r="B4038" s="12" t="s">
        <v>1856</v>
      </c>
      <c r="C4038" s="6" t="s">
        <v>8676</v>
      </c>
      <c r="D4038" s="15" t="s">
        <v>8674</v>
      </c>
      <c r="E4038" s="24" t="s">
        <v>8186</v>
      </c>
      <c r="F4038" s="26"/>
      <c r="G4038" s="24" t="s">
        <v>8345</v>
      </c>
      <c r="H4038" s="151"/>
      <c r="I4038" s="41"/>
      <c r="J4038" s="67">
        <v>1</v>
      </c>
      <c r="K4038" s="25">
        <v>2.71</v>
      </c>
      <c r="L4038" s="46">
        <v>0</v>
      </c>
      <c r="M4038" s="162" t="s">
        <v>2219</v>
      </c>
      <c r="N4038" s="417" t="s">
        <v>8677</v>
      </c>
      <c r="O4038" s="38" t="s">
        <v>8794</v>
      </c>
      <c r="P4038" s="180">
        <f>K4038*(VLOOKUP(B4038,$C$2:$F$6,3,FALSE))</f>
        <v>2.3847999999999998</v>
      </c>
      <c r="Q4038" s="483">
        <v>0</v>
      </c>
      <c r="R4038" s="704">
        <f>Q4038*J4038</f>
        <v>0</v>
      </c>
      <c r="S4038" s="532">
        <f>125+80</f>
        <v>205</v>
      </c>
      <c r="T4038" s="113">
        <f>S4038*J4038</f>
        <v>205</v>
      </c>
      <c r="U4038" s="517"/>
      <c r="V4038" s="494">
        <v>120</v>
      </c>
      <c r="W4038" s="2393">
        <f t="shared" si="324"/>
        <v>0.36961869618696186</v>
      </c>
    </row>
    <row r="4039" spans="1:23" s="314" customFormat="1" ht="15">
      <c r="B4039" s="313"/>
      <c r="C4039" s="302" t="s">
        <v>8676</v>
      </c>
      <c r="D4039" s="303" t="s">
        <v>8674</v>
      </c>
      <c r="E4039" s="371"/>
      <c r="F4039" s="305"/>
      <c r="G4039" s="305" t="s">
        <v>1227</v>
      </c>
      <c r="H4039" s="307" t="s">
        <v>1228</v>
      </c>
      <c r="I4039" s="308"/>
      <c r="J4039" s="306"/>
      <c r="K4039" s="315">
        <v>0</v>
      </c>
      <c r="L4039" s="310"/>
      <c r="M4039" s="310"/>
      <c r="N4039" s="310">
        <v>45926</v>
      </c>
      <c r="O4039" s="309">
        <v>7377</v>
      </c>
      <c r="P4039" s="302"/>
      <c r="Q4039" s="485">
        <v>0</v>
      </c>
      <c r="R4039" s="704">
        <v>0</v>
      </c>
      <c r="S4039" s="536">
        <v>0</v>
      </c>
      <c r="T4039" s="322">
        <v>0</v>
      </c>
      <c r="U4039" s="515"/>
      <c r="V4039" s="494">
        <v>120</v>
      </c>
      <c r="W4039" s="2041" t="e">
        <f t="shared" si="324"/>
        <v>#DIV/0!</v>
      </c>
    </row>
    <row r="4040" spans="1:23" s="7" customFormat="1" ht="15" customHeight="1">
      <c r="A4040" s="1"/>
      <c r="B4040" s="12"/>
      <c r="C4040" s="6" t="s">
        <v>8693</v>
      </c>
      <c r="D4040" s="15" t="s">
        <v>8694</v>
      </c>
      <c r="E4040" s="2451" t="s">
        <v>8252</v>
      </c>
      <c r="F4040" s="26"/>
      <c r="G4040" s="24"/>
      <c r="H4040" s="67"/>
      <c r="I4040" s="68"/>
      <c r="J4040" s="67"/>
      <c r="K4040" s="17" t="s">
        <v>10</v>
      </c>
      <c r="L4040" s="39"/>
      <c r="M4040" s="39"/>
      <c r="N4040" s="39">
        <v>45890</v>
      </c>
      <c r="O4040" s="38">
        <v>7388</v>
      </c>
      <c r="P4040" s="180" t="e">
        <f>K4040*(VLOOKUP(B4040,$C$2:$F$6,3,FALSE))</f>
        <v>#VALUE!</v>
      </c>
      <c r="Q4040" s="483"/>
      <c r="R4040" s="704"/>
      <c r="S4040" s="489"/>
      <c r="T4040" s="113">
        <f>S4040*J4040</f>
        <v>0</v>
      </c>
      <c r="U4040" s="517"/>
      <c r="V4040" s="494">
        <v>120</v>
      </c>
      <c r="W4040" s="2041" t="e">
        <f t="shared" si="324"/>
        <v>#VALUE!</v>
      </c>
    </row>
    <row r="4041" spans="1:23" s="7" customFormat="1" ht="15.75" customHeight="1">
      <c r="A4041" s="1"/>
      <c r="B4041" s="12" t="s">
        <v>1856</v>
      </c>
      <c r="C4041" s="6" t="s">
        <v>8693</v>
      </c>
      <c r="D4041" s="15" t="s">
        <v>8694</v>
      </c>
      <c r="E4041" s="1012" t="s">
        <v>8648</v>
      </c>
      <c r="F4041" s="26"/>
      <c r="G4041" s="24" t="s">
        <v>7694</v>
      </c>
      <c r="H4041" s="151"/>
      <c r="I4041" s="41"/>
      <c r="J4041" s="67">
        <v>12</v>
      </c>
      <c r="K4041" s="25">
        <v>2.5499999999999998</v>
      </c>
      <c r="L4041" s="46">
        <f>K4041*J4041</f>
        <v>30.599999999999998</v>
      </c>
      <c r="M4041" s="162" t="s">
        <v>2219</v>
      </c>
      <c r="N4041" s="2453">
        <v>45890</v>
      </c>
      <c r="O4041" s="38">
        <v>7388</v>
      </c>
      <c r="P4041" s="180">
        <f>K4041*(VLOOKUP(B4041,$C$2:$F$6,3,FALSE))</f>
        <v>2.2439999999999998</v>
      </c>
      <c r="Q4041" s="483">
        <v>2.2400000000000002</v>
      </c>
      <c r="R4041" s="704">
        <f>Q4041*J4041</f>
        <v>26.880000000000003</v>
      </c>
      <c r="S4041" s="489">
        <v>183</v>
      </c>
      <c r="T4041" s="113">
        <f>S4041*J4041</f>
        <v>2196</v>
      </c>
      <c r="U4041" s="517"/>
      <c r="V4041" s="494">
        <v>120</v>
      </c>
      <c r="W4041" s="2041">
        <f t="shared" si="324"/>
        <v>0.40196078431372551</v>
      </c>
    </row>
    <row r="4042" spans="1:23" s="7" customFormat="1" ht="15.75" customHeight="1">
      <c r="A4042" s="1"/>
      <c r="B4042" s="12" t="s">
        <v>1856</v>
      </c>
      <c r="C4042" s="6" t="s">
        <v>8693</v>
      </c>
      <c r="D4042" s="15" t="s">
        <v>8694</v>
      </c>
      <c r="E4042" s="1012" t="s">
        <v>8649</v>
      </c>
      <c r="F4042" s="26"/>
      <c r="G4042" s="24" t="s">
        <v>7694</v>
      </c>
      <c r="H4042" s="151"/>
      <c r="I4042" s="41"/>
      <c r="J4042" s="67">
        <v>4</v>
      </c>
      <c r="K4042" s="25">
        <v>2.4500000000000002</v>
      </c>
      <c r="L4042" s="46">
        <f>K4042*J4042</f>
        <v>9.8000000000000007</v>
      </c>
      <c r="M4042" s="162" t="s">
        <v>2219</v>
      </c>
      <c r="N4042" s="2453">
        <v>45890</v>
      </c>
      <c r="O4042" s="38">
        <v>7388</v>
      </c>
      <c r="P4042" s="180">
        <f>K4042*(VLOOKUP(B4042,$C$2:$F$6,3,FALSE))</f>
        <v>2.1560000000000001</v>
      </c>
      <c r="Q4042" s="483">
        <v>2.16</v>
      </c>
      <c r="R4042" s="704">
        <f>Q4042*J4042</f>
        <v>8.64</v>
      </c>
      <c r="S4042" s="489">
        <v>176</v>
      </c>
      <c r="T4042" s="113">
        <f>S4042*J4042</f>
        <v>704</v>
      </c>
      <c r="U4042" s="517"/>
      <c r="V4042" s="494">
        <v>120</v>
      </c>
      <c r="W4042" s="2041">
        <f t="shared" si="324"/>
        <v>0.40136054421768708</v>
      </c>
    </row>
    <row r="4043" spans="1:23" ht="18" customHeight="1">
      <c r="B4043" s="12" t="s">
        <v>1862</v>
      </c>
      <c r="C4043" s="6" t="s">
        <v>8693</v>
      </c>
      <c r="D4043" s="15" t="s">
        <v>8694</v>
      </c>
      <c r="E4043" s="24"/>
      <c r="F4043" s="138"/>
      <c r="G4043" s="44" t="s">
        <v>1993</v>
      </c>
      <c r="H4043" s="8"/>
      <c r="I4043" s="41"/>
      <c r="J4043" s="45">
        <v>1</v>
      </c>
      <c r="K4043" s="46">
        <v>12</v>
      </c>
      <c r="L4043" s="46">
        <f>K4043*J4043</f>
        <v>12</v>
      </c>
      <c r="M4043" s="112"/>
      <c r="N4043" s="39">
        <v>45890</v>
      </c>
      <c r="O4043" s="38">
        <v>7388</v>
      </c>
      <c r="P4043" s="46">
        <f>K4043*(VLOOKUP(B4043,$C$2:$F$6,3,FALSE))</f>
        <v>12</v>
      </c>
      <c r="Q4043" s="483">
        <v>12</v>
      </c>
      <c r="R4043" s="704">
        <f>Q4043*J4043</f>
        <v>12</v>
      </c>
      <c r="S4043" s="1011">
        <v>900</v>
      </c>
      <c r="T4043" s="2452">
        <f>S4043*J4043</f>
        <v>900</v>
      </c>
      <c r="U4043" s="511"/>
      <c r="V4043" s="494">
        <v>120</v>
      </c>
      <c r="W4043" s="2041">
        <f t="shared" si="324"/>
        <v>0.375</v>
      </c>
    </row>
    <row r="4044" spans="1:23" s="314" customFormat="1" ht="15">
      <c r="A4044" s="1"/>
      <c r="B4044" s="313"/>
      <c r="C4044" s="302" t="s">
        <v>8693</v>
      </c>
      <c r="D4044" s="303" t="s">
        <v>8694</v>
      </c>
      <c r="E4044" s="304"/>
      <c r="F4044" s="305"/>
      <c r="G4044" s="305" t="s">
        <v>1227</v>
      </c>
      <c r="H4044" s="307" t="s">
        <v>1228</v>
      </c>
      <c r="I4044" s="308"/>
      <c r="J4044" s="306"/>
      <c r="K4044" s="315">
        <v>0</v>
      </c>
      <c r="L4044" s="310"/>
      <c r="M4044" s="310"/>
      <c r="N4044" s="310">
        <v>45890</v>
      </c>
      <c r="O4044" s="309">
        <v>7388</v>
      </c>
      <c r="P4044" s="302"/>
      <c r="Q4044" s="485">
        <v>0</v>
      </c>
      <c r="S4044" s="536">
        <v>0</v>
      </c>
      <c r="T4044" s="322">
        <v>0</v>
      </c>
      <c r="U4044" s="515"/>
      <c r="V4044" s="494">
        <v>120</v>
      </c>
      <c r="W4044" s="2041" t="e">
        <f t="shared" si="324"/>
        <v>#DIV/0!</v>
      </c>
    </row>
    <row r="4045" spans="1:23" ht="18" customHeight="1">
      <c r="C4045" s="6" t="s">
        <v>8702</v>
      </c>
      <c r="D4045" s="15" t="s">
        <v>6806</v>
      </c>
      <c r="E4045" s="20" t="s">
        <v>260</v>
      </c>
      <c r="F4045" s="44"/>
      <c r="G4045" s="44"/>
      <c r="H4045" s="151"/>
      <c r="I4045" s="151"/>
      <c r="J4045" s="151"/>
      <c r="K4045" s="34" t="s">
        <v>134</v>
      </c>
      <c r="L4045" s="39"/>
      <c r="M4045" s="39"/>
      <c r="N4045" s="39">
        <v>45898</v>
      </c>
      <c r="O4045" s="38">
        <v>7392</v>
      </c>
      <c r="P4045" s="6"/>
      <c r="Q4045" s="524"/>
      <c r="S4045" s="1995"/>
      <c r="T4045" s="113"/>
      <c r="U4045" s="501"/>
      <c r="V4045" s="494">
        <v>120</v>
      </c>
      <c r="W4045" s="2041" t="e">
        <f t="shared" si="324"/>
        <v>#VALUE!</v>
      </c>
    </row>
    <row r="4046" spans="1:23" ht="18" customHeight="1">
      <c r="B4046" s="28" t="s">
        <v>1856</v>
      </c>
      <c r="C4046" s="6" t="s">
        <v>8702</v>
      </c>
      <c r="D4046" s="15" t="s">
        <v>6806</v>
      </c>
      <c r="E4046" s="24">
        <v>4141</v>
      </c>
      <c r="F4046" s="44">
        <v>6</v>
      </c>
      <c r="G4046" s="24" t="s">
        <v>3096</v>
      </c>
      <c r="H4046" s="67">
        <v>20</v>
      </c>
      <c r="I4046" s="68">
        <v>55</v>
      </c>
      <c r="J4046" s="67">
        <f>H4046*I4046</f>
        <v>1100</v>
      </c>
      <c r="K4046" s="46">
        <v>1.47</v>
      </c>
      <c r="L4046" s="46">
        <f>K4046*J4046</f>
        <v>1617</v>
      </c>
      <c r="M4046" s="162" t="s">
        <v>2219</v>
      </c>
      <c r="N4046" s="39">
        <v>45898</v>
      </c>
      <c r="O4046" s="38">
        <v>7392</v>
      </c>
      <c r="P4046" s="46">
        <f>K4046*(VLOOKUP(B4046,$C$2:$F$6,3,FALSE))</f>
        <v>1.2936000000000001</v>
      </c>
      <c r="Q4046" s="482">
        <v>1.29</v>
      </c>
      <c r="R4046" s="704">
        <f>Q4046*J4046</f>
        <v>1419</v>
      </c>
      <c r="S4046" s="489">
        <v>96</v>
      </c>
      <c r="T4046" s="113">
        <f>S4046*J4046</f>
        <v>105600</v>
      </c>
      <c r="U4046" s="699"/>
      <c r="V4046" s="494">
        <v>120</v>
      </c>
      <c r="W4046" s="2041">
        <f t="shared" si="324"/>
        <v>0.45578231292517007</v>
      </c>
    </row>
    <row r="4047" spans="1:23" ht="18" customHeight="1">
      <c r="B4047" s="12" t="s">
        <v>1862</v>
      </c>
      <c r="C4047" s="6" t="s">
        <v>8702</v>
      </c>
      <c r="D4047" s="15" t="s">
        <v>6806</v>
      </c>
      <c r="E4047" s="24"/>
      <c r="F4047" s="138"/>
      <c r="G4047" s="44" t="s">
        <v>1993</v>
      </c>
      <c r="H4047" s="8"/>
      <c r="I4047" s="41"/>
      <c r="J4047" s="45">
        <v>1</v>
      </c>
      <c r="K4047" s="46">
        <v>12</v>
      </c>
      <c r="L4047" s="46">
        <f>K4047*J4047</f>
        <v>12</v>
      </c>
      <c r="M4047" s="112"/>
      <c r="N4047" s="39">
        <v>45898</v>
      </c>
      <c r="O4047" s="38">
        <v>7392</v>
      </c>
      <c r="P4047" s="46">
        <f>K4047*(VLOOKUP(B4047,$C$2:$F$6,3,FALSE))</f>
        <v>12</v>
      </c>
      <c r="Q4047" s="483">
        <v>12</v>
      </c>
      <c r="R4047" s="704">
        <f>Q4047*J4047</f>
        <v>12</v>
      </c>
      <c r="S4047" s="1011">
        <v>0</v>
      </c>
      <c r="T4047" s="2452">
        <f>S4047*J4047</f>
        <v>0</v>
      </c>
      <c r="U4047" s="511"/>
      <c r="V4047" s="494">
        <v>120</v>
      </c>
      <c r="W4047" s="2041">
        <f t="shared" si="324"/>
        <v>1</v>
      </c>
    </row>
    <row r="4048" spans="1:23" s="314" customFormat="1" ht="15">
      <c r="B4048" s="313"/>
      <c r="C4048" s="302" t="s">
        <v>8702</v>
      </c>
      <c r="D4048" s="303" t="s">
        <v>6806</v>
      </c>
      <c r="E4048" s="304"/>
      <c r="F4048" s="305"/>
      <c r="G4048" s="305" t="s">
        <v>1227</v>
      </c>
      <c r="H4048" s="307" t="s">
        <v>1228</v>
      </c>
      <c r="I4048" s="308"/>
      <c r="J4048" s="306"/>
      <c r="K4048" s="315">
        <v>0</v>
      </c>
      <c r="L4048" s="310"/>
      <c r="M4048" s="310"/>
      <c r="N4048" s="310">
        <v>45898</v>
      </c>
      <c r="O4048" s="309">
        <v>7392</v>
      </c>
      <c r="P4048" s="302"/>
      <c r="Q4048" s="485">
        <v>0</v>
      </c>
      <c r="S4048" s="536">
        <v>0</v>
      </c>
      <c r="T4048" s="322">
        <v>0</v>
      </c>
      <c r="U4048" s="515"/>
      <c r="V4048" s="494">
        <v>120</v>
      </c>
      <c r="W4048" s="2041" t="e">
        <f t="shared" si="324"/>
        <v>#DIV/0!</v>
      </c>
    </row>
    <row r="4049" spans="1:23" s="7" customFormat="1" ht="15" customHeight="1">
      <c r="A4049" s="1"/>
      <c r="B4049" s="12"/>
      <c r="C4049" s="6"/>
      <c r="D4049" s="15" t="s">
        <v>8703</v>
      </c>
      <c r="E4049" s="2451" t="s">
        <v>8704</v>
      </c>
      <c r="F4049" s="26"/>
      <c r="G4049" s="24"/>
      <c r="H4049" s="67"/>
      <c r="I4049" s="68"/>
      <c r="J4049" s="67"/>
      <c r="K4049" s="17" t="s">
        <v>10</v>
      </c>
      <c r="L4049" s="39"/>
      <c r="M4049" s="39"/>
      <c r="N4049" s="39"/>
      <c r="O4049" s="38"/>
      <c r="P4049" s="180" t="e">
        <f t="shared" ref="P4049:P4055" si="325">K4049*(VLOOKUP(B4049,$C$2:$F$6,3,FALSE))</f>
        <v>#VALUE!</v>
      </c>
      <c r="Q4049" s="483"/>
      <c r="R4049" s="704"/>
      <c r="S4049" s="489"/>
      <c r="T4049" s="113">
        <f t="shared" ref="T4049:T4055" si="326">S4049*J4049</f>
        <v>0</v>
      </c>
      <c r="U4049" s="517"/>
      <c r="V4049" s="494">
        <v>120</v>
      </c>
      <c r="W4049" s="2041" t="e">
        <f t="shared" si="324"/>
        <v>#VALUE!</v>
      </c>
    </row>
    <row r="4050" spans="1:23" s="7" customFormat="1" ht="15.75" customHeight="1">
      <c r="A4050" s="1"/>
      <c r="B4050" s="12" t="s">
        <v>1856</v>
      </c>
      <c r="C4050" s="6"/>
      <c r="D4050" s="15" t="s">
        <v>8703</v>
      </c>
      <c r="E4050" s="95" t="s">
        <v>8679</v>
      </c>
      <c r="F4050" s="26"/>
      <c r="G4050" s="24" t="s">
        <v>8705</v>
      </c>
      <c r="H4050" s="151"/>
      <c r="I4050" s="41"/>
      <c r="J4050" s="67">
        <v>5</v>
      </c>
      <c r="K4050" s="25">
        <v>2.71</v>
      </c>
      <c r="L4050" s="46">
        <f t="shared" ref="L4050:L4055" si="327">K4050*J4050</f>
        <v>13.55</v>
      </c>
      <c r="M4050" s="162" t="s">
        <v>2219</v>
      </c>
      <c r="N4050" s="2453"/>
      <c r="O4050" s="38"/>
      <c r="P4050" s="180">
        <f t="shared" si="325"/>
        <v>2.3847999999999998</v>
      </c>
      <c r="Q4050" s="483">
        <v>2.38</v>
      </c>
      <c r="R4050" s="704">
        <f t="shared" ref="R4050:R4055" si="328">Q4050*J4050</f>
        <v>11.899999999999999</v>
      </c>
      <c r="S4050" s="489">
        <v>195</v>
      </c>
      <c r="T4050" s="113">
        <f t="shared" si="326"/>
        <v>975</v>
      </c>
      <c r="U4050" s="517"/>
      <c r="V4050" s="494">
        <v>120</v>
      </c>
      <c r="W4050" s="2041">
        <f t="shared" si="324"/>
        <v>0.40036900369003686</v>
      </c>
    </row>
    <row r="4051" spans="1:23" s="7" customFormat="1" ht="15.75" customHeight="1">
      <c r="A4051" s="1"/>
      <c r="B4051" s="12" t="s">
        <v>1856</v>
      </c>
      <c r="C4051" s="6"/>
      <c r="D4051" s="15" t="s">
        <v>8703</v>
      </c>
      <c r="E4051" s="95" t="s">
        <v>8679</v>
      </c>
      <c r="F4051" s="26"/>
      <c r="G4051" s="24" t="s">
        <v>8706</v>
      </c>
      <c r="H4051" s="151"/>
      <c r="I4051" s="41"/>
      <c r="J4051" s="67">
        <v>3</v>
      </c>
      <c r="K4051" s="25">
        <v>2.71</v>
      </c>
      <c r="L4051" s="46">
        <f t="shared" si="327"/>
        <v>8.129999999999999</v>
      </c>
      <c r="M4051" s="162" t="s">
        <v>2219</v>
      </c>
      <c r="N4051" s="2453"/>
      <c r="O4051" s="38"/>
      <c r="P4051" s="180">
        <f t="shared" si="325"/>
        <v>2.3847999999999998</v>
      </c>
      <c r="Q4051" s="483">
        <v>2.38</v>
      </c>
      <c r="R4051" s="704">
        <f t="shared" si="328"/>
        <v>7.14</v>
      </c>
      <c r="S4051" s="489">
        <v>195</v>
      </c>
      <c r="T4051" s="113">
        <f t="shared" si="326"/>
        <v>585</v>
      </c>
      <c r="U4051" s="517"/>
      <c r="V4051" s="494">
        <v>120</v>
      </c>
      <c r="W4051" s="2041">
        <f t="shared" si="324"/>
        <v>0.40036900369003686</v>
      </c>
    </row>
    <row r="4052" spans="1:23" s="7" customFormat="1" ht="15.75" customHeight="1">
      <c r="A4052" s="1"/>
      <c r="B4052" s="12" t="s">
        <v>1856</v>
      </c>
      <c r="C4052" s="6"/>
      <c r="D4052" s="15" t="s">
        <v>8703</v>
      </c>
      <c r="E4052" s="95" t="s">
        <v>8679</v>
      </c>
      <c r="F4052" s="26"/>
      <c r="G4052" s="24" t="s">
        <v>8707</v>
      </c>
      <c r="H4052" s="151"/>
      <c r="I4052" s="41"/>
      <c r="J4052" s="67">
        <v>3</v>
      </c>
      <c r="K4052" s="25">
        <v>2.71</v>
      </c>
      <c r="L4052" s="46">
        <f t="shared" si="327"/>
        <v>8.129999999999999</v>
      </c>
      <c r="M4052" s="162" t="s">
        <v>2219</v>
      </c>
      <c r="N4052" s="2453"/>
      <c r="O4052" s="38"/>
      <c r="P4052" s="180">
        <f t="shared" si="325"/>
        <v>2.3847999999999998</v>
      </c>
      <c r="Q4052" s="483">
        <v>2.38</v>
      </c>
      <c r="R4052" s="704">
        <f t="shared" si="328"/>
        <v>7.14</v>
      </c>
      <c r="S4052" s="489">
        <v>195</v>
      </c>
      <c r="T4052" s="113">
        <f t="shared" si="326"/>
        <v>585</v>
      </c>
      <c r="U4052" s="517"/>
      <c r="V4052" s="494">
        <v>120</v>
      </c>
      <c r="W4052" s="2041">
        <f t="shared" si="324"/>
        <v>0.40036900369003686</v>
      </c>
    </row>
    <row r="4053" spans="1:23" s="7" customFormat="1" ht="15.75" customHeight="1">
      <c r="A4053" s="1"/>
      <c r="B4053" s="12" t="s">
        <v>1856</v>
      </c>
      <c r="C4053" s="6"/>
      <c r="D4053" s="15" t="s">
        <v>8703</v>
      </c>
      <c r="E4053" s="95" t="s">
        <v>8679</v>
      </c>
      <c r="F4053" s="26"/>
      <c r="G4053" s="24" t="s">
        <v>8708</v>
      </c>
      <c r="H4053" s="151"/>
      <c r="I4053" s="41"/>
      <c r="J4053" s="67">
        <v>5</v>
      </c>
      <c r="K4053" s="25">
        <v>2.71</v>
      </c>
      <c r="L4053" s="46">
        <f t="shared" si="327"/>
        <v>13.55</v>
      </c>
      <c r="M4053" s="162" t="s">
        <v>2219</v>
      </c>
      <c r="N4053" s="2453"/>
      <c r="O4053" s="38"/>
      <c r="P4053" s="180">
        <f t="shared" si="325"/>
        <v>2.3847999999999998</v>
      </c>
      <c r="Q4053" s="483">
        <v>2.38</v>
      </c>
      <c r="R4053" s="704">
        <f t="shared" si="328"/>
        <v>11.899999999999999</v>
      </c>
      <c r="S4053" s="489">
        <v>195</v>
      </c>
      <c r="T4053" s="113">
        <f t="shared" si="326"/>
        <v>975</v>
      </c>
      <c r="U4053" s="517"/>
      <c r="V4053" s="494">
        <v>120</v>
      </c>
      <c r="W4053" s="2041">
        <f t="shared" si="324"/>
        <v>0.40036900369003686</v>
      </c>
    </row>
    <row r="4054" spans="1:23" ht="18" customHeight="1">
      <c r="B4054" s="12" t="s">
        <v>1862</v>
      </c>
      <c r="C4054" s="6"/>
      <c r="D4054" s="15" t="s">
        <v>8703</v>
      </c>
      <c r="E4054" s="24"/>
      <c r="F4054" s="138"/>
      <c r="G4054" s="44" t="s">
        <v>3334</v>
      </c>
      <c r="H4054" s="8"/>
      <c r="I4054" s="41"/>
      <c r="J4054" s="45">
        <v>4</v>
      </c>
      <c r="K4054" s="46">
        <v>95</v>
      </c>
      <c r="L4054" s="46">
        <f t="shared" si="327"/>
        <v>380</v>
      </c>
      <c r="M4054" s="112"/>
      <c r="N4054" s="39"/>
      <c r="O4054" s="38"/>
      <c r="P4054" s="46">
        <f t="shared" si="325"/>
        <v>95</v>
      </c>
      <c r="Q4054" s="483">
        <v>95</v>
      </c>
      <c r="R4054" s="704">
        <f t="shared" si="328"/>
        <v>380</v>
      </c>
      <c r="S4054" s="1011">
        <v>9000</v>
      </c>
      <c r="T4054" s="2452">
        <f t="shared" si="326"/>
        <v>36000</v>
      </c>
      <c r="U4054" s="511"/>
      <c r="V4054" s="494">
        <v>120</v>
      </c>
      <c r="W4054" s="2041">
        <f t="shared" si="324"/>
        <v>0.21052631578947367</v>
      </c>
    </row>
    <row r="4055" spans="1:23" ht="18" customHeight="1">
      <c r="B4055" s="12" t="s">
        <v>1862</v>
      </c>
      <c r="C4055" s="6"/>
      <c r="D4055" s="15" t="s">
        <v>8703</v>
      </c>
      <c r="E4055" s="24"/>
      <c r="F4055" s="138"/>
      <c r="G4055" s="44" t="s">
        <v>1993</v>
      </c>
      <c r="H4055" s="8"/>
      <c r="I4055" s="41"/>
      <c r="J4055" s="45">
        <v>1</v>
      </c>
      <c r="K4055" s="46">
        <v>12</v>
      </c>
      <c r="L4055" s="46">
        <f t="shared" si="327"/>
        <v>12</v>
      </c>
      <c r="M4055" s="112"/>
      <c r="N4055" s="39"/>
      <c r="O4055" s="38"/>
      <c r="P4055" s="46">
        <f t="shared" si="325"/>
        <v>12</v>
      </c>
      <c r="Q4055" s="483">
        <v>12</v>
      </c>
      <c r="R4055" s="704">
        <f t="shared" si="328"/>
        <v>12</v>
      </c>
      <c r="S4055" s="490">
        <v>900</v>
      </c>
      <c r="T4055" s="1176">
        <f t="shared" si="326"/>
        <v>900</v>
      </c>
      <c r="U4055" s="511"/>
      <c r="V4055" s="494">
        <v>120</v>
      </c>
      <c r="W4055" s="2041">
        <f t="shared" si="324"/>
        <v>0.375</v>
      </c>
    </row>
    <row r="4056" spans="1:23" s="314" customFormat="1" ht="15">
      <c r="A4056" s="1"/>
      <c r="B4056" s="313"/>
      <c r="C4056" s="302"/>
      <c r="D4056" s="303" t="s">
        <v>8703</v>
      </c>
      <c r="E4056" s="304"/>
      <c r="F4056" s="305"/>
      <c r="G4056" s="305" t="s">
        <v>1227</v>
      </c>
      <c r="H4056" s="307" t="s">
        <v>1228</v>
      </c>
      <c r="I4056" s="308"/>
      <c r="J4056" s="306"/>
      <c r="K4056" s="315">
        <v>0</v>
      </c>
      <c r="L4056" s="310"/>
      <c r="M4056" s="310"/>
      <c r="N4056" s="310"/>
      <c r="O4056" s="309"/>
      <c r="P4056" s="302"/>
      <c r="Q4056" s="485">
        <v>0</v>
      </c>
      <c r="S4056" s="536">
        <v>0</v>
      </c>
      <c r="T4056" s="322">
        <v>0</v>
      </c>
      <c r="U4056" s="515"/>
      <c r="V4056" s="494">
        <v>120</v>
      </c>
      <c r="W4056" s="2041" t="e">
        <f t="shared" si="324"/>
        <v>#DIV/0!</v>
      </c>
    </row>
    <row r="4057" spans="1:23" s="7" customFormat="1" ht="15" customHeight="1">
      <c r="A4057" s="1"/>
      <c r="B4057" s="12"/>
      <c r="C4057" s="6" t="s">
        <v>8710</v>
      </c>
      <c r="D4057" s="15" t="s">
        <v>8298</v>
      </c>
      <c r="E4057" s="20" t="s">
        <v>8252</v>
      </c>
      <c r="F4057" s="26"/>
      <c r="G4057" s="24"/>
      <c r="H4057" s="67"/>
      <c r="I4057" s="68"/>
      <c r="J4057" s="67"/>
      <c r="K4057" s="17" t="s">
        <v>10</v>
      </c>
      <c r="L4057" s="39"/>
      <c r="M4057" s="39"/>
      <c r="N4057" s="39">
        <v>45905</v>
      </c>
      <c r="O4057" s="38">
        <v>7428</v>
      </c>
      <c r="P4057" s="180" t="e">
        <f>K4057*(VLOOKUP(B4057,$C$2:$F$6,3,FALSE))</f>
        <v>#VALUE!</v>
      </c>
      <c r="Q4057" s="483"/>
      <c r="R4057" s="704"/>
      <c r="S4057" s="489"/>
      <c r="T4057" s="113">
        <f>S4057*J4057</f>
        <v>0</v>
      </c>
      <c r="U4057" s="517"/>
      <c r="V4057" s="494">
        <v>120</v>
      </c>
      <c r="W4057" s="2041" t="e">
        <f t="shared" si="324"/>
        <v>#VALUE!</v>
      </c>
    </row>
    <row r="4058" spans="1:23" s="7" customFormat="1" ht="15.75" customHeight="1">
      <c r="A4058" s="1"/>
      <c r="B4058" s="12" t="s">
        <v>1856</v>
      </c>
      <c r="C4058" s="6" t="s">
        <v>8710</v>
      </c>
      <c r="D4058" s="15" t="s">
        <v>8298</v>
      </c>
      <c r="E4058" s="1012" t="s">
        <v>8711</v>
      </c>
      <c r="F4058" s="26"/>
      <c r="G4058" s="24" t="s">
        <v>7694</v>
      </c>
      <c r="H4058" s="151"/>
      <c r="I4058" s="41"/>
      <c r="J4058" s="67">
        <v>50</v>
      </c>
      <c r="K4058" s="25">
        <v>4.7300000000000004</v>
      </c>
      <c r="L4058" s="46">
        <f>K4058*J4058</f>
        <v>236.50000000000003</v>
      </c>
      <c r="M4058" s="162" t="s">
        <v>2219</v>
      </c>
      <c r="N4058" s="2453">
        <v>45905</v>
      </c>
      <c r="O4058" s="38">
        <v>7428</v>
      </c>
      <c r="P4058" s="180">
        <f>K4058*(VLOOKUP(B4058,$C$2:$F$6,3,FALSE))</f>
        <v>4.1624000000000008</v>
      </c>
      <c r="Q4058" s="483">
        <v>4.16</v>
      </c>
      <c r="R4058" s="704">
        <f>Q4058*J4058</f>
        <v>208</v>
      </c>
      <c r="S4058" s="489">
        <v>340</v>
      </c>
      <c r="T4058" s="113">
        <f>S4058*J4058</f>
        <v>17000</v>
      </c>
      <c r="U4058" s="517"/>
      <c r="V4058" s="494">
        <v>120</v>
      </c>
      <c r="W4058" s="2041">
        <f t="shared" si="324"/>
        <v>0.4009866102889359</v>
      </c>
    </row>
    <row r="4059" spans="1:23" s="7" customFormat="1" ht="15.75" customHeight="1">
      <c r="A4059" s="1"/>
      <c r="B4059" s="12" t="s">
        <v>1856</v>
      </c>
      <c r="C4059" s="6" t="s">
        <v>8710</v>
      </c>
      <c r="D4059" s="15" t="s">
        <v>8298</v>
      </c>
      <c r="E4059" s="1012" t="s">
        <v>8712</v>
      </c>
      <c r="F4059" s="26"/>
      <c r="G4059" s="24" t="s">
        <v>7694</v>
      </c>
      <c r="H4059" s="151"/>
      <c r="I4059" s="41"/>
      <c r="J4059" s="67">
        <v>50</v>
      </c>
      <c r="K4059" s="25">
        <v>3.44</v>
      </c>
      <c r="L4059" s="46">
        <f>K4059*J4059</f>
        <v>172</v>
      </c>
      <c r="M4059" s="162" t="s">
        <v>2219</v>
      </c>
      <c r="N4059" s="2453">
        <v>45905</v>
      </c>
      <c r="O4059" s="38">
        <v>7428</v>
      </c>
      <c r="P4059" s="180">
        <f>K4059*(VLOOKUP(B4059,$C$2:$F$6,3,FALSE))</f>
        <v>3.0272000000000001</v>
      </c>
      <c r="Q4059" s="483">
        <v>3.03</v>
      </c>
      <c r="R4059" s="704">
        <f>Q4059*J4059</f>
        <v>151.5</v>
      </c>
      <c r="S4059" s="489">
        <v>247</v>
      </c>
      <c r="T4059" s="113">
        <f>S4059*J4059</f>
        <v>12350</v>
      </c>
      <c r="U4059" s="517"/>
      <c r="V4059" s="494">
        <v>120</v>
      </c>
      <c r="W4059" s="2041">
        <f t="shared" si="324"/>
        <v>0.40164728682170542</v>
      </c>
    </row>
    <row r="4060" spans="1:23" ht="18" customHeight="1">
      <c r="B4060" s="12" t="s">
        <v>1862</v>
      </c>
      <c r="C4060" s="6" t="s">
        <v>8710</v>
      </c>
      <c r="D4060" s="15" t="s">
        <v>8298</v>
      </c>
      <c r="E4060" s="24"/>
      <c r="F4060" s="138"/>
      <c r="G4060" s="44" t="s">
        <v>1993</v>
      </c>
      <c r="H4060" s="8"/>
      <c r="I4060" s="41"/>
      <c r="J4060" s="45">
        <v>1</v>
      </c>
      <c r="K4060" s="46">
        <v>12</v>
      </c>
      <c r="L4060" s="46">
        <f>K4060*J4060</f>
        <v>12</v>
      </c>
      <c r="M4060" s="112"/>
      <c r="N4060" s="39">
        <v>45905</v>
      </c>
      <c r="O4060" s="38">
        <v>7428</v>
      </c>
      <c r="P4060" s="46">
        <f>K4060*(VLOOKUP(B4060,$C$2:$F$6,3,FALSE))</f>
        <v>12</v>
      </c>
      <c r="Q4060" s="483">
        <v>12</v>
      </c>
      <c r="R4060" s="2552">
        <f>Q4060*J4060</f>
        <v>12</v>
      </c>
      <c r="S4060" s="1011">
        <v>0</v>
      </c>
      <c r="T4060" s="2452">
        <f>S4060*J4060</f>
        <v>0</v>
      </c>
      <c r="U4060" s="511"/>
      <c r="V4060" s="494">
        <v>120</v>
      </c>
      <c r="W4060" s="2041">
        <f t="shared" si="324"/>
        <v>1</v>
      </c>
    </row>
    <row r="4061" spans="1:23" s="314" customFormat="1" ht="15">
      <c r="A4061" s="1"/>
      <c r="B4061" s="313"/>
      <c r="C4061" s="302" t="s">
        <v>8710</v>
      </c>
      <c r="D4061" s="303" t="s">
        <v>8298</v>
      </c>
      <c r="E4061" s="304"/>
      <c r="F4061" s="305"/>
      <c r="G4061" s="305" t="s">
        <v>1227</v>
      </c>
      <c r="H4061" s="307" t="s">
        <v>1228</v>
      </c>
      <c r="I4061" s="308"/>
      <c r="J4061" s="306"/>
      <c r="K4061" s="315">
        <v>0</v>
      </c>
      <c r="L4061" s="310"/>
      <c r="M4061" s="310"/>
      <c r="N4061" s="310">
        <v>45905</v>
      </c>
      <c r="O4061" s="309">
        <v>7428</v>
      </c>
      <c r="P4061" s="302"/>
      <c r="Q4061" s="485">
        <v>0</v>
      </c>
      <c r="S4061" s="536">
        <v>0</v>
      </c>
      <c r="T4061" s="322">
        <v>0</v>
      </c>
      <c r="U4061" s="515"/>
      <c r="V4061" s="494">
        <v>120</v>
      </c>
      <c r="W4061" s="2041" t="e">
        <f t="shared" si="324"/>
        <v>#DIV/0!</v>
      </c>
    </row>
    <row r="4062" spans="1:23" s="80" customFormat="1" ht="18" customHeight="1">
      <c r="B4062" s="540"/>
      <c r="C4062" s="76" t="s">
        <v>8714</v>
      </c>
      <c r="D4062" s="77" t="s">
        <v>8715</v>
      </c>
      <c r="E4062" s="252" t="s">
        <v>27</v>
      </c>
      <c r="F4062" s="2652"/>
      <c r="G4062" s="79"/>
      <c r="H4062" s="253"/>
      <c r="I4062" s="254"/>
      <c r="J4062" s="253"/>
      <c r="K4062" s="2653" t="s">
        <v>10</v>
      </c>
      <c r="L4062" s="576"/>
      <c r="M4062" s="576"/>
      <c r="N4062" s="2654" t="s">
        <v>9117</v>
      </c>
      <c r="O4062" s="2654" t="s">
        <v>9117</v>
      </c>
      <c r="P4062" s="77"/>
      <c r="Q4062" s="2249"/>
      <c r="S4062" s="2655" t="s">
        <v>8469</v>
      </c>
      <c r="T4062" s="563"/>
      <c r="U4062" s="2656"/>
      <c r="V4062" s="546">
        <v>120</v>
      </c>
      <c r="W4062" s="80" t="e">
        <f t="shared" si="324"/>
        <v>#VALUE!</v>
      </c>
    </row>
    <row r="4063" spans="1:23" s="80" customFormat="1" ht="15.75">
      <c r="B4063" s="540" t="s">
        <v>1858</v>
      </c>
      <c r="C4063" s="76" t="s">
        <v>8714</v>
      </c>
      <c r="D4063" s="77" t="s">
        <v>8715</v>
      </c>
      <c r="E4063" s="2657" t="s">
        <v>536</v>
      </c>
      <c r="F4063" s="2652">
        <v>160</v>
      </c>
      <c r="G4063" s="79" t="s">
        <v>8716</v>
      </c>
      <c r="H4063" s="247">
        <v>50</v>
      </c>
      <c r="I4063" s="248">
        <v>3</v>
      </c>
      <c r="J4063" s="256">
        <f t="shared" ref="J4063:J4072" si="329">H4063*I4063</f>
        <v>150</v>
      </c>
      <c r="K4063" s="257">
        <v>5</v>
      </c>
      <c r="L4063" s="250">
        <f t="shared" ref="L4063:L4072" si="330">K4063*J4063</f>
        <v>750</v>
      </c>
      <c r="M4063" s="2118" t="s">
        <v>2218</v>
      </c>
      <c r="N4063" s="2654" t="s">
        <v>9117</v>
      </c>
      <c r="O4063" s="2654" t="s">
        <v>9117</v>
      </c>
      <c r="P4063" s="250">
        <f t="shared" ref="P4063:P4072" si="331">K4063*(VLOOKUP(B4063,$C$2:$F$6,3,FALSE))</f>
        <v>4.6999999999999993</v>
      </c>
      <c r="Q4063" s="2249">
        <v>4.7</v>
      </c>
      <c r="R4063" s="2115">
        <f t="shared" ref="R4063:R4072" si="332">Q4063*J4063</f>
        <v>705</v>
      </c>
      <c r="S4063" s="2648">
        <f t="shared" ref="S4063:S4072" si="333">420+15</f>
        <v>435</v>
      </c>
      <c r="T4063" s="563">
        <f t="shared" ref="T4063:T4072" si="334">S4063*J4063</f>
        <v>65250</v>
      </c>
      <c r="U4063" s="2275"/>
      <c r="V4063" s="546">
        <v>120</v>
      </c>
      <c r="W4063" s="2117">
        <f t="shared" ref="W4063:W4095" si="335">(((K4063*V4063)-S4063)/(K4063*V4063))</f>
        <v>0.27500000000000002</v>
      </c>
    </row>
    <row r="4064" spans="1:23" s="80" customFormat="1" ht="15.75">
      <c r="B4064" s="540" t="s">
        <v>1858</v>
      </c>
      <c r="C4064" s="76" t="s">
        <v>8714</v>
      </c>
      <c r="D4064" s="77" t="s">
        <v>8715</v>
      </c>
      <c r="E4064" s="2657" t="s">
        <v>536</v>
      </c>
      <c r="F4064" s="2652">
        <v>160</v>
      </c>
      <c r="G4064" s="79" t="s">
        <v>8717</v>
      </c>
      <c r="H4064" s="247">
        <v>50</v>
      </c>
      <c r="I4064" s="248">
        <v>1</v>
      </c>
      <c r="J4064" s="256">
        <f t="shared" si="329"/>
        <v>50</v>
      </c>
      <c r="K4064" s="257">
        <v>5</v>
      </c>
      <c r="L4064" s="250">
        <f t="shared" si="330"/>
        <v>250</v>
      </c>
      <c r="M4064" s="2118" t="s">
        <v>2218</v>
      </c>
      <c r="N4064" s="2654" t="s">
        <v>9117</v>
      </c>
      <c r="O4064" s="2654" t="s">
        <v>9117</v>
      </c>
      <c r="P4064" s="250">
        <f t="shared" si="331"/>
        <v>4.6999999999999993</v>
      </c>
      <c r="Q4064" s="2249">
        <v>4.7</v>
      </c>
      <c r="R4064" s="2115">
        <f t="shared" si="332"/>
        <v>235</v>
      </c>
      <c r="S4064" s="2648">
        <f t="shared" si="333"/>
        <v>435</v>
      </c>
      <c r="T4064" s="563">
        <f t="shared" si="334"/>
        <v>21750</v>
      </c>
      <c r="U4064" s="2275"/>
      <c r="V4064" s="546">
        <v>120</v>
      </c>
      <c r="W4064" s="2117">
        <f t="shared" si="335"/>
        <v>0.27500000000000002</v>
      </c>
    </row>
    <row r="4065" spans="2:23" s="80" customFormat="1" ht="15.75">
      <c r="B4065" s="540" t="s">
        <v>1858</v>
      </c>
      <c r="C4065" s="76" t="s">
        <v>8714</v>
      </c>
      <c r="D4065" s="77" t="s">
        <v>8715</v>
      </c>
      <c r="E4065" s="2657" t="s">
        <v>536</v>
      </c>
      <c r="F4065" s="2652">
        <v>160</v>
      </c>
      <c r="G4065" s="79" t="s">
        <v>8718</v>
      </c>
      <c r="H4065" s="247">
        <v>50</v>
      </c>
      <c r="I4065" s="248">
        <v>2</v>
      </c>
      <c r="J4065" s="256">
        <f t="shared" si="329"/>
        <v>100</v>
      </c>
      <c r="K4065" s="257">
        <v>5</v>
      </c>
      <c r="L4065" s="250">
        <f t="shared" si="330"/>
        <v>500</v>
      </c>
      <c r="M4065" s="2118" t="s">
        <v>2218</v>
      </c>
      <c r="N4065" s="2654" t="s">
        <v>9117</v>
      </c>
      <c r="O4065" s="2654" t="s">
        <v>9117</v>
      </c>
      <c r="P4065" s="250">
        <f t="shared" si="331"/>
        <v>4.6999999999999993</v>
      </c>
      <c r="Q4065" s="2249">
        <v>4.7</v>
      </c>
      <c r="R4065" s="2115">
        <f t="shared" si="332"/>
        <v>470</v>
      </c>
      <c r="S4065" s="2648">
        <f t="shared" si="333"/>
        <v>435</v>
      </c>
      <c r="T4065" s="563">
        <f t="shared" si="334"/>
        <v>43500</v>
      </c>
      <c r="U4065" s="2275"/>
      <c r="V4065" s="546">
        <v>120</v>
      </c>
      <c r="W4065" s="2117">
        <f t="shared" si="335"/>
        <v>0.27500000000000002</v>
      </c>
    </row>
    <row r="4066" spans="2:23" s="80" customFormat="1" ht="15.75">
      <c r="B4066" s="540" t="s">
        <v>1858</v>
      </c>
      <c r="C4066" s="76" t="s">
        <v>8714</v>
      </c>
      <c r="D4066" s="77" t="s">
        <v>8715</v>
      </c>
      <c r="E4066" s="2657" t="s">
        <v>536</v>
      </c>
      <c r="F4066" s="2652">
        <v>160</v>
      </c>
      <c r="G4066" s="79">
        <v>302</v>
      </c>
      <c r="H4066" s="247">
        <v>50</v>
      </c>
      <c r="I4066" s="248">
        <v>1</v>
      </c>
      <c r="J4066" s="256">
        <f t="shared" si="329"/>
        <v>50</v>
      </c>
      <c r="K4066" s="257">
        <v>5</v>
      </c>
      <c r="L4066" s="250">
        <f t="shared" si="330"/>
        <v>250</v>
      </c>
      <c r="M4066" s="2118" t="s">
        <v>2218</v>
      </c>
      <c r="N4066" s="2654" t="s">
        <v>9117</v>
      </c>
      <c r="O4066" s="2654" t="s">
        <v>9117</v>
      </c>
      <c r="P4066" s="250">
        <f t="shared" si="331"/>
        <v>4.6999999999999993</v>
      </c>
      <c r="Q4066" s="2249">
        <v>4.7</v>
      </c>
      <c r="R4066" s="2115">
        <f t="shared" si="332"/>
        <v>235</v>
      </c>
      <c r="S4066" s="2648">
        <f t="shared" si="333"/>
        <v>435</v>
      </c>
      <c r="T4066" s="563">
        <f t="shared" si="334"/>
        <v>21750</v>
      </c>
      <c r="U4066" s="2275"/>
      <c r="V4066" s="546">
        <v>120</v>
      </c>
      <c r="W4066" s="2117">
        <f t="shared" si="335"/>
        <v>0.27500000000000002</v>
      </c>
    </row>
    <row r="4067" spans="2:23" s="80" customFormat="1" ht="15.75">
      <c r="B4067" s="540" t="s">
        <v>1858</v>
      </c>
      <c r="C4067" s="76" t="s">
        <v>8714</v>
      </c>
      <c r="D4067" s="77" t="s">
        <v>8715</v>
      </c>
      <c r="E4067" s="2657" t="s">
        <v>536</v>
      </c>
      <c r="F4067" s="2652">
        <v>160</v>
      </c>
      <c r="G4067" s="79" t="s">
        <v>8719</v>
      </c>
      <c r="H4067" s="247">
        <v>50</v>
      </c>
      <c r="I4067" s="248">
        <v>1</v>
      </c>
      <c r="J4067" s="256">
        <f t="shared" si="329"/>
        <v>50</v>
      </c>
      <c r="K4067" s="257">
        <v>5</v>
      </c>
      <c r="L4067" s="250">
        <f t="shared" si="330"/>
        <v>250</v>
      </c>
      <c r="M4067" s="2118" t="s">
        <v>2218</v>
      </c>
      <c r="N4067" s="2654" t="s">
        <v>9117</v>
      </c>
      <c r="O4067" s="2654" t="s">
        <v>9117</v>
      </c>
      <c r="P4067" s="250">
        <f t="shared" si="331"/>
        <v>4.6999999999999993</v>
      </c>
      <c r="Q4067" s="2249">
        <v>4.7</v>
      </c>
      <c r="R4067" s="2115">
        <f t="shared" si="332"/>
        <v>235</v>
      </c>
      <c r="S4067" s="2648">
        <f t="shared" si="333"/>
        <v>435</v>
      </c>
      <c r="T4067" s="563">
        <f t="shared" si="334"/>
        <v>21750</v>
      </c>
      <c r="U4067" s="2275"/>
      <c r="V4067" s="546">
        <v>120</v>
      </c>
      <c r="W4067" s="2117">
        <f t="shared" si="335"/>
        <v>0.27500000000000002</v>
      </c>
    </row>
    <row r="4068" spans="2:23" s="80" customFormat="1" ht="15.75">
      <c r="B4068" s="540" t="s">
        <v>1858</v>
      </c>
      <c r="C4068" s="76" t="s">
        <v>8714</v>
      </c>
      <c r="D4068" s="77" t="s">
        <v>8715</v>
      </c>
      <c r="E4068" s="2657" t="s">
        <v>536</v>
      </c>
      <c r="F4068" s="2652">
        <v>160</v>
      </c>
      <c r="G4068" s="79" t="s">
        <v>8720</v>
      </c>
      <c r="H4068" s="247">
        <v>50</v>
      </c>
      <c r="I4068" s="248">
        <v>1</v>
      </c>
      <c r="J4068" s="256">
        <f t="shared" si="329"/>
        <v>50</v>
      </c>
      <c r="K4068" s="257">
        <v>5</v>
      </c>
      <c r="L4068" s="250">
        <f t="shared" si="330"/>
        <v>250</v>
      </c>
      <c r="M4068" s="2118" t="s">
        <v>2218</v>
      </c>
      <c r="N4068" s="2654" t="s">
        <v>9117</v>
      </c>
      <c r="O4068" s="2654" t="s">
        <v>9117</v>
      </c>
      <c r="P4068" s="250">
        <f t="shared" si="331"/>
        <v>4.6999999999999993</v>
      </c>
      <c r="Q4068" s="2249">
        <v>4.7</v>
      </c>
      <c r="R4068" s="2115">
        <f t="shared" si="332"/>
        <v>235</v>
      </c>
      <c r="S4068" s="2648">
        <f t="shared" si="333"/>
        <v>435</v>
      </c>
      <c r="T4068" s="563">
        <f t="shared" si="334"/>
        <v>21750</v>
      </c>
      <c r="U4068" s="2275"/>
      <c r="V4068" s="546">
        <v>120</v>
      </c>
      <c r="W4068" s="2117">
        <f t="shared" si="335"/>
        <v>0.27500000000000002</v>
      </c>
    </row>
    <row r="4069" spans="2:23" s="80" customFormat="1" ht="15.75">
      <c r="B4069" s="540" t="s">
        <v>1858</v>
      </c>
      <c r="C4069" s="76" t="s">
        <v>8714</v>
      </c>
      <c r="D4069" s="77" t="s">
        <v>8715</v>
      </c>
      <c r="E4069" s="2657" t="s">
        <v>536</v>
      </c>
      <c r="F4069" s="2652">
        <v>160</v>
      </c>
      <c r="G4069" s="79" t="s">
        <v>8721</v>
      </c>
      <c r="H4069" s="247">
        <v>50</v>
      </c>
      <c r="I4069" s="248">
        <v>3</v>
      </c>
      <c r="J4069" s="256">
        <f t="shared" si="329"/>
        <v>150</v>
      </c>
      <c r="K4069" s="257">
        <v>5</v>
      </c>
      <c r="L4069" s="250">
        <f t="shared" si="330"/>
        <v>750</v>
      </c>
      <c r="M4069" s="2118" t="s">
        <v>2218</v>
      </c>
      <c r="N4069" s="2654" t="s">
        <v>9117</v>
      </c>
      <c r="O4069" s="2654" t="s">
        <v>9117</v>
      </c>
      <c r="P4069" s="250">
        <f t="shared" si="331"/>
        <v>4.6999999999999993</v>
      </c>
      <c r="Q4069" s="2249">
        <v>4.7</v>
      </c>
      <c r="R4069" s="2115">
        <f t="shared" si="332"/>
        <v>705</v>
      </c>
      <c r="S4069" s="2648">
        <f t="shared" si="333"/>
        <v>435</v>
      </c>
      <c r="T4069" s="563">
        <f t="shared" si="334"/>
        <v>65250</v>
      </c>
      <c r="U4069" s="2275"/>
      <c r="V4069" s="546">
        <v>120</v>
      </c>
      <c r="W4069" s="2117">
        <f t="shared" si="335"/>
        <v>0.27500000000000002</v>
      </c>
    </row>
    <row r="4070" spans="2:23" s="80" customFormat="1" ht="15.75">
      <c r="B4070" s="540" t="s">
        <v>1858</v>
      </c>
      <c r="C4070" s="76" t="s">
        <v>8714</v>
      </c>
      <c r="D4070" s="77" t="s">
        <v>8715</v>
      </c>
      <c r="E4070" s="2657" t="s">
        <v>536</v>
      </c>
      <c r="F4070" s="2652">
        <v>160</v>
      </c>
      <c r="G4070" s="79" t="s">
        <v>8722</v>
      </c>
      <c r="H4070" s="247">
        <v>50</v>
      </c>
      <c r="I4070" s="248">
        <v>1</v>
      </c>
      <c r="J4070" s="256">
        <f t="shared" si="329"/>
        <v>50</v>
      </c>
      <c r="K4070" s="257">
        <v>5</v>
      </c>
      <c r="L4070" s="250">
        <f t="shared" si="330"/>
        <v>250</v>
      </c>
      <c r="M4070" s="2118" t="s">
        <v>2218</v>
      </c>
      <c r="N4070" s="2654" t="s">
        <v>9117</v>
      </c>
      <c r="O4070" s="2654" t="s">
        <v>9117</v>
      </c>
      <c r="P4070" s="250">
        <f t="shared" si="331"/>
        <v>4.6999999999999993</v>
      </c>
      <c r="Q4070" s="2249">
        <v>4.7</v>
      </c>
      <c r="R4070" s="2115">
        <f t="shared" si="332"/>
        <v>235</v>
      </c>
      <c r="S4070" s="2648">
        <f t="shared" si="333"/>
        <v>435</v>
      </c>
      <c r="T4070" s="563">
        <f t="shared" si="334"/>
        <v>21750</v>
      </c>
      <c r="U4070" s="2275"/>
      <c r="V4070" s="546">
        <v>120</v>
      </c>
      <c r="W4070" s="2117">
        <f t="shared" si="335"/>
        <v>0.27500000000000002</v>
      </c>
    </row>
    <row r="4071" spans="2:23" s="80" customFormat="1" ht="15.75">
      <c r="B4071" s="540" t="s">
        <v>1858</v>
      </c>
      <c r="C4071" s="76" t="s">
        <v>8714</v>
      </c>
      <c r="D4071" s="77" t="s">
        <v>8715</v>
      </c>
      <c r="E4071" s="2657" t="s">
        <v>536</v>
      </c>
      <c r="F4071" s="2652">
        <v>160</v>
      </c>
      <c r="G4071" s="79" t="s">
        <v>8723</v>
      </c>
      <c r="H4071" s="247">
        <v>50</v>
      </c>
      <c r="I4071" s="248">
        <v>1</v>
      </c>
      <c r="J4071" s="256">
        <f t="shared" si="329"/>
        <v>50</v>
      </c>
      <c r="K4071" s="257">
        <v>5</v>
      </c>
      <c r="L4071" s="250">
        <f t="shared" si="330"/>
        <v>250</v>
      </c>
      <c r="M4071" s="2118" t="s">
        <v>2218</v>
      </c>
      <c r="N4071" s="2654" t="s">
        <v>9117</v>
      </c>
      <c r="O4071" s="2654" t="s">
        <v>9117</v>
      </c>
      <c r="P4071" s="250">
        <f t="shared" si="331"/>
        <v>4.6999999999999993</v>
      </c>
      <c r="Q4071" s="2249">
        <v>4.7</v>
      </c>
      <c r="R4071" s="2115">
        <f t="shared" si="332"/>
        <v>235</v>
      </c>
      <c r="S4071" s="2648">
        <f t="shared" si="333"/>
        <v>435</v>
      </c>
      <c r="T4071" s="563">
        <f t="shared" si="334"/>
        <v>21750</v>
      </c>
      <c r="U4071" s="2275"/>
      <c r="V4071" s="546">
        <v>120</v>
      </c>
      <c r="W4071" s="2117">
        <f t="shared" si="335"/>
        <v>0.27500000000000002</v>
      </c>
    </row>
    <row r="4072" spans="2:23" s="80" customFormat="1" ht="15.75">
      <c r="B4072" s="540" t="s">
        <v>1858</v>
      </c>
      <c r="C4072" s="76" t="s">
        <v>8714</v>
      </c>
      <c r="D4072" s="77" t="s">
        <v>8715</v>
      </c>
      <c r="E4072" s="2657" t="s">
        <v>536</v>
      </c>
      <c r="F4072" s="2652">
        <v>160</v>
      </c>
      <c r="G4072" s="79">
        <v>763</v>
      </c>
      <c r="H4072" s="247">
        <v>50</v>
      </c>
      <c r="I4072" s="248">
        <v>1</v>
      </c>
      <c r="J4072" s="256">
        <f t="shared" si="329"/>
        <v>50</v>
      </c>
      <c r="K4072" s="257">
        <v>5</v>
      </c>
      <c r="L4072" s="250">
        <f t="shared" si="330"/>
        <v>250</v>
      </c>
      <c r="M4072" s="2118" t="s">
        <v>2218</v>
      </c>
      <c r="N4072" s="2654" t="s">
        <v>9117</v>
      </c>
      <c r="O4072" s="2654" t="s">
        <v>9117</v>
      </c>
      <c r="P4072" s="250">
        <f t="shared" si="331"/>
        <v>4.6999999999999993</v>
      </c>
      <c r="Q4072" s="2249">
        <v>4.7</v>
      </c>
      <c r="R4072" s="2115">
        <f t="shared" si="332"/>
        <v>235</v>
      </c>
      <c r="S4072" s="2648">
        <f t="shared" si="333"/>
        <v>435</v>
      </c>
      <c r="T4072" s="563">
        <f t="shared" si="334"/>
        <v>21750</v>
      </c>
      <c r="U4072" s="2275"/>
      <c r="V4072" s="546">
        <v>120</v>
      </c>
      <c r="W4072" s="2117">
        <f t="shared" si="335"/>
        <v>0.27500000000000002</v>
      </c>
    </row>
    <row r="4073" spans="2:23" s="2127" customFormat="1" ht="18" customHeight="1">
      <c r="B4073" s="540" t="s">
        <v>1862</v>
      </c>
      <c r="C4073" s="76" t="s">
        <v>8714</v>
      </c>
      <c r="D4073" s="77" t="s">
        <v>8715</v>
      </c>
      <c r="E4073" s="79"/>
      <c r="F4073" s="2122"/>
      <c r="G4073" s="2658" t="s">
        <v>9118</v>
      </c>
      <c r="H4073" s="256"/>
      <c r="I4073" s="2123"/>
      <c r="J4073" s="619">
        <v>1</v>
      </c>
      <c r="K4073" s="250">
        <v>0</v>
      </c>
      <c r="L4073" s="250">
        <f>K4073*J4073</f>
        <v>0</v>
      </c>
      <c r="M4073" s="783"/>
      <c r="N4073" s="576" t="s">
        <v>9119</v>
      </c>
      <c r="O4073" s="576" t="s">
        <v>9119</v>
      </c>
      <c r="P4073" s="250">
        <f>K4073*(VLOOKUP(B4073,$C$2:$F$6,3,FALSE))</f>
        <v>0</v>
      </c>
      <c r="Q4073" s="2249">
        <v>0</v>
      </c>
      <c r="R4073" s="2659">
        <f>Q4073*J4073</f>
        <v>0</v>
      </c>
      <c r="S4073" s="2660">
        <v>11250</v>
      </c>
      <c r="T4073" s="2661">
        <f>S4073*J4073</f>
        <v>11250</v>
      </c>
      <c r="U4073" s="2126"/>
      <c r="V4073" s="546">
        <v>120</v>
      </c>
      <c r="W4073" s="2117" t="e">
        <f t="shared" si="335"/>
        <v>#DIV/0!</v>
      </c>
    </row>
    <row r="4074" spans="2:23" s="2127" customFormat="1" ht="15">
      <c r="B4074" s="2121"/>
      <c r="C4074" s="76" t="s">
        <v>8714</v>
      </c>
      <c r="D4074" s="77" t="s">
        <v>8715</v>
      </c>
      <c r="E4074" s="249"/>
      <c r="F4074" s="616"/>
      <c r="G4074" s="616" t="s">
        <v>1227</v>
      </c>
      <c r="H4074" s="619" t="s">
        <v>3438</v>
      </c>
      <c r="I4074" s="254"/>
      <c r="J4074" s="253"/>
      <c r="K4074" s="250">
        <v>0</v>
      </c>
      <c r="L4074" s="250">
        <v>0</v>
      </c>
      <c r="M4074" s="576"/>
      <c r="N4074" s="2654" t="s">
        <v>9117</v>
      </c>
      <c r="O4074" s="2654" t="s">
        <v>9117</v>
      </c>
      <c r="P4074" s="76"/>
      <c r="Q4074" s="530">
        <v>0</v>
      </c>
      <c r="R4074" s="530">
        <v>0</v>
      </c>
      <c r="S4074" s="2662" t="s">
        <v>8805</v>
      </c>
      <c r="T4074" s="2662" t="s">
        <v>8805</v>
      </c>
      <c r="U4074" s="2649"/>
      <c r="V4074" s="546">
        <v>120</v>
      </c>
      <c r="W4074" s="2117" t="e">
        <f t="shared" si="335"/>
        <v>#VALUE!</v>
      </c>
    </row>
    <row r="4075" spans="2:23" ht="18" customHeight="1">
      <c r="C4075" s="6" t="s">
        <v>8736</v>
      </c>
      <c r="D4075" s="15" t="s">
        <v>8737</v>
      </c>
      <c r="E4075" s="20" t="s">
        <v>8738</v>
      </c>
      <c r="F4075" s="44"/>
      <c r="G4075" s="44"/>
      <c r="H4075" s="151"/>
      <c r="I4075" s="151"/>
      <c r="J4075" s="151"/>
      <c r="K4075" s="34" t="s">
        <v>134</v>
      </c>
      <c r="L4075" s="39"/>
      <c r="M4075" s="39"/>
      <c r="N4075" s="39">
        <v>45910</v>
      </c>
      <c r="O4075" s="38">
        <v>7444</v>
      </c>
      <c r="P4075" s="6"/>
      <c r="Q4075" s="524"/>
      <c r="S4075" s="1995"/>
      <c r="T4075" s="113"/>
      <c r="U4075" s="501"/>
      <c r="V4075" s="494">
        <v>120</v>
      </c>
      <c r="W4075" s="2041" t="e">
        <f t="shared" si="335"/>
        <v>#VALUE!</v>
      </c>
    </row>
    <row r="4076" spans="2:23" ht="18" customHeight="1">
      <c r="B4076" s="28" t="s">
        <v>1856</v>
      </c>
      <c r="C4076" s="6" t="s">
        <v>8736</v>
      </c>
      <c r="D4076" s="15" t="s">
        <v>8737</v>
      </c>
      <c r="E4076" s="24">
        <v>4156</v>
      </c>
      <c r="F4076" s="44" t="s">
        <v>8739</v>
      </c>
      <c r="G4076" s="24" t="s">
        <v>8754</v>
      </c>
      <c r="H4076" s="67">
        <v>15</v>
      </c>
      <c r="I4076" s="68">
        <v>1</v>
      </c>
      <c r="J4076" s="67">
        <f>H4076*I4076</f>
        <v>15</v>
      </c>
      <c r="K4076" s="46">
        <v>1.91</v>
      </c>
      <c r="L4076" s="46">
        <f>K4076*J4076</f>
        <v>28.65</v>
      </c>
      <c r="M4076" s="162" t="s">
        <v>2219</v>
      </c>
      <c r="N4076" s="39">
        <v>45910</v>
      </c>
      <c r="O4076" s="38">
        <v>7444</v>
      </c>
      <c r="P4076" s="46">
        <f>K4076*(VLOOKUP(B4076,$C$2:$F$6,3,FALSE))</f>
        <v>1.6807999999999998</v>
      </c>
      <c r="Q4076" s="482">
        <v>1.68</v>
      </c>
      <c r="R4076" s="704">
        <f>Q4076*J4076</f>
        <v>25.2</v>
      </c>
      <c r="S4076" s="489">
        <v>137</v>
      </c>
      <c r="T4076" s="113">
        <f>S4076*J4076</f>
        <v>2055</v>
      </c>
      <c r="U4076" s="699"/>
      <c r="V4076" s="494">
        <v>120</v>
      </c>
      <c r="W4076" s="2041">
        <f t="shared" si="335"/>
        <v>0.40226876090750435</v>
      </c>
    </row>
    <row r="4077" spans="2:23" ht="18" customHeight="1">
      <c r="B4077" s="12" t="s">
        <v>1862</v>
      </c>
      <c r="C4077" s="6" t="s">
        <v>8736</v>
      </c>
      <c r="D4077" s="15" t="s">
        <v>8737</v>
      </c>
      <c r="E4077" s="24"/>
      <c r="F4077" s="138"/>
      <c r="G4077" s="44" t="s">
        <v>1993</v>
      </c>
      <c r="H4077" s="8"/>
      <c r="I4077" s="41"/>
      <c r="J4077" s="45">
        <v>1</v>
      </c>
      <c r="K4077" s="46">
        <v>12</v>
      </c>
      <c r="L4077" s="46">
        <f>K4077*J4077</f>
        <v>12</v>
      </c>
      <c r="M4077" s="112"/>
      <c r="N4077" s="39">
        <v>45910</v>
      </c>
      <c r="O4077" s="38">
        <v>7444</v>
      </c>
      <c r="P4077" s="46">
        <f>K4077*(VLOOKUP(B4077,$C$2:$F$6,3,FALSE))</f>
        <v>12</v>
      </c>
      <c r="Q4077" s="483">
        <v>12</v>
      </c>
      <c r="R4077" s="704">
        <f>Q4077*J4077</f>
        <v>12</v>
      </c>
      <c r="S4077" s="489">
        <v>0</v>
      </c>
      <c r="T4077" s="113">
        <f>S4077*J4077</f>
        <v>0</v>
      </c>
      <c r="U4077" s="511"/>
      <c r="V4077" s="494">
        <v>120</v>
      </c>
      <c r="W4077" s="2041">
        <f t="shared" si="335"/>
        <v>1</v>
      </c>
    </row>
    <row r="4078" spans="2:23" s="314" customFormat="1" ht="15">
      <c r="B4078" s="313"/>
      <c r="C4078" s="302" t="s">
        <v>8736</v>
      </c>
      <c r="D4078" s="303" t="s">
        <v>8737</v>
      </c>
      <c r="E4078" s="304"/>
      <c r="F4078" s="305"/>
      <c r="G4078" s="305" t="s">
        <v>1227</v>
      </c>
      <c r="H4078" s="307" t="s">
        <v>1228</v>
      </c>
      <c r="I4078" s="308"/>
      <c r="J4078" s="306"/>
      <c r="K4078" s="315">
        <v>0</v>
      </c>
      <c r="L4078" s="310"/>
      <c r="M4078" s="310"/>
      <c r="N4078" s="310">
        <v>45910</v>
      </c>
      <c r="O4078" s="309">
        <v>7444</v>
      </c>
      <c r="P4078" s="302"/>
      <c r="Q4078" s="485">
        <v>0</v>
      </c>
      <c r="S4078" s="536">
        <v>0</v>
      </c>
      <c r="T4078" s="322">
        <v>0</v>
      </c>
      <c r="U4078" s="515"/>
      <c r="V4078" s="494">
        <v>120</v>
      </c>
      <c r="W4078" s="2041" t="e">
        <f t="shared" si="335"/>
        <v>#DIV/0!</v>
      </c>
    </row>
    <row r="4079" spans="2:23" ht="18" customHeight="1">
      <c r="C4079" s="6" t="s">
        <v>8758</v>
      </c>
      <c r="D4079" s="15" t="s">
        <v>8246</v>
      </c>
      <c r="E4079" s="20" t="s">
        <v>260</v>
      </c>
      <c r="F4079" s="44"/>
      <c r="G4079" s="44"/>
      <c r="H4079" s="151"/>
      <c r="I4079" s="151"/>
      <c r="J4079" s="151"/>
      <c r="K4079" s="34" t="s">
        <v>134</v>
      </c>
      <c r="L4079" s="39"/>
      <c r="M4079" s="39"/>
      <c r="N4079" s="39">
        <v>45958</v>
      </c>
      <c r="O4079" s="38">
        <v>7471</v>
      </c>
      <c r="P4079" s="6"/>
      <c r="Q4079" s="524"/>
      <c r="S4079" s="1995"/>
      <c r="T4079" s="113"/>
      <c r="U4079" s="501"/>
      <c r="V4079" s="494">
        <v>120</v>
      </c>
      <c r="W4079" s="2041" t="e">
        <f t="shared" si="335"/>
        <v>#VALUE!</v>
      </c>
    </row>
    <row r="4080" spans="2:23" ht="18" customHeight="1">
      <c r="B4080" s="28" t="s">
        <v>1856</v>
      </c>
      <c r="C4080" s="6" t="s">
        <v>8758</v>
      </c>
      <c r="D4080" s="15" t="s">
        <v>8246</v>
      </c>
      <c r="E4080" s="24">
        <v>4141</v>
      </c>
      <c r="F4080" s="44">
        <v>6</v>
      </c>
      <c r="G4080" s="24" t="s">
        <v>48</v>
      </c>
      <c r="H4080" s="67">
        <v>20</v>
      </c>
      <c r="I4080" s="68">
        <v>129</v>
      </c>
      <c r="J4080" s="67">
        <f>H4080*I4080</f>
        <v>2580</v>
      </c>
      <c r="K4080" s="46">
        <v>1.47</v>
      </c>
      <c r="L4080" s="46">
        <f>K4080*J4080</f>
        <v>3792.6</v>
      </c>
      <c r="M4080" s="162" t="s">
        <v>2219</v>
      </c>
      <c r="N4080" s="39">
        <v>45958</v>
      </c>
      <c r="O4080" s="38">
        <v>7471</v>
      </c>
      <c r="P4080" s="46">
        <f>K4080*(VLOOKUP(B4080,$C$2:$F$6,3,FALSE))</f>
        <v>1.2936000000000001</v>
      </c>
      <c r="Q4080" s="482">
        <v>1.29</v>
      </c>
      <c r="R4080" s="704">
        <f>Q4080*J4080</f>
        <v>3328.2000000000003</v>
      </c>
      <c r="S4080" s="489">
        <v>96</v>
      </c>
      <c r="T4080" s="113">
        <f>S4080*J4080</f>
        <v>247680</v>
      </c>
      <c r="U4080" s="699"/>
      <c r="V4080" s="494">
        <v>120</v>
      </c>
      <c r="W4080" s="2041">
        <f t="shared" si="335"/>
        <v>0.45578231292517007</v>
      </c>
    </row>
    <row r="4081" spans="1:23" ht="18" customHeight="1">
      <c r="B4081" s="28" t="s">
        <v>1856</v>
      </c>
      <c r="C4081" s="6" t="s">
        <v>8758</v>
      </c>
      <c r="D4081" s="15" t="s">
        <v>8246</v>
      </c>
      <c r="E4081" s="24">
        <v>4141</v>
      </c>
      <c r="F4081" s="44">
        <v>6</v>
      </c>
      <c r="G4081" s="24" t="s">
        <v>8772</v>
      </c>
      <c r="H4081" s="67">
        <v>20</v>
      </c>
      <c r="I4081" s="68">
        <v>25</v>
      </c>
      <c r="J4081" s="67">
        <f>H4081*I4081</f>
        <v>500</v>
      </c>
      <c r="K4081" s="46">
        <v>1.47</v>
      </c>
      <c r="L4081" s="46">
        <f>K4081*J4081</f>
        <v>735</v>
      </c>
      <c r="M4081" s="162" t="s">
        <v>2219</v>
      </c>
      <c r="N4081" s="39">
        <v>45958</v>
      </c>
      <c r="O4081" s="38">
        <v>7471</v>
      </c>
      <c r="P4081" s="46">
        <f>K4081*(VLOOKUP(B4081,$C$2:$F$6,3,FALSE))</f>
        <v>1.2936000000000001</v>
      </c>
      <c r="Q4081" s="482">
        <v>1.29</v>
      </c>
      <c r="R4081" s="704">
        <f>Q4081*J4081</f>
        <v>645</v>
      </c>
      <c r="S4081" s="489">
        <v>96</v>
      </c>
      <c r="T4081" s="113">
        <f>S4081*J4081</f>
        <v>48000</v>
      </c>
      <c r="U4081" s="699"/>
      <c r="V4081" s="494">
        <v>120</v>
      </c>
      <c r="W4081" s="2041">
        <f t="shared" si="335"/>
        <v>0.45578231292517007</v>
      </c>
    </row>
    <row r="4082" spans="1:23" s="314" customFormat="1" ht="15">
      <c r="A4082" s="1"/>
      <c r="B4082" s="313"/>
      <c r="C4082" s="302" t="s">
        <v>8758</v>
      </c>
      <c r="D4082" s="303" t="s">
        <v>8246</v>
      </c>
      <c r="E4082" s="304"/>
      <c r="F4082" s="305"/>
      <c r="G4082" s="305" t="s">
        <v>1227</v>
      </c>
      <c r="H4082" s="307" t="s">
        <v>1228</v>
      </c>
      <c r="I4082" s="308"/>
      <c r="J4082" s="306"/>
      <c r="K4082" s="315">
        <v>0</v>
      </c>
      <c r="L4082" s="310"/>
      <c r="M4082" s="310"/>
      <c r="N4082" s="310">
        <v>45958</v>
      </c>
      <c r="O4082" s="309">
        <v>7471</v>
      </c>
      <c r="P4082" s="302"/>
      <c r="Q4082" s="485">
        <v>0</v>
      </c>
      <c r="S4082" s="536">
        <v>0</v>
      </c>
      <c r="T4082" s="322">
        <v>0</v>
      </c>
      <c r="U4082" s="515"/>
      <c r="V4082" s="494">
        <v>120</v>
      </c>
      <c r="W4082" s="2041" t="e">
        <f t="shared" si="335"/>
        <v>#DIV/0!</v>
      </c>
    </row>
    <row r="4083" spans="1:23" ht="15">
      <c r="C4083" s="6" t="s">
        <v>8773</v>
      </c>
      <c r="D4083" s="15" t="s">
        <v>11</v>
      </c>
      <c r="E4083" s="20" t="s">
        <v>79</v>
      </c>
      <c r="F4083" s="150"/>
      <c r="G4083" s="24"/>
      <c r="H4083" s="151"/>
      <c r="I4083" s="152"/>
      <c r="J4083" s="151"/>
      <c r="K4083" s="153" t="s">
        <v>10</v>
      </c>
      <c r="L4083" s="39"/>
      <c r="M4083" s="39"/>
      <c r="N4083" s="2453">
        <v>45958</v>
      </c>
      <c r="O4083" s="38">
        <v>7573</v>
      </c>
      <c r="P4083" s="15"/>
      <c r="Q4083" s="483"/>
      <c r="S4083" s="2503"/>
      <c r="T4083" s="113"/>
      <c r="V4083" s="494">
        <v>120</v>
      </c>
      <c r="W4083" s="2041" t="e">
        <f t="shared" si="335"/>
        <v>#VALUE!</v>
      </c>
    </row>
    <row r="4084" spans="1:23" ht="15.75">
      <c r="B4084" s="12" t="s">
        <v>1858</v>
      </c>
      <c r="C4084" s="6" t="s">
        <v>8773</v>
      </c>
      <c r="D4084" s="15" t="s">
        <v>11</v>
      </c>
      <c r="E4084" s="24" t="s">
        <v>8774</v>
      </c>
      <c r="F4084" s="150">
        <v>152</v>
      </c>
      <c r="G4084" s="24" t="s">
        <v>6771</v>
      </c>
      <c r="H4084" s="67">
        <v>58</v>
      </c>
      <c r="I4084" s="68">
        <v>2</v>
      </c>
      <c r="J4084" s="67">
        <f t="shared" ref="J4084:J4089" si="336">H4084*I4084</f>
        <v>116</v>
      </c>
      <c r="K4084" s="46">
        <v>4.05</v>
      </c>
      <c r="L4084" s="46">
        <f t="shared" ref="L4084:L4089" si="337">K4084*J4084</f>
        <v>469.79999999999995</v>
      </c>
      <c r="M4084" s="162" t="s">
        <v>2219</v>
      </c>
      <c r="N4084" s="2583">
        <v>45958</v>
      </c>
      <c r="O4084" s="38">
        <v>7573</v>
      </c>
      <c r="P4084" s="46">
        <f t="shared" ref="P4084:P4089" si="338">K4084*(VLOOKUP(B4084,$C$2:$F$6,3,FALSE))</f>
        <v>3.8069999999999995</v>
      </c>
      <c r="Q4084" s="483">
        <v>3.81</v>
      </c>
      <c r="R4084" s="704">
        <f t="shared" ref="R4084:R4089" si="339">Q4084*J4084</f>
        <v>441.96</v>
      </c>
      <c r="S4084" s="489">
        <v>310</v>
      </c>
      <c r="T4084" s="567">
        <f t="shared" ref="T4084:T4089" si="340">S4084*J4084</f>
        <v>35960</v>
      </c>
      <c r="V4084" s="494">
        <v>120</v>
      </c>
      <c r="W4084" s="2041">
        <f t="shared" si="335"/>
        <v>0.36213991769547327</v>
      </c>
    </row>
    <row r="4085" spans="1:23" ht="16.5">
      <c r="B4085" s="12" t="s">
        <v>1858</v>
      </c>
      <c r="C4085" s="6" t="s">
        <v>8773</v>
      </c>
      <c r="D4085" s="15" t="s">
        <v>11</v>
      </c>
      <c r="E4085" s="24" t="s">
        <v>8774</v>
      </c>
      <c r="F4085" s="150">
        <v>152</v>
      </c>
      <c r="G4085" s="24" t="s">
        <v>5668</v>
      </c>
      <c r="H4085" s="67">
        <v>58</v>
      </c>
      <c r="I4085" s="68">
        <v>3</v>
      </c>
      <c r="J4085" s="67">
        <f t="shared" si="336"/>
        <v>174</v>
      </c>
      <c r="K4085" s="46">
        <v>4.05</v>
      </c>
      <c r="L4085" s="46">
        <f t="shared" si="337"/>
        <v>704.69999999999993</v>
      </c>
      <c r="M4085" s="162" t="s">
        <v>2219</v>
      </c>
      <c r="N4085" s="2584">
        <v>45958</v>
      </c>
      <c r="O4085" s="38">
        <v>7573</v>
      </c>
      <c r="P4085" s="46">
        <f t="shared" si="338"/>
        <v>3.8069999999999995</v>
      </c>
      <c r="Q4085" s="483">
        <v>3.81</v>
      </c>
      <c r="R4085" s="704">
        <f t="shared" si="339"/>
        <v>662.94</v>
      </c>
      <c r="S4085" s="489">
        <v>310</v>
      </c>
      <c r="T4085" s="567">
        <f t="shared" si="340"/>
        <v>53940</v>
      </c>
      <c r="V4085" s="494">
        <v>120</v>
      </c>
      <c r="W4085" s="2041">
        <f t="shared" si="335"/>
        <v>0.36213991769547327</v>
      </c>
    </row>
    <row r="4086" spans="1:23" ht="15.75">
      <c r="B4086" s="12" t="s">
        <v>1858</v>
      </c>
      <c r="C4086" s="6" t="s">
        <v>8773</v>
      </c>
      <c r="D4086" s="15" t="s">
        <v>11</v>
      </c>
      <c r="E4086" s="24" t="s">
        <v>8774</v>
      </c>
      <c r="F4086" s="150">
        <v>152</v>
      </c>
      <c r="G4086" s="24" t="s">
        <v>1299</v>
      </c>
      <c r="H4086" s="67">
        <v>58</v>
      </c>
      <c r="I4086" s="68">
        <v>3</v>
      </c>
      <c r="J4086" s="67">
        <f t="shared" si="336"/>
        <v>174</v>
      </c>
      <c r="K4086" s="46">
        <v>4.05</v>
      </c>
      <c r="L4086" s="46">
        <f t="shared" si="337"/>
        <v>704.69999999999993</v>
      </c>
      <c r="M4086" s="162" t="s">
        <v>2219</v>
      </c>
      <c r="N4086" s="2583">
        <v>45958</v>
      </c>
      <c r="O4086" s="38">
        <v>7573</v>
      </c>
      <c r="P4086" s="46">
        <f t="shared" si="338"/>
        <v>3.8069999999999995</v>
      </c>
      <c r="Q4086" s="483">
        <v>3.81</v>
      </c>
      <c r="R4086" s="704">
        <f t="shared" si="339"/>
        <v>662.94</v>
      </c>
      <c r="S4086" s="489">
        <v>310</v>
      </c>
      <c r="T4086" s="567">
        <f t="shared" si="340"/>
        <v>53940</v>
      </c>
      <c r="V4086" s="494">
        <v>120</v>
      </c>
      <c r="W4086" s="2041">
        <f t="shared" si="335"/>
        <v>0.36213991769547327</v>
      </c>
    </row>
    <row r="4087" spans="1:23" ht="15.75">
      <c r="B4087" s="12" t="s">
        <v>1858</v>
      </c>
      <c r="C4087" s="6" t="s">
        <v>8773</v>
      </c>
      <c r="D4087" s="15" t="s">
        <v>11</v>
      </c>
      <c r="E4087" s="24">
        <v>2440</v>
      </c>
      <c r="F4087" s="150">
        <v>140</v>
      </c>
      <c r="G4087" s="24" t="s">
        <v>8775</v>
      </c>
      <c r="H4087" s="67">
        <v>58</v>
      </c>
      <c r="I4087" s="68">
        <v>5</v>
      </c>
      <c r="J4087" s="67">
        <f t="shared" si="336"/>
        <v>290</v>
      </c>
      <c r="K4087" s="46">
        <v>4.05</v>
      </c>
      <c r="L4087" s="46">
        <f t="shared" si="337"/>
        <v>1174.5</v>
      </c>
      <c r="M4087" s="162" t="s">
        <v>2219</v>
      </c>
      <c r="N4087" s="39">
        <v>45925</v>
      </c>
      <c r="O4087" s="38">
        <v>7482</v>
      </c>
      <c r="P4087" s="46">
        <f t="shared" si="338"/>
        <v>3.8069999999999995</v>
      </c>
      <c r="Q4087" s="483">
        <v>3.81</v>
      </c>
      <c r="R4087" s="704">
        <f t="shared" si="339"/>
        <v>1104.9000000000001</v>
      </c>
      <c r="S4087" s="489">
        <v>310</v>
      </c>
      <c r="T4087" s="567">
        <f t="shared" si="340"/>
        <v>89900</v>
      </c>
      <c r="V4087" s="494">
        <v>120</v>
      </c>
      <c r="W4087" s="2041">
        <f t="shared" si="335"/>
        <v>0.36213991769547327</v>
      </c>
    </row>
    <row r="4088" spans="1:23" ht="15.75">
      <c r="B4088" s="12" t="s">
        <v>1858</v>
      </c>
      <c r="C4088" s="6" t="s">
        <v>8773</v>
      </c>
      <c r="D4088" s="15" t="s">
        <v>11</v>
      </c>
      <c r="E4088" s="24" t="s">
        <v>8791</v>
      </c>
      <c r="F4088" s="150">
        <v>152</v>
      </c>
      <c r="G4088" s="24" t="s">
        <v>2601</v>
      </c>
      <c r="H4088" s="67">
        <v>58</v>
      </c>
      <c r="I4088" s="68">
        <v>8</v>
      </c>
      <c r="J4088" s="67">
        <f t="shared" si="336"/>
        <v>464</v>
      </c>
      <c r="K4088" s="46">
        <v>4.05</v>
      </c>
      <c r="L4088" s="46">
        <f t="shared" si="337"/>
        <v>1879.1999999999998</v>
      </c>
      <c r="M4088" s="162" t="s">
        <v>2219</v>
      </c>
      <c r="N4088" s="39">
        <v>45925</v>
      </c>
      <c r="O4088" s="38">
        <v>7482</v>
      </c>
      <c r="P4088" s="46">
        <f t="shared" si="338"/>
        <v>3.8069999999999995</v>
      </c>
      <c r="Q4088" s="483">
        <v>3.81</v>
      </c>
      <c r="R4088" s="704">
        <f t="shared" si="339"/>
        <v>1767.84</v>
      </c>
      <c r="S4088" s="489">
        <v>310</v>
      </c>
      <c r="T4088" s="567">
        <f t="shared" si="340"/>
        <v>143840</v>
      </c>
      <c r="V4088" s="494">
        <v>120</v>
      </c>
      <c r="W4088" s="2041">
        <f t="shared" si="335"/>
        <v>0.36213991769547327</v>
      </c>
    </row>
    <row r="4089" spans="1:23" ht="15.75">
      <c r="B4089" s="12" t="s">
        <v>1858</v>
      </c>
      <c r="C4089" s="6" t="s">
        <v>8773</v>
      </c>
      <c r="D4089" s="15" t="s">
        <v>11</v>
      </c>
      <c r="E4089" s="24" t="s">
        <v>8791</v>
      </c>
      <c r="F4089" s="150">
        <v>152</v>
      </c>
      <c r="G4089" s="24" t="s">
        <v>2601</v>
      </c>
      <c r="H4089" s="67">
        <v>62</v>
      </c>
      <c r="I4089" s="68">
        <v>1</v>
      </c>
      <c r="J4089" s="67">
        <f t="shared" si="336"/>
        <v>62</v>
      </c>
      <c r="K4089" s="46">
        <v>4.05</v>
      </c>
      <c r="L4089" s="46">
        <f t="shared" si="337"/>
        <v>251.1</v>
      </c>
      <c r="M4089" s="162" t="s">
        <v>2219</v>
      </c>
      <c r="N4089" s="39">
        <v>45925</v>
      </c>
      <c r="O4089" s="38">
        <v>7482</v>
      </c>
      <c r="P4089" s="46">
        <f t="shared" si="338"/>
        <v>3.8069999999999995</v>
      </c>
      <c r="Q4089" s="483">
        <v>3.81</v>
      </c>
      <c r="R4089" s="704">
        <f t="shared" si="339"/>
        <v>236.22</v>
      </c>
      <c r="S4089" s="489">
        <v>310</v>
      </c>
      <c r="T4089" s="567">
        <f t="shared" si="340"/>
        <v>19220</v>
      </c>
      <c r="V4089" s="494">
        <v>120</v>
      </c>
      <c r="W4089" s="2041">
        <f t="shared" si="335"/>
        <v>0.36213991769547327</v>
      </c>
    </row>
    <row r="4090" spans="1:23" s="7" customFormat="1" ht="18" customHeight="1">
      <c r="B4090" s="12"/>
      <c r="C4090" s="6" t="s">
        <v>8773</v>
      </c>
      <c r="D4090" s="15" t="s">
        <v>11</v>
      </c>
      <c r="E4090" s="20" t="s">
        <v>27</v>
      </c>
      <c r="F4090" s="150"/>
      <c r="G4090" s="24"/>
      <c r="H4090" s="151"/>
      <c r="I4090" s="152"/>
      <c r="J4090" s="151"/>
      <c r="K4090" s="34" t="s">
        <v>10</v>
      </c>
      <c r="L4090" s="39"/>
      <c r="M4090" s="39"/>
      <c r="N4090" s="39">
        <v>45925</v>
      </c>
      <c r="O4090" s="38">
        <v>7482</v>
      </c>
      <c r="P4090" s="15"/>
      <c r="Q4090" s="483"/>
      <c r="S4090" s="707"/>
      <c r="T4090" s="113"/>
      <c r="U4090" s="506"/>
      <c r="V4090" s="494">
        <v>120</v>
      </c>
      <c r="W4090" s="7" t="e">
        <f t="shared" si="335"/>
        <v>#VALUE!</v>
      </c>
    </row>
    <row r="4091" spans="1:23" s="7" customFormat="1" ht="15.75">
      <c r="B4091" s="12" t="s">
        <v>1858</v>
      </c>
      <c r="C4091" s="6" t="s">
        <v>8773</v>
      </c>
      <c r="D4091" s="15" t="s">
        <v>11</v>
      </c>
      <c r="E4091" s="24" t="s">
        <v>536</v>
      </c>
      <c r="F4091" s="150">
        <v>160</v>
      </c>
      <c r="G4091" s="24" t="s">
        <v>2600</v>
      </c>
      <c r="H4091" s="67">
        <v>50</v>
      </c>
      <c r="I4091" s="68">
        <v>6</v>
      </c>
      <c r="J4091" s="8">
        <f>H4091*I4091</f>
        <v>300</v>
      </c>
      <c r="K4091" s="25">
        <v>5</v>
      </c>
      <c r="L4091" s="46">
        <f>K4091*J4091</f>
        <v>1500</v>
      </c>
      <c r="M4091" s="162" t="s">
        <v>2218</v>
      </c>
      <c r="N4091" s="39">
        <v>45925</v>
      </c>
      <c r="O4091" s="38">
        <v>7482</v>
      </c>
      <c r="P4091" s="46">
        <f>K4091*(VLOOKUP(B4091,$C$2:$F$6,3,FALSE))</f>
        <v>4.6999999999999993</v>
      </c>
      <c r="Q4091" s="483">
        <v>4.7</v>
      </c>
      <c r="R4091" s="704">
        <f>Q4091*J4091</f>
        <v>1410</v>
      </c>
      <c r="S4091" s="532">
        <v>420</v>
      </c>
      <c r="T4091" s="567">
        <f>S4091*J4091</f>
        <v>126000</v>
      </c>
      <c r="U4091" s="501"/>
      <c r="V4091" s="494">
        <v>120</v>
      </c>
      <c r="W4091" s="2041">
        <f t="shared" si="335"/>
        <v>0.3</v>
      </c>
    </row>
    <row r="4092" spans="1:23" s="217" customFormat="1" ht="15.95" customHeight="1">
      <c r="B4092" s="539"/>
      <c r="C4092" s="6" t="s">
        <v>8773</v>
      </c>
      <c r="D4092" s="15" t="s">
        <v>11</v>
      </c>
      <c r="E4092" s="56"/>
      <c r="F4092" s="160"/>
      <c r="G4092" s="42" t="s">
        <v>1993</v>
      </c>
      <c r="H4092" s="214"/>
      <c r="I4092" s="215"/>
      <c r="J4092" s="43">
        <v>1</v>
      </c>
      <c r="K4092" s="229">
        <v>20</v>
      </c>
      <c r="L4092" s="229">
        <v>0</v>
      </c>
      <c r="M4092" s="969"/>
      <c r="N4092" s="39">
        <v>45925</v>
      </c>
      <c r="O4092" s="38">
        <v>7482</v>
      </c>
      <c r="P4092" s="692"/>
      <c r="Q4092" s="970">
        <v>0</v>
      </c>
      <c r="R4092" s="970">
        <v>0</v>
      </c>
      <c r="S4092" s="498">
        <v>2500</v>
      </c>
      <c r="T4092" s="567">
        <f>S4092</f>
        <v>2500</v>
      </c>
      <c r="U4092" s="667"/>
      <c r="V4092" s="547">
        <v>120</v>
      </c>
      <c r="W4092" s="2051">
        <f t="shared" si="335"/>
        <v>-4.1666666666666664E-2</v>
      </c>
    </row>
    <row r="4093" spans="1:23" s="217" customFormat="1" ht="15.95" customHeight="1">
      <c r="B4093" s="539"/>
      <c r="C4093" s="6" t="s">
        <v>8773</v>
      </c>
      <c r="D4093" s="15" t="s">
        <v>11</v>
      </c>
      <c r="E4093" s="56"/>
      <c r="F4093" s="160"/>
      <c r="G4093" s="42" t="s">
        <v>1993</v>
      </c>
      <c r="H4093" s="214"/>
      <c r="I4093" s="215"/>
      <c r="J4093" s="43">
        <v>1</v>
      </c>
      <c r="K4093" s="229">
        <v>20</v>
      </c>
      <c r="L4093" s="229">
        <v>0</v>
      </c>
      <c r="M4093" s="969"/>
      <c r="N4093" s="2584">
        <v>45958</v>
      </c>
      <c r="O4093" s="38">
        <v>7573</v>
      </c>
      <c r="P4093" s="692"/>
      <c r="Q4093" s="970">
        <v>0</v>
      </c>
      <c r="R4093" s="970">
        <v>0</v>
      </c>
      <c r="S4093" s="498">
        <v>2500</v>
      </c>
      <c r="T4093" s="567">
        <f>S4093</f>
        <v>2500</v>
      </c>
      <c r="U4093" s="667"/>
      <c r="V4093" s="547">
        <v>120</v>
      </c>
      <c r="W4093" s="2051">
        <f t="shared" si="335"/>
        <v>-4.1666666666666664E-2</v>
      </c>
    </row>
    <row r="4094" spans="1:23" s="314" customFormat="1" ht="15" customHeight="1">
      <c r="A4094" s="1"/>
      <c r="B4094" s="313"/>
      <c r="C4094" s="302" t="s">
        <v>8773</v>
      </c>
      <c r="D4094" s="303" t="s">
        <v>11</v>
      </c>
      <c r="E4094" s="304"/>
      <c r="F4094" s="305"/>
      <c r="G4094" s="305" t="s">
        <v>1227</v>
      </c>
      <c r="H4094" s="307" t="s">
        <v>1228</v>
      </c>
      <c r="I4094" s="308"/>
      <c r="J4094" s="306"/>
      <c r="K4094" s="316">
        <v>0</v>
      </c>
      <c r="L4094" s="310"/>
      <c r="M4094" s="310"/>
      <c r="N4094" s="310">
        <v>45925</v>
      </c>
      <c r="O4094" s="309">
        <v>7482</v>
      </c>
      <c r="P4094" s="302"/>
      <c r="Q4094" s="485">
        <v>0</v>
      </c>
      <c r="S4094" s="536">
        <v>0</v>
      </c>
      <c r="T4094" s="322">
        <v>0</v>
      </c>
      <c r="U4094" s="515"/>
      <c r="V4094" s="494">
        <v>120</v>
      </c>
      <c r="W4094" s="2041" t="e">
        <f t="shared" si="335"/>
        <v>#DIV/0!</v>
      </c>
    </row>
    <row r="4095" spans="1:23" ht="15">
      <c r="C4095" s="6" t="s">
        <v>8789</v>
      </c>
      <c r="D4095" s="15" t="s">
        <v>5251</v>
      </c>
      <c r="E4095" s="20" t="s">
        <v>8782</v>
      </c>
      <c r="F4095" s="150"/>
      <c r="G4095" s="24"/>
      <c r="H4095" s="151"/>
      <c r="I4095" s="152"/>
      <c r="J4095" s="151"/>
      <c r="K4095" s="153" t="s">
        <v>10</v>
      </c>
      <c r="L4095" s="39"/>
      <c r="M4095" s="39"/>
      <c r="N4095" s="2453">
        <v>45924</v>
      </c>
      <c r="O4095" s="38">
        <v>7475</v>
      </c>
      <c r="P4095" s="15"/>
      <c r="Q4095" s="483"/>
      <c r="S4095" s="2503" t="s">
        <v>8787</v>
      </c>
      <c r="T4095" s="113"/>
      <c r="V4095" s="494">
        <v>120</v>
      </c>
      <c r="W4095" s="2041" t="e">
        <f t="shared" si="335"/>
        <v>#VALUE!</v>
      </c>
    </row>
    <row r="4096" spans="1:23" ht="15.75">
      <c r="B4096" s="12" t="s">
        <v>1858</v>
      </c>
      <c r="C4096" s="6" t="s">
        <v>8789</v>
      </c>
      <c r="D4096" s="15" t="s">
        <v>5251</v>
      </c>
      <c r="E4096" s="24" t="s">
        <v>8783</v>
      </c>
      <c r="F4096" s="150" t="s">
        <v>8784</v>
      </c>
      <c r="G4096" s="24" t="s">
        <v>8785</v>
      </c>
      <c r="H4096" s="67"/>
      <c r="I4096" s="68"/>
      <c r="J4096" s="67">
        <v>15</v>
      </c>
      <c r="K4096" s="46">
        <v>15.94</v>
      </c>
      <c r="L4096" s="46">
        <f>K4096*J4096</f>
        <v>239.1</v>
      </c>
      <c r="M4096" s="162" t="s">
        <v>2219</v>
      </c>
      <c r="N4096" s="2453">
        <v>45924</v>
      </c>
      <c r="O4096" s="38">
        <v>7475</v>
      </c>
      <c r="P4096" s="46">
        <f>K4096*(VLOOKUP(B4096,$C$2:$F$6,3,FALSE))</f>
        <v>14.983599999999999</v>
      </c>
      <c r="Q4096" s="483">
        <v>14.98</v>
      </c>
      <c r="R4096" s="704">
        <f>Q4096*J4096</f>
        <v>224.70000000000002</v>
      </c>
      <c r="S4096" s="489">
        <f>1130+400</f>
        <v>1530</v>
      </c>
      <c r="T4096" s="567">
        <f>S4096*J4096</f>
        <v>22950</v>
      </c>
      <c r="V4096" s="494">
        <v>120</v>
      </c>
      <c r="W4096" s="2041">
        <f t="shared" ref="W4096:W4106" si="341">(((K4096*V4096)-S4096)/(K4096*V4096))</f>
        <v>0.20012547051442908</v>
      </c>
    </row>
    <row r="4097" spans="1:23" s="314" customFormat="1" ht="15" customHeight="1">
      <c r="A4097" s="1"/>
      <c r="B4097" s="313"/>
      <c r="C4097" s="302" t="s">
        <v>8789</v>
      </c>
      <c r="D4097" s="303" t="s">
        <v>5251</v>
      </c>
      <c r="E4097" s="304"/>
      <c r="F4097" s="305"/>
      <c r="G4097" s="305" t="s">
        <v>1227</v>
      </c>
      <c r="H4097" s="307" t="s">
        <v>1228</v>
      </c>
      <c r="I4097" s="308"/>
      <c r="J4097" s="306"/>
      <c r="K4097" s="316">
        <v>0</v>
      </c>
      <c r="L4097" s="310"/>
      <c r="M4097" s="310"/>
      <c r="N4097" s="2454">
        <v>45924</v>
      </c>
      <c r="O4097" s="309">
        <v>7475</v>
      </c>
      <c r="P4097" s="302"/>
      <c r="Q4097" s="485">
        <v>0</v>
      </c>
      <c r="S4097" s="536">
        <v>0</v>
      </c>
      <c r="T4097" s="322">
        <v>0</v>
      </c>
      <c r="U4097" s="515"/>
      <c r="V4097" s="494">
        <v>120</v>
      </c>
      <c r="W4097" s="2041" t="e">
        <f t="shared" si="341"/>
        <v>#DIV/0!</v>
      </c>
    </row>
    <row r="4098" spans="1:23" ht="15">
      <c r="C4098" s="6" t="s">
        <v>8790</v>
      </c>
      <c r="D4098" s="15" t="s">
        <v>5251</v>
      </c>
      <c r="E4098" s="20" t="s">
        <v>8782</v>
      </c>
      <c r="F4098" s="150"/>
      <c r="G4098" s="24"/>
      <c r="H4098" s="151"/>
      <c r="I4098" s="152"/>
      <c r="J4098" s="151"/>
      <c r="K4098" s="153" t="s">
        <v>10</v>
      </c>
      <c r="L4098" s="39"/>
      <c r="M4098" s="39"/>
      <c r="N4098" s="2453">
        <v>45924</v>
      </c>
      <c r="O4098" s="38">
        <v>7476</v>
      </c>
      <c r="P4098" s="15"/>
      <c r="Q4098" s="483"/>
      <c r="S4098" s="2503"/>
      <c r="T4098" s="113"/>
      <c r="V4098" s="494">
        <v>120</v>
      </c>
      <c r="W4098" s="2041" t="e">
        <f t="shared" si="341"/>
        <v>#VALUE!</v>
      </c>
    </row>
    <row r="4099" spans="1:23" ht="15.75">
      <c r="B4099" s="12" t="s">
        <v>1858</v>
      </c>
      <c r="C4099" s="6" t="s">
        <v>8790</v>
      </c>
      <c r="D4099" s="15" t="s">
        <v>5251</v>
      </c>
      <c r="E4099" s="24" t="s">
        <v>8783</v>
      </c>
      <c r="F4099" s="150" t="s">
        <v>8784</v>
      </c>
      <c r="G4099" s="24" t="s">
        <v>8785</v>
      </c>
      <c r="H4099" s="67"/>
      <c r="I4099" s="68"/>
      <c r="J4099" s="19">
        <v>41.8</v>
      </c>
      <c r="K4099" s="46">
        <v>12.09</v>
      </c>
      <c r="L4099" s="46">
        <f>K4099*J4099</f>
        <v>505.36199999999997</v>
      </c>
      <c r="M4099" s="162" t="s">
        <v>2219</v>
      </c>
      <c r="N4099" s="2453">
        <v>45924</v>
      </c>
      <c r="O4099" s="38">
        <v>7476</v>
      </c>
      <c r="P4099" s="46">
        <f>K4099*(VLOOKUP(B4099,$C$2:$F$6,3,FALSE))</f>
        <v>11.364599999999999</v>
      </c>
      <c r="Q4099" s="483">
        <v>11.36</v>
      </c>
      <c r="R4099" s="704">
        <f>Q4099*J4099</f>
        <v>474.84799999999996</v>
      </c>
      <c r="S4099" s="489">
        <v>1130</v>
      </c>
      <c r="T4099" s="567">
        <f>S4099*J4099</f>
        <v>47234</v>
      </c>
      <c r="V4099" s="494">
        <v>120</v>
      </c>
      <c r="W4099" s="2041">
        <f t="shared" si="341"/>
        <v>0.22111938240970497</v>
      </c>
    </row>
    <row r="4100" spans="1:23" ht="15.75">
      <c r="B4100" s="12" t="s">
        <v>1858</v>
      </c>
      <c r="C4100" s="6" t="s">
        <v>8790</v>
      </c>
      <c r="D4100" s="15" t="s">
        <v>5251</v>
      </c>
      <c r="E4100" s="24" t="s">
        <v>8783</v>
      </c>
      <c r="F4100" s="150" t="s">
        <v>8784</v>
      </c>
      <c r="G4100" s="24" t="s">
        <v>8786</v>
      </c>
      <c r="H4100" s="67"/>
      <c r="I4100" s="68"/>
      <c r="J4100" s="67">
        <v>20</v>
      </c>
      <c r="K4100" s="46">
        <v>15.94</v>
      </c>
      <c r="L4100" s="46">
        <f>K4100*J4100</f>
        <v>318.8</v>
      </c>
      <c r="M4100" s="162" t="s">
        <v>2219</v>
      </c>
      <c r="N4100" s="2453">
        <v>45924</v>
      </c>
      <c r="O4100" s="38">
        <v>7476</v>
      </c>
      <c r="P4100" s="46">
        <f>K4100*(VLOOKUP(B4100,$C$2:$F$6,3,FALSE))</f>
        <v>14.983599999999999</v>
      </c>
      <c r="Q4100" s="483">
        <v>14.98</v>
      </c>
      <c r="R4100" s="704">
        <f>Q4100*J4100</f>
        <v>299.60000000000002</v>
      </c>
      <c r="S4100" s="489">
        <f>1130+400</f>
        <v>1530</v>
      </c>
      <c r="T4100" s="567">
        <f>S4100*J4100</f>
        <v>30600</v>
      </c>
      <c r="V4100" s="494">
        <v>120</v>
      </c>
      <c r="W4100" s="2041">
        <f t="shared" si="341"/>
        <v>0.20012547051442908</v>
      </c>
    </row>
    <row r="4101" spans="1:23" ht="15.75">
      <c r="B4101" s="12" t="s">
        <v>1858</v>
      </c>
      <c r="C4101" s="6" t="s">
        <v>8790</v>
      </c>
      <c r="D4101" s="15" t="s">
        <v>5251</v>
      </c>
      <c r="E4101" s="24" t="s">
        <v>8783</v>
      </c>
      <c r="F4101" s="150" t="s">
        <v>8784</v>
      </c>
      <c r="G4101" s="24" t="s">
        <v>8786</v>
      </c>
      <c r="H4101" s="67"/>
      <c r="I4101" s="68"/>
      <c r="J4101" s="67">
        <v>13</v>
      </c>
      <c r="K4101" s="46">
        <v>15.94</v>
      </c>
      <c r="L4101" s="46">
        <f>K4101*J4101</f>
        <v>207.22</v>
      </c>
      <c r="M4101" s="162" t="s">
        <v>2219</v>
      </c>
      <c r="N4101" s="2453">
        <v>45924</v>
      </c>
      <c r="O4101" s="38">
        <v>7476</v>
      </c>
      <c r="P4101" s="46">
        <f>K4101*(VLOOKUP(B4101,$C$2:$F$6,3,FALSE))</f>
        <v>14.983599999999999</v>
      </c>
      <c r="Q4101" s="483">
        <v>14.98</v>
      </c>
      <c r="R4101" s="704">
        <f>Q4101*J4101</f>
        <v>194.74</v>
      </c>
      <c r="S4101" s="489">
        <f>1130+400</f>
        <v>1530</v>
      </c>
      <c r="T4101" s="567">
        <f>S4101*J4101</f>
        <v>19890</v>
      </c>
      <c r="V4101" s="494">
        <v>120</v>
      </c>
      <c r="W4101" s="2041">
        <f t="shared" si="341"/>
        <v>0.20012547051442908</v>
      </c>
    </row>
    <row r="4102" spans="1:23" s="314" customFormat="1" ht="15" customHeight="1">
      <c r="A4102" s="1"/>
      <c r="B4102" s="313"/>
      <c r="C4102" s="302" t="s">
        <v>8790</v>
      </c>
      <c r="D4102" s="303" t="s">
        <v>5251</v>
      </c>
      <c r="E4102" s="304"/>
      <c r="F4102" s="305"/>
      <c r="G4102" s="305" t="s">
        <v>1227</v>
      </c>
      <c r="H4102" s="307" t="s">
        <v>1228</v>
      </c>
      <c r="I4102" s="308"/>
      <c r="J4102" s="306"/>
      <c r="K4102" s="316">
        <v>0</v>
      </c>
      <c r="L4102" s="310"/>
      <c r="M4102" s="310"/>
      <c r="N4102" s="2454">
        <v>45924</v>
      </c>
      <c r="O4102" s="309">
        <v>7476</v>
      </c>
      <c r="P4102" s="302"/>
      <c r="Q4102" s="485">
        <v>0</v>
      </c>
      <c r="S4102" s="536">
        <v>0</v>
      </c>
      <c r="T4102" s="322">
        <v>0</v>
      </c>
      <c r="U4102" s="515"/>
      <c r="V4102" s="494">
        <v>120</v>
      </c>
      <c r="W4102" s="2041" t="e">
        <f t="shared" si="341"/>
        <v>#DIV/0!</v>
      </c>
    </row>
    <row r="4103" spans="1:23" ht="18" customHeight="1">
      <c r="C4103" s="6" t="s">
        <v>8788</v>
      </c>
      <c r="D4103" s="15" t="s">
        <v>6806</v>
      </c>
      <c r="E4103" s="20" t="s">
        <v>260</v>
      </c>
      <c r="F4103" s="44"/>
      <c r="G4103" s="44"/>
      <c r="H4103" s="151"/>
      <c r="I4103" s="151"/>
      <c r="J4103" s="151"/>
      <c r="K4103" s="34" t="s">
        <v>134</v>
      </c>
      <c r="L4103" s="39"/>
      <c r="M4103" s="39"/>
      <c r="N4103" s="39">
        <v>45952</v>
      </c>
      <c r="O4103" s="38">
        <v>7484</v>
      </c>
      <c r="P4103" s="6"/>
      <c r="Q4103" s="524"/>
      <c r="S4103" s="1995"/>
      <c r="T4103" s="113"/>
      <c r="U4103" s="501"/>
      <c r="V4103" s="494">
        <v>120</v>
      </c>
      <c r="W4103" s="2041" t="e">
        <f t="shared" si="341"/>
        <v>#VALUE!</v>
      </c>
    </row>
    <row r="4104" spans="1:23" ht="18" customHeight="1">
      <c r="B4104" s="28" t="s">
        <v>1856</v>
      </c>
      <c r="C4104" s="6" t="s">
        <v>8788</v>
      </c>
      <c r="D4104" s="15" t="s">
        <v>6806</v>
      </c>
      <c r="E4104" s="1012">
        <v>4141</v>
      </c>
      <c r="F4104" s="44">
        <v>6</v>
      </c>
      <c r="G4104" s="24" t="s">
        <v>3096</v>
      </c>
      <c r="H4104" s="67">
        <v>20</v>
      </c>
      <c r="I4104" s="68">
        <v>15</v>
      </c>
      <c r="J4104" s="67">
        <f>H4104*I4104</f>
        <v>300</v>
      </c>
      <c r="K4104" s="46">
        <v>1.47</v>
      </c>
      <c r="L4104" s="46">
        <f>K4104*J4104</f>
        <v>441</v>
      </c>
      <c r="M4104" s="162" t="s">
        <v>2219</v>
      </c>
      <c r="N4104" s="2453">
        <v>45952</v>
      </c>
      <c r="O4104" s="38">
        <v>7484</v>
      </c>
      <c r="P4104" s="46">
        <f>K4104*(VLOOKUP(B4104,$C$2:$F$6,3,FALSE))</f>
        <v>1.2936000000000001</v>
      </c>
      <c r="Q4104" s="482">
        <v>1.29</v>
      </c>
      <c r="R4104" s="704">
        <f>Q4104*J4104</f>
        <v>387</v>
      </c>
      <c r="S4104" s="489">
        <v>96</v>
      </c>
      <c r="T4104" s="113">
        <f>S4104*J4104</f>
        <v>28800</v>
      </c>
      <c r="U4104" s="699"/>
      <c r="V4104" s="494">
        <v>120</v>
      </c>
      <c r="W4104" s="2041">
        <f t="shared" si="341"/>
        <v>0.45578231292517007</v>
      </c>
    </row>
    <row r="4105" spans="1:23" ht="18" customHeight="1">
      <c r="B4105" s="12" t="s">
        <v>1862</v>
      </c>
      <c r="C4105" s="6" t="s">
        <v>8788</v>
      </c>
      <c r="D4105" s="15" t="s">
        <v>6806</v>
      </c>
      <c r="E4105" s="24"/>
      <c r="F4105" s="138"/>
      <c r="G4105" s="44" t="s">
        <v>1993</v>
      </c>
      <c r="H4105" s="8"/>
      <c r="I4105" s="41"/>
      <c r="J4105" s="45">
        <v>1</v>
      </c>
      <c r="K4105" s="46">
        <v>12</v>
      </c>
      <c r="L4105" s="46">
        <f>K4105*J4105</f>
        <v>12</v>
      </c>
      <c r="M4105" s="112"/>
      <c r="N4105" s="39">
        <v>45952</v>
      </c>
      <c r="O4105" s="38">
        <v>7484</v>
      </c>
      <c r="P4105" s="46">
        <f>K4105*(VLOOKUP(B4105,$C$2:$F$6,3,FALSE))</f>
        <v>12</v>
      </c>
      <c r="Q4105" s="483">
        <v>12</v>
      </c>
      <c r="R4105" s="704">
        <f>Q4105*J4105</f>
        <v>12</v>
      </c>
      <c r="S4105" s="1011">
        <v>0</v>
      </c>
      <c r="T4105" s="2452">
        <f>S4105*J4105</f>
        <v>0</v>
      </c>
      <c r="U4105" s="511"/>
      <c r="V4105" s="494">
        <v>120</v>
      </c>
      <c r="W4105" s="2041">
        <f t="shared" si="341"/>
        <v>1</v>
      </c>
    </row>
    <row r="4106" spans="1:23" s="314" customFormat="1" ht="15">
      <c r="B4106" s="313"/>
      <c r="C4106" s="302" t="s">
        <v>8788</v>
      </c>
      <c r="D4106" s="303" t="s">
        <v>6806</v>
      </c>
      <c r="E4106" s="304"/>
      <c r="F4106" s="305"/>
      <c r="G4106" s="305" t="s">
        <v>1227</v>
      </c>
      <c r="H4106" s="307" t="s">
        <v>1228</v>
      </c>
      <c r="I4106" s="308"/>
      <c r="J4106" s="306"/>
      <c r="K4106" s="315">
        <v>0</v>
      </c>
      <c r="L4106" s="310"/>
      <c r="M4106" s="310"/>
      <c r="N4106" s="310">
        <v>45952</v>
      </c>
      <c r="O4106" s="309">
        <v>7484</v>
      </c>
      <c r="P4106" s="302"/>
      <c r="Q4106" s="485">
        <v>0</v>
      </c>
      <c r="S4106" s="536">
        <v>0</v>
      </c>
      <c r="T4106" s="322">
        <v>0</v>
      </c>
      <c r="U4106" s="515"/>
      <c r="V4106" s="494">
        <v>120</v>
      </c>
      <c r="W4106" s="2041" t="e">
        <f t="shared" si="341"/>
        <v>#DIV/0!</v>
      </c>
    </row>
    <row r="4107" spans="1:23" s="7" customFormat="1" ht="18" customHeight="1">
      <c r="B4107" s="12"/>
      <c r="C4107" s="6" t="s">
        <v>8792</v>
      </c>
      <c r="D4107" s="15" t="s">
        <v>11</v>
      </c>
      <c r="E4107" s="20" t="s">
        <v>7784</v>
      </c>
      <c r="F4107" s="24"/>
      <c r="G4107" s="44"/>
      <c r="H4107" s="151"/>
      <c r="I4107" s="151"/>
      <c r="J4107" s="151"/>
      <c r="K4107" s="153" t="s">
        <v>10</v>
      </c>
      <c r="L4107" s="39"/>
      <c r="M4107" s="39"/>
      <c r="N4107" s="39">
        <v>45931</v>
      </c>
      <c r="O4107" s="38">
        <v>7491</v>
      </c>
      <c r="P4107" s="6"/>
      <c r="Q4107" s="411"/>
      <c r="S4107" s="2350"/>
      <c r="T4107" s="113"/>
      <c r="U4107" s="2352"/>
      <c r="V4107" s="494">
        <v>120</v>
      </c>
    </row>
    <row r="4108" spans="1:23" s="7" customFormat="1" ht="15.95" customHeight="1">
      <c r="B4108" s="12" t="s">
        <v>1856</v>
      </c>
      <c r="C4108" s="6" t="s">
        <v>8792</v>
      </c>
      <c r="D4108" s="15" t="s">
        <v>11</v>
      </c>
      <c r="E4108" s="24" t="s">
        <v>7783</v>
      </c>
      <c r="F4108" s="44">
        <v>9</v>
      </c>
      <c r="G4108" s="44" t="s">
        <v>7785</v>
      </c>
      <c r="H4108" s="67">
        <v>30</v>
      </c>
      <c r="I4108" s="68">
        <v>4</v>
      </c>
      <c r="J4108" s="67">
        <f t="shared" ref="J4108:J4113" si="342">H4108*I4108</f>
        <v>120</v>
      </c>
      <c r="K4108" s="46">
        <v>0.47</v>
      </c>
      <c r="L4108" s="46">
        <f t="shared" ref="L4108:L4113" si="343">K4108*J4108</f>
        <v>56.4</v>
      </c>
      <c r="M4108" s="162" t="s">
        <v>2219</v>
      </c>
      <c r="N4108" s="39">
        <v>45931</v>
      </c>
      <c r="O4108" s="38">
        <v>7491</v>
      </c>
      <c r="P4108" s="46">
        <f t="shared" ref="P4108:P4113" si="344">K4108*(VLOOKUP(B4108,$C$2:$F$6,3,FALSE))</f>
        <v>0.41359999999999997</v>
      </c>
      <c r="Q4108" s="483">
        <v>0.41</v>
      </c>
      <c r="R4108" s="704">
        <f t="shared" ref="R4108:R4114" si="345">Q4108*J4108</f>
        <v>49.199999999999996</v>
      </c>
      <c r="S4108" s="2351">
        <v>28</v>
      </c>
      <c r="T4108" s="113">
        <f t="shared" ref="T4108:T4114" si="346">S4108*J4108</f>
        <v>3360</v>
      </c>
      <c r="U4108" s="2351"/>
      <c r="V4108" s="494">
        <v>120</v>
      </c>
      <c r="W4108" s="2041">
        <f t="shared" ref="W4108:W4115" si="347">(((K4108*V4108)-S4108)/(K4108*V4108))</f>
        <v>0.50354609929078009</v>
      </c>
    </row>
    <row r="4109" spans="1:23" s="7" customFormat="1" ht="15.95" customHeight="1">
      <c r="B4109" s="12" t="s">
        <v>1856</v>
      </c>
      <c r="C4109" s="6" t="s">
        <v>8792</v>
      </c>
      <c r="D4109" s="15" t="s">
        <v>11</v>
      </c>
      <c r="E4109" s="24" t="s">
        <v>7783</v>
      </c>
      <c r="F4109" s="44">
        <v>9</v>
      </c>
      <c r="G4109" s="44" t="s">
        <v>8796</v>
      </c>
      <c r="H4109" s="67">
        <v>30</v>
      </c>
      <c r="I4109" s="68">
        <v>4</v>
      </c>
      <c r="J4109" s="67">
        <f t="shared" si="342"/>
        <v>120</v>
      </c>
      <c r="K4109" s="46">
        <v>0.47</v>
      </c>
      <c r="L4109" s="46">
        <f t="shared" si="343"/>
        <v>56.4</v>
      </c>
      <c r="M4109" s="162" t="s">
        <v>2219</v>
      </c>
      <c r="N4109" s="39">
        <v>45931</v>
      </c>
      <c r="O4109" s="38">
        <v>7491</v>
      </c>
      <c r="P4109" s="46">
        <f t="shared" si="344"/>
        <v>0.41359999999999997</v>
      </c>
      <c r="Q4109" s="483">
        <v>0.41</v>
      </c>
      <c r="R4109" s="704">
        <f t="shared" si="345"/>
        <v>49.199999999999996</v>
      </c>
      <c r="S4109" s="2351">
        <v>28</v>
      </c>
      <c r="T4109" s="113">
        <f t="shared" si="346"/>
        <v>3360</v>
      </c>
      <c r="U4109" s="2351"/>
      <c r="V4109" s="494">
        <v>120</v>
      </c>
      <c r="W4109" s="2041">
        <f t="shared" si="347"/>
        <v>0.50354609929078009</v>
      </c>
    </row>
    <row r="4110" spans="1:23" s="7" customFormat="1" ht="15.95" customHeight="1">
      <c r="B4110" s="12" t="s">
        <v>1856</v>
      </c>
      <c r="C4110" s="6" t="s">
        <v>8792</v>
      </c>
      <c r="D4110" s="15" t="s">
        <v>11</v>
      </c>
      <c r="E4110" s="24" t="s">
        <v>7783</v>
      </c>
      <c r="F4110" s="44">
        <v>9</v>
      </c>
      <c r="G4110" s="44" t="s">
        <v>8793</v>
      </c>
      <c r="H4110" s="67">
        <v>30</v>
      </c>
      <c r="I4110" s="68">
        <v>4</v>
      </c>
      <c r="J4110" s="67">
        <f t="shared" si="342"/>
        <v>120</v>
      </c>
      <c r="K4110" s="46">
        <v>0.47</v>
      </c>
      <c r="L4110" s="46">
        <f t="shared" si="343"/>
        <v>56.4</v>
      </c>
      <c r="M4110" s="162" t="s">
        <v>2219</v>
      </c>
      <c r="N4110" s="39">
        <v>45931</v>
      </c>
      <c r="O4110" s="38">
        <v>7491</v>
      </c>
      <c r="P4110" s="46">
        <f t="shared" si="344"/>
        <v>0.41359999999999997</v>
      </c>
      <c r="Q4110" s="483">
        <v>0.41</v>
      </c>
      <c r="R4110" s="704">
        <f t="shared" si="345"/>
        <v>49.199999999999996</v>
      </c>
      <c r="S4110" s="2351">
        <v>28</v>
      </c>
      <c r="T4110" s="113">
        <f t="shared" si="346"/>
        <v>3360</v>
      </c>
      <c r="U4110" s="2351"/>
      <c r="V4110" s="494">
        <v>120</v>
      </c>
      <c r="W4110" s="2041">
        <f t="shared" si="347"/>
        <v>0.50354609929078009</v>
      </c>
    </row>
    <row r="4111" spans="1:23" s="7" customFormat="1" ht="15.95" customHeight="1">
      <c r="B4111" s="12" t="s">
        <v>1856</v>
      </c>
      <c r="C4111" s="6" t="s">
        <v>8792</v>
      </c>
      <c r="D4111" s="15" t="s">
        <v>11</v>
      </c>
      <c r="E4111" s="24" t="s">
        <v>7783</v>
      </c>
      <c r="F4111" s="44">
        <v>18</v>
      </c>
      <c r="G4111" s="44" t="s">
        <v>7785</v>
      </c>
      <c r="H4111" s="67">
        <v>30</v>
      </c>
      <c r="I4111" s="68">
        <v>3</v>
      </c>
      <c r="J4111" s="67">
        <f t="shared" si="342"/>
        <v>90</v>
      </c>
      <c r="K4111" s="46">
        <v>0.7</v>
      </c>
      <c r="L4111" s="46">
        <f t="shared" si="343"/>
        <v>62.999999999999993</v>
      </c>
      <c r="M4111" s="162" t="s">
        <v>2219</v>
      </c>
      <c r="N4111" s="39">
        <v>45931</v>
      </c>
      <c r="O4111" s="38">
        <v>7491</v>
      </c>
      <c r="P4111" s="46">
        <f t="shared" si="344"/>
        <v>0.61599999999999999</v>
      </c>
      <c r="Q4111" s="483">
        <v>0.62</v>
      </c>
      <c r="R4111" s="704">
        <f t="shared" si="345"/>
        <v>55.8</v>
      </c>
      <c r="S4111" s="2351">
        <v>42</v>
      </c>
      <c r="T4111" s="113">
        <f t="shared" si="346"/>
        <v>3780</v>
      </c>
      <c r="U4111" s="2351"/>
      <c r="V4111" s="494">
        <v>120</v>
      </c>
      <c r="W4111" s="2041">
        <f t="shared" si="347"/>
        <v>0.5</v>
      </c>
    </row>
    <row r="4112" spans="1:23" s="7" customFormat="1" ht="15.95" customHeight="1">
      <c r="B4112" s="12" t="s">
        <v>1856</v>
      </c>
      <c r="C4112" s="6" t="s">
        <v>8792</v>
      </c>
      <c r="D4112" s="15" t="s">
        <v>11</v>
      </c>
      <c r="E4112" s="24" t="s">
        <v>7783</v>
      </c>
      <c r="F4112" s="44">
        <v>18</v>
      </c>
      <c r="G4112" s="44" t="s">
        <v>8796</v>
      </c>
      <c r="H4112" s="67">
        <v>30</v>
      </c>
      <c r="I4112" s="68">
        <v>2</v>
      </c>
      <c r="J4112" s="67">
        <f t="shared" si="342"/>
        <v>60</v>
      </c>
      <c r="K4112" s="46">
        <v>0.7</v>
      </c>
      <c r="L4112" s="46">
        <f t="shared" si="343"/>
        <v>42</v>
      </c>
      <c r="M4112" s="162" t="s">
        <v>2219</v>
      </c>
      <c r="N4112" s="39">
        <v>45931</v>
      </c>
      <c r="O4112" s="38">
        <v>7491</v>
      </c>
      <c r="P4112" s="46">
        <f t="shared" si="344"/>
        <v>0.61599999999999999</v>
      </c>
      <c r="Q4112" s="483">
        <v>0.62</v>
      </c>
      <c r="R4112" s="704">
        <f t="shared" si="345"/>
        <v>37.200000000000003</v>
      </c>
      <c r="S4112" s="2351">
        <v>42</v>
      </c>
      <c r="T4112" s="113">
        <f t="shared" si="346"/>
        <v>2520</v>
      </c>
      <c r="U4112" s="2351"/>
      <c r="V4112" s="494">
        <v>120</v>
      </c>
      <c r="W4112" s="2041">
        <f t="shared" si="347"/>
        <v>0.5</v>
      </c>
    </row>
    <row r="4113" spans="1:23" s="7" customFormat="1" ht="15.95" customHeight="1">
      <c r="B4113" s="12" t="s">
        <v>1856</v>
      </c>
      <c r="C4113" s="6" t="s">
        <v>8792</v>
      </c>
      <c r="D4113" s="15" t="s">
        <v>11</v>
      </c>
      <c r="E4113" s="24" t="s">
        <v>7783</v>
      </c>
      <c r="F4113" s="44">
        <v>18</v>
      </c>
      <c r="G4113" s="44" t="s">
        <v>8793</v>
      </c>
      <c r="H4113" s="67">
        <v>30</v>
      </c>
      <c r="I4113" s="68">
        <v>2</v>
      </c>
      <c r="J4113" s="67">
        <f t="shared" si="342"/>
        <v>60</v>
      </c>
      <c r="K4113" s="46">
        <v>0.7</v>
      </c>
      <c r="L4113" s="46">
        <f t="shared" si="343"/>
        <v>42</v>
      </c>
      <c r="M4113" s="162" t="s">
        <v>2219</v>
      </c>
      <c r="N4113" s="39">
        <v>45931</v>
      </c>
      <c r="O4113" s="38">
        <v>7491</v>
      </c>
      <c r="P4113" s="46">
        <f t="shared" si="344"/>
        <v>0.61599999999999999</v>
      </c>
      <c r="Q4113" s="483">
        <v>0.62</v>
      </c>
      <c r="R4113" s="704">
        <f t="shared" si="345"/>
        <v>37.200000000000003</v>
      </c>
      <c r="S4113" s="2351">
        <v>42</v>
      </c>
      <c r="T4113" s="113">
        <f t="shared" si="346"/>
        <v>2520</v>
      </c>
      <c r="U4113" s="2351"/>
      <c r="V4113" s="494">
        <v>120</v>
      </c>
      <c r="W4113" s="2041">
        <f t="shared" si="347"/>
        <v>0.5</v>
      </c>
    </row>
    <row r="4114" spans="1:23" ht="15">
      <c r="C4114" s="6" t="s">
        <v>8792</v>
      </c>
      <c r="D4114" s="15" t="s">
        <v>11</v>
      </c>
      <c r="E4114" s="24"/>
      <c r="F4114" s="160"/>
      <c r="G4114" s="228" t="s">
        <v>481</v>
      </c>
      <c r="H4114" s="214"/>
      <c r="I4114" s="215"/>
      <c r="J4114" s="43">
        <v>1</v>
      </c>
      <c r="K4114" s="229">
        <v>12</v>
      </c>
      <c r="L4114" s="417" t="s">
        <v>1676</v>
      </c>
      <c r="M4114" s="417"/>
      <c r="N4114" s="39">
        <v>45931</v>
      </c>
      <c r="O4114" s="38">
        <v>7491</v>
      </c>
      <c r="P4114" s="216"/>
      <c r="Q4114" s="525">
        <v>0</v>
      </c>
      <c r="R4114" s="704">
        <f t="shared" si="345"/>
        <v>0</v>
      </c>
      <c r="S4114" s="532">
        <v>0</v>
      </c>
      <c r="T4114" s="113">
        <f t="shared" si="346"/>
        <v>0</v>
      </c>
      <c r="V4114" s="494">
        <v>120</v>
      </c>
      <c r="W4114" s="2041">
        <f t="shared" si="347"/>
        <v>1</v>
      </c>
    </row>
    <row r="4115" spans="1:23" s="314" customFormat="1" ht="15">
      <c r="B4115" s="313"/>
      <c r="C4115" s="302" t="s">
        <v>8792</v>
      </c>
      <c r="D4115" s="303" t="s">
        <v>11</v>
      </c>
      <c r="E4115" s="304"/>
      <c r="F4115" s="305"/>
      <c r="G4115" s="305" t="s">
        <v>1227</v>
      </c>
      <c r="H4115" s="307" t="s">
        <v>1228</v>
      </c>
      <c r="I4115" s="308"/>
      <c r="J4115" s="306"/>
      <c r="K4115" s="315">
        <v>0</v>
      </c>
      <c r="L4115" s="310"/>
      <c r="M4115" s="310"/>
      <c r="N4115" s="310">
        <v>45931</v>
      </c>
      <c r="O4115" s="309">
        <v>7491</v>
      </c>
      <c r="P4115" s="302"/>
      <c r="Q4115" s="485">
        <v>0</v>
      </c>
      <c r="S4115" s="535">
        <v>0</v>
      </c>
      <c r="T4115" s="322">
        <v>0</v>
      </c>
      <c r="U4115" s="515"/>
      <c r="V4115" s="494">
        <v>120</v>
      </c>
      <c r="W4115" s="2041" t="e">
        <f t="shared" si="347"/>
        <v>#DIV/0!</v>
      </c>
    </row>
    <row r="4116" spans="1:23" ht="15">
      <c r="C4116" s="6" t="s">
        <v>8797</v>
      </c>
      <c r="D4116" s="15" t="s">
        <v>1178</v>
      </c>
      <c r="E4116" s="20" t="s">
        <v>6351</v>
      </c>
      <c r="F4116" s="150"/>
      <c r="G4116" s="24"/>
      <c r="H4116" s="151"/>
      <c r="I4116" s="152"/>
      <c r="J4116" s="151"/>
      <c r="K4116" s="153" t="s">
        <v>1027</v>
      </c>
      <c r="L4116" s="39"/>
      <c r="M4116" s="39"/>
      <c r="N4116" s="39">
        <v>45960</v>
      </c>
      <c r="O4116" s="38">
        <v>7575</v>
      </c>
      <c r="P4116" s="15"/>
      <c r="Q4116" s="483"/>
      <c r="S4116" s="496"/>
      <c r="T4116" s="113"/>
      <c r="V4116" s="494">
        <v>120</v>
      </c>
      <c r="W4116"/>
    </row>
    <row r="4117" spans="1:23" ht="18" customHeight="1">
      <c r="B4117" s="28" t="s">
        <v>1856</v>
      </c>
      <c r="C4117" s="6" t="s">
        <v>8797</v>
      </c>
      <c r="D4117" s="15" t="s">
        <v>1178</v>
      </c>
      <c r="E4117" s="1012" t="s">
        <v>6352</v>
      </c>
      <c r="F4117" s="44"/>
      <c r="G4117" s="47" t="s">
        <v>6354</v>
      </c>
      <c r="H4117" s="151"/>
      <c r="I4117" s="152"/>
      <c r="J4117" s="2087">
        <v>500</v>
      </c>
      <c r="K4117" s="46">
        <v>0.24</v>
      </c>
      <c r="L4117" s="46">
        <f t="shared" ref="L4117:L4123" si="348">K4117*J4117</f>
        <v>120</v>
      </c>
      <c r="M4117" s="2567" t="s">
        <v>2446</v>
      </c>
      <c r="N4117" s="39">
        <v>45960</v>
      </c>
      <c r="O4117" s="38">
        <v>7575</v>
      </c>
      <c r="P4117" s="46">
        <f t="shared" ref="P4117:P4122" si="349">K4117*(VLOOKUP(B4117,$C$2:$F$6,3,FALSE))</f>
        <v>0.2112</v>
      </c>
      <c r="Q4117" s="482">
        <v>0.21</v>
      </c>
      <c r="R4117" s="704">
        <f t="shared" ref="R4117:R4123" si="350">Q4117*J4117</f>
        <v>105</v>
      </c>
      <c r="S4117" s="489">
        <v>12</v>
      </c>
      <c r="T4117" s="113">
        <f>S4117*J4117</f>
        <v>6000</v>
      </c>
      <c r="U4117" s="507"/>
      <c r="V4117" s="494">
        <v>120</v>
      </c>
      <c r="W4117" s="2041">
        <f t="shared" ref="W4117:W4144" si="351">(((K4117*V4117)-S4117)/(K4117*V4117))</f>
        <v>0.58333333333333326</v>
      </c>
    </row>
    <row r="4118" spans="1:23" ht="18" customHeight="1">
      <c r="B4118" s="28" t="s">
        <v>1856</v>
      </c>
      <c r="C4118" s="6" t="s">
        <v>8797</v>
      </c>
      <c r="D4118" s="15" t="s">
        <v>1178</v>
      </c>
      <c r="E4118" s="1012" t="s">
        <v>6352</v>
      </c>
      <c r="F4118" s="44"/>
      <c r="G4118" s="47" t="s">
        <v>6353</v>
      </c>
      <c r="H4118" s="151"/>
      <c r="I4118" s="152"/>
      <c r="J4118" s="2087">
        <v>1000</v>
      </c>
      <c r="K4118" s="46">
        <v>0.24</v>
      </c>
      <c r="L4118" s="46">
        <f t="shared" si="348"/>
        <v>240</v>
      </c>
      <c r="M4118" s="2567" t="s">
        <v>2446</v>
      </c>
      <c r="N4118" s="39">
        <v>45960</v>
      </c>
      <c r="O4118" s="38">
        <v>7575</v>
      </c>
      <c r="P4118" s="46">
        <f t="shared" si="349"/>
        <v>0.2112</v>
      </c>
      <c r="Q4118" s="482">
        <v>0.21</v>
      </c>
      <c r="R4118" s="704">
        <f t="shared" si="350"/>
        <v>210</v>
      </c>
      <c r="S4118" s="489">
        <v>12</v>
      </c>
      <c r="T4118" s="113">
        <f>S4118*J4118</f>
        <v>12000</v>
      </c>
      <c r="U4118" s="507"/>
      <c r="V4118" s="494">
        <v>120</v>
      </c>
      <c r="W4118" s="2041">
        <f t="shared" si="351"/>
        <v>0.58333333333333326</v>
      </c>
    </row>
    <row r="4119" spans="1:23" ht="18" customHeight="1">
      <c r="B4119" s="28" t="s">
        <v>1856</v>
      </c>
      <c r="C4119" s="6" t="s">
        <v>8797</v>
      </c>
      <c r="D4119" s="15" t="s">
        <v>1178</v>
      </c>
      <c r="E4119" s="1012" t="s">
        <v>6352</v>
      </c>
      <c r="F4119" s="44"/>
      <c r="G4119" s="47" t="s">
        <v>8800</v>
      </c>
      <c r="H4119" s="151"/>
      <c r="I4119" s="152"/>
      <c r="J4119" s="2087">
        <v>100</v>
      </c>
      <c r="K4119" s="46">
        <v>0.24</v>
      </c>
      <c r="L4119" s="46">
        <f t="shared" si="348"/>
        <v>24</v>
      </c>
      <c r="M4119" s="2567" t="s">
        <v>2446</v>
      </c>
      <c r="N4119" s="39">
        <v>45960</v>
      </c>
      <c r="O4119" s="38">
        <v>7575</v>
      </c>
      <c r="P4119" s="46">
        <f t="shared" si="349"/>
        <v>0.2112</v>
      </c>
      <c r="Q4119" s="482">
        <v>0.21</v>
      </c>
      <c r="R4119" s="704">
        <f t="shared" si="350"/>
        <v>21</v>
      </c>
      <c r="S4119" s="489">
        <v>12</v>
      </c>
      <c r="T4119" s="113">
        <f>S4119*J4119</f>
        <v>1200</v>
      </c>
      <c r="U4119" s="507"/>
      <c r="V4119" s="494">
        <v>120</v>
      </c>
      <c r="W4119" s="2041">
        <f t="shared" si="351"/>
        <v>0.58333333333333326</v>
      </c>
    </row>
    <row r="4120" spans="1:23" ht="18" customHeight="1">
      <c r="B4120" s="28" t="s">
        <v>1856</v>
      </c>
      <c r="C4120" s="6" t="s">
        <v>8797</v>
      </c>
      <c r="D4120" s="15" t="s">
        <v>1178</v>
      </c>
      <c r="E4120" s="1012" t="s">
        <v>6352</v>
      </c>
      <c r="F4120" s="44"/>
      <c r="G4120" s="47" t="s">
        <v>8798</v>
      </c>
      <c r="H4120" s="151"/>
      <c r="I4120" s="152"/>
      <c r="J4120" s="2087">
        <v>500</v>
      </c>
      <c r="K4120" s="46">
        <v>0.24</v>
      </c>
      <c r="L4120" s="46">
        <f t="shared" si="348"/>
        <v>120</v>
      </c>
      <c r="M4120" s="2567" t="s">
        <v>2446</v>
      </c>
      <c r="N4120" s="39">
        <v>45960</v>
      </c>
      <c r="O4120" s="38">
        <v>7575</v>
      </c>
      <c r="P4120" s="46">
        <f t="shared" si="349"/>
        <v>0.2112</v>
      </c>
      <c r="Q4120" s="482">
        <v>0.21</v>
      </c>
      <c r="R4120" s="704">
        <f t="shared" si="350"/>
        <v>105</v>
      </c>
      <c r="S4120" s="489">
        <v>12</v>
      </c>
      <c r="T4120" s="113">
        <f>S4120*J4120</f>
        <v>6000</v>
      </c>
      <c r="U4120" s="507"/>
      <c r="V4120" s="494">
        <v>120</v>
      </c>
      <c r="W4120" s="2041">
        <f t="shared" si="351"/>
        <v>0.58333333333333326</v>
      </c>
    </row>
    <row r="4121" spans="1:23" ht="18" customHeight="1">
      <c r="B4121" s="28" t="s">
        <v>1856</v>
      </c>
      <c r="C4121" s="6" t="s">
        <v>8797</v>
      </c>
      <c r="D4121" s="15" t="s">
        <v>1178</v>
      </c>
      <c r="E4121" s="1012" t="s">
        <v>6352</v>
      </c>
      <c r="F4121" s="44"/>
      <c r="G4121" s="47" t="s">
        <v>8799</v>
      </c>
      <c r="H4121" s="151"/>
      <c r="I4121" s="152"/>
      <c r="J4121" s="2087">
        <v>500</v>
      </c>
      <c r="K4121" s="46">
        <v>0.24</v>
      </c>
      <c r="L4121" s="46">
        <f t="shared" si="348"/>
        <v>120</v>
      </c>
      <c r="M4121" s="2567" t="s">
        <v>2446</v>
      </c>
      <c r="N4121" s="39">
        <v>45960</v>
      </c>
      <c r="O4121" s="38">
        <v>7575</v>
      </c>
      <c r="P4121" s="46">
        <f t="shared" si="349"/>
        <v>0.2112</v>
      </c>
      <c r="Q4121" s="482">
        <v>0.21</v>
      </c>
      <c r="R4121" s="704">
        <f t="shared" si="350"/>
        <v>105</v>
      </c>
      <c r="S4121" s="489">
        <v>12</v>
      </c>
      <c r="T4121" s="113">
        <f>S4121*J4121</f>
        <v>6000</v>
      </c>
      <c r="U4121" s="507"/>
      <c r="V4121" s="494">
        <v>120</v>
      </c>
      <c r="W4121" s="2041">
        <f t="shared" si="351"/>
        <v>0.58333333333333326</v>
      </c>
    </row>
    <row r="4122" spans="1:23" ht="15.75">
      <c r="B4122" s="28" t="s">
        <v>1862</v>
      </c>
      <c r="C4122" s="6" t="s">
        <v>8797</v>
      </c>
      <c r="D4122" s="15" t="s">
        <v>1178</v>
      </c>
      <c r="E4122" s="95"/>
      <c r="F4122" s="26"/>
      <c r="G4122" s="24" t="s">
        <v>6356</v>
      </c>
      <c r="H4122" s="67"/>
      <c r="I4122" s="68"/>
      <c r="J4122" s="45">
        <v>5</v>
      </c>
      <c r="K4122" s="25">
        <v>110</v>
      </c>
      <c r="L4122" s="46">
        <f t="shared" si="348"/>
        <v>550</v>
      </c>
      <c r="M4122" s="2567" t="s">
        <v>2446</v>
      </c>
      <c r="N4122" s="39">
        <v>45960</v>
      </c>
      <c r="O4122" s="38">
        <v>7575</v>
      </c>
      <c r="P4122" s="46">
        <f t="shared" si="349"/>
        <v>110</v>
      </c>
      <c r="Q4122" s="483">
        <v>110</v>
      </c>
      <c r="R4122" s="704">
        <f t="shared" si="350"/>
        <v>550</v>
      </c>
      <c r="S4122" s="489">
        <v>10000</v>
      </c>
      <c r="T4122" s="113">
        <v>50000</v>
      </c>
      <c r="U4122" s="1863"/>
      <c r="V4122" s="494">
        <v>120</v>
      </c>
      <c r="W4122" s="2041">
        <f t="shared" si="351"/>
        <v>0.24242424242424243</v>
      </c>
    </row>
    <row r="4123" spans="1:23" s="7" customFormat="1" ht="15" customHeight="1">
      <c r="A4123" s="1"/>
      <c r="B4123" s="12"/>
      <c r="C4123" s="6" t="s">
        <v>8797</v>
      </c>
      <c r="D4123" s="15" t="s">
        <v>1178</v>
      </c>
      <c r="E4123" s="24"/>
      <c r="F4123" s="44"/>
      <c r="G4123" s="44" t="s">
        <v>1949</v>
      </c>
      <c r="H4123" s="45"/>
      <c r="I4123" s="152" ph="1"/>
      <c r="J4123" s="45">
        <v>1</v>
      </c>
      <c r="K4123" s="46">
        <v>12</v>
      </c>
      <c r="L4123" s="46">
        <f t="shared" si="348"/>
        <v>12</v>
      </c>
      <c r="M4123" s="112"/>
      <c r="N4123" s="39">
        <v>45960</v>
      </c>
      <c r="O4123" s="38">
        <v>7575</v>
      </c>
      <c r="P4123" s="6"/>
      <c r="Q4123" s="483">
        <v>12</v>
      </c>
      <c r="R4123" s="704">
        <f t="shared" si="350"/>
        <v>12</v>
      </c>
      <c r="S4123" s="489">
        <v>1100</v>
      </c>
      <c r="T4123" s="113">
        <f>S4123*J4123</f>
        <v>1100</v>
      </c>
      <c r="U4123" s="501"/>
      <c r="V4123" s="494">
        <v>120</v>
      </c>
      <c r="W4123" s="2041">
        <f t="shared" si="351"/>
        <v>0.2361111111111111</v>
      </c>
    </row>
    <row r="4124" spans="1:23" s="314" customFormat="1" ht="15" customHeight="1">
      <c r="A4124" s="1"/>
      <c r="B4124" s="313"/>
      <c r="C4124" s="302" t="s">
        <v>8797</v>
      </c>
      <c r="D4124" s="303" t="s">
        <v>1178</v>
      </c>
      <c r="E4124" s="304"/>
      <c r="F4124" s="305"/>
      <c r="G4124" s="305" t="s">
        <v>1227</v>
      </c>
      <c r="H4124" s="307" t="s">
        <v>1228</v>
      </c>
      <c r="I4124" s="308"/>
      <c r="J4124" s="306"/>
      <c r="K4124" s="316">
        <v>0</v>
      </c>
      <c r="L4124" s="310"/>
      <c r="M4124" s="310"/>
      <c r="N4124" s="310">
        <v>45960</v>
      </c>
      <c r="O4124" s="309">
        <v>7575</v>
      </c>
      <c r="P4124" s="302"/>
      <c r="Q4124" s="485">
        <v>0</v>
      </c>
      <c r="S4124" s="536">
        <v>0</v>
      </c>
      <c r="T4124" s="322">
        <v>0</v>
      </c>
      <c r="U4124" s="515"/>
      <c r="V4124" s="494">
        <v>120</v>
      </c>
      <c r="W4124" s="2041" t="e">
        <f t="shared" si="351"/>
        <v>#DIV/0!</v>
      </c>
    </row>
    <row r="4125" spans="1:23" s="7" customFormat="1" ht="15" customHeight="1">
      <c r="B4125" s="12"/>
      <c r="C4125" s="2568" t="s">
        <v>8804</v>
      </c>
      <c r="D4125" s="15" t="s">
        <v>28</v>
      </c>
      <c r="E4125" s="20" t="s">
        <v>628</v>
      </c>
      <c r="F4125" s="26"/>
      <c r="G4125" s="24"/>
      <c r="H4125" s="67"/>
      <c r="I4125" s="318"/>
      <c r="J4125" s="67"/>
      <c r="K4125" s="17" t="s">
        <v>134</v>
      </c>
      <c r="L4125" s="39"/>
      <c r="M4125" s="39"/>
      <c r="N4125" s="39">
        <v>45938</v>
      </c>
      <c r="O4125" s="38">
        <v>7520</v>
      </c>
      <c r="P4125" s="179" t="s">
        <v>23</v>
      </c>
      <c r="Q4125" s="438" t="s">
        <v>959</v>
      </c>
      <c r="R4125" s="704"/>
      <c r="S4125" s="489"/>
      <c r="T4125" s="113"/>
      <c r="U4125" s="510"/>
      <c r="V4125" s="494">
        <v>120</v>
      </c>
      <c r="W4125" s="2041" t="e">
        <f t="shared" si="351"/>
        <v>#VALUE!</v>
      </c>
    </row>
    <row r="4126" spans="1:23" s="7" customFormat="1" ht="18" customHeight="1">
      <c r="B4126" s="12" t="s">
        <v>1856</v>
      </c>
      <c r="C4126" s="2568" t="s">
        <v>8804</v>
      </c>
      <c r="D4126" s="15" t="s">
        <v>28</v>
      </c>
      <c r="E4126" s="24">
        <v>5291</v>
      </c>
      <c r="F4126" s="26">
        <v>4</v>
      </c>
      <c r="G4126" s="24" t="s">
        <v>349</v>
      </c>
      <c r="H4126" s="67">
        <v>50</v>
      </c>
      <c r="I4126" s="68">
        <v>12</v>
      </c>
      <c r="J4126" s="67">
        <f>H4126*I4126</f>
        <v>600</v>
      </c>
      <c r="K4126" s="46">
        <v>0.13</v>
      </c>
      <c r="L4126" s="46">
        <f>K4126*J4126</f>
        <v>78</v>
      </c>
      <c r="M4126" s="162" t="s">
        <v>2219</v>
      </c>
      <c r="N4126" s="39">
        <v>45938</v>
      </c>
      <c r="O4126" s="38">
        <v>7520</v>
      </c>
      <c r="P4126" s="46">
        <f>K4126*(VLOOKUP(B4126,$C$2:$F$6,3,FALSE))</f>
        <v>0.1144</v>
      </c>
      <c r="Q4126" s="180">
        <v>0.11</v>
      </c>
      <c r="R4126" s="704">
        <f>Q4126*J4126</f>
        <v>66</v>
      </c>
      <c r="S4126" s="489">
        <v>7.7</v>
      </c>
      <c r="T4126" s="113">
        <f>S4126*J4126</f>
        <v>4620</v>
      </c>
      <c r="U4126" s="867"/>
      <c r="V4126" s="494">
        <v>120</v>
      </c>
      <c r="W4126" s="2041">
        <f t="shared" si="351"/>
        <v>0.5064102564102565</v>
      </c>
    </row>
    <row r="4127" spans="1:23" s="7" customFormat="1" ht="15" customHeight="1">
      <c r="A4127" s="1"/>
      <c r="B4127" s="12"/>
      <c r="C4127" s="2568" t="s">
        <v>8804</v>
      </c>
      <c r="D4127" s="15" t="s">
        <v>28</v>
      </c>
      <c r="E4127" s="24"/>
      <c r="F4127" s="44"/>
      <c r="G4127" s="44" t="s">
        <v>1949</v>
      </c>
      <c r="H4127" s="45"/>
      <c r="I4127" s="152" ph="1"/>
      <c r="J4127" s="45">
        <v>1</v>
      </c>
      <c r="K4127" s="46">
        <v>12</v>
      </c>
      <c r="L4127" s="46">
        <f>K4127*J4127</f>
        <v>12</v>
      </c>
      <c r="M4127" s="112"/>
      <c r="N4127" s="39">
        <v>45938</v>
      </c>
      <c r="O4127" s="38">
        <v>7520</v>
      </c>
      <c r="P4127" s="6"/>
      <c r="Q4127" s="483">
        <v>12</v>
      </c>
      <c r="R4127" s="704">
        <f>Q4127*J4127</f>
        <v>12</v>
      </c>
      <c r="S4127" s="489">
        <v>850</v>
      </c>
      <c r="T4127" s="113">
        <f>S4127*J4127</f>
        <v>850</v>
      </c>
      <c r="U4127" s="501"/>
      <c r="V4127" s="494">
        <v>120</v>
      </c>
      <c r="W4127" s="2041">
        <f t="shared" si="351"/>
        <v>0.40972222222222221</v>
      </c>
    </row>
    <row r="4128" spans="1:23" s="314" customFormat="1" ht="15" customHeight="1">
      <c r="B4128" s="313"/>
      <c r="C4128" s="2569" t="s">
        <v>8804</v>
      </c>
      <c r="D4128" s="303" t="s">
        <v>28</v>
      </c>
      <c r="E4128" s="304"/>
      <c r="F4128" s="305"/>
      <c r="G4128" s="305" t="s">
        <v>1227</v>
      </c>
      <c r="H4128" s="307" t="s">
        <v>1228</v>
      </c>
      <c r="I4128" s="308"/>
      <c r="J4128" s="306"/>
      <c r="K4128" s="316">
        <v>0</v>
      </c>
      <c r="L4128" s="310"/>
      <c r="M4128" s="310"/>
      <c r="N4128" s="310">
        <v>45938</v>
      </c>
      <c r="O4128" s="309">
        <v>7520</v>
      </c>
      <c r="P4128" s="302"/>
      <c r="Q4128" s="485">
        <v>0</v>
      </c>
      <c r="S4128" s="536">
        <v>0</v>
      </c>
      <c r="T4128" s="322">
        <v>0</v>
      </c>
      <c r="U4128" s="515"/>
      <c r="V4128" s="494">
        <v>120</v>
      </c>
      <c r="W4128" s="2041" t="e">
        <f t="shared" si="351"/>
        <v>#DIV/0!</v>
      </c>
    </row>
    <row r="4129" spans="1:23" s="7" customFormat="1" ht="18.600000000000001" customHeight="1">
      <c r="A4129" s="1"/>
      <c r="B4129" s="12"/>
      <c r="C4129" s="6" t="s">
        <v>8807</v>
      </c>
      <c r="D4129" s="15" t="s">
        <v>8806</v>
      </c>
      <c r="E4129" s="20" t="s">
        <v>1003</v>
      </c>
      <c r="F4129" s="24"/>
      <c r="G4129" s="44"/>
      <c r="H4129" s="151"/>
      <c r="I4129" s="151"/>
      <c r="J4129" s="151"/>
      <c r="K4129" s="153" t="s">
        <v>10</v>
      </c>
      <c r="L4129" s="39"/>
      <c r="M4129" s="162"/>
      <c r="N4129" s="39">
        <v>45939</v>
      </c>
      <c r="O4129" s="38">
        <v>7524</v>
      </c>
      <c r="P4129" s="6"/>
      <c r="Q4129" s="411"/>
      <c r="S4129" s="489"/>
      <c r="T4129" s="113"/>
      <c r="U4129" s="501"/>
      <c r="V4129" s="494">
        <v>120</v>
      </c>
      <c r="W4129" s="2041" t="e">
        <f t="shared" si="351"/>
        <v>#VALUE!</v>
      </c>
    </row>
    <row r="4130" spans="1:23" s="7" customFormat="1" ht="15.95" customHeight="1">
      <c r="A4130" s="1"/>
      <c r="B4130" s="12" t="s">
        <v>1856</v>
      </c>
      <c r="C4130" s="6" t="s">
        <v>8807</v>
      </c>
      <c r="D4130" s="15" t="s">
        <v>8806</v>
      </c>
      <c r="E4130" s="24" t="s">
        <v>1536</v>
      </c>
      <c r="F4130" s="44"/>
      <c r="G4130" s="44" t="s">
        <v>7694</v>
      </c>
      <c r="H4130" s="8">
        <v>14</v>
      </c>
      <c r="I4130" s="68">
        <v>7</v>
      </c>
      <c r="J4130" s="67">
        <f>I4130*H4130</f>
        <v>98</v>
      </c>
      <c r="K4130" s="46">
        <v>1.05</v>
      </c>
      <c r="L4130" s="46">
        <f>K4130*J4130</f>
        <v>102.9</v>
      </c>
      <c r="M4130" s="162" t="s">
        <v>2219</v>
      </c>
      <c r="N4130" s="39">
        <v>45939</v>
      </c>
      <c r="O4130" s="38">
        <v>7524</v>
      </c>
      <c r="P4130" s="46">
        <f>K4130*(VLOOKUP(B4130,$C$2:$F$6,3,FALSE))</f>
        <v>0.92400000000000004</v>
      </c>
      <c r="Q4130" s="483">
        <v>0.92</v>
      </c>
      <c r="R4130" s="704">
        <f>Q4130*J4130</f>
        <v>90.160000000000011</v>
      </c>
      <c r="S4130" s="489">
        <v>75</v>
      </c>
      <c r="T4130" s="567">
        <f>S4130*J4130</f>
        <v>7350</v>
      </c>
      <c r="U4130" s="517"/>
      <c r="V4130" s="494">
        <v>120</v>
      </c>
      <c r="W4130" s="2041">
        <f t="shared" si="351"/>
        <v>0.40476190476190477</v>
      </c>
    </row>
    <row r="4131" spans="1:23" s="7" customFormat="1" ht="15.95" customHeight="1">
      <c r="A4131" s="1"/>
      <c r="B4131" s="12" t="s">
        <v>1856</v>
      </c>
      <c r="C4131" s="6" t="s">
        <v>8807</v>
      </c>
      <c r="D4131" s="15" t="s">
        <v>8806</v>
      </c>
      <c r="E4131" s="24" t="s">
        <v>1529</v>
      </c>
      <c r="F4131" s="44"/>
      <c r="G4131" s="44" t="s">
        <v>7694</v>
      </c>
      <c r="H4131" s="8">
        <v>14</v>
      </c>
      <c r="I4131" s="68">
        <v>7</v>
      </c>
      <c r="J4131" s="67">
        <f>I4131*H4131</f>
        <v>98</v>
      </c>
      <c r="K4131" s="46">
        <v>1.81</v>
      </c>
      <c r="L4131" s="46">
        <f>K4131*J4131</f>
        <v>177.38</v>
      </c>
      <c r="M4131" s="162" t="s">
        <v>2219</v>
      </c>
      <c r="N4131" s="39">
        <v>45939</v>
      </c>
      <c r="O4131" s="38">
        <v>7524</v>
      </c>
      <c r="P4131" s="46">
        <f>K4131*(VLOOKUP(B4131,$C$2:$F$6,3,FALSE))</f>
        <v>1.5928</v>
      </c>
      <c r="Q4131" s="483">
        <v>1.59</v>
      </c>
      <c r="R4131" s="704">
        <f>Q4131*J4131</f>
        <v>155.82000000000002</v>
      </c>
      <c r="S4131" s="489">
        <v>130</v>
      </c>
      <c r="T4131" s="567">
        <f>S4131*J4131</f>
        <v>12740</v>
      </c>
      <c r="U4131" s="517"/>
      <c r="V4131" s="494">
        <v>120</v>
      </c>
      <c r="W4131" s="2041">
        <f t="shared" si="351"/>
        <v>0.40147329650092084</v>
      </c>
    </row>
    <row r="4132" spans="1:23" s="7" customFormat="1" ht="15.95" customHeight="1">
      <c r="A4132" s="1"/>
      <c r="B4132" s="12" t="s">
        <v>1856</v>
      </c>
      <c r="C4132" s="6" t="s">
        <v>8807</v>
      </c>
      <c r="D4132" s="15" t="s">
        <v>8806</v>
      </c>
      <c r="E4132" s="24" t="s">
        <v>1006</v>
      </c>
      <c r="F4132" s="44"/>
      <c r="G4132" s="44" t="s">
        <v>7694</v>
      </c>
      <c r="H4132" s="8">
        <v>14</v>
      </c>
      <c r="I4132" s="68">
        <v>7</v>
      </c>
      <c r="J4132" s="67">
        <f>I4132*H4132</f>
        <v>98</v>
      </c>
      <c r="K4132" s="46">
        <v>2.92</v>
      </c>
      <c r="L4132" s="46">
        <f>K4132*J4132</f>
        <v>286.15999999999997</v>
      </c>
      <c r="M4132" s="162" t="s">
        <v>2219</v>
      </c>
      <c r="N4132" s="39">
        <v>45939</v>
      </c>
      <c r="O4132" s="38">
        <v>7524</v>
      </c>
      <c r="P4132" s="46">
        <f>K4132*(VLOOKUP(B4132,$C$2:$F$6,3,FALSE))</f>
        <v>2.5695999999999999</v>
      </c>
      <c r="Q4132" s="483">
        <v>2.57</v>
      </c>
      <c r="R4132" s="704">
        <f>Q4132*J4132</f>
        <v>251.85999999999999</v>
      </c>
      <c r="S4132" s="489">
        <v>210</v>
      </c>
      <c r="T4132" s="567">
        <f>S4132*J4132</f>
        <v>20580</v>
      </c>
      <c r="U4132" s="517"/>
      <c r="V4132" s="494">
        <v>120</v>
      </c>
      <c r="W4132" s="2041">
        <f t="shared" si="351"/>
        <v>0.40068493150684925</v>
      </c>
    </row>
    <row r="4133" spans="1:23" ht="18" customHeight="1">
      <c r="B4133" s="12" t="s">
        <v>1862</v>
      </c>
      <c r="C4133" s="6" t="s">
        <v>8807</v>
      </c>
      <c r="D4133" s="15" t="s">
        <v>8806</v>
      </c>
      <c r="E4133" s="24"/>
      <c r="F4133" s="138"/>
      <c r="G4133" s="44" t="s">
        <v>1993</v>
      </c>
      <c r="H4133" s="8"/>
      <c r="I4133" s="41"/>
      <c r="J4133" s="45">
        <v>1</v>
      </c>
      <c r="K4133" s="46">
        <v>15</v>
      </c>
      <c r="L4133" s="46">
        <v>15</v>
      </c>
      <c r="M4133" s="112"/>
      <c r="N4133" s="39">
        <v>45939</v>
      </c>
      <c r="O4133" s="38">
        <v>7524</v>
      </c>
      <c r="P4133" s="46">
        <f>K4133*(VLOOKUP(B4133,$C$2:$F$6,3,FALSE))</f>
        <v>15</v>
      </c>
      <c r="Q4133" s="483">
        <v>15</v>
      </c>
      <c r="R4133" s="704">
        <f>Q4133*J4133</f>
        <v>15</v>
      </c>
      <c r="S4133" s="489">
        <v>900</v>
      </c>
      <c r="T4133" s="113">
        <f>S4133*J4133</f>
        <v>900</v>
      </c>
      <c r="U4133" s="511"/>
      <c r="V4133" s="494">
        <v>120</v>
      </c>
      <c r="W4133" s="2041">
        <f t="shared" si="351"/>
        <v>0.5</v>
      </c>
    </row>
    <row r="4134" spans="1:23" s="314" customFormat="1" ht="15">
      <c r="A4134" s="1"/>
      <c r="B4134" s="313"/>
      <c r="C4134" s="302" t="s">
        <v>8807</v>
      </c>
      <c r="D4134" s="303" t="s">
        <v>8806</v>
      </c>
      <c r="E4134" s="304"/>
      <c r="F4134" s="305"/>
      <c r="G4134" s="305" t="s">
        <v>1227</v>
      </c>
      <c r="H4134" s="307" t="s">
        <v>1228</v>
      </c>
      <c r="I4134" s="308"/>
      <c r="J4134" s="306"/>
      <c r="K4134" s="315">
        <v>0</v>
      </c>
      <c r="L4134" s="310"/>
      <c r="M4134" s="310"/>
      <c r="N4134" s="310">
        <v>45939</v>
      </c>
      <c r="O4134" s="309">
        <v>7524</v>
      </c>
      <c r="P4134" s="302"/>
      <c r="Q4134" s="485">
        <v>0</v>
      </c>
      <c r="S4134" s="536">
        <v>0</v>
      </c>
      <c r="T4134" s="322">
        <v>0</v>
      </c>
      <c r="U4134" s="515"/>
      <c r="V4134" s="494">
        <v>120</v>
      </c>
      <c r="W4134" s="2041" t="e">
        <f t="shared" si="351"/>
        <v>#DIV/0!</v>
      </c>
    </row>
    <row r="4135" spans="1:23" s="7" customFormat="1" ht="15" customHeight="1">
      <c r="A4135" s="1"/>
      <c r="B4135" s="12"/>
      <c r="C4135" s="6" t="s">
        <v>8811</v>
      </c>
      <c r="D4135" s="15" t="s">
        <v>5251</v>
      </c>
      <c r="E4135" s="20" t="s">
        <v>8252</v>
      </c>
      <c r="F4135" s="26"/>
      <c r="G4135" s="24"/>
      <c r="H4135" s="67"/>
      <c r="I4135" s="68"/>
      <c r="J4135" s="67"/>
      <c r="K4135" s="17" t="s">
        <v>10</v>
      </c>
      <c r="L4135" s="39"/>
      <c r="M4135" s="39"/>
      <c r="N4135" s="39">
        <v>45968</v>
      </c>
      <c r="O4135" s="38">
        <v>7622</v>
      </c>
      <c r="P4135" s="180" t="e">
        <f>K4135*(VLOOKUP(B4135,$C$2:$F$6,3,FALSE))</f>
        <v>#VALUE!</v>
      </c>
      <c r="Q4135" s="483"/>
      <c r="R4135" s="704"/>
      <c r="S4135" s="2533"/>
      <c r="T4135" s="113">
        <f>S4135*J4135</f>
        <v>0</v>
      </c>
      <c r="U4135" s="517"/>
      <c r="V4135" s="494">
        <v>120</v>
      </c>
      <c r="W4135" s="2041" t="e">
        <f t="shared" si="351"/>
        <v>#VALUE!</v>
      </c>
    </row>
    <row r="4136" spans="1:23" s="7" customFormat="1" ht="15.75" customHeight="1">
      <c r="A4136" s="1"/>
      <c r="B4136" s="12" t="s">
        <v>1856</v>
      </c>
      <c r="C4136" s="6" t="s">
        <v>8811</v>
      </c>
      <c r="D4136" s="15" t="s">
        <v>5251</v>
      </c>
      <c r="E4136" s="24" t="s">
        <v>8663</v>
      </c>
      <c r="F4136" s="26"/>
      <c r="G4136" s="24" t="s">
        <v>7694</v>
      </c>
      <c r="H4136" s="151"/>
      <c r="I4136" s="41"/>
      <c r="J4136" s="67">
        <v>20</v>
      </c>
      <c r="K4136" s="25">
        <v>3.06</v>
      </c>
      <c r="L4136" s="46">
        <f>K4136*J4136</f>
        <v>61.2</v>
      </c>
      <c r="M4136" s="162" t="s">
        <v>2219</v>
      </c>
      <c r="N4136" s="39">
        <v>45968</v>
      </c>
      <c r="O4136" s="38">
        <v>7622</v>
      </c>
      <c r="P4136" s="180">
        <f>K4136*(VLOOKUP(B4136,$C$2:$F$6,3,FALSE))</f>
        <v>2.6928000000000001</v>
      </c>
      <c r="Q4136" s="483">
        <v>2.69</v>
      </c>
      <c r="R4136" s="704">
        <f>Q4136*J4136</f>
        <v>53.8</v>
      </c>
      <c r="S4136" s="489">
        <v>220</v>
      </c>
      <c r="T4136" s="113">
        <f>S4136*J4136</f>
        <v>4400</v>
      </c>
      <c r="U4136" s="517"/>
      <c r="V4136" s="494">
        <v>120</v>
      </c>
      <c r="W4136" s="2041">
        <f t="shared" si="351"/>
        <v>0.40087145969498911</v>
      </c>
    </row>
    <row r="4137" spans="1:23" ht="18" customHeight="1">
      <c r="B4137" s="12" t="s">
        <v>1862</v>
      </c>
      <c r="C4137" s="6" t="s">
        <v>8811</v>
      </c>
      <c r="D4137" s="15" t="s">
        <v>5251</v>
      </c>
      <c r="E4137" s="24"/>
      <c r="F4137" s="138"/>
      <c r="G4137" s="44" t="s">
        <v>1993</v>
      </c>
      <c r="H4137" s="8"/>
      <c r="I4137" s="41"/>
      <c r="J4137" s="45">
        <v>1</v>
      </c>
      <c r="K4137" s="46">
        <v>12</v>
      </c>
      <c r="L4137" s="46">
        <f>K4137*J4137</f>
        <v>12</v>
      </c>
      <c r="M4137" s="112"/>
      <c r="N4137" s="39">
        <v>45968</v>
      </c>
      <c r="O4137" s="38">
        <v>7622</v>
      </c>
      <c r="P4137" s="46">
        <f>K4137*(VLOOKUP(B4137,$C$2:$F$6,3,FALSE))</f>
        <v>12</v>
      </c>
      <c r="Q4137" s="483">
        <v>12</v>
      </c>
      <c r="R4137" s="704">
        <f>Q4137*J4137</f>
        <v>12</v>
      </c>
      <c r="S4137" s="489">
        <v>0</v>
      </c>
      <c r="T4137" s="113">
        <f>S4137*J4137</f>
        <v>0</v>
      </c>
      <c r="U4137" s="511"/>
      <c r="V4137" s="494">
        <v>120</v>
      </c>
      <c r="W4137" s="2041">
        <f t="shared" si="351"/>
        <v>1</v>
      </c>
    </row>
    <row r="4138" spans="1:23" s="314" customFormat="1" ht="15">
      <c r="A4138" s="1"/>
      <c r="B4138" s="313"/>
      <c r="C4138" s="302" t="s">
        <v>8811</v>
      </c>
      <c r="D4138" s="303" t="s">
        <v>5251</v>
      </c>
      <c r="E4138" s="304"/>
      <c r="F4138" s="305"/>
      <c r="G4138" s="305" t="s">
        <v>1227</v>
      </c>
      <c r="H4138" s="307" t="s">
        <v>1228</v>
      </c>
      <c r="I4138" s="308"/>
      <c r="J4138" s="306"/>
      <c r="K4138" s="315">
        <v>0</v>
      </c>
      <c r="L4138" s="310"/>
      <c r="M4138" s="310"/>
      <c r="N4138" s="310">
        <v>45968</v>
      </c>
      <c r="O4138" s="309">
        <v>7622</v>
      </c>
      <c r="P4138" s="302"/>
      <c r="Q4138" s="485">
        <v>0</v>
      </c>
      <c r="S4138" s="536">
        <v>0</v>
      </c>
      <c r="T4138" s="322">
        <v>0</v>
      </c>
      <c r="U4138" s="515"/>
      <c r="V4138" s="494">
        <v>120</v>
      </c>
      <c r="W4138" s="2041" t="e">
        <f t="shared" si="351"/>
        <v>#DIV/0!</v>
      </c>
    </row>
    <row r="4139" spans="1:23" s="7" customFormat="1" ht="15">
      <c r="B4139" s="12"/>
      <c r="C4139" s="6" t="s">
        <v>8813</v>
      </c>
      <c r="D4139" s="15" t="s">
        <v>958</v>
      </c>
      <c r="E4139" s="20" t="s">
        <v>1110</v>
      </c>
      <c r="F4139" s="44"/>
      <c r="G4139" s="44"/>
      <c r="H4139" s="151"/>
      <c r="I4139" s="151"/>
      <c r="J4139" s="151"/>
      <c r="K4139" s="17" t="s">
        <v>134</v>
      </c>
      <c r="L4139" s="39"/>
      <c r="M4139" s="39"/>
      <c r="N4139" s="39">
        <v>45971</v>
      </c>
      <c r="O4139" s="38">
        <v>7536</v>
      </c>
      <c r="P4139" s="6"/>
      <c r="Q4139" s="524"/>
      <c r="S4139" s="489"/>
      <c r="T4139" s="113"/>
      <c r="U4139" s="501"/>
      <c r="V4139" s="494">
        <v>120</v>
      </c>
      <c r="W4139" s="2041" t="e">
        <f t="shared" si="351"/>
        <v>#VALUE!</v>
      </c>
    </row>
    <row r="4140" spans="1:23" s="7" customFormat="1" ht="15" customHeight="1">
      <c r="B4140" s="12" t="s">
        <v>1856</v>
      </c>
      <c r="C4140" s="6" t="s">
        <v>8813</v>
      </c>
      <c r="D4140" s="15" t="s">
        <v>958</v>
      </c>
      <c r="E4140" s="1012" t="s">
        <v>8635</v>
      </c>
      <c r="F4140" s="26"/>
      <c r="G4140" s="24" t="s">
        <v>8638</v>
      </c>
      <c r="H4140" s="67">
        <v>50</v>
      </c>
      <c r="I4140" s="68">
        <v>18</v>
      </c>
      <c r="J4140" s="8">
        <f>H4140*I4140</f>
        <v>900</v>
      </c>
      <c r="K4140" s="46">
        <v>1.1000000000000001</v>
      </c>
      <c r="L4140" s="46">
        <f>K4140*J4140</f>
        <v>990.00000000000011</v>
      </c>
      <c r="M4140" s="162" t="s">
        <v>2219</v>
      </c>
      <c r="N4140" s="2453">
        <v>45971</v>
      </c>
      <c r="O4140" s="38">
        <v>7536</v>
      </c>
      <c r="P4140" s="180">
        <v>0.66</v>
      </c>
      <c r="Q4140" s="482">
        <v>0.66</v>
      </c>
      <c r="R4140" s="704">
        <f>Q4140*J4140</f>
        <v>594</v>
      </c>
      <c r="S4140" s="489">
        <v>40.5</v>
      </c>
      <c r="T4140" s="113">
        <f>S4140*J4140</f>
        <v>36450</v>
      </c>
      <c r="U4140" s="1603"/>
      <c r="V4140" s="494">
        <v>120</v>
      </c>
      <c r="W4140" s="2041">
        <f t="shared" si="351"/>
        <v>0.69318181818181823</v>
      </c>
    </row>
    <row r="4141" spans="1:23" s="7" customFormat="1" ht="15" customHeight="1">
      <c r="B4141" s="12"/>
      <c r="C4141" s="6" t="s">
        <v>8813</v>
      </c>
      <c r="D4141" s="15" t="s">
        <v>958</v>
      </c>
      <c r="E4141" s="20" t="s">
        <v>628</v>
      </c>
      <c r="F4141" s="26"/>
      <c r="G4141" s="24"/>
      <c r="H4141" s="67"/>
      <c r="I4141" s="318"/>
      <c r="J4141" s="67"/>
      <c r="K4141" s="17" t="s">
        <v>134</v>
      </c>
      <c r="L4141" s="39"/>
      <c r="M4141" s="39"/>
      <c r="N4141" s="2453">
        <v>45971</v>
      </c>
      <c r="O4141" s="38">
        <v>7536</v>
      </c>
      <c r="P4141" s="179" t="s">
        <v>23</v>
      </c>
      <c r="Q4141" s="438" t="s">
        <v>959</v>
      </c>
      <c r="R4141" s="704"/>
      <c r="S4141" s="489"/>
      <c r="T4141" s="113"/>
      <c r="U4141" s="510"/>
      <c r="V4141" s="494">
        <v>120</v>
      </c>
      <c r="W4141" s="2041" t="e">
        <f t="shared" si="351"/>
        <v>#VALUE!</v>
      </c>
    </row>
    <row r="4142" spans="1:23" s="7" customFormat="1" ht="18" customHeight="1">
      <c r="B4142" s="12" t="s">
        <v>1856</v>
      </c>
      <c r="C4142" s="6" t="s">
        <v>8813</v>
      </c>
      <c r="D4142" s="15" t="s">
        <v>958</v>
      </c>
      <c r="E4142" s="1012">
        <v>5291</v>
      </c>
      <c r="F4142" s="26">
        <v>6</v>
      </c>
      <c r="G4142" s="24" t="s">
        <v>499</v>
      </c>
      <c r="H4142" s="67">
        <v>50</v>
      </c>
      <c r="I4142" s="68">
        <v>4</v>
      </c>
      <c r="J4142" s="67">
        <f>H4142*I4142</f>
        <v>200</v>
      </c>
      <c r="K4142" s="46">
        <v>0.51</v>
      </c>
      <c r="L4142" s="46">
        <f>K4142*J4142</f>
        <v>102</v>
      </c>
      <c r="M4142" s="162" t="s">
        <v>2219</v>
      </c>
      <c r="N4142" s="2453">
        <v>45971</v>
      </c>
      <c r="O4142" s="38">
        <v>7536</v>
      </c>
      <c r="P4142" s="180">
        <v>0.24</v>
      </c>
      <c r="Q4142" s="180">
        <v>0.24</v>
      </c>
      <c r="R4142" s="704">
        <f>Q4142*J4142</f>
        <v>48</v>
      </c>
      <c r="S4142" s="489">
        <v>14.6</v>
      </c>
      <c r="T4142" s="113">
        <f>S4142*J4142</f>
        <v>2920</v>
      </c>
      <c r="U4142" s="867"/>
      <c r="V4142" s="494">
        <v>120</v>
      </c>
      <c r="W4142" s="2041">
        <f t="shared" si="351"/>
        <v>0.76143790849673199</v>
      </c>
    </row>
    <row r="4143" spans="1:23" ht="15.95" customHeight="1">
      <c r="C4143" s="6" t="s">
        <v>8813</v>
      </c>
      <c r="D4143" s="15" t="s">
        <v>958</v>
      </c>
      <c r="E4143" s="24"/>
      <c r="F4143" s="138"/>
      <c r="G4143" s="44" t="s">
        <v>1993</v>
      </c>
      <c r="H4143" s="8"/>
      <c r="I4143" s="41"/>
      <c r="J4143" s="45">
        <v>1</v>
      </c>
      <c r="K4143" s="46">
        <v>20</v>
      </c>
      <c r="L4143" s="46">
        <v>0</v>
      </c>
      <c r="M4143" s="112"/>
      <c r="N4143" s="39">
        <v>45971</v>
      </c>
      <c r="O4143" s="38">
        <v>7536</v>
      </c>
      <c r="P4143" s="179"/>
      <c r="Q4143" s="180">
        <v>20</v>
      </c>
      <c r="R4143" s="704">
        <f>Q4143*J4143</f>
        <v>20</v>
      </c>
      <c r="S4143" s="2459">
        <f>850</f>
        <v>850</v>
      </c>
      <c r="T4143" s="2589">
        <f>S4143*J4143</f>
        <v>850</v>
      </c>
      <c r="U4143" s="511"/>
      <c r="V4143" s="494">
        <v>120</v>
      </c>
      <c r="W4143" s="2041">
        <f t="shared" si="351"/>
        <v>0.64583333333333337</v>
      </c>
    </row>
    <row r="4144" spans="1:23" s="314" customFormat="1" ht="15" customHeight="1">
      <c r="B4144" s="313"/>
      <c r="C4144" s="302" t="s">
        <v>8813</v>
      </c>
      <c r="D4144" s="303" t="s">
        <v>958</v>
      </c>
      <c r="E4144" s="304"/>
      <c r="F4144" s="305"/>
      <c r="G4144" s="305" t="s">
        <v>1227</v>
      </c>
      <c r="H4144" s="410"/>
      <c r="I4144" s="308"/>
      <c r="J4144" s="410">
        <v>1100</v>
      </c>
      <c r="K4144" s="315">
        <f>(0.24*200)+(0.35*900)</f>
        <v>363</v>
      </c>
      <c r="L4144" s="315"/>
      <c r="M4144" s="784"/>
      <c r="N4144" s="310">
        <v>45971</v>
      </c>
      <c r="O4144" s="309">
        <v>7536</v>
      </c>
      <c r="P4144" s="302"/>
      <c r="Q4144" s="315">
        <f>K4144-Q4143</f>
        <v>343</v>
      </c>
      <c r="R4144" s="315">
        <v>343</v>
      </c>
      <c r="S4144" s="2450">
        <v>12944</v>
      </c>
      <c r="T4144" s="2450">
        <v>12944</v>
      </c>
      <c r="U4144" s="1084"/>
      <c r="V4144" s="494">
        <v>120</v>
      </c>
      <c r="W4144" s="2041">
        <f t="shared" si="351"/>
        <v>0.70284664830119381</v>
      </c>
    </row>
    <row r="4145" spans="1:23" s="7" customFormat="1" ht="15" customHeight="1">
      <c r="B4145" s="12"/>
      <c r="C4145" s="6"/>
      <c r="D4145" s="15" t="s">
        <v>8231</v>
      </c>
      <c r="E4145" s="20" t="s">
        <v>6221</v>
      </c>
      <c r="F4145" s="26"/>
      <c r="G4145" s="24"/>
      <c r="H4145" s="67"/>
      <c r="I4145" s="68"/>
      <c r="J4145" s="67"/>
      <c r="K4145" s="17" t="s">
        <v>134</v>
      </c>
      <c r="L4145" s="39"/>
      <c r="M4145" s="39"/>
      <c r="N4145" s="39"/>
      <c r="O4145" s="38"/>
      <c r="P4145" s="179" t="s">
        <v>23</v>
      </c>
      <c r="Q4145" s="438" t="s">
        <v>959</v>
      </c>
      <c r="R4145" s="704"/>
      <c r="S4145" s="707"/>
      <c r="T4145" s="113"/>
      <c r="U4145" s="2068"/>
      <c r="V4145" s="494">
        <v>120</v>
      </c>
      <c r="W4145" s="2041" t="e">
        <f t="shared" ref="W4145:W4172" si="352">(((K4145*V4145)-S4145)/(K4145*V4145))</f>
        <v>#VALUE!</v>
      </c>
    </row>
    <row r="4146" spans="1:23" s="7" customFormat="1" ht="18" customHeight="1">
      <c r="B4146" s="12" t="s">
        <v>1856</v>
      </c>
      <c r="C4146" s="6"/>
      <c r="D4146" s="15" t="s">
        <v>8231</v>
      </c>
      <c r="E4146" s="95" t="s">
        <v>6214</v>
      </c>
      <c r="F4146" s="26">
        <v>9</v>
      </c>
      <c r="G4146" s="24" t="s">
        <v>6224</v>
      </c>
      <c r="H4146" s="67">
        <v>30</v>
      </c>
      <c r="I4146" s="68">
        <v>4</v>
      </c>
      <c r="J4146" s="67">
        <f>H4146*I4146</f>
        <v>120</v>
      </c>
      <c r="K4146" s="46">
        <v>1.32</v>
      </c>
      <c r="L4146" s="46">
        <f>K4146*J4146</f>
        <v>158.4</v>
      </c>
      <c r="M4146" s="162" t="s">
        <v>2219</v>
      </c>
      <c r="N4146" s="39"/>
      <c r="O4146" s="38"/>
      <c r="P4146" s="46">
        <f>K4146*(VLOOKUP(B4146,$C$2:$F$6,3,FALSE))</f>
        <v>1.1616</v>
      </c>
      <c r="Q4146" s="180">
        <v>1.1599999999999999</v>
      </c>
      <c r="R4146" s="704">
        <f>Q4146*J4146</f>
        <v>139.19999999999999</v>
      </c>
      <c r="S4146" s="489">
        <v>95</v>
      </c>
      <c r="T4146" s="113">
        <f>S4146*J4146</f>
        <v>11400</v>
      </c>
      <c r="U4146" s="489"/>
      <c r="V4146" s="494">
        <v>120</v>
      </c>
      <c r="W4146" s="2041">
        <f t="shared" si="352"/>
        <v>0.40025252525252525</v>
      </c>
    </row>
    <row r="4147" spans="1:23" s="7" customFormat="1" ht="18" customHeight="1">
      <c r="B4147" s="12" t="s">
        <v>1856</v>
      </c>
      <c r="C4147" s="6"/>
      <c r="D4147" s="15" t="s">
        <v>8231</v>
      </c>
      <c r="E4147" s="95" t="s">
        <v>6214</v>
      </c>
      <c r="F4147" s="26">
        <v>15</v>
      </c>
      <c r="G4147" s="24" t="s">
        <v>6224</v>
      </c>
      <c r="H4147" s="67">
        <v>30</v>
      </c>
      <c r="I4147" s="68">
        <v>4</v>
      </c>
      <c r="J4147" s="67">
        <f>H4147*I4147</f>
        <v>120</v>
      </c>
      <c r="K4147" s="46">
        <v>1.62</v>
      </c>
      <c r="L4147" s="46">
        <f>K4147*J4147</f>
        <v>194.4</v>
      </c>
      <c r="M4147" s="162" t="s">
        <v>2219</v>
      </c>
      <c r="N4147" s="39"/>
      <c r="O4147" s="38"/>
      <c r="P4147" s="46">
        <f>K4147*(VLOOKUP(B4147,$C$2:$F$6,3,FALSE))</f>
        <v>1.4256000000000002</v>
      </c>
      <c r="Q4147" s="180">
        <v>1.43</v>
      </c>
      <c r="R4147" s="704">
        <f>Q4147*J4147</f>
        <v>171.6</v>
      </c>
      <c r="S4147" s="489">
        <v>116</v>
      </c>
      <c r="T4147" s="113">
        <f>S4147*J4147</f>
        <v>13920</v>
      </c>
      <c r="U4147" s="489"/>
      <c r="V4147" s="494">
        <v>120</v>
      </c>
      <c r="W4147" s="2041">
        <f t="shared" si="352"/>
        <v>0.40329218106995884</v>
      </c>
    </row>
    <row r="4148" spans="1:23" ht="15.95" customHeight="1">
      <c r="C4148" s="6"/>
      <c r="D4148" s="15" t="s">
        <v>8231</v>
      </c>
      <c r="E4148" s="24"/>
      <c r="F4148" s="138"/>
      <c r="G4148" s="44" t="s">
        <v>1993</v>
      </c>
      <c r="H4148" s="8"/>
      <c r="I4148" s="41"/>
      <c r="J4148" s="45">
        <v>1</v>
      </c>
      <c r="K4148" s="46">
        <v>12</v>
      </c>
      <c r="L4148" s="46">
        <f>K4148*J4148</f>
        <v>12</v>
      </c>
      <c r="M4148" s="112"/>
      <c r="N4148" s="39"/>
      <c r="O4148" s="38"/>
      <c r="P4148" s="46" t="e">
        <f>K4148*(VLOOKUP(B4148,$C$2:$F$6,3,FALSE))</f>
        <v>#N/A</v>
      </c>
      <c r="Q4148" s="483">
        <v>12</v>
      </c>
      <c r="R4148" s="704">
        <f>Q4148*J4148</f>
        <v>12</v>
      </c>
      <c r="S4148" s="490">
        <v>1100</v>
      </c>
      <c r="T4148" s="1176">
        <f>S4148*J4148</f>
        <v>1100</v>
      </c>
      <c r="U4148" s="511"/>
      <c r="V4148" s="494">
        <v>120</v>
      </c>
      <c r="W4148" s="2041">
        <f t="shared" si="352"/>
        <v>0.2361111111111111</v>
      </c>
    </row>
    <row r="4149" spans="1:23" s="314" customFormat="1" ht="15" customHeight="1">
      <c r="B4149" s="313"/>
      <c r="C4149" s="302"/>
      <c r="D4149" s="303" t="s">
        <v>8231</v>
      </c>
      <c r="E4149" s="304"/>
      <c r="F4149" s="305"/>
      <c r="G4149" s="305" t="s">
        <v>1227</v>
      </c>
      <c r="H4149" s="307" t="s">
        <v>1228</v>
      </c>
      <c r="I4149" s="308"/>
      <c r="J4149" s="306"/>
      <c r="K4149" s="315">
        <v>0</v>
      </c>
      <c r="L4149" s="310"/>
      <c r="M4149" s="310"/>
      <c r="N4149" s="310"/>
      <c r="O4149" s="309"/>
      <c r="P4149" s="302"/>
      <c r="Q4149" s="485">
        <v>0</v>
      </c>
      <c r="S4149" s="536">
        <v>0</v>
      </c>
      <c r="T4149" s="322">
        <v>0</v>
      </c>
      <c r="U4149" s="515"/>
      <c r="V4149" s="494">
        <v>120</v>
      </c>
      <c r="W4149" s="2041" t="e">
        <f t="shared" si="352"/>
        <v>#DIV/0!</v>
      </c>
    </row>
    <row r="4150" spans="1:23" s="7" customFormat="1" ht="15" customHeight="1">
      <c r="A4150" s="1"/>
      <c r="B4150" s="12"/>
      <c r="C4150" s="6" t="s">
        <v>8815</v>
      </c>
      <c r="D4150" s="15" t="s">
        <v>8819</v>
      </c>
      <c r="E4150" s="20" t="s">
        <v>8300</v>
      </c>
      <c r="F4150" s="26"/>
      <c r="G4150" s="24"/>
      <c r="H4150" s="67"/>
      <c r="I4150" s="68"/>
      <c r="J4150" s="67"/>
      <c r="K4150" s="17" t="s">
        <v>10</v>
      </c>
      <c r="L4150" s="39"/>
      <c r="M4150" s="39"/>
      <c r="N4150" s="39">
        <v>46014</v>
      </c>
      <c r="O4150" s="38">
        <v>7681</v>
      </c>
      <c r="P4150" s="180" t="e">
        <f>K4150*(VLOOKUP(B4150,$C$2:$F$6,3,FALSE))</f>
        <v>#VALUE!</v>
      </c>
      <c r="Q4150" s="483"/>
      <c r="R4150" s="704"/>
      <c r="S4150" s="2458" t="s">
        <v>8818</v>
      </c>
      <c r="T4150" s="113" t="e">
        <f>S4150*J4150</f>
        <v>#VALUE!</v>
      </c>
      <c r="U4150" s="517"/>
      <c r="V4150" s="494">
        <v>120</v>
      </c>
      <c r="W4150" s="2041" t="e">
        <f t="shared" si="352"/>
        <v>#VALUE!</v>
      </c>
    </row>
    <row r="4151" spans="1:23" s="7" customFormat="1" ht="15.75" customHeight="1">
      <c r="A4151" s="1"/>
      <c r="B4151" s="12" t="s">
        <v>1856</v>
      </c>
      <c r="C4151" s="6" t="s">
        <v>8815</v>
      </c>
      <c r="D4151" s="15" t="s">
        <v>8819</v>
      </c>
      <c r="E4151" s="24" t="s">
        <v>8301</v>
      </c>
      <c r="F4151" s="26"/>
      <c r="G4151" s="24" t="s">
        <v>8483</v>
      </c>
      <c r="H4151" s="151"/>
      <c r="I4151" s="41"/>
      <c r="J4151" s="67">
        <v>1700</v>
      </c>
      <c r="K4151" s="25">
        <v>2.73</v>
      </c>
      <c r="L4151" s="46">
        <f>K4151*J4151</f>
        <v>4641</v>
      </c>
      <c r="M4151" s="162" t="s">
        <v>2219</v>
      </c>
      <c r="N4151" s="39">
        <v>46014</v>
      </c>
      <c r="O4151" s="38">
        <v>7681</v>
      </c>
      <c r="P4151" s="180">
        <f>K4151*(VLOOKUP(B4151,$C$2:$F$6,3,FALSE))</f>
        <v>2.4024000000000001</v>
      </c>
      <c r="Q4151" s="483">
        <v>2.4</v>
      </c>
      <c r="R4151" s="704">
        <f>Q4151*J4151</f>
        <v>4080</v>
      </c>
      <c r="S4151" s="489">
        <f>160+70</f>
        <v>230</v>
      </c>
      <c r="T4151" s="113">
        <f>S4151*J4151</f>
        <v>391000</v>
      </c>
      <c r="U4151" s="517"/>
      <c r="V4151" s="494">
        <v>130</v>
      </c>
      <c r="W4151" s="2041">
        <f t="shared" si="352"/>
        <v>0.35193012116089034</v>
      </c>
    </row>
    <row r="4152" spans="1:23" s="7" customFormat="1" ht="15.75" customHeight="1">
      <c r="A4152" s="1"/>
      <c r="B4152" s="12" t="s">
        <v>1856</v>
      </c>
      <c r="C4152" s="6" t="s">
        <v>8815</v>
      </c>
      <c r="D4152" s="15" t="s">
        <v>8819</v>
      </c>
      <c r="E4152" s="24" t="s">
        <v>8301</v>
      </c>
      <c r="F4152" s="26"/>
      <c r="G4152" s="24" t="s">
        <v>8817</v>
      </c>
      <c r="H4152" s="151"/>
      <c r="I4152" s="41"/>
      <c r="J4152" s="67">
        <v>1020</v>
      </c>
      <c r="K4152" s="25">
        <v>2.73</v>
      </c>
      <c r="L4152" s="46">
        <f>K4152*J4152</f>
        <v>2784.6</v>
      </c>
      <c r="M4152" s="162" t="s">
        <v>2219</v>
      </c>
      <c r="N4152" s="39">
        <v>46014</v>
      </c>
      <c r="O4152" s="38">
        <v>7681</v>
      </c>
      <c r="P4152" s="180">
        <f>K4152*(VLOOKUP(B4152,$C$2:$F$6,3,FALSE))</f>
        <v>2.4024000000000001</v>
      </c>
      <c r="Q4152" s="483">
        <v>2.4</v>
      </c>
      <c r="R4152" s="704">
        <f>Q4152*J4152</f>
        <v>2448</v>
      </c>
      <c r="S4152" s="489">
        <f>160+70</f>
        <v>230</v>
      </c>
      <c r="T4152" s="113">
        <f>S4152*J4152</f>
        <v>234600</v>
      </c>
      <c r="U4152" s="517"/>
      <c r="V4152" s="494">
        <v>130</v>
      </c>
      <c r="W4152" s="2041">
        <f t="shared" si="352"/>
        <v>0.35193012116089034</v>
      </c>
    </row>
    <row r="4153" spans="1:23" s="314" customFormat="1" ht="15">
      <c r="A4153" s="1"/>
      <c r="B4153" s="313"/>
      <c r="C4153" s="302" t="s">
        <v>8815</v>
      </c>
      <c r="D4153" s="303" t="s">
        <v>8819</v>
      </c>
      <c r="E4153" s="304"/>
      <c r="F4153" s="305"/>
      <c r="G4153" s="305" t="s">
        <v>1227</v>
      </c>
      <c r="H4153" s="307" t="s">
        <v>1228</v>
      </c>
      <c r="I4153" s="308"/>
      <c r="J4153" s="306"/>
      <c r="K4153" s="315">
        <v>70</v>
      </c>
      <c r="L4153" s="315">
        <v>70</v>
      </c>
      <c r="M4153" s="310"/>
      <c r="N4153" s="310">
        <v>46014</v>
      </c>
      <c r="O4153" s="309">
        <v>7681</v>
      </c>
      <c r="P4153" s="302"/>
      <c r="Q4153" s="315">
        <v>70</v>
      </c>
      <c r="R4153" s="315">
        <v>70</v>
      </c>
      <c r="S4153" s="536">
        <v>7188</v>
      </c>
      <c r="T4153" s="536">
        <v>7188</v>
      </c>
      <c r="U4153" s="515"/>
      <c r="V4153" s="494">
        <v>120</v>
      </c>
      <c r="W4153" s="2041">
        <f t="shared" si="352"/>
        <v>0.14428571428571429</v>
      </c>
    </row>
    <row r="4154" spans="1:23" s="7" customFormat="1" ht="18.600000000000001" customHeight="1">
      <c r="A4154" s="1"/>
      <c r="B4154" s="12"/>
      <c r="C4154" s="6" t="s">
        <v>8880</v>
      </c>
      <c r="D4154" s="15" t="s">
        <v>8820</v>
      </c>
      <c r="E4154" s="20" t="s">
        <v>1003</v>
      </c>
      <c r="F4154" s="24"/>
      <c r="G4154" s="44"/>
      <c r="H4154" s="151"/>
      <c r="I4154" s="151"/>
      <c r="J4154" s="151"/>
      <c r="K4154" s="153" t="s">
        <v>10</v>
      </c>
      <c r="L4154" s="39"/>
      <c r="M4154" s="162"/>
      <c r="N4154" s="39">
        <v>45960</v>
      </c>
      <c r="O4154" s="38">
        <v>7587</v>
      </c>
      <c r="P4154" s="6"/>
      <c r="Q4154" s="411"/>
      <c r="S4154" s="489"/>
      <c r="T4154" s="113"/>
      <c r="U4154" s="501"/>
      <c r="V4154" s="494">
        <v>120</v>
      </c>
      <c r="W4154" s="2041" t="e">
        <f t="shared" si="352"/>
        <v>#VALUE!</v>
      </c>
    </row>
    <row r="4155" spans="1:23" s="7" customFormat="1" ht="15.95" customHeight="1">
      <c r="A4155" s="1"/>
      <c r="B4155" s="12" t="s">
        <v>1856</v>
      </c>
      <c r="C4155" s="6" t="s">
        <v>8880</v>
      </c>
      <c r="D4155" s="15" t="s">
        <v>8820</v>
      </c>
      <c r="E4155" s="24" t="s">
        <v>157</v>
      </c>
      <c r="F4155" s="44"/>
      <c r="G4155" s="44" t="s">
        <v>7694</v>
      </c>
      <c r="H4155" s="8">
        <v>14</v>
      </c>
      <c r="I4155" s="68">
        <v>1</v>
      </c>
      <c r="J4155" s="67">
        <f>I4155*H4155</f>
        <v>14</v>
      </c>
      <c r="K4155" s="46">
        <v>7.64</v>
      </c>
      <c r="L4155" s="46">
        <f t="shared" ref="L4155:L4160" si="353">K4155*J4155</f>
        <v>106.96</v>
      </c>
      <c r="M4155" s="162" t="s">
        <v>2219</v>
      </c>
      <c r="N4155" s="39">
        <v>45960</v>
      </c>
      <c r="O4155" s="38">
        <v>7587</v>
      </c>
      <c r="P4155" s="46">
        <f t="shared" ref="P4155:P4160" si="354">K4155*(VLOOKUP(B4155,$C$2:$F$6,3,FALSE))</f>
        <v>6.7231999999999994</v>
      </c>
      <c r="Q4155" s="483">
        <v>6.72</v>
      </c>
      <c r="R4155" s="704">
        <f t="shared" ref="R4155:R4160" si="355">Q4155*J4155</f>
        <v>94.08</v>
      </c>
      <c r="S4155" s="489">
        <v>550</v>
      </c>
      <c r="T4155" s="567">
        <f t="shared" ref="T4155:T4160" si="356">S4155*J4155</f>
        <v>7700</v>
      </c>
      <c r="U4155" s="517"/>
      <c r="V4155" s="494">
        <v>120</v>
      </c>
      <c r="W4155" s="2041">
        <f t="shared" si="352"/>
        <v>0.40008726003490397</v>
      </c>
    </row>
    <row r="4156" spans="1:23" s="7" customFormat="1" ht="15.95" customHeight="1">
      <c r="A4156" s="1"/>
      <c r="B4156" s="12" t="s">
        <v>1856</v>
      </c>
      <c r="C4156" s="6" t="s">
        <v>8880</v>
      </c>
      <c r="D4156" s="15" t="s">
        <v>8820</v>
      </c>
      <c r="E4156" s="24" t="s">
        <v>2611</v>
      </c>
      <c r="F4156" s="44"/>
      <c r="G4156" s="44" t="s">
        <v>7694</v>
      </c>
      <c r="H4156" s="8">
        <v>14</v>
      </c>
      <c r="I4156" s="68">
        <v>1</v>
      </c>
      <c r="J4156" s="67">
        <f>I4156*H4156</f>
        <v>14</v>
      </c>
      <c r="K4156" s="46">
        <v>3.89</v>
      </c>
      <c r="L4156" s="46">
        <f t="shared" si="353"/>
        <v>54.46</v>
      </c>
      <c r="M4156" s="162" t="s">
        <v>2219</v>
      </c>
      <c r="N4156" s="39">
        <v>45960</v>
      </c>
      <c r="O4156" s="38">
        <v>7587</v>
      </c>
      <c r="P4156" s="46">
        <f t="shared" si="354"/>
        <v>3.4232</v>
      </c>
      <c r="Q4156" s="483">
        <v>3.42</v>
      </c>
      <c r="R4156" s="704">
        <f t="shared" si="355"/>
        <v>47.879999999999995</v>
      </c>
      <c r="S4156" s="489">
        <v>280</v>
      </c>
      <c r="T4156" s="567">
        <f t="shared" si="356"/>
        <v>3920</v>
      </c>
      <c r="U4156" s="517"/>
      <c r="V4156" s="494">
        <v>120</v>
      </c>
      <c r="W4156" s="2041">
        <f t="shared" si="352"/>
        <v>0.40017137960582694</v>
      </c>
    </row>
    <row r="4157" spans="1:23" s="7" customFormat="1" ht="15.95" customHeight="1">
      <c r="A4157" s="1"/>
      <c r="B4157" s="12" t="s">
        <v>1856</v>
      </c>
      <c r="C4157" s="6" t="s">
        <v>8880</v>
      </c>
      <c r="D4157" s="15" t="s">
        <v>8820</v>
      </c>
      <c r="E4157" s="24" t="s">
        <v>7080</v>
      </c>
      <c r="F4157" s="44"/>
      <c r="G4157" s="44" t="s">
        <v>7694</v>
      </c>
      <c r="H4157" s="8">
        <v>14</v>
      </c>
      <c r="I4157" s="68">
        <v>1</v>
      </c>
      <c r="J4157" s="67">
        <f>I4157*H4157</f>
        <v>14</v>
      </c>
      <c r="K4157" s="46">
        <v>5.56</v>
      </c>
      <c r="L4157" s="46">
        <f t="shared" si="353"/>
        <v>77.839999999999989</v>
      </c>
      <c r="M4157" s="162" t="s">
        <v>2219</v>
      </c>
      <c r="N4157" s="39">
        <v>45960</v>
      </c>
      <c r="O4157" s="38">
        <v>7587</v>
      </c>
      <c r="P4157" s="46">
        <f t="shared" si="354"/>
        <v>4.8927999999999994</v>
      </c>
      <c r="Q4157" s="483">
        <v>4.8899999999999997</v>
      </c>
      <c r="R4157" s="704">
        <f t="shared" si="355"/>
        <v>68.459999999999994</v>
      </c>
      <c r="S4157" s="489">
        <v>400</v>
      </c>
      <c r="T4157" s="567">
        <f t="shared" si="356"/>
        <v>5600</v>
      </c>
      <c r="U4157" s="517"/>
      <c r="V4157" s="494">
        <v>120</v>
      </c>
      <c r="W4157" s="2041">
        <f t="shared" si="352"/>
        <v>0.40047961630695439</v>
      </c>
    </row>
    <row r="4158" spans="1:23" s="7" customFormat="1" ht="15.95" customHeight="1">
      <c r="A4158" s="1"/>
      <c r="B4158" s="12" t="s">
        <v>1856</v>
      </c>
      <c r="C4158" s="6" t="s">
        <v>8880</v>
      </c>
      <c r="D4158" s="15" t="s">
        <v>8820</v>
      </c>
      <c r="E4158" s="24" t="s">
        <v>7006</v>
      </c>
      <c r="F4158" s="44"/>
      <c r="G4158" s="44" t="s">
        <v>7694</v>
      </c>
      <c r="H4158" s="8">
        <v>14</v>
      </c>
      <c r="I4158" s="68">
        <v>1</v>
      </c>
      <c r="J4158" s="67">
        <f>I4158*H4158</f>
        <v>14</v>
      </c>
      <c r="K4158" s="46">
        <v>8.48</v>
      </c>
      <c r="L4158" s="46">
        <f t="shared" si="353"/>
        <v>118.72</v>
      </c>
      <c r="M4158" s="162" t="s">
        <v>2219</v>
      </c>
      <c r="N4158" s="39">
        <v>45968</v>
      </c>
      <c r="O4158" s="38">
        <v>7624</v>
      </c>
      <c r="P4158" s="46">
        <f t="shared" si="354"/>
        <v>7.4624000000000006</v>
      </c>
      <c r="Q4158" s="483">
        <v>7.46</v>
      </c>
      <c r="R4158" s="704">
        <f t="shared" si="355"/>
        <v>104.44</v>
      </c>
      <c r="S4158" s="489">
        <v>610</v>
      </c>
      <c r="T4158" s="567">
        <f t="shared" si="356"/>
        <v>8540</v>
      </c>
      <c r="U4158" s="517"/>
      <c r="V4158" s="494">
        <v>120</v>
      </c>
      <c r="W4158" s="2041">
        <f t="shared" si="352"/>
        <v>0.40055031446540884</v>
      </c>
    </row>
    <row r="4159" spans="1:23" s="7" customFormat="1" ht="15.95" customHeight="1">
      <c r="A4159" s="1"/>
      <c r="B4159" s="12" t="s">
        <v>1856</v>
      </c>
      <c r="C4159" s="6" t="s">
        <v>8880</v>
      </c>
      <c r="D4159" s="15" t="s">
        <v>8820</v>
      </c>
      <c r="E4159" s="24" t="s">
        <v>8879</v>
      </c>
      <c r="F4159" s="44"/>
      <c r="G4159" s="44" t="s">
        <v>7694</v>
      </c>
      <c r="H4159" s="8"/>
      <c r="I4159" s="68"/>
      <c r="J4159" s="67">
        <v>15</v>
      </c>
      <c r="K4159" s="46">
        <v>1.89</v>
      </c>
      <c r="L4159" s="46">
        <f t="shared" si="353"/>
        <v>28.349999999999998</v>
      </c>
      <c r="M4159" s="162" t="s">
        <v>2219</v>
      </c>
      <c r="N4159" s="39">
        <v>45960</v>
      </c>
      <c r="O4159" s="38">
        <v>7587</v>
      </c>
      <c r="P4159" s="46">
        <f t="shared" si="354"/>
        <v>1.6632</v>
      </c>
      <c r="Q4159" s="483">
        <v>1.66</v>
      </c>
      <c r="R4159" s="704">
        <f t="shared" si="355"/>
        <v>24.9</v>
      </c>
      <c r="S4159" s="489">
        <v>136</v>
      </c>
      <c r="T4159" s="567">
        <f t="shared" si="356"/>
        <v>2040</v>
      </c>
      <c r="U4159" s="517"/>
      <c r="V4159" s="494">
        <v>120</v>
      </c>
      <c r="W4159" s="2041">
        <f t="shared" si="352"/>
        <v>0.400352733686067</v>
      </c>
    </row>
    <row r="4160" spans="1:23" ht="18" customHeight="1">
      <c r="B4160" s="12" t="s">
        <v>1862</v>
      </c>
      <c r="C4160" s="6" t="s">
        <v>8880</v>
      </c>
      <c r="D4160" s="15" t="s">
        <v>8820</v>
      </c>
      <c r="E4160" s="24"/>
      <c r="F4160" s="138"/>
      <c r="G4160" s="44" t="s">
        <v>1993</v>
      </c>
      <c r="H4160" s="8"/>
      <c r="I4160" s="41"/>
      <c r="J4160" s="45">
        <v>1</v>
      </c>
      <c r="K4160" s="46">
        <v>24</v>
      </c>
      <c r="L4160" s="46">
        <f t="shared" si="353"/>
        <v>24</v>
      </c>
      <c r="M4160" s="112"/>
      <c r="N4160" s="39">
        <v>45960</v>
      </c>
      <c r="O4160" s="38">
        <v>7587</v>
      </c>
      <c r="P4160" s="46">
        <f t="shared" si="354"/>
        <v>24</v>
      </c>
      <c r="Q4160" s="483">
        <v>24</v>
      </c>
      <c r="R4160" s="704">
        <f t="shared" si="355"/>
        <v>24</v>
      </c>
      <c r="S4160" s="489">
        <v>900</v>
      </c>
      <c r="T4160" s="113">
        <f t="shared" si="356"/>
        <v>900</v>
      </c>
      <c r="U4160" s="511"/>
      <c r="V4160" s="494">
        <v>120</v>
      </c>
      <c r="W4160" s="2041">
        <f t="shared" si="352"/>
        <v>0.6875</v>
      </c>
    </row>
    <row r="4161" spans="1:24" s="314" customFormat="1" ht="15">
      <c r="A4161" s="1"/>
      <c r="B4161" s="313"/>
      <c r="C4161" s="302" t="s">
        <v>8880</v>
      </c>
      <c r="D4161" s="303" t="s">
        <v>8820</v>
      </c>
      <c r="E4161" s="304"/>
      <c r="F4161" s="305"/>
      <c r="G4161" s="305" t="s">
        <v>1227</v>
      </c>
      <c r="H4161" s="307" t="s">
        <v>3438</v>
      </c>
      <c r="I4161" s="308"/>
      <c r="J4161" s="306"/>
      <c r="K4161" s="329">
        <v>35</v>
      </c>
      <c r="L4161" s="329">
        <v>35</v>
      </c>
      <c r="M4161" s="310"/>
      <c r="N4161" s="310">
        <v>45960</v>
      </c>
      <c r="O4161" s="309">
        <v>7587</v>
      </c>
      <c r="P4161" s="302"/>
      <c r="Q4161" s="329">
        <v>35</v>
      </c>
      <c r="R4161" s="329">
        <v>35</v>
      </c>
      <c r="S4161" s="1011">
        <v>4766</v>
      </c>
      <c r="T4161" s="2452">
        <v>4766</v>
      </c>
      <c r="U4161" s="515"/>
      <c r="V4161" s="494">
        <v>120</v>
      </c>
      <c r="W4161" s="2041">
        <f t="shared" si="352"/>
        <v>-0.13476190476190475</v>
      </c>
    </row>
    <row r="4162" spans="1:24" s="314" customFormat="1" ht="15">
      <c r="A4162" s="1"/>
      <c r="B4162" s="313"/>
      <c r="C4162" s="302" t="s">
        <v>8880</v>
      </c>
      <c r="D4162" s="303" t="s">
        <v>8820</v>
      </c>
      <c r="E4162" s="304"/>
      <c r="F4162" s="305"/>
      <c r="G4162" s="305" t="s">
        <v>1227</v>
      </c>
      <c r="H4162" s="307" t="s">
        <v>3438</v>
      </c>
      <c r="I4162" s="308"/>
      <c r="J4162" s="306"/>
      <c r="K4162" s="329">
        <v>34</v>
      </c>
      <c r="L4162" s="329">
        <v>34</v>
      </c>
      <c r="M4162" s="310"/>
      <c r="N4162" s="310">
        <v>45968</v>
      </c>
      <c r="O4162" s="309">
        <v>7624</v>
      </c>
      <c r="P4162" s="302"/>
      <c r="Q4162" s="329">
        <v>34</v>
      </c>
      <c r="R4162" s="329">
        <v>34</v>
      </c>
      <c r="S4162" s="489">
        <v>3065</v>
      </c>
      <c r="T4162" s="113">
        <v>3065</v>
      </c>
      <c r="U4162" s="515"/>
      <c r="V4162" s="494">
        <v>120</v>
      </c>
      <c r="W4162" s="2041">
        <f t="shared" si="352"/>
        <v>0.24877450980392157</v>
      </c>
    </row>
    <row r="4163" spans="1:24" s="7" customFormat="1" ht="15" customHeight="1">
      <c r="B4163" s="12"/>
      <c r="C4163" s="15" t="s">
        <v>8882</v>
      </c>
      <c r="D4163" s="15" t="s">
        <v>8881</v>
      </c>
      <c r="E4163" s="20" t="s">
        <v>8883</v>
      </c>
      <c r="F4163" s="26"/>
      <c r="G4163" s="24"/>
      <c r="H4163" s="67"/>
      <c r="I4163" s="68"/>
      <c r="J4163" s="67"/>
      <c r="K4163" s="17" t="s">
        <v>140</v>
      </c>
      <c r="L4163" s="39"/>
      <c r="M4163" s="39"/>
      <c r="N4163" s="39"/>
      <c r="O4163" s="38"/>
      <c r="P4163" s="179" t="s">
        <v>23</v>
      </c>
      <c r="Q4163" s="438" t="s">
        <v>959</v>
      </c>
      <c r="R4163" s="704"/>
      <c r="S4163" s="707"/>
      <c r="T4163" s="113"/>
      <c r="U4163" s="2068"/>
      <c r="V4163" s="494">
        <v>120</v>
      </c>
      <c r="W4163" s="2041" t="e">
        <f t="shared" si="352"/>
        <v>#VALUE!</v>
      </c>
    </row>
    <row r="4164" spans="1:24" s="7" customFormat="1" ht="18" customHeight="1">
      <c r="B4164" s="12" t="s">
        <v>1862</v>
      </c>
      <c r="C4164" s="15" t="s">
        <v>8882</v>
      </c>
      <c r="D4164" s="15" t="s">
        <v>8881</v>
      </c>
      <c r="E4164" s="20" t="s">
        <v>8884</v>
      </c>
      <c r="F4164" s="138"/>
      <c r="G4164" s="44"/>
      <c r="H4164" s="8"/>
      <c r="I4164" s="68"/>
      <c r="J4164" s="45">
        <v>1</v>
      </c>
      <c r="K4164" s="207">
        <v>49</v>
      </c>
      <c r="L4164" s="46">
        <f>K4164*J4164</f>
        <v>49</v>
      </c>
      <c r="M4164" s="162" t="s">
        <v>2219</v>
      </c>
      <c r="N4164" s="39">
        <v>45959</v>
      </c>
      <c r="O4164" s="38">
        <v>7590</v>
      </c>
      <c r="P4164" s="46">
        <f>K4164*(VLOOKUP(B4164,$C$2:$F$6,3,FALSE))</f>
        <v>49</v>
      </c>
      <c r="Q4164" s="180">
        <v>49</v>
      </c>
      <c r="R4164" s="704">
        <f>Q4164*J4164</f>
        <v>49</v>
      </c>
      <c r="S4164" s="498">
        <f>3437+2400</f>
        <v>5837</v>
      </c>
      <c r="T4164" s="568">
        <f>S4164*J4164</f>
        <v>5837</v>
      </c>
      <c r="U4164" s="511"/>
      <c r="V4164" s="494">
        <v>120</v>
      </c>
      <c r="W4164" s="2041">
        <f t="shared" si="352"/>
        <v>7.312925170068027E-3</v>
      </c>
      <c r="X4164" s="1"/>
    </row>
    <row r="4165" spans="1:24" s="314" customFormat="1" ht="15">
      <c r="B4165" s="313"/>
      <c r="C4165" s="303" t="s">
        <v>8882</v>
      </c>
      <c r="D4165" s="303" t="s">
        <v>8881</v>
      </c>
      <c r="E4165" s="371"/>
      <c r="F4165" s="305"/>
      <c r="G4165" s="305" t="s">
        <v>1227</v>
      </c>
      <c r="H4165" s="307" t="s">
        <v>3438</v>
      </c>
      <c r="I4165" s="308"/>
      <c r="J4165" s="306"/>
      <c r="K4165" s="315">
        <v>0</v>
      </c>
      <c r="L4165" s="310"/>
      <c r="M4165" s="310"/>
      <c r="N4165" s="310"/>
      <c r="O4165" s="309"/>
      <c r="P4165" s="302"/>
      <c r="Q4165" s="531">
        <v>0</v>
      </c>
      <c r="S4165" s="535">
        <v>0</v>
      </c>
      <c r="T4165" s="322">
        <v>0</v>
      </c>
      <c r="U4165" s="1115"/>
      <c r="V4165" s="494">
        <v>120</v>
      </c>
      <c r="W4165" s="2041" t="e">
        <f t="shared" si="352"/>
        <v>#DIV/0!</v>
      </c>
    </row>
    <row r="4166" spans="1:24" ht="15">
      <c r="C4166" s="6" t="s">
        <v>8885</v>
      </c>
      <c r="D4166" s="15" t="s">
        <v>5483</v>
      </c>
      <c r="E4166" s="20" t="s">
        <v>5469</v>
      </c>
      <c r="F4166" s="44"/>
      <c r="G4166" s="44"/>
      <c r="H4166" s="151"/>
      <c r="I4166" s="151"/>
      <c r="J4166" s="151"/>
      <c r="K4166" s="34" t="s">
        <v>134</v>
      </c>
      <c r="L4166" s="39"/>
      <c r="M4166" s="39"/>
      <c r="N4166" s="39">
        <v>45961</v>
      </c>
      <c r="O4166" s="38">
        <v>7592</v>
      </c>
      <c r="P4166" s="6"/>
      <c r="Q4166" s="524"/>
      <c r="S4166" s="489"/>
      <c r="T4166" s="113"/>
      <c r="U4166" s="501"/>
      <c r="V4166" s="494">
        <v>120</v>
      </c>
      <c r="W4166" s="2041" t="e">
        <f t="shared" si="352"/>
        <v>#VALUE!</v>
      </c>
    </row>
    <row r="4167" spans="1:24" ht="15.75">
      <c r="B4167" s="28" t="s">
        <v>1856</v>
      </c>
      <c r="C4167" s="6" t="s">
        <v>8885</v>
      </c>
      <c r="D4167" s="15" t="s">
        <v>5483</v>
      </c>
      <c r="E4167" s="1012">
        <v>3846</v>
      </c>
      <c r="F4167" s="29">
        <v>10</v>
      </c>
      <c r="G4167" s="24" t="s">
        <v>6755</v>
      </c>
      <c r="H4167" s="67">
        <v>50</v>
      </c>
      <c r="I4167" s="68">
        <v>2</v>
      </c>
      <c r="J4167" s="67">
        <f t="shared" ref="J4167:J4172" si="357">H4167*I4167</f>
        <v>100</v>
      </c>
      <c r="K4167" s="46">
        <v>0.84</v>
      </c>
      <c r="L4167" s="46">
        <f t="shared" ref="L4167:L4173" si="358">K4167*J4167</f>
        <v>84</v>
      </c>
      <c r="M4167" s="162" t="s">
        <v>2219</v>
      </c>
      <c r="N4167" s="2453">
        <v>45961</v>
      </c>
      <c r="O4167" s="38">
        <v>7592</v>
      </c>
      <c r="P4167" s="46">
        <f t="shared" ref="P4167:P4173" si="359">K4167*(VLOOKUP(B4167,$C$2:$F$6,3,FALSE))</f>
        <v>0.73919999999999997</v>
      </c>
      <c r="Q4167" s="482">
        <v>0.74</v>
      </c>
      <c r="R4167" s="704">
        <f t="shared" ref="R4167:R4172" si="360">Q4167*J4167</f>
        <v>74</v>
      </c>
      <c r="S4167" s="489">
        <v>64</v>
      </c>
      <c r="T4167" s="113">
        <f t="shared" ref="T4167:T4172" si="361">S4167*J4167</f>
        <v>6400</v>
      </c>
      <c r="U4167" s="1603"/>
      <c r="V4167" s="494">
        <v>120</v>
      </c>
      <c r="W4167" s="2041">
        <f t="shared" si="352"/>
        <v>0.36507936507936506</v>
      </c>
    </row>
    <row r="4168" spans="1:24" ht="15.75">
      <c r="B4168" s="28" t="s">
        <v>1856</v>
      </c>
      <c r="C4168" s="6" t="s">
        <v>8885</v>
      </c>
      <c r="D4168" s="15" t="s">
        <v>5483</v>
      </c>
      <c r="E4168" s="1012">
        <v>3846</v>
      </c>
      <c r="F4168" s="29">
        <v>10</v>
      </c>
      <c r="G4168" s="24" t="s">
        <v>7848</v>
      </c>
      <c r="H4168" s="67">
        <v>50</v>
      </c>
      <c r="I4168" s="68">
        <v>2</v>
      </c>
      <c r="J4168" s="67">
        <f t="shared" si="357"/>
        <v>100</v>
      </c>
      <c r="K4168" s="46">
        <v>0.84</v>
      </c>
      <c r="L4168" s="46">
        <f t="shared" si="358"/>
        <v>84</v>
      </c>
      <c r="M4168" s="162" t="s">
        <v>2219</v>
      </c>
      <c r="N4168" s="2453">
        <v>45961</v>
      </c>
      <c r="O4168" s="38">
        <v>7592</v>
      </c>
      <c r="P4168" s="46">
        <f t="shared" si="359"/>
        <v>0.73919999999999997</v>
      </c>
      <c r="Q4168" s="482">
        <v>0.74</v>
      </c>
      <c r="R4168" s="704">
        <f t="shared" si="360"/>
        <v>74</v>
      </c>
      <c r="S4168" s="489">
        <v>64</v>
      </c>
      <c r="T4168" s="113">
        <f t="shared" si="361"/>
        <v>6400</v>
      </c>
      <c r="U4168" s="1603"/>
      <c r="V4168" s="494">
        <v>120</v>
      </c>
      <c r="W4168" s="2041">
        <f t="shared" si="352"/>
        <v>0.36507936507936506</v>
      </c>
    </row>
    <row r="4169" spans="1:24" ht="15.75">
      <c r="B4169" s="28" t="s">
        <v>1856</v>
      </c>
      <c r="C4169" s="6" t="s">
        <v>8885</v>
      </c>
      <c r="D4169" s="15" t="s">
        <v>5483</v>
      </c>
      <c r="E4169" s="1012">
        <v>3846</v>
      </c>
      <c r="F4169" s="29">
        <v>10</v>
      </c>
      <c r="G4169" s="24" t="s">
        <v>8886</v>
      </c>
      <c r="H4169" s="67">
        <v>50</v>
      </c>
      <c r="I4169" s="68">
        <v>2</v>
      </c>
      <c r="J4169" s="67">
        <f t="shared" si="357"/>
        <v>100</v>
      </c>
      <c r="K4169" s="46">
        <v>0.84</v>
      </c>
      <c r="L4169" s="46">
        <f t="shared" si="358"/>
        <v>84</v>
      </c>
      <c r="M4169" s="162" t="s">
        <v>2219</v>
      </c>
      <c r="N4169" s="2453">
        <v>45961</v>
      </c>
      <c r="O4169" s="38">
        <v>7592</v>
      </c>
      <c r="P4169" s="46">
        <f t="shared" si="359"/>
        <v>0.73919999999999997</v>
      </c>
      <c r="Q4169" s="482">
        <v>0.74</v>
      </c>
      <c r="R4169" s="704">
        <f t="shared" si="360"/>
        <v>74</v>
      </c>
      <c r="S4169" s="489">
        <v>64</v>
      </c>
      <c r="T4169" s="113">
        <f t="shared" si="361"/>
        <v>6400</v>
      </c>
      <c r="U4169" s="1603"/>
      <c r="V4169" s="494">
        <v>120</v>
      </c>
      <c r="W4169" s="2041">
        <f t="shared" si="352"/>
        <v>0.36507936507936506</v>
      </c>
    </row>
    <row r="4170" spans="1:24" ht="15.75">
      <c r="B4170" s="28" t="s">
        <v>1856</v>
      </c>
      <c r="C4170" s="6" t="s">
        <v>8885</v>
      </c>
      <c r="D4170" s="15" t="s">
        <v>5483</v>
      </c>
      <c r="E4170" s="1012">
        <v>3846</v>
      </c>
      <c r="F4170" s="29">
        <v>10</v>
      </c>
      <c r="G4170" s="24" t="s">
        <v>7847</v>
      </c>
      <c r="H4170" s="67">
        <v>50</v>
      </c>
      <c r="I4170" s="68">
        <v>3</v>
      </c>
      <c r="J4170" s="67">
        <f t="shared" si="357"/>
        <v>150</v>
      </c>
      <c r="K4170" s="46">
        <v>0.84</v>
      </c>
      <c r="L4170" s="46">
        <f t="shared" si="358"/>
        <v>126</v>
      </c>
      <c r="M4170" s="162" t="s">
        <v>2219</v>
      </c>
      <c r="N4170" s="2453">
        <v>45961</v>
      </c>
      <c r="O4170" s="38">
        <v>7592</v>
      </c>
      <c r="P4170" s="46">
        <f t="shared" si="359"/>
        <v>0.73919999999999997</v>
      </c>
      <c r="Q4170" s="482">
        <v>0.74</v>
      </c>
      <c r="R4170" s="704">
        <f t="shared" si="360"/>
        <v>111</v>
      </c>
      <c r="S4170" s="489">
        <v>64</v>
      </c>
      <c r="T4170" s="113">
        <f t="shared" si="361"/>
        <v>9600</v>
      </c>
      <c r="U4170" s="1603"/>
      <c r="V4170" s="494">
        <v>120</v>
      </c>
      <c r="W4170" s="2041">
        <f t="shared" si="352"/>
        <v>0.36507936507936506</v>
      </c>
    </row>
    <row r="4171" spans="1:24" ht="15.75">
      <c r="B4171" s="28" t="s">
        <v>1856</v>
      </c>
      <c r="C4171" s="6" t="s">
        <v>8885</v>
      </c>
      <c r="D4171" s="15" t="s">
        <v>5483</v>
      </c>
      <c r="E4171" s="1012">
        <v>3846</v>
      </c>
      <c r="F4171" s="29">
        <v>10</v>
      </c>
      <c r="G4171" s="24" t="s">
        <v>7214</v>
      </c>
      <c r="H4171" s="67">
        <v>50</v>
      </c>
      <c r="I4171" s="68">
        <v>2</v>
      </c>
      <c r="J4171" s="67">
        <f t="shared" si="357"/>
        <v>100</v>
      </c>
      <c r="K4171" s="46">
        <v>0.84</v>
      </c>
      <c r="L4171" s="46">
        <f t="shared" si="358"/>
        <v>84</v>
      </c>
      <c r="M4171" s="162" t="s">
        <v>2219</v>
      </c>
      <c r="N4171" s="2453">
        <v>45961</v>
      </c>
      <c r="O4171" s="38">
        <v>7592</v>
      </c>
      <c r="P4171" s="46">
        <f t="shared" si="359"/>
        <v>0.73919999999999997</v>
      </c>
      <c r="Q4171" s="482">
        <v>0.74</v>
      </c>
      <c r="R4171" s="704">
        <f t="shared" si="360"/>
        <v>74</v>
      </c>
      <c r="S4171" s="489">
        <v>64</v>
      </c>
      <c r="T4171" s="113">
        <f t="shared" si="361"/>
        <v>6400</v>
      </c>
      <c r="U4171" s="1603"/>
      <c r="V4171" s="494">
        <v>120</v>
      </c>
      <c r="W4171" s="2041">
        <f t="shared" si="352"/>
        <v>0.36507936507936506</v>
      </c>
    </row>
    <row r="4172" spans="1:24" ht="15.75">
      <c r="B4172" s="28" t="s">
        <v>1856</v>
      </c>
      <c r="C4172" s="6" t="s">
        <v>8885</v>
      </c>
      <c r="D4172" s="15" t="s">
        <v>5483</v>
      </c>
      <c r="E4172" s="1012">
        <v>3846</v>
      </c>
      <c r="F4172" s="29">
        <v>10</v>
      </c>
      <c r="G4172" s="24" t="s">
        <v>6757</v>
      </c>
      <c r="H4172" s="67">
        <v>50</v>
      </c>
      <c r="I4172" s="68">
        <v>3</v>
      </c>
      <c r="J4172" s="67">
        <f t="shared" si="357"/>
        <v>150</v>
      </c>
      <c r="K4172" s="46">
        <v>0.84</v>
      </c>
      <c r="L4172" s="46">
        <f t="shared" si="358"/>
        <v>126</v>
      </c>
      <c r="M4172" s="162" t="s">
        <v>2219</v>
      </c>
      <c r="N4172" s="2453">
        <v>45961</v>
      </c>
      <c r="O4172" s="38">
        <v>7592</v>
      </c>
      <c r="P4172" s="46">
        <f t="shared" si="359"/>
        <v>0.73919999999999997</v>
      </c>
      <c r="Q4172" s="482">
        <v>0.74</v>
      </c>
      <c r="R4172" s="704">
        <f t="shared" si="360"/>
        <v>111</v>
      </c>
      <c r="S4172" s="489">
        <v>64</v>
      </c>
      <c r="T4172" s="113">
        <f t="shared" si="361"/>
        <v>9600</v>
      </c>
      <c r="U4172" s="1603"/>
      <c r="V4172" s="494">
        <v>120</v>
      </c>
      <c r="W4172" s="2041">
        <f t="shared" si="352"/>
        <v>0.36507936507936506</v>
      </c>
    </row>
    <row r="4173" spans="1:24" ht="15">
      <c r="B4173" s="12" t="s">
        <v>1862</v>
      </c>
      <c r="C4173" s="6" t="s">
        <v>8885</v>
      </c>
      <c r="D4173" s="15" t="s">
        <v>5470</v>
      </c>
      <c r="E4173" s="24"/>
      <c r="F4173" s="138"/>
      <c r="G4173" s="44" t="s">
        <v>1993</v>
      </c>
      <c r="H4173" s="8"/>
      <c r="I4173" s="41"/>
      <c r="J4173" s="45">
        <v>1</v>
      </c>
      <c r="K4173" s="46">
        <v>12</v>
      </c>
      <c r="L4173" s="46">
        <f t="shared" si="358"/>
        <v>12</v>
      </c>
      <c r="M4173" s="112"/>
      <c r="N4173" s="39">
        <v>45961</v>
      </c>
      <c r="O4173" s="38">
        <v>7592</v>
      </c>
      <c r="P4173" s="46">
        <f t="shared" si="359"/>
        <v>12</v>
      </c>
      <c r="Q4173" s="483">
        <v>12</v>
      </c>
      <c r="R4173" s="704">
        <v>12</v>
      </c>
      <c r="S4173" s="488">
        <v>0</v>
      </c>
      <c r="T4173" s="2452">
        <v>0</v>
      </c>
      <c r="U4173" s="511"/>
      <c r="V4173" s="494">
        <v>120</v>
      </c>
      <c r="W4173" s="2041">
        <f>(((K4173*V4173)-S4174)/(K4173*V4173))</f>
        <v>-5.3034722222222221</v>
      </c>
    </row>
    <row r="4174" spans="1:24" s="314" customFormat="1" ht="15">
      <c r="B4174" s="313"/>
      <c r="C4174" s="302" t="s">
        <v>8885</v>
      </c>
      <c r="D4174" s="303" t="s">
        <v>5470</v>
      </c>
      <c r="E4174" s="304"/>
      <c r="F4174" s="305"/>
      <c r="G4174" s="305" t="s">
        <v>1227</v>
      </c>
      <c r="H4174" s="307" t="s">
        <v>1243</v>
      </c>
      <c r="I4174" s="308"/>
      <c r="J4174" s="306"/>
      <c r="K4174" s="329">
        <v>84</v>
      </c>
      <c r="L4174" s="329">
        <v>84</v>
      </c>
      <c r="M4174" s="310"/>
      <c r="N4174" s="310">
        <v>45961</v>
      </c>
      <c r="O4174" s="309">
        <v>7592</v>
      </c>
      <c r="P4174" s="302"/>
      <c r="Q4174" s="329">
        <v>84</v>
      </c>
      <c r="R4174" s="329">
        <v>84</v>
      </c>
      <c r="S4174" s="1011">
        <v>9077</v>
      </c>
      <c r="T4174" s="2590">
        <v>9077</v>
      </c>
      <c r="U4174" s="515"/>
      <c r="V4174" s="494">
        <v>120</v>
      </c>
      <c r="W4174" s="2041" t="e">
        <f>(((K4174*V4174)-#REF!)/(K4174*V4174))</f>
        <v>#REF!</v>
      </c>
    </row>
    <row r="4175" spans="1:24" ht="15">
      <c r="C4175" s="6" t="s">
        <v>8922</v>
      </c>
      <c r="D4175" s="15" t="s">
        <v>5251</v>
      </c>
      <c r="E4175" s="20" t="s">
        <v>8923</v>
      </c>
      <c r="F4175" s="150"/>
      <c r="G4175" s="24"/>
      <c r="H4175" s="151"/>
      <c r="I4175" s="152"/>
      <c r="J4175" s="151"/>
      <c r="K4175" s="153" t="s">
        <v>10</v>
      </c>
      <c r="L4175" s="39"/>
      <c r="M4175" s="39"/>
      <c r="N4175" s="2453">
        <v>45971</v>
      </c>
      <c r="O4175" s="38">
        <v>7626</v>
      </c>
      <c r="P4175" s="15"/>
      <c r="Q4175" s="483"/>
      <c r="S4175" s="2503"/>
      <c r="T4175" s="113"/>
      <c r="V4175" s="494">
        <v>120</v>
      </c>
      <c r="W4175" s="2041" t="e">
        <f>(((K4175*V4175)-S4175)/(K4175*V4175))</f>
        <v>#VALUE!</v>
      </c>
    </row>
    <row r="4176" spans="1:24" ht="15.75">
      <c r="B4176" s="12" t="s">
        <v>1858</v>
      </c>
      <c r="C4176" s="6" t="s">
        <v>8922</v>
      </c>
      <c r="D4176" s="15" t="s">
        <v>5251</v>
      </c>
      <c r="E4176" s="24" t="s">
        <v>8908</v>
      </c>
      <c r="F4176" s="150" t="s">
        <v>8924</v>
      </c>
      <c r="G4176" s="24" t="s">
        <v>8925</v>
      </c>
      <c r="H4176" s="67"/>
      <c r="I4176" s="68"/>
      <c r="J4176" s="67">
        <v>3</v>
      </c>
      <c r="K4176" s="46">
        <v>8.1300000000000008</v>
      </c>
      <c r="L4176" s="46">
        <f>K4176*J4176</f>
        <v>24.39</v>
      </c>
      <c r="M4176" s="162" t="s">
        <v>2219</v>
      </c>
      <c r="N4176" s="2453">
        <v>45971</v>
      </c>
      <c r="O4176" s="38">
        <v>7626</v>
      </c>
      <c r="P4176" s="46">
        <f>K4176*(VLOOKUP(B4176,$C$2:$F$6,3,FALSE))</f>
        <v>7.6421999999999999</v>
      </c>
      <c r="Q4176" s="483">
        <v>7.64</v>
      </c>
      <c r="R4176" s="704">
        <f>Q4176*J4176</f>
        <v>22.919999999999998</v>
      </c>
      <c r="S4176" s="489">
        <v>750</v>
      </c>
      <c r="T4176" s="567">
        <f>S4176*J4176</f>
        <v>2250</v>
      </c>
      <c r="V4176" s="494">
        <v>120</v>
      </c>
      <c r="W4176" s="2041">
        <f>(((K4176*V4176)-S4176)/(K4176*V4176))</f>
        <v>0.23124231242312435</v>
      </c>
    </row>
    <row r="4177" spans="1:23" ht="15">
      <c r="B4177" s="12" t="s">
        <v>1862</v>
      </c>
      <c r="C4177" s="6" t="s">
        <v>8922</v>
      </c>
      <c r="D4177" s="15" t="s">
        <v>5251</v>
      </c>
      <c r="E4177" s="24"/>
      <c r="F4177" s="138"/>
      <c r="G4177" s="44" t="s">
        <v>75</v>
      </c>
      <c r="H4177" s="8"/>
      <c r="I4177" s="41"/>
      <c r="J4177" s="45">
        <v>1</v>
      </c>
      <c r="K4177" s="46">
        <v>12</v>
      </c>
      <c r="L4177" s="46">
        <f>K4177*J4177</f>
        <v>12</v>
      </c>
      <c r="M4177" s="112"/>
      <c r="N4177" s="39">
        <v>45971</v>
      </c>
      <c r="O4177" s="38">
        <v>7626</v>
      </c>
      <c r="P4177" s="46">
        <f>K4177*(VLOOKUP(B4177,$C$2:$F$6,3,FALSE))</f>
        <v>12</v>
      </c>
      <c r="Q4177" s="483">
        <v>12</v>
      </c>
      <c r="R4177" s="704">
        <v>12</v>
      </c>
      <c r="S4177" s="489">
        <v>1000</v>
      </c>
      <c r="T4177" s="567">
        <f>S4177*J4177</f>
        <v>1000</v>
      </c>
      <c r="U4177" s="511"/>
      <c r="V4177" s="494">
        <v>120</v>
      </c>
      <c r="W4177" s="2041">
        <f>(((K4177*V4177)-S4178)/(K4177*V4177))</f>
        <v>-0.1111111111111111</v>
      </c>
    </row>
    <row r="4178" spans="1:23" ht="15">
      <c r="B4178" s="12" t="s">
        <v>1862</v>
      </c>
      <c r="C4178" s="6" t="s">
        <v>8922</v>
      </c>
      <c r="D4178" s="15" t="s">
        <v>5251</v>
      </c>
      <c r="E4178" s="24"/>
      <c r="F4178" s="138"/>
      <c r="G4178" s="44" t="s">
        <v>1993</v>
      </c>
      <c r="H4178" s="8"/>
      <c r="I4178" s="41"/>
      <c r="J4178" s="45">
        <v>1</v>
      </c>
      <c r="K4178" s="46">
        <v>12</v>
      </c>
      <c r="L4178" s="46">
        <f>K4178*J4178</f>
        <v>12</v>
      </c>
      <c r="M4178" s="112"/>
      <c r="N4178" s="39">
        <v>45971</v>
      </c>
      <c r="O4178" s="38">
        <v>7626</v>
      </c>
      <c r="P4178" s="46">
        <f>K4178*(VLOOKUP(B4178,$C$2:$F$6,3,FALSE))</f>
        <v>12</v>
      </c>
      <c r="Q4178" s="483">
        <v>12</v>
      </c>
      <c r="R4178" s="704">
        <v>12</v>
      </c>
      <c r="S4178" s="489">
        <v>1600</v>
      </c>
      <c r="T4178" s="567">
        <v>1600</v>
      </c>
      <c r="U4178" s="511"/>
      <c r="V4178" s="494">
        <v>120</v>
      </c>
      <c r="W4178" s="2041">
        <f>(((K4178*V4178)-S4179)/(K4178*V4178))</f>
        <v>1</v>
      </c>
    </row>
    <row r="4179" spans="1:23" s="314" customFormat="1" ht="15" customHeight="1">
      <c r="A4179" s="1"/>
      <c r="B4179" s="313"/>
      <c r="C4179" s="302" t="s">
        <v>8922</v>
      </c>
      <c r="D4179" s="303" t="s">
        <v>5251</v>
      </c>
      <c r="E4179" s="304"/>
      <c r="F4179" s="305"/>
      <c r="G4179" s="305" t="s">
        <v>1227</v>
      </c>
      <c r="H4179" s="307" t="s">
        <v>1228</v>
      </c>
      <c r="I4179" s="308"/>
      <c r="J4179" s="306"/>
      <c r="K4179" s="316">
        <v>0</v>
      </c>
      <c r="L4179" s="310"/>
      <c r="M4179" s="310"/>
      <c r="N4179" s="2454">
        <v>45971</v>
      </c>
      <c r="O4179" s="309">
        <v>7626</v>
      </c>
      <c r="P4179" s="302"/>
      <c r="Q4179" s="485">
        <v>0</v>
      </c>
      <c r="S4179" s="536">
        <v>0</v>
      </c>
      <c r="T4179" s="322">
        <v>0</v>
      </c>
      <c r="U4179" s="515"/>
      <c r="V4179" s="494">
        <v>120</v>
      </c>
      <c r="W4179" s="2041" t="e">
        <f t="shared" ref="W4179:W4219" si="362">(((K4179*V4179)-S4179)/(K4179*V4179))</f>
        <v>#DIV/0!</v>
      </c>
    </row>
    <row r="4180" spans="1:23" s="7" customFormat="1" ht="18.600000000000001" customHeight="1">
      <c r="A4180" s="1"/>
      <c r="B4180" s="12"/>
      <c r="C4180" s="6" t="s">
        <v>8930</v>
      </c>
      <c r="D4180" s="15" t="s">
        <v>5251</v>
      </c>
      <c r="E4180" s="20" t="s">
        <v>1003</v>
      </c>
      <c r="F4180" s="24"/>
      <c r="G4180" s="44"/>
      <c r="H4180" s="151"/>
      <c r="I4180" s="151"/>
      <c r="J4180" s="151"/>
      <c r="K4180" s="153" t="s">
        <v>10</v>
      </c>
      <c r="L4180" s="39"/>
      <c r="M4180" s="162"/>
      <c r="N4180" s="39">
        <v>45972</v>
      </c>
      <c r="O4180" s="38">
        <v>7632</v>
      </c>
      <c r="P4180" s="6"/>
      <c r="Q4180" s="411"/>
      <c r="S4180" s="489"/>
      <c r="T4180" s="113"/>
      <c r="U4180" s="501"/>
      <c r="V4180" s="494">
        <v>120</v>
      </c>
      <c r="W4180" s="2041" t="e">
        <f t="shared" si="362"/>
        <v>#VALUE!</v>
      </c>
    </row>
    <row r="4181" spans="1:23" s="7" customFormat="1" ht="15.95" customHeight="1">
      <c r="A4181" s="1"/>
      <c r="B4181" s="12" t="s">
        <v>1856</v>
      </c>
      <c r="C4181" s="6" t="s">
        <v>8930</v>
      </c>
      <c r="D4181" s="15" t="s">
        <v>5251</v>
      </c>
      <c r="E4181" s="1012" t="s">
        <v>8903</v>
      </c>
      <c r="F4181" s="44"/>
      <c r="G4181" s="44" t="s">
        <v>7694</v>
      </c>
      <c r="H4181" s="198">
        <v>13.7</v>
      </c>
      <c r="I4181" s="68">
        <v>2</v>
      </c>
      <c r="J4181" s="19">
        <f>I4181*H4181</f>
        <v>27.4</v>
      </c>
      <c r="K4181" s="46">
        <v>5.77</v>
      </c>
      <c r="L4181" s="46">
        <f>K4181*J4181</f>
        <v>158.09799999999998</v>
      </c>
      <c r="M4181" s="162" t="s">
        <v>2219</v>
      </c>
      <c r="N4181" s="2453">
        <v>45972</v>
      </c>
      <c r="O4181" s="38">
        <v>7632</v>
      </c>
      <c r="P4181" s="46">
        <f>K4181*(VLOOKUP(B4181,$C$2:$F$6,3,FALSE))</f>
        <v>5.0775999999999994</v>
      </c>
      <c r="Q4181" s="483">
        <v>5.08</v>
      </c>
      <c r="R4181" s="704">
        <f>Q4181*J4181</f>
        <v>139.19200000000001</v>
      </c>
      <c r="S4181" s="489">
        <v>450</v>
      </c>
      <c r="T4181" s="567">
        <f>S4181*J4181</f>
        <v>12330</v>
      </c>
      <c r="U4181" s="517"/>
      <c r="V4181" s="494">
        <v>120</v>
      </c>
      <c r="W4181" s="2041">
        <f t="shared" si="362"/>
        <v>0.35008665511265163</v>
      </c>
    </row>
    <row r="4182" spans="1:23" ht="18" customHeight="1">
      <c r="B4182" s="12" t="s">
        <v>1862</v>
      </c>
      <c r="C4182" s="6" t="s">
        <v>8930</v>
      </c>
      <c r="D4182" s="15" t="s">
        <v>5251</v>
      </c>
      <c r="E4182" s="24"/>
      <c r="F4182" s="138"/>
      <c r="G4182" s="44" t="s">
        <v>1993</v>
      </c>
      <c r="H4182" s="8"/>
      <c r="I4182" s="41"/>
      <c r="J4182" s="45">
        <v>1</v>
      </c>
      <c r="K4182" s="46">
        <v>12</v>
      </c>
      <c r="L4182" s="46">
        <f>K4182*J4182</f>
        <v>12</v>
      </c>
      <c r="M4182" s="112"/>
      <c r="N4182" s="2453">
        <v>45972</v>
      </c>
      <c r="O4182" s="38">
        <v>7632</v>
      </c>
      <c r="P4182" s="46">
        <f>K4182*(VLOOKUP(B4182,$C$2:$F$6,3,FALSE))</f>
        <v>12</v>
      </c>
      <c r="Q4182" s="483">
        <v>12</v>
      </c>
      <c r="R4182" s="704">
        <f>Q4182*J4182</f>
        <v>12</v>
      </c>
      <c r="S4182" s="1011">
        <v>0</v>
      </c>
      <c r="T4182" s="2452">
        <f>S4182*J4182</f>
        <v>0</v>
      </c>
      <c r="U4182" s="511"/>
      <c r="V4182" s="494">
        <v>120</v>
      </c>
      <c r="W4182" s="2041">
        <f t="shared" si="362"/>
        <v>1</v>
      </c>
    </row>
    <row r="4183" spans="1:23" s="314" customFormat="1" ht="15">
      <c r="A4183" s="1"/>
      <c r="B4183" s="313"/>
      <c r="C4183" s="302" t="s">
        <v>8930</v>
      </c>
      <c r="D4183" s="303" t="s">
        <v>5251</v>
      </c>
      <c r="E4183" s="304"/>
      <c r="F4183" s="305"/>
      <c r="G4183" s="305" t="s">
        <v>1227</v>
      </c>
      <c r="H4183" s="307" t="s">
        <v>1228</v>
      </c>
      <c r="I4183" s="308"/>
      <c r="J4183" s="306"/>
      <c r="K4183" s="315">
        <v>0</v>
      </c>
      <c r="L4183" s="310"/>
      <c r="M4183" s="310"/>
      <c r="N4183" s="2454">
        <v>45972</v>
      </c>
      <c r="O4183" s="309">
        <v>7632</v>
      </c>
      <c r="P4183" s="302"/>
      <c r="Q4183" s="485">
        <v>0</v>
      </c>
      <c r="S4183" s="536">
        <v>0</v>
      </c>
      <c r="T4183" s="322">
        <v>0</v>
      </c>
      <c r="U4183" s="515"/>
      <c r="V4183" s="494">
        <v>120</v>
      </c>
      <c r="W4183" s="2041" t="e">
        <f t="shared" si="362"/>
        <v>#DIV/0!</v>
      </c>
    </row>
    <row r="4184" spans="1:23" s="7" customFormat="1" ht="18.600000000000001" customHeight="1">
      <c r="A4184" s="1"/>
      <c r="B4184" s="12"/>
      <c r="C4184" s="6" t="s">
        <v>8929</v>
      </c>
      <c r="D4184" s="15" t="s">
        <v>5251</v>
      </c>
      <c r="E4184" s="20" t="s">
        <v>1003</v>
      </c>
      <c r="F4184" s="24"/>
      <c r="G4184" s="44"/>
      <c r="H4184" s="151"/>
      <c r="I4184" s="151"/>
      <c r="J4184" s="151"/>
      <c r="K4184" s="153" t="s">
        <v>10</v>
      </c>
      <c r="L4184" s="39"/>
      <c r="M4184" s="162"/>
      <c r="N4184" s="2453">
        <v>45972</v>
      </c>
      <c r="O4184" s="38">
        <v>7631</v>
      </c>
      <c r="P4184" s="6"/>
      <c r="Q4184" s="411"/>
      <c r="S4184" s="489"/>
      <c r="T4184" s="113"/>
      <c r="U4184" s="501"/>
      <c r="V4184" s="494">
        <v>120</v>
      </c>
      <c r="W4184" s="2041" t="e">
        <f t="shared" si="362"/>
        <v>#VALUE!</v>
      </c>
    </row>
    <row r="4185" spans="1:23" s="7" customFormat="1" ht="15.95" customHeight="1">
      <c r="A4185" s="1"/>
      <c r="B4185" s="12" t="s">
        <v>1856</v>
      </c>
      <c r="C4185" s="6" t="s">
        <v>8929</v>
      </c>
      <c r="D4185" s="15" t="s">
        <v>5251</v>
      </c>
      <c r="E4185" s="1012" t="s">
        <v>8254</v>
      </c>
      <c r="F4185" s="44"/>
      <c r="G4185" s="44" t="s">
        <v>7694</v>
      </c>
      <c r="H4185" s="198"/>
      <c r="I4185" s="68"/>
      <c r="J4185" s="67">
        <v>20</v>
      </c>
      <c r="K4185" s="46">
        <v>3.55</v>
      </c>
      <c r="L4185" s="46">
        <f>K4185*J4185</f>
        <v>71</v>
      </c>
      <c r="M4185" s="162" t="s">
        <v>2219</v>
      </c>
      <c r="N4185" s="2453">
        <v>45972</v>
      </c>
      <c r="O4185" s="38">
        <v>7631</v>
      </c>
      <c r="P4185" s="46">
        <f>K4185*(VLOOKUP(B4185,$C$2:$F$6,3,FALSE))</f>
        <v>3.1239999999999997</v>
      </c>
      <c r="Q4185" s="483">
        <v>3.12</v>
      </c>
      <c r="R4185" s="704">
        <f>Q4185*J4185</f>
        <v>62.400000000000006</v>
      </c>
      <c r="S4185" s="489">
        <v>255</v>
      </c>
      <c r="T4185" s="567">
        <f>S4185*J4185</f>
        <v>5100</v>
      </c>
      <c r="U4185" s="517"/>
      <c r="V4185" s="494">
        <v>120</v>
      </c>
      <c r="W4185" s="2041">
        <f t="shared" si="362"/>
        <v>0.40140845070422537</v>
      </c>
    </row>
    <row r="4186" spans="1:23" s="7" customFormat="1" ht="15.95" customHeight="1">
      <c r="A4186" s="1"/>
      <c r="B4186" s="12" t="s">
        <v>1856</v>
      </c>
      <c r="C4186" s="6" t="s">
        <v>8929</v>
      </c>
      <c r="D4186" s="15" t="s">
        <v>5251</v>
      </c>
      <c r="E4186" s="1012" t="s">
        <v>8900</v>
      </c>
      <c r="F4186" s="44"/>
      <c r="G4186" s="44" t="s">
        <v>7694</v>
      </c>
      <c r="H4186" s="198">
        <v>13.7</v>
      </c>
      <c r="I4186" s="68">
        <v>2</v>
      </c>
      <c r="J4186" s="19">
        <f>I4186*H4186</f>
        <v>27.4</v>
      </c>
      <c r="K4186" s="46">
        <v>4.87</v>
      </c>
      <c r="L4186" s="46">
        <f>K4186*J4186</f>
        <v>133.43799999999999</v>
      </c>
      <c r="M4186" s="162" t="s">
        <v>2219</v>
      </c>
      <c r="N4186" s="2453">
        <v>45972</v>
      </c>
      <c r="O4186" s="38">
        <v>7631</v>
      </c>
      <c r="P4186" s="46">
        <f>K4186*(VLOOKUP(B4186,$C$2:$F$6,3,FALSE))</f>
        <v>4.2856000000000005</v>
      </c>
      <c r="Q4186" s="483">
        <v>4.29</v>
      </c>
      <c r="R4186" s="704">
        <f>Q4186*J4186</f>
        <v>117.54599999999999</v>
      </c>
      <c r="S4186" s="489">
        <v>350</v>
      </c>
      <c r="T4186" s="567">
        <f>S4186*J4186</f>
        <v>9590</v>
      </c>
      <c r="U4186" s="517"/>
      <c r="V4186" s="494">
        <v>120</v>
      </c>
      <c r="W4186" s="2041">
        <f t="shared" si="362"/>
        <v>0.40109514031485283</v>
      </c>
    </row>
    <row r="4187" spans="1:23" ht="18" customHeight="1">
      <c r="B4187" s="12" t="s">
        <v>1862</v>
      </c>
      <c r="C4187" s="6" t="s">
        <v>8929</v>
      </c>
      <c r="D4187" s="15" t="s">
        <v>5251</v>
      </c>
      <c r="E4187" s="24"/>
      <c r="F4187" s="138"/>
      <c r="G4187" s="44" t="s">
        <v>1993</v>
      </c>
      <c r="H4187" s="8"/>
      <c r="I4187" s="41"/>
      <c r="J4187" s="45">
        <v>1</v>
      </c>
      <c r="K4187" s="46">
        <v>12</v>
      </c>
      <c r="L4187" s="46">
        <f>K4187*J4187</f>
        <v>12</v>
      </c>
      <c r="M4187" s="112"/>
      <c r="N4187" s="39">
        <v>45972</v>
      </c>
      <c r="O4187" s="38">
        <v>7631</v>
      </c>
      <c r="P4187" s="46">
        <f>K4187*(VLOOKUP(B4187,$C$2:$F$6,3,FALSE))</f>
        <v>12</v>
      </c>
      <c r="Q4187" s="483">
        <v>12</v>
      </c>
      <c r="R4187" s="704">
        <f>Q4187*J4187</f>
        <v>12</v>
      </c>
      <c r="S4187" s="1011">
        <v>900</v>
      </c>
      <c r="T4187" s="2452">
        <f>S4187*J4187</f>
        <v>900</v>
      </c>
      <c r="U4187" s="511"/>
      <c r="V4187" s="494">
        <v>120</v>
      </c>
      <c r="W4187" s="2041">
        <f t="shared" si="362"/>
        <v>0.375</v>
      </c>
    </row>
    <row r="4188" spans="1:23" s="314" customFormat="1" ht="15">
      <c r="A4188" s="1"/>
      <c r="B4188" s="313"/>
      <c r="C4188" s="302" t="s">
        <v>8929</v>
      </c>
      <c r="D4188" s="303" t="s">
        <v>5251</v>
      </c>
      <c r="E4188" s="304"/>
      <c r="F4188" s="305"/>
      <c r="G4188" s="305" t="s">
        <v>1227</v>
      </c>
      <c r="H4188" s="307" t="s">
        <v>1228</v>
      </c>
      <c r="I4188" s="308"/>
      <c r="J4188" s="306"/>
      <c r="K4188" s="315">
        <v>0</v>
      </c>
      <c r="L4188" s="310"/>
      <c r="M4188" s="310"/>
      <c r="N4188" s="310">
        <v>45972</v>
      </c>
      <c r="O4188" s="309">
        <v>7631</v>
      </c>
      <c r="P4188" s="302"/>
      <c r="Q4188" s="485">
        <v>0</v>
      </c>
      <c r="S4188" s="536">
        <v>0</v>
      </c>
      <c r="T4188" s="322">
        <v>0</v>
      </c>
      <c r="U4188" s="515"/>
      <c r="V4188" s="494">
        <v>120</v>
      </c>
      <c r="W4188" s="2041" t="e">
        <f t="shared" si="362"/>
        <v>#DIV/0!</v>
      </c>
    </row>
    <row r="4189" spans="1:23" s="7" customFormat="1" ht="18.600000000000001" customHeight="1">
      <c r="A4189" s="1"/>
      <c r="B4189" s="12"/>
      <c r="C4189" s="6" t="s">
        <v>8965</v>
      </c>
      <c r="D4189" s="15" t="s">
        <v>6992</v>
      </c>
      <c r="E4189" s="20" t="s">
        <v>1003</v>
      </c>
      <c r="F4189" s="24"/>
      <c r="G4189" s="44"/>
      <c r="H4189" s="151"/>
      <c r="I4189" s="151"/>
      <c r="J4189" s="151"/>
      <c r="K4189" s="153" t="s">
        <v>10</v>
      </c>
      <c r="L4189" s="39"/>
      <c r="M4189" s="162"/>
      <c r="N4189" s="39">
        <v>45973</v>
      </c>
      <c r="O4189" s="38">
        <v>7637</v>
      </c>
      <c r="P4189" s="6"/>
      <c r="Q4189" s="411"/>
      <c r="S4189" s="489"/>
      <c r="T4189" s="113"/>
      <c r="U4189" s="501"/>
      <c r="V4189" s="494">
        <v>120</v>
      </c>
      <c r="W4189" s="2041" t="e">
        <f t="shared" si="362"/>
        <v>#VALUE!</v>
      </c>
    </row>
    <row r="4190" spans="1:23" s="7" customFormat="1" ht="15.95" customHeight="1">
      <c r="A4190" s="1"/>
      <c r="B4190" s="12" t="s">
        <v>1856</v>
      </c>
      <c r="C4190" s="6" t="s">
        <v>8965</v>
      </c>
      <c r="D4190" s="15" t="s">
        <v>6992</v>
      </c>
      <c r="E4190" s="1012" t="s">
        <v>8920</v>
      </c>
      <c r="F4190" s="44"/>
      <c r="G4190" s="44" t="s">
        <v>7694</v>
      </c>
      <c r="H4190" s="198"/>
      <c r="I4190" s="68"/>
      <c r="J4190" s="67">
        <v>4</v>
      </c>
      <c r="K4190" s="46">
        <v>2.37</v>
      </c>
      <c r="L4190" s="46">
        <f>K4190*J4190</f>
        <v>9.48</v>
      </c>
      <c r="M4190" s="162" t="s">
        <v>2219</v>
      </c>
      <c r="N4190" s="2453">
        <v>45973</v>
      </c>
      <c r="O4190" s="38">
        <v>7637</v>
      </c>
      <c r="P4190" s="46">
        <f>K4190*(VLOOKUP(B4190,$C$2:$F$6,3,FALSE))</f>
        <v>2.0855999999999999</v>
      </c>
      <c r="Q4190" s="483">
        <v>2.09</v>
      </c>
      <c r="R4190" s="704">
        <f>Q4190*J4190</f>
        <v>8.36</v>
      </c>
      <c r="S4190" s="489">
        <v>170</v>
      </c>
      <c r="T4190" s="567">
        <f>S4190*J4190</f>
        <v>680</v>
      </c>
      <c r="U4190" s="517"/>
      <c r="V4190" s="494">
        <v>120</v>
      </c>
      <c r="W4190" s="2041">
        <f t="shared" si="362"/>
        <v>0.40225035161744027</v>
      </c>
    </row>
    <row r="4191" spans="1:23" ht="18" customHeight="1">
      <c r="B4191" s="12" t="s">
        <v>1862</v>
      </c>
      <c r="C4191" s="6" t="s">
        <v>8965</v>
      </c>
      <c r="D4191" s="15" t="s">
        <v>6992</v>
      </c>
      <c r="E4191" s="24"/>
      <c r="F4191" s="138"/>
      <c r="G4191" s="44" t="s">
        <v>1993</v>
      </c>
      <c r="H4191" s="8"/>
      <c r="I4191" s="41"/>
      <c r="J4191" s="45">
        <v>1</v>
      </c>
      <c r="K4191" s="46">
        <v>12</v>
      </c>
      <c r="L4191" s="46">
        <f>K4191*J4191</f>
        <v>12</v>
      </c>
      <c r="M4191" s="112"/>
      <c r="N4191" s="39">
        <v>45973</v>
      </c>
      <c r="O4191" s="38">
        <v>7637</v>
      </c>
      <c r="P4191" s="46">
        <f>K4191*(VLOOKUP(B4191,$C$2:$F$6,3,FALSE))</f>
        <v>12</v>
      </c>
      <c r="Q4191" s="483">
        <v>12</v>
      </c>
      <c r="R4191" s="704">
        <f>Q4191*J4191</f>
        <v>12</v>
      </c>
      <c r="S4191" s="1011">
        <v>0</v>
      </c>
      <c r="T4191" s="2452">
        <f>S4191*J4191</f>
        <v>0</v>
      </c>
      <c r="U4191" s="511"/>
      <c r="V4191" s="494">
        <v>120</v>
      </c>
      <c r="W4191" s="2041">
        <f t="shared" si="362"/>
        <v>1</v>
      </c>
    </row>
    <row r="4192" spans="1:23" s="314" customFormat="1" ht="15">
      <c r="A4192" s="1"/>
      <c r="B4192" s="313"/>
      <c r="C4192" s="302" t="s">
        <v>8965</v>
      </c>
      <c r="D4192" s="303" t="s">
        <v>6992</v>
      </c>
      <c r="E4192" s="304"/>
      <c r="F4192" s="305"/>
      <c r="G4192" s="305" t="s">
        <v>1227</v>
      </c>
      <c r="H4192" s="307" t="s">
        <v>1228</v>
      </c>
      <c r="I4192" s="308"/>
      <c r="J4192" s="306"/>
      <c r="K4192" s="315">
        <v>0</v>
      </c>
      <c r="L4192" s="310"/>
      <c r="M4192" s="310"/>
      <c r="N4192" s="310">
        <v>45973</v>
      </c>
      <c r="O4192" s="309">
        <v>7637</v>
      </c>
      <c r="P4192" s="302"/>
      <c r="Q4192" s="485">
        <v>0</v>
      </c>
      <c r="S4192" s="536">
        <v>0</v>
      </c>
      <c r="T4192" s="322">
        <v>0</v>
      </c>
      <c r="U4192" s="515"/>
      <c r="V4192" s="494">
        <v>120</v>
      </c>
      <c r="W4192" s="2041" t="e">
        <f t="shared" si="362"/>
        <v>#DIV/0!</v>
      </c>
    </row>
    <row r="4193" spans="1:23" s="7" customFormat="1" ht="15" customHeight="1">
      <c r="A4193" s="1"/>
      <c r="B4193" s="12"/>
      <c r="C4193" s="6" t="s">
        <v>8932</v>
      </c>
      <c r="D4193" s="15" t="s">
        <v>8931</v>
      </c>
      <c r="E4193" s="20" t="s">
        <v>8300</v>
      </c>
      <c r="F4193" s="26"/>
      <c r="G4193" s="24"/>
      <c r="H4193" s="67"/>
      <c r="I4193" s="68"/>
      <c r="J4193" s="67"/>
      <c r="K4193" s="17" t="s">
        <v>10</v>
      </c>
      <c r="L4193" s="39"/>
      <c r="M4193" s="39"/>
      <c r="N4193" s="39">
        <v>46008</v>
      </c>
      <c r="O4193" s="38">
        <v>7707</v>
      </c>
      <c r="P4193" s="180" t="e">
        <f>K4193*(VLOOKUP(B4193,$C$2:$F$6,3,FALSE))</f>
        <v>#VALUE!</v>
      </c>
      <c r="Q4193" s="483"/>
      <c r="R4193" s="704"/>
      <c r="S4193" s="489"/>
      <c r="T4193" s="113">
        <f>S4193*J4193</f>
        <v>0</v>
      </c>
      <c r="U4193" s="517"/>
      <c r="V4193" s="494">
        <v>120</v>
      </c>
      <c r="W4193" s="2041" t="e">
        <f t="shared" si="362"/>
        <v>#VALUE!</v>
      </c>
    </row>
    <row r="4194" spans="1:23" s="7" customFormat="1" ht="15.75" customHeight="1">
      <c r="A4194" s="1"/>
      <c r="B4194" s="12" t="s">
        <v>1856</v>
      </c>
      <c r="C4194" s="6" t="s">
        <v>8932</v>
      </c>
      <c r="D4194" s="15" t="s">
        <v>8931</v>
      </c>
      <c r="E4194" s="24" t="s">
        <v>8645</v>
      </c>
      <c r="F4194" s="26"/>
      <c r="G4194" s="24" t="s">
        <v>7696</v>
      </c>
      <c r="H4194" s="151"/>
      <c r="I4194" s="41"/>
      <c r="J4194" s="67">
        <v>805</v>
      </c>
      <c r="K4194" s="25">
        <v>2.41</v>
      </c>
      <c r="L4194" s="46">
        <f>K4194*J4194</f>
        <v>1940.0500000000002</v>
      </c>
      <c r="M4194" s="162" t="s">
        <v>2219</v>
      </c>
      <c r="N4194" s="39">
        <v>46008</v>
      </c>
      <c r="O4194" s="38">
        <v>7707</v>
      </c>
      <c r="P4194" s="180">
        <f>K4194*(VLOOKUP(B4194,$C$2:$F$6,3,FALSE))</f>
        <v>2.1208</v>
      </c>
      <c r="Q4194" s="483">
        <v>2.12</v>
      </c>
      <c r="R4194" s="704">
        <f>Q4194*J4194</f>
        <v>1706.6000000000001</v>
      </c>
      <c r="S4194" s="489">
        <f>173</f>
        <v>173</v>
      </c>
      <c r="T4194" s="113">
        <f>S4194*J4194</f>
        <v>139265</v>
      </c>
      <c r="U4194" s="517"/>
      <c r="V4194" s="494">
        <v>120</v>
      </c>
      <c r="W4194" s="2041">
        <f t="shared" si="362"/>
        <v>0.40179806362378984</v>
      </c>
    </row>
    <row r="4195" spans="1:23" s="7" customFormat="1" ht="15.75" customHeight="1">
      <c r="A4195" s="1"/>
      <c r="B4195" s="12" t="s">
        <v>1856</v>
      </c>
      <c r="C4195" s="6" t="s">
        <v>8932</v>
      </c>
      <c r="D4195" s="15" t="s">
        <v>8931</v>
      </c>
      <c r="E4195" s="24" t="s">
        <v>8645</v>
      </c>
      <c r="F4195" s="26"/>
      <c r="G4195" s="24" t="s">
        <v>8646</v>
      </c>
      <c r="H4195" s="151"/>
      <c r="I4195" s="41"/>
      <c r="J4195" s="67">
        <v>150</v>
      </c>
      <c r="K4195" s="25">
        <v>3.52</v>
      </c>
      <c r="L4195" s="46">
        <f>K4195*J4195</f>
        <v>528</v>
      </c>
      <c r="M4195" s="162" t="s">
        <v>2219</v>
      </c>
      <c r="N4195" s="39">
        <v>46008</v>
      </c>
      <c r="O4195" s="38">
        <v>7707</v>
      </c>
      <c r="P4195" s="180">
        <f>K4195*(VLOOKUP(B4195,$C$2:$F$6,3,FALSE))</f>
        <v>3.0975999999999999</v>
      </c>
      <c r="Q4195" s="483">
        <v>3.1</v>
      </c>
      <c r="R4195" s="704">
        <f>Q4195*J4195</f>
        <v>465</v>
      </c>
      <c r="S4195" s="489">
        <f>173+80</f>
        <v>253</v>
      </c>
      <c r="T4195" s="113">
        <f>S4195*J4195</f>
        <v>37950</v>
      </c>
      <c r="U4195" s="517"/>
      <c r="V4195" s="494">
        <v>120</v>
      </c>
      <c r="W4195" s="2041">
        <f t="shared" si="362"/>
        <v>0.40104166666666663</v>
      </c>
    </row>
    <row r="4196" spans="1:23" s="314" customFormat="1" ht="15">
      <c r="A4196" s="1"/>
      <c r="B4196" s="313"/>
      <c r="C4196" s="302" t="s">
        <v>8932</v>
      </c>
      <c r="D4196" s="303" t="s">
        <v>8931</v>
      </c>
      <c r="E4196" s="304"/>
      <c r="F4196" s="305"/>
      <c r="G4196" s="305" t="s">
        <v>1227</v>
      </c>
      <c r="H4196" s="307" t="s">
        <v>1243</v>
      </c>
      <c r="I4196" s="308"/>
      <c r="J4196" s="306"/>
      <c r="K4196" s="315">
        <v>30</v>
      </c>
      <c r="L4196" s="315">
        <v>30</v>
      </c>
      <c r="M4196" s="310"/>
      <c r="N4196" s="310">
        <v>46008</v>
      </c>
      <c r="O4196" s="309">
        <v>7707</v>
      </c>
      <c r="P4196" s="302"/>
      <c r="Q4196" s="315">
        <v>30</v>
      </c>
      <c r="R4196" s="315">
        <v>30</v>
      </c>
      <c r="S4196" s="537">
        <v>2938</v>
      </c>
      <c r="T4196" s="537">
        <v>2938</v>
      </c>
      <c r="U4196" s="515"/>
      <c r="V4196" s="494">
        <v>120</v>
      </c>
      <c r="W4196" s="2041">
        <f t="shared" si="362"/>
        <v>0.18388888888888888</v>
      </c>
    </row>
    <row r="4197" spans="1:23" s="7" customFormat="1" ht="18.600000000000001" customHeight="1">
      <c r="A4197" s="1"/>
      <c r="B4197" s="12"/>
      <c r="C4197" s="6" t="s">
        <v>8947</v>
      </c>
      <c r="D4197" s="15" t="s">
        <v>8950</v>
      </c>
      <c r="E4197" s="20" t="s">
        <v>1003</v>
      </c>
      <c r="F4197" s="24"/>
      <c r="G4197" s="44"/>
      <c r="H4197" s="151"/>
      <c r="I4197" s="151"/>
      <c r="J4197" s="151"/>
      <c r="K4197" s="153" t="s">
        <v>10</v>
      </c>
      <c r="L4197" s="39"/>
      <c r="M4197" s="162"/>
      <c r="N4197" s="39">
        <v>45999</v>
      </c>
      <c r="O4197" s="38">
        <v>7668</v>
      </c>
      <c r="P4197" s="6"/>
      <c r="Q4197" s="411"/>
      <c r="S4197" s="489"/>
      <c r="T4197" s="113"/>
      <c r="U4197" s="501"/>
      <c r="V4197" s="494">
        <v>120</v>
      </c>
      <c r="W4197" s="2041" t="e">
        <f t="shared" si="362"/>
        <v>#VALUE!</v>
      </c>
    </row>
    <row r="4198" spans="1:23" s="7" customFormat="1" ht="15.95" customHeight="1">
      <c r="A4198" s="1"/>
      <c r="B4198" s="12" t="s">
        <v>1856</v>
      </c>
      <c r="C4198" s="6" t="s">
        <v>8947</v>
      </c>
      <c r="D4198" s="15" t="s">
        <v>8950</v>
      </c>
      <c r="E4198" s="1012" t="s">
        <v>8836</v>
      </c>
      <c r="F4198" s="44"/>
      <c r="G4198" s="44" t="s">
        <v>7694</v>
      </c>
      <c r="H4198" s="198"/>
      <c r="I4198" s="68"/>
      <c r="J4198" s="67">
        <v>40</v>
      </c>
      <c r="K4198" s="46">
        <v>2.2999999999999998</v>
      </c>
      <c r="L4198" s="46">
        <f t="shared" ref="L4198:L4204" si="363">K4198*J4198</f>
        <v>92</v>
      </c>
      <c r="M4198" s="162" t="s">
        <v>2219</v>
      </c>
      <c r="N4198" s="39">
        <v>45999</v>
      </c>
      <c r="O4198" s="38">
        <v>7668</v>
      </c>
      <c r="P4198" s="46">
        <f t="shared" ref="P4198:P4204" si="364">K4198*(VLOOKUP(B4198,$C$2:$F$6,3,FALSE))</f>
        <v>2.024</v>
      </c>
      <c r="Q4198" s="483">
        <v>2.02</v>
      </c>
      <c r="R4198" s="704">
        <f t="shared" ref="R4198:R4204" si="365">Q4198*J4198</f>
        <v>80.8</v>
      </c>
      <c r="S4198" s="489">
        <v>165</v>
      </c>
      <c r="T4198" s="567">
        <f t="shared" ref="T4198:T4204" si="366">S4198*J4198</f>
        <v>6600</v>
      </c>
      <c r="U4198" s="517"/>
      <c r="V4198" s="494">
        <v>120</v>
      </c>
      <c r="W4198" s="2041">
        <f t="shared" si="362"/>
        <v>0.40217391304347827</v>
      </c>
    </row>
    <row r="4199" spans="1:23" s="7" customFormat="1" ht="15.95" customHeight="1">
      <c r="A4199" s="1"/>
      <c r="B4199" s="12" t="s">
        <v>1856</v>
      </c>
      <c r="C4199" s="6" t="s">
        <v>8947</v>
      </c>
      <c r="D4199" s="15" t="s">
        <v>8950</v>
      </c>
      <c r="E4199" s="1012" t="s">
        <v>8831</v>
      </c>
      <c r="F4199" s="44"/>
      <c r="G4199" s="44" t="s">
        <v>7694</v>
      </c>
      <c r="H4199" s="198"/>
      <c r="I4199" s="68"/>
      <c r="J4199" s="67">
        <v>25</v>
      </c>
      <c r="K4199" s="46">
        <v>0.91</v>
      </c>
      <c r="L4199" s="46">
        <f t="shared" si="363"/>
        <v>22.75</v>
      </c>
      <c r="M4199" s="162" t="s">
        <v>2219</v>
      </c>
      <c r="N4199" s="39">
        <v>45999</v>
      </c>
      <c r="O4199" s="38">
        <v>7668</v>
      </c>
      <c r="P4199" s="46">
        <f t="shared" si="364"/>
        <v>0.80080000000000007</v>
      </c>
      <c r="Q4199" s="483">
        <v>0.8</v>
      </c>
      <c r="R4199" s="704">
        <f t="shared" si="365"/>
        <v>20</v>
      </c>
      <c r="S4199" s="489">
        <v>65</v>
      </c>
      <c r="T4199" s="567">
        <f t="shared" si="366"/>
        <v>1625</v>
      </c>
      <c r="U4199" s="517"/>
      <c r="V4199" s="494">
        <v>120</v>
      </c>
      <c r="W4199" s="2041">
        <f t="shared" si="362"/>
        <v>0.40476190476190477</v>
      </c>
    </row>
    <row r="4200" spans="1:23" s="7" customFormat="1" ht="15.95" customHeight="1">
      <c r="A4200" s="1"/>
      <c r="B4200" s="12" t="s">
        <v>1856</v>
      </c>
      <c r="C4200" s="6" t="s">
        <v>8947</v>
      </c>
      <c r="D4200" s="15" t="s">
        <v>8950</v>
      </c>
      <c r="E4200" s="1012" t="s">
        <v>8836</v>
      </c>
      <c r="F4200" s="44"/>
      <c r="G4200" s="24" t="s">
        <v>8653</v>
      </c>
      <c r="H4200" s="198"/>
      <c r="I4200" s="68"/>
      <c r="J4200" s="67">
        <v>40</v>
      </c>
      <c r="K4200" s="46">
        <v>2.2999999999999998</v>
      </c>
      <c r="L4200" s="46">
        <f t="shared" si="363"/>
        <v>92</v>
      </c>
      <c r="M4200" s="162" t="s">
        <v>2219</v>
      </c>
      <c r="N4200" s="39">
        <v>45999</v>
      </c>
      <c r="O4200" s="38">
        <v>7668</v>
      </c>
      <c r="P4200" s="46">
        <f t="shared" si="364"/>
        <v>2.024</v>
      </c>
      <c r="Q4200" s="483">
        <v>2.02</v>
      </c>
      <c r="R4200" s="704">
        <f t="shared" si="365"/>
        <v>80.8</v>
      </c>
      <c r="S4200" s="489">
        <v>165</v>
      </c>
      <c r="T4200" s="567">
        <f t="shared" si="366"/>
        <v>6600</v>
      </c>
      <c r="U4200" s="517"/>
      <c r="V4200" s="494">
        <v>120</v>
      </c>
      <c r="W4200" s="2041">
        <f t="shared" si="362"/>
        <v>0.40217391304347827</v>
      </c>
    </row>
    <row r="4201" spans="1:23" s="7" customFormat="1" ht="15.95" customHeight="1">
      <c r="A4201" s="1"/>
      <c r="B4201" s="12" t="s">
        <v>1856</v>
      </c>
      <c r="C4201" s="6" t="s">
        <v>8947</v>
      </c>
      <c r="D4201" s="15" t="s">
        <v>8950</v>
      </c>
      <c r="E4201" s="1012" t="s">
        <v>8831</v>
      </c>
      <c r="F4201" s="44"/>
      <c r="G4201" s="24" t="s">
        <v>8653</v>
      </c>
      <c r="H4201" s="198"/>
      <c r="I4201" s="68"/>
      <c r="J4201" s="67">
        <v>25</v>
      </c>
      <c r="K4201" s="46">
        <v>0.91</v>
      </c>
      <c r="L4201" s="46">
        <f t="shared" si="363"/>
        <v>22.75</v>
      </c>
      <c r="M4201" s="162" t="s">
        <v>2219</v>
      </c>
      <c r="N4201" s="39">
        <v>45999</v>
      </c>
      <c r="O4201" s="38">
        <v>7668</v>
      </c>
      <c r="P4201" s="46">
        <f t="shared" si="364"/>
        <v>0.80080000000000007</v>
      </c>
      <c r="Q4201" s="483">
        <v>0.8</v>
      </c>
      <c r="R4201" s="704">
        <f t="shared" si="365"/>
        <v>20</v>
      </c>
      <c r="S4201" s="489">
        <v>65</v>
      </c>
      <c r="T4201" s="567">
        <f t="shared" si="366"/>
        <v>1625</v>
      </c>
      <c r="U4201" s="517"/>
      <c r="V4201" s="494">
        <v>120</v>
      </c>
      <c r="W4201" s="2041">
        <f t="shared" si="362"/>
        <v>0.40476190476190477</v>
      </c>
    </row>
    <row r="4202" spans="1:23" ht="18" customHeight="1">
      <c r="B4202" s="12" t="s">
        <v>1862</v>
      </c>
      <c r="C4202" s="6" t="s">
        <v>8947</v>
      </c>
      <c r="D4202" s="15" t="s">
        <v>8950</v>
      </c>
      <c r="E4202" s="24"/>
      <c r="F4202" s="138"/>
      <c r="G4202" s="44" t="s">
        <v>8948</v>
      </c>
      <c r="H4202" s="8"/>
      <c r="I4202" s="41"/>
      <c r="J4202" s="45">
        <v>1</v>
      </c>
      <c r="K4202" s="46">
        <v>85</v>
      </c>
      <c r="L4202" s="46">
        <f t="shared" si="363"/>
        <v>85</v>
      </c>
      <c r="M4202" s="112"/>
      <c r="N4202" s="39">
        <v>45999</v>
      </c>
      <c r="O4202" s="38">
        <v>7668</v>
      </c>
      <c r="P4202" s="46">
        <f t="shared" si="364"/>
        <v>85</v>
      </c>
      <c r="Q4202" s="483">
        <v>85</v>
      </c>
      <c r="R4202" s="704">
        <f t="shared" si="365"/>
        <v>85</v>
      </c>
      <c r="S4202" s="1011">
        <v>8000</v>
      </c>
      <c r="T4202" s="2452">
        <f t="shared" si="366"/>
        <v>8000</v>
      </c>
      <c r="U4202" s="511"/>
      <c r="V4202" s="494">
        <v>120</v>
      </c>
      <c r="W4202" s="2041">
        <f t="shared" si="362"/>
        <v>0.21568627450980393</v>
      </c>
    </row>
    <row r="4203" spans="1:23" ht="18" customHeight="1">
      <c r="B4203" s="12" t="s">
        <v>1862</v>
      </c>
      <c r="C4203" s="6" t="s">
        <v>8947</v>
      </c>
      <c r="D4203" s="15" t="s">
        <v>8950</v>
      </c>
      <c r="E4203" s="24"/>
      <c r="F4203" s="138"/>
      <c r="G4203" s="44" t="s">
        <v>8949</v>
      </c>
      <c r="H4203" s="8"/>
      <c r="I4203" s="41"/>
      <c r="J4203" s="45">
        <v>1</v>
      </c>
      <c r="K4203" s="46">
        <v>75</v>
      </c>
      <c r="L4203" s="46">
        <f t="shared" si="363"/>
        <v>75</v>
      </c>
      <c r="M4203" s="112"/>
      <c r="N4203" s="39">
        <v>45999</v>
      </c>
      <c r="O4203" s="38">
        <v>7668</v>
      </c>
      <c r="P4203" s="46">
        <f t="shared" si="364"/>
        <v>75</v>
      </c>
      <c r="Q4203" s="483">
        <v>75</v>
      </c>
      <c r="R4203" s="704">
        <f t="shared" si="365"/>
        <v>75</v>
      </c>
      <c r="S4203" s="1011">
        <v>7000</v>
      </c>
      <c r="T4203" s="2452">
        <f t="shared" si="366"/>
        <v>7000</v>
      </c>
      <c r="U4203" s="511"/>
      <c r="V4203" s="494">
        <v>120</v>
      </c>
      <c r="W4203" s="2041">
        <f t="shared" si="362"/>
        <v>0.22222222222222221</v>
      </c>
    </row>
    <row r="4204" spans="1:23" ht="18" customHeight="1">
      <c r="B4204" s="12" t="s">
        <v>1862</v>
      </c>
      <c r="C4204" s="6" t="s">
        <v>8947</v>
      </c>
      <c r="D4204" s="15" t="s">
        <v>8950</v>
      </c>
      <c r="E4204" s="24"/>
      <c r="F4204" s="138"/>
      <c r="G4204" s="44" t="s">
        <v>1993</v>
      </c>
      <c r="H4204" s="8"/>
      <c r="I4204" s="41"/>
      <c r="J4204" s="45">
        <v>1</v>
      </c>
      <c r="K4204" s="46">
        <v>12</v>
      </c>
      <c r="L4204" s="46">
        <f t="shared" si="363"/>
        <v>12</v>
      </c>
      <c r="M4204" s="112"/>
      <c r="N4204" s="39">
        <v>45999</v>
      </c>
      <c r="O4204" s="38">
        <v>7668</v>
      </c>
      <c r="P4204" s="46">
        <f t="shared" si="364"/>
        <v>12</v>
      </c>
      <c r="Q4204" s="483">
        <v>12</v>
      </c>
      <c r="R4204" s="704">
        <f t="shared" si="365"/>
        <v>12</v>
      </c>
      <c r="S4204" s="1011">
        <v>0</v>
      </c>
      <c r="T4204" s="2452">
        <f t="shared" si="366"/>
        <v>0</v>
      </c>
      <c r="U4204" s="511"/>
      <c r="V4204" s="494">
        <v>120</v>
      </c>
      <c r="W4204" s="2041">
        <f t="shared" si="362"/>
        <v>1</v>
      </c>
    </row>
    <row r="4205" spans="1:23" s="314" customFormat="1" ht="15">
      <c r="A4205" s="1"/>
      <c r="B4205" s="313"/>
      <c r="C4205" s="302" t="s">
        <v>8947</v>
      </c>
      <c r="D4205" s="303" t="s">
        <v>8950</v>
      </c>
      <c r="E4205" s="304"/>
      <c r="F4205" s="305"/>
      <c r="G4205" s="305" t="s">
        <v>1227</v>
      </c>
      <c r="H4205" s="307" t="s">
        <v>1228</v>
      </c>
      <c r="I4205" s="308"/>
      <c r="J4205" s="306"/>
      <c r="K4205" s="315">
        <v>0</v>
      </c>
      <c r="L4205" s="310"/>
      <c r="M4205" s="310"/>
      <c r="N4205" s="310">
        <v>45999</v>
      </c>
      <c r="O4205" s="309">
        <v>7668</v>
      </c>
      <c r="P4205" s="302"/>
      <c r="Q4205" s="485">
        <v>0</v>
      </c>
      <c r="S4205" s="536">
        <v>0</v>
      </c>
      <c r="T4205" s="322">
        <v>0</v>
      </c>
      <c r="U4205" s="515"/>
      <c r="V4205" s="494">
        <v>120</v>
      </c>
      <c r="W4205" s="2041" t="e">
        <f t="shared" si="362"/>
        <v>#DIV/0!</v>
      </c>
    </row>
    <row r="4206" spans="1:23" s="7" customFormat="1" ht="15" customHeight="1">
      <c r="A4206" s="1"/>
      <c r="B4206" s="12"/>
      <c r="C4206" s="6" t="s">
        <v>8983</v>
      </c>
      <c r="D4206" s="15" t="s">
        <v>8298</v>
      </c>
      <c r="E4206" s="20" t="s">
        <v>8252</v>
      </c>
      <c r="F4206" s="26"/>
      <c r="G4206" s="24"/>
      <c r="H4206" s="67"/>
      <c r="I4206" s="68"/>
      <c r="J4206" s="67"/>
      <c r="K4206" s="17" t="s">
        <v>10</v>
      </c>
      <c r="L4206" s="39"/>
      <c r="M4206" s="39"/>
      <c r="N4206" s="39">
        <v>46009</v>
      </c>
      <c r="O4206" s="38">
        <v>7724</v>
      </c>
      <c r="P4206" s="180" t="e">
        <f t="shared" ref="P4206:P4214" si="367">K4206*(VLOOKUP(B4206,$C$2:$F$6,3,FALSE))</f>
        <v>#VALUE!</v>
      </c>
      <c r="Q4206" s="483"/>
      <c r="R4206" s="704"/>
      <c r="S4206" s="489"/>
      <c r="T4206" s="113">
        <f t="shared" ref="T4206:T4214" si="368">S4206*J4206</f>
        <v>0</v>
      </c>
      <c r="U4206" s="517"/>
      <c r="V4206" s="494">
        <v>120</v>
      </c>
      <c r="W4206" s="2041" t="e">
        <f t="shared" si="362"/>
        <v>#VALUE!</v>
      </c>
    </row>
    <row r="4207" spans="1:23" s="7" customFormat="1" ht="15.75" customHeight="1">
      <c r="A4207" s="1"/>
      <c r="B4207" s="12" t="s">
        <v>1856</v>
      </c>
      <c r="C4207" s="6" t="s">
        <v>8983</v>
      </c>
      <c r="D4207" s="15" t="s">
        <v>8298</v>
      </c>
      <c r="E4207" s="24" t="s">
        <v>8711</v>
      </c>
      <c r="F4207" s="26"/>
      <c r="G4207" s="24" t="s">
        <v>8958</v>
      </c>
      <c r="H4207" s="151"/>
      <c r="I4207" s="41"/>
      <c r="J4207" s="67">
        <v>80</v>
      </c>
      <c r="K4207" s="25">
        <v>4.7300000000000004</v>
      </c>
      <c r="L4207" s="46">
        <f t="shared" ref="L4207:L4214" si="369">K4207*J4207</f>
        <v>378.40000000000003</v>
      </c>
      <c r="M4207" s="162" t="s">
        <v>2219</v>
      </c>
      <c r="N4207" s="39">
        <v>46009</v>
      </c>
      <c r="O4207" s="38">
        <v>7724</v>
      </c>
      <c r="P4207" s="180">
        <f t="shared" si="367"/>
        <v>4.1624000000000008</v>
      </c>
      <c r="Q4207" s="483">
        <v>4.16</v>
      </c>
      <c r="R4207" s="704">
        <f t="shared" ref="R4207:R4214" si="370">Q4207*J4207</f>
        <v>332.8</v>
      </c>
      <c r="S4207" s="489">
        <v>340</v>
      </c>
      <c r="T4207" s="113">
        <f t="shared" si="368"/>
        <v>27200</v>
      </c>
      <c r="U4207" s="517"/>
      <c r="V4207" s="494">
        <v>120</v>
      </c>
      <c r="W4207" s="2041">
        <f t="shared" si="362"/>
        <v>0.4009866102889359</v>
      </c>
    </row>
    <row r="4208" spans="1:23" s="7" customFormat="1" ht="15.75" customHeight="1">
      <c r="A4208" s="1"/>
      <c r="B4208" s="12" t="s">
        <v>1856</v>
      </c>
      <c r="C4208" s="6" t="s">
        <v>8983</v>
      </c>
      <c r="D4208" s="15" t="s">
        <v>8298</v>
      </c>
      <c r="E4208" s="24" t="s">
        <v>8712</v>
      </c>
      <c r="F4208" s="26"/>
      <c r="G4208" s="24" t="s">
        <v>8958</v>
      </c>
      <c r="H4208" s="151"/>
      <c r="I4208" s="41"/>
      <c r="J4208" s="67">
        <v>80</v>
      </c>
      <c r="K4208" s="25">
        <v>3.44</v>
      </c>
      <c r="L4208" s="46">
        <f t="shared" si="369"/>
        <v>275.2</v>
      </c>
      <c r="M4208" s="162" t="s">
        <v>2219</v>
      </c>
      <c r="N4208" s="39">
        <v>46009</v>
      </c>
      <c r="O4208" s="38">
        <v>7724</v>
      </c>
      <c r="P4208" s="180">
        <f t="shared" si="367"/>
        <v>3.0272000000000001</v>
      </c>
      <c r="Q4208" s="483">
        <v>3.03</v>
      </c>
      <c r="R4208" s="704">
        <f t="shared" si="370"/>
        <v>242.39999999999998</v>
      </c>
      <c r="S4208" s="489">
        <v>247</v>
      </c>
      <c r="T4208" s="113">
        <f t="shared" si="368"/>
        <v>19760</v>
      </c>
      <c r="U4208" s="517"/>
      <c r="V4208" s="494">
        <v>120</v>
      </c>
      <c r="W4208" s="2041">
        <f t="shared" si="362"/>
        <v>0.40164728682170542</v>
      </c>
    </row>
    <row r="4209" spans="1:23" s="7" customFormat="1" ht="15.75" customHeight="1">
      <c r="A4209" s="1"/>
      <c r="B4209" s="12" t="s">
        <v>1856</v>
      </c>
      <c r="C4209" s="6" t="s">
        <v>8983</v>
      </c>
      <c r="D4209" s="15" t="s">
        <v>8298</v>
      </c>
      <c r="E4209" s="24" t="s">
        <v>8711</v>
      </c>
      <c r="F4209" s="26"/>
      <c r="G4209" s="24" t="s">
        <v>8959</v>
      </c>
      <c r="H4209" s="151"/>
      <c r="I4209" s="41"/>
      <c r="J4209" s="67">
        <v>40</v>
      </c>
      <c r="K4209" s="25">
        <v>4.7300000000000004</v>
      </c>
      <c r="L4209" s="46">
        <f t="shared" si="369"/>
        <v>189.20000000000002</v>
      </c>
      <c r="M4209" s="162" t="s">
        <v>2219</v>
      </c>
      <c r="N4209" s="39">
        <v>46009</v>
      </c>
      <c r="O4209" s="38">
        <v>7724</v>
      </c>
      <c r="P4209" s="180">
        <f t="shared" si="367"/>
        <v>4.1624000000000008</v>
      </c>
      <c r="Q4209" s="483">
        <v>4.16</v>
      </c>
      <c r="R4209" s="704">
        <f t="shared" si="370"/>
        <v>166.4</v>
      </c>
      <c r="S4209" s="489">
        <v>340</v>
      </c>
      <c r="T4209" s="113">
        <f t="shared" si="368"/>
        <v>13600</v>
      </c>
      <c r="U4209" s="517"/>
      <c r="V4209" s="494">
        <v>120</v>
      </c>
      <c r="W4209" s="2041">
        <f t="shared" si="362"/>
        <v>0.4009866102889359</v>
      </c>
    </row>
    <row r="4210" spans="1:23" s="7" customFormat="1" ht="15.75" customHeight="1">
      <c r="A4210" s="1"/>
      <c r="B4210" s="12" t="s">
        <v>1856</v>
      </c>
      <c r="C4210" s="6" t="s">
        <v>8983</v>
      </c>
      <c r="D4210" s="15" t="s">
        <v>8298</v>
      </c>
      <c r="E4210" s="24" t="s">
        <v>8712</v>
      </c>
      <c r="F4210" s="26"/>
      <c r="G4210" s="24" t="s">
        <v>8959</v>
      </c>
      <c r="H4210" s="151"/>
      <c r="I4210" s="41"/>
      <c r="J4210" s="67">
        <v>40</v>
      </c>
      <c r="K4210" s="25">
        <v>3.44</v>
      </c>
      <c r="L4210" s="46">
        <f t="shared" si="369"/>
        <v>137.6</v>
      </c>
      <c r="M4210" s="162" t="s">
        <v>2219</v>
      </c>
      <c r="N4210" s="39">
        <v>46009</v>
      </c>
      <c r="O4210" s="38">
        <v>7724</v>
      </c>
      <c r="P4210" s="180">
        <f t="shared" si="367"/>
        <v>3.0272000000000001</v>
      </c>
      <c r="Q4210" s="483">
        <v>3.03</v>
      </c>
      <c r="R4210" s="704">
        <f t="shared" si="370"/>
        <v>121.19999999999999</v>
      </c>
      <c r="S4210" s="489">
        <v>247</v>
      </c>
      <c r="T4210" s="113">
        <f t="shared" si="368"/>
        <v>9880</v>
      </c>
      <c r="U4210" s="517"/>
      <c r="V4210" s="494">
        <v>120</v>
      </c>
      <c r="W4210" s="2041">
        <f t="shared" si="362"/>
        <v>0.40164728682170542</v>
      </c>
    </row>
    <row r="4211" spans="1:23" s="7" customFormat="1" ht="15.75" customHeight="1">
      <c r="A4211" s="1"/>
      <c r="B4211" s="12" t="s">
        <v>1856</v>
      </c>
      <c r="C4211" s="6" t="s">
        <v>8983</v>
      </c>
      <c r="D4211" s="15" t="s">
        <v>8298</v>
      </c>
      <c r="E4211" s="24" t="s">
        <v>8711</v>
      </c>
      <c r="F4211" s="26"/>
      <c r="G4211" s="24" t="s">
        <v>8966</v>
      </c>
      <c r="H4211" s="151"/>
      <c r="I4211" s="41"/>
      <c r="J4211" s="67">
        <v>40</v>
      </c>
      <c r="K4211" s="25">
        <v>4.7300000000000004</v>
      </c>
      <c r="L4211" s="46">
        <f t="shared" si="369"/>
        <v>189.20000000000002</v>
      </c>
      <c r="M4211" s="162" t="s">
        <v>2219</v>
      </c>
      <c r="N4211" s="39">
        <v>46009</v>
      </c>
      <c r="O4211" s="38">
        <v>7724</v>
      </c>
      <c r="P4211" s="180">
        <f t="shared" si="367"/>
        <v>4.1624000000000008</v>
      </c>
      <c r="Q4211" s="483">
        <v>4.16</v>
      </c>
      <c r="R4211" s="704">
        <f t="shared" si="370"/>
        <v>166.4</v>
      </c>
      <c r="S4211" s="489">
        <v>340</v>
      </c>
      <c r="T4211" s="113">
        <f t="shared" si="368"/>
        <v>13600</v>
      </c>
      <c r="U4211" s="517"/>
      <c r="V4211" s="494">
        <v>120</v>
      </c>
      <c r="W4211" s="2041">
        <f t="shared" si="362"/>
        <v>0.4009866102889359</v>
      </c>
    </row>
    <row r="4212" spans="1:23" s="7" customFormat="1" ht="15.75" customHeight="1">
      <c r="A4212" s="1"/>
      <c r="B4212" s="12" t="s">
        <v>1856</v>
      </c>
      <c r="C4212" s="6" t="s">
        <v>8983</v>
      </c>
      <c r="D4212" s="15" t="s">
        <v>8298</v>
      </c>
      <c r="E4212" s="24" t="s">
        <v>8712</v>
      </c>
      <c r="F4212" s="26"/>
      <c r="G4212" s="24" t="s">
        <v>8966</v>
      </c>
      <c r="H4212" s="151"/>
      <c r="I4212" s="41"/>
      <c r="J4212" s="67">
        <v>40</v>
      </c>
      <c r="K4212" s="25">
        <v>3.44</v>
      </c>
      <c r="L4212" s="46">
        <f t="shared" si="369"/>
        <v>137.6</v>
      </c>
      <c r="M4212" s="162" t="s">
        <v>2219</v>
      </c>
      <c r="N4212" s="39">
        <v>46009</v>
      </c>
      <c r="O4212" s="38">
        <v>7724</v>
      </c>
      <c r="P4212" s="180">
        <f t="shared" si="367"/>
        <v>3.0272000000000001</v>
      </c>
      <c r="Q4212" s="483">
        <v>3.03</v>
      </c>
      <c r="R4212" s="704">
        <f t="shared" si="370"/>
        <v>121.19999999999999</v>
      </c>
      <c r="S4212" s="489">
        <v>247</v>
      </c>
      <c r="T4212" s="113">
        <f t="shared" si="368"/>
        <v>9880</v>
      </c>
      <c r="U4212" s="517"/>
      <c r="V4212" s="494">
        <v>120</v>
      </c>
      <c r="W4212" s="2041">
        <f t="shared" si="362"/>
        <v>0.40164728682170542</v>
      </c>
    </row>
    <row r="4213" spans="1:23" ht="18" customHeight="1">
      <c r="B4213" s="12" t="s">
        <v>1862</v>
      </c>
      <c r="C4213" s="6" t="s">
        <v>8983</v>
      </c>
      <c r="D4213" s="15" t="s">
        <v>8298</v>
      </c>
      <c r="E4213" s="95"/>
      <c r="F4213" s="138"/>
      <c r="G4213" s="44" t="s">
        <v>8960</v>
      </c>
      <c r="H4213" s="8"/>
      <c r="I4213" s="41"/>
      <c r="J4213" s="45">
        <v>3</v>
      </c>
      <c r="K4213" s="46">
        <v>125</v>
      </c>
      <c r="L4213" s="46">
        <f t="shared" si="369"/>
        <v>375</v>
      </c>
      <c r="M4213" s="112"/>
      <c r="N4213" s="39">
        <v>46009</v>
      </c>
      <c r="O4213" s="38">
        <v>7724</v>
      </c>
      <c r="P4213" s="46">
        <f t="shared" si="367"/>
        <v>125</v>
      </c>
      <c r="Q4213" s="483">
        <v>125</v>
      </c>
      <c r="R4213" s="2552">
        <f t="shared" si="370"/>
        <v>375</v>
      </c>
      <c r="S4213" s="1011">
        <v>12000</v>
      </c>
      <c r="T4213" s="2452">
        <f t="shared" si="368"/>
        <v>36000</v>
      </c>
      <c r="U4213" s="511"/>
      <c r="V4213" s="494">
        <v>120</v>
      </c>
      <c r="W4213" s="2041">
        <f t="shared" si="362"/>
        <v>0.2</v>
      </c>
    </row>
    <row r="4214" spans="1:23" ht="18" customHeight="1">
      <c r="B4214" s="12" t="s">
        <v>1862</v>
      </c>
      <c r="C4214" s="6" t="s">
        <v>8983</v>
      </c>
      <c r="D4214" s="15" t="s">
        <v>8298</v>
      </c>
      <c r="E4214" s="24"/>
      <c r="F4214" s="138"/>
      <c r="G4214" s="44" t="s">
        <v>8961</v>
      </c>
      <c r="H4214" s="8"/>
      <c r="I4214" s="41"/>
      <c r="J4214" s="45">
        <v>3</v>
      </c>
      <c r="K4214" s="46">
        <v>115</v>
      </c>
      <c r="L4214" s="46">
        <f t="shared" si="369"/>
        <v>345</v>
      </c>
      <c r="M4214" s="112"/>
      <c r="N4214" s="39">
        <v>46009</v>
      </c>
      <c r="O4214" s="38">
        <v>7724</v>
      </c>
      <c r="P4214" s="46">
        <f t="shared" si="367"/>
        <v>115</v>
      </c>
      <c r="Q4214" s="483">
        <v>115</v>
      </c>
      <c r="R4214" s="2552">
        <f t="shared" si="370"/>
        <v>345</v>
      </c>
      <c r="S4214" s="1011">
        <v>11000</v>
      </c>
      <c r="T4214" s="2452">
        <f t="shared" si="368"/>
        <v>33000</v>
      </c>
      <c r="U4214" s="511"/>
      <c r="V4214" s="494">
        <v>120</v>
      </c>
      <c r="W4214" s="2041">
        <f t="shared" si="362"/>
        <v>0.20289855072463769</v>
      </c>
    </row>
    <row r="4215" spans="1:23" s="314" customFormat="1" ht="15">
      <c r="A4215" s="1"/>
      <c r="B4215" s="313"/>
      <c r="C4215" s="302" t="s">
        <v>8983</v>
      </c>
      <c r="D4215" s="303" t="s">
        <v>8298</v>
      </c>
      <c r="E4215" s="304"/>
      <c r="F4215" s="305"/>
      <c r="G4215" s="305" t="s">
        <v>1227</v>
      </c>
      <c r="H4215" s="307" t="s">
        <v>1228</v>
      </c>
      <c r="I4215" s="308"/>
      <c r="J4215" s="306"/>
      <c r="K4215" s="315">
        <v>0</v>
      </c>
      <c r="L4215" s="310"/>
      <c r="M4215" s="310"/>
      <c r="N4215" s="310">
        <v>46009</v>
      </c>
      <c r="O4215" s="309">
        <v>7724</v>
      </c>
      <c r="P4215" s="302"/>
      <c r="Q4215" s="485">
        <v>0</v>
      </c>
      <c r="S4215" s="536">
        <v>0</v>
      </c>
      <c r="T4215" s="322">
        <v>0</v>
      </c>
      <c r="U4215" s="515"/>
      <c r="V4215" s="494">
        <v>120</v>
      </c>
      <c r="W4215" s="2041" t="e">
        <f t="shared" si="362"/>
        <v>#DIV/0!</v>
      </c>
    </row>
    <row r="4216" spans="1:23" s="7" customFormat="1" ht="15" customHeight="1">
      <c r="B4216" s="12"/>
      <c r="C4216" s="6" t="s">
        <v>8963</v>
      </c>
      <c r="D4216" s="15" t="s">
        <v>8964</v>
      </c>
      <c r="E4216" s="20" t="s">
        <v>6873</v>
      </c>
      <c r="F4216" s="26"/>
      <c r="G4216" s="24"/>
      <c r="H4216" s="67"/>
      <c r="I4216" s="68"/>
      <c r="J4216" s="67"/>
      <c r="K4216" s="17" t="s">
        <v>134</v>
      </c>
      <c r="L4216" s="39"/>
      <c r="M4216" s="39"/>
      <c r="N4216" s="39">
        <v>45979</v>
      </c>
      <c r="O4216" s="38">
        <v>7654</v>
      </c>
      <c r="P4216" s="179" t="s">
        <v>23</v>
      </c>
      <c r="Q4216" s="438" t="s">
        <v>959</v>
      </c>
      <c r="R4216" s="704"/>
      <c r="S4216" s="707"/>
      <c r="T4216" s="113"/>
      <c r="U4216" s="2068"/>
      <c r="V4216" s="494">
        <v>120</v>
      </c>
      <c r="W4216" s="2041" t="e">
        <f t="shared" si="362"/>
        <v>#VALUE!</v>
      </c>
    </row>
    <row r="4217" spans="1:23" s="7" customFormat="1" ht="18" customHeight="1">
      <c r="B4217" s="12" t="s">
        <v>1856</v>
      </c>
      <c r="C4217" s="6" t="s">
        <v>8963</v>
      </c>
      <c r="D4217" s="15" t="s">
        <v>8964</v>
      </c>
      <c r="E4217" s="1012" t="s">
        <v>8927</v>
      </c>
      <c r="F4217" s="26"/>
      <c r="G4217" s="24" t="s">
        <v>8962</v>
      </c>
      <c r="H4217" s="67">
        <v>30</v>
      </c>
      <c r="I4217" s="68">
        <v>1</v>
      </c>
      <c r="J4217" s="67">
        <f>H4217*I4217</f>
        <v>30</v>
      </c>
      <c r="K4217" s="46">
        <v>0.31</v>
      </c>
      <c r="L4217" s="46">
        <f>K4217*J4217</f>
        <v>9.3000000000000007</v>
      </c>
      <c r="M4217" s="162" t="s">
        <v>2219</v>
      </c>
      <c r="N4217" s="2453">
        <v>45979</v>
      </c>
      <c r="O4217" s="38">
        <v>7654</v>
      </c>
      <c r="P4217" s="46">
        <f>K4217*(VLOOKUP(B4217,$C$2:$F$6,3,FALSE))</f>
        <v>0.27279999999999999</v>
      </c>
      <c r="Q4217" s="180">
        <v>0.27</v>
      </c>
      <c r="R4217" s="704">
        <f>Q4217*J4217</f>
        <v>8.1000000000000014</v>
      </c>
      <c r="S4217" s="489">
        <v>7.3</v>
      </c>
      <c r="T4217" s="113">
        <f>S4217*J4217</f>
        <v>219</v>
      </c>
      <c r="U4217" s="489"/>
      <c r="V4217" s="494">
        <v>120</v>
      </c>
      <c r="W4217" s="2041">
        <f t="shared" si="362"/>
        <v>0.80376344086021501</v>
      </c>
    </row>
    <row r="4218" spans="1:23" ht="15.95" customHeight="1">
      <c r="C4218" s="6" t="s">
        <v>8963</v>
      </c>
      <c r="D4218" s="15" t="s">
        <v>8964</v>
      </c>
      <c r="E4218" s="24"/>
      <c r="F4218" s="138"/>
      <c r="G4218" s="44" t="s">
        <v>31</v>
      </c>
      <c r="H4218" s="8"/>
      <c r="I4218" s="68"/>
      <c r="J4218" s="45">
        <v>1</v>
      </c>
      <c r="K4218" s="46">
        <v>12</v>
      </c>
      <c r="L4218" s="46">
        <f>K4218*J4218</f>
        <v>12</v>
      </c>
      <c r="M4218" s="112"/>
      <c r="N4218" s="39">
        <v>45979</v>
      </c>
      <c r="O4218" s="38">
        <v>7654</v>
      </c>
      <c r="P4218" s="179"/>
      <c r="Q4218" s="180">
        <v>12</v>
      </c>
      <c r="R4218" s="180">
        <v>12</v>
      </c>
      <c r="S4218" s="2459">
        <v>800</v>
      </c>
      <c r="T4218" s="2589">
        <f>S4218*J4218</f>
        <v>800</v>
      </c>
      <c r="U4218" s="511"/>
      <c r="V4218" s="494">
        <v>120</v>
      </c>
      <c r="W4218" s="2041">
        <f t="shared" si="362"/>
        <v>0.44444444444444442</v>
      </c>
    </row>
    <row r="4219" spans="1:23" s="314" customFormat="1" ht="15">
      <c r="B4219" s="313"/>
      <c r="C4219" s="302" t="s">
        <v>8963</v>
      </c>
      <c r="D4219" s="303" t="s">
        <v>8964</v>
      </c>
      <c r="E4219" s="371"/>
      <c r="F4219" s="305"/>
      <c r="G4219" s="2049" t="s">
        <v>1227</v>
      </c>
      <c r="H4219" s="307" t="s">
        <v>1228</v>
      </c>
      <c r="I4219" s="308"/>
      <c r="J4219" s="306"/>
      <c r="K4219" s="315">
        <v>0</v>
      </c>
      <c r="L4219" s="310"/>
      <c r="M4219" s="310"/>
      <c r="N4219" s="310">
        <v>45979</v>
      </c>
      <c r="O4219" s="309">
        <v>7654</v>
      </c>
      <c r="P4219" s="302"/>
      <c r="Q4219" s="485">
        <v>0</v>
      </c>
      <c r="S4219" s="535">
        <v>0</v>
      </c>
      <c r="T4219" s="322">
        <v>0</v>
      </c>
      <c r="U4219" s="515"/>
      <c r="V4219" s="494">
        <v>120</v>
      </c>
      <c r="W4219" s="2041" t="e">
        <f t="shared" si="362"/>
        <v>#DIV/0!</v>
      </c>
    </row>
    <row r="4220" spans="1:23" s="7" customFormat="1" ht="18" customHeight="1">
      <c r="C4220" s="6" t="s">
        <v>8985</v>
      </c>
      <c r="D4220" s="15" t="s">
        <v>8971</v>
      </c>
      <c r="E4220" s="20" t="s">
        <v>8970</v>
      </c>
      <c r="F4220" s="150"/>
      <c r="G4220" s="24"/>
      <c r="H4220" s="151"/>
      <c r="I4220" s="152"/>
      <c r="J4220" s="151"/>
      <c r="K4220" s="153" t="s">
        <v>10</v>
      </c>
      <c r="L4220" s="39"/>
      <c r="M4220" s="39"/>
      <c r="N4220" s="39">
        <v>45988</v>
      </c>
      <c r="O4220" s="38">
        <v>7671</v>
      </c>
      <c r="P4220" s="113"/>
      <c r="Q4220" s="113"/>
      <c r="S4220" s="7">
        <f>P4220</f>
        <v>0</v>
      </c>
      <c r="T4220" s="2604">
        <f>Q4220</f>
        <v>0</v>
      </c>
      <c r="U4220" s="15"/>
    </row>
    <row r="4221" spans="1:23" s="7" customFormat="1" ht="18" customHeight="1">
      <c r="B4221" s="7" t="s">
        <v>8973</v>
      </c>
      <c r="C4221" s="6" t="s">
        <v>8985</v>
      </c>
      <c r="D4221" s="15" t="s">
        <v>8971</v>
      </c>
      <c r="E4221" s="24">
        <v>1966</v>
      </c>
      <c r="F4221" s="2605"/>
      <c r="G4221" s="24" t="s">
        <v>8972</v>
      </c>
      <c r="H4221" s="151">
        <v>30</v>
      </c>
      <c r="I4221" s="152">
        <v>11</v>
      </c>
      <c r="J4221" s="67">
        <f>H4221*I4221</f>
        <v>330</v>
      </c>
      <c r="K4221" s="46">
        <v>0.9</v>
      </c>
      <c r="L4221" s="46">
        <f>K4221*J4221</f>
        <v>297</v>
      </c>
      <c r="M4221" s="162" t="s">
        <v>2219</v>
      </c>
      <c r="N4221" s="39">
        <v>45988</v>
      </c>
      <c r="O4221" s="38">
        <v>7671</v>
      </c>
      <c r="P4221" s="46">
        <f>K4221*(VLOOKUP(B4221,$C$2:$F$6,3,FALSE))</f>
        <v>0.79200000000000004</v>
      </c>
      <c r="Q4221" s="180">
        <v>0.79</v>
      </c>
      <c r="R4221" s="704">
        <f>Q4221*J4221</f>
        <v>260.7</v>
      </c>
      <c r="S4221" s="489">
        <v>54</v>
      </c>
      <c r="T4221" s="113">
        <f>S4221*J4221</f>
        <v>17820</v>
      </c>
      <c r="U4221" s="489"/>
      <c r="V4221" s="494">
        <v>120</v>
      </c>
      <c r="W4221" s="2041">
        <f t="shared" ref="W4221:W4242" si="371">(((K4221*V4221)-S4221)/(K4221*V4221))</f>
        <v>0.5</v>
      </c>
    </row>
    <row r="4222" spans="1:23" ht="18" customHeight="1">
      <c r="B4222" s="12" t="s">
        <v>1862</v>
      </c>
      <c r="C4222" s="6" t="s">
        <v>8985</v>
      </c>
      <c r="D4222" s="15" t="s">
        <v>8971</v>
      </c>
      <c r="E4222" s="24"/>
      <c r="F4222" s="138"/>
      <c r="G4222" s="44" t="s">
        <v>1993</v>
      </c>
      <c r="H4222" s="8"/>
      <c r="I4222" s="41"/>
      <c r="J4222" s="45">
        <v>1</v>
      </c>
      <c r="K4222" s="46">
        <v>12</v>
      </c>
      <c r="L4222" s="46">
        <f>K4222*J4222</f>
        <v>12</v>
      </c>
      <c r="M4222" s="112"/>
      <c r="N4222" s="39">
        <v>45988</v>
      </c>
      <c r="O4222" s="38">
        <v>7671</v>
      </c>
      <c r="P4222" s="46">
        <f>K4222*(VLOOKUP(B4222,$C$2:$F$6,3,FALSE))</f>
        <v>12</v>
      </c>
      <c r="Q4222" s="483">
        <v>12</v>
      </c>
      <c r="R4222" s="704">
        <f>Q4222*J4222</f>
        <v>12</v>
      </c>
      <c r="S4222" s="489">
        <v>900</v>
      </c>
      <c r="T4222" s="113">
        <f>S4222*J4222</f>
        <v>900</v>
      </c>
      <c r="U4222" s="511"/>
      <c r="V4222" s="494">
        <v>120</v>
      </c>
      <c r="W4222" s="2041">
        <f t="shared" si="371"/>
        <v>0.375</v>
      </c>
    </row>
    <row r="4223" spans="1:23" s="314" customFormat="1" ht="15">
      <c r="B4223" s="313"/>
      <c r="C4223" s="302" t="s">
        <v>8985</v>
      </c>
      <c r="D4223" s="303" t="s">
        <v>8971</v>
      </c>
      <c r="E4223" s="371"/>
      <c r="F4223" s="305"/>
      <c r="G4223" s="2049" t="s">
        <v>1227</v>
      </c>
      <c r="H4223" s="307" t="s">
        <v>1228</v>
      </c>
      <c r="I4223" s="308"/>
      <c r="J4223" s="306"/>
      <c r="K4223" s="315">
        <v>0</v>
      </c>
      <c r="L4223" s="310"/>
      <c r="M4223" s="310"/>
      <c r="N4223" s="310">
        <v>45988</v>
      </c>
      <c r="O4223" s="309">
        <v>7671</v>
      </c>
      <c r="P4223" s="302"/>
      <c r="Q4223" s="485">
        <v>0</v>
      </c>
      <c r="S4223" s="535">
        <v>0</v>
      </c>
      <c r="T4223" s="322">
        <v>0</v>
      </c>
      <c r="U4223" s="515"/>
      <c r="V4223" s="494">
        <v>120</v>
      </c>
      <c r="W4223" s="2041" t="e">
        <f t="shared" si="371"/>
        <v>#DIV/0!</v>
      </c>
    </row>
    <row r="4224" spans="1:23" s="7" customFormat="1" ht="15">
      <c r="B4224" s="12"/>
      <c r="C4224" s="6" t="s">
        <v>8984</v>
      </c>
      <c r="D4224" s="15" t="s">
        <v>3026</v>
      </c>
      <c r="E4224" s="20" t="s">
        <v>408</v>
      </c>
      <c r="F4224" s="44"/>
      <c r="G4224" s="44"/>
      <c r="H4224" s="151"/>
      <c r="I4224" s="151"/>
      <c r="J4224" s="151"/>
      <c r="K4224" s="17" t="s">
        <v>134</v>
      </c>
      <c r="L4224" s="39"/>
      <c r="M4224" s="39"/>
      <c r="N4224" s="39">
        <v>45992</v>
      </c>
      <c r="O4224" s="38">
        <v>7669</v>
      </c>
      <c r="P4224" s="6"/>
      <c r="Q4224" s="524"/>
      <c r="S4224" s="489"/>
      <c r="T4224" s="113"/>
      <c r="U4224" s="501"/>
      <c r="V4224" s="494">
        <v>120</v>
      </c>
      <c r="W4224" s="2041" t="e">
        <f t="shared" si="371"/>
        <v>#VALUE!</v>
      </c>
    </row>
    <row r="4225" spans="1:23" s="7" customFormat="1" ht="15" customHeight="1">
      <c r="B4225" s="12" t="s">
        <v>1856</v>
      </c>
      <c r="C4225" s="6" t="s">
        <v>8984</v>
      </c>
      <c r="D4225" s="15" t="s">
        <v>3026</v>
      </c>
      <c r="E4225" s="24" t="s">
        <v>5772</v>
      </c>
      <c r="F4225" s="26"/>
      <c r="G4225" s="24" t="s">
        <v>17</v>
      </c>
      <c r="H4225" s="67">
        <v>50</v>
      </c>
      <c r="I4225" s="68">
        <v>50</v>
      </c>
      <c r="J4225" s="8">
        <f>H4225*I4225</f>
        <v>2500</v>
      </c>
      <c r="K4225" s="46">
        <v>0.26</v>
      </c>
      <c r="L4225" s="46">
        <f>K4225*J4225</f>
        <v>650</v>
      </c>
      <c r="M4225" s="162" t="s">
        <v>2219</v>
      </c>
      <c r="N4225" s="39">
        <v>45992</v>
      </c>
      <c r="O4225" s="38">
        <v>7669</v>
      </c>
      <c r="P4225" s="46">
        <f>K4225*(VLOOKUP(B4225,$C$2:$F$6,3,FALSE))</f>
        <v>0.2288</v>
      </c>
      <c r="Q4225" s="482">
        <v>0.23</v>
      </c>
      <c r="R4225" s="704">
        <f>Q4225*J4225</f>
        <v>575</v>
      </c>
      <c r="S4225" s="489">
        <v>17</v>
      </c>
      <c r="T4225" s="113">
        <f>S4225*J4225</f>
        <v>42500</v>
      </c>
      <c r="U4225" s="1603"/>
      <c r="V4225" s="494">
        <v>120</v>
      </c>
      <c r="W4225" s="2041">
        <f t="shared" si="371"/>
        <v>0.45512820512820518</v>
      </c>
    </row>
    <row r="4226" spans="1:23" ht="15.95" customHeight="1">
      <c r="C4226" s="6" t="s">
        <v>8984</v>
      </c>
      <c r="D4226" s="15" t="s">
        <v>3026</v>
      </c>
      <c r="E4226" s="24"/>
      <c r="F4226" s="138"/>
      <c r="G4226" s="44" t="s">
        <v>1993</v>
      </c>
      <c r="H4226" s="8"/>
      <c r="I4226" s="68"/>
      <c r="J4226" s="45">
        <v>1</v>
      </c>
      <c r="K4226" s="46">
        <v>12</v>
      </c>
      <c r="L4226" s="46">
        <f>K4226*J4226</f>
        <v>12</v>
      </c>
      <c r="M4226" s="112"/>
      <c r="N4226" s="39">
        <v>45992</v>
      </c>
      <c r="O4226" s="38">
        <v>7669</v>
      </c>
      <c r="P4226" s="46" t="e">
        <f>K4226*(VLOOKUP(B4226,$C$2:$F$6,3,FALSE))</f>
        <v>#N/A</v>
      </c>
      <c r="Q4226" s="180">
        <v>12</v>
      </c>
      <c r="R4226" s="180">
        <v>12</v>
      </c>
      <c r="S4226" s="498">
        <v>0</v>
      </c>
      <c r="T4226" s="498">
        <v>0</v>
      </c>
      <c r="U4226" s="511"/>
      <c r="V4226" s="494">
        <v>120</v>
      </c>
      <c r="W4226" s="2041">
        <f t="shared" si="371"/>
        <v>1</v>
      </c>
    </row>
    <row r="4227" spans="1:23" s="314" customFormat="1" ht="15.6" customHeight="1">
      <c r="B4227" s="313"/>
      <c r="C4227" s="302" t="s">
        <v>8984</v>
      </c>
      <c r="D4227" s="303" t="s">
        <v>3026</v>
      </c>
      <c r="E4227" s="304"/>
      <c r="F4227" s="305"/>
      <c r="G4227" s="305" t="s">
        <v>1227</v>
      </c>
      <c r="H4227" s="307" t="s">
        <v>3438</v>
      </c>
      <c r="I4227" s="308"/>
      <c r="J4227" s="306"/>
      <c r="K4227" s="329">
        <v>269</v>
      </c>
      <c r="L4227" s="329">
        <v>269</v>
      </c>
      <c r="M4227" s="310"/>
      <c r="N4227" s="310">
        <v>45992</v>
      </c>
      <c r="O4227" s="309">
        <v>7669</v>
      </c>
      <c r="P4227" s="302"/>
      <c r="Q4227" s="329">
        <v>269</v>
      </c>
      <c r="R4227" s="329">
        <v>269</v>
      </c>
      <c r="S4227" s="7">
        <v>25970</v>
      </c>
      <c r="T4227" s="7">
        <f>S4227</f>
        <v>25970</v>
      </c>
      <c r="U4227" s="1115"/>
      <c r="V4227" s="494">
        <v>120</v>
      </c>
      <c r="W4227" s="2041">
        <f t="shared" si="371"/>
        <v>0.19547707558859975</v>
      </c>
    </row>
    <row r="4228" spans="1:23" ht="18" customHeight="1">
      <c r="C4228" s="6" t="s">
        <v>8993</v>
      </c>
      <c r="D4228" s="15" t="s">
        <v>8246</v>
      </c>
      <c r="E4228" s="20" t="s">
        <v>260</v>
      </c>
      <c r="F4228" s="44"/>
      <c r="G4228" s="44"/>
      <c r="H4228" s="151"/>
      <c r="I4228" s="151"/>
      <c r="J4228" s="151"/>
      <c r="K4228" s="34" t="s">
        <v>134</v>
      </c>
      <c r="L4228" s="39"/>
      <c r="M4228" s="39"/>
      <c r="N4228" s="39">
        <v>46031</v>
      </c>
      <c r="O4228" s="38">
        <v>7676</v>
      </c>
      <c r="P4228" s="6"/>
      <c r="Q4228" s="524"/>
      <c r="S4228" s="1995" t="s">
        <v>8994</v>
      </c>
      <c r="T4228" s="113"/>
      <c r="U4228" s="501"/>
      <c r="V4228" s="494">
        <v>120</v>
      </c>
      <c r="W4228" s="2041" t="e">
        <f t="shared" si="371"/>
        <v>#VALUE!</v>
      </c>
    </row>
    <row r="4229" spans="1:23" ht="18" customHeight="1">
      <c r="B4229" s="28" t="s">
        <v>1856</v>
      </c>
      <c r="C4229" s="6" t="s">
        <v>8993</v>
      </c>
      <c r="D4229" s="15" t="s">
        <v>8246</v>
      </c>
      <c r="E4229" s="24">
        <v>4141</v>
      </c>
      <c r="F4229" s="44">
        <v>6</v>
      </c>
      <c r="G4229" s="24" t="s">
        <v>48</v>
      </c>
      <c r="H4229" s="67">
        <v>20</v>
      </c>
      <c r="I4229" s="68">
        <v>65</v>
      </c>
      <c r="J4229" s="67">
        <f>H4229*I4229</f>
        <v>1300</v>
      </c>
      <c r="K4229" s="46">
        <v>1.47</v>
      </c>
      <c r="L4229" s="46">
        <f>K4229*J4229</f>
        <v>1911</v>
      </c>
      <c r="M4229" s="162" t="s">
        <v>2219</v>
      </c>
      <c r="N4229" s="39">
        <v>46031</v>
      </c>
      <c r="O4229" s="38">
        <v>7676</v>
      </c>
      <c r="P4229" s="46">
        <f>K4229*(VLOOKUP(B4229,$C$2:$F$6,3,FALSE))</f>
        <v>1.2936000000000001</v>
      </c>
      <c r="Q4229" s="482">
        <v>1.29</v>
      </c>
      <c r="R4229" s="704">
        <f>Q4229*J4229</f>
        <v>1677</v>
      </c>
      <c r="S4229" s="489">
        <f>96+1.75</f>
        <v>97.75</v>
      </c>
      <c r="T4229" s="113">
        <f>S4229*J4229</f>
        <v>127075</v>
      </c>
      <c r="U4229" s="699"/>
      <c r="V4229" s="494">
        <v>120</v>
      </c>
      <c r="W4229" s="2041">
        <f t="shared" si="371"/>
        <v>0.44586167800453519</v>
      </c>
    </row>
    <row r="4230" spans="1:23" ht="18" customHeight="1">
      <c r="C4230" s="6" t="s">
        <v>8993</v>
      </c>
      <c r="D4230" s="15" t="s">
        <v>8246</v>
      </c>
      <c r="E4230" s="20" t="s">
        <v>260</v>
      </c>
      <c r="F4230" s="44"/>
      <c r="G4230" s="44"/>
      <c r="H4230" s="151"/>
      <c r="I4230" s="151"/>
      <c r="J4230" s="151"/>
      <c r="K4230" s="34" t="s">
        <v>134</v>
      </c>
      <c r="L4230" s="39"/>
      <c r="M4230" s="39"/>
      <c r="N4230" s="39">
        <v>46031</v>
      </c>
      <c r="O4230" s="38">
        <v>7676</v>
      </c>
      <c r="P4230" s="6"/>
      <c r="Q4230" s="524"/>
      <c r="S4230" s="1995"/>
      <c r="T4230" s="113"/>
      <c r="U4230" s="501"/>
      <c r="V4230" s="494">
        <v>120</v>
      </c>
      <c r="W4230" s="2041" t="e">
        <f>(((K4230*V4230)-S4230)/(K4230*V4230))</f>
        <v>#VALUE!</v>
      </c>
    </row>
    <row r="4231" spans="1:23" ht="18" customHeight="1">
      <c r="B4231" s="28" t="s">
        <v>1856</v>
      </c>
      <c r="C4231" s="6" t="s">
        <v>8993</v>
      </c>
      <c r="D4231" s="15" t="s">
        <v>8246</v>
      </c>
      <c r="E4231" s="24">
        <v>4141</v>
      </c>
      <c r="F4231" s="44">
        <v>6</v>
      </c>
      <c r="G4231" s="24" t="s">
        <v>9102</v>
      </c>
      <c r="H4231" s="67">
        <v>20</v>
      </c>
      <c r="I4231" s="68">
        <v>1</v>
      </c>
      <c r="J4231" s="67">
        <f>H4231*I4231</f>
        <v>20</v>
      </c>
      <c r="K4231" s="46">
        <v>1.47</v>
      </c>
      <c r="L4231" s="46">
        <f>K4231*J4231</f>
        <v>29.4</v>
      </c>
      <c r="M4231" s="162" t="s">
        <v>2219</v>
      </c>
      <c r="N4231" s="39">
        <v>46031</v>
      </c>
      <c r="O4231" s="38">
        <v>7676</v>
      </c>
      <c r="P4231" s="46">
        <f>K4231*(VLOOKUP(B4231,$C$2:$F$6,3,FALSE))</f>
        <v>1.2936000000000001</v>
      </c>
      <c r="Q4231" s="482">
        <v>1.29</v>
      </c>
      <c r="R4231" s="704">
        <f>Q4231*J4231</f>
        <v>25.8</v>
      </c>
      <c r="S4231" s="489">
        <f>96</f>
        <v>96</v>
      </c>
      <c r="T4231" s="113">
        <f>S4231*J4231</f>
        <v>1920</v>
      </c>
      <c r="U4231" s="699"/>
      <c r="V4231" s="494">
        <v>120</v>
      </c>
      <c r="W4231" s="2041">
        <f>(((K4231*V4231)-S4231)/(K4231*V4231))</f>
        <v>0.45578231292517007</v>
      </c>
    </row>
    <row r="4232" spans="1:23" ht="18" customHeight="1">
      <c r="B4232" s="28" t="s">
        <v>1856</v>
      </c>
      <c r="C4232" s="6" t="s">
        <v>8993</v>
      </c>
      <c r="D4232" s="15" t="s">
        <v>8246</v>
      </c>
      <c r="E4232" s="24">
        <v>4141</v>
      </c>
      <c r="F4232" s="44">
        <v>6</v>
      </c>
      <c r="G4232" s="24" t="s">
        <v>9103</v>
      </c>
      <c r="H4232" s="67">
        <v>20</v>
      </c>
      <c r="I4232" s="68">
        <v>1</v>
      </c>
      <c r="J4232" s="67">
        <f>H4232*I4232</f>
        <v>20</v>
      </c>
      <c r="K4232" s="46">
        <v>1.47</v>
      </c>
      <c r="L4232" s="46">
        <f>K4232*J4232</f>
        <v>29.4</v>
      </c>
      <c r="M4232" s="162" t="s">
        <v>2219</v>
      </c>
      <c r="N4232" s="39">
        <v>46031</v>
      </c>
      <c r="O4232" s="38">
        <v>7676</v>
      </c>
      <c r="P4232" s="46">
        <f>K4232*(VLOOKUP(B4232,$C$2:$F$6,3,FALSE))</f>
        <v>1.2936000000000001</v>
      </c>
      <c r="Q4232" s="482">
        <v>1.29</v>
      </c>
      <c r="R4232" s="704">
        <f>Q4232*J4232</f>
        <v>25.8</v>
      </c>
      <c r="S4232" s="489">
        <f>96</f>
        <v>96</v>
      </c>
      <c r="T4232" s="113">
        <f>S4232*J4232</f>
        <v>1920</v>
      </c>
      <c r="U4232" s="699"/>
      <c r="V4232" s="494">
        <v>120</v>
      </c>
      <c r="W4232" s="2041">
        <f>(((K4232*V4232)-S4232)/(K4232*V4232))</f>
        <v>0.45578231292517007</v>
      </c>
    </row>
    <row r="4233" spans="1:23" s="314" customFormat="1" ht="15">
      <c r="A4233" s="1"/>
      <c r="B4233" s="313"/>
      <c r="C4233" s="302" t="s">
        <v>8993</v>
      </c>
      <c r="D4233" s="303" t="s">
        <v>8246</v>
      </c>
      <c r="E4233" s="304"/>
      <c r="F4233" s="305"/>
      <c r="G4233" s="305" t="s">
        <v>1227</v>
      </c>
      <c r="H4233" s="307" t="s">
        <v>1228</v>
      </c>
      <c r="I4233" s="308"/>
      <c r="J4233" s="306"/>
      <c r="K4233" s="315">
        <v>0</v>
      </c>
      <c r="L4233" s="310"/>
      <c r="M4233" s="310"/>
      <c r="N4233" s="310">
        <v>46031</v>
      </c>
      <c r="O4233" s="309">
        <v>7676</v>
      </c>
      <c r="P4233" s="302"/>
      <c r="Q4233" s="485">
        <v>0</v>
      </c>
      <c r="S4233" s="536">
        <v>0</v>
      </c>
      <c r="T4233" s="322">
        <v>0</v>
      </c>
      <c r="U4233" s="515"/>
      <c r="V4233" s="494">
        <v>120</v>
      </c>
      <c r="W4233" s="2041" t="e">
        <f t="shared" si="371"/>
        <v>#DIV/0!</v>
      </c>
    </row>
    <row r="4234" spans="1:23" s="80" customFormat="1" ht="15" customHeight="1">
      <c r="A4234" s="2127"/>
      <c r="B4234" s="540"/>
      <c r="C4234" s="76" t="s">
        <v>9016</v>
      </c>
      <c r="D4234" s="77" t="s">
        <v>5251</v>
      </c>
      <c r="E4234" s="252" t="s">
        <v>8252</v>
      </c>
      <c r="F4234" s="78"/>
      <c r="G4234" s="79"/>
      <c r="H4234" s="247"/>
      <c r="I4234" s="248"/>
      <c r="J4234" s="247"/>
      <c r="K4234" s="426" t="s">
        <v>10</v>
      </c>
      <c r="L4234" s="576"/>
      <c r="M4234" s="576"/>
      <c r="N4234" s="2645" t="s">
        <v>9100</v>
      </c>
      <c r="O4234" s="2645" t="s">
        <v>9100</v>
      </c>
      <c r="P4234" s="2119" t="e">
        <f>K4234*(VLOOKUP(B4234,$C$2:$F$6,3,FALSE))</f>
        <v>#VALUE!</v>
      </c>
      <c r="Q4234" s="2249"/>
      <c r="R4234" s="2115"/>
      <c r="S4234" s="2646"/>
      <c r="T4234" s="563">
        <f>S4234*J4234</f>
        <v>0</v>
      </c>
      <c r="U4234" s="2647"/>
      <c r="V4234" s="546">
        <v>120</v>
      </c>
      <c r="W4234" s="2117" t="e">
        <f t="shared" si="371"/>
        <v>#VALUE!</v>
      </c>
    </row>
    <row r="4235" spans="1:23" s="80" customFormat="1" ht="15.75" customHeight="1">
      <c r="A4235" s="2127"/>
      <c r="B4235" s="540" t="s">
        <v>1856</v>
      </c>
      <c r="C4235" s="76" t="s">
        <v>9016</v>
      </c>
      <c r="D4235" s="77" t="s">
        <v>5251</v>
      </c>
      <c r="E4235" s="249" t="s">
        <v>7535</v>
      </c>
      <c r="F4235" s="78"/>
      <c r="G4235" s="79" t="s">
        <v>7694</v>
      </c>
      <c r="H4235" s="253"/>
      <c r="I4235" s="2123"/>
      <c r="J4235" s="247">
        <v>20</v>
      </c>
      <c r="K4235" s="257">
        <v>2.52</v>
      </c>
      <c r="L4235" s="250">
        <f>K4235*J4235</f>
        <v>50.4</v>
      </c>
      <c r="M4235" s="2118" t="s">
        <v>2219</v>
      </c>
      <c r="N4235" s="2645" t="s">
        <v>9100</v>
      </c>
      <c r="O4235" s="2645" t="s">
        <v>9100</v>
      </c>
      <c r="P4235" s="2119">
        <f>K4235*(VLOOKUP(B4235,$C$2:$F$6,3,FALSE))</f>
        <v>2.2176</v>
      </c>
      <c r="Q4235" s="2249">
        <v>2.2200000000000002</v>
      </c>
      <c r="R4235" s="2115">
        <f>Q4235*J4235</f>
        <v>44.400000000000006</v>
      </c>
      <c r="S4235" s="491">
        <v>181</v>
      </c>
      <c r="T4235" s="563">
        <f>S4235*J4235</f>
        <v>3620</v>
      </c>
      <c r="U4235" s="2647"/>
      <c r="V4235" s="546">
        <v>120</v>
      </c>
      <c r="W4235" s="2117">
        <f t="shared" si="371"/>
        <v>0.4014550264550264</v>
      </c>
    </row>
    <row r="4236" spans="1:23" s="2127" customFormat="1" ht="18" customHeight="1">
      <c r="B4236" s="540" t="s">
        <v>1862</v>
      </c>
      <c r="C4236" s="76" t="s">
        <v>9016</v>
      </c>
      <c r="D4236" s="77" t="s">
        <v>5251</v>
      </c>
      <c r="E4236" s="79"/>
      <c r="F4236" s="2122"/>
      <c r="G4236" s="616" t="s">
        <v>1993</v>
      </c>
      <c r="H4236" s="256"/>
      <c r="I4236" s="2123"/>
      <c r="J4236" s="619">
        <v>1</v>
      </c>
      <c r="K4236" s="250">
        <v>12</v>
      </c>
      <c r="L4236" s="250">
        <f>K4236*J4236</f>
        <v>12</v>
      </c>
      <c r="M4236" s="783"/>
      <c r="N4236" s="2645" t="s">
        <v>9100</v>
      </c>
      <c r="O4236" s="2645" t="s">
        <v>9100</v>
      </c>
      <c r="P4236" s="250">
        <f>K4236*(VLOOKUP(B4236,$C$2:$F$6,3,FALSE))</f>
        <v>12</v>
      </c>
      <c r="Q4236" s="2249">
        <v>12</v>
      </c>
      <c r="R4236" s="2115">
        <f>Q4236*J4236</f>
        <v>12</v>
      </c>
      <c r="S4236" s="2124">
        <v>900</v>
      </c>
      <c r="T4236" s="2125">
        <f>S4236*J4236</f>
        <v>900</v>
      </c>
      <c r="U4236" s="2126"/>
      <c r="V4236" s="546">
        <v>120</v>
      </c>
      <c r="W4236" s="2117">
        <f t="shared" si="371"/>
        <v>0.375</v>
      </c>
    </row>
    <row r="4237" spans="1:23" s="2127" customFormat="1" ht="15">
      <c r="B4237" s="2121"/>
      <c r="C4237" s="76" t="s">
        <v>9016</v>
      </c>
      <c r="D4237" s="77" t="s">
        <v>5251</v>
      </c>
      <c r="E4237" s="249"/>
      <c r="F4237" s="616"/>
      <c r="G4237" s="616" t="s">
        <v>1227</v>
      </c>
      <c r="H4237" s="619" t="s">
        <v>1228</v>
      </c>
      <c r="I4237" s="254"/>
      <c r="J4237" s="253"/>
      <c r="K4237" s="250">
        <v>0</v>
      </c>
      <c r="L4237" s="576"/>
      <c r="M4237" s="576"/>
      <c r="N4237" s="2645" t="s">
        <v>9100</v>
      </c>
      <c r="O4237" s="2645" t="s">
        <v>9100</v>
      </c>
      <c r="P4237" s="76"/>
      <c r="Q4237" s="530">
        <v>0</v>
      </c>
      <c r="S4237" s="2648">
        <v>0</v>
      </c>
      <c r="T4237" s="2250">
        <v>0</v>
      </c>
      <c r="U4237" s="2649"/>
      <c r="V4237" s="546">
        <v>120</v>
      </c>
      <c r="W4237" s="2117" t="e">
        <f t="shared" si="371"/>
        <v>#DIV/0!</v>
      </c>
    </row>
    <row r="4238" spans="1:23" s="7" customFormat="1" ht="18.600000000000001" customHeight="1">
      <c r="A4238" s="1"/>
      <c r="B4238" s="12"/>
      <c r="C4238" s="6" t="s">
        <v>9017</v>
      </c>
      <c r="D4238" s="15" t="s">
        <v>8806</v>
      </c>
      <c r="E4238" s="20" t="s">
        <v>1003</v>
      </c>
      <c r="F4238" s="24"/>
      <c r="G4238" s="44"/>
      <c r="H4238" s="151"/>
      <c r="I4238" s="151"/>
      <c r="J4238" s="151"/>
      <c r="K4238" s="153" t="s">
        <v>10</v>
      </c>
      <c r="L4238" s="39"/>
      <c r="M4238" s="162"/>
      <c r="N4238" s="39">
        <v>46001</v>
      </c>
      <c r="O4238" s="38">
        <v>7702</v>
      </c>
      <c r="P4238" s="6"/>
      <c r="Q4238" s="411"/>
      <c r="S4238" s="489"/>
      <c r="T4238" s="113"/>
      <c r="U4238" s="501"/>
      <c r="V4238" s="494">
        <v>120</v>
      </c>
      <c r="W4238" s="2041" t="e">
        <f t="shared" si="371"/>
        <v>#VALUE!</v>
      </c>
    </row>
    <row r="4239" spans="1:23" s="7" customFormat="1" ht="15.95" customHeight="1">
      <c r="A4239" s="1"/>
      <c r="B4239" s="12" t="s">
        <v>1856</v>
      </c>
      <c r="C4239" s="6" t="s">
        <v>9017</v>
      </c>
      <c r="D4239" s="15" t="s">
        <v>8806</v>
      </c>
      <c r="E4239" s="24" t="s">
        <v>6894</v>
      </c>
      <c r="F4239" s="44"/>
      <c r="G4239" s="44" t="s">
        <v>7694</v>
      </c>
      <c r="H4239" s="8">
        <v>14</v>
      </c>
      <c r="I4239" s="68">
        <v>1</v>
      </c>
      <c r="J4239" s="67">
        <f>I4239*H4239</f>
        <v>14</v>
      </c>
      <c r="K4239" s="46">
        <v>1.5</v>
      </c>
      <c r="L4239" s="46">
        <f>K4239*J4239</f>
        <v>21</v>
      </c>
      <c r="M4239" s="162" t="s">
        <v>2219</v>
      </c>
      <c r="N4239" s="39">
        <v>46001</v>
      </c>
      <c r="O4239" s="38">
        <v>7702</v>
      </c>
      <c r="P4239" s="46">
        <f>K4239*(VLOOKUP(B4239,$C$2:$F$6,3,FALSE))</f>
        <v>1.32</v>
      </c>
      <c r="Q4239" s="483">
        <v>1.32</v>
      </c>
      <c r="R4239" s="704">
        <f>Q4239*J4239</f>
        <v>18.48</v>
      </c>
      <c r="S4239" s="489">
        <v>80</v>
      </c>
      <c r="T4239" s="567">
        <f>S4239*J4239</f>
        <v>1120</v>
      </c>
      <c r="U4239" s="517"/>
      <c r="V4239" s="494">
        <v>120</v>
      </c>
      <c r="W4239" s="2041">
        <f t="shared" si="371"/>
        <v>0.55555555555555558</v>
      </c>
    </row>
    <row r="4240" spans="1:23" s="7" customFormat="1" ht="15.95" customHeight="1">
      <c r="A4240" s="1"/>
      <c r="B4240" s="12" t="s">
        <v>1856</v>
      </c>
      <c r="C4240" s="6" t="s">
        <v>9017</v>
      </c>
      <c r="D4240" s="15" t="s">
        <v>8806</v>
      </c>
      <c r="E4240" s="24" t="s">
        <v>9018</v>
      </c>
      <c r="F4240" s="44"/>
      <c r="G4240" s="44" t="s">
        <v>7694</v>
      </c>
      <c r="H4240" s="8">
        <v>14</v>
      </c>
      <c r="I4240" s="68">
        <v>1</v>
      </c>
      <c r="J4240" s="67">
        <f>I4240*H4240</f>
        <v>14</v>
      </c>
      <c r="K4240" s="46">
        <v>2.39</v>
      </c>
      <c r="L4240" s="46">
        <f>K4240*J4240</f>
        <v>33.46</v>
      </c>
      <c r="M4240" s="162" t="s">
        <v>2219</v>
      </c>
      <c r="N4240" s="39">
        <v>46001</v>
      </c>
      <c r="O4240" s="38">
        <v>7702</v>
      </c>
      <c r="P4240" s="46">
        <f>K4240*(VLOOKUP(B4240,$C$2:$F$6,3,FALSE))</f>
        <v>2.1032000000000002</v>
      </c>
      <c r="Q4240" s="483">
        <v>2.1</v>
      </c>
      <c r="R4240" s="704">
        <f>Q4240*J4240</f>
        <v>29.400000000000002</v>
      </c>
      <c r="S4240" s="489">
        <v>155</v>
      </c>
      <c r="T4240" s="567">
        <f>S4240*J4240</f>
        <v>2170</v>
      </c>
      <c r="U4240" s="517"/>
      <c r="V4240" s="494">
        <v>120</v>
      </c>
      <c r="W4240" s="2041">
        <f t="shared" si="371"/>
        <v>0.4595536959553696</v>
      </c>
    </row>
    <row r="4241" spans="1:23" ht="18" customHeight="1">
      <c r="B4241" s="12" t="s">
        <v>1862</v>
      </c>
      <c r="C4241" s="6" t="s">
        <v>9017</v>
      </c>
      <c r="D4241" s="15" t="s">
        <v>8806</v>
      </c>
      <c r="E4241" s="95"/>
      <c r="F4241" s="138"/>
      <c r="G4241" s="44" t="s">
        <v>1993</v>
      </c>
      <c r="H4241" s="8"/>
      <c r="I4241" s="41"/>
      <c r="J4241" s="45">
        <v>1</v>
      </c>
      <c r="K4241" s="46">
        <v>12</v>
      </c>
      <c r="L4241" s="46">
        <f>K4241*J4241</f>
        <v>12</v>
      </c>
      <c r="M4241" s="112"/>
      <c r="N4241" s="39">
        <v>46001</v>
      </c>
      <c r="O4241" s="38">
        <v>7702</v>
      </c>
      <c r="P4241" s="46">
        <f>K4241*(VLOOKUP(B4241,$C$2:$F$6,3,FALSE))</f>
        <v>12</v>
      </c>
      <c r="Q4241" s="483">
        <v>12</v>
      </c>
      <c r="R4241" s="704">
        <f>Q4241*J4241</f>
        <v>12</v>
      </c>
      <c r="S4241" s="489">
        <v>1000</v>
      </c>
      <c r="T4241" s="113">
        <f>S4241*J4241</f>
        <v>1000</v>
      </c>
      <c r="U4241" s="511"/>
      <c r="V4241" s="494">
        <v>120</v>
      </c>
      <c r="W4241" s="2041">
        <f t="shared" si="371"/>
        <v>0.30555555555555558</v>
      </c>
    </row>
    <row r="4242" spans="1:23" s="314" customFormat="1" ht="15">
      <c r="A4242" s="1"/>
      <c r="B4242" s="313"/>
      <c r="C4242" s="302" t="s">
        <v>9017</v>
      </c>
      <c r="D4242" s="303" t="s">
        <v>8806</v>
      </c>
      <c r="E4242" s="304"/>
      <c r="F4242" s="305"/>
      <c r="G4242" s="305" t="s">
        <v>1227</v>
      </c>
      <c r="H4242" s="307" t="s">
        <v>1228</v>
      </c>
      <c r="I4242" s="308"/>
      <c r="J4242" s="306"/>
      <c r="K4242" s="315">
        <v>0</v>
      </c>
      <c r="L4242" s="310"/>
      <c r="M4242" s="310"/>
      <c r="N4242" s="310">
        <v>46001</v>
      </c>
      <c r="O4242" s="309">
        <v>7702</v>
      </c>
      <c r="P4242" s="302"/>
      <c r="Q4242" s="485">
        <v>0</v>
      </c>
      <c r="S4242" s="536">
        <v>0</v>
      </c>
      <c r="T4242" s="322">
        <v>0</v>
      </c>
      <c r="U4242" s="515"/>
      <c r="V4242" s="494">
        <v>120</v>
      </c>
      <c r="W4242" s="2041" t="e">
        <f t="shared" si="371"/>
        <v>#DIV/0!</v>
      </c>
    </row>
    <row r="4243" spans="1:23" s="7" customFormat="1" ht="18" customHeight="1">
      <c r="B4243" s="12"/>
      <c r="C4243" s="6" t="s">
        <v>9026</v>
      </c>
      <c r="D4243" s="15" t="s">
        <v>8986</v>
      </c>
      <c r="E4243" s="20" t="s">
        <v>27</v>
      </c>
      <c r="F4243" s="150"/>
      <c r="G4243" s="24"/>
      <c r="H4243" s="151"/>
      <c r="I4243" s="152"/>
      <c r="J4243" s="151"/>
      <c r="K4243" s="34" t="s">
        <v>10</v>
      </c>
      <c r="L4243" s="39"/>
      <c r="M4243" s="39"/>
      <c r="N4243" s="39">
        <v>46017</v>
      </c>
      <c r="O4243" s="38">
        <v>7754</v>
      </c>
      <c r="P4243" s="15"/>
      <c r="Q4243" s="483"/>
      <c r="S4243" s="707"/>
      <c r="T4243" s="113"/>
      <c r="U4243" s="506"/>
      <c r="V4243" s="494">
        <v>120</v>
      </c>
      <c r="W4243" s="7" t="e">
        <f>(((K4243*V4243)-S4243)/(K4243*V4243))</f>
        <v>#VALUE!</v>
      </c>
    </row>
    <row r="4244" spans="1:23" s="7" customFormat="1" ht="15.75">
      <c r="B4244" s="12" t="s">
        <v>1858</v>
      </c>
      <c r="C4244" s="6" t="s">
        <v>9026</v>
      </c>
      <c r="D4244" s="15" t="s">
        <v>8986</v>
      </c>
      <c r="E4244" s="1012" t="s">
        <v>536</v>
      </c>
      <c r="F4244" s="150">
        <v>160</v>
      </c>
      <c r="G4244" s="24" t="s">
        <v>3599</v>
      </c>
      <c r="H4244" s="67">
        <v>50</v>
      </c>
      <c r="I4244" s="68">
        <v>10</v>
      </c>
      <c r="J4244" s="8">
        <f>H4244*I4244</f>
        <v>500</v>
      </c>
      <c r="K4244" s="25">
        <v>5</v>
      </c>
      <c r="L4244" s="46">
        <f>K4244*J4244</f>
        <v>2500</v>
      </c>
      <c r="M4244" s="162" t="s">
        <v>2218</v>
      </c>
      <c r="N4244" s="2453">
        <v>46017</v>
      </c>
      <c r="O4244" s="38">
        <v>7754</v>
      </c>
      <c r="P4244" s="46">
        <f>K4244*(VLOOKUP(B4244,$C$2:$F$6,3,FALSE))</f>
        <v>4.6999999999999993</v>
      </c>
      <c r="Q4244" s="483">
        <v>4.7</v>
      </c>
      <c r="R4244" s="704">
        <f>Q4244*J4244</f>
        <v>2350</v>
      </c>
      <c r="S4244" s="532">
        <v>420</v>
      </c>
      <c r="T4244" s="567">
        <f>S4244*J4244</f>
        <v>210000</v>
      </c>
      <c r="U4244" s="501"/>
      <c r="V4244" s="494">
        <v>120</v>
      </c>
      <c r="W4244" s="2041">
        <f>(((K4244*V4244)-S4244)/(K4244*V4244))</f>
        <v>0.3</v>
      </c>
    </row>
    <row r="4245" spans="1:23" s="7" customFormat="1" ht="18" customHeight="1">
      <c r="B4245" s="12"/>
      <c r="C4245" s="6" t="s">
        <v>9026</v>
      </c>
      <c r="D4245" s="15" t="s">
        <v>8986</v>
      </c>
      <c r="E4245" s="24"/>
      <c r="F4245" s="138"/>
      <c r="G4245" s="24" t="s">
        <v>1993</v>
      </c>
      <c r="H4245" s="8"/>
      <c r="I4245" s="41"/>
      <c r="J4245" s="45">
        <v>1</v>
      </c>
      <c r="K4245" s="46">
        <v>25</v>
      </c>
      <c r="L4245" s="46">
        <f>K4245*J4245</f>
        <v>25</v>
      </c>
      <c r="M4245" s="112"/>
      <c r="N4245" s="39">
        <v>46017</v>
      </c>
      <c r="O4245" s="38">
        <v>7754</v>
      </c>
      <c r="P4245" s="6" t="s">
        <v>3</v>
      </c>
      <c r="Q4245" s="46">
        <v>25</v>
      </c>
      <c r="R4245" s="703">
        <f>Q4245*J4245</f>
        <v>25</v>
      </c>
      <c r="S4245" s="2590">
        <v>2500</v>
      </c>
      <c r="T4245" s="2590">
        <f>S4245*J4245</f>
        <v>2500</v>
      </c>
      <c r="U4245" s="23"/>
      <c r="V4245" s="494">
        <v>120</v>
      </c>
      <c r="W4245" s="2041">
        <f>(((K4245*V4245)-S4245)/(K4245*V4245))</f>
        <v>0.16666666666666666</v>
      </c>
    </row>
    <row r="4246" spans="1:23" s="314" customFormat="1" ht="15.75">
      <c r="B4246" s="313"/>
      <c r="C4246" s="302" t="s">
        <v>9026</v>
      </c>
      <c r="D4246" s="303" t="s">
        <v>8986</v>
      </c>
      <c r="E4246" s="304"/>
      <c r="F4246" s="305"/>
      <c r="G4246" s="682" t="s">
        <v>2238</v>
      </c>
      <c r="H4246" s="307" t="s">
        <v>1243</v>
      </c>
      <c r="I4246" s="308"/>
      <c r="J4246" s="306"/>
      <c r="K4246" s="329">
        <v>770</v>
      </c>
      <c r="L4246" s="329">
        <v>770</v>
      </c>
      <c r="M4246" s="310"/>
      <c r="N4246" s="310">
        <v>46017</v>
      </c>
      <c r="O4246" s="309">
        <v>7754</v>
      </c>
      <c r="P4246" s="302"/>
      <c r="Q4246" s="329">
        <v>770</v>
      </c>
      <c r="R4246" s="329">
        <v>770</v>
      </c>
      <c r="S4246" s="2663">
        <f>4180+77457</f>
        <v>81637</v>
      </c>
      <c r="T4246" s="2663">
        <f>S4246</f>
        <v>81637</v>
      </c>
      <c r="U4246" s="515"/>
      <c r="V4246" s="494">
        <v>120</v>
      </c>
      <c r="W4246" s="2041">
        <f>(((K4246*V4246)-S4246)/(K4246*V4246))</f>
        <v>0.11648268398268398</v>
      </c>
    </row>
    <row r="4247" spans="1:23" s="7" customFormat="1" ht="18" customHeight="1">
      <c r="B4247" s="12"/>
      <c r="C4247" s="6" t="s">
        <v>9048</v>
      </c>
      <c r="D4247" s="15" t="s">
        <v>11</v>
      </c>
      <c r="E4247" s="20" t="s">
        <v>7645</v>
      </c>
      <c r="F4247" s="24"/>
      <c r="G4247" s="44"/>
      <c r="H4247" s="151"/>
      <c r="I4247" s="151"/>
      <c r="J4247" s="151"/>
      <c r="K4247" s="153" t="s">
        <v>10</v>
      </c>
      <c r="L4247" s="39"/>
      <c r="M4247" s="39"/>
      <c r="N4247" s="39">
        <v>46007</v>
      </c>
      <c r="O4247" s="38">
        <v>7723</v>
      </c>
      <c r="P4247" s="6"/>
      <c r="Q4247" s="411"/>
      <c r="S4247" s="2350" t="s">
        <v>2297</v>
      </c>
      <c r="T4247" s="113"/>
      <c r="U4247" s="2352" t="s">
        <v>7648</v>
      </c>
      <c r="V4247" s="494">
        <v>120</v>
      </c>
    </row>
    <row r="4248" spans="1:23" s="7" customFormat="1" ht="15.95" customHeight="1">
      <c r="B4248" s="12" t="s">
        <v>1856</v>
      </c>
      <c r="C4248" s="6" t="s">
        <v>9048</v>
      </c>
      <c r="D4248" s="15" t="s">
        <v>11</v>
      </c>
      <c r="E4248" s="24" t="s">
        <v>7293</v>
      </c>
      <c r="F4248" s="44">
        <v>9</v>
      </c>
      <c r="G4248" s="44" t="s">
        <v>9049</v>
      </c>
      <c r="H4248" s="67">
        <v>30</v>
      </c>
      <c r="I4248" s="68">
        <v>5</v>
      </c>
      <c r="J4248" s="67">
        <f>H4248*I4248</f>
        <v>150</v>
      </c>
      <c r="K4248" s="46">
        <v>0.32</v>
      </c>
      <c r="L4248" s="46">
        <f>K4248*J4248</f>
        <v>48</v>
      </c>
      <c r="M4248" s="162" t="s">
        <v>2219</v>
      </c>
      <c r="N4248" s="39">
        <v>46007</v>
      </c>
      <c r="O4248" s="38">
        <v>7723</v>
      </c>
      <c r="P4248" s="46">
        <f>K4248*(VLOOKUP(B4248,$C$2:$F$6,3,FALSE))</f>
        <v>0.28160000000000002</v>
      </c>
      <c r="Q4248" s="483">
        <v>0.28000000000000003</v>
      </c>
      <c r="R4248" s="704">
        <f>Q4248*J4248</f>
        <v>42.000000000000007</v>
      </c>
      <c r="S4248" s="2351">
        <v>17.600000000000001</v>
      </c>
      <c r="T4248" s="113">
        <f>S4248*J4248</f>
        <v>2640</v>
      </c>
      <c r="U4248" s="2351"/>
      <c r="V4248" s="494">
        <v>120</v>
      </c>
      <c r="W4248" s="2041">
        <f>(((K4248*V4248)-S4248)/(K4248*V4248))</f>
        <v>0.54166666666666663</v>
      </c>
    </row>
    <row r="4249" spans="1:23" s="7" customFormat="1" ht="15.95" customHeight="1">
      <c r="B4249" s="12" t="s">
        <v>1856</v>
      </c>
      <c r="C4249" s="6" t="s">
        <v>9048</v>
      </c>
      <c r="D4249" s="15" t="s">
        <v>11</v>
      </c>
      <c r="E4249" s="24" t="s">
        <v>7293</v>
      </c>
      <c r="F4249" s="44">
        <v>9</v>
      </c>
      <c r="G4249" s="44" t="s">
        <v>9050</v>
      </c>
      <c r="H4249" s="67">
        <v>30</v>
      </c>
      <c r="I4249" s="68">
        <v>5</v>
      </c>
      <c r="J4249" s="67">
        <f>H4249*I4249</f>
        <v>150</v>
      </c>
      <c r="K4249" s="46">
        <v>0.32</v>
      </c>
      <c r="L4249" s="46">
        <f>K4249*J4249</f>
        <v>48</v>
      </c>
      <c r="M4249" s="162" t="s">
        <v>2219</v>
      </c>
      <c r="N4249" s="39">
        <v>46007</v>
      </c>
      <c r="O4249" s="38">
        <v>7723</v>
      </c>
      <c r="P4249" s="46">
        <f>K4249*(VLOOKUP(B4249,$C$2:$F$6,3,FALSE))</f>
        <v>0.28160000000000002</v>
      </c>
      <c r="Q4249" s="483">
        <v>0.28000000000000003</v>
      </c>
      <c r="R4249" s="704">
        <f>Q4249*J4249</f>
        <v>42.000000000000007</v>
      </c>
      <c r="S4249" s="2351">
        <v>17.600000000000001</v>
      </c>
      <c r="T4249" s="113">
        <f>S4249*J4249</f>
        <v>2640</v>
      </c>
      <c r="U4249" s="2351"/>
      <c r="V4249" s="494">
        <v>120</v>
      </c>
      <c r="W4249" s="2041">
        <f>(((K4249*V4249)-S4249)/(K4249*V4249))</f>
        <v>0.54166666666666663</v>
      </c>
    </row>
    <row r="4250" spans="1:23" s="7" customFormat="1" ht="15.95" customHeight="1">
      <c r="B4250" s="12" t="s">
        <v>1856</v>
      </c>
      <c r="C4250" s="6" t="s">
        <v>9048</v>
      </c>
      <c r="D4250" s="15" t="s">
        <v>11</v>
      </c>
      <c r="E4250" s="24" t="s">
        <v>7293</v>
      </c>
      <c r="F4250" s="44">
        <v>19</v>
      </c>
      <c r="G4250" s="44" t="s">
        <v>9049</v>
      </c>
      <c r="H4250" s="67">
        <v>30</v>
      </c>
      <c r="I4250" s="68">
        <v>3</v>
      </c>
      <c r="J4250" s="67">
        <f>H4250*I4250</f>
        <v>90</v>
      </c>
      <c r="K4250" s="46">
        <v>0.49</v>
      </c>
      <c r="L4250" s="46">
        <f>K4250*J4250</f>
        <v>44.1</v>
      </c>
      <c r="M4250" s="162" t="s">
        <v>2219</v>
      </c>
      <c r="N4250" s="39">
        <v>46007</v>
      </c>
      <c r="O4250" s="38">
        <v>7723</v>
      </c>
      <c r="P4250" s="46">
        <f>K4250*(VLOOKUP(B4250,$C$2:$F$6,3,FALSE))</f>
        <v>0.43119999999999997</v>
      </c>
      <c r="Q4250" s="483">
        <v>0.43</v>
      </c>
      <c r="R4250" s="704">
        <f>Q4250*J4250</f>
        <v>38.700000000000003</v>
      </c>
      <c r="S4250" s="2351">
        <v>27.565999999999999</v>
      </c>
      <c r="T4250" s="113">
        <f>S4250*J4250</f>
        <v>2480.94</v>
      </c>
      <c r="U4250" s="2351"/>
      <c r="V4250" s="494">
        <v>120</v>
      </c>
      <c r="W4250" s="2041">
        <f>(((K4250*V4250)-S4250)/(K4250*V4250))</f>
        <v>0.53119047619047621</v>
      </c>
    </row>
    <row r="4251" spans="1:23" s="7" customFormat="1" ht="15.95" customHeight="1">
      <c r="B4251" s="12" t="s">
        <v>1856</v>
      </c>
      <c r="C4251" s="6" t="s">
        <v>9048</v>
      </c>
      <c r="D4251" s="15" t="s">
        <v>11</v>
      </c>
      <c r="E4251" s="24" t="s">
        <v>7293</v>
      </c>
      <c r="F4251" s="44">
        <v>19</v>
      </c>
      <c r="G4251" s="44" t="s">
        <v>9050</v>
      </c>
      <c r="H4251" s="67">
        <v>30</v>
      </c>
      <c r="I4251" s="68">
        <v>4</v>
      </c>
      <c r="J4251" s="67">
        <f>H4251*I4251</f>
        <v>120</v>
      </c>
      <c r="K4251" s="46">
        <v>0.49</v>
      </c>
      <c r="L4251" s="46">
        <f>K4251*J4251</f>
        <v>58.8</v>
      </c>
      <c r="M4251" s="162" t="s">
        <v>2219</v>
      </c>
      <c r="N4251" s="39">
        <v>46007</v>
      </c>
      <c r="O4251" s="38">
        <v>7723</v>
      </c>
      <c r="P4251" s="46">
        <f>K4251*(VLOOKUP(B4251,$C$2:$F$6,3,FALSE))</f>
        <v>0.43119999999999997</v>
      </c>
      <c r="Q4251" s="483">
        <v>0.43</v>
      </c>
      <c r="R4251" s="704">
        <f>Q4251*J4251</f>
        <v>51.6</v>
      </c>
      <c r="S4251" s="2351">
        <v>27.565999999999999</v>
      </c>
      <c r="T4251" s="113">
        <f>S4251*J4251</f>
        <v>3307.92</v>
      </c>
      <c r="U4251" s="2351"/>
      <c r="V4251" s="494">
        <v>120</v>
      </c>
      <c r="W4251" s="2041">
        <f>(((K4251*V4251)-S4251)/(K4251*V4251))</f>
        <v>0.53119047619047621</v>
      </c>
    </row>
    <row r="4252" spans="1:23" s="314" customFormat="1" ht="15">
      <c r="B4252" s="313"/>
      <c r="C4252" s="302" t="s">
        <v>9048</v>
      </c>
      <c r="D4252" s="303" t="s">
        <v>11</v>
      </c>
      <c r="E4252" s="304"/>
      <c r="F4252" s="305"/>
      <c r="G4252" s="305" t="s">
        <v>1227</v>
      </c>
      <c r="H4252" s="307" t="s">
        <v>1228</v>
      </c>
      <c r="I4252" s="308"/>
      <c r="J4252" s="306"/>
      <c r="K4252" s="315">
        <v>0</v>
      </c>
      <c r="L4252" s="310"/>
      <c r="M4252" s="310"/>
      <c r="N4252" s="310">
        <v>46007</v>
      </c>
      <c r="O4252" s="309">
        <v>7723</v>
      </c>
      <c r="P4252" s="302"/>
      <c r="Q4252" s="485">
        <v>0</v>
      </c>
      <c r="S4252" s="535">
        <v>0</v>
      </c>
      <c r="T4252" s="322">
        <v>0</v>
      </c>
      <c r="U4252" s="515"/>
      <c r="V4252" s="494">
        <v>120</v>
      </c>
      <c r="W4252" s="2041" t="e">
        <f>(((K4252*V4252)-S4252)/(K4252*V4252))</f>
        <v>#DIV/0!</v>
      </c>
    </row>
    <row r="4253" spans="1:23" s="7" customFormat="1" ht="18" customHeight="1">
      <c r="B4253" s="12"/>
      <c r="C4253" s="6" t="s">
        <v>9048</v>
      </c>
      <c r="D4253" s="15" t="s">
        <v>11</v>
      </c>
      <c r="E4253" s="20" t="s">
        <v>7645</v>
      </c>
      <c r="F4253" s="24"/>
      <c r="G4253" s="44"/>
      <c r="H4253" s="151"/>
      <c r="I4253" s="151"/>
      <c r="J4253" s="151"/>
      <c r="K4253" s="153" t="s">
        <v>10</v>
      </c>
      <c r="L4253" s="39"/>
      <c r="M4253" s="39"/>
      <c r="N4253" s="39">
        <v>46013</v>
      </c>
      <c r="O4253" s="38">
        <v>7736</v>
      </c>
      <c r="P4253" s="6"/>
      <c r="Q4253" s="411"/>
      <c r="S4253" s="2350" t="s">
        <v>2297</v>
      </c>
      <c r="T4253" s="113"/>
      <c r="U4253" s="2352" t="s">
        <v>7648</v>
      </c>
      <c r="V4253" s="494">
        <v>120</v>
      </c>
    </row>
    <row r="4254" spans="1:23" s="7" customFormat="1" ht="15.95" customHeight="1">
      <c r="B4254" s="12" t="s">
        <v>1856</v>
      </c>
      <c r="C4254" s="6" t="s">
        <v>9048</v>
      </c>
      <c r="D4254" s="15" t="s">
        <v>11</v>
      </c>
      <c r="E4254" s="24" t="s">
        <v>7293</v>
      </c>
      <c r="F4254" s="44">
        <v>9</v>
      </c>
      <c r="G4254" s="44" t="s">
        <v>9075</v>
      </c>
      <c r="H4254" s="67">
        <v>30</v>
      </c>
      <c r="I4254" s="68">
        <v>5</v>
      </c>
      <c r="J4254" s="67">
        <f>H4254*I4254</f>
        <v>150</v>
      </c>
      <c r="K4254" s="46">
        <v>0.32</v>
      </c>
      <c r="L4254" s="46">
        <f>K4254*J4254</f>
        <v>48</v>
      </c>
      <c r="M4254" s="162" t="s">
        <v>2219</v>
      </c>
      <c r="N4254" s="39">
        <v>46013</v>
      </c>
      <c r="O4254" s="38">
        <v>7736</v>
      </c>
      <c r="P4254" s="46">
        <f>K4254*(VLOOKUP(B4254,$C$2:$F$6,3,FALSE))</f>
        <v>0.28160000000000002</v>
      </c>
      <c r="Q4254" s="483">
        <v>0.28000000000000003</v>
      </c>
      <c r="R4254" s="704">
        <f>Q4254*J4254</f>
        <v>42.000000000000007</v>
      </c>
      <c r="S4254" s="2351">
        <v>17.600000000000001</v>
      </c>
      <c r="T4254" s="113">
        <f>S4254*J4254</f>
        <v>2640</v>
      </c>
      <c r="U4254" s="2351"/>
      <c r="V4254" s="494">
        <v>120</v>
      </c>
      <c r="W4254" s="2041">
        <f t="shared" ref="W4254:W4282" si="372">(((K4254*V4254)-S4254)/(K4254*V4254))</f>
        <v>0.54166666666666663</v>
      </c>
    </row>
    <row r="4255" spans="1:23" s="7" customFormat="1" ht="15.95" customHeight="1">
      <c r="B4255" s="12" t="s">
        <v>1856</v>
      </c>
      <c r="C4255" s="6" t="s">
        <v>9048</v>
      </c>
      <c r="D4255" s="15" t="s">
        <v>11</v>
      </c>
      <c r="E4255" s="24" t="s">
        <v>7293</v>
      </c>
      <c r="F4255" s="44">
        <v>19</v>
      </c>
      <c r="G4255" s="44" t="s">
        <v>9075</v>
      </c>
      <c r="H4255" s="67">
        <v>30</v>
      </c>
      <c r="I4255" s="68">
        <v>3</v>
      </c>
      <c r="J4255" s="67">
        <f>H4255*I4255</f>
        <v>90</v>
      </c>
      <c r="K4255" s="46">
        <v>0.49</v>
      </c>
      <c r="L4255" s="46">
        <f>K4255*J4255</f>
        <v>44.1</v>
      </c>
      <c r="M4255" s="162" t="s">
        <v>2219</v>
      </c>
      <c r="N4255" s="39">
        <v>46013</v>
      </c>
      <c r="O4255" s="38">
        <v>7736</v>
      </c>
      <c r="P4255" s="46">
        <f>K4255*(VLOOKUP(B4255,$C$2:$F$6,3,FALSE))</f>
        <v>0.43119999999999997</v>
      </c>
      <c r="Q4255" s="483">
        <v>0.43</v>
      </c>
      <c r="R4255" s="704">
        <f>Q4255*J4255</f>
        <v>38.700000000000003</v>
      </c>
      <c r="S4255" s="2351">
        <v>27.565999999999999</v>
      </c>
      <c r="T4255" s="113">
        <f>S4255*J4255</f>
        <v>2480.94</v>
      </c>
      <c r="U4255" s="2351"/>
      <c r="V4255" s="494">
        <v>120</v>
      </c>
      <c r="W4255" s="2041">
        <f t="shared" si="372"/>
        <v>0.53119047619047621</v>
      </c>
    </row>
    <row r="4256" spans="1:23" s="314" customFormat="1" ht="15">
      <c r="B4256" s="313"/>
      <c r="C4256" s="302" t="s">
        <v>9048</v>
      </c>
      <c r="D4256" s="303" t="s">
        <v>11</v>
      </c>
      <c r="E4256" s="304"/>
      <c r="F4256" s="305"/>
      <c r="G4256" s="305" t="s">
        <v>1227</v>
      </c>
      <c r="H4256" s="307" t="s">
        <v>1228</v>
      </c>
      <c r="I4256" s="308"/>
      <c r="J4256" s="306"/>
      <c r="K4256" s="315">
        <v>0</v>
      </c>
      <c r="L4256" s="310"/>
      <c r="M4256" s="310"/>
      <c r="N4256" s="310">
        <v>46013</v>
      </c>
      <c r="O4256" s="309">
        <v>7736</v>
      </c>
      <c r="P4256" s="302"/>
      <c r="Q4256" s="485">
        <v>0</v>
      </c>
      <c r="S4256" s="535">
        <v>0</v>
      </c>
      <c r="T4256" s="322">
        <v>0</v>
      </c>
      <c r="U4256" s="515"/>
      <c r="V4256" s="494">
        <v>120</v>
      </c>
      <c r="W4256" s="2041" t="e">
        <f t="shared" si="372"/>
        <v>#DIV/0!</v>
      </c>
    </row>
    <row r="4257" spans="1:23" ht="15">
      <c r="C4257" s="6" t="s">
        <v>9051</v>
      </c>
      <c r="D4257" s="15" t="s">
        <v>11</v>
      </c>
      <c r="E4257" s="20" t="s">
        <v>79</v>
      </c>
      <c r="F4257" s="150"/>
      <c r="G4257" s="24"/>
      <c r="H4257" s="151"/>
      <c r="I4257" s="152"/>
      <c r="J4257" s="151"/>
      <c r="K4257" s="153" t="s">
        <v>10</v>
      </c>
      <c r="L4257" s="39"/>
      <c r="M4257" s="39"/>
      <c r="N4257" s="39">
        <v>46007</v>
      </c>
      <c r="O4257" s="38">
        <v>7723</v>
      </c>
      <c r="P4257" s="15"/>
      <c r="Q4257" s="483"/>
      <c r="S4257" s="2503"/>
      <c r="T4257" s="113"/>
      <c r="V4257" s="494">
        <v>120</v>
      </c>
      <c r="W4257" s="2041" t="e">
        <f t="shared" si="372"/>
        <v>#VALUE!</v>
      </c>
    </row>
    <row r="4258" spans="1:23" ht="15.75">
      <c r="B4258" s="12" t="s">
        <v>1858</v>
      </c>
      <c r="C4258" s="6" t="s">
        <v>9051</v>
      </c>
      <c r="D4258" s="15" t="s">
        <v>11</v>
      </c>
      <c r="E4258" s="1012" t="s">
        <v>8774</v>
      </c>
      <c r="F4258" s="150">
        <v>152</v>
      </c>
      <c r="G4258" s="24" t="s">
        <v>9052</v>
      </c>
      <c r="H4258" s="67">
        <v>58</v>
      </c>
      <c r="I4258" s="68">
        <v>9</v>
      </c>
      <c r="J4258" s="67">
        <f>H4258*I4258</f>
        <v>522</v>
      </c>
      <c r="K4258" s="46">
        <v>4.05</v>
      </c>
      <c r="L4258" s="46">
        <f>K4258*J4258</f>
        <v>2114.1</v>
      </c>
      <c r="M4258" s="162" t="s">
        <v>2219</v>
      </c>
      <c r="N4258" s="39">
        <v>46007</v>
      </c>
      <c r="O4258" s="38">
        <v>7723</v>
      </c>
      <c r="P4258" s="46">
        <f>K4258*(VLOOKUP(B4258,$C$2:$F$6,3,FALSE))</f>
        <v>3.8069999999999995</v>
      </c>
      <c r="Q4258" s="483">
        <v>3.81</v>
      </c>
      <c r="R4258" s="704">
        <f>Q4258*J4258</f>
        <v>1988.82</v>
      </c>
      <c r="S4258" s="489">
        <v>310</v>
      </c>
      <c r="T4258" s="567">
        <f>S4258*J4258</f>
        <v>161820</v>
      </c>
      <c r="V4258" s="494">
        <v>120</v>
      </c>
      <c r="W4258" s="2041">
        <f t="shared" si="372"/>
        <v>0.36213991769547327</v>
      </c>
    </row>
    <row r="4259" spans="1:23" ht="15.75">
      <c r="B4259" s="12" t="s">
        <v>1858</v>
      </c>
      <c r="C4259" s="6" t="s">
        <v>9051</v>
      </c>
      <c r="D4259" s="15" t="s">
        <v>11</v>
      </c>
      <c r="E4259" s="1012" t="s">
        <v>8774</v>
      </c>
      <c r="F4259" s="150">
        <v>152</v>
      </c>
      <c r="G4259" s="24" t="s">
        <v>2601</v>
      </c>
      <c r="H4259" s="67">
        <v>58</v>
      </c>
      <c r="I4259" s="68">
        <v>2</v>
      </c>
      <c r="J4259" s="67">
        <f>H4259*I4259</f>
        <v>116</v>
      </c>
      <c r="K4259" s="46">
        <v>4.05</v>
      </c>
      <c r="L4259" s="46">
        <f>K4259*J4259</f>
        <v>469.79999999999995</v>
      </c>
      <c r="M4259" s="162" t="s">
        <v>2219</v>
      </c>
      <c r="N4259" s="39">
        <v>46007</v>
      </c>
      <c r="O4259" s="38">
        <v>7723</v>
      </c>
      <c r="P4259" s="46">
        <f>K4259*(VLOOKUP(B4259,$C$2:$F$6,3,FALSE))</f>
        <v>3.8069999999999995</v>
      </c>
      <c r="Q4259" s="483">
        <v>3.81</v>
      </c>
      <c r="R4259" s="704">
        <f>Q4259*J4259</f>
        <v>441.96</v>
      </c>
      <c r="S4259" s="489">
        <v>310</v>
      </c>
      <c r="T4259" s="567">
        <f>S4259*J4259</f>
        <v>35960</v>
      </c>
      <c r="V4259" s="494">
        <v>120</v>
      </c>
      <c r="W4259" s="2041">
        <f t="shared" si="372"/>
        <v>0.36213991769547327</v>
      </c>
    </row>
    <row r="4260" spans="1:23" s="217" customFormat="1" ht="15.95" customHeight="1">
      <c r="B4260" s="539"/>
      <c r="C4260" s="6" t="s">
        <v>9051</v>
      </c>
      <c r="D4260" s="15" t="s">
        <v>11</v>
      </c>
      <c r="E4260" s="56"/>
      <c r="F4260" s="160"/>
      <c r="G4260" s="42" t="s">
        <v>1993</v>
      </c>
      <c r="H4260" s="214"/>
      <c r="I4260" s="215"/>
      <c r="J4260" s="43">
        <v>1</v>
      </c>
      <c r="K4260" s="229">
        <v>20</v>
      </c>
      <c r="L4260" s="229">
        <v>0</v>
      </c>
      <c r="M4260" s="969"/>
      <c r="N4260" s="39">
        <v>46007</v>
      </c>
      <c r="O4260" s="38">
        <v>7723</v>
      </c>
      <c r="P4260" s="692"/>
      <c r="Q4260" s="970">
        <v>0</v>
      </c>
      <c r="R4260" s="970">
        <v>0</v>
      </c>
      <c r="S4260" s="498">
        <v>2500</v>
      </c>
      <c r="T4260" s="567">
        <f>S4260</f>
        <v>2500</v>
      </c>
      <c r="U4260" s="667"/>
      <c r="V4260" s="547">
        <v>120</v>
      </c>
      <c r="W4260" s="2051">
        <f t="shared" si="372"/>
        <v>-4.1666666666666664E-2</v>
      </c>
    </row>
    <row r="4261" spans="1:23" s="314" customFormat="1" ht="15" customHeight="1">
      <c r="A4261" s="1"/>
      <c r="B4261" s="313"/>
      <c r="C4261" s="302" t="s">
        <v>9051</v>
      </c>
      <c r="D4261" s="303" t="s">
        <v>11</v>
      </c>
      <c r="E4261" s="304"/>
      <c r="F4261" s="305"/>
      <c r="G4261" s="305" t="s">
        <v>1227</v>
      </c>
      <c r="H4261" s="307" t="s">
        <v>1228</v>
      </c>
      <c r="I4261" s="308"/>
      <c r="J4261" s="306"/>
      <c r="K4261" s="316">
        <v>0</v>
      </c>
      <c r="L4261" s="310"/>
      <c r="M4261" s="310"/>
      <c r="N4261" s="310">
        <v>46007</v>
      </c>
      <c r="O4261" s="309">
        <v>7723</v>
      </c>
      <c r="P4261" s="302"/>
      <c r="Q4261" s="485">
        <v>0</v>
      </c>
      <c r="S4261" s="536">
        <v>0</v>
      </c>
      <c r="T4261" s="322">
        <v>0</v>
      </c>
      <c r="U4261" s="515"/>
      <c r="V4261" s="494">
        <v>120</v>
      </c>
      <c r="W4261" s="2041" t="e">
        <f t="shared" si="372"/>
        <v>#DIV/0!</v>
      </c>
    </row>
    <row r="4262" spans="1:23" s="222" customFormat="1" ht="18.600000000000001" customHeight="1">
      <c r="A4262" s="1048"/>
      <c r="B4262" s="232"/>
      <c r="C4262" s="220" t="s">
        <v>9058</v>
      </c>
      <c r="D4262" s="224" t="s">
        <v>9061</v>
      </c>
      <c r="E4262" s="991" t="s">
        <v>1003</v>
      </c>
      <c r="F4262" s="177"/>
      <c r="G4262" s="187"/>
      <c r="H4262" s="223"/>
      <c r="I4262" s="223"/>
      <c r="J4262" s="223"/>
      <c r="K4262" s="1022" t="s">
        <v>10</v>
      </c>
      <c r="L4262" s="994"/>
      <c r="M4262" s="1000"/>
      <c r="N4262" s="994"/>
      <c r="O4262" s="203"/>
      <c r="P4262" s="220"/>
      <c r="Q4262" s="1023"/>
      <c r="S4262" s="493"/>
      <c r="T4262" s="566"/>
      <c r="U4262" s="2227"/>
      <c r="V4262" s="495">
        <v>120</v>
      </c>
      <c r="W4262" s="2233" t="e">
        <f t="shared" si="372"/>
        <v>#VALUE!</v>
      </c>
    </row>
    <row r="4263" spans="1:23" s="222" customFormat="1" ht="45" customHeight="1">
      <c r="A4263" s="1048"/>
      <c r="B4263" s="232" t="s">
        <v>1856</v>
      </c>
      <c r="C4263" s="220" t="s">
        <v>9058</v>
      </c>
      <c r="D4263" s="224" t="s">
        <v>9061</v>
      </c>
      <c r="E4263" s="2445" t="s">
        <v>1006</v>
      </c>
      <c r="F4263" s="187"/>
      <c r="G4263" s="187" t="s">
        <v>7694</v>
      </c>
      <c r="H4263" s="226">
        <v>14</v>
      </c>
      <c r="I4263" s="997">
        <v>85</v>
      </c>
      <c r="J4263" s="221">
        <f>I4263*H4263</f>
        <v>1190</v>
      </c>
      <c r="K4263" s="201">
        <v>2.92</v>
      </c>
      <c r="L4263" s="201">
        <f>K4263*J4263</f>
        <v>3474.7999999999997</v>
      </c>
      <c r="M4263" s="1000" t="s">
        <v>2219</v>
      </c>
      <c r="N4263" s="2650" t="s">
        <v>9062</v>
      </c>
      <c r="O4263" s="203"/>
      <c r="P4263" s="201">
        <f>K4263*(VLOOKUP(B4263,$C$2:$F$6,3,FALSE))</f>
        <v>2.5695999999999999</v>
      </c>
      <c r="Q4263" s="484">
        <v>2.57</v>
      </c>
      <c r="R4263" s="2231">
        <f>Q4263*J4263</f>
        <v>3058.2999999999997</v>
      </c>
      <c r="S4263" s="493">
        <v>210</v>
      </c>
      <c r="T4263" s="566">
        <f>S4263*J4263</f>
        <v>249900</v>
      </c>
      <c r="U4263" s="2232"/>
      <c r="V4263" s="495">
        <v>120</v>
      </c>
      <c r="W4263" s="2233">
        <f t="shared" si="372"/>
        <v>0.40068493150684925</v>
      </c>
    </row>
    <row r="4264" spans="1:23" s="1048" customFormat="1" ht="15">
      <c r="B4264" s="1042"/>
      <c r="C4264" s="220" t="s">
        <v>9058</v>
      </c>
      <c r="D4264" s="224" t="s">
        <v>9061</v>
      </c>
      <c r="E4264" s="225"/>
      <c r="F4264" s="187"/>
      <c r="G4264" s="187" t="s">
        <v>1227</v>
      </c>
      <c r="H4264" s="1043" t="s">
        <v>1228</v>
      </c>
      <c r="I4264" s="231"/>
      <c r="J4264" s="223"/>
      <c r="K4264" s="201">
        <v>0</v>
      </c>
      <c r="L4264" s="994"/>
      <c r="M4264" s="994"/>
      <c r="N4264" s="994"/>
      <c r="O4264" s="203"/>
      <c r="P4264" s="220"/>
      <c r="Q4264" s="2446">
        <v>0</v>
      </c>
      <c r="S4264" s="1045">
        <v>0</v>
      </c>
      <c r="T4264" s="1046">
        <v>0</v>
      </c>
      <c r="U4264" s="1047"/>
      <c r="V4264" s="495">
        <v>120</v>
      </c>
      <c r="W4264" s="2233" t="e">
        <f t="shared" si="372"/>
        <v>#DIV/0!</v>
      </c>
    </row>
    <row r="4265" spans="1:23" s="222" customFormat="1" ht="18.600000000000001" customHeight="1">
      <c r="A4265" s="1048"/>
      <c r="B4265" s="232"/>
      <c r="C4265" s="220" t="s">
        <v>9059</v>
      </c>
      <c r="D4265" s="224" t="s">
        <v>9061</v>
      </c>
      <c r="E4265" s="991" t="s">
        <v>1003</v>
      </c>
      <c r="F4265" s="177"/>
      <c r="G4265" s="187"/>
      <c r="H4265" s="223"/>
      <c r="I4265" s="223"/>
      <c r="J4265" s="223"/>
      <c r="K4265" s="1022" t="s">
        <v>10</v>
      </c>
      <c r="L4265" s="994"/>
      <c r="M4265" s="1000"/>
      <c r="N4265" s="994"/>
      <c r="O4265" s="203"/>
      <c r="P4265" s="220"/>
      <c r="Q4265" s="1023"/>
      <c r="S4265" s="493"/>
      <c r="T4265" s="566"/>
      <c r="U4265" s="2227"/>
      <c r="V4265" s="495">
        <v>120</v>
      </c>
      <c r="W4265" s="2233" t="e">
        <f t="shared" si="372"/>
        <v>#VALUE!</v>
      </c>
    </row>
    <row r="4266" spans="1:23" s="222" customFormat="1" ht="39.75" customHeight="1">
      <c r="A4266" s="1048"/>
      <c r="B4266" s="232" t="s">
        <v>1856</v>
      </c>
      <c r="C4266" s="220" t="s">
        <v>9059</v>
      </c>
      <c r="D4266" s="224" t="s">
        <v>9061</v>
      </c>
      <c r="E4266" s="2445" t="s">
        <v>1529</v>
      </c>
      <c r="F4266" s="187"/>
      <c r="G4266" s="187" t="s">
        <v>7694</v>
      </c>
      <c r="H4266" s="226">
        <v>14</v>
      </c>
      <c r="I4266" s="997">
        <v>150</v>
      </c>
      <c r="J4266" s="221">
        <f>I4266*H4266</f>
        <v>2100</v>
      </c>
      <c r="K4266" s="201">
        <v>1.81</v>
      </c>
      <c r="L4266" s="201">
        <f>K4266*J4266</f>
        <v>3801</v>
      </c>
      <c r="M4266" s="1000" t="s">
        <v>2219</v>
      </c>
      <c r="N4266" s="2650" t="s">
        <v>9063</v>
      </c>
      <c r="O4266" s="203"/>
      <c r="P4266" s="201">
        <f>K4266*(VLOOKUP(B4266,$C$2:$F$6,3,FALSE))</f>
        <v>1.5928</v>
      </c>
      <c r="Q4266" s="484">
        <v>1.59</v>
      </c>
      <c r="R4266" s="2231">
        <f>Q4266*J4266</f>
        <v>3339</v>
      </c>
      <c r="S4266" s="493">
        <v>130</v>
      </c>
      <c r="T4266" s="566">
        <f>S4266*J4266</f>
        <v>273000</v>
      </c>
      <c r="U4266" s="2232"/>
      <c r="V4266" s="495">
        <v>120</v>
      </c>
      <c r="W4266" s="2233">
        <f t="shared" si="372"/>
        <v>0.40147329650092084</v>
      </c>
    </row>
    <row r="4267" spans="1:23" s="1048" customFormat="1" ht="15">
      <c r="B4267" s="1042"/>
      <c r="C4267" s="220" t="s">
        <v>9059</v>
      </c>
      <c r="D4267" s="224" t="s">
        <v>9061</v>
      </c>
      <c r="E4267" s="225"/>
      <c r="F4267" s="187"/>
      <c r="G4267" s="187" t="s">
        <v>1227</v>
      </c>
      <c r="H4267" s="1043" t="s">
        <v>1228</v>
      </c>
      <c r="I4267" s="231"/>
      <c r="J4267" s="223"/>
      <c r="K4267" s="201">
        <v>0</v>
      </c>
      <c r="L4267" s="994"/>
      <c r="M4267" s="994"/>
      <c r="N4267" s="994"/>
      <c r="O4267" s="203"/>
      <c r="P4267" s="220"/>
      <c r="Q4267" s="2446">
        <v>0</v>
      </c>
      <c r="S4267" s="1045">
        <v>0</v>
      </c>
      <c r="T4267" s="1046">
        <v>0</v>
      </c>
      <c r="U4267" s="1047"/>
      <c r="V4267" s="495">
        <v>120</v>
      </c>
      <c r="W4267" s="2233" t="e">
        <f t="shared" si="372"/>
        <v>#DIV/0!</v>
      </c>
    </row>
    <row r="4268" spans="1:23" s="7" customFormat="1" ht="18.600000000000001" customHeight="1">
      <c r="A4268" s="1"/>
      <c r="B4268" s="12"/>
      <c r="C4268" s="6" t="s">
        <v>9060</v>
      </c>
      <c r="D4268" s="15" t="s">
        <v>9061</v>
      </c>
      <c r="E4268" s="20" t="s">
        <v>1003</v>
      </c>
      <c r="F4268" s="24"/>
      <c r="G4268" s="44"/>
      <c r="H4268" s="151"/>
      <c r="I4268" s="151"/>
      <c r="J4268" s="151"/>
      <c r="K4268" s="153" t="s">
        <v>10</v>
      </c>
      <c r="L4268" s="39"/>
      <c r="M4268" s="162"/>
      <c r="N4268" s="39">
        <v>46010</v>
      </c>
      <c r="O4268" s="38">
        <v>7735</v>
      </c>
      <c r="P4268" s="6"/>
      <c r="Q4268" s="411"/>
      <c r="S4268" s="489"/>
      <c r="T4268" s="113"/>
      <c r="U4268" s="501"/>
      <c r="V4268" s="494">
        <v>120</v>
      </c>
      <c r="W4268" s="2041" t="e">
        <f t="shared" si="372"/>
        <v>#VALUE!</v>
      </c>
    </row>
    <row r="4269" spans="1:23" s="7" customFormat="1" ht="15.75" customHeight="1">
      <c r="A4269" s="1"/>
      <c r="B4269" s="12" t="s">
        <v>1856</v>
      </c>
      <c r="C4269" s="6" t="s">
        <v>9060</v>
      </c>
      <c r="D4269" s="15" t="s">
        <v>9061</v>
      </c>
      <c r="E4269" s="24" t="s">
        <v>1536</v>
      </c>
      <c r="F4269" s="44"/>
      <c r="G4269" s="44" t="s">
        <v>7694</v>
      </c>
      <c r="H4269" s="8">
        <v>14</v>
      </c>
      <c r="I4269" s="68">
        <v>78</v>
      </c>
      <c r="J4269" s="67">
        <f>I4269*H4269</f>
        <v>1092</v>
      </c>
      <c r="K4269" s="46">
        <v>1.05</v>
      </c>
      <c r="L4269" s="46">
        <f>K4269*J4269</f>
        <v>1146.6000000000001</v>
      </c>
      <c r="M4269" s="162" t="s">
        <v>2219</v>
      </c>
      <c r="N4269" s="39">
        <v>46010</v>
      </c>
      <c r="O4269" s="38">
        <v>7735</v>
      </c>
      <c r="P4269" s="46">
        <f>K4269*(VLOOKUP(B4269,$C$2:$F$6,3,FALSE))</f>
        <v>0.92400000000000004</v>
      </c>
      <c r="Q4269" s="483">
        <v>0.92</v>
      </c>
      <c r="R4269" s="704">
        <f>Q4269*J4269</f>
        <v>1004.6400000000001</v>
      </c>
      <c r="S4269" s="489">
        <v>75</v>
      </c>
      <c r="T4269" s="567">
        <f>S4269*J4269</f>
        <v>81900</v>
      </c>
      <c r="U4269" s="517"/>
      <c r="V4269" s="494">
        <v>120</v>
      </c>
      <c r="W4269" s="2041">
        <f t="shared" si="372"/>
        <v>0.40476190476190477</v>
      </c>
    </row>
    <row r="4270" spans="1:23" s="7" customFormat="1" ht="15.75">
      <c r="A4270" s="1"/>
      <c r="B4270" s="12" t="s">
        <v>1856</v>
      </c>
      <c r="C4270" s="6" t="s">
        <v>9060</v>
      </c>
      <c r="D4270" s="15" t="s">
        <v>9061</v>
      </c>
      <c r="E4270" s="24" t="s">
        <v>1536</v>
      </c>
      <c r="F4270" s="44"/>
      <c r="G4270" s="44" t="s">
        <v>7694</v>
      </c>
      <c r="H4270" s="8">
        <v>13</v>
      </c>
      <c r="I4270" s="41">
        <v>1</v>
      </c>
      <c r="J4270" s="8">
        <f>I4270*H4270</f>
        <v>13</v>
      </c>
      <c r="K4270" s="46">
        <v>1.05</v>
      </c>
      <c r="L4270" s="46">
        <f>K4270*J4270</f>
        <v>13.65</v>
      </c>
      <c r="M4270" s="162" t="s">
        <v>2219</v>
      </c>
      <c r="N4270" s="39">
        <v>46010</v>
      </c>
      <c r="O4270" s="38">
        <v>7735</v>
      </c>
      <c r="P4270" s="46">
        <f>K4270*(VLOOKUP(B4270,$C$2:$F$6,3,FALSE))</f>
        <v>0.92400000000000004</v>
      </c>
      <c r="Q4270" s="483">
        <v>0.92</v>
      </c>
      <c r="R4270" s="704">
        <f>Q4270*J4270</f>
        <v>11.96</v>
      </c>
      <c r="S4270" s="489">
        <v>75</v>
      </c>
      <c r="T4270" s="567">
        <f>S4270*J4270</f>
        <v>975</v>
      </c>
      <c r="U4270" s="517"/>
      <c r="V4270" s="494">
        <v>120</v>
      </c>
      <c r="W4270" s="2041">
        <f t="shared" si="372"/>
        <v>0.40476190476190477</v>
      </c>
    </row>
    <row r="4271" spans="1:23" s="7" customFormat="1" ht="15.75">
      <c r="A4271" s="1"/>
      <c r="B4271" s="12" t="s">
        <v>1856</v>
      </c>
      <c r="C4271" s="6" t="s">
        <v>9060</v>
      </c>
      <c r="D4271" s="15" t="s">
        <v>9061</v>
      </c>
      <c r="E4271" s="24" t="s">
        <v>1536</v>
      </c>
      <c r="F4271" s="44"/>
      <c r="G4271" s="44" t="s">
        <v>7694</v>
      </c>
      <c r="H4271" s="198">
        <v>12.5</v>
      </c>
      <c r="I4271" s="41">
        <v>1</v>
      </c>
      <c r="J4271" s="198">
        <f>I4271*H4271</f>
        <v>12.5</v>
      </c>
      <c r="K4271" s="46">
        <v>1.05</v>
      </c>
      <c r="L4271" s="46">
        <f>K4271*J4271</f>
        <v>13.125</v>
      </c>
      <c r="M4271" s="162" t="s">
        <v>2219</v>
      </c>
      <c r="N4271" s="39">
        <v>46010</v>
      </c>
      <c r="O4271" s="38">
        <v>7735</v>
      </c>
      <c r="P4271" s="46">
        <f>K4271*(VLOOKUP(B4271,$C$2:$F$6,3,FALSE))</f>
        <v>0.92400000000000004</v>
      </c>
      <c r="Q4271" s="483">
        <v>0.92</v>
      </c>
      <c r="R4271" s="704">
        <f>Q4271*J4271</f>
        <v>11.5</v>
      </c>
      <c r="S4271" s="489">
        <v>75</v>
      </c>
      <c r="T4271" s="567">
        <f>S4271*J4271</f>
        <v>937.5</v>
      </c>
      <c r="U4271" s="517"/>
      <c r="V4271" s="494">
        <v>120</v>
      </c>
      <c r="W4271" s="2041">
        <f t="shared" si="372"/>
        <v>0.40476190476190477</v>
      </c>
    </row>
    <row r="4272" spans="1:23" s="314" customFormat="1" ht="15">
      <c r="A4272" s="1"/>
      <c r="B4272" s="313"/>
      <c r="C4272" s="302" t="s">
        <v>9060</v>
      </c>
      <c r="D4272" s="303" t="s">
        <v>9061</v>
      </c>
      <c r="E4272" s="304"/>
      <c r="F4272" s="305"/>
      <c r="G4272" s="305" t="s">
        <v>1227</v>
      </c>
      <c r="H4272" s="307" t="s">
        <v>1228</v>
      </c>
      <c r="I4272" s="308"/>
      <c r="J4272" s="306"/>
      <c r="K4272" s="315">
        <v>0</v>
      </c>
      <c r="L4272" s="310"/>
      <c r="M4272" s="310"/>
      <c r="N4272" s="310">
        <v>46010</v>
      </c>
      <c r="O4272" s="309">
        <v>7735</v>
      </c>
      <c r="P4272" s="302"/>
      <c r="Q4272" s="485">
        <v>0</v>
      </c>
      <c r="S4272" s="536">
        <v>0</v>
      </c>
      <c r="T4272" s="322">
        <v>0</v>
      </c>
      <c r="U4272" s="515"/>
      <c r="V4272" s="494">
        <v>120</v>
      </c>
      <c r="W4272" s="2041" t="e">
        <f t="shared" si="372"/>
        <v>#DIV/0!</v>
      </c>
    </row>
    <row r="4273" spans="1:23" s="7" customFormat="1" ht="15" customHeight="1">
      <c r="A4273" s="1"/>
      <c r="B4273" s="12"/>
      <c r="C4273" s="6" t="s">
        <v>9065</v>
      </c>
      <c r="D4273" s="15" t="s">
        <v>9066</v>
      </c>
      <c r="E4273" s="20" t="s">
        <v>8252</v>
      </c>
      <c r="F4273" s="26"/>
      <c r="G4273" s="24"/>
      <c r="H4273" s="67"/>
      <c r="I4273" s="68"/>
      <c r="J4273" s="67"/>
      <c r="K4273" s="17" t="s">
        <v>10</v>
      </c>
      <c r="L4273" s="39"/>
      <c r="M4273" s="39"/>
      <c r="N4273" s="39">
        <v>46008</v>
      </c>
      <c r="O4273" s="38">
        <v>7732</v>
      </c>
      <c r="P4273" s="180" t="e">
        <f>K4273*(VLOOKUP(B4273,$C$2:$F$6,3,FALSE))</f>
        <v>#VALUE!</v>
      </c>
      <c r="Q4273" s="483"/>
      <c r="R4273" s="704"/>
      <c r="S4273" s="2533"/>
      <c r="T4273" s="113">
        <f>S4273*J4273</f>
        <v>0</v>
      </c>
      <c r="U4273" s="517"/>
      <c r="V4273" s="494">
        <v>120</v>
      </c>
      <c r="W4273" s="2041" t="e">
        <f t="shared" si="372"/>
        <v>#VALUE!</v>
      </c>
    </row>
    <row r="4274" spans="1:23" s="7" customFormat="1" ht="15.75" customHeight="1">
      <c r="A4274" s="1"/>
      <c r="B4274" s="12" t="s">
        <v>1856</v>
      </c>
      <c r="C4274" s="6" t="s">
        <v>9065</v>
      </c>
      <c r="D4274" s="15" t="s">
        <v>9066</v>
      </c>
      <c r="E4274" s="24" t="s">
        <v>8663</v>
      </c>
      <c r="F4274" s="26"/>
      <c r="G4274" s="24" t="s">
        <v>7694</v>
      </c>
      <c r="H4274" s="151"/>
      <c r="I4274" s="41"/>
      <c r="J4274" s="67">
        <v>100</v>
      </c>
      <c r="K4274" s="25">
        <v>2.75</v>
      </c>
      <c r="L4274" s="46">
        <f>K4274*J4274</f>
        <v>275</v>
      </c>
      <c r="M4274" s="162" t="s">
        <v>2219</v>
      </c>
      <c r="N4274" s="39">
        <v>46008</v>
      </c>
      <c r="O4274" s="38">
        <v>7732</v>
      </c>
      <c r="P4274" s="180">
        <f>K4274*(VLOOKUP(B4274,$C$2:$F$6,3,FALSE))</f>
        <v>2.42</v>
      </c>
      <c r="Q4274" s="483">
        <v>2.42</v>
      </c>
      <c r="R4274" s="704">
        <f>Q4274*J4274</f>
        <v>242</v>
      </c>
      <c r="S4274" s="489">
        <v>210</v>
      </c>
      <c r="T4274" s="113">
        <f>S4274*J4274</f>
        <v>21000</v>
      </c>
      <c r="U4274" s="517"/>
      <c r="V4274" s="494">
        <v>120</v>
      </c>
      <c r="W4274" s="2041">
        <f t="shared" si="372"/>
        <v>0.36363636363636365</v>
      </c>
    </row>
    <row r="4275" spans="1:23" s="314" customFormat="1" ht="15">
      <c r="A4275" s="1"/>
      <c r="B4275" s="313"/>
      <c r="C4275" s="302" t="s">
        <v>9065</v>
      </c>
      <c r="D4275" s="303" t="s">
        <v>9066</v>
      </c>
      <c r="E4275" s="304"/>
      <c r="F4275" s="305"/>
      <c r="G4275" s="305" t="s">
        <v>1227</v>
      </c>
      <c r="H4275" s="307" t="s">
        <v>1228</v>
      </c>
      <c r="I4275" s="308"/>
      <c r="J4275" s="306"/>
      <c r="K4275" s="315">
        <v>0</v>
      </c>
      <c r="L4275" s="310"/>
      <c r="M4275" s="310"/>
      <c r="N4275" s="310">
        <v>46008</v>
      </c>
      <c r="O4275" s="309">
        <v>7732</v>
      </c>
      <c r="P4275" s="302"/>
      <c r="Q4275" s="485">
        <v>0</v>
      </c>
      <c r="S4275" s="536">
        <v>0</v>
      </c>
      <c r="T4275" s="322">
        <v>0</v>
      </c>
      <c r="U4275" s="515"/>
      <c r="V4275" s="494">
        <v>120</v>
      </c>
      <c r="W4275" s="2041" t="e">
        <f t="shared" si="372"/>
        <v>#DIV/0!</v>
      </c>
    </row>
    <row r="4276" spans="1:23" s="7" customFormat="1" ht="15" customHeight="1">
      <c r="A4276" s="1"/>
      <c r="B4276" s="12"/>
      <c r="C4276" s="6" t="s">
        <v>9065</v>
      </c>
      <c r="D4276" s="15" t="s">
        <v>9066</v>
      </c>
      <c r="E4276" s="20" t="s">
        <v>8252</v>
      </c>
      <c r="F4276" s="26"/>
      <c r="G4276" s="24"/>
      <c r="H4276" s="67"/>
      <c r="I4276" s="68"/>
      <c r="J4276" s="67" t="s">
        <v>9156</v>
      </c>
      <c r="K4276" s="17" t="s">
        <v>10</v>
      </c>
      <c r="L4276" s="39"/>
      <c r="M4276" s="39"/>
      <c r="N4276" s="39"/>
      <c r="O4276" s="38"/>
      <c r="P4276" s="180" t="e">
        <f t="shared" ref="P4276:P4281" si="373">K4276*(VLOOKUP(B4276,$C$2:$F$6,3,FALSE))</f>
        <v>#VALUE!</v>
      </c>
      <c r="Q4276" s="483"/>
      <c r="R4276" s="704"/>
      <c r="S4276" s="2533"/>
      <c r="T4276" s="113" t="e">
        <f t="shared" ref="T4276:T4281" si="374">S4276*J4276</f>
        <v>#VALUE!</v>
      </c>
      <c r="U4276" s="517"/>
      <c r="V4276" s="494">
        <v>120</v>
      </c>
      <c r="W4276" s="2041" t="e">
        <f t="shared" si="372"/>
        <v>#VALUE!</v>
      </c>
    </row>
    <row r="4277" spans="1:23" s="7" customFormat="1" ht="15.75" customHeight="1">
      <c r="A4277" s="1"/>
      <c r="B4277" s="12" t="s">
        <v>1856</v>
      </c>
      <c r="C4277" s="6" t="s">
        <v>9065</v>
      </c>
      <c r="D4277" s="15" t="s">
        <v>9066</v>
      </c>
      <c r="E4277" s="24" t="s">
        <v>8663</v>
      </c>
      <c r="F4277" s="26"/>
      <c r="G4277" s="24" t="s">
        <v>7694</v>
      </c>
      <c r="H4277" s="151"/>
      <c r="I4277" s="41"/>
      <c r="J4277" s="67">
        <v>1500</v>
      </c>
      <c r="K4277" s="25">
        <v>2.75</v>
      </c>
      <c r="L4277" s="46">
        <f>K4277*J4277</f>
        <v>4125</v>
      </c>
      <c r="M4277" s="162" t="s">
        <v>2219</v>
      </c>
      <c r="N4277" s="39">
        <v>46051</v>
      </c>
      <c r="O4277" s="38">
        <v>7826</v>
      </c>
      <c r="P4277" s="180">
        <f t="shared" si="373"/>
        <v>2.42</v>
      </c>
      <c r="Q4277" s="483">
        <v>2.42</v>
      </c>
      <c r="R4277" s="704">
        <f>Q4277*J4277</f>
        <v>3630</v>
      </c>
      <c r="S4277" s="489">
        <v>210</v>
      </c>
      <c r="T4277" s="113">
        <f t="shared" si="374"/>
        <v>315000</v>
      </c>
      <c r="U4277" s="517"/>
      <c r="V4277" s="494">
        <v>120</v>
      </c>
      <c r="W4277" s="2041">
        <f t="shared" si="372"/>
        <v>0.36363636363636365</v>
      </c>
    </row>
    <row r="4278" spans="1:23" s="7" customFormat="1" ht="15.75" customHeight="1">
      <c r="A4278" s="1"/>
      <c r="B4278" s="12" t="s">
        <v>1856</v>
      </c>
      <c r="C4278" s="6" t="s">
        <v>9065</v>
      </c>
      <c r="D4278" s="15" t="s">
        <v>9066</v>
      </c>
      <c r="E4278" s="24" t="s">
        <v>8663</v>
      </c>
      <c r="F4278" s="26"/>
      <c r="G4278" s="24" t="s">
        <v>7694</v>
      </c>
      <c r="H4278" s="151"/>
      <c r="I4278" s="41"/>
      <c r="J4278" s="67">
        <v>1400</v>
      </c>
      <c r="K4278" s="25">
        <v>2.75</v>
      </c>
      <c r="L4278" s="46">
        <f>K4278*J4278</f>
        <v>3850</v>
      </c>
      <c r="M4278" s="162" t="s">
        <v>2219</v>
      </c>
      <c r="N4278" s="39">
        <v>46069</v>
      </c>
      <c r="O4278" s="38">
        <v>7881</v>
      </c>
      <c r="P4278" s="180">
        <f t="shared" si="373"/>
        <v>2.42</v>
      </c>
      <c r="Q4278" s="483">
        <v>2.42</v>
      </c>
      <c r="R4278" s="704">
        <f>Q4278*J4278</f>
        <v>3388</v>
      </c>
      <c r="S4278" s="489">
        <v>210</v>
      </c>
      <c r="T4278" s="113">
        <f t="shared" si="374"/>
        <v>294000</v>
      </c>
      <c r="U4278" s="517"/>
      <c r="V4278" s="494">
        <v>120</v>
      </c>
      <c r="W4278" s="2041">
        <f t="shared" si="372"/>
        <v>0.36363636363636365</v>
      </c>
    </row>
    <row r="4279" spans="1:23" s="7" customFormat="1" ht="15.75" customHeight="1">
      <c r="A4279" s="1"/>
      <c r="B4279" s="12" t="s">
        <v>1856</v>
      </c>
      <c r="C4279" s="6" t="s">
        <v>9065</v>
      </c>
      <c r="D4279" s="15" t="s">
        <v>9066</v>
      </c>
      <c r="E4279" s="1012" t="s">
        <v>8663</v>
      </c>
      <c r="F4279" s="26"/>
      <c r="G4279" s="24" t="s">
        <v>7694</v>
      </c>
      <c r="H4279" s="151"/>
      <c r="I4279" s="41"/>
      <c r="J4279" s="67">
        <v>1480</v>
      </c>
      <c r="K4279" s="25">
        <v>2.75</v>
      </c>
      <c r="L4279" s="46">
        <f>K4279*J4279</f>
        <v>4070</v>
      </c>
      <c r="M4279" s="162" t="s">
        <v>2219</v>
      </c>
      <c r="N4279" s="39">
        <v>46087</v>
      </c>
      <c r="O4279" s="38">
        <v>7921</v>
      </c>
      <c r="P4279" s="180">
        <f t="shared" si="373"/>
        <v>2.42</v>
      </c>
      <c r="Q4279" s="483">
        <v>2.42</v>
      </c>
      <c r="R4279" s="704">
        <f>Q4279*J4279</f>
        <v>3581.6</v>
      </c>
      <c r="S4279" s="489">
        <v>210</v>
      </c>
      <c r="T4279" s="113">
        <f t="shared" si="374"/>
        <v>310800</v>
      </c>
      <c r="U4279" s="517"/>
      <c r="V4279" s="494">
        <v>120</v>
      </c>
      <c r="W4279" s="2041">
        <f t="shared" si="372"/>
        <v>0.36363636363636365</v>
      </c>
    </row>
    <row r="4280" spans="1:23" s="7" customFormat="1" ht="15.75" customHeight="1">
      <c r="A4280" s="1"/>
      <c r="B4280" s="12" t="s">
        <v>1856</v>
      </c>
      <c r="C4280" s="6" t="s">
        <v>9065</v>
      </c>
      <c r="D4280" s="15" t="s">
        <v>9066</v>
      </c>
      <c r="E4280" s="24" t="s">
        <v>8663</v>
      </c>
      <c r="F4280" s="26"/>
      <c r="G4280" s="24" t="s">
        <v>7694</v>
      </c>
      <c r="H4280" s="151"/>
      <c r="I4280" s="41"/>
      <c r="J4280" s="67">
        <v>1120</v>
      </c>
      <c r="K4280" s="25">
        <v>2.75</v>
      </c>
      <c r="L4280" s="46">
        <f>K4280*J4280</f>
        <v>3080</v>
      </c>
      <c r="M4280" s="162" t="s">
        <v>2219</v>
      </c>
      <c r="N4280" s="39">
        <v>46100</v>
      </c>
      <c r="O4280" s="38">
        <v>7957</v>
      </c>
      <c r="P4280" s="180">
        <f t="shared" si="373"/>
        <v>2.42</v>
      </c>
      <c r="Q4280" s="483">
        <v>2.42</v>
      </c>
      <c r="R4280" s="704">
        <f>Q4280*J4280</f>
        <v>2710.4</v>
      </c>
      <c r="S4280" s="489">
        <v>210</v>
      </c>
      <c r="T4280" s="113">
        <f t="shared" si="374"/>
        <v>235200</v>
      </c>
      <c r="U4280" s="517"/>
      <c r="V4280" s="494">
        <v>120</v>
      </c>
      <c r="W4280" s="2041">
        <f t="shared" si="372"/>
        <v>0.36363636363636365</v>
      </c>
    </row>
    <row r="4281" spans="1:23" s="7" customFormat="1" ht="15.75" customHeight="1">
      <c r="A4281" s="1"/>
      <c r="B4281" s="12" t="s">
        <v>1856</v>
      </c>
      <c r="C4281" s="6" t="s">
        <v>9065</v>
      </c>
      <c r="D4281" s="15" t="s">
        <v>9066</v>
      </c>
      <c r="E4281" s="24" t="s">
        <v>8663</v>
      </c>
      <c r="F4281" s="26"/>
      <c r="G4281" s="24" t="s">
        <v>7694</v>
      </c>
      <c r="H4281" s="151"/>
      <c r="I4281" s="41"/>
      <c r="J4281" s="67">
        <v>400</v>
      </c>
      <c r="K4281" s="25">
        <v>2.75</v>
      </c>
      <c r="L4281" s="46">
        <f>K4281*J4281</f>
        <v>1100</v>
      </c>
      <c r="M4281" s="162" t="s">
        <v>2219</v>
      </c>
      <c r="N4281" s="39">
        <v>46104</v>
      </c>
      <c r="O4281" s="38">
        <v>8009</v>
      </c>
      <c r="P4281" s="180">
        <f t="shared" si="373"/>
        <v>2.42</v>
      </c>
      <c r="Q4281" s="483">
        <v>2.42</v>
      </c>
      <c r="R4281" s="704">
        <f>Q4281*J4281</f>
        <v>968</v>
      </c>
      <c r="S4281" s="489">
        <v>210</v>
      </c>
      <c r="T4281" s="113">
        <f t="shared" si="374"/>
        <v>84000</v>
      </c>
      <c r="U4281" s="517"/>
      <c r="V4281" s="494">
        <v>120</v>
      </c>
      <c r="W4281" s="2041">
        <f t="shared" ref="W4281" si="375">(((K4281*V4281)-S4281)/(K4281*V4281))</f>
        <v>0.36363636363636365</v>
      </c>
    </row>
    <row r="4282" spans="1:23" s="2684" customFormat="1" ht="15">
      <c r="A4282" s="217"/>
      <c r="B4282" s="2672"/>
      <c r="C4282" s="2673" t="s">
        <v>9065</v>
      </c>
      <c r="D4282" s="2674" t="s">
        <v>9066</v>
      </c>
      <c r="E4282" s="2675"/>
      <c r="F4282" s="2676"/>
      <c r="G4282" s="2676" t="s">
        <v>1227</v>
      </c>
      <c r="H4282" s="2677" t="s">
        <v>1228</v>
      </c>
      <c r="I4282" s="2678"/>
      <c r="J4282" s="2679"/>
      <c r="K4282" s="2680">
        <v>0</v>
      </c>
      <c r="L4282" s="2681"/>
      <c r="M4282" s="2681"/>
      <c r="N4282" s="2681">
        <v>46104</v>
      </c>
      <c r="O4282" s="2682">
        <v>8009</v>
      </c>
      <c r="P4282" s="2673"/>
      <c r="Q4282" s="2683">
        <v>0</v>
      </c>
      <c r="S4282" s="2685">
        <v>33788</v>
      </c>
      <c r="T4282" s="2685">
        <v>33788</v>
      </c>
      <c r="U4282" s="2686"/>
      <c r="V4282" s="547">
        <v>120</v>
      </c>
      <c r="W4282" s="2051" t="e">
        <f t="shared" si="372"/>
        <v>#DIV/0!</v>
      </c>
    </row>
    <row r="4283" spans="1:23" s="7" customFormat="1" ht="15" customHeight="1">
      <c r="A4283" s="1"/>
      <c r="B4283" s="12"/>
      <c r="C4283" s="6" t="s">
        <v>9106</v>
      </c>
      <c r="D4283" s="15" t="s">
        <v>9105</v>
      </c>
      <c r="E4283" s="20" t="s">
        <v>8252</v>
      </c>
      <c r="F4283" s="26"/>
      <c r="G4283" s="24"/>
      <c r="H4283" s="67"/>
      <c r="I4283" s="68"/>
      <c r="J4283" s="67"/>
      <c r="K4283" s="17" t="s">
        <v>10</v>
      </c>
      <c r="L4283" s="39"/>
      <c r="M4283" s="39"/>
      <c r="N4283" s="39">
        <v>46065</v>
      </c>
      <c r="O4283" s="38">
        <v>7733</v>
      </c>
      <c r="P4283" s="180" t="e">
        <f>K4283*(VLOOKUP(B4283,$C$2:$F$6,3,FALSE))</f>
        <v>#VALUE!</v>
      </c>
      <c r="Q4283" s="483"/>
      <c r="R4283" s="704"/>
      <c r="S4283" s="2533"/>
      <c r="T4283" s="113">
        <f>S4283*J4283</f>
        <v>0</v>
      </c>
      <c r="U4283" s="517"/>
      <c r="V4283" s="494">
        <v>120</v>
      </c>
      <c r="W4283" s="2041" t="e">
        <f t="shared" ref="W4283:W4299" si="376">(((K4283*V4283)-S4283)/(K4283*V4283))</f>
        <v>#VALUE!</v>
      </c>
    </row>
    <row r="4284" spans="1:23" s="7" customFormat="1" ht="15.75" customHeight="1">
      <c r="A4284" s="1"/>
      <c r="B4284" s="12" t="s">
        <v>1856</v>
      </c>
      <c r="C4284" s="6" t="s">
        <v>9106</v>
      </c>
      <c r="D4284" s="15" t="s">
        <v>9105</v>
      </c>
      <c r="E4284" s="24" t="s">
        <v>8663</v>
      </c>
      <c r="F4284" s="26"/>
      <c r="G4284" s="24" t="s">
        <v>7694</v>
      </c>
      <c r="H4284" s="151"/>
      <c r="I4284" s="41"/>
      <c r="J4284" s="67">
        <v>823</v>
      </c>
      <c r="K4284" s="25">
        <v>3.06</v>
      </c>
      <c r="L4284" s="46">
        <f>K4284*J4284</f>
        <v>2518.38</v>
      </c>
      <c r="M4284" s="162" t="s">
        <v>2219</v>
      </c>
      <c r="N4284" s="39">
        <v>46065</v>
      </c>
      <c r="O4284" s="38">
        <v>7733</v>
      </c>
      <c r="P4284" s="180">
        <f>K4284*(VLOOKUP(B4284,$C$2:$F$6,3,FALSE))</f>
        <v>2.6928000000000001</v>
      </c>
      <c r="Q4284" s="483">
        <v>2.69</v>
      </c>
      <c r="R4284" s="704">
        <f>Q4284*J4284</f>
        <v>2213.87</v>
      </c>
      <c r="S4284" s="489">
        <v>210</v>
      </c>
      <c r="T4284" s="113">
        <f>S4284*J4284</f>
        <v>172830</v>
      </c>
      <c r="U4284" s="517"/>
      <c r="V4284" s="494">
        <v>120</v>
      </c>
      <c r="W4284" s="2041">
        <f t="shared" si="376"/>
        <v>0.42810457516339867</v>
      </c>
    </row>
    <row r="4285" spans="1:23" s="314" customFormat="1" ht="15">
      <c r="A4285" s="1"/>
      <c r="B4285" s="313"/>
      <c r="C4285" s="302" t="s">
        <v>9106</v>
      </c>
      <c r="D4285" s="303" t="s">
        <v>9105</v>
      </c>
      <c r="E4285" s="304"/>
      <c r="F4285" s="305"/>
      <c r="G4285" s="305" t="s">
        <v>1227</v>
      </c>
      <c r="H4285" s="307" t="s">
        <v>1228</v>
      </c>
      <c r="I4285" s="308"/>
      <c r="J4285" s="306"/>
      <c r="K4285" s="315">
        <v>0</v>
      </c>
      <c r="L4285" s="310"/>
      <c r="M4285" s="310"/>
      <c r="N4285" s="310">
        <v>46065</v>
      </c>
      <c r="O4285" s="309">
        <v>7733</v>
      </c>
      <c r="P4285" s="302"/>
      <c r="Q4285" s="485">
        <v>0</v>
      </c>
      <c r="S4285" s="536">
        <v>0</v>
      </c>
      <c r="T4285" s="322">
        <v>0</v>
      </c>
      <c r="U4285" s="515"/>
      <c r="V4285" s="494">
        <v>120</v>
      </c>
      <c r="W4285" s="2041" t="e">
        <f t="shared" si="376"/>
        <v>#DIV/0!</v>
      </c>
    </row>
    <row r="4286" spans="1:23" ht="18" customHeight="1">
      <c r="C4286" s="6" t="s">
        <v>9072</v>
      </c>
      <c r="D4286" s="15" t="s">
        <v>8950</v>
      </c>
      <c r="E4286" s="20" t="s">
        <v>8738</v>
      </c>
      <c r="F4286" s="44"/>
      <c r="G4286" s="44"/>
      <c r="H4286" s="151"/>
      <c r="I4286" s="151"/>
      <c r="J4286" s="151"/>
      <c r="K4286" s="34" t="s">
        <v>134</v>
      </c>
      <c r="L4286" s="39"/>
      <c r="M4286" s="39"/>
      <c r="N4286" s="39">
        <v>46014</v>
      </c>
      <c r="O4286" s="38">
        <v>7740</v>
      </c>
      <c r="P4286" s="6"/>
      <c r="Q4286" s="524"/>
      <c r="S4286" s="1995"/>
      <c r="T4286" s="113"/>
      <c r="U4286" s="501"/>
      <c r="V4286" s="494">
        <v>120</v>
      </c>
      <c r="W4286" s="2041" t="e">
        <f>(((K4286*V4286)-S4286)/(K4286*V4286))</f>
        <v>#VALUE!</v>
      </c>
    </row>
    <row r="4287" spans="1:23" ht="18" customHeight="1">
      <c r="B4287" s="28" t="s">
        <v>1856</v>
      </c>
      <c r="C4287" s="6" t="s">
        <v>9072</v>
      </c>
      <c r="D4287" s="15" t="s">
        <v>8950</v>
      </c>
      <c r="E4287" s="24">
        <v>4156</v>
      </c>
      <c r="F4287" s="44" t="s">
        <v>8739</v>
      </c>
      <c r="G4287" s="24" t="s">
        <v>9076</v>
      </c>
      <c r="H4287" s="67">
        <v>15</v>
      </c>
      <c r="I4287" s="68">
        <v>2</v>
      </c>
      <c r="J4287" s="67">
        <f>H4287*I4287</f>
        <v>30</v>
      </c>
      <c r="K4287" s="46">
        <v>1.91</v>
      </c>
      <c r="L4287" s="46">
        <f>K4287*J4287</f>
        <v>57.3</v>
      </c>
      <c r="M4287" s="162" t="s">
        <v>2219</v>
      </c>
      <c r="N4287" s="39">
        <v>46014</v>
      </c>
      <c r="O4287" s="38">
        <v>7740</v>
      </c>
      <c r="P4287" s="46">
        <f>K4287*(VLOOKUP(B4287,$C$2:$F$6,3,FALSE))</f>
        <v>1.6807999999999998</v>
      </c>
      <c r="Q4287" s="482">
        <v>1.68</v>
      </c>
      <c r="R4287" s="704">
        <f>Q4287*J4287</f>
        <v>50.4</v>
      </c>
      <c r="S4287" s="489">
        <v>137</v>
      </c>
      <c r="T4287" s="113">
        <f>S4287*J4287</f>
        <v>4110</v>
      </c>
      <c r="U4287" s="699"/>
      <c r="V4287" s="494">
        <v>120</v>
      </c>
      <c r="W4287" s="2041">
        <f>(((K4287*V4287)-S4287)/(K4287*V4287))</f>
        <v>0.40226876090750435</v>
      </c>
    </row>
    <row r="4288" spans="1:23" s="7" customFormat="1" ht="18.600000000000001" customHeight="1">
      <c r="A4288" s="1"/>
      <c r="B4288" s="12"/>
      <c r="C4288" s="6" t="s">
        <v>9072</v>
      </c>
      <c r="D4288" s="15" t="s">
        <v>8950</v>
      </c>
      <c r="E4288" s="20" t="s">
        <v>1003</v>
      </c>
      <c r="F4288" s="24"/>
      <c r="G4288" s="44"/>
      <c r="H4288" s="151"/>
      <c r="I4288" s="151"/>
      <c r="J4288" s="151"/>
      <c r="K4288" s="153" t="s">
        <v>10</v>
      </c>
      <c r="L4288" s="39"/>
      <c r="M4288" s="162"/>
      <c r="N4288" s="39">
        <v>46014</v>
      </c>
      <c r="O4288" s="38">
        <v>7740</v>
      </c>
      <c r="P4288" s="6"/>
      <c r="Q4288" s="411"/>
      <c r="S4288" s="489"/>
      <c r="T4288" s="113"/>
      <c r="U4288" s="501"/>
      <c r="V4288" s="494">
        <v>120</v>
      </c>
      <c r="W4288" s="2041" t="e">
        <f t="shared" si="376"/>
        <v>#VALUE!</v>
      </c>
    </row>
    <row r="4289" spans="1:23" s="7" customFormat="1" ht="15.95" customHeight="1">
      <c r="A4289" s="1"/>
      <c r="B4289" s="12" t="s">
        <v>1856</v>
      </c>
      <c r="C4289" s="6" t="s">
        <v>9072</v>
      </c>
      <c r="D4289" s="15" t="s">
        <v>8950</v>
      </c>
      <c r="E4289" s="24" t="s">
        <v>8836</v>
      </c>
      <c r="F4289" s="44"/>
      <c r="G4289" s="44" t="s">
        <v>7694</v>
      </c>
      <c r="H4289" s="198"/>
      <c r="I4289" s="68"/>
      <c r="J4289" s="67">
        <v>10</v>
      </c>
      <c r="K4289" s="46">
        <v>2.2999999999999998</v>
      </c>
      <c r="L4289" s="46">
        <f>K4289*J4289</f>
        <v>23</v>
      </c>
      <c r="M4289" s="162" t="s">
        <v>2219</v>
      </c>
      <c r="N4289" s="39">
        <v>46014</v>
      </c>
      <c r="O4289" s="38">
        <v>7740</v>
      </c>
      <c r="P4289" s="46">
        <f>K4289*(VLOOKUP(B4289,$C$2:$F$6,3,FALSE))</f>
        <v>2.024</v>
      </c>
      <c r="Q4289" s="483">
        <v>2.02</v>
      </c>
      <c r="R4289" s="704">
        <f>Q4289*J4289</f>
        <v>20.2</v>
      </c>
      <c r="S4289" s="489">
        <v>165</v>
      </c>
      <c r="T4289" s="567">
        <f>S4289*J4289</f>
        <v>1650</v>
      </c>
      <c r="U4289" s="517"/>
      <c r="V4289" s="494">
        <v>120</v>
      </c>
      <c r="W4289" s="2041">
        <f t="shared" si="376"/>
        <v>0.40217391304347827</v>
      </c>
    </row>
    <row r="4290" spans="1:23" s="7" customFormat="1" ht="15.95" customHeight="1">
      <c r="A4290" s="1"/>
      <c r="B4290" s="12" t="s">
        <v>1856</v>
      </c>
      <c r="C4290" s="6" t="s">
        <v>9072</v>
      </c>
      <c r="D4290" s="15" t="s">
        <v>8950</v>
      </c>
      <c r="E4290" s="24" t="s">
        <v>8831</v>
      </c>
      <c r="F4290" s="44"/>
      <c r="G4290" s="44" t="s">
        <v>7694</v>
      </c>
      <c r="H4290" s="198"/>
      <c r="I4290" s="68"/>
      <c r="J4290" s="67">
        <v>10</v>
      </c>
      <c r="K4290" s="46">
        <v>0.91</v>
      </c>
      <c r="L4290" s="46">
        <f>K4290*J4290</f>
        <v>9.1</v>
      </c>
      <c r="M4290" s="162" t="s">
        <v>2219</v>
      </c>
      <c r="N4290" s="39">
        <v>46014</v>
      </c>
      <c r="O4290" s="38">
        <v>7740</v>
      </c>
      <c r="P4290" s="46">
        <f>K4290*(VLOOKUP(B4290,$C$2:$F$6,3,FALSE))</f>
        <v>0.80080000000000007</v>
      </c>
      <c r="Q4290" s="483">
        <v>0.8</v>
      </c>
      <c r="R4290" s="704">
        <f>Q4290*J4290</f>
        <v>8</v>
      </c>
      <c r="S4290" s="489">
        <v>65</v>
      </c>
      <c r="T4290" s="567">
        <f>S4290*J4290</f>
        <v>650</v>
      </c>
      <c r="U4290" s="517"/>
      <c r="V4290" s="494">
        <v>120</v>
      </c>
      <c r="W4290" s="2041">
        <f t="shared" si="376"/>
        <v>0.40476190476190477</v>
      </c>
    </row>
    <row r="4291" spans="1:23" ht="18" customHeight="1">
      <c r="B4291" s="12" t="s">
        <v>1862</v>
      </c>
      <c r="C4291" s="6" t="s">
        <v>9072</v>
      </c>
      <c r="D4291" s="15" t="s">
        <v>8950</v>
      </c>
      <c r="E4291" s="24"/>
      <c r="F4291" s="138"/>
      <c r="G4291" s="44" t="s">
        <v>1993</v>
      </c>
      <c r="H4291" s="8"/>
      <c r="I4291" s="41"/>
      <c r="J4291" s="45">
        <v>1</v>
      </c>
      <c r="K4291" s="46">
        <v>24</v>
      </c>
      <c r="L4291" s="46">
        <f>K4291*J4291</f>
        <v>24</v>
      </c>
      <c r="M4291" s="112"/>
      <c r="N4291" s="39">
        <v>46014</v>
      </c>
      <c r="O4291" s="38">
        <v>7740</v>
      </c>
      <c r="P4291" s="46">
        <f>K4291*(VLOOKUP(B4291,$C$2:$F$6,3,FALSE))</f>
        <v>24</v>
      </c>
      <c r="Q4291" s="483">
        <v>24</v>
      </c>
      <c r="R4291" s="704">
        <f>Q4291*J4291</f>
        <v>24</v>
      </c>
      <c r="S4291" s="489">
        <v>1300</v>
      </c>
      <c r="T4291" s="113">
        <v>1300</v>
      </c>
      <c r="U4291" s="511"/>
      <c r="V4291" s="494">
        <v>120</v>
      </c>
      <c r="W4291" s="2041">
        <f t="shared" si="376"/>
        <v>0.54861111111111116</v>
      </c>
    </row>
    <row r="4292" spans="1:23" s="314" customFormat="1" ht="15">
      <c r="A4292" s="1"/>
      <c r="B4292" s="313"/>
      <c r="C4292" s="302" t="s">
        <v>9072</v>
      </c>
      <c r="D4292" s="303" t="s">
        <v>8950</v>
      </c>
      <c r="E4292" s="304"/>
      <c r="F4292" s="305"/>
      <c r="G4292" s="305" t="s">
        <v>1227</v>
      </c>
      <c r="H4292" s="307" t="s">
        <v>1228</v>
      </c>
      <c r="I4292" s="308"/>
      <c r="J4292" s="306"/>
      <c r="K4292" s="315">
        <v>0</v>
      </c>
      <c r="L4292" s="310"/>
      <c r="M4292" s="310"/>
      <c r="N4292" s="310">
        <v>46014</v>
      </c>
      <c r="O4292" s="309">
        <v>7740</v>
      </c>
      <c r="P4292" s="302"/>
      <c r="Q4292" s="485">
        <v>0</v>
      </c>
      <c r="S4292" s="536">
        <v>0</v>
      </c>
      <c r="T4292" s="322">
        <v>0</v>
      </c>
      <c r="U4292" s="515"/>
      <c r="V4292" s="494">
        <v>120</v>
      </c>
      <c r="W4292" s="2041" t="e">
        <f t="shared" si="376"/>
        <v>#DIV/0!</v>
      </c>
    </row>
    <row r="4293" spans="1:23" ht="18" customHeight="1">
      <c r="C4293" s="6" t="s">
        <v>9101</v>
      </c>
      <c r="D4293" s="15" t="s">
        <v>8246</v>
      </c>
      <c r="E4293" s="20" t="s">
        <v>260</v>
      </c>
      <c r="F4293" s="44"/>
      <c r="G4293" s="44"/>
      <c r="H4293" s="151"/>
      <c r="I4293" s="151"/>
      <c r="J4293" s="151"/>
      <c r="K4293" s="34" t="s">
        <v>134</v>
      </c>
      <c r="L4293" s="39"/>
      <c r="M4293" s="39"/>
      <c r="N4293" s="39">
        <v>46100</v>
      </c>
      <c r="O4293" s="38">
        <v>7748</v>
      </c>
      <c r="P4293" s="6"/>
      <c r="Q4293" s="524"/>
      <c r="S4293" s="1995"/>
      <c r="T4293" s="113"/>
      <c r="U4293" s="501"/>
      <c r="V4293" s="494">
        <v>120</v>
      </c>
      <c r="W4293" s="2041" t="e">
        <f t="shared" si="376"/>
        <v>#VALUE!</v>
      </c>
    </row>
    <row r="4294" spans="1:23" ht="18" customHeight="1">
      <c r="B4294" s="28" t="s">
        <v>1856</v>
      </c>
      <c r="C4294" s="6" t="s">
        <v>9101</v>
      </c>
      <c r="D4294" s="15" t="s">
        <v>8246</v>
      </c>
      <c r="E4294" s="24">
        <v>4141</v>
      </c>
      <c r="F4294" s="44">
        <v>6</v>
      </c>
      <c r="G4294" s="24" t="s">
        <v>48</v>
      </c>
      <c r="H4294" s="67">
        <v>20</v>
      </c>
      <c r="I4294" s="68">
        <v>88</v>
      </c>
      <c r="J4294" s="67">
        <f>H4294*I4294</f>
        <v>1760</v>
      </c>
      <c r="K4294" s="46">
        <v>1.47</v>
      </c>
      <c r="L4294" s="46">
        <f>K4294*J4294</f>
        <v>2587.1999999999998</v>
      </c>
      <c r="M4294" s="162" t="s">
        <v>2219</v>
      </c>
      <c r="N4294" s="39">
        <v>46100</v>
      </c>
      <c r="O4294" s="38">
        <v>7748</v>
      </c>
      <c r="P4294" s="46">
        <f>K4294*(VLOOKUP(B4294,$C$2:$F$6,3,FALSE))</f>
        <v>1.2936000000000001</v>
      </c>
      <c r="Q4294" s="482">
        <v>1.29</v>
      </c>
      <c r="R4294" s="704">
        <f>Q4294*J4294</f>
        <v>2270.4</v>
      </c>
      <c r="S4294" s="489">
        <f>96+1.75</f>
        <v>97.75</v>
      </c>
      <c r="T4294" s="113">
        <f>S4294*J4294</f>
        <v>172040</v>
      </c>
      <c r="U4294" s="699"/>
      <c r="V4294" s="494">
        <v>120</v>
      </c>
      <c r="W4294" s="2041">
        <f t="shared" si="376"/>
        <v>0.44586167800453519</v>
      </c>
    </row>
    <row r="4295" spans="1:23" ht="18" customHeight="1">
      <c r="B4295" s="28" t="s">
        <v>1856</v>
      </c>
      <c r="C4295" s="6" t="s">
        <v>9101</v>
      </c>
      <c r="D4295" s="15" t="s">
        <v>8246</v>
      </c>
      <c r="E4295" s="24">
        <v>4141</v>
      </c>
      <c r="F4295" s="44">
        <v>6</v>
      </c>
      <c r="G4295" s="24" t="s">
        <v>9102</v>
      </c>
      <c r="H4295" s="67">
        <v>20</v>
      </c>
      <c r="I4295" s="68">
        <v>59</v>
      </c>
      <c r="J4295" s="67">
        <f>H4295*I4295</f>
        <v>1180</v>
      </c>
      <c r="K4295" s="46">
        <v>1.47</v>
      </c>
      <c r="L4295" s="46">
        <f>K4295*J4295</f>
        <v>1734.6</v>
      </c>
      <c r="M4295" s="162" t="s">
        <v>2219</v>
      </c>
      <c r="N4295" s="39">
        <v>46100</v>
      </c>
      <c r="O4295" s="38">
        <v>7748</v>
      </c>
      <c r="P4295" s="46">
        <f>K4295*(VLOOKUP(B4295,$C$2:$F$6,3,FALSE))</f>
        <v>1.2936000000000001</v>
      </c>
      <c r="Q4295" s="482">
        <v>1.29</v>
      </c>
      <c r="R4295" s="704">
        <f>Q4295*J4295</f>
        <v>1522.2</v>
      </c>
      <c r="S4295" s="489">
        <f>96</f>
        <v>96</v>
      </c>
      <c r="T4295" s="113">
        <f>S4295*J4295</f>
        <v>113280</v>
      </c>
      <c r="U4295" s="699"/>
      <c r="V4295" s="494">
        <v>120</v>
      </c>
      <c r="W4295" s="2041">
        <f>(((K4295*V4295)-S4295)/(K4295*V4295))</f>
        <v>0.45578231292517007</v>
      </c>
    </row>
    <row r="4296" spans="1:23" ht="18" customHeight="1">
      <c r="B4296" s="28" t="s">
        <v>1856</v>
      </c>
      <c r="C4296" s="6" t="s">
        <v>9101</v>
      </c>
      <c r="D4296" s="15" t="s">
        <v>8246</v>
      </c>
      <c r="E4296" s="24">
        <v>4141</v>
      </c>
      <c r="F4296" s="44">
        <v>6</v>
      </c>
      <c r="G4296" s="24" t="s">
        <v>9103</v>
      </c>
      <c r="H4296" s="67">
        <v>20</v>
      </c>
      <c r="I4296" s="68">
        <v>12</v>
      </c>
      <c r="J4296" s="67">
        <f>H4296*I4296</f>
        <v>240</v>
      </c>
      <c r="K4296" s="46">
        <v>1.47</v>
      </c>
      <c r="L4296" s="46">
        <f>K4296*J4296</f>
        <v>352.8</v>
      </c>
      <c r="M4296" s="162" t="s">
        <v>2219</v>
      </c>
      <c r="N4296" s="39">
        <v>46100</v>
      </c>
      <c r="O4296" s="38">
        <v>7748</v>
      </c>
      <c r="P4296" s="46">
        <f>K4296*(VLOOKUP(B4296,$C$2:$F$6,3,FALSE))</f>
        <v>1.2936000000000001</v>
      </c>
      <c r="Q4296" s="482">
        <v>1.29</v>
      </c>
      <c r="R4296" s="704">
        <f>Q4296*J4296</f>
        <v>309.60000000000002</v>
      </c>
      <c r="S4296" s="489">
        <f>96</f>
        <v>96</v>
      </c>
      <c r="T4296" s="113">
        <f>S4296*J4296</f>
        <v>23040</v>
      </c>
      <c r="U4296" s="699"/>
      <c r="V4296" s="494">
        <v>120</v>
      </c>
      <c r="W4296" s="2041">
        <f>(((K4296*V4296)-S4296)/(K4296*V4296))</f>
        <v>0.45578231292517007</v>
      </c>
    </row>
    <row r="4297" spans="1:23" s="314" customFormat="1" ht="15">
      <c r="A4297" s="1"/>
      <c r="B4297" s="313"/>
      <c r="C4297" s="302" t="s">
        <v>9101</v>
      </c>
      <c r="D4297" s="303" t="s">
        <v>8246</v>
      </c>
      <c r="E4297" s="304"/>
      <c r="F4297" s="305"/>
      <c r="G4297" s="305" t="s">
        <v>1227</v>
      </c>
      <c r="H4297" s="307" t="s">
        <v>1228</v>
      </c>
      <c r="I4297" s="308"/>
      <c r="J4297" s="306"/>
      <c r="K4297" s="315">
        <v>0</v>
      </c>
      <c r="L4297" s="310"/>
      <c r="M4297" s="310"/>
      <c r="N4297" s="310">
        <v>46100</v>
      </c>
      <c r="O4297" s="309">
        <v>7748</v>
      </c>
      <c r="P4297" s="302"/>
      <c r="Q4297" s="485">
        <v>0</v>
      </c>
      <c r="S4297" s="536">
        <v>0</v>
      </c>
      <c r="T4297" s="322">
        <v>0</v>
      </c>
      <c r="U4297" s="515"/>
      <c r="V4297" s="494">
        <v>120</v>
      </c>
      <c r="W4297" s="2041" t="e">
        <f t="shared" si="376"/>
        <v>#DIV/0!</v>
      </c>
    </row>
    <row r="4298" spans="1:23" s="7" customFormat="1" ht="18" customHeight="1">
      <c r="B4298" s="12"/>
      <c r="C4298" s="6" t="s">
        <v>9107</v>
      </c>
      <c r="D4298" s="15" t="s">
        <v>9108</v>
      </c>
      <c r="E4298" s="20" t="s">
        <v>9109</v>
      </c>
      <c r="F4298" s="150"/>
      <c r="G4298" s="24"/>
      <c r="H4298" s="151"/>
      <c r="I4298" s="152"/>
      <c r="J4298" s="151"/>
      <c r="K4298" s="34" t="s">
        <v>10</v>
      </c>
      <c r="L4298" s="39"/>
      <c r="M4298" s="39"/>
      <c r="N4298" s="39">
        <v>46017</v>
      </c>
      <c r="O4298" s="38">
        <v>7750</v>
      </c>
      <c r="P4298" s="15"/>
      <c r="Q4298" s="483"/>
      <c r="S4298" s="707"/>
      <c r="T4298" s="113"/>
      <c r="U4298" s="506"/>
      <c r="V4298" s="494">
        <v>120</v>
      </c>
      <c r="W4298" s="7" t="e">
        <f t="shared" si="376"/>
        <v>#VALUE!</v>
      </c>
    </row>
    <row r="4299" spans="1:23" s="7" customFormat="1" ht="15.75">
      <c r="B4299" s="12" t="s">
        <v>1858</v>
      </c>
      <c r="C4299" s="6" t="s">
        <v>9107</v>
      </c>
      <c r="D4299" s="15" t="s">
        <v>9108</v>
      </c>
      <c r="E4299" s="24" t="s">
        <v>9040</v>
      </c>
      <c r="F4299" s="150">
        <v>148</v>
      </c>
      <c r="G4299" s="24" t="s">
        <v>9110</v>
      </c>
      <c r="H4299" s="67"/>
      <c r="I4299" s="68"/>
      <c r="J4299" s="8">
        <v>20</v>
      </c>
      <c r="K4299" s="25">
        <v>12.78</v>
      </c>
      <c r="L4299" s="46">
        <f>K4299*J4299</f>
        <v>255.6</v>
      </c>
      <c r="M4299" s="162" t="s">
        <v>2219</v>
      </c>
      <c r="N4299" s="39">
        <v>46017</v>
      </c>
      <c r="O4299" s="38">
        <v>7750</v>
      </c>
      <c r="P4299" s="46">
        <f>K4299*(VLOOKUP(B4299,$C$2:$F$6,3,FALSE))</f>
        <v>12.013199999999999</v>
      </c>
      <c r="Q4299" s="483">
        <v>12.01</v>
      </c>
      <c r="R4299" s="704">
        <f>Q4299*J4299</f>
        <v>240.2</v>
      </c>
      <c r="S4299" s="532">
        <v>1120</v>
      </c>
      <c r="T4299" s="567">
        <f>S4299*J4299</f>
        <v>22400</v>
      </c>
      <c r="U4299" s="501"/>
      <c r="V4299" s="494">
        <v>120</v>
      </c>
      <c r="W4299" s="2041">
        <f t="shared" si="376"/>
        <v>0.26969222743870624</v>
      </c>
    </row>
    <row r="4300" spans="1:23" s="7" customFormat="1" ht="18" customHeight="1">
      <c r="B4300" s="12"/>
      <c r="C4300" s="6" t="s">
        <v>9107</v>
      </c>
      <c r="D4300" s="15" t="s">
        <v>9108</v>
      </c>
      <c r="E4300" s="20" t="s">
        <v>9111</v>
      </c>
      <c r="F4300" s="150"/>
      <c r="G4300" s="24"/>
      <c r="H4300" s="151"/>
      <c r="I4300" s="152"/>
      <c r="J4300" s="151"/>
      <c r="K4300" s="34" t="s">
        <v>10</v>
      </c>
      <c r="L4300" s="39"/>
      <c r="M4300" s="39"/>
      <c r="N4300" s="39">
        <v>46017</v>
      </c>
      <c r="O4300" s="38">
        <v>7750</v>
      </c>
      <c r="P4300" s="15"/>
      <c r="Q4300" s="483"/>
      <c r="S4300" s="707"/>
      <c r="T4300" s="113"/>
      <c r="U4300" s="506"/>
      <c r="V4300" s="494">
        <v>120</v>
      </c>
      <c r="W4300" s="7" t="e">
        <f t="shared" ref="W4300:W4307" si="377">(((K4300*V4300)-S4300)/(K4300*V4300))</f>
        <v>#VALUE!</v>
      </c>
    </row>
    <row r="4301" spans="1:23" s="7" customFormat="1" ht="15.75">
      <c r="B4301" s="12" t="s">
        <v>1858</v>
      </c>
      <c r="C4301" s="6" t="s">
        <v>9107</v>
      </c>
      <c r="D4301" s="15" t="s">
        <v>9108</v>
      </c>
      <c r="E4301" s="24" t="s">
        <v>9039</v>
      </c>
      <c r="F4301" s="150">
        <v>150</v>
      </c>
      <c r="G4301" s="24" t="s">
        <v>9110</v>
      </c>
      <c r="H4301" s="67"/>
      <c r="I4301" s="68"/>
      <c r="J4301" s="8">
        <v>20</v>
      </c>
      <c r="K4301" s="25">
        <v>10.45</v>
      </c>
      <c r="L4301" s="46">
        <f>K4301*J4301</f>
        <v>209</v>
      </c>
      <c r="M4301" s="162" t="s">
        <v>2219</v>
      </c>
      <c r="N4301" s="39">
        <v>46017</v>
      </c>
      <c r="O4301" s="38">
        <v>7750</v>
      </c>
      <c r="P4301" s="46">
        <f>K4301*(VLOOKUP(B4301,$C$2:$F$6,3,FALSE))</f>
        <v>9.8229999999999986</v>
      </c>
      <c r="Q4301" s="483">
        <v>9.82</v>
      </c>
      <c r="R4301" s="704">
        <f>Q4301*J4301</f>
        <v>196.4</v>
      </c>
      <c r="S4301" s="532">
        <v>910</v>
      </c>
      <c r="T4301" s="567">
        <f>S4301*J4301</f>
        <v>18200</v>
      </c>
      <c r="U4301" s="501"/>
      <c r="V4301" s="494">
        <v>120</v>
      </c>
      <c r="W4301" s="2041">
        <f t="shared" si="377"/>
        <v>0.27432216905901119</v>
      </c>
    </row>
    <row r="4302" spans="1:23" ht="18" customHeight="1">
      <c r="B4302" s="12" t="s">
        <v>1862</v>
      </c>
      <c r="C4302" s="6" t="s">
        <v>9107</v>
      </c>
      <c r="D4302" s="15" t="s">
        <v>9108</v>
      </c>
      <c r="E4302" s="24"/>
      <c r="F4302" s="138"/>
      <c r="G4302" s="44" t="s">
        <v>75</v>
      </c>
      <c r="H4302" s="8"/>
      <c r="I4302" s="41"/>
      <c r="J4302" s="45">
        <v>2</v>
      </c>
      <c r="K4302" s="46">
        <v>12</v>
      </c>
      <c r="L4302" s="46">
        <f>K4302*J4302</f>
        <v>24</v>
      </c>
      <c r="M4302" s="112"/>
      <c r="N4302" s="39">
        <v>46017</v>
      </c>
      <c r="O4302" s="38">
        <v>7750</v>
      </c>
      <c r="P4302" s="46">
        <f>K4302*(VLOOKUP(B4302,$C$2:$F$6,3,FALSE))</f>
        <v>12</v>
      </c>
      <c r="Q4302" s="483">
        <v>12</v>
      </c>
      <c r="R4302" s="704">
        <f>Q4302*J4302</f>
        <v>24</v>
      </c>
      <c r="S4302" s="489">
        <v>1000</v>
      </c>
      <c r="T4302" s="567">
        <f>S4302*J4302</f>
        <v>2000</v>
      </c>
      <c r="U4302" s="511"/>
      <c r="V4302" s="494">
        <v>120</v>
      </c>
      <c r="W4302" s="2041">
        <f>(((K4302*V4302)-S4302)/(K4302*V4302))</f>
        <v>0.30555555555555558</v>
      </c>
    </row>
    <row r="4303" spans="1:23" ht="18" customHeight="1">
      <c r="B4303" s="12" t="s">
        <v>1862</v>
      </c>
      <c r="C4303" s="6" t="s">
        <v>9107</v>
      </c>
      <c r="D4303" s="15" t="s">
        <v>9108</v>
      </c>
      <c r="E4303" s="24"/>
      <c r="F4303" s="138"/>
      <c r="G4303" s="44" t="s">
        <v>1993</v>
      </c>
      <c r="H4303" s="8"/>
      <c r="I4303" s="41"/>
      <c r="J4303" s="45">
        <v>1</v>
      </c>
      <c r="K4303" s="46">
        <v>25</v>
      </c>
      <c r="L4303" s="46">
        <f>K4303*J4303</f>
        <v>25</v>
      </c>
      <c r="M4303" s="112"/>
      <c r="N4303" s="39">
        <v>46017</v>
      </c>
      <c r="O4303" s="38">
        <v>7750</v>
      </c>
      <c r="P4303" s="46">
        <f>K4303*(VLOOKUP(B4303,$C$2:$F$6,3,FALSE))</f>
        <v>25</v>
      </c>
      <c r="Q4303" s="483">
        <v>25</v>
      </c>
      <c r="R4303" s="704">
        <f>Q4303*J4303</f>
        <v>25</v>
      </c>
      <c r="S4303" s="489">
        <v>1600</v>
      </c>
      <c r="T4303" s="567">
        <f>S4303*J4303</f>
        <v>1600</v>
      </c>
      <c r="U4303" s="511"/>
      <c r="V4303" s="494">
        <v>120</v>
      </c>
      <c r="W4303" s="2041">
        <f t="shared" si="377"/>
        <v>0.46666666666666667</v>
      </c>
    </row>
    <row r="4304" spans="1:23" s="314" customFormat="1" ht="15">
      <c r="A4304" s="1"/>
      <c r="B4304" s="313"/>
      <c r="C4304" s="302" t="s">
        <v>9107</v>
      </c>
      <c r="D4304" s="303" t="s">
        <v>9108</v>
      </c>
      <c r="E4304" s="304"/>
      <c r="F4304" s="305"/>
      <c r="G4304" s="305" t="s">
        <v>1227</v>
      </c>
      <c r="H4304" s="307" t="s">
        <v>1228</v>
      </c>
      <c r="I4304" s="308"/>
      <c r="J4304" s="306"/>
      <c r="K4304" s="315">
        <v>0</v>
      </c>
      <c r="L4304" s="310"/>
      <c r="M4304" s="310"/>
      <c r="N4304" s="310">
        <v>46017</v>
      </c>
      <c r="O4304" s="309">
        <v>7750</v>
      </c>
      <c r="P4304" s="302"/>
      <c r="Q4304" s="485">
        <v>0</v>
      </c>
      <c r="S4304" s="536">
        <v>0</v>
      </c>
      <c r="T4304" s="322">
        <v>0</v>
      </c>
      <c r="U4304" s="515"/>
      <c r="V4304" s="494">
        <v>120</v>
      </c>
      <c r="W4304" s="2041" t="e">
        <f t="shared" si="377"/>
        <v>#DIV/0!</v>
      </c>
    </row>
    <row r="4305" spans="1:23" s="7" customFormat="1" ht="15" customHeight="1">
      <c r="A4305" s="1"/>
      <c r="B4305" s="12"/>
      <c r="C4305" s="6" t="s">
        <v>9115</v>
      </c>
      <c r="D4305" s="15" t="s">
        <v>9105</v>
      </c>
      <c r="E4305" s="20" t="s">
        <v>8252</v>
      </c>
      <c r="F4305" s="26"/>
      <c r="G4305" s="24"/>
      <c r="H4305" s="67"/>
      <c r="I4305" s="68"/>
      <c r="J4305" s="67"/>
      <c r="K4305" s="17" t="s">
        <v>10</v>
      </c>
      <c r="L4305" s="39"/>
      <c r="M4305" s="39"/>
      <c r="N4305" s="39">
        <v>46065</v>
      </c>
      <c r="O4305" s="38">
        <v>7749</v>
      </c>
      <c r="P4305" s="180" t="e">
        <f>K4305*(VLOOKUP(B4305,$C$2:$F$6,3,FALSE))</f>
        <v>#VALUE!</v>
      </c>
      <c r="Q4305" s="483"/>
      <c r="R4305" s="704"/>
      <c r="S4305" s="2533"/>
      <c r="T4305" s="113">
        <f>S4305*J4305</f>
        <v>0</v>
      </c>
      <c r="U4305" s="517"/>
      <c r="V4305" s="494">
        <v>120</v>
      </c>
      <c r="W4305" s="2041" t="e">
        <f t="shared" si="377"/>
        <v>#VALUE!</v>
      </c>
    </row>
    <row r="4306" spans="1:23" s="7" customFormat="1" ht="15.75" customHeight="1">
      <c r="A4306" s="1"/>
      <c r="B4306" s="12" t="s">
        <v>1856</v>
      </c>
      <c r="C4306" s="6" t="s">
        <v>9115</v>
      </c>
      <c r="D4306" s="15" t="s">
        <v>9105</v>
      </c>
      <c r="E4306" s="24" t="s">
        <v>9097</v>
      </c>
      <c r="F4306" s="26"/>
      <c r="G4306" s="24" t="s">
        <v>7694</v>
      </c>
      <c r="H4306" s="151"/>
      <c r="I4306" s="41"/>
      <c r="J4306" s="67">
        <v>1143</v>
      </c>
      <c r="K4306" s="25">
        <v>3.62</v>
      </c>
      <c r="L4306" s="46">
        <f>K4306*J4306</f>
        <v>4137.66</v>
      </c>
      <c r="M4306" s="162" t="s">
        <v>2219</v>
      </c>
      <c r="N4306" s="39">
        <v>46065</v>
      </c>
      <c r="O4306" s="38">
        <v>7749</v>
      </c>
      <c r="P4306" s="180">
        <f>K4306*(VLOOKUP(B4306,$C$2:$F$6,3,FALSE))</f>
        <v>3.1856</v>
      </c>
      <c r="Q4306" s="483">
        <v>3.19</v>
      </c>
      <c r="R4306" s="704">
        <f>Q4306*J4306</f>
        <v>3646.17</v>
      </c>
      <c r="S4306" s="489">
        <v>260</v>
      </c>
      <c r="T4306" s="113">
        <f>S4306*J4306</f>
        <v>297180</v>
      </c>
      <c r="U4306" s="517"/>
      <c r="V4306" s="494">
        <v>120</v>
      </c>
      <c r="W4306" s="2041">
        <f t="shared" si="377"/>
        <v>0.40147329650092084</v>
      </c>
    </row>
    <row r="4307" spans="1:23" s="314" customFormat="1" ht="15">
      <c r="A4307" s="1"/>
      <c r="B4307" s="313"/>
      <c r="C4307" s="302" t="s">
        <v>9115</v>
      </c>
      <c r="D4307" s="303" t="s">
        <v>9105</v>
      </c>
      <c r="E4307" s="304"/>
      <c r="F4307" s="305"/>
      <c r="G4307" s="305" t="s">
        <v>1227</v>
      </c>
      <c r="H4307" s="307" t="s">
        <v>1228</v>
      </c>
      <c r="I4307" s="308"/>
      <c r="J4307" s="306"/>
      <c r="K4307" s="315">
        <v>0</v>
      </c>
      <c r="L4307" s="310"/>
      <c r="M4307" s="310"/>
      <c r="N4307" s="310">
        <v>46065</v>
      </c>
      <c r="O4307" s="309">
        <v>7749</v>
      </c>
      <c r="P4307" s="302"/>
      <c r="Q4307" s="485">
        <v>0</v>
      </c>
      <c r="S4307" s="536">
        <v>0</v>
      </c>
      <c r="T4307" s="322">
        <v>0</v>
      </c>
      <c r="U4307" s="515"/>
      <c r="V4307" s="494">
        <v>120</v>
      </c>
      <c r="W4307" s="2041" t="e">
        <f t="shared" si="377"/>
        <v>#DIV/0!</v>
      </c>
    </row>
    <row r="4308" spans="1:23" s="7" customFormat="1" ht="15" customHeight="1">
      <c r="A4308" s="1"/>
      <c r="B4308" s="12"/>
      <c r="C4308" s="6" t="s">
        <v>9115</v>
      </c>
      <c r="D4308" s="15" t="s">
        <v>9105</v>
      </c>
      <c r="E4308" s="20" t="s">
        <v>8252</v>
      </c>
      <c r="F4308" s="26"/>
      <c r="G4308" s="24"/>
      <c r="H4308" s="67"/>
      <c r="I4308" s="68"/>
      <c r="J4308" s="67"/>
      <c r="K4308" s="17" t="s">
        <v>10</v>
      </c>
      <c r="L4308" s="39"/>
      <c r="M4308" s="39"/>
      <c r="N4308" s="39">
        <v>46031</v>
      </c>
      <c r="O4308" s="38">
        <v>7761</v>
      </c>
      <c r="P4308" s="180" t="e">
        <f>K4308*(VLOOKUP(B4308,$C$2:$F$6,3,FALSE))</f>
        <v>#VALUE!</v>
      </c>
      <c r="Q4308" s="483"/>
      <c r="R4308" s="704"/>
      <c r="S4308" s="2533"/>
      <c r="T4308" s="113">
        <f>S4308*J4308</f>
        <v>0</v>
      </c>
      <c r="U4308" s="517"/>
      <c r="V4308" s="494">
        <v>120</v>
      </c>
      <c r="W4308" s="2041" t="e">
        <f t="shared" ref="W4308:W4328" si="378">(((K4308*V4308)-S4308)/(K4308*V4308))</f>
        <v>#VALUE!</v>
      </c>
    </row>
    <row r="4309" spans="1:23" s="7" customFormat="1" ht="15.75" customHeight="1">
      <c r="A4309" s="1"/>
      <c r="B4309" s="12" t="s">
        <v>1856</v>
      </c>
      <c r="C4309" s="6" t="s">
        <v>9115</v>
      </c>
      <c r="D4309" s="15" t="s">
        <v>9105</v>
      </c>
      <c r="E4309" s="24" t="s">
        <v>9097</v>
      </c>
      <c r="F4309" s="26"/>
      <c r="G4309" s="24" t="s">
        <v>7694</v>
      </c>
      <c r="H4309" s="151"/>
      <c r="I4309" s="41"/>
      <c r="J4309" s="67">
        <v>20</v>
      </c>
      <c r="K4309" s="25">
        <v>3.62</v>
      </c>
      <c r="L4309" s="46">
        <f>K4309*J4309</f>
        <v>72.400000000000006</v>
      </c>
      <c r="M4309" s="162" t="s">
        <v>2219</v>
      </c>
      <c r="N4309" s="39">
        <v>46031</v>
      </c>
      <c r="O4309" s="38">
        <v>7761</v>
      </c>
      <c r="P4309" s="180">
        <f>K4309*(VLOOKUP(B4309,$C$2:$F$6,3,FALSE))</f>
        <v>3.1856</v>
      </c>
      <c r="Q4309" s="483">
        <v>3.19</v>
      </c>
      <c r="R4309" s="704">
        <f>Q4309*J4309</f>
        <v>63.8</v>
      </c>
      <c r="S4309" s="489">
        <v>260</v>
      </c>
      <c r="T4309" s="113">
        <f>S4309*J4309</f>
        <v>5200</v>
      </c>
      <c r="U4309" s="517"/>
      <c r="V4309" s="494">
        <v>120</v>
      </c>
      <c r="W4309" s="2041">
        <f t="shared" si="378"/>
        <v>0.40147329650092084</v>
      </c>
    </row>
    <row r="4310" spans="1:23" ht="18" customHeight="1">
      <c r="B4310" s="12" t="s">
        <v>1862</v>
      </c>
      <c r="C4310" s="6" t="s">
        <v>9115</v>
      </c>
      <c r="D4310" s="15" t="s">
        <v>9105</v>
      </c>
      <c r="E4310" s="24"/>
      <c r="F4310" s="138"/>
      <c r="G4310" s="44" t="s">
        <v>1993</v>
      </c>
      <c r="H4310" s="8"/>
      <c r="I4310" s="41"/>
      <c r="J4310" s="45">
        <v>1</v>
      </c>
      <c r="K4310" s="46">
        <v>0</v>
      </c>
      <c r="L4310" s="46">
        <f>K4310*J4310</f>
        <v>0</v>
      </c>
      <c r="M4310" s="112"/>
      <c r="N4310" s="39">
        <v>46031</v>
      </c>
      <c r="O4310" s="38">
        <v>7761</v>
      </c>
      <c r="P4310" s="46">
        <f>K4310*(VLOOKUP(B4310,$C$2:$F$6,3,FALSE))</f>
        <v>0</v>
      </c>
      <c r="Q4310" s="483">
        <v>0</v>
      </c>
      <c r="R4310" s="704">
        <f>Q4310*J4310</f>
        <v>0</v>
      </c>
      <c r="S4310" s="1011">
        <v>900</v>
      </c>
      <c r="T4310" s="2452">
        <f>S4310*J4310</f>
        <v>900</v>
      </c>
      <c r="U4310" s="511"/>
      <c r="V4310" s="494">
        <v>120</v>
      </c>
      <c r="W4310" s="2041" t="e">
        <f t="shared" si="378"/>
        <v>#DIV/0!</v>
      </c>
    </row>
    <row r="4311" spans="1:23" s="314" customFormat="1" ht="15">
      <c r="A4311" s="1"/>
      <c r="B4311" s="313"/>
      <c r="C4311" s="302" t="s">
        <v>9115</v>
      </c>
      <c r="D4311" s="303" t="s">
        <v>9105</v>
      </c>
      <c r="E4311" s="304"/>
      <c r="F4311" s="305"/>
      <c r="G4311" s="305" t="s">
        <v>1227</v>
      </c>
      <c r="H4311" s="307" t="s">
        <v>1228</v>
      </c>
      <c r="I4311" s="308"/>
      <c r="J4311" s="306"/>
      <c r="K4311" s="315">
        <v>0</v>
      </c>
      <c r="L4311" s="310"/>
      <c r="M4311" s="310"/>
      <c r="N4311" s="310">
        <v>46031</v>
      </c>
      <c r="O4311" s="309">
        <v>7761</v>
      </c>
      <c r="P4311" s="302"/>
      <c r="Q4311" s="485">
        <v>0</v>
      </c>
      <c r="S4311" s="536">
        <v>0</v>
      </c>
      <c r="T4311" s="322">
        <v>0</v>
      </c>
      <c r="U4311" s="515"/>
      <c r="V4311" s="494">
        <v>120</v>
      </c>
      <c r="W4311" s="2041" t="e">
        <f t="shared" si="378"/>
        <v>#DIV/0!</v>
      </c>
    </row>
    <row r="4312" spans="1:23" ht="15">
      <c r="C4312" s="6" t="s">
        <v>9116</v>
      </c>
      <c r="D4312" s="15" t="s">
        <v>1648</v>
      </c>
      <c r="E4312" s="20" t="s">
        <v>593</v>
      </c>
      <c r="F4312" s="26"/>
      <c r="G4312" s="24"/>
      <c r="H4312" s="16"/>
      <c r="I4312" s="68"/>
      <c r="J4312" s="67"/>
      <c r="K4312" s="17" t="s">
        <v>134</v>
      </c>
      <c r="L4312" s="39"/>
      <c r="M4312" s="39"/>
      <c r="N4312" s="213">
        <v>46044</v>
      </c>
      <c r="O4312" s="38">
        <v>7440</v>
      </c>
      <c r="P4312" s="6" t="s">
        <v>23</v>
      </c>
      <c r="Q4312" s="481"/>
      <c r="S4312" s="489"/>
      <c r="T4312" s="113"/>
      <c r="U4312" s="500"/>
      <c r="V4312" s="494">
        <v>120</v>
      </c>
      <c r="W4312" s="2041" t="e">
        <f t="shared" si="378"/>
        <v>#VALUE!</v>
      </c>
    </row>
    <row r="4313" spans="1:23" ht="15" customHeight="1">
      <c r="C4313" s="6" t="s">
        <v>9116</v>
      </c>
      <c r="D4313" s="15" t="s">
        <v>1648</v>
      </c>
      <c r="E4313" s="1012">
        <v>5610</v>
      </c>
      <c r="F4313" s="26"/>
      <c r="G4313" s="24" t="s">
        <v>1656</v>
      </c>
      <c r="H4313" s="67">
        <v>50</v>
      </c>
      <c r="I4313" s="68">
        <v>56</v>
      </c>
      <c r="J4313" s="67">
        <f>H4313*I4313</f>
        <v>2800</v>
      </c>
      <c r="K4313" s="25">
        <v>0.57999999999999996</v>
      </c>
      <c r="L4313" s="46">
        <f>K4313*J4313</f>
        <v>1624</v>
      </c>
      <c r="M4313" s="162" t="s">
        <v>2219</v>
      </c>
      <c r="N4313" s="2453">
        <v>46044</v>
      </c>
      <c r="O4313" s="38">
        <v>7440</v>
      </c>
      <c r="P4313" s="25">
        <f>K4313*0.88</f>
        <v>0.51039999999999996</v>
      </c>
      <c r="Q4313" s="482">
        <v>0.51</v>
      </c>
      <c r="R4313" s="704">
        <f>Q4313*J4313</f>
        <v>1428</v>
      </c>
      <c r="S4313" s="489">
        <v>27.5</v>
      </c>
      <c r="T4313" s="567">
        <f>S4313*J4313</f>
        <v>77000</v>
      </c>
      <c r="U4313" s="502"/>
      <c r="V4313" s="494">
        <v>120</v>
      </c>
      <c r="W4313" s="2041">
        <f t="shared" si="378"/>
        <v>0.60488505747126431</v>
      </c>
    </row>
    <row r="4314" spans="1:23" ht="15.75">
      <c r="C4314" s="6" t="s">
        <v>9116</v>
      </c>
      <c r="D4314" s="15" t="s">
        <v>1648</v>
      </c>
      <c r="E4314" s="1012">
        <v>5610</v>
      </c>
      <c r="F4314" s="26"/>
      <c r="G4314" s="24" t="s">
        <v>1657</v>
      </c>
      <c r="H4314" s="67">
        <v>50</v>
      </c>
      <c r="I4314" s="68">
        <v>32</v>
      </c>
      <c r="J4314" s="67">
        <f>H4314*I4314</f>
        <v>1600</v>
      </c>
      <c r="K4314" s="25">
        <v>0.57999999999999996</v>
      </c>
      <c r="L4314" s="46">
        <f>K4314*J4314</f>
        <v>927.99999999999989</v>
      </c>
      <c r="M4314" s="162" t="s">
        <v>2219</v>
      </c>
      <c r="N4314" s="2453">
        <v>46044</v>
      </c>
      <c r="O4314" s="38">
        <v>7440</v>
      </c>
      <c r="P4314" s="25">
        <f>K4314*0.88</f>
        <v>0.51039999999999996</v>
      </c>
      <c r="Q4314" s="482">
        <v>0.51</v>
      </c>
      <c r="R4314" s="704">
        <f>Q4314*J4314</f>
        <v>816</v>
      </c>
      <c r="S4314" s="489">
        <v>27.5</v>
      </c>
      <c r="T4314" s="567">
        <f>S4314*J4314</f>
        <v>44000</v>
      </c>
      <c r="U4314" s="502"/>
      <c r="V4314" s="494">
        <v>120</v>
      </c>
      <c r="W4314" s="2041">
        <f t="shared" si="378"/>
        <v>0.60488505747126431</v>
      </c>
    </row>
    <row r="4315" spans="1:23" s="218" customFormat="1" ht="15" customHeight="1">
      <c r="A4315" s="1"/>
      <c r="B4315" s="541"/>
      <c r="C4315" s="6" t="s">
        <v>9116</v>
      </c>
      <c r="D4315" s="15" t="s">
        <v>1648</v>
      </c>
      <c r="E4315" s="24"/>
      <c r="F4315" s="26"/>
      <c r="G4315" s="24" t="s">
        <v>31</v>
      </c>
      <c r="H4315" s="36"/>
      <c r="I4315" s="41"/>
      <c r="J4315" s="45">
        <v>1</v>
      </c>
      <c r="K4315" s="25">
        <v>12</v>
      </c>
      <c r="L4315" s="46">
        <f>K4315*J4315</f>
        <v>12</v>
      </c>
      <c r="M4315" s="162"/>
      <c r="N4315" s="213">
        <v>46044</v>
      </c>
      <c r="O4315" s="38">
        <v>7440</v>
      </c>
      <c r="P4315" s="216"/>
      <c r="Q4315" s="483">
        <v>12</v>
      </c>
      <c r="R4315" s="704">
        <f>Q4315*J4315</f>
        <v>12</v>
      </c>
      <c r="S4315" s="489">
        <v>0</v>
      </c>
      <c r="T4315" s="567">
        <f>S4315*J4315</f>
        <v>0</v>
      </c>
      <c r="U4315" s="504"/>
      <c r="V4315" s="494">
        <v>120</v>
      </c>
      <c r="W4315" s="2041">
        <f t="shared" si="378"/>
        <v>1</v>
      </c>
    </row>
    <row r="4316" spans="1:23" s="314" customFormat="1" ht="15">
      <c r="A4316" s="1"/>
      <c r="B4316" s="313"/>
      <c r="C4316" s="302" t="s">
        <v>9116</v>
      </c>
      <c r="D4316" s="303" t="s">
        <v>1648</v>
      </c>
      <c r="E4316" s="304"/>
      <c r="F4316" s="305"/>
      <c r="G4316" s="305" t="s">
        <v>1227</v>
      </c>
      <c r="H4316" s="307" t="s">
        <v>7805</v>
      </c>
      <c r="I4316" s="308"/>
      <c r="J4316" s="306"/>
      <c r="K4316" s="329">
        <v>280</v>
      </c>
      <c r="L4316" s="329">
        <v>280</v>
      </c>
      <c r="M4316" s="310"/>
      <c r="N4316" s="311">
        <v>46044</v>
      </c>
      <c r="O4316" s="309">
        <v>7440</v>
      </c>
      <c r="P4316" s="302"/>
      <c r="Q4316" s="329">
        <v>280</v>
      </c>
      <c r="R4316" s="329">
        <v>280</v>
      </c>
      <c r="S4316" s="489">
        <v>30185</v>
      </c>
      <c r="T4316" s="113">
        <v>30185</v>
      </c>
      <c r="U4316" s="515"/>
      <c r="V4316" s="494">
        <v>120</v>
      </c>
      <c r="W4316" s="2041">
        <f t="shared" si="378"/>
        <v>0.10163690476190476</v>
      </c>
    </row>
    <row r="4317" spans="1:23" s="7" customFormat="1" ht="18.600000000000001" customHeight="1">
      <c r="A4317" s="1"/>
      <c r="B4317" s="12"/>
      <c r="C4317" s="6" t="s">
        <v>9120</v>
      </c>
      <c r="D4317" s="15" t="s">
        <v>9066</v>
      </c>
      <c r="E4317" s="20" t="s">
        <v>1003</v>
      </c>
      <c r="F4317" s="24"/>
      <c r="G4317" s="44"/>
      <c r="H4317" s="151"/>
      <c r="I4317" s="151"/>
      <c r="J4317" s="151"/>
      <c r="K4317" s="153" t="s">
        <v>10</v>
      </c>
      <c r="L4317" s="39"/>
      <c r="M4317" s="162"/>
      <c r="N4317" s="2453">
        <v>46038</v>
      </c>
      <c r="O4317" s="38">
        <v>7762</v>
      </c>
      <c r="P4317" s="6"/>
      <c r="Q4317" s="411"/>
      <c r="S4317" s="489"/>
      <c r="T4317" s="113"/>
      <c r="U4317" s="501"/>
      <c r="V4317" s="494">
        <v>120</v>
      </c>
      <c r="W4317" s="2041" t="e">
        <f t="shared" si="378"/>
        <v>#VALUE!</v>
      </c>
    </row>
    <row r="4318" spans="1:23" s="7" customFormat="1" ht="15.95" customHeight="1">
      <c r="A4318" s="1"/>
      <c r="B4318" s="12" t="s">
        <v>1856</v>
      </c>
      <c r="C4318" s="6" t="s">
        <v>9120</v>
      </c>
      <c r="D4318" s="15" t="s">
        <v>9066</v>
      </c>
      <c r="E4318" s="1012" t="s">
        <v>8900</v>
      </c>
      <c r="F4318" s="44"/>
      <c r="G4318" s="44" t="s">
        <v>7694</v>
      </c>
      <c r="H4318" s="198">
        <v>13.7</v>
      </c>
      <c r="I4318" s="68">
        <v>4</v>
      </c>
      <c r="J4318" s="19">
        <f>I4318*H4318</f>
        <v>54.8</v>
      </c>
      <c r="K4318" s="46">
        <v>4.87</v>
      </c>
      <c r="L4318" s="46">
        <f>K4318*J4318</f>
        <v>266.87599999999998</v>
      </c>
      <c r="M4318" s="162" t="s">
        <v>2219</v>
      </c>
      <c r="N4318" s="2453">
        <v>46038</v>
      </c>
      <c r="O4318" s="38">
        <v>7762</v>
      </c>
      <c r="P4318" s="46">
        <f>K4318*(VLOOKUP(B4318,$C$2:$F$6,3,FALSE))</f>
        <v>4.2856000000000005</v>
      </c>
      <c r="Q4318" s="483">
        <v>4.29</v>
      </c>
      <c r="R4318" s="704">
        <f>Q4318*J4318</f>
        <v>235.09199999999998</v>
      </c>
      <c r="S4318" s="489">
        <v>350</v>
      </c>
      <c r="T4318" s="567">
        <f>S4318*J4318</f>
        <v>19180</v>
      </c>
      <c r="U4318" s="517"/>
      <c r="V4318" s="494">
        <v>120</v>
      </c>
      <c r="W4318" s="2041">
        <f t="shared" si="378"/>
        <v>0.40109514031485283</v>
      </c>
    </row>
    <row r="4319" spans="1:23" ht="18" customHeight="1">
      <c r="B4319" s="12" t="s">
        <v>1862</v>
      </c>
      <c r="C4319" s="6" t="s">
        <v>9120</v>
      </c>
      <c r="D4319" s="15" t="s">
        <v>9066</v>
      </c>
      <c r="E4319" s="24"/>
      <c r="F4319" s="138"/>
      <c r="G4319" s="44" t="s">
        <v>1993</v>
      </c>
      <c r="H4319" s="8"/>
      <c r="I4319" s="41"/>
      <c r="J4319" s="45">
        <v>1</v>
      </c>
      <c r="K4319" s="46">
        <v>12</v>
      </c>
      <c r="L4319" s="46">
        <f>K4319*J4319</f>
        <v>12</v>
      </c>
      <c r="M4319" s="112"/>
      <c r="N4319" s="39">
        <v>46038</v>
      </c>
      <c r="O4319" s="38">
        <v>7762</v>
      </c>
      <c r="P4319" s="46">
        <f>K4319*(VLOOKUP(B4319,$C$2:$F$6,3,FALSE))</f>
        <v>12</v>
      </c>
      <c r="Q4319" s="483">
        <v>12</v>
      </c>
      <c r="R4319" s="704">
        <f>Q4319*J4319</f>
        <v>12</v>
      </c>
      <c r="S4319" s="1011">
        <v>900</v>
      </c>
      <c r="T4319" s="2452">
        <f>S4319*J4319</f>
        <v>900</v>
      </c>
      <c r="U4319" s="511"/>
      <c r="V4319" s="494">
        <v>120</v>
      </c>
      <c r="W4319" s="2041">
        <f t="shared" si="378"/>
        <v>0.375</v>
      </c>
    </row>
    <row r="4320" spans="1:23" s="314" customFormat="1" ht="15">
      <c r="A4320" s="1"/>
      <c r="B4320" s="313"/>
      <c r="C4320" s="302" t="s">
        <v>9120</v>
      </c>
      <c r="D4320" s="303" t="s">
        <v>9066</v>
      </c>
      <c r="E4320" s="304"/>
      <c r="F4320" s="305"/>
      <c r="G4320" s="305" t="s">
        <v>1227</v>
      </c>
      <c r="H4320" s="307" t="s">
        <v>1228</v>
      </c>
      <c r="I4320" s="308"/>
      <c r="J4320" s="306"/>
      <c r="K4320" s="315">
        <v>0</v>
      </c>
      <c r="L4320" s="310"/>
      <c r="M4320" s="310"/>
      <c r="N4320" s="310">
        <v>46038</v>
      </c>
      <c r="O4320" s="309">
        <v>7762</v>
      </c>
      <c r="P4320" s="302"/>
      <c r="Q4320" s="485">
        <v>0</v>
      </c>
      <c r="S4320" s="536">
        <v>0</v>
      </c>
      <c r="T4320" s="322">
        <v>0</v>
      </c>
      <c r="U4320" s="515"/>
      <c r="V4320" s="494">
        <v>120</v>
      </c>
      <c r="W4320" s="2041" t="e">
        <f t="shared" si="378"/>
        <v>#DIV/0!</v>
      </c>
    </row>
    <row r="4321" spans="1:23" s="7" customFormat="1" ht="15" customHeight="1">
      <c r="A4321" s="1"/>
      <c r="B4321" s="12"/>
      <c r="C4321" s="6" t="s">
        <v>9126</v>
      </c>
      <c r="D4321" s="15" t="s">
        <v>9122</v>
      </c>
      <c r="E4321" s="20" t="s">
        <v>8252</v>
      </c>
      <c r="F4321" s="26"/>
      <c r="G4321" s="24"/>
      <c r="H4321" s="67"/>
      <c r="I4321" s="68"/>
      <c r="J4321" s="67"/>
      <c r="K4321" s="17" t="s">
        <v>10</v>
      </c>
      <c r="L4321" s="39"/>
      <c r="M4321" s="39"/>
      <c r="N4321" s="39">
        <v>46045</v>
      </c>
      <c r="O4321" s="38">
        <v>7808</v>
      </c>
      <c r="P4321" s="180" t="e">
        <f>K4321*(VLOOKUP(B4321,$C$2:$F$6,3,FALSE))</f>
        <v>#VALUE!</v>
      </c>
      <c r="Q4321" s="483"/>
      <c r="R4321" s="704"/>
      <c r="S4321" s="2533"/>
      <c r="T4321" s="113">
        <f>S4321*J4321</f>
        <v>0</v>
      </c>
      <c r="U4321" s="517"/>
      <c r="V4321" s="494">
        <v>120</v>
      </c>
      <c r="W4321" s="2041" t="e">
        <f t="shared" si="378"/>
        <v>#VALUE!</v>
      </c>
    </row>
    <row r="4322" spans="1:23" s="7" customFormat="1" ht="15.75" customHeight="1">
      <c r="A4322" s="1"/>
      <c r="B4322" s="12" t="s">
        <v>1856</v>
      </c>
      <c r="C4322" s="6" t="s">
        <v>9126</v>
      </c>
      <c r="D4322" s="15" t="s">
        <v>9122</v>
      </c>
      <c r="E4322" s="2451" t="s">
        <v>9123</v>
      </c>
      <c r="F4322" s="26"/>
      <c r="G4322" s="24" t="s">
        <v>7694</v>
      </c>
      <c r="H4322" s="151"/>
      <c r="I4322" s="41"/>
      <c r="J4322" s="67">
        <v>50</v>
      </c>
      <c r="K4322" s="25">
        <v>1.81</v>
      </c>
      <c r="L4322" s="46">
        <f>K4322*J4322</f>
        <v>90.5</v>
      </c>
      <c r="M4322" s="162" t="s">
        <v>2219</v>
      </c>
      <c r="N4322" s="39">
        <v>46045</v>
      </c>
      <c r="O4322" s="38">
        <v>7808</v>
      </c>
      <c r="P4322" s="180">
        <f>K4322*(VLOOKUP(B4322,$C$2:$F$6,3,FALSE))</f>
        <v>1.5928</v>
      </c>
      <c r="Q4322" s="483">
        <v>1.59</v>
      </c>
      <c r="R4322" s="704">
        <f>Q4322*J4322</f>
        <v>79.5</v>
      </c>
      <c r="S4322" s="489">
        <v>117</v>
      </c>
      <c r="T4322" s="113">
        <f>S4322*J4322</f>
        <v>5850</v>
      </c>
      <c r="U4322" s="517"/>
      <c r="V4322" s="494">
        <v>120</v>
      </c>
      <c r="W4322" s="2041">
        <f t="shared" si="378"/>
        <v>0.46132596685082877</v>
      </c>
    </row>
    <row r="4323" spans="1:23" ht="18" customHeight="1">
      <c r="B4323" s="12" t="s">
        <v>1862</v>
      </c>
      <c r="C4323" s="6" t="s">
        <v>9126</v>
      </c>
      <c r="D4323" s="15" t="s">
        <v>9122</v>
      </c>
      <c r="E4323" s="24"/>
      <c r="F4323" s="138"/>
      <c r="G4323" s="44" t="s">
        <v>1993</v>
      </c>
      <c r="H4323" s="8"/>
      <c r="I4323" s="41"/>
      <c r="J4323" s="45">
        <v>1</v>
      </c>
      <c r="K4323" s="46">
        <v>12</v>
      </c>
      <c r="L4323" s="46">
        <f>K4323*J4323</f>
        <v>12</v>
      </c>
      <c r="M4323" s="112"/>
      <c r="N4323" s="39">
        <v>46045</v>
      </c>
      <c r="O4323" s="38">
        <v>7808</v>
      </c>
      <c r="P4323" s="46">
        <f>K4323*(VLOOKUP(B4323,$C$2:$F$6,3,FALSE))</f>
        <v>12</v>
      </c>
      <c r="Q4323" s="483">
        <v>12</v>
      </c>
      <c r="R4323" s="704">
        <f>Q4323*J4323</f>
        <v>12</v>
      </c>
      <c r="S4323" s="1011">
        <v>0</v>
      </c>
      <c r="T4323" s="2452">
        <f>S4323*J4323</f>
        <v>0</v>
      </c>
      <c r="U4323" s="511"/>
      <c r="V4323" s="494">
        <v>120</v>
      </c>
      <c r="W4323" s="2041">
        <f t="shared" si="378"/>
        <v>1</v>
      </c>
    </row>
    <row r="4324" spans="1:23" s="314" customFormat="1" ht="15">
      <c r="A4324" s="1"/>
      <c r="B4324" s="313"/>
      <c r="C4324" s="302" t="s">
        <v>9126</v>
      </c>
      <c r="D4324" s="303" t="s">
        <v>9122</v>
      </c>
      <c r="E4324" s="304"/>
      <c r="F4324" s="305"/>
      <c r="G4324" s="305" t="s">
        <v>1227</v>
      </c>
      <c r="H4324" s="307" t="s">
        <v>1228</v>
      </c>
      <c r="I4324" s="308"/>
      <c r="J4324" s="306"/>
      <c r="K4324" s="315">
        <v>0</v>
      </c>
      <c r="L4324" s="310"/>
      <c r="M4324" s="310"/>
      <c r="N4324" s="310">
        <v>46045</v>
      </c>
      <c r="O4324" s="309">
        <v>7808</v>
      </c>
      <c r="P4324" s="302"/>
      <c r="Q4324" s="485">
        <v>0</v>
      </c>
      <c r="S4324" s="536">
        <v>0</v>
      </c>
      <c r="T4324" s="322">
        <v>0</v>
      </c>
      <c r="U4324" s="515"/>
      <c r="V4324" s="494">
        <v>120</v>
      </c>
      <c r="W4324" s="2041" t="e">
        <f t="shared" si="378"/>
        <v>#DIV/0!</v>
      </c>
    </row>
    <row r="4325" spans="1:23" ht="15">
      <c r="C4325" s="6" t="s">
        <v>9128</v>
      </c>
      <c r="D4325" s="15" t="s">
        <v>11</v>
      </c>
      <c r="E4325" s="20" t="s">
        <v>79</v>
      </c>
      <c r="F4325" s="150"/>
      <c r="G4325" s="24"/>
      <c r="H4325" s="151"/>
      <c r="I4325" s="152"/>
      <c r="J4325" s="151"/>
      <c r="K4325" s="153" t="s">
        <v>10</v>
      </c>
      <c r="L4325" s="39"/>
      <c r="M4325" s="39"/>
      <c r="N4325" s="39">
        <v>46050</v>
      </c>
      <c r="O4325" s="38">
        <v>7817</v>
      </c>
      <c r="P4325" s="15"/>
      <c r="Q4325" s="483"/>
      <c r="S4325" s="2503"/>
      <c r="T4325" s="113"/>
      <c r="V4325" s="494">
        <v>120</v>
      </c>
      <c r="W4325" s="2041" t="e">
        <f t="shared" si="378"/>
        <v>#VALUE!</v>
      </c>
    </row>
    <row r="4326" spans="1:23" ht="15.75">
      <c r="B4326" s="12" t="s">
        <v>1858</v>
      </c>
      <c r="C4326" s="6" t="s">
        <v>9128</v>
      </c>
      <c r="D4326" s="15" t="s">
        <v>11</v>
      </c>
      <c r="E4326" s="24" t="s">
        <v>8774</v>
      </c>
      <c r="F4326" s="150">
        <v>152</v>
      </c>
      <c r="G4326" s="24" t="s">
        <v>2601</v>
      </c>
      <c r="H4326" s="67">
        <v>68</v>
      </c>
      <c r="I4326" s="68">
        <v>8</v>
      </c>
      <c r="J4326" s="67">
        <f>H4326*I4326</f>
        <v>544</v>
      </c>
      <c r="K4326" s="46">
        <v>4.05</v>
      </c>
      <c r="L4326" s="46">
        <f>K4326*J4326</f>
        <v>2203.1999999999998</v>
      </c>
      <c r="M4326" s="162" t="s">
        <v>2219</v>
      </c>
      <c r="N4326" s="39">
        <v>46050</v>
      </c>
      <c r="O4326" s="38">
        <v>7817</v>
      </c>
      <c r="P4326" s="46">
        <f>K4326*(VLOOKUP(B4326,$C$2:$F$6,3,FALSE))</f>
        <v>3.8069999999999995</v>
      </c>
      <c r="Q4326" s="483">
        <v>3.81</v>
      </c>
      <c r="R4326" s="704">
        <f>Q4326*J4326</f>
        <v>2072.64</v>
      </c>
      <c r="S4326" s="489">
        <v>310</v>
      </c>
      <c r="T4326" s="567">
        <f>S4326*J4326</f>
        <v>168640</v>
      </c>
      <c r="V4326" s="494">
        <v>120</v>
      </c>
      <c r="W4326" s="2041">
        <f t="shared" si="378"/>
        <v>0.36213991769547327</v>
      </c>
    </row>
    <row r="4327" spans="1:23" s="217" customFormat="1" ht="15.95" customHeight="1">
      <c r="B4327" s="539"/>
      <c r="C4327" s="6" t="s">
        <v>9128</v>
      </c>
      <c r="D4327" s="15" t="s">
        <v>11</v>
      </c>
      <c r="E4327" s="56"/>
      <c r="F4327" s="160"/>
      <c r="G4327" s="42" t="s">
        <v>1993</v>
      </c>
      <c r="H4327" s="214"/>
      <c r="I4327" s="215"/>
      <c r="J4327" s="43">
        <v>1</v>
      </c>
      <c r="K4327" s="229">
        <v>20</v>
      </c>
      <c r="L4327" s="229">
        <v>0</v>
      </c>
      <c r="M4327" s="969"/>
      <c r="N4327" s="39">
        <v>46050</v>
      </c>
      <c r="O4327" s="38">
        <v>7817</v>
      </c>
      <c r="P4327" s="692"/>
      <c r="Q4327" s="970">
        <v>0</v>
      </c>
      <c r="R4327" s="970">
        <v>0</v>
      </c>
      <c r="S4327" s="498">
        <v>2500</v>
      </c>
      <c r="T4327" s="567">
        <f>S4327</f>
        <v>2500</v>
      </c>
      <c r="U4327" s="667"/>
      <c r="V4327" s="547">
        <v>120</v>
      </c>
      <c r="W4327" s="2051">
        <f t="shared" si="378"/>
        <v>-4.1666666666666664E-2</v>
      </c>
    </row>
    <row r="4328" spans="1:23" s="314" customFormat="1" ht="15" customHeight="1">
      <c r="A4328" s="1"/>
      <c r="B4328" s="313"/>
      <c r="C4328" s="302" t="s">
        <v>9128</v>
      </c>
      <c r="D4328" s="303" t="s">
        <v>11</v>
      </c>
      <c r="E4328" s="304"/>
      <c r="F4328" s="305"/>
      <c r="G4328" s="305" t="s">
        <v>1227</v>
      </c>
      <c r="H4328" s="307" t="s">
        <v>1228</v>
      </c>
      <c r="I4328" s="308"/>
      <c r="J4328" s="306"/>
      <c r="K4328" s="316">
        <v>0</v>
      </c>
      <c r="L4328" s="310"/>
      <c r="M4328" s="310"/>
      <c r="N4328" s="310">
        <v>46050</v>
      </c>
      <c r="O4328" s="309">
        <v>7817</v>
      </c>
      <c r="P4328" s="302"/>
      <c r="Q4328" s="485">
        <v>0</v>
      </c>
      <c r="S4328" s="536">
        <v>0</v>
      </c>
      <c r="T4328" s="322">
        <v>0</v>
      </c>
      <c r="U4328" s="515"/>
      <c r="V4328" s="494">
        <v>120</v>
      </c>
      <c r="W4328" s="2041" t="e">
        <f t="shared" si="378"/>
        <v>#DIV/0!</v>
      </c>
    </row>
    <row r="4329" spans="1:23" s="7" customFormat="1" ht="18.600000000000001" customHeight="1">
      <c r="A4329" s="1"/>
      <c r="B4329" s="12"/>
      <c r="C4329" s="6" t="s">
        <v>9133</v>
      </c>
      <c r="D4329" s="15" t="s">
        <v>5251</v>
      </c>
      <c r="E4329" s="20" t="s">
        <v>1003</v>
      </c>
      <c r="F4329" s="24"/>
      <c r="G4329" s="44"/>
      <c r="H4329" s="151"/>
      <c r="I4329" s="151"/>
      <c r="J4329" s="151"/>
      <c r="K4329" s="153" t="s">
        <v>10</v>
      </c>
      <c r="L4329" s="39"/>
      <c r="M4329" s="162"/>
      <c r="N4329" s="2453">
        <v>46049</v>
      </c>
      <c r="O4329" s="38">
        <v>7816</v>
      </c>
      <c r="P4329" s="6"/>
      <c r="Q4329" s="411"/>
      <c r="S4329" s="489"/>
      <c r="T4329" s="113"/>
      <c r="U4329" s="501"/>
      <c r="V4329" s="494">
        <v>120</v>
      </c>
      <c r="W4329" s="2041" t="e">
        <f t="shared" ref="W4329:W4337" si="379">(((K4329*V4329)-S4329)/(K4329*V4329))</f>
        <v>#VALUE!</v>
      </c>
    </row>
    <row r="4330" spans="1:23" s="7" customFormat="1" ht="15.95" customHeight="1">
      <c r="A4330" s="1"/>
      <c r="B4330" s="12" t="s">
        <v>1856</v>
      </c>
      <c r="C4330" s="6" t="s">
        <v>9133</v>
      </c>
      <c r="D4330" s="15" t="s">
        <v>5251</v>
      </c>
      <c r="E4330" s="1012" t="s">
        <v>8903</v>
      </c>
      <c r="F4330" s="44"/>
      <c r="G4330" s="44" t="s">
        <v>7694</v>
      </c>
      <c r="H4330" s="198">
        <v>13.7</v>
      </c>
      <c r="I4330" s="68">
        <v>3</v>
      </c>
      <c r="J4330" s="19">
        <f>I4330*H4330</f>
        <v>41.099999999999994</v>
      </c>
      <c r="K4330" s="46">
        <v>5.77</v>
      </c>
      <c r="L4330" s="46">
        <f t="shared" ref="L4330:L4336" si="380">K4330*J4330</f>
        <v>237.14699999999996</v>
      </c>
      <c r="M4330" s="162" t="s">
        <v>2219</v>
      </c>
      <c r="N4330" s="2453">
        <v>46049</v>
      </c>
      <c r="O4330" s="38">
        <v>7816</v>
      </c>
      <c r="P4330" s="46">
        <f t="shared" ref="P4330:P4336" si="381">K4330*(VLOOKUP(B4330,$C$2:$F$6,3,FALSE))</f>
        <v>5.0775999999999994</v>
      </c>
      <c r="Q4330" s="483">
        <v>5.08</v>
      </c>
      <c r="R4330" s="704">
        <f t="shared" ref="R4330:R4336" si="382">Q4330*J4330</f>
        <v>208.78799999999998</v>
      </c>
      <c r="S4330" s="489">
        <v>450</v>
      </c>
      <c r="T4330" s="567">
        <f t="shared" ref="T4330:T4336" si="383">S4330*J4330</f>
        <v>18494.999999999996</v>
      </c>
      <c r="U4330" s="517"/>
      <c r="V4330" s="494">
        <v>120</v>
      </c>
      <c r="W4330" s="2041">
        <f t="shared" si="379"/>
        <v>0.35008665511265163</v>
      </c>
    </row>
    <row r="4331" spans="1:23" s="7" customFormat="1" ht="15.95" customHeight="1">
      <c r="A4331" s="1"/>
      <c r="B4331" s="12" t="s">
        <v>1856</v>
      </c>
      <c r="C4331" s="6" t="s">
        <v>9133</v>
      </c>
      <c r="D4331" s="15" t="s">
        <v>5251</v>
      </c>
      <c r="E4331" s="1012" t="s">
        <v>8903</v>
      </c>
      <c r="F4331" s="44"/>
      <c r="G4331" s="44" t="s">
        <v>8653</v>
      </c>
      <c r="H4331" s="198">
        <v>13.7</v>
      </c>
      <c r="I4331" s="68">
        <v>3</v>
      </c>
      <c r="J4331" s="19">
        <f>I4331*H4331</f>
        <v>41.099999999999994</v>
      </c>
      <c r="K4331" s="46">
        <v>5.77</v>
      </c>
      <c r="L4331" s="46">
        <f t="shared" si="380"/>
        <v>237.14699999999996</v>
      </c>
      <c r="M4331" s="162" t="s">
        <v>2219</v>
      </c>
      <c r="N4331" s="2453">
        <v>46057</v>
      </c>
      <c r="O4331" s="38">
        <v>7839</v>
      </c>
      <c r="P4331" s="46">
        <f t="shared" si="381"/>
        <v>5.0775999999999994</v>
      </c>
      <c r="Q4331" s="483">
        <v>5.08</v>
      </c>
      <c r="R4331" s="704">
        <f t="shared" si="382"/>
        <v>208.78799999999998</v>
      </c>
      <c r="S4331" s="489">
        <v>450</v>
      </c>
      <c r="T4331" s="567">
        <f t="shared" si="383"/>
        <v>18494.999999999996</v>
      </c>
      <c r="U4331" s="517"/>
      <c r="V4331" s="494">
        <v>120</v>
      </c>
      <c r="W4331" s="2041">
        <f>(((K4331*V4331)-S4331)/(K4331*V4331))</f>
        <v>0.35008665511265163</v>
      </c>
    </row>
    <row r="4332" spans="1:23" ht="18" customHeight="1">
      <c r="B4332" s="12" t="s">
        <v>1862</v>
      </c>
      <c r="C4332" s="6" t="s">
        <v>9133</v>
      </c>
      <c r="D4332" s="15" t="s">
        <v>5251</v>
      </c>
      <c r="E4332" s="56"/>
      <c r="F4332" s="138"/>
      <c r="G4332" s="44" t="s">
        <v>3334</v>
      </c>
      <c r="H4332" s="8"/>
      <c r="I4332" s="41"/>
      <c r="J4332" s="45">
        <v>1</v>
      </c>
      <c r="K4332" s="46">
        <v>160</v>
      </c>
      <c r="L4332" s="46">
        <f t="shared" si="380"/>
        <v>160</v>
      </c>
      <c r="M4332" s="112"/>
      <c r="N4332" s="2453">
        <v>46057</v>
      </c>
      <c r="O4332" s="38">
        <v>7839</v>
      </c>
      <c r="P4332" s="46">
        <f t="shared" si="381"/>
        <v>160</v>
      </c>
      <c r="Q4332" s="483">
        <v>160</v>
      </c>
      <c r="R4332" s="704">
        <f t="shared" si="382"/>
        <v>160</v>
      </c>
      <c r="S4332" s="489">
        <v>15000</v>
      </c>
      <c r="T4332" s="113">
        <f t="shared" si="383"/>
        <v>15000</v>
      </c>
      <c r="U4332" s="511"/>
      <c r="V4332" s="494">
        <v>120</v>
      </c>
      <c r="W4332" s="2041">
        <f>(((K4332*V4332)-S4332)/(K4332*V4332))</f>
        <v>0.21875</v>
      </c>
    </row>
    <row r="4333" spans="1:23" s="7" customFormat="1" ht="15.95" customHeight="1">
      <c r="A4333" s="1"/>
      <c r="B4333" s="12" t="s">
        <v>1856</v>
      </c>
      <c r="C4333" s="6" t="s">
        <v>9133</v>
      </c>
      <c r="D4333" s="15" t="s">
        <v>5251</v>
      </c>
      <c r="E4333" s="1012" t="s">
        <v>9130</v>
      </c>
      <c r="F4333" s="44"/>
      <c r="G4333" s="44" t="s">
        <v>7694</v>
      </c>
      <c r="H4333" s="198"/>
      <c r="I4333" s="68"/>
      <c r="J4333" s="67">
        <v>40</v>
      </c>
      <c r="K4333" s="46">
        <v>4.8</v>
      </c>
      <c r="L4333" s="46">
        <f t="shared" si="380"/>
        <v>192</v>
      </c>
      <c r="M4333" s="162" t="s">
        <v>2219</v>
      </c>
      <c r="N4333" s="2453">
        <v>46049</v>
      </c>
      <c r="O4333" s="38">
        <v>7816</v>
      </c>
      <c r="P4333" s="46">
        <f t="shared" si="381"/>
        <v>4.2240000000000002</v>
      </c>
      <c r="Q4333" s="483">
        <v>4.22</v>
      </c>
      <c r="R4333" s="704">
        <f t="shared" si="382"/>
        <v>168.79999999999998</v>
      </c>
      <c r="S4333" s="489">
        <v>336</v>
      </c>
      <c r="T4333" s="567">
        <f t="shared" si="383"/>
        <v>13440</v>
      </c>
      <c r="U4333" s="517"/>
      <c r="V4333" s="494">
        <v>120</v>
      </c>
      <c r="W4333" s="2041">
        <f>(((K4333*V4333)-S4333)/(K4333*V4333))</f>
        <v>0.41666666666666669</v>
      </c>
    </row>
    <row r="4334" spans="1:23" s="7" customFormat="1" ht="15.95" customHeight="1">
      <c r="A4334" s="1"/>
      <c r="B4334" s="12" t="s">
        <v>1856</v>
      </c>
      <c r="C4334" s="6" t="s">
        <v>9133</v>
      </c>
      <c r="D4334" s="15" t="s">
        <v>5251</v>
      </c>
      <c r="E4334" s="1012" t="s">
        <v>9130</v>
      </c>
      <c r="F4334" s="44"/>
      <c r="G4334" s="44" t="s">
        <v>8653</v>
      </c>
      <c r="H4334" s="198"/>
      <c r="I4334" s="68"/>
      <c r="J4334" s="67">
        <v>40</v>
      </c>
      <c r="K4334" s="46">
        <v>4.8</v>
      </c>
      <c r="L4334" s="46">
        <f t="shared" si="380"/>
        <v>192</v>
      </c>
      <c r="M4334" s="162" t="s">
        <v>2219</v>
      </c>
      <c r="N4334" s="2453">
        <v>46057</v>
      </c>
      <c r="O4334" s="38">
        <v>7839</v>
      </c>
      <c r="P4334" s="46">
        <f t="shared" si="381"/>
        <v>4.2240000000000002</v>
      </c>
      <c r="Q4334" s="483">
        <v>4.22</v>
      </c>
      <c r="R4334" s="704">
        <f t="shared" si="382"/>
        <v>168.79999999999998</v>
      </c>
      <c r="S4334" s="489">
        <v>336</v>
      </c>
      <c r="T4334" s="567">
        <f t="shared" si="383"/>
        <v>13440</v>
      </c>
      <c r="U4334" s="517"/>
      <c r="V4334" s="494">
        <v>120</v>
      </c>
      <c r="W4334" s="2041">
        <f>(((K4334*V4334)-S4334)/(K4334*V4334))</f>
        <v>0.41666666666666669</v>
      </c>
    </row>
    <row r="4335" spans="1:23" ht="18" customHeight="1">
      <c r="B4335" s="12" t="s">
        <v>1862</v>
      </c>
      <c r="C4335" s="6" t="s">
        <v>9133</v>
      </c>
      <c r="D4335" s="15" t="s">
        <v>5251</v>
      </c>
      <c r="E4335" s="24"/>
      <c r="F4335" s="138"/>
      <c r="G4335" s="44" t="s">
        <v>3334</v>
      </c>
      <c r="H4335" s="8"/>
      <c r="I4335" s="41"/>
      <c r="J4335" s="45">
        <v>1</v>
      </c>
      <c r="K4335" s="46">
        <v>115</v>
      </c>
      <c r="L4335" s="46">
        <f t="shared" si="380"/>
        <v>115</v>
      </c>
      <c r="M4335" s="112"/>
      <c r="N4335" s="2453">
        <v>46057</v>
      </c>
      <c r="O4335" s="38">
        <v>7839</v>
      </c>
      <c r="P4335" s="46">
        <f t="shared" si="381"/>
        <v>115</v>
      </c>
      <c r="Q4335" s="483">
        <v>115</v>
      </c>
      <c r="R4335" s="704">
        <f t="shared" si="382"/>
        <v>115</v>
      </c>
      <c r="S4335" s="489">
        <v>11000</v>
      </c>
      <c r="T4335" s="113">
        <f t="shared" si="383"/>
        <v>11000</v>
      </c>
      <c r="U4335" s="511"/>
      <c r="V4335" s="494">
        <v>120</v>
      </c>
      <c r="W4335" s="2041">
        <f>(((K4335*V4335)-S4335)/(K4335*V4335))</f>
        <v>0.20289855072463769</v>
      </c>
    </row>
    <row r="4336" spans="1:23" ht="18" customHeight="1">
      <c r="B4336" s="12" t="s">
        <v>1862</v>
      </c>
      <c r="C4336" s="6" t="s">
        <v>9133</v>
      </c>
      <c r="D4336" s="15" t="s">
        <v>5251</v>
      </c>
      <c r="E4336" s="24"/>
      <c r="F4336" s="138"/>
      <c r="G4336" s="44" t="s">
        <v>1993</v>
      </c>
      <c r="H4336" s="8"/>
      <c r="I4336" s="41"/>
      <c r="J4336" s="45">
        <v>1</v>
      </c>
      <c r="K4336" s="46">
        <v>24</v>
      </c>
      <c r="L4336" s="46">
        <f t="shared" si="380"/>
        <v>24</v>
      </c>
      <c r="M4336" s="112"/>
      <c r="N4336" s="39">
        <v>46049</v>
      </c>
      <c r="O4336" s="38">
        <v>7816</v>
      </c>
      <c r="P4336" s="46">
        <f t="shared" si="381"/>
        <v>24</v>
      </c>
      <c r="Q4336" s="483">
        <v>24</v>
      </c>
      <c r="R4336" s="704">
        <f t="shared" si="382"/>
        <v>24</v>
      </c>
      <c r="S4336" s="1011">
        <f>900+0</f>
        <v>900</v>
      </c>
      <c r="T4336" s="2452">
        <f t="shared" si="383"/>
        <v>900</v>
      </c>
      <c r="U4336" s="511"/>
      <c r="V4336" s="494">
        <v>120</v>
      </c>
      <c r="W4336" s="2041">
        <f t="shared" si="379"/>
        <v>0.6875</v>
      </c>
    </row>
    <row r="4337" spans="1:23" s="314" customFormat="1" ht="15">
      <c r="A4337" s="1"/>
      <c r="B4337" s="313"/>
      <c r="C4337" s="302" t="s">
        <v>9133</v>
      </c>
      <c r="D4337" s="303" t="s">
        <v>5251</v>
      </c>
      <c r="E4337" s="304"/>
      <c r="F4337" s="305"/>
      <c r="G4337" s="305" t="s">
        <v>1227</v>
      </c>
      <c r="H4337" s="307" t="s">
        <v>1228</v>
      </c>
      <c r="I4337" s="308"/>
      <c r="J4337" s="306"/>
      <c r="K4337" s="315">
        <v>0</v>
      </c>
      <c r="L4337" s="310"/>
      <c r="M4337" s="310"/>
      <c r="N4337" s="310">
        <v>46049</v>
      </c>
      <c r="O4337" s="309">
        <v>7816</v>
      </c>
      <c r="P4337" s="302"/>
      <c r="Q4337" s="485">
        <v>0</v>
      </c>
      <c r="S4337" s="536">
        <v>0</v>
      </c>
      <c r="T4337" s="322">
        <v>0</v>
      </c>
      <c r="U4337" s="515"/>
      <c r="V4337" s="494">
        <v>120</v>
      </c>
      <c r="W4337" s="2041" t="e">
        <f t="shared" si="379"/>
        <v>#DIV/0!</v>
      </c>
    </row>
    <row r="4338" spans="1:23" s="7" customFormat="1" ht="18.600000000000001" customHeight="1">
      <c r="A4338" s="1"/>
      <c r="B4338" s="12"/>
      <c r="C4338" s="6" t="s">
        <v>9190</v>
      </c>
      <c r="D4338" s="15" t="s">
        <v>6992</v>
      </c>
      <c r="E4338" s="20" t="s">
        <v>1003</v>
      </c>
      <c r="F4338" s="24"/>
      <c r="G4338" s="44"/>
      <c r="H4338" s="151"/>
      <c r="I4338" s="151"/>
      <c r="J4338" s="151"/>
      <c r="K4338" s="153" t="s">
        <v>10</v>
      </c>
      <c r="L4338" s="39"/>
      <c r="M4338" s="162"/>
      <c r="N4338" s="2453">
        <v>46066</v>
      </c>
      <c r="O4338" s="38">
        <v>7885</v>
      </c>
      <c r="P4338" s="6"/>
      <c r="Q4338" s="411"/>
      <c r="S4338" s="489"/>
      <c r="T4338" s="113"/>
      <c r="U4338" s="501"/>
      <c r="V4338" s="494">
        <v>120</v>
      </c>
      <c r="W4338" s="2041" t="e">
        <f t="shared" ref="W4338:W4345" si="384">(((K4338*V4338)-S4338)/(K4338*V4338))</f>
        <v>#VALUE!</v>
      </c>
    </row>
    <row r="4339" spans="1:23" s="7" customFormat="1" ht="15.95" customHeight="1">
      <c r="A4339" s="1"/>
      <c r="B4339" s="12" t="s">
        <v>1862</v>
      </c>
      <c r="C4339" s="6" t="s">
        <v>9190</v>
      </c>
      <c r="D4339" s="15" t="s">
        <v>6992</v>
      </c>
      <c r="E4339" s="20" t="s">
        <v>9148</v>
      </c>
      <c r="F4339" s="44"/>
      <c r="G4339" s="44" t="s">
        <v>9135</v>
      </c>
      <c r="H4339" s="8"/>
      <c r="I4339" s="41"/>
      <c r="J4339" s="45">
        <v>1</v>
      </c>
      <c r="K4339" s="46">
        <v>85</v>
      </c>
      <c r="L4339" s="46">
        <f>K4339*J4339</f>
        <v>85</v>
      </c>
      <c r="M4339" s="162" t="s">
        <v>2219</v>
      </c>
      <c r="N4339" s="2453">
        <v>46066</v>
      </c>
      <c r="O4339" s="38">
        <v>7885</v>
      </c>
      <c r="P4339" s="46">
        <f>K4339*(VLOOKUP(B4339,$C$2:$F$6,3,FALSE))</f>
        <v>85</v>
      </c>
      <c r="Q4339" s="483">
        <v>85</v>
      </c>
      <c r="R4339" s="704">
        <f>Q4339*J4339</f>
        <v>85</v>
      </c>
      <c r="S4339" s="489">
        <v>6000</v>
      </c>
      <c r="T4339" s="567">
        <f>S4339*J4339</f>
        <v>6000</v>
      </c>
      <c r="U4339" s="517"/>
      <c r="V4339" s="494">
        <v>120</v>
      </c>
      <c r="W4339" s="2041">
        <f t="shared" si="384"/>
        <v>0.41176470588235292</v>
      </c>
    </row>
    <row r="4340" spans="1:23" s="7" customFormat="1" ht="15.95" customHeight="1">
      <c r="A4340" s="1"/>
      <c r="B4340" s="12" t="s">
        <v>1862</v>
      </c>
      <c r="C4340" s="6" t="s">
        <v>9190</v>
      </c>
      <c r="D4340" s="15" t="s">
        <v>6992</v>
      </c>
      <c r="E4340" s="20" t="s">
        <v>9149</v>
      </c>
      <c r="F4340" s="44"/>
      <c r="G4340" s="44" t="s">
        <v>9135</v>
      </c>
      <c r="H4340" s="8"/>
      <c r="I4340" s="41"/>
      <c r="J4340" s="45">
        <v>1</v>
      </c>
      <c r="K4340" s="46">
        <v>85</v>
      </c>
      <c r="L4340" s="46">
        <f>K4340*J4340</f>
        <v>85</v>
      </c>
      <c r="M4340" s="162" t="s">
        <v>2219</v>
      </c>
      <c r="N4340" s="2453">
        <v>46066</v>
      </c>
      <c r="O4340" s="38">
        <v>7885</v>
      </c>
      <c r="P4340" s="46">
        <f>K4340*(VLOOKUP(B4340,$C$2:$F$6,3,FALSE))</f>
        <v>85</v>
      </c>
      <c r="Q4340" s="483">
        <v>85</v>
      </c>
      <c r="R4340" s="704">
        <f>Q4340*J4340</f>
        <v>85</v>
      </c>
      <c r="S4340" s="489">
        <v>6000</v>
      </c>
      <c r="T4340" s="567">
        <f>S4340*J4340</f>
        <v>6000</v>
      </c>
      <c r="U4340" s="517"/>
      <c r="V4340" s="494">
        <v>120</v>
      </c>
      <c r="W4340" s="2041">
        <f>(((K4340*V4340)-S4340)/(K4340*V4340))</f>
        <v>0.41176470588235292</v>
      </c>
    </row>
    <row r="4341" spans="1:23" s="7" customFormat="1" ht="18.600000000000001" customHeight="1">
      <c r="A4341" s="1"/>
      <c r="B4341" s="12"/>
      <c r="C4341" s="6" t="s">
        <v>9165</v>
      </c>
      <c r="D4341" s="15" t="s">
        <v>6992</v>
      </c>
      <c r="E4341" s="20" t="s">
        <v>1003</v>
      </c>
      <c r="F4341" s="24"/>
      <c r="G4341" s="44"/>
      <c r="H4341" s="151"/>
      <c r="I4341" s="151"/>
      <c r="J4341" s="151"/>
      <c r="K4341" s="153" t="s">
        <v>10</v>
      </c>
      <c r="L4341" s="39"/>
      <c r="M4341" s="162"/>
      <c r="N4341" s="2453">
        <v>46077</v>
      </c>
      <c r="O4341" s="38">
        <v>7886</v>
      </c>
      <c r="P4341" s="6"/>
      <c r="Q4341" s="411"/>
      <c r="S4341" s="489"/>
      <c r="T4341" s="113"/>
      <c r="U4341" s="501"/>
      <c r="V4341" s="494">
        <v>120</v>
      </c>
      <c r="W4341" s="2041" t="e">
        <f t="shared" ref="W4341" si="385">(((K4341*V4341)-S4341)/(K4341*V4341))</f>
        <v>#VALUE!</v>
      </c>
    </row>
    <row r="4342" spans="1:23" s="7" customFormat="1" ht="15.95" customHeight="1">
      <c r="A4342" s="1"/>
      <c r="B4342" s="12" t="s">
        <v>1856</v>
      </c>
      <c r="C4342" s="6" t="s">
        <v>9165</v>
      </c>
      <c r="D4342" s="15" t="s">
        <v>6992</v>
      </c>
      <c r="E4342" s="20" t="s">
        <v>9159</v>
      </c>
      <c r="F4342" s="44"/>
      <c r="G4342" s="44" t="s">
        <v>9135</v>
      </c>
      <c r="H4342" s="8"/>
      <c r="I4342" s="41"/>
      <c r="J4342" s="67">
        <v>30</v>
      </c>
      <c r="K4342" s="46">
        <v>3.13</v>
      </c>
      <c r="L4342" s="46">
        <f>K4342*J4342</f>
        <v>93.899999999999991</v>
      </c>
      <c r="M4342" s="162" t="s">
        <v>2219</v>
      </c>
      <c r="N4342" s="2453">
        <v>46077</v>
      </c>
      <c r="O4342" s="38">
        <v>7886</v>
      </c>
      <c r="P4342" s="46">
        <f>K4342*(VLOOKUP(B4342,$C$2:$F$6,3,FALSE))</f>
        <v>2.7544</v>
      </c>
      <c r="Q4342" s="483">
        <v>2.75</v>
      </c>
      <c r="R4342" s="704">
        <f>Q4342*J4342</f>
        <v>82.5</v>
      </c>
      <c r="S4342" s="489">
        <v>225</v>
      </c>
      <c r="T4342" s="567">
        <f>S4342*J4342</f>
        <v>6750</v>
      </c>
      <c r="U4342" s="517"/>
      <c r="V4342" s="494">
        <v>120</v>
      </c>
      <c r="W4342" s="2041">
        <f>(((K4342*V4342)-S4342)/(K4342*V4342))</f>
        <v>0.40095846645367406</v>
      </c>
    </row>
    <row r="4343" spans="1:23" s="314" customFormat="1" ht="15">
      <c r="A4343" s="1"/>
      <c r="B4343" s="313"/>
      <c r="C4343" s="302" t="s">
        <v>9134</v>
      </c>
      <c r="D4343" s="303" t="s">
        <v>6992</v>
      </c>
      <c r="E4343" s="304"/>
      <c r="F4343" s="305"/>
      <c r="G4343" s="305" t="s">
        <v>1227</v>
      </c>
      <c r="H4343" s="307" t="s">
        <v>1228</v>
      </c>
      <c r="I4343" s="308"/>
      <c r="J4343" s="306"/>
      <c r="K4343" s="315">
        <v>0</v>
      </c>
      <c r="L4343" s="310"/>
      <c r="M4343" s="310"/>
      <c r="N4343" s="310">
        <v>46077</v>
      </c>
      <c r="O4343" s="309">
        <v>7886</v>
      </c>
      <c r="P4343" s="302"/>
      <c r="Q4343" s="485">
        <v>0</v>
      </c>
      <c r="S4343" s="536">
        <v>0</v>
      </c>
      <c r="T4343" s="322">
        <v>0</v>
      </c>
      <c r="U4343" s="515"/>
      <c r="V4343" s="494">
        <v>120</v>
      </c>
      <c r="W4343" s="2041" t="e">
        <f t="shared" si="384"/>
        <v>#DIV/0!</v>
      </c>
    </row>
    <row r="4344" spans="1:23" s="7" customFormat="1" ht="18.600000000000001" customHeight="1">
      <c r="A4344" s="1"/>
      <c r="B4344" s="12"/>
      <c r="C4344" s="6" t="s">
        <v>9136</v>
      </c>
      <c r="D4344" s="15" t="s">
        <v>8715</v>
      </c>
      <c r="E4344" s="20" t="s">
        <v>1003</v>
      </c>
      <c r="F4344" s="24"/>
      <c r="G4344" s="44"/>
      <c r="H4344" s="151"/>
      <c r="I4344" s="151"/>
      <c r="J4344" s="151"/>
      <c r="K4344" s="153" t="s">
        <v>10</v>
      </c>
      <c r="L4344" s="39"/>
      <c r="M4344" s="162"/>
      <c r="N4344" s="39"/>
      <c r="O4344" s="38"/>
      <c r="P4344" s="6"/>
      <c r="Q4344" s="411"/>
      <c r="S4344" s="489"/>
      <c r="T4344" s="113"/>
      <c r="U4344" s="501"/>
      <c r="V4344" s="494">
        <v>120</v>
      </c>
      <c r="W4344" s="2041" t="e">
        <f t="shared" si="384"/>
        <v>#VALUE!</v>
      </c>
    </row>
    <row r="4345" spans="1:23" s="7" customFormat="1" ht="15.95" customHeight="1">
      <c r="A4345" s="1"/>
      <c r="B4345" s="12" t="s">
        <v>1856</v>
      </c>
      <c r="C4345" s="6" t="s">
        <v>9136</v>
      </c>
      <c r="D4345" s="15" t="s">
        <v>8715</v>
      </c>
      <c r="E4345" s="56" t="s">
        <v>2611</v>
      </c>
      <c r="F4345" s="44"/>
      <c r="G4345" s="44" t="s">
        <v>7694</v>
      </c>
      <c r="H4345" s="8">
        <v>14</v>
      </c>
      <c r="I4345" s="68">
        <v>15</v>
      </c>
      <c r="J4345" s="67">
        <f>I4345*H4345</f>
        <v>210</v>
      </c>
      <c r="K4345" s="46">
        <v>3.89</v>
      </c>
      <c r="L4345" s="46">
        <f>K4345*J4345</f>
        <v>816.9</v>
      </c>
      <c r="M4345" s="162" t="s">
        <v>2219</v>
      </c>
      <c r="N4345" s="2333" t="s">
        <v>1389</v>
      </c>
      <c r="O4345" s="2671" t="s">
        <v>9204</v>
      </c>
      <c r="P4345" s="46">
        <f>K4345*(VLOOKUP(B4345,$C$2:$F$6,3,FALSE))</f>
        <v>3.4232</v>
      </c>
      <c r="Q4345" s="483">
        <v>3.42</v>
      </c>
      <c r="R4345" s="704">
        <f>Q4345*J4345</f>
        <v>718.19999999999993</v>
      </c>
      <c r="S4345" s="489">
        <v>280</v>
      </c>
      <c r="T4345" s="567">
        <f>S4345*J4345</f>
        <v>58800</v>
      </c>
      <c r="U4345" s="517"/>
      <c r="V4345" s="494">
        <v>120</v>
      </c>
      <c r="W4345" s="2041">
        <f t="shared" si="384"/>
        <v>0.40017137960582694</v>
      </c>
    </row>
    <row r="4346" spans="1:23" ht="18" customHeight="1">
      <c r="B4346" s="12" t="s">
        <v>1862</v>
      </c>
      <c r="C4346" s="6" t="s">
        <v>9136</v>
      </c>
      <c r="D4346" s="15" t="s">
        <v>8715</v>
      </c>
      <c r="E4346" s="24"/>
      <c r="F4346" s="138"/>
      <c r="G4346" s="44" t="s">
        <v>1993</v>
      </c>
      <c r="H4346" s="8"/>
      <c r="I4346" s="41"/>
      <c r="J4346" s="45">
        <v>1</v>
      </c>
      <c r="K4346" s="46">
        <v>12</v>
      </c>
      <c r="L4346" s="46">
        <f>K4346*J4346</f>
        <v>12</v>
      </c>
      <c r="M4346" s="112"/>
      <c r="N4346" s="39"/>
      <c r="O4346" s="38"/>
      <c r="P4346" s="46">
        <f>K4346*(VLOOKUP(B4346,$C$2:$F$6,3,FALSE))</f>
        <v>12</v>
      </c>
      <c r="Q4346" s="483">
        <v>12</v>
      </c>
      <c r="R4346" s="704">
        <f>Q4346*J4346</f>
        <v>12</v>
      </c>
      <c r="S4346" s="490">
        <v>900</v>
      </c>
      <c r="T4346" s="1176">
        <f>S4346*J4346</f>
        <v>900</v>
      </c>
      <c r="U4346" s="511"/>
      <c r="V4346" s="494">
        <v>120</v>
      </c>
      <c r="W4346" s="2041">
        <f t="shared" ref="W4346:W4351" si="386">(((K4346*V4346)-S4346)/(K4346*V4346))</f>
        <v>0.375</v>
      </c>
    </row>
    <row r="4347" spans="1:23" s="314" customFormat="1" ht="15">
      <c r="A4347" s="1"/>
      <c r="B4347" s="313"/>
      <c r="C4347" s="302" t="s">
        <v>9136</v>
      </c>
      <c r="D4347" s="303" t="s">
        <v>8715</v>
      </c>
      <c r="E4347" s="304"/>
      <c r="F4347" s="305"/>
      <c r="G4347" s="305" t="s">
        <v>1227</v>
      </c>
      <c r="H4347" s="307" t="s">
        <v>3438</v>
      </c>
      <c r="I4347" s="308"/>
      <c r="J4347" s="306"/>
      <c r="K4347" s="315">
        <v>100</v>
      </c>
      <c r="L4347" s="315">
        <v>100</v>
      </c>
      <c r="M4347" s="310"/>
      <c r="N4347" s="310"/>
      <c r="O4347" s="309"/>
      <c r="P4347" s="302"/>
      <c r="Q4347" s="315">
        <v>100</v>
      </c>
      <c r="R4347" s="315">
        <v>100</v>
      </c>
      <c r="S4347" s="536" t="s">
        <v>9143</v>
      </c>
      <c r="T4347" s="536" t="s">
        <v>9143</v>
      </c>
      <c r="U4347" s="515"/>
      <c r="V4347" s="494">
        <v>120</v>
      </c>
      <c r="W4347" s="2041" t="e">
        <f t="shared" si="386"/>
        <v>#VALUE!</v>
      </c>
    </row>
    <row r="4348" spans="1:23" s="7" customFormat="1" ht="15">
      <c r="B4348" s="12"/>
      <c r="C4348" s="6" t="s">
        <v>9152</v>
      </c>
      <c r="D4348" s="15" t="s">
        <v>8033</v>
      </c>
      <c r="E4348" s="20" t="s">
        <v>408</v>
      </c>
      <c r="F4348" s="44"/>
      <c r="G4348" s="44"/>
      <c r="H4348" s="151"/>
      <c r="I4348" s="151"/>
      <c r="J4348" s="151"/>
      <c r="K4348" s="17" t="s">
        <v>134</v>
      </c>
      <c r="L4348" s="39"/>
      <c r="M4348" s="39"/>
      <c r="N4348" s="39">
        <v>46057</v>
      </c>
      <c r="O4348" s="38">
        <v>7847</v>
      </c>
      <c r="P4348" s="6"/>
      <c r="Q4348" s="524"/>
      <c r="S4348" s="489"/>
      <c r="T4348" s="113"/>
      <c r="U4348" s="501"/>
      <c r="V4348" s="494">
        <v>120</v>
      </c>
      <c r="W4348" s="2041" t="e">
        <f t="shared" si="386"/>
        <v>#VALUE!</v>
      </c>
    </row>
    <row r="4349" spans="1:23" s="7" customFormat="1" ht="15" customHeight="1">
      <c r="B4349" s="12" t="s">
        <v>1856</v>
      </c>
      <c r="C4349" s="6" t="s">
        <v>9152</v>
      </c>
      <c r="D4349" s="15" t="s">
        <v>8033</v>
      </c>
      <c r="E4349" s="1012" t="s">
        <v>1220</v>
      </c>
      <c r="F4349" s="26"/>
      <c r="G4349" s="24" t="s">
        <v>17</v>
      </c>
      <c r="H4349" s="67">
        <v>50</v>
      </c>
      <c r="I4349" s="68">
        <v>1</v>
      </c>
      <c r="J4349" s="8">
        <f>H4349*I4349</f>
        <v>50</v>
      </c>
      <c r="K4349" s="46">
        <v>0.44</v>
      </c>
      <c r="L4349" s="46">
        <f>K4349*J4349</f>
        <v>22</v>
      </c>
      <c r="M4349" s="162" t="s">
        <v>2219</v>
      </c>
      <c r="N4349" s="2453">
        <v>46057</v>
      </c>
      <c r="O4349" s="38">
        <v>7847</v>
      </c>
      <c r="P4349" s="46">
        <f>K4349*(VLOOKUP(B4349,$C$2:$F$6,3,FALSE))</f>
        <v>0.38719999999999999</v>
      </c>
      <c r="Q4349" s="482">
        <v>0.39</v>
      </c>
      <c r="R4349" s="704">
        <f>Q4349*J4349</f>
        <v>19.5</v>
      </c>
      <c r="S4349" s="489">
        <v>20.9</v>
      </c>
      <c r="T4349" s="113">
        <f>S4349*J4349</f>
        <v>1045</v>
      </c>
      <c r="U4349" s="1603"/>
      <c r="V4349" s="494">
        <v>120</v>
      </c>
      <c r="W4349" s="2041">
        <f t="shared" si="386"/>
        <v>0.60416666666666663</v>
      </c>
    </row>
    <row r="4350" spans="1:23" ht="15.95" customHeight="1">
      <c r="C4350" s="6" t="s">
        <v>9152</v>
      </c>
      <c r="D4350" s="15" t="s">
        <v>8033</v>
      </c>
      <c r="E4350" s="24"/>
      <c r="F4350" s="138"/>
      <c r="G4350" s="44" t="s">
        <v>1993</v>
      </c>
      <c r="H4350" s="8"/>
      <c r="I4350" s="68"/>
      <c r="J4350" s="45">
        <v>1</v>
      </c>
      <c r="K4350" s="46">
        <v>12</v>
      </c>
      <c r="L4350" s="46">
        <f>K4350*J4350</f>
        <v>12</v>
      </c>
      <c r="M4350" s="112"/>
      <c r="N4350" s="39">
        <v>46057</v>
      </c>
      <c r="O4350" s="38">
        <v>7847</v>
      </c>
      <c r="P4350" s="46" t="e">
        <f>K4350*(VLOOKUP(B4350,$C$2:$F$6,3,FALSE))</f>
        <v>#N/A</v>
      </c>
      <c r="Q4350" s="180">
        <v>12</v>
      </c>
      <c r="R4350" s="180">
        <v>12</v>
      </c>
      <c r="S4350" s="2459">
        <v>1000</v>
      </c>
      <c r="T4350" s="2452">
        <f>S4350</f>
        <v>1000</v>
      </c>
      <c r="U4350" s="511"/>
      <c r="V4350" s="494">
        <v>120</v>
      </c>
      <c r="W4350" s="2041">
        <f t="shared" si="386"/>
        <v>0.30555555555555558</v>
      </c>
    </row>
    <row r="4351" spans="1:23" s="314" customFormat="1" ht="15.6" customHeight="1">
      <c r="B4351" s="313"/>
      <c r="C4351" s="302" t="s">
        <v>9152</v>
      </c>
      <c r="D4351" s="303" t="s">
        <v>8033</v>
      </c>
      <c r="E4351" s="304"/>
      <c r="F4351" s="305"/>
      <c r="G4351" s="305" t="s">
        <v>1227</v>
      </c>
      <c r="H4351" s="307" t="s">
        <v>1228</v>
      </c>
      <c r="I4351" s="308"/>
      <c r="J4351" s="306"/>
      <c r="K4351" s="315">
        <v>0</v>
      </c>
      <c r="L4351" s="310"/>
      <c r="M4351" s="310"/>
      <c r="N4351" s="310">
        <v>46057</v>
      </c>
      <c r="O4351" s="309">
        <v>7847</v>
      </c>
      <c r="P4351" s="302"/>
      <c r="Q4351" s="485">
        <v>0</v>
      </c>
      <c r="S4351" s="536">
        <v>0</v>
      </c>
      <c r="T4351" s="322">
        <v>0</v>
      </c>
      <c r="U4351" s="515"/>
      <c r="V4351" s="494">
        <v>120</v>
      </c>
      <c r="W4351" s="2041" t="e">
        <f t="shared" si="386"/>
        <v>#DIV/0!</v>
      </c>
    </row>
    <row r="4352" spans="1:23" s="7" customFormat="1" ht="15">
      <c r="B4352" s="12"/>
      <c r="C4352" s="6" t="s">
        <v>9153</v>
      </c>
      <c r="D4352" s="15" t="s">
        <v>8033</v>
      </c>
      <c r="E4352" s="20" t="s">
        <v>9155</v>
      </c>
      <c r="F4352" s="44"/>
      <c r="G4352" s="44"/>
      <c r="H4352" s="151"/>
      <c r="I4352" s="151"/>
      <c r="J4352" s="151"/>
      <c r="K4352" s="17" t="s">
        <v>134</v>
      </c>
      <c r="L4352" s="39"/>
      <c r="M4352" s="39"/>
      <c r="N4352" s="39">
        <v>46055</v>
      </c>
      <c r="O4352" s="38">
        <v>7834</v>
      </c>
      <c r="P4352" s="6"/>
      <c r="Q4352" s="524"/>
      <c r="S4352" s="489"/>
      <c r="T4352" s="113"/>
      <c r="U4352" s="501"/>
      <c r="V4352" s="494">
        <v>120</v>
      </c>
      <c r="W4352" s="2041" t="e">
        <f t="shared" ref="W4352:W4365" si="387">(((K4352*V4352)-S4352)/(K4352*V4352))</f>
        <v>#VALUE!</v>
      </c>
    </row>
    <row r="4353" spans="1:23" s="7" customFormat="1" ht="15" customHeight="1">
      <c r="B4353" s="12" t="s">
        <v>1856</v>
      </c>
      <c r="C4353" s="6" t="s">
        <v>9153</v>
      </c>
      <c r="D4353" s="15" t="s">
        <v>8033</v>
      </c>
      <c r="E4353" s="24" t="s">
        <v>9154</v>
      </c>
      <c r="F4353" s="26"/>
      <c r="G4353" s="24" t="s">
        <v>167</v>
      </c>
      <c r="H4353" s="67">
        <v>14</v>
      </c>
      <c r="I4353" s="68">
        <v>8</v>
      </c>
      <c r="J4353" s="8">
        <f>H4353*I4353</f>
        <v>112</v>
      </c>
      <c r="K4353" s="46">
        <v>1.67</v>
      </c>
      <c r="L4353" s="46">
        <f>K4353*J4353</f>
        <v>187.04</v>
      </c>
      <c r="M4353" s="162" t="s">
        <v>2219</v>
      </c>
      <c r="N4353" s="2453">
        <v>46055</v>
      </c>
      <c r="O4353" s="38">
        <v>7834</v>
      </c>
      <c r="P4353" s="46">
        <f>K4353*(VLOOKUP(B4353,$C$2:$F$6,3,FALSE))</f>
        <v>1.4696</v>
      </c>
      <c r="Q4353" s="482">
        <v>1.47</v>
      </c>
      <c r="R4353" s="704">
        <f>Q4353*J4353</f>
        <v>164.64</v>
      </c>
      <c r="S4353" s="489">
        <v>120</v>
      </c>
      <c r="T4353" s="113">
        <f>S4353*J4353</f>
        <v>13440</v>
      </c>
      <c r="U4353" s="1603"/>
      <c r="V4353" s="494">
        <v>120</v>
      </c>
      <c r="W4353" s="2041">
        <f t="shared" si="387"/>
        <v>0.4011976047904191</v>
      </c>
    </row>
    <row r="4354" spans="1:23" ht="15.95" customHeight="1">
      <c r="C4354" s="6" t="s">
        <v>9153</v>
      </c>
      <c r="D4354" s="15" t="s">
        <v>8033</v>
      </c>
      <c r="E4354" s="24"/>
      <c r="F4354" s="138"/>
      <c r="G4354" s="44" t="s">
        <v>1993</v>
      </c>
      <c r="H4354" s="8"/>
      <c r="I4354" s="68"/>
      <c r="J4354" s="45">
        <v>1</v>
      </c>
      <c r="K4354" s="46">
        <v>12</v>
      </c>
      <c r="L4354" s="46">
        <f>K4354*J4354</f>
        <v>12</v>
      </c>
      <c r="M4354" s="112"/>
      <c r="N4354" s="39">
        <v>46055</v>
      </c>
      <c r="O4354" s="38">
        <v>7834</v>
      </c>
      <c r="P4354" s="46" t="e">
        <f>K4354*(VLOOKUP(B4354,$C$2:$F$6,3,FALSE))</f>
        <v>#N/A</v>
      </c>
      <c r="Q4354" s="180">
        <v>12</v>
      </c>
      <c r="R4354" s="180">
        <v>12</v>
      </c>
      <c r="S4354" s="2459">
        <v>900</v>
      </c>
      <c r="T4354" s="2452">
        <f>S4354*J4354</f>
        <v>900</v>
      </c>
      <c r="U4354" s="511"/>
      <c r="V4354" s="494">
        <v>120</v>
      </c>
      <c r="W4354" s="2041">
        <f t="shared" si="387"/>
        <v>0.375</v>
      </c>
    </row>
    <row r="4355" spans="1:23" s="314" customFormat="1" ht="15.6" customHeight="1">
      <c r="B4355" s="313"/>
      <c r="C4355" s="302" t="s">
        <v>9153</v>
      </c>
      <c r="D4355" s="303" t="s">
        <v>8033</v>
      </c>
      <c r="E4355" s="304"/>
      <c r="F4355" s="305"/>
      <c r="G4355" s="305" t="s">
        <v>1227</v>
      </c>
      <c r="H4355" s="307" t="s">
        <v>1228</v>
      </c>
      <c r="I4355" s="308"/>
      <c r="J4355" s="306"/>
      <c r="K4355" s="315">
        <v>0</v>
      </c>
      <c r="L4355" s="310"/>
      <c r="M4355" s="310"/>
      <c r="N4355" s="310">
        <v>46055</v>
      </c>
      <c r="O4355" s="309">
        <v>7834</v>
      </c>
      <c r="P4355" s="302"/>
      <c r="Q4355" s="485">
        <v>0</v>
      </c>
      <c r="S4355" s="536">
        <v>0</v>
      </c>
      <c r="T4355" s="322">
        <v>0</v>
      </c>
      <c r="U4355" s="515"/>
      <c r="V4355" s="494">
        <v>120</v>
      </c>
      <c r="W4355" s="2041" t="e">
        <f t="shared" si="387"/>
        <v>#DIV/0!</v>
      </c>
    </row>
    <row r="4356" spans="1:23" s="7" customFormat="1" ht="18.600000000000001" customHeight="1">
      <c r="A4356" s="1"/>
      <c r="B4356" s="12"/>
      <c r="C4356" s="6" t="s">
        <v>9190</v>
      </c>
      <c r="D4356" s="15" t="s">
        <v>6992</v>
      </c>
      <c r="E4356" s="20" t="s">
        <v>1003</v>
      </c>
      <c r="F4356" s="24"/>
      <c r="G4356" s="44"/>
      <c r="H4356" s="151"/>
      <c r="I4356" s="151"/>
      <c r="J4356" s="151"/>
      <c r="K4356" s="153" t="s">
        <v>10</v>
      </c>
      <c r="L4356" s="39"/>
      <c r="M4356" s="162"/>
      <c r="N4356" s="2453">
        <v>46066</v>
      </c>
      <c r="O4356" s="38">
        <v>7885</v>
      </c>
      <c r="P4356" s="6"/>
      <c r="Q4356" s="411"/>
      <c r="S4356" s="489"/>
      <c r="T4356" s="113"/>
      <c r="U4356" s="501"/>
      <c r="V4356" s="494">
        <v>120</v>
      </c>
      <c r="W4356" s="2041" t="e">
        <f t="shared" si="387"/>
        <v>#VALUE!</v>
      </c>
    </row>
    <row r="4357" spans="1:23" s="7" customFormat="1" ht="15.95" customHeight="1">
      <c r="A4357" s="1"/>
      <c r="B4357" s="12" t="s">
        <v>1862</v>
      </c>
      <c r="C4357" s="6" t="s">
        <v>9190</v>
      </c>
      <c r="D4357" s="15" t="s">
        <v>6992</v>
      </c>
      <c r="E4357" s="20" t="s">
        <v>9173</v>
      </c>
      <c r="F4357" s="44"/>
      <c r="G4357" s="44" t="s">
        <v>9135</v>
      </c>
      <c r="H4357" s="8"/>
      <c r="I4357" s="41"/>
      <c r="J4357" s="45">
        <v>1</v>
      </c>
      <c r="K4357" s="46">
        <v>85</v>
      </c>
      <c r="L4357" s="46">
        <f>K4357*J4357</f>
        <v>85</v>
      </c>
      <c r="M4357" s="162" t="s">
        <v>2219</v>
      </c>
      <c r="N4357" s="2453">
        <v>46066</v>
      </c>
      <c r="O4357" s="38">
        <v>7885</v>
      </c>
      <c r="P4357" s="46">
        <f>K4357*(VLOOKUP(B4357,$C$2:$F$6,3,FALSE))</f>
        <v>85</v>
      </c>
      <c r="Q4357" s="483">
        <v>85</v>
      </c>
      <c r="R4357" s="704">
        <f>Q4357*J4357</f>
        <v>85</v>
      </c>
      <c r="S4357" s="489">
        <v>6000</v>
      </c>
      <c r="T4357" s="567">
        <f>S4357*J4357</f>
        <v>6000</v>
      </c>
      <c r="U4357" s="517"/>
      <c r="V4357" s="494">
        <v>120</v>
      </c>
      <c r="W4357" s="2041">
        <f t="shared" si="387"/>
        <v>0.41176470588235292</v>
      </c>
    </row>
    <row r="4358" spans="1:23" s="7" customFormat="1" ht="18.600000000000001" customHeight="1">
      <c r="A4358" s="1"/>
      <c r="B4358" s="12"/>
      <c r="C4358" s="6" t="s">
        <v>9193</v>
      </c>
      <c r="D4358" s="15" t="s">
        <v>6992</v>
      </c>
      <c r="E4358" s="20" t="s">
        <v>1003</v>
      </c>
      <c r="F4358" s="24"/>
      <c r="G4358" s="44"/>
      <c r="H4358" s="151"/>
      <c r="I4358" s="151"/>
      <c r="J4358" s="151"/>
      <c r="K4358" s="153" t="s">
        <v>10</v>
      </c>
      <c r="L4358" s="39"/>
      <c r="M4358" s="162"/>
      <c r="N4358" s="2453">
        <v>46077</v>
      </c>
      <c r="O4358" s="38">
        <v>7886</v>
      </c>
      <c r="P4358" s="6"/>
      <c r="Q4358" s="411"/>
      <c r="S4358" s="489"/>
      <c r="T4358" s="113"/>
      <c r="U4358" s="501"/>
      <c r="V4358" s="494">
        <v>120</v>
      </c>
      <c r="W4358" s="2041" t="e">
        <f t="shared" ref="W4358" si="388">(((K4358*V4358)-S4358)/(K4358*V4358))</f>
        <v>#VALUE!</v>
      </c>
    </row>
    <row r="4359" spans="1:23" s="7" customFormat="1" ht="15.95" customHeight="1">
      <c r="A4359" s="1"/>
      <c r="B4359" s="12" t="s">
        <v>1856</v>
      </c>
      <c r="C4359" s="6" t="s">
        <v>9193</v>
      </c>
      <c r="D4359" s="15" t="s">
        <v>6992</v>
      </c>
      <c r="E4359" s="20" t="s">
        <v>9173</v>
      </c>
      <c r="F4359" s="44"/>
      <c r="G4359" s="44" t="s">
        <v>9135</v>
      </c>
      <c r="H4359" s="8"/>
      <c r="I4359" s="41"/>
      <c r="J4359" s="67">
        <v>30</v>
      </c>
      <c r="K4359" s="46">
        <v>3.38</v>
      </c>
      <c r="L4359" s="46">
        <f>K4359*J4359</f>
        <v>101.39999999999999</v>
      </c>
      <c r="M4359" s="162" t="s">
        <v>2219</v>
      </c>
      <c r="N4359" s="2453">
        <v>46077</v>
      </c>
      <c r="O4359" s="38">
        <v>7886</v>
      </c>
      <c r="P4359" s="46">
        <f>K4359*(VLOOKUP(B4359,$C$2:$F$6,3,FALSE))</f>
        <v>2.9743999999999997</v>
      </c>
      <c r="Q4359" s="483">
        <v>2.97</v>
      </c>
      <c r="R4359" s="704">
        <f>Q4359*J4359</f>
        <v>89.100000000000009</v>
      </c>
      <c r="S4359" s="489">
        <v>243</v>
      </c>
      <c r="T4359" s="567">
        <f>S4359*J4359</f>
        <v>7290</v>
      </c>
      <c r="U4359" s="517"/>
      <c r="V4359" s="494">
        <v>120</v>
      </c>
      <c r="W4359" s="2041">
        <f>(((K4359*V4359)-S4359)/(K4359*V4359))</f>
        <v>0.40088757396449698</v>
      </c>
    </row>
    <row r="4360" spans="1:23" s="314" customFormat="1" ht="15">
      <c r="A4360" s="1"/>
      <c r="B4360" s="313"/>
      <c r="C4360" s="302" t="s">
        <v>9193</v>
      </c>
      <c r="D4360" s="303" t="s">
        <v>6992</v>
      </c>
      <c r="E4360" s="304"/>
      <c r="F4360" s="305"/>
      <c r="G4360" s="305" t="s">
        <v>1227</v>
      </c>
      <c r="H4360" s="307" t="s">
        <v>1228</v>
      </c>
      <c r="I4360" s="308"/>
      <c r="J4360" s="306"/>
      <c r="K4360" s="315">
        <v>0</v>
      </c>
      <c r="L4360" s="310"/>
      <c r="M4360" s="310"/>
      <c r="N4360" s="2454">
        <v>46077</v>
      </c>
      <c r="O4360" s="309">
        <v>7886</v>
      </c>
      <c r="P4360" s="302"/>
      <c r="Q4360" s="485">
        <v>0</v>
      </c>
      <c r="S4360" s="536">
        <v>0</v>
      </c>
      <c r="T4360" s="322">
        <v>0</v>
      </c>
      <c r="U4360" s="515"/>
      <c r="V4360" s="494">
        <v>120</v>
      </c>
      <c r="W4360" s="2041" t="e">
        <f t="shared" si="387"/>
        <v>#DIV/0!</v>
      </c>
    </row>
    <row r="4361" spans="1:23" s="7" customFormat="1" ht="18.600000000000001" customHeight="1">
      <c r="A4361" s="1"/>
      <c r="B4361" s="12"/>
      <c r="C4361" s="6" t="s">
        <v>9157</v>
      </c>
      <c r="D4361" s="15" t="s">
        <v>8950</v>
      </c>
      <c r="E4361" s="20" t="s">
        <v>1003</v>
      </c>
      <c r="F4361" s="24"/>
      <c r="G4361" s="44"/>
      <c r="H4361" s="151"/>
      <c r="I4361" s="151"/>
      <c r="J4361" s="151"/>
      <c r="K4361" s="153" t="s">
        <v>10</v>
      </c>
      <c r="L4361" s="39"/>
      <c r="M4361" s="162"/>
      <c r="N4361" s="39">
        <v>46065</v>
      </c>
      <c r="O4361" s="38">
        <v>7837</v>
      </c>
      <c r="P4361" s="6"/>
      <c r="Q4361" s="411"/>
      <c r="S4361" s="489"/>
      <c r="T4361" s="113"/>
      <c r="U4361" s="501"/>
      <c r="V4361" s="494">
        <v>120</v>
      </c>
      <c r="W4361" s="2041" t="e">
        <f t="shared" si="387"/>
        <v>#VALUE!</v>
      </c>
    </row>
    <row r="4362" spans="1:23" s="7" customFormat="1" ht="15.95" customHeight="1">
      <c r="A4362" s="1"/>
      <c r="B4362" s="12" t="s">
        <v>1856</v>
      </c>
      <c r="C4362" s="6" t="s">
        <v>9157</v>
      </c>
      <c r="D4362" s="15" t="s">
        <v>8950</v>
      </c>
      <c r="E4362" s="24" t="s">
        <v>9146</v>
      </c>
      <c r="F4362" s="44"/>
      <c r="G4362" s="44" t="s">
        <v>7694</v>
      </c>
      <c r="H4362" s="198"/>
      <c r="I4362" s="68"/>
      <c r="J4362" s="67">
        <v>40</v>
      </c>
      <c r="K4362" s="46">
        <v>3.19</v>
      </c>
      <c r="L4362" s="46">
        <f>K4362*J4362</f>
        <v>127.6</v>
      </c>
      <c r="M4362" s="162" t="s">
        <v>2219</v>
      </c>
      <c r="N4362" s="39">
        <v>46065</v>
      </c>
      <c r="O4362" s="38">
        <v>7837</v>
      </c>
      <c r="P4362" s="46">
        <f>K4362*(VLOOKUP(B4362,$C$2:$F$6,3,FALSE))</f>
        <v>2.8071999999999999</v>
      </c>
      <c r="Q4362" s="483">
        <v>2.81</v>
      </c>
      <c r="R4362" s="704">
        <f>Q4362*J4362</f>
        <v>112.4</v>
      </c>
      <c r="S4362" s="489">
        <v>206</v>
      </c>
      <c r="T4362" s="567">
        <f>S4362*J4362</f>
        <v>8240</v>
      </c>
      <c r="U4362" s="517"/>
      <c r="V4362" s="494">
        <v>120</v>
      </c>
      <c r="W4362" s="2041">
        <f t="shared" si="387"/>
        <v>0.46185997910135845</v>
      </c>
    </row>
    <row r="4363" spans="1:23" s="7" customFormat="1" ht="15.95" customHeight="1">
      <c r="A4363" s="1"/>
      <c r="B4363" s="12" t="s">
        <v>1856</v>
      </c>
      <c r="C4363" s="6" t="s">
        <v>9157</v>
      </c>
      <c r="D4363" s="15" t="s">
        <v>8950</v>
      </c>
      <c r="E4363" s="24" t="s">
        <v>8849</v>
      </c>
      <c r="F4363" s="44"/>
      <c r="G4363" s="44" t="s">
        <v>7694</v>
      </c>
      <c r="H4363" s="198"/>
      <c r="I4363" s="68"/>
      <c r="J4363" s="67">
        <v>20</v>
      </c>
      <c r="K4363" s="46">
        <v>2.73</v>
      </c>
      <c r="L4363" s="46">
        <f>K4363*J4363</f>
        <v>54.6</v>
      </c>
      <c r="M4363" s="162" t="s">
        <v>2219</v>
      </c>
      <c r="N4363" s="39">
        <v>46065</v>
      </c>
      <c r="O4363" s="38">
        <v>7837</v>
      </c>
      <c r="P4363" s="46">
        <f>K4363*(VLOOKUP(B4363,$C$2:$F$6,3,FALSE))</f>
        <v>2.4024000000000001</v>
      </c>
      <c r="Q4363" s="483">
        <v>2.4</v>
      </c>
      <c r="R4363" s="704">
        <f>Q4363*J4363</f>
        <v>48</v>
      </c>
      <c r="S4363" s="489">
        <v>176</v>
      </c>
      <c r="T4363" s="567">
        <f>S4363*J4363</f>
        <v>3520</v>
      </c>
      <c r="U4363" s="517"/>
      <c r="V4363" s="494">
        <v>120</v>
      </c>
      <c r="W4363" s="2041">
        <f t="shared" si="387"/>
        <v>0.46275946275946278</v>
      </c>
    </row>
    <row r="4364" spans="1:23" ht="18" customHeight="1">
      <c r="B4364" s="12" t="s">
        <v>1862</v>
      </c>
      <c r="C4364" s="6" t="s">
        <v>9157</v>
      </c>
      <c r="D4364" s="15" t="s">
        <v>8950</v>
      </c>
      <c r="E4364" s="24"/>
      <c r="F4364" s="138"/>
      <c r="G4364" s="44" t="s">
        <v>1993</v>
      </c>
      <c r="H4364" s="8"/>
      <c r="I4364" s="41"/>
      <c r="J4364" s="45">
        <v>1</v>
      </c>
      <c r="K4364" s="46">
        <v>12</v>
      </c>
      <c r="L4364" s="46">
        <f>K4364*J4364</f>
        <v>12</v>
      </c>
      <c r="M4364" s="112"/>
      <c r="N4364" s="39">
        <v>46065</v>
      </c>
      <c r="O4364" s="38">
        <v>7837</v>
      </c>
      <c r="P4364" s="46">
        <f>K4364*(VLOOKUP(B4364,$C$2:$F$6,3,FALSE))</f>
        <v>12</v>
      </c>
      <c r="Q4364" s="483">
        <v>12</v>
      </c>
      <c r="R4364" s="704">
        <f>Q4364*J4364</f>
        <v>12</v>
      </c>
      <c r="S4364" s="489">
        <v>0</v>
      </c>
      <c r="T4364" s="567">
        <f>S4364*J4364</f>
        <v>0</v>
      </c>
      <c r="U4364" s="511"/>
      <c r="V4364" s="494">
        <v>120</v>
      </c>
      <c r="W4364" s="2041">
        <f t="shared" si="387"/>
        <v>1</v>
      </c>
    </row>
    <row r="4365" spans="1:23" s="314" customFormat="1" ht="15">
      <c r="A4365" s="1"/>
      <c r="B4365" s="313"/>
      <c r="C4365" s="302" t="s">
        <v>9157</v>
      </c>
      <c r="D4365" s="303" t="s">
        <v>8950</v>
      </c>
      <c r="E4365" s="304"/>
      <c r="F4365" s="305"/>
      <c r="G4365" s="305" t="s">
        <v>1227</v>
      </c>
      <c r="H4365" s="307" t="s">
        <v>1228</v>
      </c>
      <c r="I4365" s="308"/>
      <c r="J4365" s="306"/>
      <c r="K4365" s="315">
        <v>0</v>
      </c>
      <c r="L4365" s="310"/>
      <c r="M4365" s="310"/>
      <c r="N4365" s="310">
        <v>46065</v>
      </c>
      <c r="O4365" s="309">
        <v>7837</v>
      </c>
      <c r="P4365" s="302"/>
      <c r="Q4365" s="485">
        <v>0</v>
      </c>
      <c r="S4365" s="536">
        <v>0</v>
      </c>
      <c r="T4365" s="322">
        <v>0</v>
      </c>
      <c r="U4365" s="515"/>
      <c r="V4365" s="494">
        <v>120</v>
      </c>
      <c r="W4365" s="2041" t="e">
        <f t="shared" si="387"/>
        <v>#DIV/0!</v>
      </c>
    </row>
    <row r="4366" spans="1:23" ht="15">
      <c r="C4366" s="6" t="s">
        <v>9166</v>
      </c>
      <c r="D4366" s="15" t="s">
        <v>11</v>
      </c>
      <c r="E4366" s="20" t="s">
        <v>79</v>
      </c>
      <c r="F4366" s="150"/>
      <c r="G4366" s="24"/>
      <c r="H4366" s="151"/>
      <c r="I4366" s="152"/>
      <c r="J4366" s="151"/>
      <c r="K4366" s="153" t="s">
        <v>10</v>
      </c>
      <c r="L4366" s="39"/>
      <c r="M4366" s="39"/>
      <c r="N4366" s="39">
        <v>46063</v>
      </c>
      <c r="O4366" s="38">
        <v>7858</v>
      </c>
      <c r="P4366" s="15"/>
      <c r="Q4366" s="483"/>
      <c r="S4366" s="2503"/>
      <c r="T4366" s="113"/>
      <c r="V4366" s="494">
        <v>120</v>
      </c>
      <c r="W4366" s="2041" t="e">
        <f t="shared" ref="W4366:W4382" si="389">(((K4366*V4366)-S4366)/(K4366*V4366))</f>
        <v>#VALUE!</v>
      </c>
    </row>
    <row r="4367" spans="1:23" ht="15.75">
      <c r="B4367" s="12" t="s">
        <v>1858</v>
      </c>
      <c r="C4367" s="6" t="s">
        <v>9166</v>
      </c>
      <c r="D4367" s="15" t="s">
        <v>11</v>
      </c>
      <c r="E4367" s="24" t="s">
        <v>8774</v>
      </c>
      <c r="F4367" s="150">
        <v>152</v>
      </c>
      <c r="G4367" s="24" t="s">
        <v>9167</v>
      </c>
      <c r="H4367" s="67">
        <v>58</v>
      </c>
      <c r="I4367" s="68">
        <v>1</v>
      </c>
      <c r="J4367" s="67">
        <f t="shared" ref="J4367:J4372" si="390">H4367*I4367</f>
        <v>58</v>
      </c>
      <c r="K4367" s="46">
        <v>4.05</v>
      </c>
      <c r="L4367" s="46">
        <f t="shared" ref="L4367:L4372" si="391">K4367*J4367</f>
        <v>234.89999999999998</v>
      </c>
      <c r="M4367" s="162" t="s">
        <v>2219</v>
      </c>
      <c r="N4367" s="39">
        <v>46063</v>
      </c>
      <c r="O4367" s="38">
        <v>7858</v>
      </c>
      <c r="P4367" s="46">
        <f t="shared" ref="P4367:P4372" si="392">K4367*(VLOOKUP(B4367,$C$2:$F$6,3,FALSE))</f>
        <v>3.8069999999999995</v>
      </c>
      <c r="Q4367" s="483">
        <v>3.81</v>
      </c>
      <c r="R4367" s="704">
        <f t="shared" ref="R4367:R4372" si="393">Q4367*J4367</f>
        <v>220.98</v>
      </c>
      <c r="S4367" s="489">
        <v>340</v>
      </c>
      <c r="T4367" s="567">
        <f t="shared" ref="T4367:T4372" si="394">S4367*J4367</f>
        <v>19720</v>
      </c>
      <c r="V4367" s="494">
        <v>120</v>
      </c>
      <c r="W4367" s="2041">
        <f t="shared" si="389"/>
        <v>0.30041152263374488</v>
      </c>
    </row>
    <row r="4368" spans="1:23" ht="15.75">
      <c r="B4368" s="12" t="s">
        <v>1858</v>
      </c>
      <c r="C4368" s="6" t="s">
        <v>9166</v>
      </c>
      <c r="D4368" s="15" t="s">
        <v>11</v>
      </c>
      <c r="E4368" s="24" t="s">
        <v>8774</v>
      </c>
      <c r="F4368" s="150">
        <v>152</v>
      </c>
      <c r="G4368" s="24" t="s">
        <v>9168</v>
      </c>
      <c r="H4368" s="67">
        <v>58</v>
      </c>
      <c r="I4368" s="68">
        <v>2</v>
      </c>
      <c r="J4368" s="67">
        <f t="shared" si="390"/>
        <v>116</v>
      </c>
      <c r="K4368" s="46">
        <v>4.05</v>
      </c>
      <c r="L4368" s="46">
        <f t="shared" si="391"/>
        <v>469.79999999999995</v>
      </c>
      <c r="M4368" s="162" t="s">
        <v>2219</v>
      </c>
      <c r="N4368" s="39">
        <v>46063</v>
      </c>
      <c r="O4368" s="38">
        <v>7858</v>
      </c>
      <c r="P4368" s="46">
        <f t="shared" si="392"/>
        <v>3.8069999999999995</v>
      </c>
      <c r="Q4368" s="483">
        <v>3.81</v>
      </c>
      <c r="R4368" s="704">
        <f t="shared" si="393"/>
        <v>441.96</v>
      </c>
      <c r="S4368" s="489">
        <v>340</v>
      </c>
      <c r="T4368" s="567">
        <f t="shared" si="394"/>
        <v>39440</v>
      </c>
      <c r="V4368" s="494">
        <v>120</v>
      </c>
      <c r="W4368" s="2041">
        <f t="shared" ref="W4368:W4372" si="395">(((K4368*V4368)-S4368)/(K4368*V4368))</f>
        <v>0.30041152263374488</v>
      </c>
    </row>
    <row r="4369" spans="1:23" ht="15.75">
      <c r="B4369" s="12" t="s">
        <v>1858</v>
      </c>
      <c r="C4369" s="6" t="s">
        <v>9166</v>
      </c>
      <c r="D4369" s="15" t="s">
        <v>11</v>
      </c>
      <c r="E4369" s="24" t="s">
        <v>8774</v>
      </c>
      <c r="F4369" s="150">
        <v>152</v>
      </c>
      <c r="G4369" s="24" t="s">
        <v>9174</v>
      </c>
      <c r="H4369" s="67">
        <v>58</v>
      </c>
      <c r="I4369" s="68">
        <v>2</v>
      </c>
      <c r="J4369" s="67">
        <f t="shared" si="390"/>
        <v>116</v>
      </c>
      <c r="K4369" s="46">
        <v>4.05</v>
      </c>
      <c r="L4369" s="46">
        <f t="shared" si="391"/>
        <v>469.79999999999995</v>
      </c>
      <c r="M4369" s="162" t="s">
        <v>2219</v>
      </c>
      <c r="N4369" s="39">
        <v>46063</v>
      </c>
      <c r="O4369" s="38">
        <v>7858</v>
      </c>
      <c r="P4369" s="46">
        <f t="shared" si="392"/>
        <v>3.8069999999999995</v>
      </c>
      <c r="Q4369" s="483">
        <v>3.81</v>
      </c>
      <c r="R4369" s="704">
        <f t="shared" si="393"/>
        <v>441.96</v>
      </c>
      <c r="S4369" s="489">
        <v>340</v>
      </c>
      <c r="T4369" s="567">
        <f t="shared" si="394"/>
        <v>39440</v>
      </c>
      <c r="V4369" s="494">
        <v>120</v>
      </c>
      <c r="W4369" s="2041">
        <f t="shared" si="395"/>
        <v>0.30041152263374488</v>
      </c>
    </row>
    <row r="4370" spans="1:23" ht="15.75">
      <c r="B4370" s="12" t="s">
        <v>1858</v>
      </c>
      <c r="C4370" s="6" t="s">
        <v>9166</v>
      </c>
      <c r="D4370" s="15" t="s">
        <v>11</v>
      </c>
      <c r="E4370" s="24" t="s">
        <v>8774</v>
      </c>
      <c r="F4370" s="150">
        <v>152</v>
      </c>
      <c r="G4370" s="24" t="s">
        <v>7612</v>
      </c>
      <c r="H4370" s="67">
        <v>58</v>
      </c>
      <c r="I4370" s="68">
        <v>4</v>
      </c>
      <c r="J4370" s="67">
        <f t="shared" si="390"/>
        <v>232</v>
      </c>
      <c r="K4370" s="46">
        <v>4.05</v>
      </c>
      <c r="L4370" s="46">
        <f t="shared" si="391"/>
        <v>939.59999999999991</v>
      </c>
      <c r="M4370" s="162" t="s">
        <v>2219</v>
      </c>
      <c r="N4370" s="39">
        <v>46063</v>
      </c>
      <c r="O4370" s="38">
        <v>7858</v>
      </c>
      <c r="P4370" s="46">
        <f t="shared" si="392"/>
        <v>3.8069999999999995</v>
      </c>
      <c r="Q4370" s="483">
        <v>3.81</v>
      </c>
      <c r="R4370" s="704">
        <f t="shared" si="393"/>
        <v>883.92</v>
      </c>
      <c r="S4370" s="489">
        <v>340</v>
      </c>
      <c r="T4370" s="567">
        <f t="shared" si="394"/>
        <v>78880</v>
      </c>
      <c r="V4370" s="494">
        <v>120</v>
      </c>
      <c r="W4370" s="2041">
        <f t="shared" si="395"/>
        <v>0.30041152263374488</v>
      </c>
    </row>
    <row r="4371" spans="1:23" ht="15.75">
      <c r="B4371" s="12" t="s">
        <v>1858</v>
      </c>
      <c r="C4371" s="6" t="s">
        <v>9166</v>
      </c>
      <c r="D4371" s="15" t="s">
        <v>11</v>
      </c>
      <c r="E4371" s="24" t="s">
        <v>8774</v>
      </c>
      <c r="F4371" s="150">
        <v>152</v>
      </c>
      <c r="G4371" s="24" t="s">
        <v>9169</v>
      </c>
      <c r="H4371" s="67">
        <v>58</v>
      </c>
      <c r="I4371" s="68">
        <v>6</v>
      </c>
      <c r="J4371" s="67">
        <f t="shared" si="390"/>
        <v>348</v>
      </c>
      <c r="K4371" s="46">
        <v>4.05</v>
      </c>
      <c r="L4371" s="46">
        <f t="shared" si="391"/>
        <v>1409.3999999999999</v>
      </c>
      <c r="M4371" s="162" t="s">
        <v>2219</v>
      </c>
      <c r="N4371" s="39">
        <v>46063</v>
      </c>
      <c r="O4371" s="38">
        <v>7858</v>
      </c>
      <c r="P4371" s="46">
        <f t="shared" si="392"/>
        <v>3.8069999999999995</v>
      </c>
      <c r="Q4371" s="483">
        <v>3.81</v>
      </c>
      <c r="R4371" s="704">
        <f t="shared" si="393"/>
        <v>1325.88</v>
      </c>
      <c r="S4371" s="489">
        <v>340</v>
      </c>
      <c r="T4371" s="567">
        <f t="shared" si="394"/>
        <v>118320</v>
      </c>
      <c r="V4371" s="494">
        <v>120</v>
      </c>
      <c r="W4371" s="2041">
        <f t="shared" si="395"/>
        <v>0.30041152263374488</v>
      </c>
    </row>
    <row r="4372" spans="1:23" ht="15.75">
      <c r="B4372" s="12" t="s">
        <v>1858</v>
      </c>
      <c r="C4372" s="6" t="s">
        <v>9166</v>
      </c>
      <c r="D4372" s="15" t="s">
        <v>11</v>
      </c>
      <c r="E4372" s="24" t="s">
        <v>8774</v>
      </c>
      <c r="F4372" s="150">
        <v>152</v>
      </c>
      <c r="G4372" s="24" t="s">
        <v>9170</v>
      </c>
      <c r="H4372" s="67">
        <v>58</v>
      </c>
      <c r="I4372" s="68">
        <v>2</v>
      </c>
      <c r="J4372" s="67">
        <f t="shared" si="390"/>
        <v>116</v>
      </c>
      <c r="K4372" s="46">
        <v>4.05</v>
      </c>
      <c r="L4372" s="46">
        <f t="shared" si="391"/>
        <v>469.79999999999995</v>
      </c>
      <c r="M4372" s="162" t="s">
        <v>2219</v>
      </c>
      <c r="N4372" s="39">
        <v>46063</v>
      </c>
      <c r="O4372" s="38">
        <v>7858</v>
      </c>
      <c r="P4372" s="46">
        <f t="shared" si="392"/>
        <v>3.8069999999999995</v>
      </c>
      <c r="Q4372" s="483">
        <v>3.81</v>
      </c>
      <c r="R4372" s="704">
        <f t="shared" si="393"/>
        <v>441.96</v>
      </c>
      <c r="S4372" s="489">
        <v>340</v>
      </c>
      <c r="T4372" s="567">
        <f t="shared" si="394"/>
        <v>39440</v>
      </c>
      <c r="V4372" s="494">
        <v>120</v>
      </c>
      <c r="W4372" s="2041">
        <f t="shared" si="395"/>
        <v>0.30041152263374488</v>
      </c>
    </row>
    <row r="4373" spans="1:23" s="217" customFormat="1" ht="15.95" customHeight="1">
      <c r="B4373" s="539"/>
      <c r="C4373" s="6" t="s">
        <v>9166</v>
      </c>
      <c r="D4373" s="15" t="s">
        <v>11</v>
      </c>
      <c r="E4373" s="56"/>
      <c r="F4373" s="160"/>
      <c r="G4373" s="42" t="s">
        <v>1993</v>
      </c>
      <c r="H4373" s="214"/>
      <c r="I4373" s="215"/>
      <c r="J4373" s="43">
        <v>1</v>
      </c>
      <c r="K4373" s="229">
        <v>20</v>
      </c>
      <c r="L4373" s="229">
        <v>0</v>
      </c>
      <c r="M4373" s="969"/>
      <c r="N4373" s="39">
        <v>46063</v>
      </c>
      <c r="O4373" s="38">
        <v>7858</v>
      </c>
      <c r="P4373" s="692"/>
      <c r="Q4373" s="970">
        <v>0</v>
      </c>
      <c r="R4373" s="970">
        <v>0</v>
      </c>
      <c r="S4373" s="498">
        <v>2500</v>
      </c>
      <c r="T4373" s="567">
        <f>S4373</f>
        <v>2500</v>
      </c>
      <c r="U4373" s="667"/>
      <c r="V4373" s="547">
        <v>120</v>
      </c>
      <c r="W4373" s="2051">
        <f>(((K4373*V4373)-S4373)/(K4373*V4373))</f>
        <v>-4.1666666666666664E-2</v>
      </c>
    </row>
    <row r="4374" spans="1:23" s="314" customFormat="1" ht="15" customHeight="1">
      <c r="A4374" s="1"/>
      <c r="B4374" s="313"/>
      <c r="C4374" s="302" t="s">
        <v>9166</v>
      </c>
      <c r="D4374" s="303" t="s">
        <v>11</v>
      </c>
      <c r="E4374" s="304"/>
      <c r="F4374" s="305"/>
      <c r="G4374" s="305" t="s">
        <v>1227</v>
      </c>
      <c r="H4374" s="307" t="s">
        <v>1228</v>
      </c>
      <c r="I4374" s="308"/>
      <c r="J4374" s="306"/>
      <c r="K4374" s="316">
        <v>0</v>
      </c>
      <c r="L4374" s="310"/>
      <c r="M4374" s="310"/>
      <c r="N4374" s="310">
        <v>46063</v>
      </c>
      <c r="O4374" s="309">
        <v>7858</v>
      </c>
      <c r="P4374" s="302"/>
      <c r="Q4374" s="485">
        <v>0</v>
      </c>
      <c r="S4374" s="536">
        <v>0</v>
      </c>
      <c r="T4374" s="322">
        <v>0</v>
      </c>
      <c r="U4374" s="515"/>
      <c r="V4374" s="494">
        <v>120</v>
      </c>
      <c r="W4374" s="2041" t="e">
        <f t="shared" si="389"/>
        <v>#DIV/0!</v>
      </c>
    </row>
    <row r="4375" spans="1:23" s="7" customFormat="1" ht="18.600000000000001" customHeight="1">
      <c r="A4375" s="1"/>
      <c r="B4375" s="12"/>
      <c r="C4375" s="6" t="s">
        <v>9181</v>
      </c>
      <c r="D4375" s="15" t="s">
        <v>9180</v>
      </c>
      <c r="E4375" s="20" t="s">
        <v>9182</v>
      </c>
      <c r="F4375" s="24"/>
      <c r="G4375" s="44"/>
      <c r="H4375" s="151"/>
      <c r="I4375" s="151"/>
      <c r="J4375" s="151"/>
      <c r="K4375" s="153" t="s">
        <v>10</v>
      </c>
      <c r="L4375" s="39"/>
      <c r="M4375" s="162"/>
      <c r="N4375" s="39"/>
      <c r="O4375" s="38"/>
      <c r="P4375" s="6"/>
      <c r="Q4375" s="411"/>
      <c r="S4375" s="489"/>
      <c r="T4375" s="113"/>
      <c r="U4375" s="501"/>
      <c r="V4375" s="494">
        <v>120</v>
      </c>
      <c r="W4375" s="2041" t="e">
        <f t="shared" si="389"/>
        <v>#VALUE!</v>
      </c>
    </row>
    <row r="4376" spans="1:23" s="7" customFormat="1" ht="15.95" customHeight="1">
      <c r="A4376" s="1"/>
      <c r="B4376" s="12" t="s">
        <v>1856</v>
      </c>
      <c r="C4376" s="6" t="s">
        <v>9181</v>
      </c>
      <c r="D4376" s="15" t="s">
        <v>9180</v>
      </c>
      <c r="E4376" s="2354" t="s">
        <v>9183</v>
      </c>
      <c r="F4376" s="44"/>
      <c r="G4376" s="44" t="s">
        <v>9179</v>
      </c>
      <c r="H4376" s="198"/>
      <c r="I4376" s="68"/>
      <c r="J4376" s="67">
        <v>15</v>
      </c>
      <c r="K4376" s="46">
        <v>4.42</v>
      </c>
      <c r="L4376" s="46">
        <f>K4376*J4376</f>
        <v>66.3</v>
      </c>
      <c r="M4376" s="162" t="s">
        <v>2219</v>
      </c>
      <c r="N4376" s="239">
        <v>46065</v>
      </c>
      <c r="O4376" s="38"/>
      <c r="P4376" s="46">
        <f>K4376*(VLOOKUP(B4376,$C$2:$F$6,3,FALSE))</f>
        <v>3.8896000000000002</v>
      </c>
      <c r="Q4376" s="483">
        <v>3.89</v>
      </c>
      <c r="R4376" s="704">
        <f>Q4376*J4376</f>
        <v>58.35</v>
      </c>
      <c r="S4376" s="489">
        <v>286</v>
      </c>
      <c r="T4376" s="567">
        <f>S4376*J4376</f>
        <v>4290</v>
      </c>
      <c r="U4376" s="517"/>
      <c r="V4376" s="494">
        <v>120</v>
      </c>
      <c r="W4376" s="2041">
        <f t="shared" si="389"/>
        <v>0.46078431372549017</v>
      </c>
    </row>
    <row r="4377" spans="1:23" ht="18" customHeight="1">
      <c r="B4377" s="12" t="s">
        <v>1862</v>
      </c>
      <c r="C4377" s="6" t="s">
        <v>9181</v>
      </c>
      <c r="D4377" s="15" t="s">
        <v>9180</v>
      </c>
      <c r="E4377" s="24"/>
      <c r="F4377" s="138"/>
      <c r="G4377" s="44" t="s">
        <v>1993</v>
      </c>
      <c r="H4377" s="8"/>
      <c r="I4377" s="41"/>
      <c r="J4377" s="45">
        <v>1</v>
      </c>
      <c r="K4377" s="46">
        <v>12</v>
      </c>
      <c r="L4377" s="46">
        <f>K4377*J4377</f>
        <v>12</v>
      </c>
      <c r="M4377" s="112"/>
      <c r="N4377" s="39"/>
      <c r="O4377" s="38"/>
      <c r="P4377" s="46">
        <f>K4377*(VLOOKUP(B4377,$C$2:$F$6,3,FALSE))</f>
        <v>12</v>
      </c>
      <c r="Q4377" s="483">
        <v>12</v>
      </c>
      <c r="R4377" s="704">
        <f>Q4377*J4377</f>
        <v>12</v>
      </c>
      <c r="S4377" s="489">
        <v>900</v>
      </c>
      <c r="T4377" s="567">
        <f>S4377*J4377</f>
        <v>900</v>
      </c>
      <c r="U4377" s="511"/>
      <c r="V4377" s="494">
        <v>120</v>
      </c>
      <c r="W4377" s="2041">
        <f t="shared" si="389"/>
        <v>0.375</v>
      </c>
    </row>
    <row r="4378" spans="1:23" s="314" customFormat="1" ht="15">
      <c r="A4378" s="1"/>
      <c r="B4378" s="313"/>
      <c r="C4378" s="302" t="s">
        <v>9181</v>
      </c>
      <c r="D4378" s="303" t="s">
        <v>9180</v>
      </c>
      <c r="E4378" s="304"/>
      <c r="F4378" s="305"/>
      <c r="G4378" s="305" t="s">
        <v>1227</v>
      </c>
      <c r="H4378" s="307" t="s">
        <v>1228</v>
      </c>
      <c r="I4378" s="308"/>
      <c r="J4378" s="306"/>
      <c r="K4378" s="315">
        <v>0</v>
      </c>
      <c r="L4378" s="310"/>
      <c r="M4378" s="310"/>
      <c r="N4378" s="310"/>
      <c r="O4378" s="309"/>
      <c r="P4378" s="302"/>
      <c r="Q4378" s="485">
        <v>0</v>
      </c>
      <c r="S4378" s="536">
        <v>0</v>
      </c>
      <c r="T4378" s="322">
        <v>0</v>
      </c>
      <c r="U4378" s="515"/>
      <c r="V4378" s="494">
        <v>120</v>
      </c>
      <c r="W4378" s="2041" t="e">
        <f t="shared" si="389"/>
        <v>#DIV/0!</v>
      </c>
    </row>
    <row r="4379" spans="1:23" s="7" customFormat="1" ht="18.600000000000001" customHeight="1">
      <c r="A4379" s="1"/>
      <c r="B4379" s="12"/>
      <c r="C4379" s="6" t="s">
        <v>9186</v>
      </c>
      <c r="D4379" s="15" t="s">
        <v>9122</v>
      </c>
      <c r="E4379" s="20" t="s">
        <v>1003</v>
      </c>
      <c r="F4379" s="24"/>
      <c r="G4379" s="44"/>
      <c r="H4379" s="151"/>
      <c r="I4379" s="151"/>
      <c r="J4379" s="151"/>
      <c r="K4379" s="153" t="s">
        <v>10</v>
      </c>
      <c r="L4379" s="39"/>
      <c r="M4379" s="162"/>
      <c r="N4379" s="39">
        <v>46090</v>
      </c>
      <c r="O4379" s="38">
        <v>7949</v>
      </c>
      <c r="P4379" s="6"/>
      <c r="Q4379" s="411"/>
      <c r="S4379" s="2458" t="s">
        <v>9188</v>
      </c>
      <c r="T4379" s="113"/>
      <c r="U4379" s="501"/>
      <c r="V4379" s="494">
        <v>120</v>
      </c>
      <c r="W4379" s="2041" t="e">
        <f t="shared" si="389"/>
        <v>#VALUE!</v>
      </c>
    </row>
    <row r="4380" spans="1:23" s="7" customFormat="1" ht="15.95" customHeight="1">
      <c r="A4380" s="1"/>
      <c r="B4380" s="12" t="s">
        <v>1856</v>
      </c>
      <c r="C4380" s="6" t="s">
        <v>9186</v>
      </c>
      <c r="D4380" s="15" t="s">
        <v>9122</v>
      </c>
      <c r="E4380" s="24" t="s">
        <v>9189</v>
      </c>
      <c r="F4380" s="44"/>
      <c r="G4380" s="44" t="s">
        <v>9187</v>
      </c>
      <c r="H4380" s="198"/>
      <c r="I4380" s="68"/>
      <c r="J4380" s="67">
        <v>100</v>
      </c>
      <c r="K4380" s="46">
        <v>2.27</v>
      </c>
      <c r="L4380" s="46">
        <f>K4380*J4380</f>
        <v>227</v>
      </c>
      <c r="M4380" s="162" t="s">
        <v>2219</v>
      </c>
      <c r="N4380" s="39">
        <v>46090</v>
      </c>
      <c r="O4380" s="38">
        <v>7949</v>
      </c>
      <c r="P4380" s="46">
        <f>K4380*(VLOOKUP(B4380,$C$2:$F$6,3,FALSE))</f>
        <v>1.9976</v>
      </c>
      <c r="Q4380" s="483">
        <v>2</v>
      </c>
      <c r="R4380" s="704">
        <f>Q4380*J4380</f>
        <v>200</v>
      </c>
      <c r="S4380" s="489">
        <f>74+80</f>
        <v>154</v>
      </c>
      <c r="T4380" s="567">
        <f>S4380*J4380</f>
        <v>15400</v>
      </c>
      <c r="U4380" s="517"/>
      <c r="V4380" s="494">
        <v>120</v>
      </c>
      <c r="W4380" s="2041">
        <f t="shared" si="389"/>
        <v>0.43465491923641697</v>
      </c>
    </row>
    <row r="4381" spans="1:23" ht="18" customHeight="1">
      <c r="B4381" s="12" t="s">
        <v>1862</v>
      </c>
      <c r="C4381" s="6" t="s">
        <v>9186</v>
      </c>
      <c r="D4381" s="15" t="s">
        <v>9122</v>
      </c>
      <c r="E4381" s="24"/>
      <c r="F4381" s="138"/>
      <c r="G4381" s="44" t="s">
        <v>1993</v>
      </c>
      <c r="H4381" s="8"/>
      <c r="I4381" s="41"/>
      <c r="J4381" s="45">
        <v>1</v>
      </c>
      <c r="K4381" s="46">
        <v>12</v>
      </c>
      <c r="L4381" s="46">
        <f>K4381*J4381</f>
        <v>12</v>
      </c>
      <c r="M4381" s="112"/>
      <c r="N4381" s="39">
        <v>46090</v>
      </c>
      <c r="O4381" s="38">
        <v>7949</v>
      </c>
      <c r="P4381" s="46">
        <f>K4381*(VLOOKUP(B4381,$C$2:$F$6,3,FALSE))</f>
        <v>12</v>
      </c>
      <c r="Q4381" s="483">
        <v>12</v>
      </c>
      <c r="R4381" s="704">
        <f>Q4381*J4381</f>
        <v>12</v>
      </c>
      <c r="S4381" s="489">
        <v>0</v>
      </c>
      <c r="T4381" s="567">
        <f>S4381*J4381</f>
        <v>0</v>
      </c>
      <c r="U4381" s="511"/>
      <c r="V4381" s="494">
        <v>120</v>
      </c>
      <c r="W4381" s="2041">
        <f t="shared" si="389"/>
        <v>1</v>
      </c>
    </row>
    <row r="4382" spans="1:23" s="314" customFormat="1" ht="15">
      <c r="A4382" s="1"/>
      <c r="B4382" s="313"/>
      <c r="C4382" s="302" t="s">
        <v>9186</v>
      </c>
      <c r="D4382" s="303" t="s">
        <v>9122</v>
      </c>
      <c r="E4382" s="304"/>
      <c r="F4382" s="305"/>
      <c r="G4382" s="305" t="s">
        <v>1227</v>
      </c>
      <c r="H4382" s="307" t="s">
        <v>1228</v>
      </c>
      <c r="I4382" s="308"/>
      <c r="J4382" s="306"/>
      <c r="K4382" s="315">
        <v>0</v>
      </c>
      <c r="L4382" s="310"/>
      <c r="M4382" s="310"/>
      <c r="N4382" s="310">
        <v>46090</v>
      </c>
      <c r="O4382" s="309">
        <v>7949</v>
      </c>
      <c r="P4382" s="302"/>
      <c r="Q4382" s="485">
        <v>0</v>
      </c>
      <c r="S4382" s="536">
        <v>0</v>
      </c>
      <c r="T4382" s="322">
        <v>0</v>
      </c>
      <c r="U4382" s="515"/>
      <c r="V4382" s="494">
        <v>120</v>
      </c>
      <c r="W4382" s="2041" t="e">
        <f t="shared" si="389"/>
        <v>#DIV/0!</v>
      </c>
    </row>
    <row r="4383" spans="1:23" s="7" customFormat="1" ht="18" customHeight="1">
      <c r="C4383" s="6"/>
      <c r="D4383" s="15" t="s">
        <v>8971</v>
      </c>
      <c r="E4383" s="20" t="s">
        <v>8970</v>
      </c>
      <c r="F4383" s="150"/>
      <c r="G4383" s="24"/>
      <c r="H4383" s="151"/>
      <c r="I4383" s="152"/>
      <c r="J4383" s="151"/>
      <c r="K4383" s="153" t="s">
        <v>10</v>
      </c>
      <c r="L4383" s="39"/>
      <c r="M4383" s="39"/>
      <c r="N4383" s="39"/>
      <c r="O4383" s="38"/>
      <c r="P4383" s="113"/>
      <c r="Q4383" s="113"/>
      <c r="S4383" s="7">
        <f>P4383</f>
        <v>0</v>
      </c>
      <c r="T4383" s="2604">
        <f>Q4383</f>
        <v>0</v>
      </c>
      <c r="U4383" s="15"/>
    </row>
    <row r="4384" spans="1:23" s="7" customFormat="1" ht="18" customHeight="1">
      <c r="B4384" s="7" t="s">
        <v>1856</v>
      </c>
      <c r="C4384" s="6"/>
      <c r="D4384" s="15" t="s">
        <v>8971</v>
      </c>
      <c r="E4384" s="95">
        <v>1966</v>
      </c>
      <c r="F4384" s="2605"/>
      <c r="G4384" s="24" t="s">
        <v>9191</v>
      </c>
      <c r="H4384" s="151">
        <v>30</v>
      </c>
      <c r="I4384" s="152">
        <v>1</v>
      </c>
      <c r="J4384" s="67">
        <f>H4384*I4384</f>
        <v>30</v>
      </c>
      <c r="K4384" s="46">
        <v>0.9</v>
      </c>
      <c r="L4384" s="46">
        <f>K4384*J4384</f>
        <v>27</v>
      </c>
      <c r="M4384" s="162" t="s">
        <v>2219</v>
      </c>
      <c r="N4384" s="39"/>
      <c r="O4384" s="38"/>
      <c r="P4384" s="46">
        <f>K4384*(VLOOKUP(B4384,$C$2:$F$6,3,FALSE))</f>
        <v>0.79200000000000004</v>
      </c>
      <c r="Q4384" s="180">
        <v>0.79</v>
      </c>
      <c r="R4384" s="704">
        <f>Q4384*J4384</f>
        <v>23.700000000000003</v>
      </c>
      <c r="S4384" s="489">
        <v>54</v>
      </c>
      <c r="T4384" s="113">
        <f>S4384*J4384</f>
        <v>1620</v>
      </c>
      <c r="U4384" s="489"/>
      <c r="V4384" s="494">
        <v>120</v>
      </c>
      <c r="W4384" s="2041">
        <f t="shared" ref="W4384:W4392" si="396">(((K4384*V4384)-S4384)/(K4384*V4384))</f>
        <v>0.5</v>
      </c>
    </row>
    <row r="4385" spans="1:23" ht="18" customHeight="1">
      <c r="B4385" s="12" t="s">
        <v>1862</v>
      </c>
      <c r="C4385" s="6"/>
      <c r="D4385" s="15" t="s">
        <v>8971</v>
      </c>
      <c r="E4385" s="24"/>
      <c r="F4385" s="138"/>
      <c r="G4385" s="44" t="s">
        <v>1993</v>
      </c>
      <c r="H4385" s="8"/>
      <c r="I4385" s="41"/>
      <c r="J4385" s="45">
        <v>1</v>
      </c>
      <c r="K4385" s="46">
        <v>12</v>
      </c>
      <c r="L4385" s="46">
        <f>K4385*J4385</f>
        <v>12</v>
      </c>
      <c r="M4385" s="112"/>
      <c r="N4385" s="39"/>
      <c r="O4385" s="38"/>
      <c r="P4385" s="46">
        <f>K4385*(VLOOKUP(B4385,$C$2:$F$6,3,FALSE))</f>
        <v>12</v>
      </c>
      <c r="Q4385" s="483">
        <v>12</v>
      </c>
      <c r="R4385" s="704">
        <f>Q4385*J4385</f>
        <v>12</v>
      </c>
      <c r="S4385" s="490">
        <v>900</v>
      </c>
      <c r="T4385" s="1176">
        <f>S4385*J4385</f>
        <v>900</v>
      </c>
      <c r="U4385" s="511"/>
      <c r="V4385" s="494">
        <v>120</v>
      </c>
      <c r="W4385" s="2041">
        <f t="shared" si="396"/>
        <v>0.375</v>
      </c>
    </row>
    <row r="4386" spans="1:23" s="314" customFormat="1" ht="15">
      <c r="B4386" s="313"/>
      <c r="C4386" s="302"/>
      <c r="D4386" s="303" t="s">
        <v>8971</v>
      </c>
      <c r="E4386" s="371"/>
      <c r="F4386" s="305"/>
      <c r="G4386" s="2049" t="s">
        <v>1227</v>
      </c>
      <c r="H4386" s="307" t="s">
        <v>1228</v>
      </c>
      <c r="I4386" s="308"/>
      <c r="J4386" s="306"/>
      <c r="K4386" s="315">
        <v>0</v>
      </c>
      <c r="L4386" s="310"/>
      <c r="M4386" s="310"/>
      <c r="N4386" s="310"/>
      <c r="O4386" s="309"/>
      <c r="P4386" s="302"/>
      <c r="Q4386" s="485">
        <v>0</v>
      </c>
      <c r="S4386" s="535">
        <v>0</v>
      </c>
      <c r="T4386" s="322">
        <v>0</v>
      </c>
      <c r="U4386" s="515"/>
      <c r="V4386" s="494">
        <v>120</v>
      </c>
      <c r="W4386" s="2041" t="e">
        <f t="shared" si="396"/>
        <v>#DIV/0!</v>
      </c>
    </row>
    <row r="4387" spans="1:23" s="7" customFormat="1" ht="15">
      <c r="B4387" s="12"/>
      <c r="C4387" s="6" t="s">
        <v>9192</v>
      </c>
      <c r="D4387" s="15" t="s">
        <v>3026</v>
      </c>
      <c r="E4387" s="20" t="s">
        <v>408</v>
      </c>
      <c r="F4387" s="44"/>
      <c r="G4387" s="44"/>
      <c r="H4387" s="151"/>
      <c r="I4387" s="151"/>
      <c r="J4387" s="151"/>
      <c r="K4387" s="17" t="s">
        <v>134</v>
      </c>
      <c r="L4387" s="39"/>
      <c r="M4387" s="39"/>
      <c r="N4387" s="39">
        <v>46087</v>
      </c>
      <c r="O4387" s="38">
        <v>7898</v>
      </c>
      <c r="P4387" s="6"/>
      <c r="Q4387" s="524"/>
      <c r="S4387" s="489"/>
      <c r="T4387" s="113"/>
      <c r="U4387" s="501"/>
      <c r="V4387" s="494">
        <v>120</v>
      </c>
      <c r="W4387" s="2041" t="e">
        <f t="shared" si="396"/>
        <v>#VALUE!</v>
      </c>
    </row>
    <row r="4388" spans="1:23" s="7" customFormat="1" ht="15" customHeight="1">
      <c r="B4388" s="12" t="s">
        <v>1856</v>
      </c>
      <c r="C4388" s="6" t="s">
        <v>9192</v>
      </c>
      <c r="D4388" s="15" t="s">
        <v>3026</v>
      </c>
      <c r="E4388" s="24" t="s">
        <v>5772</v>
      </c>
      <c r="F4388" s="26"/>
      <c r="G4388" s="24" t="s">
        <v>17</v>
      </c>
      <c r="H4388" s="67">
        <v>50</v>
      </c>
      <c r="I4388" s="68">
        <v>60</v>
      </c>
      <c r="J4388" s="8">
        <f>H4388*I4388</f>
        <v>3000</v>
      </c>
      <c r="K4388" s="46">
        <v>0.3</v>
      </c>
      <c r="L4388" s="46">
        <f>K4388*J4388</f>
        <v>900</v>
      </c>
      <c r="M4388" s="162" t="s">
        <v>2219</v>
      </c>
      <c r="N4388" s="39">
        <v>46087</v>
      </c>
      <c r="O4388" s="38">
        <v>7898</v>
      </c>
      <c r="P4388" s="46">
        <f>K4388*(VLOOKUP(B4388,$C$2:$F$6,3,FALSE))</f>
        <v>0.26400000000000001</v>
      </c>
      <c r="Q4388" s="482">
        <v>0.26</v>
      </c>
      <c r="R4388" s="704">
        <f>Q4388*J4388</f>
        <v>780</v>
      </c>
      <c r="S4388" s="489">
        <v>17</v>
      </c>
      <c r="T4388" s="113">
        <f>S4388*J4388</f>
        <v>51000</v>
      </c>
      <c r="U4388" s="1603"/>
      <c r="V4388" s="494">
        <v>120</v>
      </c>
      <c r="W4388" s="2041">
        <f t="shared" si="396"/>
        <v>0.52777777777777779</v>
      </c>
    </row>
    <row r="4389" spans="1:23" ht="15.95" customHeight="1">
      <c r="C4389" s="6" t="s">
        <v>9192</v>
      </c>
      <c r="D4389" s="15" t="s">
        <v>3026</v>
      </c>
      <c r="E4389" s="24"/>
      <c r="F4389" s="138"/>
      <c r="G4389" s="44" t="s">
        <v>1993</v>
      </c>
      <c r="H4389" s="8"/>
      <c r="I4389" s="68"/>
      <c r="J4389" s="45">
        <v>1</v>
      </c>
      <c r="K4389" s="46">
        <v>12</v>
      </c>
      <c r="L4389" s="46">
        <f>K4389*J4389</f>
        <v>12</v>
      </c>
      <c r="M4389" s="112"/>
      <c r="N4389" s="39">
        <v>46087</v>
      </c>
      <c r="O4389" s="38">
        <v>7898</v>
      </c>
      <c r="P4389" s="46" t="e">
        <f>K4389*(VLOOKUP(B4389,$C$2:$F$6,3,FALSE))</f>
        <v>#N/A</v>
      </c>
      <c r="Q4389" s="180">
        <v>12</v>
      </c>
      <c r="R4389" s="180">
        <v>12</v>
      </c>
      <c r="S4389" s="498">
        <v>0</v>
      </c>
      <c r="T4389" s="113">
        <f>S4389*J4389</f>
        <v>0</v>
      </c>
      <c r="U4389" s="511"/>
      <c r="V4389" s="494">
        <v>120</v>
      </c>
      <c r="W4389" s="2041">
        <f t="shared" si="396"/>
        <v>1</v>
      </c>
    </row>
    <row r="4390" spans="1:23" s="314" customFormat="1" ht="15.6" customHeight="1">
      <c r="B4390" s="313"/>
      <c r="C4390" s="302" t="s">
        <v>9192</v>
      </c>
      <c r="D4390" s="303" t="s">
        <v>3026</v>
      </c>
      <c r="E4390" s="304"/>
      <c r="F4390" s="305"/>
      <c r="G4390" s="305" t="s">
        <v>1227</v>
      </c>
      <c r="H4390" s="307" t="s">
        <v>3438</v>
      </c>
      <c r="I4390" s="308"/>
      <c r="J4390" s="306"/>
      <c r="K4390" s="329">
        <v>252</v>
      </c>
      <c r="L4390" s="329">
        <v>252</v>
      </c>
      <c r="M4390" s="310"/>
      <c r="N4390" s="310">
        <v>46087</v>
      </c>
      <c r="O4390" s="309">
        <v>7898</v>
      </c>
      <c r="P4390" s="302"/>
      <c r="Q4390" s="329">
        <v>252</v>
      </c>
      <c r="R4390" s="329">
        <v>252</v>
      </c>
      <c r="S4390" s="329">
        <v>252</v>
      </c>
      <c r="T4390" s="329">
        <v>252</v>
      </c>
      <c r="U4390" s="1115"/>
      <c r="V4390" s="494">
        <v>120</v>
      </c>
      <c r="W4390" s="2041">
        <f t="shared" si="396"/>
        <v>0.9916666666666667</v>
      </c>
    </row>
    <row r="4391" spans="1:23" ht="15">
      <c r="C4391" s="6" t="s">
        <v>9194</v>
      </c>
      <c r="D4391" s="15" t="s">
        <v>11</v>
      </c>
      <c r="E4391" s="20" t="s">
        <v>79</v>
      </c>
      <c r="F4391" s="150"/>
      <c r="G4391" s="24"/>
      <c r="H4391" s="151"/>
      <c r="I4391" s="152"/>
      <c r="J4391" s="151"/>
      <c r="K4391" s="153" t="s">
        <v>10</v>
      </c>
      <c r="L4391" s="39"/>
      <c r="M4391" s="39"/>
      <c r="N4391" s="39">
        <v>46086</v>
      </c>
      <c r="O4391" s="38">
        <v>7935</v>
      </c>
      <c r="P4391" s="15"/>
      <c r="Q4391" s="483"/>
      <c r="S4391" s="2503"/>
      <c r="T4391" s="113"/>
      <c r="V4391" s="494">
        <v>120</v>
      </c>
      <c r="W4391" s="2041" t="e">
        <f t="shared" si="396"/>
        <v>#VALUE!</v>
      </c>
    </row>
    <row r="4392" spans="1:23" ht="15.75">
      <c r="B4392" s="12" t="s">
        <v>1858</v>
      </c>
      <c r="C4392" s="6" t="s">
        <v>9194</v>
      </c>
      <c r="D4392" s="15" t="s">
        <v>11</v>
      </c>
      <c r="E4392" s="24" t="s">
        <v>8774</v>
      </c>
      <c r="F4392" s="150">
        <v>152</v>
      </c>
      <c r="G4392" s="24" t="s">
        <v>9169</v>
      </c>
      <c r="H4392" s="67">
        <v>58</v>
      </c>
      <c r="I4392" s="68">
        <v>9</v>
      </c>
      <c r="J4392" s="67">
        <f t="shared" ref="J4392" si="397">H4392*I4392</f>
        <v>522</v>
      </c>
      <c r="K4392" s="46">
        <v>4.3</v>
      </c>
      <c r="L4392" s="46">
        <f t="shared" ref="L4392" si="398">K4392*J4392</f>
        <v>2244.6</v>
      </c>
      <c r="M4392" s="162" t="s">
        <v>2219</v>
      </c>
      <c r="N4392" s="39">
        <v>46086</v>
      </c>
      <c r="O4392" s="38">
        <v>7935</v>
      </c>
      <c r="P4392" s="46">
        <f t="shared" ref="P4392" si="399">K4392*(VLOOKUP(B4392,$C$2:$F$6,3,FALSE))</f>
        <v>4.0419999999999998</v>
      </c>
      <c r="Q4392" s="483">
        <v>4.04</v>
      </c>
      <c r="R4392" s="704">
        <f t="shared" ref="R4392" si="400">Q4392*J4392</f>
        <v>2108.88</v>
      </c>
      <c r="S4392" s="489">
        <v>340</v>
      </c>
      <c r="T4392" s="567">
        <f t="shared" ref="T4392" si="401">S4392*J4392</f>
        <v>177480</v>
      </c>
      <c r="V4392" s="494">
        <v>120</v>
      </c>
      <c r="W4392" s="2041">
        <f t="shared" si="396"/>
        <v>0.34108527131782945</v>
      </c>
    </row>
    <row r="4393" spans="1:23" s="217" customFormat="1" ht="15.95" customHeight="1">
      <c r="B4393" s="539"/>
      <c r="C4393" s="6" t="s">
        <v>9194</v>
      </c>
      <c r="D4393" s="15" t="s">
        <v>11</v>
      </c>
      <c r="E4393" s="56"/>
      <c r="F4393" s="160"/>
      <c r="G4393" s="42" t="s">
        <v>1993</v>
      </c>
      <c r="H4393" s="214"/>
      <c r="I4393" s="215"/>
      <c r="J4393" s="43">
        <v>1</v>
      </c>
      <c r="K4393" s="229">
        <v>20</v>
      </c>
      <c r="L4393" s="229">
        <v>0</v>
      </c>
      <c r="M4393" s="969"/>
      <c r="N4393" s="39">
        <v>46086</v>
      </c>
      <c r="O4393" s="38">
        <v>7935</v>
      </c>
      <c r="P4393" s="692"/>
      <c r="Q4393" s="970">
        <v>0</v>
      </c>
      <c r="R4393" s="970">
        <v>0</v>
      </c>
      <c r="S4393" s="498">
        <v>2500</v>
      </c>
      <c r="T4393" s="567">
        <f>S4393</f>
        <v>2500</v>
      </c>
      <c r="U4393" s="667"/>
      <c r="V4393" s="547">
        <v>120</v>
      </c>
      <c r="W4393" s="2051">
        <f>(((K4393*V4393)-S4393)/(K4393*V4393))</f>
        <v>-4.1666666666666664E-2</v>
      </c>
    </row>
    <row r="4394" spans="1:23" s="314" customFormat="1" ht="15" customHeight="1">
      <c r="A4394" s="1"/>
      <c r="B4394" s="313"/>
      <c r="C4394" s="302" t="s">
        <v>9194</v>
      </c>
      <c r="D4394" s="303" t="s">
        <v>11</v>
      </c>
      <c r="E4394" s="304"/>
      <c r="F4394" s="305"/>
      <c r="G4394" s="305" t="s">
        <v>1227</v>
      </c>
      <c r="H4394" s="307" t="s">
        <v>1228</v>
      </c>
      <c r="I4394" s="308"/>
      <c r="J4394" s="306"/>
      <c r="K4394" s="316">
        <v>0</v>
      </c>
      <c r="L4394" s="310"/>
      <c r="M4394" s="310"/>
      <c r="N4394" s="310">
        <v>46086</v>
      </c>
      <c r="O4394" s="309">
        <v>7935</v>
      </c>
      <c r="P4394" s="302"/>
      <c r="Q4394" s="485">
        <v>0</v>
      </c>
      <c r="S4394" s="536">
        <v>0</v>
      </c>
      <c r="T4394" s="322">
        <v>0</v>
      </c>
      <c r="U4394" s="515"/>
      <c r="V4394" s="494">
        <v>120</v>
      </c>
      <c r="W4394" s="2041" t="e">
        <f t="shared" ref="W4394:W4396" si="402">(((K4394*V4394)-S4394)/(K4394*V4394))</f>
        <v>#DIV/0!</v>
      </c>
    </row>
    <row r="4395" spans="1:23" ht="18" customHeight="1">
      <c r="C4395" s="6" t="s">
        <v>9205</v>
      </c>
      <c r="D4395" s="15" t="s">
        <v>9201</v>
      </c>
      <c r="E4395" s="20" t="s">
        <v>260</v>
      </c>
      <c r="F4395" s="44"/>
      <c r="G4395" s="44"/>
      <c r="H4395" s="151"/>
      <c r="I4395" s="151"/>
      <c r="J4395" s="151"/>
      <c r="K4395" s="34" t="s">
        <v>134</v>
      </c>
      <c r="L4395" s="39"/>
      <c r="M4395" s="39"/>
      <c r="N4395" s="39">
        <v>46092</v>
      </c>
      <c r="O4395" s="38">
        <v>7952</v>
      </c>
      <c r="P4395" s="6"/>
      <c r="Q4395" s="524"/>
      <c r="S4395" s="1995"/>
      <c r="T4395" s="113"/>
      <c r="U4395" s="501"/>
      <c r="V4395" s="494">
        <v>120</v>
      </c>
      <c r="W4395" s="2041" t="e">
        <f t="shared" si="402"/>
        <v>#VALUE!</v>
      </c>
    </row>
    <row r="4396" spans="1:23" ht="18" customHeight="1">
      <c r="B4396" s="28" t="s">
        <v>1856</v>
      </c>
      <c r="C4396" s="6" t="s">
        <v>9205</v>
      </c>
      <c r="D4396" s="15" t="s">
        <v>9201</v>
      </c>
      <c r="E4396" s="24">
        <v>4141</v>
      </c>
      <c r="F4396" s="44">
        <v>6</v>
      </c>
      <c r="G4396" s="24" t="s">
        <v>9202</v>
      </c>
      <c r="H4396" s="67">
        <v>20</v>
      </c>
      <c r="I4396" s="68">
        <v>3</v>
      </c>
      <c r="J4396" s="67">
        <f>H4396*I4396</f>
        <v>60</v>
      </c>
      <c r="K4396" s="46">
        <v>1.47</v>
      </c>
      <c r="L4396" s="46">
        <f>K4396*J4396</f>
        <v>88.2</v>
      </c>
      <c r="M4396" s="162" t="s">
        <v>2219</v>
      </c>
      <c r="N4396" s="39">
        <v>46092</v>
      </c>
      <c r="O4396" s="38">
        <v>7952</v>
      </c>
      <c r="P4396" s="46">
        <f>K4396*(VLOOKUP(B4396,$C$2:$F$6,3,FALSE))</f>
        <v>1.2936000000000001</v>
      </c>
      <c r="Q4396" s="482">
        <v>1.29</v>
      </c>
      <c r="R4396" s="704">
        <f>Q4396*J4396</f>
        <v>77.400000000000006</v>
      </c>
      <c r="S4396" s="489">
        <v>96</v>
      </c>
      <c r="T4396" s="113">
        <f>S4396*J4396</f>
        <v>5760</v>
      </c>
      <c r="U4396" s="699"/>
      <c r="V4396" s="494">
        <v>120</v>
      </c>
      <c r="W4396" s="2041">
        <f t="shared" si="402"/>
        <v>0.45578231292517007</v>
      </c>
    </row>
    <row r="4397" spans="1:23" ht="18" customHeight="1">
      <c r="B4397" s="28" t="s">
        <v>1856</v>
      </c>
      <c r="C4397" s="6" t="s">
        <v>9205</v>
      </c>
      <c r="D4397" s="15" t="s">
        <v>9201</v>
      </c>
      <c r="E4397" s="24">
        <v>4141</v>
      </c>
      <c r="F4397" s="44">
        <v>6</v>
      </c>
      <c r="G4397" s="24" t="s">
        <v>9203</v>
      </c>
      <c r="H4397" s="67">
        <v>20</v>
      </c>
      <c r="I4397" s="68">
        <v>3</v>
      </c>
      <c r="J4397" s="67">
        <f>H4397*I4397</f>
        <v>60</v>
      </c>
      <c r="K4397" s="46">
        <v>1.47</v>
      </c>
      <c r="L4397" s="46">
        <f>K4397*J4397</f>
        <v>88.2</v>
      </c>
      <c r="M4397" s="162" t="s">
        <v>2219</v>
      </c>
      <c r="N4397" s="39">
        <v>46092</v>
      </c>
      <c r="O4397" s="38">
        <v>7952</v>
      </c>
      <c r="P4397" s="46">
        <f>K4397*(VLOOKUP(B4397,$C$2:$F$6,3,FALSE))</f>
        <v>1.2936000000000001</v>
      </c>
      <c r="Q4397" s="482">
        <v>1.29</v>
      </c>
      <c r="R4397" s="704">
        <f>Q4397*J4397</f>
        <v>77.400000000000006</v>
      </c>
      <c r="S4397" s="489">
        <f>96</f>
        <v>96</v>
      </c>
      <c r="T4397" s="113">
        <f>S4397*J4397</f>
        <v>5760</v>
      </c>
      <c r="U4397" s="699"/>
      <c r="V4397" s="494">
        <v>120</v>
      </c>
      <c r="W4397" s="2041">
        <f>(((K4397*V4397)-S4397)/(K4397*V4397))</f>
        <v>0.45578231292517007</v>
      </c>
    </row>
    <row r="4398" spans="1:23" ht="15.95" customHeight="1">
      <c r="C4398" s="6" t="s">
        <v>9205</v>
      </c>
      <c r="D4398" s="15" t="s">
        <v>9201</v>
      </c>
      <c r="E4398" s="24"/>
      <c r="F4398" s="138"/>
      <c r="G4398" s="44" t="s">
        <v>1993</v>
      </c>
      <c r="H4398" s="8"/>
      <c r="I4398" s="68"/>
      <c r="J4398" s="45">
        <v>1</v>
      </c>
      <c r="K4398" s="46">
        <v>12</v>
      </c>
      <c r="L4398" s="46">
        <f>K4398*J4398</f>
        <v>12</v>
      </c>
      <c r="M4398" s="112"/>
      <c r="N4398" s="39">
        <v>46092</v>
      </c>
      <c r="O4398" s="38">
        <v>7952</v>
      </c>
      <c r="P4398" s="46" t="e">
        <f>K4398*(VLOOKUP(B4398,$C$2:$F$6,3,FALSE))</f>
        <v>#N/A</v>
      </c>
      <c r="Q4398" s="180">
        <v>12</v>
      </c>
      <c r="R4398" s="180">
        <v>12</v>
      </c>
      <c r="S4398" s="498">
        <v>1300</v>
      </c>
      <c r="T4398" s="113">
        <f>S4398*J4398</f>
        <v>1300</v>
      </c>
      <c r="U4398" s="511"/>
      <c r="V4398" s="494">
        <v>120</v>
      </c>
      <c r="W4398" s="2041">
        <f t="shared" ref="W4398" si="403">(((K4398*V4398)-S4398)/(K4398*V4398))</f>
        <v>9.7222222222222224E-2</v>
      </c>
    </row>
    <row r="4399" spans="1:23" s="314" customFormat="1" ht="15">
      <c r="A4399" s="1"/>
      <c r="B4399" s="313"/>
      <c r="C4399" s="302" t="s">
        <v>9205</v>
      </c>
      <c r="D4399" s="303" t="s">
        <v>9201</v>
      </c>
      <c r="E4399" s="304"/>
      <c r="F4399" s="305"/>
      <c r="G4399" s="305" t="s">
        <v>1227</v>
      </c>
      <c r="H4399" s="307" t="s">
        <v>1228</v>
      </c>
      <c r="I4399" s="308"/>
      <c r="J4399" s="306"/>
      <c r="K4399" s="315">
        <v>0</v>
      </c>
      <c r="L4399" s="310"/>
      <c r="M4399" s="310"/>
      <c r="N4399" s="310">
        <v>46092</v>
      </c>
      <c r="O4399" s="309">
        <v>7952</v>
      </c>
      <c r="P4399" s="302"/>
      <c r="Q4399" s="485">
        <v>0</v>
      </c>
      <c r="S4399" s="536">
        <v>0</v>
      </c>
      <c r="T4399" s="322">
        <v>0</v>
      </c>
      <c r="U4399" s="515"/>
      <c r="V4399" s="494">
        <v>120</v>
      </c>
      <c r="W4399" s="2041" t="e">
        <f t="shared" ref="W4399:W4415" si="404">(((K4399*V4399)-S4399)/(K4399*V4399))</f>
        <v>#DIV/0!</v>
      </c>
    </row>
    <row r="4400" spans="1:23" s="7" customFormat="1" ht="15" customHeight="1">
      <c r="A4400" s="1"/>
      <c r="B4400" s="12"/>
      <c r="C4400" s="6" t="s">
        <v>9226</v>
      </c>
      <c r="D4400" s="15" t="s">
        <v>9227</v>
      </c>
      <c r="E4400" s="20" t="s">
        <v>8252</v>
      </c>
      <c r="F4400" s="26"/>
      <c r="G4400" s="24"/>
      <c r="H4400" s="67"/>
      <c r="I4400" s="68"/>
      <c r="J4400" s="67"/>
      <c r="K4400" s="17" t="s">
        <v>10</v>
      </c>
      <c r="L4400" s="39"/>
      <c r="M4400" s="39"/>
      <c r="N4400" s="39"/>
      <c r="O4400" s="38"/>
      <c r="P4400" s="180" t="e">
        <f t="shared" ref="P4400:P4406" si="405">K4400*(VLOOKUP(B4400,$C$2:$F$6,3,FALSE))</f>
        <v>#VALUE!</v>
      </c>
      <c r="Q4400" s="483"/>
      <c r="R4400" s="704"/>
      <c r="S4400" s="2458" t="s">
        <v>9228</v>
      </c>
      <c r="T4400" s="113"/>
      <c r="U4400" s="517"/>
      <c r="V4400" s="494">
        <v>120</v>
      </c>
      <c r="W4400" s="2041" t="e">
        <f t="shared" si="404"/>
        <v>#VALUE!</v>
      </c>
    </row>
    <row r="4401" spans="1:23" s="7" customFormat="1" ht="15.75" customHeight="1">
      <c r="A4401" s="1"/>
      <c r="B4401" s="12" t="s">
        <v>1856</v>
      </c>
      <c r="C4401" s="6" t="s">
        <v>9226</v>
      </c>
      <c r="D4401" s="15" t="s">
        <v>9227</v>
      </c>
      <c r="E4401" s="56" t="s">
        <v>8711</v>
      </c>
      <c r="F4401" s="26" t="s">
        <v>9229</v>
      </c>
      <c r="G4401" s="24" t="s">
        <v>8958</v>
      </c>
      <c r="H4401" s="151"/>
      <c r="I4401" s="41"/>
      <c r="J4401" s="67">
        <v>581</v>
      </c>
      <c r="K4401" s="25">
        <v>6.39</v>
      </c>
      <c r="L4401" s="46">
        <f t="shared" ref="L4401:L4406" si="406">K4401*J4401</f>
        <v>3712.5899999999997</v>
      </c>
      <c r="M4401" s="162" t="s">
        <v>2219</v>
      </c>
      <c r="N4401" s="239" t="s">
        <v>9233</v>
      </c>
      <c r="O4401" s="38"/>
      <c r="P4401" s="180">
        <f t="shared" si="405"/>
        <v>5.6231999999999998</v>
      </c>
      <c r="Q4401" s="483">
        <v>5.62</v>
      </c>
      <c r="R4401" s="704">
        <f t="shared" ref="R4401:R4406" si="407">Q4401*J4401</f>
        <v>3265.2200000000003</v>
      </c>
      <c r="S4401" s="489">
        <f>340+120</f>
        <v>460</v>
      </c>
      <c r="T4401" s="113">
        <f t="shared" ref="T4401:T4406" si="408">S4401*J4401</f>
        <v>267260</v>
      </c>
      <c r="U4401" s="517"/>
      <c r="V4401" s="494">
        <v>120</v>
      </c>
      <c r="W4401" s="2041">
        <f t="shared" si="404"/>
        <v>0.40010432968179444</v>
      </c>
    </row>
    <row r="4402" spans="1:23" s="7" customFormat="1" ht="15.75" customHeight="1">
      <c r="A4402" s="1"/>
      <c r="B4402" s="12" t="s">
        <v>1856</v>
      </c>
      <c r="C4402" s="6" t="s">
        <v>9226</v>
      </c>
      <c r="D4402" s="15" t="s">
        <v>9227</v>
      </c>
      <c r="E4402" s="56" t="s">
        <v>8711</v>
      </c>
      <c r="F4402" s="26" t="s">
        <v>9229</v>
      </c>
      <c r="G4402" s="24" t="s">
        <v>8966</v>
      </c>
      <c r="H4402" s="151"/>
      <c r="I4402" s="41"/>
      <c r="J4402" s="67">
        <v>201</v>
      </c>
      <c r="K4402" s="25">
        <v>6.39</v>
      </c>
      <c r="L4402" s="46">
        <f>K4402*J4402</f>
        <v>1284.3899999999999</v>
      </c>
      <c r="M4402" s="162" t="s">
        <v>2219</v>
      </c>
      <c r="N4402" s="239" t="s">
        <v>9233</v>
      </c>
      <c r="O4402" s="38"/>
      <c r="P4402" s="180">
        <f>K4402*(VLOOKUP(B4402,$C$2:$F$6,3,FALSE))</f>
        <v>5.6231999999999998</v>
      </c>
      <c r="Q4402" s="483">
        <v>5.62</v>
      </c>
      <c r="R4402" s="704">
        <f>Q4402*J4402</f>
        <v>1129.6200000000001</v>
      </c>
      <c r="S4402" s="489">
        <f>340+120</f>
        <v>460</v>
      </c>
      <c r="T4402" s="113">
        <f>S4402*J4402</f>
        <v>92460</v>
      </c>
      <c r="U4402" s="517"/>
      <c r="V4402" s="494">
        <v>120</v>
      </c>
      <c r="W4402" s="2041">
        <f>(((K4402*V4402)-S4402)/(K4402*V4402))</f>
        <v>0.40010432968179444</v>
      </c>
    </row>
    <row r="4403" spans="1:23" s="7" customFormat="1" ht="15.75" customHeight="1">
      <c r="A4403" s="1"/>
      <c r="B4403" s="12" t="s">
        <v>1856</v>
      </c>
      <c r="C4403" s="6" t="s">
        <v>9226</v>
      </c>
      <c r="D4403" s="15" t="s">
        <v>9227</v>
      </c>
      <c r="E4403" s="56" t="s">
        <v>8711</v>
      </c>
      <c r="F4403" s="26" t="s">
        <v>9229</v>
      </c>
      <c r="G4403" s="24" t="s">
        <v>8959</v>
      </c>
      <c r="H4403" s="151"/>
      <c r="I4403" s="41"/>
      <c r="J4403" s="67">
        <v>311</v>
      </c>
      <c r="K4403" s="25">
        <v>6.39</v>
      </c>
      <c r="L4403" s="46">
        <f>K4403*J4403</f>
        <v>1987.29</v>
      </c>
      <c r="M4403" s="162" t="s">
        <v>2219</v>
      </c>
      <c r="N4403" s="239" t="s">
        <v>9233</v>
      </c>
      <c r="O4403" s="38"/>
      <c r="P4403" s="180">
        <f>K4403*(VLOOKUP(B4403,$C$2:$F$6,3,FALSE))</f>
        <v>5.6231999999999998</v>
      </c>
      <c r="Q4403" s="483">
        <v>5.62</v>
      </c>
      <c r="R4403" s="704">
        <f>Q4403*J4403</f>
        <v>1747.82</v>
      </c>
      <c r="S4403" s="489">
        <f>340+120</f>
        <v>460</v>
      </c>
      <c r="T4403" s="113">
        <f>S4403*J4403</f>
        <v>143060</v>
      </c>
      <c r="U4403" s="517"/>
      <c r="V4403" s="494">
        <v>120</v>
      </c>
      <c r="W4403" s="2041">
        <f>(((K4403*V4403)-S4403)/(K4403*V4403))</f>
        <v>0.40010432968179444</v>
      </c>
    </row>
    <row r="4404" spans="1:23" s="7" customFormat="1" ht="15.75" customHeight="1">
      <c r="A4404" s="1"/>
      <c r="B4404" s="12" t="s">
        <v>1856</v>
      </c>
      <c r="C4404" s="6" t="s">
        <v>9226</v>
      </c>
      <c r="D4404" s="15" t="s">
        <v>9227</v>
      </c>
      <c r="E4404" s="56" t="s">
        <v>8712</v>
      </c>
      <c r="F4404" s="26" t="s">
        <v>9230</v>
      </c>
      <c r="G4404" s="24" t="s">
        <v>8958</v>
      </c>
      <c r="H4404" s="151"/>
      <c r="I4404" s="41"/>
      <c r="J4404" s="67">
        <v>640</v>
      </c>
      <c r="K4404" s="25">
        <v>4.96</v>
      </c>
      <c r="L4404" s="46">
        <f t="shared" si="406"/>
        <v>3174.4</v>
      </c>
      <c r="M4404" s="162" t="s">
        <v>2219</v>
      </c>
      <c r="N4404" s="239" t="s">
        <v>9233</v>
      </c>
      <c r="O4404" s="38"/>
      <c r="P4404" s="180">
        <f t="shared" si="405"/>
        <v>4.3647999999999998</v>
      </c>
      <c r="Q4404" s="483">
        <v>4.3600000000000003</v>
      </c>
      <c r="R4404" s="704">
        <f t="shared" si="407"/>
        <v>2790.4</v>
      </c>
      <c r="S4404" s="489">
        <f>247+110</f>
        <v>357</v>
      </c>
      <c r="T4404" s="113">
        <f t="shared" si="408"/>
        <v>228480</v>
      </c>
      <c r="U4404" s="517"/>
      <c r="V4404" s="494">
        <v>120</v>
      </c>
      <c r="W4404" s="2041">
        <f t="shared" si="404"/>
        <v>0.40020161290322587</v>
      </c>
    </row>
    <row r="4405" spans="1:23" s="7" customFormat="1" ht="15.75" customHeight="1">
      <c r="A4405" s="1"/>
      <c r="B4405" s="12" t="s">
        <v>1856</v>
      </c>
      <c r="C4405" s="6" t="s">
        <v>9226</v>
      </c>
      <c r="D4405" s="15" t="s">
        <v>9227</v>
      </c>
      <c r="E4405" s="56" t="s">
        <v>8712</v>
      </c>
      <c r="F4405" s="26" t="s">
        <v>9230</v>
      </c>
      <c r="G4405" s="24" t="s">
        <v>8966</v>
      </c>
      <c r="H4405" s="151"/>
      <c r="I4405" s="41"/>
      <c r="J4405" s="67">
        <v>174</v>
      </c>
      <c r="K4405" s="25">
        <v>4.96</v>
      </c>
      <c r="L4405" s="46">
        <f>K4405*J4405</f>
        <v>863.04</v>
      </c>
      <c r="M4405" s="162" t="s">
        <v>2219</v>
      </c>
      <c r="N4405" s="239" t="s">
        <v>9233</v>
      </c>
      <c r="O4405" s="38"/>
      <c r="P4405" s="180">
        <f>K4405*(VLOOKUP(B4405,$C$2:$F$6,3,FALSE))</f>
        <v>4.3647999999999998</v>
      </c>
      <c r="Q4405" s="483">
        <v>4.3600000000000003</v>
      </c>
      <c r="R4405" s="704">
        <f>Q4405*J4405</f>
        <v>758.6400000000001</v>
      </c>
      <c r="S4405" s="489">
        <f>247+110</f>
        <v>357</v>
      </c>
      <c r="T4405" s="113">
        <f>S4405*J4405</f>
        <v>62118</v>
      </c>
      <c r="U4405" s="517"/>
      <c r="V4405" s="494">
        <v>120</v>
      </c>
      <c r="W4405" s="2041">
        <f>(((K4405*V4405)-S4405)/(K4405*V4405))</f>
        <v>0.40020161290322587</v>
      </c>
    </row>
    <row r="4406" spans="1:23" s="7" customFormat="1" ht="15.75" customHeight="1">
      <c r="A4406" s="1"/>
      <c r="B4406" s="12" t="s">
        <v>1856</v>
      </c>
      <c r="C4406" s="6" t="s">
        <v>9226</v>
      </c>
      <c r="D4406" s="15" t="s">
        <v>9227</v>
      </c>
      <c r="E4406" s="56" t="s">
        <v>8712</v>
      </c>
      <c r="F4406" s="26" t="s">
        <v>9230</v>
      </c>
      <c r="G4406" s="24" t="s">
        <v>8959</v>
      </c>
      <c r="H4406" s="151"/>
      <c r="I4406" s="41"/>
      <c r="J4406" s="67">
        <v>384</v>
      </c>
      <c r="K4406" s="25">
        <v>4.96</v>
      </c>
      <c r="L4406" s="46">
        <f t="shared" si="406"/>
        <v>1904.6399999999999</v>
      </c>
      <c r="M4406" s="162" t="s">
        <v>2219</v>
      </c>
      <c r="N4406" s="239" t="s">
        <v>9233</v>
      </c>
      <c r="O4406" s="38"/>
      <c r="P4406" s="180">
        <f t="shared" si="405"/>
        <v>4.3647999999999998</v>
      </c>
      <c r="Q4406" s="483">
        <v>4.3600000000000003</v>
      </c>
      <c r="R4406" s="704">
        <f t="shared" si="407"/>
        <v>1674.2400000000002</v>
      </c>
      <c r="S4406" s="489">
        <f>247+110</f>
        <v>357</v>
      </c>
      <c r="T4406" s="113">
        <f t="shared" si="408"/>
        <v>137088</v>
      </c>
      <c r="U4406" s="517"/>
      <c r="V4406" s="494">
        <v>120</v>
      </c>
      <c r="W4406" s="2041">
        <f t="shared" si="404"/>
        <v>0.40020161290322587</v>
      </c>
    </row>
    <row r="4407" spans="1:23" s="314" customFormat="1" ht="15">
      <c r="A4407" s="1"/>
      <c r="B4407" s="313"/>
      <c r="C4407" s="302" t="s">
        <v>9226</v>
      </c>
      <c r="D4407" s="303" t="s">
        <v>9227</v>
      </c>
      <c r="E4407" s="304"/>
      <c r="F4407" s="305"/>
      <c r="G4407" s="305" t="s">
        <v>1227</v>
      </c>
      <c r="H4407" s="307" t="s">
        <v>1228</v>
      </c>
      <c r="I4407" s="308"/>
      <c r="J4407" s="306"/>
      <c r="K4407" s="315">
        <v>0</v>
      </c>
      <c r="L4407" s="310"/>
      <c r="M4407" s="310"/>
      <c r="N4407" s="310"/>
      <c r="O4407" s="309"/>
      <c r="P4407" s="302"/>
      <c r="Q4407" s="485">
        <v>0</v>
      </c>
      <c r="S4407" s="536">
        <v>0</v>
      </c>
      <c r="T4407" s="322">
        <v>0</v>
      </c>
      <c r="U4407" s="515"/>
      <c r="V4407" s="494">
        <v>120</v>
      </c>
      <c r="W4407" s="2041" t="e">
        <f t="shared" si="404"/>
        <v>#DIV/0!</v>
      </c>
    </row>
    <row r="4408" spans="1:23" s="7" customFormat="1" ht="18.600000000000001" customHeight="1">
      <c r="A4408" s="1"/>
      <c r="B4408" s="12"/>
      <c r="C4408" s="6" t="s">
        <v>9236</v>
      </c>
      <c r="D4408" s="15" t="s">
        <v>9235</v>
      </c>
      <c r="E4408" s="20" t="s">
        <v>1003</v>
      </c>
      <c r="F4408" s="24"/>
      <c r="G4408" s="44"/>
      <c r="H4408" s="151"/>
      <c r="I4408" s="151"/>
      <c r="J4408" s="151"/>
      <c r="K4408" s="153" t="s">
        <v>10</v>
      </c>
      <c r="L4408" s="39"/>
      <c r="M4408" s="162"/>
      <c r="N4408" s="39">
        <v>46112</v>
      </c>
      <c r="O4408" s="38">
        <v>8025</v>
      </c>
      <c r="P4408" s="6"/>
      <c r="Q4408" s="411"/>
      <c r="S4408" s="489"/>
      <c r="T4408" s="113"/>
      <c r="U4408" s="501"/>
      <c r="V4408" s="494">
        <v>120</v>
      </c>
      <c r="W4408" s="2041" t="e">
        <f t="shared" si="404"/>
        <v>#VALUE!</v>
      </c>
    </row>
    <row r="4409" spans="1:23" s="7" customFormat="1" ht="15.95" customHeight="1">
      <c r="A4409" s="1"/>
      <c r="B4409" s="12" t="s">
        <v>1856</v>
      </c>
      <c r="C4409" s="6" t="s">
        <v>9236</v>
      </c>
      <c r="D4409" s="15" t="s">
        <v>9235</v>
      </c>
      <c r="E4409" s="1012" t="s">
        <v>7080</v>
      </c>
      <c r="F4409" s="44"/>
      <c r="G4409" s="44" t="s">
        <v>7694</v>
      </c>
      <c r="H4409" s="8">
        <v>14</v>
      </c>
      <c r="I4409" s="68">
        <v>8</v>
      </c>
      <c r="J4409" s="67">
        <f>I4409*H4409</f>
        <v>112</v>
      </c>
      <c r="K4409" s="46">
        <v>5.56</v>
      </c>
      <c r="L4409" s="46">
        <f t="shared" ref="L4409:L4410" si="409">K4409*J4409</f>
        <v>622.71999999999991</v>
      </c>
      <c r="M4409" s="162" t="s">
        <v>2219</v>
      </c>
      <c r="N4409" s="2453">
        <v>46112</v>
      </c>
      <c r="O4409" s="38">
        <v>8025</v>
      </c>
      <c r="P4409" s="46">
        <f t="shared" ref="P4409:P4410" si="410">K4409*(VLOOKUP(B4409,$C$2:$F$6,3,FALSE))</f>
        <v>4.8927999999999994</v>
      </c>
      <c r="Q4409" s="483">
        <v>4.8899999999999997</v>
      </c>
      <c r="R4409" s="704">
        <f t="shared" ref="R4409:R4410" si="411">Q4409*J4409</f>
        <v>547.67999999999995</v>
      </c>
      <c r="S4409" s="489">
        <v>400</v>
      </c>
      <c r="T4409" s="567">
        <f t="shared" ref="T4409:T4410" si="412">S4409*J4409</f>
        <v>44800</v>
      </c>
      <c r="U4409" s="517"/>
      <c r="V4409" s="494">
        <v>120</v>
      </c>
      <c r="W4409" s="2041">
        <f t="shared" si="404"/>
        <v>0.40047961630695439</v>
      </c>
    </row>
    <row r="4410" spans="1:23" ht="18" customHeight="1">
      <c r="B4410" s="12" t="s">
        <v>1862</v>
      </c>
      <c r="C4410" s="6" t="s">
        <v>9236</v>
      </c>
      <c r="D4410" s="15" t="s">
        <v>9235</v>
      </c>
      <c r="E4410" s="24"/>
      <c r="F4410" s="138"/>
      <c r="G4410" s="44" t="s">
        <v>1993</v>
      </c>
      <c r="H4410" s="8"/>
      <c r="I4410" s="41"/>
      <c r="J4410" s="45">
        <v>1</v>
      </c>
      <c r="K4410" s="46">
        <v>12</v>
      </c>
      <c r="L4410" s="46">
        <f t="shared" si="409"/>
        <v>12</v>
      </c>
      <c r="M4410" s="112"/>
      <c r="N4410" s="39">
        <v>46112</v>
      </c>
      <c r="O4410" s="38">
        <v>8025</v>
      </c>
      <c r="P4410" s="46">
        <f t="shared" si="410"/>
        <v>12</v>
      </c>
      <c r="Q4410" s="483">
        <v>12</v>
      </c>
      <c r="R4410" s="704">
        <f t="shared" si="411"/>
        <v>12</v>
      </c>
      <c r="S4410" s="1011">
        <v>0</v>
      </c>
      <c r="T4410" s="2452">
        <f t="shared" si="412"/>
        <v>0</v>
      </c>
      <c r="U4410" s="511"/>
      <c r="V4410" s="494">
        <v>120</v>
      </c>
      <c r="W4410" s="2041">
        <f t="shared" si="404"/>
        <v>1</v>
      </c>
    </row>
    <row r="4411" spans="1:23" s="314" customFormat="1" ht="15">
      <c r="A4411" s="1"/>
      <c r="B4411" s="313"/>
      <c r="C4411" s="302" t="s">
        <v>9236</v>
      </c>
      <c r="D4411" s="303" t="s">
        <v>9235</v>
      </c>
      <c r="E4411" s="304"/>
      <c r="F4411" s="305"/>
      <c r="G4411" s="305" t="s">
        <v>1227</v>
      </c>
      <c r="H4411" s="307" t="s">
        <v>3438</v>
      </c>
      <c r="I4411" s="308"/>
      <c r="J4411" s="306"/>
      <c r="K4411" s="329">
        <v>63</v>
      </c>
      <c r="L4411" s="329">
        <v>63</v>
      </c>
      <c r="M4411" s="310"/>
      <c r="N4411" s="310">
        <v>46112</v>
      </c>
      <c r="O4411" s="309">
        <v>8025</v>
      </c>
      <c r="P4411" s="302"/>
      <c r="Q4411" s="329">
        <v>63</v>
      </c>
      <c r="R4411" s="329">
        <v>63</v>
      </c>
      <c r="S4411" s="2688">
        <v>5635</v>
      </c>
      <c r="T4411" s="2688">
        <v>5635</v>
      </c>
      <c r="U4411" s="515"/>
      <c r="V4411" s="494">
        <v>120</v>
      </c>
      <c r="W4411" s="2041">
        <f t="shared" si="404"/>
        <v>0.25462962962962965</v>
      </c>
    </row>
    <row r="4412" spans="1:23" s="7" customFormat="1" ht="15" customHeight="1">
      <c r="B4412" s="12"/>
      <c r="C4412" s="6" t="s">
        <v>9242</v>
      </c>
      <c r="D4412" s="15" t="s">
        <v>958</v>
      </c>
      <c r="E4412" s="20" t="s">
        <v>628</v>
      </c>
      <c r="F4412" s="26"/>
      <c r="G4412" s="24"/>
      <c r="H4412" s="67"/>
      <c r="I4412" s="318"/>
      <c r="J4412" s="67"/>
      <c r="K4412" s="17" t="s">
        <v>134</v>
      </c>
      <c r="L4412" s="39"/>
      <c r="M4412" s="39"/>
      <c r="N4412" s="2453"/>
      <c r="O4412" s="38"/>
      <c r="P4412" s="179" t="s">
        <v>23</v>
      </c>
      <c r="Q4412" s="438" t="s">
        <v>959</v>
      </c>
      <c r="R4412" s="704"/>
      <c r="S4412" s="489"/>
      <c r="T4412" s="113"/>
      <c r="U4412" s="510"/>
      <c r="V4412" s="494">
        <v>120</v>
      </c>
      <c r="W4412" s="2041" t="e">
        <f t="shared" si="404"/>
        <v>#VALUE!</v>
      </c>
    </row>
    <row r="4413" spans="1:23" s="7" customFormat="1" ht="18" customHeight="1">
      <c r="B4413" s="12" t="s">
        <v>1856</v>
      </c>
      <c r="C4413" s="6" t="s">
        <v>9242</v>
      </c>
      <c r="D4413" s="15" t="s">
        <v>958</v>
      </c>
      <c r="E4413" s="95">
        <v>5291</v>
      </c>
      <c r="F4413" s="26">
        <v>6</v>
      </c>
      <c r="G4413" s="24" t="s">
        <v>499</v>
      </c>
      <c r="H4413" s="67">
        <v>50</v>
      </c>
      <c r="I4413" s="68">
        <v>6</v>
      </c>
      <c r="J4413" s="67">
        <f>H4413*I4413</f>
        <v>300</v>
      </c>
      <c r="K4413" s="46">
        <v>0.62</v>
      </c>
      <c r="L4413" s="46">
        <f>K4413*J4413</f>
        <v>186</v>
      </c>
      <c r="M4413" s="162" t="s">
        <v>2219</v>
      </c>
      <c r="N4413" s="2453"/>
      <c r="O4413" s="38"/>
      <c r="P4413" s="180">
        <v>0.24</v>
      </c>
      <c r="Q4413" s="180">
        <v>0.24</v>
      </c>
      <c r="R4413" s="704">
        <f>Q4413*J4413</f>
        <v>72</v>
      </c>
      <c r="S4413" s="489">
        <v>14.6</v>
      </c>
      <c r="T4413" s="113">
        <f>S4413*J4413</f>
        <v>4380</v>
      </c>
      <c r="U4413" s="867"/>
      <c r="V4413" s="494">
        <v>120</v>
      </c>
      <c r="W4413" s="2041">
        <f t="shared" si="404"/>
        <v>0.80376344086021501</v>
      </c>
    </row>
    <row r="4414" spans="1:23" ht="15.95" customHeight="1">
      <c r="C4414" s="6" t="s">
        <v>9242</v>
      </c>
      <c r="D4414" s="15" t="s">
        <v>958</v>
      </c>
      <c r="E4414" s="24"/>
      <c r="F4414" s="138"/>
      <c r="G4414" s="44" t="s">
        <v>1993</v>
      </c>
      <c r="H4414" s="8"/>
      <c r="I4414" s="41"/>
      <c r="J4414" s="45">
        <v>1</v>
      </c>
      <c r="K4414" s="46">
        <v>12</v>
      </c>
      <c r="L4414" s="46">
        <v>0</v>
      </c>
      <c r="M4414" s="112"/>
      <c r="N4414" s="39"/>
      <c r="O4414" s="38"/>
      <c r="P4414" s="179"/>
      <c r="Q4414" s="180">
        <v>12</v>
      </c>
      <c r="R4414" s="704">
        <f>Q4414*J4414</f>
        <v>12</v>
      </c>
      <c r="S4414" s="1272">
        <f>850</f>
        <v>850</v>
      </c>
      <c r="T4414" s="1273">
        <f>S4414*J4414</f>
        <v>850</v>
      </c>
      <c r="U4414" s="511"/>
      <c r="V4414" s="494">
        <v>120</v>
      </c>
      <c r="W4414" s="2041">
        <f t="shared" si="404"/>
        <v>0.40972222222222221</v>
      </c>
    </row>
    <row r="4415" spans="1:23" s="314" customFormat="1" ht="15" customHeight="1">
      <c r="B4415" s="313"/>
      <c r="C4415" s="302" t="s">
        <v>9242</v>
      </c>
      <c r="D4415" s="303" t="s">
        <v>958</v>
      </c>
      <c r="E4415" s="304"/>
      <c r="F4415" s="305"/>
      <c r="G4415" s="305" t="s">
        <v>1227</v>
      </c>
      <c r="H4415" s="410"/>
      <c r="I4415" s="308"/>
      <c r="J4415" s="410">
        <v>300</v>
      </c>
      <c r="K4415" s="315">
        <f>0.35*300</f>
        <v>105</v>
      </c>
      <c r="L4415" s="315"/>
      <c r="M4415" s="784"/>
      <c r="N4415" s="310"/>
      <c r="O4415" s="309"/>
      <c r="P4415" s="302"/>
      <c r="Q4415" s="315">
        <f>K4415-Q4414</f>
        <v>93</v>
      </c>
      <c r="R4415" s="315">
        <v>93</v>
      </c>
      <c r="S4415" s="2687" t="s">
        <v>9240</v>
      </c>
      <c r="T4415" s="2687" t="s">
        <v>9240</v>
      </c>
      <c r="U4415" s="1084"/>
      <c r="V4415" s="494">
        <v>120</v>
      </c>
      <c r="W4415" s="2041" t="e">
        <f t="shared" si="404"/>
        <v>#VALUE!</v>
      </c>
    </row>
    <row r="4416" spans="1:23" ht="18" customHeight="1">
      <c r="C4416" s="6" t="s">
        <v>9241</v>
      </c>
      <c r="D4416" s="15" t="s">
        <v>8950</v>
      </c>
      <c r="E4416" s="20" t="s">
        <v>8738</v>
      </c>
      <c r="F4416" s="44"/>
      <c r="G4416" s="44"/>
      <c r="H4416" s="151"/>
      <c r="I4416" s="151"/>
      <c r="J4416" s="151"/>
      <c r="K4416" s="34" t="s">
        <v>134</v>
      </c>
      <c r="L4416" s="39"/>
      <c r="M4416" s="39"/>
      <c r="N4416" s="39"/>
      <c r="O4416" s="38"/>
      <c r="P4416" s="6"/>
      <c r="Q4416" s="524"/>
      <c r="S4416" s="1995"/>
      <c r="T4416" s="113"/>
      <c r="U4416" s="501"/>
      <c r="V4416" s="494">
        <v>120</v>
      </c>
      <c r="W4416" s="2041" t="e">
        <f>(((K4416*V4416)-S4416)/(K4416*V4416))</f>
        <v>#VALUE!</v>
      </c>
    </row>
    <row r="4417" spans="1:23" ht="18" customHeight="1">
      <c r="B4417" s="28" t="s">
        <v>1856</v>
      </c>
      <c r="C4417" s="6" t="s">
        <v>9241</v>
      </c>
      <c r="D4417" s="15" t="s">
        <v>8950</v>
      </c>
      <c r="E4417" s="56">
        <v>4156</v>
      </c>
      <c r="F4417" s="44" t="s">
        <v>8739</v>
      </c>
      <c r="G4417" s="24" t="s">
        <v>9076</v>
      </c>
      <c r="H4417" s="67">
        <v>15</v>
      </c>
      <c r="I4417" s="68">
        <v>5</v>
      </c>
      <c r="J4417" s="67">
        <f>H4417*I4417</f>
        <v>75</v>
      </c>
      <c r="K4417" s="46">
        <v>1.91</v>
      </c>
      <c r="L4417" s="46">
        <f>K4417*J4417</f>
        <v>143.25</v>
      </c>
      <c r="M4417" s="162" t="s">
        <v>2219</v>
      </c>
      <c r="N4417" s="239">
        <v>46126</v>
      </c>
      <c r="O4417" s="38"/>
      <c r="P4417" s="46">
        <f>K4417*(VLOOKUP(B4417,$C$2:$F$6,3,FALSE))</f>
        <v>1.6807999999999998</v>
      </c>
      <c r="Q4417" s="482">
        <v>1.68</v>
      </c>
      <c r="R4417" s="704">
        <f>Q4417*J4417</f>
        <v>126</v>
      </c>
      <c r="S4417" s="489">
        <v>137</v>
      </c>
      <c r="T4417" s="113">
        <f>S4417*J4417</f>
        <v>10275</v>
      </c>
      <c r="U4417" s="699"/>
      <c r="V4417" s="494">
        <v>120</v>
      </c>
      <c r="W4417" s="2041">
        <f>(((K4417*V4417)-S4417)/(K4417*V4417))</f>
        <v>0.40226876090750435</v>
      </c>
    </row>
    <row r="4418" spans="1:23" ht="18" customHeight="1">
      <c r="B4418" s="12" t="s">
        <v>1862</v>
      </c>
      <c r="C4418" s="6" t="s">
        <v>9241</v>
      </c>
      <c r="D4418" s="15" t="s">
        <v>8950</v>
      </c>
      <c r="E4418" s="24"/>
      <c r="F4418" s="138"/>
      <c r="G4418" s="44" t="s">
        <v>1993</v>
      </c>
      <c r="H4418" s="8"/>
      <c r="I4418" s="41"/>
      <c r="J4418" s="45">
        <v>1</v>
      </c>
      <c r="K4418" s="46">
        <v>12</v>
      </c>
      <c r="L4418" s="46">
        <f>K4418*J4418</f>
        <v>12</v>
      </c>
      <c r="M4418" s="112"/>
      <c r="N4418" s="39"/>
      <c r="O4418" s="38"/>
      <c r="P4418" s="46">
        <f>K4418*(VLOOKUP(B4418,$C$2:$F$6,3,FALSE))</f>
        <v>12</v>
      </c>
      <c r="Q4418" s="483">
        <v>12</v>
      </c>
      <c r="R4418" s="704">
        <f>Q4418*J4418</f>
        <v>12</v>
      </c>
      <c r="S4418" s="490">
        <v>1300</v>
      </c>
      <c r="T4418" s="1176">
        <v>1300</v>
      </c>
      <c r="U4418" s="511"/>
      <c r="V4418" s="494">
        <v>120</v>
      </c>
      <c r="W4418" s="2041">
        <f t="shared" ref="W4418:W4419" si="413">(((K4418*V4418)-S4418)/(K4418*V4418))</f>
        <v>9.7222222222222224E-2</v>
      </c>
    </row>
    <row r="4419" spans="1:23" s="314" customFormat="1" ht="15">
      <c r="A4419" s="1"/>
      <c r="B4419" s="313"/>
      <c r="C4419" s="302" t="s">
        <v>9241</v>
      </c>
      <c r="D4419" s="303" t="s">
        <v>8950</v>
      </c>
      <c r="E4419" s="304"/>
      <c r="F4419" s="305"/>
      <c r="G4419" s="305" t="s">
        <v>1227</v>
      </c>
      <c r="H4419" s="307" t="s">
        <v>1228</v>
      </c>
      <c r="I4419" s="308"/>
      <c r="J4419" s="306"/>
      <c r="K4419" s="315">
        <v>0</v>
      </c>
      <c r="L4419" s="310"/>
      <c r="M4419" s="310"/>
      <c r="N4419" s="310"/>
      <c r="O4419" s="309"/>
      <c r="P4419" s="302"/>
      <c r="Q4419" s="485">
        <v>0</v>
      </c>
      <c r="S4419" s="536">
        <v>0</v>
      </c>
      <c r="T4419" s="322">
        <v>0</v>
      </c>
      <c r="U4419" s="515"/>
      <c r="V4419" s="494">
        <v>120</v>
      </c>
      <c r="W4419" s="2041" t="e">
        <f t="shared" si="413"/>
        <v>#DIV/0!</v>
      </c>
    </row>
    <row r="4420" spans="1:23" ht="15">
      <c r="V4420" s="494">
        <v>120</v>
      </c>
      <c r="W4420" s="2041" t="e">
        <f t="shared" ref="W4420:W4421" si="414">(((K4420*V4420)-S4420)/(K4420*V4420))</f>
        <v>#DIV/0!</v>
      </c>
    </row>
    <row r="4421" spans="1:23" ht="21.75">
      <c r="B4421" s="1"/>
      <c r="C4421" s="1"/>
      <c r="E4421" s="1"/>
      <c r="F4421" s="1"/>
      <c r="G4421" s="1"/>
      <c r="I4421" s="1" ph="1"/>
      <c r="M4421" s="1"/>
      <c r="O4421" s="1"/>
      <c r="S4421" s="1"/>
      <c r="T4421" s="1"/>
      <c r="U4421" s="1"/>
      <c r="V4421" s="494">
        <v>120</v>
      </c>
      <c r="W4421" s="2041" t="e">
        <f t="shared" si="414"/>
        <v>#DIV/0!</v>
      </c>
    </row>
    <row r="4422" spans="1:23" ht="15">
      <c r="V4422" s="494">
        <v>120</v>
      </c>
      <c r="W4422" s="2041" t="e">
        <f t="shared" ref="W4422:W4485" si="415">(((K4422*V4422)-S4422)/(K4422*V4422))</f>
        <v>#DIV/0!</v>
      </c>
    </row>
    <row r="4423" spans="1:23" ht="15">
      <c r="V4423" s="494">
        <v>120</v>
      </c>
      <c r="W4423" s="2041" t="e">
        <f t="shared" si="415"/>
        <v>#DIV/0!</v>
      </c>
    </row>
    <row r="4424" spans="1:23" ht="15">
      <c r="V4424" s="494">
        <v>120</v>
      </c>
      <c r="W4424" s="2041" t="e">
        <f t="shared" si="415"/>
        <v>#DIV/0!</v>
      </c>
    </row>
    <row r="4425" spans="1:23" ht="15">
      <c r="V4425" s="494">
        <v>120</v>
      </c>
      <c r="W4425" s="2041" t="e">
        <f t="shared" si="415"/>
        <v>#DIV/0!</v>
      </c>
    </row>
    <row r="4426" spans="1:23" ht="15">
      <c r="V4426" s="494">
        <v>120</v>
      </c>
      <c r="W4426" s="2041" t="e">
        <f t="shared" si="415"/>
        <v>#DIV/0!</v>
      </c>
    </row>
    <row r="4427" spans="1:23" ht="15">
      <c r="V4427" s="494">
        <v>120</v>
      </c>
      <c r="W4427" s="2041" t="e">
        <f t="shared" si="415"/>
        <v>#DIV/0!</v>
      </c>
    </row>
    <row r="4428" spans="1:23" ht="15">
      <c r="V4428" s="494">
        <v>120</v>
      </c>
      <c r="W4428" s="2041" t="e">
        <f t="shared" si="415"/>
        <v>#DIV/0!</v>
      </c>
    </row>
    <row r="4429" spans="1:23" ht="15">
      <c r="V4429" s="494">
        <v>120</v>
      </c>
      <c r="W4429" s="2041" t="e">
        <f t="shared" si="415"/>
        <v>#DIV/0!</v>
      </c>
    </row>
    <row r="4430" spans="1:23" ht="15">
      <c r="V4430" s="494">
        <v>120</v>
      </c>
      <c r="W4430" s="2041" t="e">
        <f t="shared" si="415"/>
        <v>#DIV/0!</v>
      </c>
    </row>
    <row r="4431" spans="1:23" ht="15">
      <c r="V4431" s="494">
        <v>120</v>
      </c>
      <c r="W4431" s="2041" t="e">
        <f t="shared" si="415"/>
        <v>#DIV/0!</v>
      </c>
    </row>
    <row r="4432" spans="1:23" ht="15">
      <c r="V4432" s="494">
        <v>120</v>
      </c>
      <c r="W4432" s="2041" t="e">
        <f t="shared" si="415"/>
        <v>#DIV/0!</v>
      </c>
    </row>
    <row r="4433" spans="22:23" ht="15">
      <c r="V4433" s="494">
        <v>120</v>
      </c>
      <c r="W4433" s="2041" t="e">
        <f t="shared" si="415"/>
        <v>#DIV/0!</v>
      </c>
    </row>
    <row r="4434" spans="22:23" ht="15">
      <c r="V4434" s="494">
        <v>120</v>
      </c>
      <c r="W4434" s="2041" t="e">
        <f t="shared" si="415"/>
        <v>#DIV/0!</v>
      </c>
    </row>
    <row r="4435" spans="22:23" ht="15">
      <c r="V4435" s="494">
        <v>120</v>
      </c>
      <c r="W4435" s="2041" t="e">
        <f t="shared" si="415"/>
        <v>#DIV/0!</v>
      </c>
    </row>
    <row r="4436" spans="22:23" ht="15">
      <c r="V4436" s="494">
        <v>120</v>
      </c>
      <c r="W4436" s="2041" t="e">
        <f t="shared" si="415"/>
        <v>#DIV/0!</v>
      </c>
    </row>
    <row r="4437" spans="22:23" ht="15">
      <c r="V4437" s="494">
        <v>120</v>
      </c>
      <c r="W4437" s="2041" t="e">
        <f t="shared" si="415"/>
        <v>#DIV/0!</v>
      </c>
    </row>
    <row r="4438" spans="22:23" ht="15">
      <c r="V4438" s="494">
        <v>120</v>
      </c>
      <c r="W4438" s="2041" t="e">
        <f t="shared" si="415"/>
        <v>#DIV/0!</v>
      </c>
    </row>
    <row r="4439" spans="22:23" ht="15">
      <c r="V4439" s="494">
        <v>120</v>
      </c>
      <c r="W4439" s="2041" t="e">
        <f t="shared" si="415"/>
        <v>#DIV/0!</v>
      </c>
    </row>
    <row r="4440" spans="22:23" ht="15">
      <c r="V4440" s="494">
        <v>120</v>
      </c>
      <c r="W4440" s="2041" t="e">
        <f t="shared" si="415"/>
        <v>#DIV/0!</v>
      </c>
    </row>
    <row r="4441" spans="22:23" ht="15">
      <c r="V4441" s="494">
        <v>120</v>
      </c>
      <c r="W4441" s="2041" t="e">
        <f t="shared" si="415"/>
        <v>#DIV/0!</v>
      </c>
    </row>
    <row r="4442" spans="22:23" ht="15">
      <c r="V4442" s="494">
        <v>120</v>
      </c>
      <c r="W4442" s="2041" t="e">
        <f t="shared" si="415"/>
        <v>#DIV/0!</v>
      </c>
    </row>
    <row r="4443" spans="22:23" ht="15">
      <c r="V4443" s="494">
        <v>120</v>
      </c>
      <c r="W4443" s="2041" t="e">
        <f t="shared" si="415"/>
        <v>#DIV/0!</v>
      </c>
    </row>
    <row r="4444" spans="22:23" ht="15">
      <c r="V4444" s="494">
        <v>120</v>
      </c>
      <c r="W4444" s="2041" t="e">
        <f t="shared" si="415"/>
        <v>#DIV/0!</v>
      </c>
    </row>
    <row r="4445" spans="22:23" ht="15">
      <c r="V4445" s="494">
        <v>120</v>
      </c>
      <c r="W4445" s="2041" t="e">
        <f t="shared" si="415"/>
        <v>#DIV/0!</v>
      </c>
    </row>
    <row r="4446" spans="22:23" ht="15">
      <c r="V4446" s="494">
        <v>120</v>
      </c>
      <c r="W4446" s="2041" t="e">
        <f t="shared" si="415"/>
        <v>#DIV/0!</v>
      </c>
    </row>
    <row r="4447" spans="22:23" ht="15">
      <c r="V4447" s="494">
        <v>120</v>
      </c>
      <c r="W4447" s="2041" t="e">
        <f t="shared" si="415"/>
        <v>#DIV/0!</v>
      </c>
    </row>
    <row r="4448" spans="22:23" ht="15">
      <c r="V4448" s="494">
        <v>120</v>
      </c>
      <c r="W4448" s="2041" t="e">
        <f t="shared" si="415"/>
        <v>#DIV/0!</v>
      </c>
    </row>
    <row r="4449" spans="22:23" ht="15">
      <c r="V4449" s="494">
        <v>120</v>
      </c>
      <c r="W4449" s="2041" t="e">
        <f t="shared" si="415"/>
        <v>#DIV/0!</v>
      </c>
    </row>
    <row r="4450" spans="22:23" ht="15">
      <c r="V4450" s="494">
        <v>120</v>
      </c>
      <c r="W4450" s="2041" t="e">
        <f t="shared" si="415"/>
        <v>#DIV/0!</v>
      </c>
    </row>
    <row r="4451" spans="22:23" ht="15">
      <c r="V4451" s="494">
        <v>120</v>
      </c>
      <c r="W4451" s="2041" t="e">
        <f t="shared" si="415"/>
        <v>#DIV/0!</v>
      </c>
    </row>
    <row r="4452" spans="22:23" ht="15">
      <c r="V4452" s="494">
        <v>120</v>
      </c>
      <c r="W4452" s="2041" t="e">
        <f t="shared" si="415"/>
        <v>#DIV/0!</v>
      </c>
    </row>
    <row r="4453" spans="22:23" ht="15">
      <c r="V4453" s="494">
        <v>120</v>
      </c>
      <c r="W4453" s="2041" t="e">
        <f t="shared" si="415"/>
        <v>#DIV/0!</v>
      </c>
    </row>
    <row r="4454" spans="22:23" ht="15">
      <c r="V4454" s="494">
        <v>120</v>
      </c>
      <c r="W4454" s="2041" t="e">
        <f t="shared" si="415"/>
        <v>#DIV/0!</v>
      </c>
    </row>
    <row r="4455" spans="22:23" ht="15">
      <c r="V4455" s="494">
        <v>120</v>
      </c>
      <c r="W4455" s="2041" t="e">
        <f t="shared" si="415"/>
        <v>#DIV/0!</v>
      </c>
    </row>
    <row r="4456" spans="22:23" ht="15">
      <c r="V4456" s="494">
        <v>120</v>
      </c>
      <c r="W4456" s="2041" t="e">
        <f t="shared" si="415"/>
        <v>#DIV/0!</v>
      </c>
    </row>
    <row r="4457" spans="22:23" ht="15">
      <c r="V4457" s="494">
        <v>120</v>
      </c>
      <c r="W4457" s="2041" t="e">
        <f t="shared" si="415"/>
        <v>#DIV/0!</v>
      </c>
    </row>
    <row r="4458" spans="22:23" ht="15">
      <c r="V4458" s="494">
        <v>120</v>
      </c>
      <c r="W4458" s="2041" t="e">
        <f t="shared" si="415"/>
        <v>#DIV/0!</v>
      </c>
    </row>
    <row r="4459" spans="22:23" ht="15">
      <c r="V4459" s="494">
        <v>120</v>
      </c>
      <c r="W4459" s="2041" t="e">
        <f t="shared" si="415"/>
        <v>#DIV/0!</v>
      </c>
    </row>
    <row r="4460" spans="22:23" ht="15">
      <c r="V4460" s="494">
        <v>120</v>
      </c>
      <c r="W4460" s="2041" t="e">
        <f t="shared" si="415"/>
        <v>#DIV/0!</v>
      </c>
    </row>
    <row r="4461" spans="22:23" ht="15">
      <c r="V4461" s="494">
        <v>120</v>
      </c>
      <c r="W4461" s="2041" t="e">
        <f t="shared" si="415"/>
        <v>#DIV/0!</v>
      </c>
    </row>
    <row r="4462" spans="22:23" ht="15">
      <c r="V4462" s="494">
        <v>120</v>
      </c>
      <c r="W4462" s="2041" t="e">
        <f t="shared" si="415"/>
        <v>#DIV/0!</v>
      </c>
    </row>
    <row r="4463" spans="22:23" ht="15">
      <c r="V4463" s="494">
        <v>120</v>
      </c>
      <c r="W4463" s="2041" t="e">
        <f t="shared" si="415"/>
        <v>#DIV/0!</v>
      </c>
    </row>
    <row r="4464" spans="22:23" ht="15">
      <c r="V4464" s="494">
        <v>120</v>
      </c>
      <c r="W4464" s="2041" t="e">
        <f t="shared" si="415"/>
        <v>#DIV/0!</v>
      </c>
    </row>
    <row r="4465" spans="22:23" ht="15">
      <c r="V4465" s="494">
        <v>120</v>
      </c>
      <c r="W4465" s="2041" t="e">
        <f t="shared" si="415"/>
        <v>#DIV/0!</v>
      </c>
    </row>
    <row r="4466" spans="22:23" ht="15">
      <c r="V4466" s="494">
        <v>120</v>
      </c>
      <c r="W4466" s="2041" t="e">
        <f t="shared" si="415"/>
        <v>#DIV/0!</v>
      </c>
    </row>
    <row r="4467" spans="22:23" ht="15">
      <c r="V4467" s="494">
        <v>120</v>
      </c>
      <c r="W4467" s="2041" t="e">
        <f t="shared" si="415"/>
        <v>#DIV/0!</v>
      </c>
    </row>
    <row r="4468" spans="22:23" ht="15">
      <c r="V4468" s="494">
        <v>120</v>
      </c>
      <c r="W4468" s="2041" t="e">
        <f t="shared" si="415"/>
        <v>#DIV/0!</v>
      </c>
    </row>
    <row r="4469" spans="22:23" ht="15">
      <c r="V4469" s="494">
        <v>120</v>
      </c>
      <c r="W4469" s="2041" t="e">
        <f t="shared" si="415"/>
        <v>#DIV/0!</v>
      </c>
    </row>
    <row r="4470" spans="22:23" ht="15">
      <c r="V4470" s="494">
        <v>120</v>
      </c>
      <c r="W4470" s="2041" t="e">
        <f t="shared" si="415"/>
        <v>#DIV/0!</v>
      </c>
    </row>
    <row r="4471" spans="22:23" ht="15">
      <c r="V4471" s="494">
        <v>120</v>
      </c>
      <c r="W4471" s="2041" t="e">
        <f t="shared" si="415"/>
        <v>#DIV/0!</v>
      </c>
    </row>
    <row r="4472" spans="22:23" ht="15">
      <c r="V4472" s="494">
        <v>120</v>
      </c>
      <c r="W4472" s="2041" t="e">
        <f t="shared" si="415"/>
        <v>#DIV/0!</v>
      </c>
    </row>
    <row r="4473" spans="22:23" ht="15">
      <c r="V4473" s="494">
        <v>120</v>
      </c>
      <c r="W4473" s="2041" t="e">
        <f t="shared" si="415"/>
        <v>#DIV/0!</v>
      </c>
    </row>
    <row r="4474" spans="22:23" ht="15">
      <c r="V4474" s="494">
        <v>120</v>
      </c>
      <c r="W4474" s="2041" t="e">
        <f t="shared" si="415"/>
        <v>#DIV/0!</v>
      </c>
    </row>
    <row r="4475" spans="22:23" ht="15">
      <c r="V4475" s="494">
        <v>120</v>
      </c>
      <c r="W4475" s="2041" t="e">
        <f t="shared" si="415"/>
        <v>#DIV/0!</v>
      </c>
    </row>
    <row r="4476" spans="22:23" ht="15">
      <c r="V4476" s="494">
        <v>120</v>
      </c>
      <c r="W4476" s="2041" t="e">
        <f t="shared" si="415"/>
        <v>#DIV/0!</v>
      </c>
    </row>
    <row r="4477" spans="22:23" ht="15">
      <c r="V4477" s="494">
        <v>120</v>
      </c>
      <c r="W4477" s="2041" t="e">
        <f t="shared" si="415"/>
        <v>#DIV/0!</v>
      </c>
    </row>
    <row r="4478" spans="22:23" ht="15">
      <c r="V4478" s="494">
        <v>120</v>
      </c>
      <c r="W4478" s="2041" t="e">
        <f t="shared" si="415"/>
        <v>#DIV/0!</v>
      </c>
    </row>
    <row r="4479" spans="22:23" ht="15">
      <c r="V4479" s="494">
        <v>120</v>
      </c>
      <c r="W4479" s="2041" t="e">
        <f t="shared" si="415"/>
        <v>#DIV/0!</v>
      </c>
    </row>
    <row r="4480" spans="22:23" ht="15">
      <c r="V4480" s="494">
        <v>120</v>
      </c>
      <c r="W4480" s="2041" t="e">
        <f t="shared" si="415"/>
        <v>#DIV/0!</v>
      </c>
    </row>
    <row r="4481" spans="22:23" ht="15">
      <c r="V4481" s="494">
        <v>120</v>
      </c>
      <c r="W4481" s="2041" t="e">
        <f t="shared" si="415"/>
        <v>#DIV/0!</v>
      </c>
    </row>
    <row r="4482" spans="22:23" ht="15">
      <c r="V4482" s="494">
        <v>120</v>
      </c>
      <c r="W4482" s="2041" t="e">
        <f t="shared" si="415"/>
        <v>#DIV/0!</v>
      </c>
    </row>
    <row r="4483" spans="22:23" ht="15">
      <c r="V4483" s="494">
        <v>120</v>
      </c>
      <c r="W4483" s="2041" t="e">
        <f t="shared" si="415"/>
        <v>#DIV/0!</v>
      </c>
    </row>
    <row r="4484" spans="22:23" ht="15">
      <c r="V4484" s="494">
        <v>120</v>
      </c>
      <c r="W4484" s="2041" t="e">
        <f t="shared" si="415"/>
        <v>#DIV/0!</v>
      </c>
    </row>
    <row r="4485" spans="22:23" ht="15">
      <c r="V4485" s="494">
        <v>120</v>
      </c>
      <c r="W4485" s="2041" t="e">
        <f t="shared" si="415"/>
        <v>#DIV/0!</v>
      </c>
    </row>
    <row r="4486" spans="22:23" ht="15">
      <c r="V4486" s="494">
        <v>120</v>
      </c>
      <c r="W4486" s="2041" t="e">
        <f t="shared" ref="W4486:W4548" si="416">(((K4486*V4486)-S4486)/(K4486*V4486))</f>
        <v>#DIV/0!</v>
      </c>
    </row>
    <row r="4487" spans="22:23" ht="15">
      <c r="V4487" s="494">
        <v>120</v>
      </c>
      <c r="W4487" s="2041" t="e">
        <f t="shared" si="416"/>
        <v>#DIV/0!</v>
      </c>
    </row>
    <row r="4488" spans="22:23" ht="15">
      <c r="V4488" s="494">
        <v>120</v>
      </c>
      <c r="W4488" s="2041" t="e">
        <f t="shared" si="416"/>
        <v>#DIV/0!</v>
      </c>
    </row>
    <row r="4489" spans="22:23" ht="15">
      <c r="V4489" s="494">
        <v>120</v>
      </c>
      <c r="W4489" s="2041" t="e">
        <f t="shared" si="416"/>
        <v>#DIV/0!</v>
      </c>
    </row>
    <row r="4490" spans="22:23" ht="15">
      <c r="V4490" s="494">
        <v>120</v>
      </c>
      <c r="W4490" s="2041" t="e">
        <f t="shared" si="416"/>
        <v>#DIV/0!</v>
      </c>
    </row>
    <row r="4491" spans="22:23" ht="15">
      <c r="V4491" s="494">
        <v>120</v>
      </c>
      <c r="W4491" s="2041" t="e">
        <f t="shared" si="416"/>
        <v>#DIV/0!</v>
      </c>
    </row>
    <row r="4492" spans="22:23" ht="15">
      <c r="V4492" s="494">
        <v>120</v>
      </c>
      <c r="W4492" s="2041" t="e">
        <f t="shared" si="416"/>
        <v>#DIV/0!</v>
      </c>
    </row>
    <row r="4493" spans="22:23" ht="15">
      <c r="V4493" s="494">
        <v>120</v>
      </c>
      <c r="W4493" s="2041" t="e">
        <f t="shared" si="416"/>
        <v>#DIV/0!</v>
      </c>
    </row>
    <row r="4494" spans="22:23" ht="15">
      <c r="V4494" s="494">
        <v>120</v>
      </c>
      <c r="W4494" s="2041" t="e">
        <f t="shared" si="416"/>
        <v>#DIV/0!</v>
      </c>
    </row>
    <row r="4495" spans="22:23" ht="15">
      <c r="V4495" s="494">
        <v>120</v>
      </c>
      <c r="W4495" s="2041" t="e">
        <f t="shared" si="416"/>
        <v>#DIV/0!</v>
      </c>
    </row>
    <row r="4496" spans="22:23" ht="15">
      <c r="V4496" s="494">
        <v>120</v>
      </c>
      <c r="W4496" s="2041" t="e">
        <f t="shared" si="416"/>
        <v>#DIV/0!</v>
      </c>
    </row>
    <row r="4497" spans="22:23" ht="15">
      <c r="V4497" s="494">
        <v>120</v>
      </c>
      <c r="W4497" s="2041" t="e">
        <f t="shared" si="416"/>
        <v>#DIV/0!</v>
      </c>
    </row>
    <row r="4498" spans="22:23" ht="15">
      <c r="V4498" s="494">
        <v>120</v>
      </c>
      <c r="W4498" s="2041" t="e">
        <f t="shared" si="416"/>
        <v>#DIV/0!</v>
      </c>
    </row>
    <row r="4499" spans="22:23" ht="15">
      <c r="V4499" s="494">
        <v>120</v>
      </c>
      <c r="W4499" s="2041" t="e">
        <f t="shared" si="416"/>
        <v>#DIV/0!</v>
      </c>
    </row>
    <row r="4500" spans="22:23" ht="15">
      <c r="V4500" s="494">
        <v>120</v>
      </c>
      <c r="W4500" s="2041" t="e">
        <f t="shared" si="416"/>
        <v>#DIV/0!</v>
      </c>
    </row>
    <row r="4501" spans="22:23" ht="15">
      <c r="V4501" s="494">
        <v>120</v>
      </c>
      <c r="W4501" s="2041" t="e">
        <f t="shared" si="416"/>
        <v>#DIV/0!</v>
      </c>
    </row>
    <row r="4502" spans="22:23" ht="15">
      <c r="V4502" s="494">
        <v>120</v>
      </c>
      <c r="W4502" s="2041" t="e">
        <f t="shared" si="416"/>
        <v>#DIV/0!</v>
      </c>
    </row>
    <row r="4503" spans="22:23" ht="15">
      <c r="V4503" s="494">
        <v>120</v>
      </c>
      <c r="W4503" s="2041" t="e">
        <f t="shared" si="416"/>
        <v>#DIV/0!</v>
      </c>
    </row>
    <row r="4504" spans="22:23" ht="15">
      <c r="V4504" s="494">
        <v>120</v>
      </c>
      <c r="W4504" s="2041" t="e">
        <f t="shared" si="416"/>
        <v>#DIV/0!</v>
      </c>
    </row>
    <row r="4505" spans="22:23" ht="15">
      <c r="V4505" s="494">
        <v>120</v>
      </c>
      <c r="W4505" s="2041" t="e">
        <f t="shared" si="416"/>
        <v>#DIV/0!</v>
      </c>
    </row>
    <row r="4506" spans="22:23" ht="15">
      <c r="V4506" s="494">
        <v>120</v>
      </c>
      <c r="W4506" s="2041" t="e">
        <f t="shared" si="416"/>
        <v>#DIV/0!</v>
      </c>
    </row>
    <row r="4507" spans="22:23" ht="15">
      <c r="V4507" s="494">
        <v>120</v>
      </c>
      <c r="W4507" s="2041" t="e">
        <f t="shared" si="416"/>
        <v>#DIV/0!</v>
      </c>
    </row>
    <row r="4508" spans="22:23" ht="15">
      <c r="V4508" s="494">
        <v>120</v>
      </c>
      <c r="W4508" s="2041" t="e">
        <f t="shared" si="416"/>
        <v>#DIV/0!</v>
      </c>
    </row>
    <row r="4509" spans="22:23" ht="15">
      <c r="V4509" s="494">
        <v>120</v>
      </c>
      <c r="W4509" s="2041" t="e">
        <f t="shared" si="416"/>
        <v>#DIV/0!</v>
      </c>
    </row>
    <row r="4510" spans="22:23" ht="15">
      <c r="V4510" s="494">
        <v>120</v>
      </c>
      <c r="W4510" s="2041" t="e">
        <f t="shared" si="416"/>
        <v>#DIV/0!</v>
      </c>
    </row>
    <row r="4511" spans="22:23" ht="15">
      <c r="V4511" s="494">
        <v>120</v>
      </c>
      <c r="W4511" s="2041" t="e">
        <f t="shared" si="416"/>
        <v>#DIV/0!</v>
      </c>
    </row>
    <row r="4512" spans="22:23" ht="15">
      <c r="V4512" s="494">
        <v>120</v>
      </c>
      <c r="W4512" s="2041" t="e">
        <f t="shared" si="416"/>
        <v>#DIV/0!</v>
      </c>
    </row>
    <row r="4513" spans="22:23" ht="15">
      <c r="V4513" s="494">
        <v>120</v>
      </c>
      <c r="W4513" s="2041" t="e">
        <f t="shared" si="416"/>
        <v>#DIV/0!</v>
      </c>
    </row>
    <row r="4514" spans="22:23" ht="15">
      <c r="V4514" s="494">
        <v>120</v>
      </c>
      <c r="W4514" s="2041" t="e">
        <f t="shared" si="416"/>
        <v>#DIV/0!</v>
      </c>
    </row>
    <row r="4515" spans="22:23" ht="15">
      <c r="V4515" s="494">
        <v>120</v>
      </c>
      <c r="W4515" s="2041" t="e">
        <f t="shared" si="416"/>
        <v>#DIV/0!</v>
      </c>
    </row>
    <row r="4516" spans="22:23" ht="15">
      <c r="V4516" s="494">
        <v>120</v>
      </c>
      <c r="W4516" s="2041" t="e">
        <f t="shared" si="416"/>
        <v>#DIV/0!</v>
      </c>
    </row>
    <row r="4517" spans="22:23" ht="15">
      <c r="V4517" s="494">
        <v>120</v>
      </c>
      <c r="W4517" s="2041" t="e">
        <f t="shared" si="416"/>
        <v>#DIV/0!</v>
      </c>
    </row>
    <row r="4518" spans="22:23" ht="15">
      <c r="V4518" s="494">
        <v>120</v>
      </c>
      <c r="W4518" s="2041" t="e">
        <f t="shared" si="416"/>
        <v>#DIV/0!</v>
      </c>
    </row>
    <row r="4519" spans="22:23" ht="15">
      <c r="V4519" s="494">
        <v>120</v>
      </c>
      <c r="W4519" s="2041" t="e">
        <f t="shared" si="416"/>
        <v>#DIV/0!</v>
      </c>
    </row>
    <row r="4520" spans="22:23" ht="15">
      <c r="V4520" s="494">
        <v>120</v>
      </c>
      <c r="W4520" s="2041" t="e">
        <f t="shared" si="416"/>
        <v>#DIV/0!</v>
      </c>
    </row>
    <row r="4521" spans="22:23" ht="15">
      <c r="V4521" s="494">
        <v>120</v>
      </c>
      <c r="W4521" s="2041" t="e">
        <f t="shared" si="416"/>
        <v>#DIV/0!</v>
      </c>
    </row>
    <row r="4522" spans="22:23" ht="15">
      <c r="V4522" s="494">
        <v>120</v>
      </c>
      <c r="W4522" s="2041" t="e">
        <f t="shared" si="416"/>
        <v>#DIV/0!</v>
      </c>
    </row>
    <row r="4523" spans="22:23" ht="15">
      <c r="V4523" s="494">
        <v>120</v>
      </c>
      <c r="W4523" s="2041" t="e">
        <f t="shared" si="416"/>
        <v>#DIV/0!</v>
      </c>
    </row>
    <row r="4524" spans="22:23" ht="15">
      <c r="V4524" s="494">
        <v>120</v>
      </c>
      <c r="W4524" s="2041" t="e">
        <f t="shared" si="416"/>
        <v>#DIV/0!</v>
      </c>
    </row>
    <row r="4525" spans="22:23" ht="15">
      <c r="V4525" s="494">
        <v>120</v>
      </c>
      <c r="W4525" s="2041" t="e">
        <f t="shared" si="416"/>
        <v>#DIV/0!</v>
      </c>
    </row>
    <row r="4526" spans="22:23" ht="15">
      <c r="V4526" s="494">
        <v>120</v>
      </c>
      <c r="W4526" s="2041" t="e">
        <f t="shared" si="416"/>
        <v>#DIV/0!</v>
      </c>
    </row>
    <row r="4527" spans="22:23" ht="15">
      <c r="V4527" s="494">
        <v>120</v>
      </c>
      <c r="W4527" s="2041" t="e">
        <f t="shared" si="416"/>
        <v>#DIV/0!</v>
      </c>
    </row>
    <row r="4528" spans="22:23" ht="15">
      <c r="V4528" s="494">
        <v>120</v>
      </c>
      <c r="W4528" s="2041" t="e">
        <f t="shared" si="416"/>
        <v>#DIV/0!</v>
      </c>
    </row>
    <row r="4529" spans="22:23" ht="15">
      <c r="V4529" s="494">
        <v>120</v>
      </c>
      <c r="W4529" s="2041" t="e">
        <f t="shared" si="416"/>
        <v>#DIV/0!</v>
      </c>
    </row>
    <row r="4530" spans="22:23" ht="15">
      <c r="V4530" s="494">
        <v>120</v>
      </c>
      <c r="W4530" s="2041" t="e">
        <f t="shared" si="416"/>
        <v>#DIV/0!</v>
      </c>
    </row>
    <row r="4531" spans="22:23" ht="15">
      <c r="V4531" s="494">
        <v>120</v>
      </c>
      <c r="W4531" s="2041" t="e">
        <f t="shared" si="416"/>
        <v>#DIV/0!</v>
      </c>
    </row>
    <row r="4532" spans="22:23" ht="15">
      <c r="V4532" s="494">
        <v>120</v>
      </c>
      <c r="W4532" s="2041" t="e">
        <f t="shared" si="416"/>
        <v>#DIV/0!</v>
      </c>
    </row>
    <row r="4533" spans="22:23" ht="15">
      <c r="V4533" s="494">
        <v>120</v>
      </c>
      <c r="W4533" s="2041" t="e">
        <f t="shared" si="416"/>
        <v>#DIV/0!</v>
      </c>
    </row>
    <row r="4534" spans="22:23" ht="15">
      <c r="V4534" s="494">
        <v>120</v>
      </c>
      <c r="W4534" s="2041" t="e">
        <f t="shared" si="416"/>
        <v>#DIV/0!</v>
      </c>
    </row>
    <row r="4535" spans="22:23" ht="15">
      <c r="V4535" s="494">
        <v>120</v>
      </c>
      <c r="W4535" s="2041" t="e">
        <f t="shared" si="416"/>
        <v>#DIV/0!</v>
      </c>
    </row>
    <row r="4536" spans="22:23" ht="15">
      <c r="V4536" s="494">
        <v>120</v>
      </c>
      <c r="W4536" s="2041" t="e">
        <f t="shared" si="416"/>
        <v>#DIV/0!</v>
      </c>
    </row>
    <row r="4537" spans="22:23" ht="15">
      <c r="V4537" s="494">
        <v>120</v>
      </c>
      <c r="W4537" s="2041" t="e">
        <f t="shared" si="416"/>
        <v>#DIV/0!</v>
      </c>
    </row>
    <row r="4538" spans="22:23" ht="15">
      <c r="V4538" s="494">
        <v>120</v>
      </c>
      <c r="W4538" s="2041" t="e">
        <f t="shared" si="416"/>
        <v>#DIV/0!</v>
      </c>
    </row>
    <row r="4539" spans="22:23" ht="15">
      <c r="V4539" s="494">
        <v>120</v>
      </c>
      <c r="W4539" s="2041" t="e">
        <f t="shared" si="416"/>
        <v>#DIV/0!</v>
      </c>
    </row>
    <row r="4540" spans="22:23" ht="15">
      <c r="V4540" s="494">
        <v>120</v>
      </c>
      <c r="W4540" s="2041" t="e">
        <f t="shared" si="416"/>
        <v>#DIV/0!</v>
      </c>
    </row>
    <row r="4541" spans="22:23" ht="15">
      <c r="V4541" s="494">
        <v>120</v>
      </c>
      <c r="W4541" s="2041" t="e">
        <f t="shared" si="416"/>
        <v>#DIV/0!</v>
      </c>
    </row>
    <row r="4542" spans="22:23" ht="15">
      <c r="V4542" s="494">
        <v>120</v>
      </c>
      <c r="W4542" s="2041" t="e">
        <f t="shared" si="416"/>
        <v>#DIV/0!</v>
      </c>
    </row>
    <row r="4543" spans="22:23" ht="15">
      <c r="V4543" s="494">
        <v>120</v>
      </c>
      <c r="W4543" s="2041" t="e">
        <f t="shared" si="416"/>
        <v>#DIV/0!</v>
      </c>
    </row>
    <row r="4544" spans="22:23" ht="15">
      <c r="V4544" s="494">
        <v>120</v>
      </c>
      <c r="W4544" s="2041" t="e">
        <f t="shared" si="416"/>
        <v>#DIV/0!</v>
      </c>
    </row>
    <row r="4545" spans="22:23" ht="15">
      <c r="V4545" s="494">
        <v>120</v>
      </c>
      <c r="W4545" s="2041" t="e">
        <f t="shared" si="416"/>
        <v>#DIV/0!</v>
      </c>
    </row>
    <row r="4546" spans="22:23" ht="15">
      <c r="V4546" s="494">
        <v>120</v>
      </c>
      <c r="W4546" s="2041" t="e">
        <f t="shared" si="416"/>
        <v>#DIV/0!</v>
      </c>
    </row>
    <row r="4547" spans="22:23" ht="15">
      <c r="V4547" s="494">
        <v>120</v>
      </c>
      <c r="W4547" s="2041" t="e">
        <f t="shared" si="416"/>
        <v>#DIV/0!</v>
      </c>
    </row>
    <row r="4548" spans="22:23" ht="15">
      <c r="V4548" s="494">
        <v>120</v>
      </c>
      <c r="W4548" s="2041" t="e">
        <f t="shared" si="416"/>
        <v>#DIV/0!</v>
      </c>
    </row>
    <row r="4610" spans="9:9" s="1" customFormat="1" ht="21.75">
      <c r="I4610" s="1" ph="1"/>
    </row>
    <row r="4618" spans="9:9" s="1" customFormat="1" ht="21.75">
      <c r="I4618" s="1" ph="1"/>
    </row>
    <row r="4621" spans="9:9" s="1" customFormat="1" ht="21.75">
      <c r="I4621" s="1" ph="1"/>
    </row>
    <row r="4626" spans="9:9" s="1" customFormat="1" ht="21.75">
      <c r="I4626" s="1" ph="1"/>
    </row>
    <row r="4630" spans="9:9" s="1" customFormat="1" ht="21.75">
      <c r="I4630" s="1" ph="1"/>
    </row>
    <row r="4633" spans="9:9" s="1" customFormat="1" ht="21.75">
      <c r="I4633" s="1" ph="1"/>
    </row>
    <row r="4636" spans="9:9" s="1" customFormat="1" ht="21.75">
      <c r="I4636" s="1" ph="1"/>
    </row>
    <row r="4637" spans="9:9" s="1" customFormat="1" ht="21.75">
      <c r="I4637" s="1" ph="1"/>
    </row>
    <row r="4641" spans="9:9" s="1" customFormat="1" ht="21.75">
      <c r="I4641" s="1" ph="1"/>
    </row>
    <row r="4644" spans="9:9" s="1" customFormat="1" ht="21.75">
      <c r="I4644" s="1" ph="1"/>
    </row>
    <row r="4645" spans="9:9" s="1" customFormat="1" ht="21.75">
      <c r="I4645" s="1" ph="1"/>
    </row>
    <row r="4646" spans="9:9" s="1" customFormat="1" ht="21.75">
      <c r="I4646" s="1" ph="1"/>
    </row>
    <row r="4647" spans="9:9" s="1" customFormat="1" ht="21.75">
      <c r="I4647" s="1" ph="1"/>
    </row>
    <row r="4650" spans="9:9" s="1" customFormat="1" ht="21.75">
      <c r="I4650" s="1" ph="1"/>
    </row>
    <row r="4653" spans="9:9" s="1" customFormat="1" ht="21.75">
      <c r="I4653" s="1" ph="1"/>
    </row>
    <row r="4654" spans="9:9" s="1" customFormat="1" ht="21.75">
      <c r="I4654" s="1" ph="1"/>
    </row>
    <row r="4655" spans="9:9" s="1" customFormat="1" ht="21.75">
      <c r="I4655" s="1" ph="1"/>
    </row>
    <row r="4656" spans="9:9" s="1" customFormat="1" ht="21.75">
      <c r="I4656" s="1" ph="1"/>
    </row>
    <row r="4657" spans="9:9" s="1" customFormat="1" ht="21.75">
      <c r="I4657" s="1" ph="1"/>
    </row>
    <row r="4658" spans="9:9" s="1" customFormat="1" ht="21.75">
      <c r="I4658" s="1" ph="1"/>
    </row>
    <row r="4659" spans="9:9" s="1" customFormat="1" ht="21.75">
      <c r="I4659" s="1" ph="1"/>
    </row>
    <row r="4661" spans="9:9" s="1" customFormat="1" ht="21.75">
      <c r="I4661" s="1" ph="1"/>
    </row>
    <row r="4662" spans="9:9" s="1" customFormat="1" ht="21.75">
      <c r="I4662" s="1" ph="1"/>
    </row>
    <row r="4663" spans="9:9" s="1" customFormat="1" ht="21.75">
      <c r="I4663" s="1" ph="1"/>
    </row>
    <row r="4664" spans="9:9" s="1" customFormat="1" ht="21.75">
      <c r="I4664" s="1" ph="1"/>
    </row>
    <row r="4666" spans="9:9" s="1" customFormat="1" ht="21.75">
      <c r="I4666" s="1" ph="1"/>
    </row>
    <row r="4669" spans="9:9" s="1" customFormat="1" ht="21.75">
      <c r="I4669" s="1" ph="1"/>
    </row>
    <row r="4670" spans="9:9" s="1" customFormat="1" ht="21.75">
      <c r="I4670" s="1" ph="1"/>
    </row>
    <row r="4671" spans="9:9" s="1" customFormat="1" ht="21.75">
      <c r="I4671" s="1" ph="1"/>
    </row>
    <row r="4672" spans="9:9" s="1" customFormat="1" ht="21.75">
      <c r="I4672" s="1" ph="1"/>
    </row>
    <row r="4673" spans="9:9" s="1" customFormat="1" ht="21.75">
      <c r="I4673" s="1" ph="1"/>
    </row>
    <row r="4674" spans="9:9" s="1" customFormat="1" ht="21.75">
      <c r="I4674" s="1" ph="1"/>
    </row>
    <row r="4675" spans="9:9" s="1" customFormat="1" ht="21.75">
      <c r="I4675" s="1" ph="1"/>
    </row>
    <row r="4676" spans="9:9" s="1" customFormat="1" ht="21.75">
      <c r="I4676" s="1" ph="1"/>
    </row>
    <row r="4677" spans="9:9" s="1" customFormat="1" ht="21.75">
      <c r="I4677" s="1" ph="1"/>
    </row>
    <row r="4678" spans="9:9" s="1" customFormat="1" ht="21.75">
      <c r="I4678" s="1" ph="1"/>
    </row>
    <row r="4679" spans="9:9" s="1" customFormat="1" ht="21.75">
      <c r="I4679" s="1" ph="1"/>
    </row>
    <row r="4680" spans="9:9" s="1" customFormat="1" ht="21.75">
      <c r="I4680" s="1" ph="1"/>
    </row>
    <row r="4681" spans="9:9" s="1" customFormat="1" ht="21.75">
      <c r="I4681" s="1" ph="1"/>
    </row>
    <row r="4682" spans="9:9" s="1" customFormat="1" ht="21.75">
      <c r="I4682" s="1" ph="1"/>
    </row>
    <row r="4683" spans="9:9" s="1" customFormat="1" ht="21.75">
      <c r="I4683" s="1" ph="1"/>
    </row>
    <row r="4684" spans="9:9" s="1" customFormat="1" ht="21.75">
      <c r="I4684" s="1" ph="1"/>
    </row>
    <row r="4685" spans="9:9" s="1" customFormat="1" ht="21.75">
      <c r="I4685" s="1" ph="1"/>
    </row>
    <row r="4686" spans="9:9" s="1" customFormat="1" ht="21.75">
      <c r="I4686" s="1" ph="1"/>
    </row>
    <row r="4687" spans="9:9" s="1" customFormat="1" ht="21.75">
      <c r="I4687" s="1" ph="1"/>
    </row>
    <row r="4688" spans="9:9" s="1" customFormat="1" ht="21.75">
      <c r="I4688" s="1" ph="1"/>
    </row>
    <row r="4689" spans="9:9" s="1" customFormat="1" ht="21.75">
      <c r="I4689" s="1" ph="1"/>
    </row>
    <row r="4690" spans="9:9" s="1" customFormat="1" ht="21.75">
      <c r="I4690" s="1" ph="1"/>
    </row>
    <row r="4691" spans="9:9" s="1" customFormat="1" ht="21.75">
      <c r="I4691" s="1" ph="1"/>
    </row>
    <row r="4692" spans="9:9" s="1" customFormat="1" ht="21.75">
      <c r="I4692" s="1" ph="1"/>
    </row>
    <row r="4693" spans="9:9" s="1" customFormat="1" ht="21.75">
      <c r="I4693" s="1" ph="1"/>
    </row>
    <row r="4694" spans="9:9" s="1" customFormat="1" ht="21.75">
      <c r="I4694" s="1" ph="1"/>
    </row>
    <row r="4695" spans="9:9" s="1" customFormat="1" ht="21.75">
      <c r="I4695" s="1" ph="1"/>
    </row>
    <row r="4696" spans="9:9" s="1" customFormat="1" ht="21.75">
      <c r="I4696" s="1" ph="1"/>
    </row>
    <row r="4697" spans="9:9" s="1" customFormat="1" ht="21.75">
      <c r="I4697" s="1" ph="1"/>
    </row>
    <row r="4698" spans="9:9" s="1" customFormat="1" ht="21.75">
      <c r="I4698" s="1" ph="1"/>
    </row>
    <row r="4699" spans="9:9" s="1" customFormat="1" ht="21.75">
      <c r="I4699" s="1" ph="1"/>
    </row>
    <row r="4700" spans="9:9" s="1" customFormat="1" ht="21.75">
      <c r="I4700" s="1" ph="1"/>
    </row>
    <row r="4701" spans="9:9" s="1" customFormat="1" ht="21.75">
      <c r="I4701" s="1" ph="1"/>
    </row>
    <row r="4702" spans="9:9" s="1" customFormat="1" ht="21.75">
      <c r="I4702" s="1" ph="1"/>
    </row>
    <row r="4703" spans="9:9" s="1" customFormat="1" ht="21.75">
      <c r="I4703" s="1" ph="1"/>
    </row>
    <row r="4704" spans="9:9" s="1" customFormat="1" ht="21.75">
      <c r="I4704" s="1" ph="1"/>
    </row>
    <row r="4705" spans="9:9" s="1" customFormat="1" ht="21.75">
      <c r="I4705" s="1" ph="1"/>
    </row>
    <row r="4706" spans="9:9" s="1" customFormat="1" ht="21.75">
      <c r="I4706" s="1" ph="1"/>
    </row>
    <row r="4707" spans="9:9" s="1" customFormat="1" ht="21.75">
      <c r="I4707" s="1" ph="1"/>
    </row>
    <row r="4708" spans="9:9" s="1" customFormat="1" ht="21.75">
      <c r="I4708" s="1" ph="1"/>
    </row>
    <row r="4709" spans="9:9" s="1" customFormat="1" ht="21.75">
      <c r="I4709" s="1" ph="1"/>
    </row>
    <row r="4710" spans="9:9" s="1" customFormat="1" ht="21.75">
      <c r="I4710" s="1" ph="1"/>
    </row>
    <row r="4711" spans="9:9" s="1" customFormat="1" ht="21.75">
      <c r="I4711" s="1" ph="1"/>
    </row>
    <row r="4712" spans="9:9" s="1" customFormat="1" ht="21.75">
      <c r="I4712" s="1" ph="1"/>
    </row>
    <row r="4713" spans="9:9" s="1" customFormat="1" ht="21.75">
      <c r="I4713" s="1" ph="1"/>
    </row>
    <row r="4714" spans="9:9" s="1" customFormat="1" ht="21.75">
      <c r="I4714" s="1" ph="1"/>
    </row>
    <row r="4715" spans="9:9" s="1" customFormat="1" ht="21.75">
      <c r="I4715" s="1" ph="1"/>
    </row>
    <row r="4716" spans="9:9" s="1" customFormat="1" ht="21.75">
      <c r="I4716" s="1" ph="1"/>
    </row>
    <row r="4717" spans="9:9" s="1" customFormat="1" ht="21.75">
      <c r="I4717" s="1" ph="1"/>
    </row>
    <row r="4718" spans="9:9" s="1" customFormat="1" ht="21.75">
      <c r="I4718" s="1" ph="1"/>
    </row>
    <row r="4719" spans="9:9" s="1" customFormat="1" ht="21.75">
      <c r="I4719" s="1" ph="1"/>
    </row>
    <row r="4720" spans="9:9" s="1" customFormat="1" ht="21.75">
      <c r="I4720" s="1" ph="1"/>
    </row>
    <row r="4721" spans="9:9" s="1" customFormat="1" ht="21.75">
      <c r="I4721" s="1" ph="1"/>
    </row>
    <row r="4722" spans="9:9" s="1" customFormat="1" ht="21.75">
      <c r="I4722" s="1" ph="1"/>
    </row>
    <row r="4723" spans="9:9" s="1" customFormat="1" ht="21.75">
      <c r="I4723" s="1" ph="1"/>
    </row>
    <row r="4724" spans="9:9" s="1" customFormat="1" ht="21.75">
      <c r="I4724" s="1" ph="1"/>
    </row>
    <row r="4725" spans="9:9" s="1" customFormat="1" ht="21.75">
      <c r="I4725" s="1" ph="1"/>
    </row>
    <row r="4726" spans="9:9" s="1" customFormat="1" ht="21.75">
      <c r="I4726" s="1" ph="1"/>
    </row>
    <row r="4727" spans="9:9" s="1" customFormat="1" ht="21.75">
      <c r="I4727" s="1" ph="1"/>
    </row>
    <row r="4728" spans="9:9" s="1" customFormat="1" ht="21.75">
      <c r="I4728" s="1" ph="1"/>
    </row>
    <row r="4729" spans="9:9" s="1" customFormat="1" ht="21.75">
      <c r="I4729" s="1" ph="1"/>
    </row>
    <row r="4730" spans="9:9" s="1" customFormat="1" ht="21.75">
      <c r="I4730" s="1" ph="1"/>
    </row>
    <row r="4731" spans="9:9" s="1" customFormat="1" ht="21.75">
      <c r="I4731" s="1" ph="1"/>
    </row>
    <row r="4732" spans="9:9" s="1" customFormat="1" ht="21.75">
      <c r="I4732" s="1" ph="1"/>
    </row>
    <row r="4733" spans="9:9" s="1" customFormat="1" ht="21.75">
      <c r="I4733" s="1" ph="1"/>
    </row>
    <row r="4734" spans="9:9" s="1" customFormat="1" ht="21.75">
      <c r="I4734" s="1" ph="1"/>
    </row>
    <row r="4735" spans="9:9" s="1" customFormat="1" ht="21.75">
      <c r="I4735" s="1" ph="1"/>
    </row>
    <row r="4736" spans="9:9" s="1" customFormat="1" ht="21.75">
      <c r="I4736" s="1" ph="1"/>
    </row>
    <row r="4737" spans="9:9" s="1" customFormat="1" ht="21.75">
      <c r="I4737" s="1" ph="1"/>
    </row>
    <row r="4738" spans="9:9" s="1" customFormat="1" ht="21.75">
      <c r="I4738" s="1" ph="1"/>
    </row>
    <row r="4739" spans="9:9" s="1" customFormat="1" ht="21.75">
      <c r="I4739" s="1" ph="1"/>
    </row>
    <row r="4740" spans="9:9" s="1" customFormat="1" ht="21.75">
      <c r="I4740" s="1" ph="1"/>
    </row>
    <row r="4741" spans="9:9" s="1" customFormat="1" ht="21.75">
      <c r="I4741" s="1" ph="1"/>
    </row>
    <row r="4742" spans="9:9" s="1" customFormat="1" ht="21.75">
      <c r="I4742" s="1" ph="1"/>
    </row>
    <row r="4743" spans="9:9" s="1" customFormat="1" ht="21.75">
      <c r="I4743" s="1" ph="1"/>
    </row>
    <row r="4744" spans="9:9" s="1" customFormat="1" ht="21.75">
      <c r="I4744" s="1" ph="1"/>
    </row>
    <row r="4745" spans="9:9" s="1" customFormat="1" ht="21.75">
      <c r="I4745" s="1" ph="1"/>
    </row>
    <row r="4746" spans="9:9" s="1" customFormat="1" ht="21.75">
      <c r="I4746" s="1" ph="1"/>
    </row>
    <row r="4747" spans="9:9" s="1" customFormat="1" ht="21.75">
      <c r="I4747" s="1" ph="1"/>
    </row>
    <row r="4748" spans="9:9" s="1" customFormat="1" ht="21.75">
      <c r="I4748" s="1" ph="1"/>
    </row>
    <row r="4749" spans="9:9" s="1" customFormat="1" ht="21.75">
      <c r="I4749" s="1" ph="1"/>
    </row>
    <row r="4750" spans="9:9" s="1" customFormat="1" ht="21.75">
      <c r="I4750" s="1" ph="1"/>
    </row>
    <row r="4751" spans="9:9" s="1" customFormat="1" ht="21.75">
      <c r="I4751" s="1" ph="1"/>
    </row>
    <row r="4752" spans="9:9" s="1" customFormat="1" ht="21.75">
      <c r="I4752" s="1" ph="1"/>
    </row>
    <row r="4753" spans="9:9" s="1" customFormat="1" ht="21.75">
      <c r="I4753" s="1" ph="1"/>
    </row>
    <row r="4754" spans="9:9" s="1" customFormat="1" ht="21.75">
      <c r="I4754" s="1" ph="1"/>
    </row>
    <row r="4755" spans="9:9" s="1" customFormat="1" ht="21.75">
      <c r="I4755" s="1" ph="1"/>
    </row>
    <row r="4756" spans="9:9" s="1" customFormat="1" ht="21.75">
      <c r="I4756" s="1" ph="1"/>
    </row>
    <row r="4757" spans="9:9" s="1" customFormat="1" ht="21.75">
      <c r="I4757" s="1" ph="1"/>
    </row>
    <row r="4758" spans="9:9" s="1" customFormat="1" ht="21.75">
      <c r="I4758" s="1" ph="1"/>
    </row>
    <row r="4759" spans="9:9" s="1" customFormat="1" ht="21.75">
      <c r="I4759" s="1" ph="1"/>
    </row>
    <row r="4760" spans="9:9" s="1" customFormat="1" ht="21.75">
      <c r="I4760" s="1" ph="1"/>
    </row>
    <row r="4761" spans="9:9" s="1" customFormat="1" ht="21.75">
      <c r="I4761" s="1" ph="1"/>
    </row>
    <row r="4762" spans="9:9" s="1" customFormat="1" ht="21.75">
      <c r="I4762" s="1" ph="1"/>
    </row>
    <row r="4763" spans="9:9" s="1" customFormat="1" ht="21.75">
      <c r="I4763" s="1" ph="1"/>
    </row>
    <row r="4764" spans="9:9" s="1" customFormat="1" ht="21.75">
      <c r="I4764" s="1" ph="1"/>
    </row>
    <row r="4765" spans="9:9" s="1" customFormat="1" ht="21.75">
      <c r="I4765" s="1" ph="1"/>
    </row>
    <row r="4766" spans="9:9" s="1" customFormat="1" ht="21.75">
      <c r="I4766" s="1" ph="1"/>
    </row>
    <row r="4767" spans="9:9" s="1" customFormat="1" ht="21.75">
      <c r="I4767" s="1" ph="1"/>
    </row>
    <row r="4768" spans="9:9" s="1" customFormat="1" ht="21.75">
      <c r="I4768" s="1" ph="1"/>
    </row>
    <row r="4769" spans="9:9" s="1" customFormat="1" ht="21.75">
      <c r="I4769" s="1" ph="1"/>
    </row>
    <row r="4770" spans="9:9" s="1" customFormat="1" ht="21.75">
      <c r="I4770" s="1" ph="1"/>
    </row>
    <row r="4771" spans="9:9" s="1" customFormat="1" ht="21.75">
      <c r="I4771" s="1" ph="1"/>
    </row>
    <row r="4772" spans="9:9" s="1" customFormat="1" ht="21.75">
      <c r="I4772" s="1" ph="1"/>
    </row>
    <row r="4773" spans="9:9" s="1" customFormat="1" ht="21.75">
      <c r="I4773" s="1" ph="1"/>
    </row>
    <row r="4774" spans="9:9" s="1" customFormat="1" ht="21.75">
      <c r="I4774" s="1" ph="1"/>
    </row>
    <row r="4775" spans="9:9" s="1" customFormat="1" ht="21.75">
      <c r="I4775" s="1" ph="1"/>
    </row>
    <row r="4776" spans="9:9" s="1" customFormat="1" ht="21.75">
      <c r="I4776" s="1" ph="1"/>
    </row>
    <row r="4777" spans="9:9" s="1" customFormat="1" ht="21.75">
      <c r="I4777" s="1" ph="1"/>
    </row>
    <row r="4778" spans="9:9" s="1" customFormat="1" ht="21.75">
      <c r="I4778" s="1" ph="1"/>
    </row>
    <row r="4779" spans="9:9" s="1" customFormat="1" ht="21.75">
      <c r="I4779" s="1" ph="1"/>
    </row>
    <row r="4780" spans="9:9" s="1" customFormat="1" ht="21.75">
      <c r="I4780" s="1" ph="1"/>
    </row>
    <row r="4781" spans="9:9" s="1" customFormat="1" ht="21.75">
      <c r="I4781" s="1" ph="1"/>
    </row>
    <row r="4782" spans="9:9" s="1" customFormat="1" ht="21.75">
      <c r="I4782" s="1" ph="1"/>
    </row>
    <row r="4783" spans="9:9" s="1" customFormat="1" ht="21.75">
      <c r="I4783" s="1" ph="1"/>
    </row>
    <row r="4784" spans="9:9" s="1" customFormat="1" ht="21.75">
      <c r="I4784" s="1" ph="1"/>
    </row>
    <row r="4785" spans="9:9" s="1" customFormat="1" ht="21.75">
      <c r="I4785" s="1" ph="1"/>
    </row>
    <row r="4786" spans="9:9" s="1" customFormat="1" ht="21.75">
      <c r="I4786" s="1" ph="1"/>
    </row>
    <row r="4787" spans="9:9" s="1" customFormat="1" ht="21.75">
      <c r="I4787" s="1" ph="1"/>
    </row>
    <row r="4788" spans="9:9" s="1" customFormat="1" ht="21.75">
      <c r="I4788" s="1" ph="1"/>
    </row>
    <row r="4789" spans="9:9" s="1" customFormat="1" ht="21.75">
      <c r="I4789" s="1" ph="1"/>
    </row>
    <row r="4790" spans="9:9" s="1" customFormat="1" ht="21.75">
      <c r="I4790" s="1" ph="1"/>
    </row>
    <row r="4791" spans="9:9" s="1" customFormat="1" ht="21.75">
      <c r="I4791" s="1" ph="1"/>
    </row>
    <row r="4792" spans="9:9" s="1" customFormat="1" ht="21.75">
      <c r="I4792" s="1" ph="1"/>
    </row>
    <row r="4793" spans="9:9" s="1" customFormat="1" ht="21.75">
      <c r="I4793" s="1" ph="1"/>
    </row>
    <row r="4794" spans="9:9" s="1" customFormat="1" ht="21.75">
      <c r="I4794" s="1" ph="1"/>
    </row>
    <row r="4795" spans="9:9" s="1" customFormat="1" ht="21.75">
      <c r="I4795" s="1" ph="1"/>
    </row>
    <row r="4796" spans="9:9" s="1" customFormat="1" ht="21.75">
      <c r="I4796" s="1" ph="1"/>
    </row>
    <row r="4797" spans="9:9" s="1" customFormat="1" ht="21.75">
      <c r="I4797" s="1" ph="1"/>
    </row>
    <row r="4798" spans="9:9" s="1" customFormat="1" ht="21.75">
      <c r="I4798" s="1" ph="1"/>
    </row>
    <row r="4799" spans="9:9" s="1" customFormat="1" ht="21.75">
      <c r="I4799" s="1" ph="1"/>
    </row>
    <row r="4800" spans="9:9" s="1" customFormat="1" ht="21.75">
      <c r="I4800" s="1" ph="1"/>
    </row>
    <row r="4801" spans="9:9" s="1" customFormat="1" ht="21.75">
      <c r="I4801" s="1" ph="1"/>
    </row>
    <row r="4802" spans="9:9" s="1" customFormat="1" ht="21.75">
      <c r="I4802" s="1" ph="1"/>
    </row>
    <row r="4803" spans="9:9" s="1" customFormat="1" ht="21.75">
      <c r="I4803" s="1" ph="1"/>
    </row>
    <row r="4804" spans="9:9" s="1" customFormat="1" ht="21.75">
      <c r="I4804" s="1" ph="1"/>
    </row>
    <row r="4805" spans="9:9" s="1" customFormat="1" ht="21.75">
      <c r="I4805" s="1" ph="1"/>
    </row>
    <row r="4806" spans="9:9" s="1" customFormat="1" ht="21.75">
      <c r="I4806" s="1" ph="1"/>
    </row>
    <row r="4807" spans="9:9" s="1" customFormat="1" ht="21.75">
      <c r="I4807" s="1" ph="1"/>
    </row>
    <row r="4808" spans="9:9" s="1" customFormat="1" ht="21.75">
      <c r="I4808" s="1" ph="1"/>
    </row>
    <row r="4809" spans="9:9" s="1" customFormat="1" ht="21.75">
      <c r="I4809" s="1" ph="1"/>
    </row>
    <row r="4810" spans="9:9" s="1" customFormat="1" ht="21.75">
      <c r="I4810" s="1" ph="1"/>
    </row>
    <row r="4811" spans="9:9" s="1" customFormat="1" ht="21.75">
      <c r="I4811" s="1" ph="1"/>
    </row>
    <row r="4812" spans="9:9" s="1" customFormat="1" ht="21.75">
      <c r="I4812" s="1" ph="1"/>
    </row>
    <row r="4813" spans="9:9" s="1" customFormat="1" ht="21.75">
      <c r="I4813" s="1" ph="1"/>
    </row>
    <row r="4814" spans="9:9" s="1" customFormat="1" ht="21.75">
      <c r="I4814" s="1" ph="1"/>
    </row>
    <row r="4815" spans="9:9" s="1" customFormat="1" ht="21.75">
      <c r="I4815" s="1" ph="1"/>
    </row>
    <row r="4816" spans="9:9" s="1" customFormat="1" ht="21.75">
      <c r="I4816" s="1" ph="1"/>
    </row>
    <row r="4817" spans="9:9" s="1" customFormat="1" ht="21.75">
      <c r="I4817" s="1" ph="1"/>
    </row>
    <row r="4818" spans="9:9" s="1" customFormat="1" ht="21.75">
      <c r="I4818" s="1" ph="1"/>
    </row>
    <row r="4819" spans="9:9" s="1" customFormat="1" ht="21.75">
      <c r="I4819" s="1" ph="1"/>
    </row>
    <row r="4820" spans="9:9" s="1" customFormat="1" ht="21.75">
      <c r="I4820" s="1" ph="1"/>
    </row>
    <row r="4821" spans="9:9" s="1" customFormat="1" ht="21.75">
      <c r="I4821" s="1" ph="1"/>
    </row>
    <row r="4822" spans="9:9" s="1" customFormat="1" ht="21.75">
      <c r="I4822" s="1" ph="1"/>
    </row>
    <row r="4823" spans="9:9" s="1" customFormat="1" ht="21.75">
      <c r="I4823" s="1" ph="1"/>
    </row>
    <row r="4824" spans="9:9" s="1" customFormat="1" ht="21.75">
      <c r="I4824" s="1" ph="1"/>
    </row>
    <row r="4825" spans="9:9" s="1" customFormat="1" ht="21.75">
      <c r="I4825" s="1" ph="1"/>
    </row>
    <row r="4826" spans="9:9" s="1" customFormat="1" ht="21.75">
      <c r="I4826" s="1" ph="1"/>
    </row>
    <row r="4827" spans="9:9" s="1" customFormat="1" ht="21.75">
      <c r="I4827" s="1" ph="1"/>
    </row>
    <row r="4828" spans="9:9" s="1" customFormat="1" ht="21.75">
      <c r="I4828" s="1" ph="1"/>
    </row>
    <row r="4829" spans="9:9" s="1" customFormat="1" ht="21.75">
      <c r="I4829" s="1" ph="1"/>
    </row>
    <row r="4830" spans="9:9" s="1" customFormat="1" ht="21.75">
      <c r="I4830" s="1" ph="1"/>
    </row>
    <row r="4831" spans="9:9" s="1" customFormat="1" ht="21.75">
      <c r="I4831" s="1" ph="1"/>
    </row>
    <row r="4832" spans="9:9" s="1" customFormat="1" ht="21.75">
      <c r="I4832" s="1" ph="1"/>
    </row>
    <row r="4833" spans="9:9" s="1" customFormat="1" ht="21.75">
      <c r="I4833" s="1" ph="1"/>
    </row>
    <row r="4834" spans="9:9" s="1" customFormat="1" ht="21.75">
      <c r="I4834" s="1" ph="1"/>
    </row>
    <row r="4835" spans="9:9" s="1" customFormat="1" ht="21.75">
      <c r="I4835" s="1" ph="1"/>
    </row>
    <row r="4836" spans="9:9" s="1" customFormat="1" ht="21.75">
      <c r="I4836" s="1" ph="1"/>
    </row>
    <row r="4837" spans="9:9" s="1" customFormat="1" ht="21.75">
      <c r="I4837" s="1" ph="1"/>
    </row>
    <row r="4838" spans="9:9" s="1" customFormat="1" ht="21.75">
      <c r="I4838" s="1" ph="1"/>
    </row>
    <row r="4839" spans="9:9" s="1" customFormat="1" ht="21.75">
      <c r="I4839" s="1" ph="1"/>
    </row>
    <row r="4840" spans="9:9" s="1" customFormat="1" ht="21.75">
      <c r="I4840" s="1" ph="1"/>
    </row>
    <row r="4841" spans="9:9" s="1" customFormat="1" ht="21.75">
      <c r="I4841" s="1" ph="1"/>
    </row>
    <row r="4842" spans="9:9" s="1" customFormat="1" ht="21.75">
      <c r="I4842" s="1" ph="1"/>
    </row>
    <row r="4843" spans="9:9" s="1" customFormat="1" ht="21.75">
      <c r="I4843" s="1" ph="1"/>
    </row>
    <row r="4844" spans="9:9" s="1" customFormat="1" ht="21.75">
      <c r="I4844" s="1" ph="1"/>
    </row>
    <row r="4845" spans="9:9" s="1" customFormat="1" ht="21.75">
      <c r="I4845" s="1" ph="1"/>
    </row>
    <row r="4846" spans="9:9" s="1" customFormat="1" ht="21.75">
      <c r="I4846" s="1" ph="1"/>
    </row>
    <row r="4847" spans="9:9" s="1" customFormat="1" ht="21.75">
      <c r="I4847" s="1" ph="1"/>
    </row>
    <row r="4848" spans="9:9" s="1" customFormat="1" ht="21.75">
      <c r="I4848" s="1" ph="1"/>
    </row>
    <row r="4849" spans="9:9" s="1" customFormat="1" ht="21.75">
      <c r="I4849" s="1" ph="1"/>
    </row>
    <row r="4850" spans="9:9" s="1" customFormat="1" ht="21.75">
      <c r="I4850" s="1" ph="1"/>
    </row>
    <row r="4851" spans="9:9" s="1" customFormat="1" ht="21.75">
      <c r="I4851" s="1" ph="1"/>
    </row>
    <row r="4852" spans="9:9" s="1" customFormat="1" ht="21.75">
      <c r="I4852" s="1" ph="1"/>
    </row>
    <row r="4853" spans="9:9" s="1" customFormat="1" ht="21.75">
      <c r="I4853" s="1" ph="1"/>
    </row>
    <row r="4854" spans="9:9" s="1" customFormat="1" ht="21.75">
      <c r="I4854" s="1" ph="1"/>
    </row>
    <row r="4855" spans="9:9" s="1" customFormat="1" ht="21.75">
      <c r="I4855" s="1" ph="1"/>
    </row>
    <row r="4856" spans="9:9" s="1" customFormat="1" ht="21.75">
      <c r="I4856" s="1" ph="1"/>
    </row>
    <row r="4857" spans="9:9" s="1" customFormat="1" ht="21.75">
      <c r="I4857" s="1" ph="1"/>
    </row>
    <row r="4858" spans="9:9" s="1" customFormat="1" ht="21.75">
      <c r="I4858" s="1" ph="1"/>
    </row>
    <row r="4859" spans="9:9" s="1" customFormat="1" ht="21.75">
      <c r="I4859" s="1" ph="1"/>
    </row>
    <row r="4860" spans="9:9" s="1" customFormat="1" ht="21.75">
      <c r="I4860" s="1" ph="1"/>
    </row>
    <row r="4861" spans="9:9" s="1" customFormat="1" ht="21.75">
      <c r="I4861" s="1" ph="1"/>
    </row>
    <row r="4862" spans="9:9" s="1" customFormat="1" ht="21.75">
      <c r="I4862" s="1" ph="1"/>
    </row>
    <row r="4863" spans="9:9" s="1" customFormat="1" ht="21.75">
      <c r="I4863" s="1" ph="1"/>
    </row>
    <row r="4864" spans="9:9" s="1" customFormat="1" ht="21.75">
      <c r="I4864" s="1" ph="1"/>
    </row>
    <row r="4865" spans="9:9" s="1" customFormat="1" ht="21.75">
      <c r="I4865" s="1" ph="1"/>
    </row>
    <row r="4866" spans="9:9" s="1" customFormat="1" ht="21.75">
      <c r="I4866" s="1" ph="1"/>
    </row>
    <row r="4867" spans="9:9" s="1" customFormat="1" ht="21.75">
      <c r="I4867" s="1" ph="1"/>
    </row>
    <row r="4868" spans="9:9" s="1" customFormat="1" ht="21.75">
      <c r="I4868" s="1" ph="1"/>
    </row>
    <row r="4869" spans="9:9" s="1" customFormat="1" ht="21.75">
      <c r="I4869" s="1" ph="1"/>
    </row>
    <row r="4870" spans="9:9" s="1" customFormat="1" ht="21.75">
      <c r="I4870" s="1" ph="1"/>
    </row>
    <row r="4871" spans="9:9" s="1" customFormat="1" ht="21.75">
      <c r="I4871" s="1" ph="1"/>
    </row>
    <row r="4872" spans="9:9" s="1" customFormat="1" ht="21.75">
      <c r="I4872" s="1" ph="1"/>
    </row>
    <row r="4873" spans="9:9" s="1" customFormat="1" ht="21.75">
      <c r="I4873" s="1" ph="1"/>
    </row>
    <row r="4874" spans="9:9" s="1" customFormat="1" ht="21.75">
      <c r="I4874" s="1" ph="1"/>
    </row>
    <row r="4875" spans="9:9" s="1" customFormat="1" ht="21.75">
      <c r="I4875" s="1" ph="1"/>
    </row>
    <row r="4876" spans="9:9" s="1" customFormat="1" ht="21.75">
      <c r="I4876" s="1" ph="1"/>
    </row>
    <row r="4877" spans="9:9" s="1" customFormat="1" ht="21.75">
      <c r="I4877" s="1" ph="1"/>
    </row>
    <row r="4878" spans="9:9" s="1" customFormat="1" ht="21.75">
      <c r="I4878" s="1" ph="1"/>
    </row>
    <row r="4879" spans="9:9" s="1" customFormat="1" ht="21.75">
      <c r="I4879" s="1" ph="1"/>
    </row>
    <row r="4880" spans="9:9" s="1" customFormat="1" ht="21.75">
      <c r="I4880" s="1" ph="1"/>
    </row>
    <row r="4881" spans="9:9" s="1" customFormat="1" ht="21.75">
      <c r="I4881" s="1" ph="1"/>
    </row>
    <row r="4882" spans="9:9" s="1" customFormat="1" ht="21.75">
      <c r="I4882" s="1" ph="1"/>
    </row>
    <row r="4883" spans="9:9" s="1" customFormat="1" ht="21.75">
      <c r="I4883" s="1" ph="1"/>
    </row>
    <row r="4884" spans="9:9" s="1" customFormat="1" ht="21.75">
      <c r="I4884" s="1" ph="1"/>
    </row>
    <row r="4885" spans="9:9" s="1" customFormat="1" ht="21.75">
      <c r="I4885" s="1" ph="1"/>
    </row>
    <row r="4886" spans="9:9" s="1" customFormat="1" ht="21.75">
      <c r="I4886" s="1" ph="1"/>
    </row>
    <row r="4887" spans="9:9" s="1" customFormat="1" ht="21.75">
      <c r="I4887" s="1" ph="1"/>
    </row>
    <row r="4888" spans="9:9" s="1" customFormat="1" ht="21.75">
      <c r="I4888" s="1" ph="1"/>
    </row>
    <row r="4889" spans="9:9" s="1" customFormat="1" ht="21.75">
      <c r="I4889" s="1" ph="1"/>
    </row>
    <row r="4890" spans="9:9" s="1" customFormat="1" ht="21.75">
      <c r="I4890" s="1" ph="1"/>
    </row>
    <row r="4891" spans="9:9" s="1" customFormat="1" ht="21.75">
      <c r="I4891" s="1" ph="1"/>
    </row>
    <row r="4892" spans="9:9" s="1" customFormat="1" ht="21.75">
      <c r="I4892" s="1" ph="1"/>
    </row>
    <row r="4893" spans="9:9" s="1" customFormat="1" ht="21.75">
      <c r="I4893" s="1" ph="1"/>
    </row>
    <row r="4894" spans="9:9" s="1" customFormat="1" ht="21.75">
      <c r="I4894" s="1" ph="1"/>
    </row>
    <row r="4895" spans="9:9" s="1" customFormat="1" ht="21.75">
      <c r="I4895" s="1" ph="1"/>
    </row>
    <row r="4896" spans="9:9" s="1" customFormat="1" ht="21.75">
      <c r="I4896" s="1" ph="1"/>
    </row>
    <row r="4897" spans="9:9" s="1" customFormat="1" ht="21.75">
      <c r="I4897" s="1" ph="1"/>
    </row>
    <row r="4898" spans="9:9" s="1" customFormat="1" ht="21.75">
      <c r="I4898" s="1" ph="1"/>
    </row>
    <row r="4899" spans="9:9" s="1" customFormat="1" ht="21.75">
      <c r="I4899" s="1" ph="1"/>
    </row>
    <row r="4900" spans="9:9" s="1" customFormat="1" ht="21.75">
      <c r="I4900" s="1" ph="1"/>
    </row>
    <row r="4901" spans="9:9" s="1" customFormat="1" ht="21.75">
      <c r="I4901" s="1" ph="1"/>
    </row>
    <row r="4902" spans="9:9" s="1" customFormat="1" ht="21.75">
      <c r="I4902" s="1" ph="1"/>
    </row>
    <row r="4903" spans="9:9" s="1" customFormat="1" ht="21.75">
      <c r="I4903" s="1" ph="1"/>
    </row>
    <row r="4904" spans="9:9" s="1" customFormat="1" ht="21.75">
      <c r="I4904" s="1" ph="1"/>
    </row>
    <row r="4905" spans="9:9" s="1" customFormat="1" ht="21.75">
      <c r="I4905" s="1" ph="1"/>
    </row>
    <row r="4906" spans="9:9" s="1" customFormat="1" ht="21.75">
      <c r="I4906" s="1" ph="1"/>
    </row>
    <row r="4907" spans="9:9" s="1" customFormat="1" ht="21.75">
      <c r="I4907" s="1" ph="1"/>
    </row>
    <row r="4908" spans="9:9" s="1" customFormat="1" ht="21.75">
      <c r="I4908" s="1" ph="1"/>
    </row>
    <row r="4909" spans="9:9" s="1" customFormat="1" ht="21.75">
      <c r="I4909" s="1" ph="1"/>
    </row>
    <row r="4910" spans="9:9" s="1" customFormat="1" ht="21.75">
      <c r="I4910" s="1" ph="1"/>
    </row>
    <row r="4911" spans="9:9" s="1" customFormat="1" ht="21.75">
      <c r="I4911" s="1" ph="1"/>
    </row>
    <row r="4912" spans="9:9" s="1" customFormat="1" ht="21.75">
      <c r="I4912" s="1" ph="1"/>
    </row>
    <row r="4913" spans="9:9" s="1" customFormat="1" ht="21.75">
      <c r="I4913" s="1" ph="1"/>
    </row>
    <row r="4914" spans="9:9" s="1" customFormat="1" ht="21.75">
      <c r="I4914" s="1" ph="1"/>
    </row>
    <row r="4915" spans="9:9" s="1" customFormat="1" ht="21.75">
      <c r="I4915" s="1" ph="1"/>
    </row>
    <row r="4916" spans="9:9" s="1" customFormat="1" ht="21.75">
      <c r="I4916" s="1" ph="1"/>
    </row>
    <row r="4917" spans="9:9" s="1" customFormat="1" ht="21.75">
      <c r="I4917" s="1" ph="1"/>
    </row>
    <row r="4918" spans="9:9" s="1" customFormat="1" ht="21.75">
      <c r="I4918" s="1" ph="1"/>
    </row>
    <row r="4919" spans="9:9" s="1" customFormat="1" ht="21.75">
      <c r="I4919" s="1" ph="1"/>
    </row>
    <row r="4920" spans="9:9" s="1" customFormat="1" ht="21.75">
      <c r="I4920" s="1" ph="1"/>
    </row>
    <row r="4921" spans="9:9" s="1" customFormat="1" ht="21.75">
      <c r="I4921" s="1" ph="1"/>
    </row>
    <row r="4922" spans="9:9" s="1" customFormat="1" ht="21.75">
      <c r="I4922" s="1" ph="1"/>
    </row>
    <row r="4923" spans="9:9" s="1" customFormat="1" ht="21.75">
      <c r="I4923" s="1" ph="1"/>
    </row>
    <row r="4924" spans="9:9" s="1" customFormat="1" ht="21.75">
      <c r="I4924" s="1" ph="1"/>
    </row>
    <row r="4925" spans="9:9" s="1" customFormat="1" ht="21.75">
      <c r="I4925" s="1" ph="1"/>
    </row>
    <row r="4926" spans="9:9" s="1" customFormat="1" ht="21.75">
      <c r="I4926" s="1" ph="1"/>
    </row>
    <row r="4927" spans="9:9" s="1" customFormat="1" ht="21.75">
      <c r="I4927" s="1" ph="1"/>
    </row>
    <row r="4928" spans="9:9" s="1" customFormat="1" ht="21.75">
      <c r="I4928" s="1" ph="1"/>
    </row>
    <row r="4929" spans="9:9" s="1" customFormat="1" ht="21.75">
      <c r="I4929" s="1" ph="1"/>
    </row>
    <row r="4930" spans="9:9" s="1" customFormat="1" ht="21.75">
      <c r="I4930" s="1" ph="1"/>
    </row>
    <row r="4931" spans="9:9" s="1" customFormat="1" ht="21.75">
      <c r="I4931" s="1" ph="1"/>
    </row>
    <row r="4932" spans="9:9" s="1" customFormat="1" ht="21.75">
      <c r="I4932" s="1" ph="1"/>
    </row>
    <row r="4933" spans="9:9" s="1" customFormat="1" ht="21.75">
      <c r="I4933" s="1" ph="1"/>
    </row>
    <row r="4934" spans="9:9" s="1" customFormat="1" ht="21.75">
      <c r="I4934" s="1" ph="1"/>
    </row>
    <row r="4935" spans="9:9" s="1" customFormat="1" ht="21.75">
      <c r="I4935" s="1" ph="1"/>
    </row>
    <row r="4936" spans="9:9" s="1" customFormat="1" ht="21.75">
      <c r="I4936" s="1" ph="1"/>
    </row>
    <row r="4937" spans="9:9" s="1" customFormat="1" ht="21.75">
      <c r="I4937" s="1" ph="1"/>
    </row>
    <row r="4938" spans="9:9" s="1" customFormat="1" ht="21.75">
      <c r="I4938" s="1" ph="1"/>
    </row>
    <row r="4939" spans="9:9" s="1" customFormat="1" ht="21.75">
      <c r="I4939" s="1" ph="1"/>
    </row>
    <row r="4940" spans="9:9" s="1" customFormat="1" ht="21.75">
      <c r="I4940" s="1" ph="1"/>
    </row>
    <row r="4941" spans="9:9" s="1" customFormat="1" ht="21.75">
      <c r="I4941" s="1" ph="1"/>
    </row>
    <row r="4942" spans="9:9" s="1" customFormat="1" ht="21.75">
      <c r="I4942" s="1" ph="1"/>
    </row>
    <row r="4943" spans="9:9" s="1" customFormat="1" ht="21.75">
      <c r="I4943" s="1" ph="1"/>
    </row>
    <row r="4944" spans="9:9" s="1" customFormat="1" ht="21.75">
      <c r="I4944" s="1" ph="1"/>
    </row>
    <row r="4945" spans="9:9" s="1" customFormat="1" ht="21.75">
      <c r="I4945" s="1" ph="1"/>
    </row>
    <row r="4946" spans="9:9" s="1" customFormat="1" ht="21.75">
      <c r="I4946" s="1" ph="1"/>
    </row>
    <row r="4947" spans="9:9" s="1" customFormat="1" ht="21.75">
      <c r="I4947" s="1" ph="1"/>
    </row>
    <row r="4948" spans="9:9" s="1" customFormat="1" ht="21.75">
      <c r="I4948" s="1" ph="1"/>
    </row>
    <row r="4949" spans="9:9" s="1" customFormat="1" ht="21.75">
      <c r="I4949" s="1" ph="1"/>
    </row>
    <row r="4950" spans="9:9" s="1" customFormat="1" ht="21.75">
      <c r="I4950" s="1" ph="1"/>
    </row>
    <row r="4951" spans="9:9" s="1" customFormat="1" ht="21.75">
      <c r="I4951" s="1" ph="1"/>
    </row>
    <row r="4952" spans="9:9" s="1" customFormat="1" ht="21.75">
      <c r="I4952" s="1" ph="1"/>
    </row>
    <row r="4953" spans="9:9" s="1" customFormat="1" ht="21.75">
      <c r="I4953" s="1" ph="1"/>
    </row>
    <row r="4954" spans="9:9" s="1" customFormat="1" ht="21.75">
      <c r="I4954" s="1" ph="1"/>
    </row>
    <row r="4955" spans="9:9" s="1" customFormat="1" ht="21.75">
      <c r="I4955" s="1" ph="1"/>
    </row>
    <row r="4956" spans="9:9" s="1" customFormat="1" ht="21.75">
      <c r="I4956" s="1" ph="1"/>
    </row>
    <row r="4957" spans="9:9" s="1" customFormat="1" ht="21.75">
      <c r="I4957" s="1" ph="1"/>
    </row>
    <row r="4958" spans="9:9" s="1" customFormat="1" ht="21.75">
      <c r="I4958" s="1" ph="1"/>
    </row>
    <row r="4959" spans="9:9" s="1" customFormat="1" ht="21.75">
      <c r="I4959" s="1" ph="1"/>
    </row>
    <row r="4960" spans="9:9" s="1" customFormat="1" ht="21.75">
      <c r="I4960" s="1" ph="1"/>
    </row>
    <row r="4961" spans="9:9" s="1" customFormat="1" ht="21.75">
      <c r="I4961" s="1" ph="1"/>
    </row>
    <row r="4962" spans="9:9" s="1" customFormat="1" ht="21.75">
      <c r="I4962" s="1" ph="1"/>
    </row>
    <row r="4963" spans="9:9" s="1" customFormat="1" ht="21.75">
      <c r="I4963" s="1" ph="1"/>
    </row>
    <row r="4964" spans="9:9" s="1" customFormat="1" ht="21.75">
      <c r="I4964" s="1" ph="1"/>
    </row>
    <row r="4965" spans="9:9" s="1" customFormat="1" ht="21.75">
      <c r="I4965" s="1" ph="1"/>
    </row>
    <row r="4966" spans="9:9" s="1" customFormat="1" ht="21.75">
      <c r="I4966" s="1" ph="1"/>
    </row>
    <row r="4967" spans="9:9" s="1" customFormat="1" ht="21.75">
      <c r="I4967" s="1" ph="1"/>
    </row>
    <row r="4968" spans="9:9" s="1" customFormat="1" ht="21.75">
      <c r="I4968" s="1" ph="1"/>
    </row>
    <row r="4969" spans="9:9" s="1" customFormat="1" ht="21.75">
      <c r="I4969" s="1" ph="1"/>
    </row>
    <row r="4970" spans="9:9" s="1" customFormat="1" ht="21.75">
      <c r="I4970" s="1" ph="1"/>
    </row>
    <row r="4971" spans="9:9" s="1" customFormat="1" ht="21.75">
      <c r="I4971" s="1" ph="1"/>
    </row>
    <row r="4972" spans="9:9" s="1" customFormat="1" ht="21.75">
      <c r="I4972" s="1" ph="1"/>
    </row>
    <row r="4973" spans="9:9" s="1" customFormat="1" ht="21.75">
      <c r="I4973" s="1" ph="1"/>
    </row>
    <row r="4974" spans="9:9" s="1" customFormat="1" ht="21.75">
      <c r="I4974" s="1" ph="1"/>
    </row>
    <row r="4975" spans="9:9" s="1" customFormat="1" ht="21.75">
      <c r="I4975" s="1" ph="1"/>
    </row>
    <row r="4976" spans="9:9" s="1" customFormat="1" ht="21.75">
      <c r="I4976" s="1" ph="1"/>
    </row>
    <row r="4977" spans="9:9" s="1" customFormat="1" ht="21.75">
      <c r="I4977" s="1" ph="1"/>
    </row>
    <row r="4978" spans="9:9" s="1" customFormat="1" ht="21.75">
      <c r="I4978" s="1" ph="1"/>
    </row>
    <row r="4979" spans="9:9" s="1" customFormat="1" ht="21.75">
      <c r="I4979" s="1" ph="1"/>
    </row>
    <row r="4980" spans="9:9" s="1" customFormat="1" ht="21.75">
      <c r="I4980" s="1" ph="1"/>
    </row>
    <row r="4981" spans="9:9" s="1" customFormat="1" ht="21.75">
      <c r="I4981" s="1" ph="1"/>
    </row>
    <row r="4982" spans="9:9" s="1" customFormat="1" ht="21.75">
      <c r="I4982" s="1" ph="1"/>
    </row>
    <row r="4983" spans="9:9" s="1" customFormat="1" ht="21.75">
      <c r="I4983" s="1" ph="1"/>
    </row>
    <row r="4984" spans="9:9" s="1" customFormat="1" ht="21.75">
      <c r="I4984" s="1" ph="1"/>
    </row>
    <row r="4985" spans="9:9" s="1" customFormat="1" ht="21.75">
      <c r="I4985" s="1" ph="1"/>
    </row>
    <row r="4986" spans="9:9" s="1" customFormat="1" ht="21.75">
      <c r="I4986" s="1" ph="1"/>
    </row>
    <row r="4987" spans="9:9" s="1" customFormat="1" ht="21.75">
      <c r="I4987" s="1" ph="1"/>
    </row>
    <row r="4988" spans="9:9" s="1" customFormat="1" ht="21.75">
      <c r="I4988" s="1" ph="1"/>
    </row>
    <row r="4989" spans="9:9" s="1" customFormat="1" ht="21.75">
      <c r="I4989" s="1" ph="1"/>
    </row>
    <row r="4990" spans="9:9" s="1" customFormat="1" ht="21.75">
      <c r="I4990" s="1" ph="1"/>
    </row>
    <row r="4991" spans="9:9" s="1" customFormat="1" ht="21.75">
      <c r="I4991" s="1" ph="1"/>
    </row>
    <row r="4992" spans="9:9" s="1" customFormat="1" ht="21.75">
      <c r="I4992" s="1" ph="1"/>
    </row>
    <row r="4993" spans="9:9" s="1" customFormat="1" ht="21.75">
      <c r="I4993" s="1" ph="1"/>
    </row>
    <row r="4994" spans="9:9" s="1" customFormat="1" ht="21.75">
      <c r="I4994" s="1" ph="1"/>
    </row>
    <row r="4995" spans="9:9" s="1" customFormat="1" ht="21.75">
      <c r="I4995" s="1" ph="1"/>
    </row>
    <row r="4996" spans="9:9" s="1" customFormat="1" ht="21.75">
      <c r="I4996" s="1" ph="1"/>
    </row>
    <row r="4997" spans="9:9" s="1" customFormat="1" ht="21.75">
      <c r="I4997" s="1" ph="1"/>
    </row>
    <row r="4998" spans="9:9" s="1" customFormat="1" ht="21.75">
      <c r="I4998" s="1" ph="1"/>
    </row>
    <row r="4999" spans="9:9" s="1" customFormat="1" ht="21.75">
      <c r="I4999" s="1" ph="1"/>
    </row>
    <row r="5000" spans="9:9" s="1" customFormat="1" ht="21.75">
      <c r="I5000" s="1" ph="1"/>
    </row>
    <row r="5001" spans="9:9" s="1" customFormat="1" ht="21.75">
      <c r="I5001" s="1" ph="1"/>
    </row>
    <row r="5002" spans="9:9" s="1" customFormat="1" ht="21.75">
      <c r="I5002" s="1" ph="1"/>
    </row>
    <row r="5003" spans="9:9" s="1" customFormat="1" ht="21.75">
      <c r="I5003" s="1" ph="1"/>
    </row>
    <row r="5004" spans="9:9" s="1" customFormat="1" ht="21.75">
      <c r="I5004" s="1" ph="1"/>
    </row>
    <row r="5005" spans="9:9" s="1" customFormat="1" ht="21.75">
      <c r="I5005" s="1" ph="1"/>
    </row>
    <row r="5006" spans="9:9" s="1" customFormat="1" ht="21.75">
      <c r="I5006" s="1" ph="1"/>
    </row>
    <row r="5007" spans="9:9" s="1" customFormat="1" ht="21.75">
      <c r="I5007" s="1" ph="1"/>
    </row>
    <row r="5008" spans="9:9" s="1" customFormat="1" ht="21.75">
      <c r="I5008" s="1" ph="1"/>
    </row>
    <row r="5009" spans="9:9" s="1" customFormat="1" ht="21.75">
      <c r="I5009" s="1" ph="1"/>
    </row>
    <row r="5010" spans="9:9" s="1" customFormat="1" ht="21.75">
      <c r="I5010" s="1" ph="1"/>
    </row>
    <row r="5011" spans="9:9" s="1" customFormat="1" ht="21.75">
      <c r="I5011" s="1" ph="1"/>
    </row>
    <row r="5012" spans="9:9" s="1" customFormat="1" ht="21.75">
      <c r="I5012" s="1" ph="1"/>
    </row>
    <row r="5013" spans="9:9" s="1" customFormat="1" ht="21.75">
      <c r="I5013" s="1" ph="1"/>
    </row>
    <row r="5014" spans="9:9" s="1" customFormat="1" ht="21.75">
      <c r="I5014" s="1" ph="1"/>
    </row>
    <row r="5015" spans="9:9" s="1" customFormat="1" ht="21.75">
      <c r="I5015" s="1" ph="1"/>
    </row>
    <row r="5016" spans="9:9" s="1" customFormat="1" ht="21.75">
      <c r="I5016" s="1" ph="1"/>
    </row>
    <row r="5017" spans="9:9" s="1" customFormat="1" ht="21.75">
      <c r="I5017" s="1" ph="1"/>
    </row>
    <row r="5018" spans="9:9" s="1" customFormat="1" ht="21.75">
      <c r="I5018" s="1" ph="1"/>
    </row>
    <row r="5019" spans="9:9" s="1" customFormat="1" ht="21.75">
      <c r="I5019" s="1" ph="1"/>
    </row>
    <row r="5020" spans="9:9" s="1" customFormat="1" ht="21.75">
      <c r="I5020" s="1" ph="1"/>
    </row>
    <row r="5021" spans="9:9" s="1" customFormat="1" ht="21.75">
      <c r="I5021" s="1" ph="1"/>
    </row>
    <row r="5022" spans="9:9" s="1" customFormat="1" ht="21.75">
      <c r="I5022" s="1" ph="1"/>
    </row>
    <row r="5023" spans="9:9" s="1" customFormat="1" ht="21.75">
      <c r="I5023" s="1" ph="1"/>
    </row>
    <row r="5024" spans="9:9" s="1" customFormat="1" ht="21.75">
      <c r="I5024" s="1" ph="1"/>
    </row>
    <row r="5025" spans="9:9" s="1" customFormat="1" ht="21.75">
      <c r="I5025" s="1" ph="1"/>
    </row>
    <row r="5026" spans="9:9" s="1" customFormat="1" ht="21.75">
      <c r="I5026" s="1" ph="1"/>
    </row>
    <row r="5027" spans="9:9" s="1" customFormat="1" ht="21.75">
      <c r="I5027" s="1" ph="1"/>
    </row>
    <row r="5028" spans="9:9" s="1" customFormat="1" ht="21.75">
      <c r="I5028" s="1" ph="1"/>
    </row>
    <row r="5029" spans="9:9" s="1" customFormat="1" ht="21.75">
      <c r="I5029" s="1" ph="1"/>
    </row>
    <row r="5030" spans="9:9" s="1" customFormat="1" ht="21.75">
      <c r="I5030" s="1" ph="1"/>
    </row>
    <row r="5031" spans="9:9" s="1" customFormat="1" ht="21.75">
      <c r="I5031" s="1" ph="1"/>
    </row>
    <row r="5032" spans="9:9" s="1" customFormat="1" ht="21.75">
      <c r="I5032" s="1" ph="1"/>
    </row>
    <row r="5033" spans="9:9" s="1" customFormat="1" ht="21.75">
      <c r="I5033" s="1" ph="1"/>
    </row>
    <row r="5034" spans="9:9" s="1" customFormat="1" ht="21.75">
      <c r="I5034" s="1" ph="1"/>
    </row>
    <row r="5035" spans="9:9" s="1" customFormat="1" ht="21.75">
      <c r="I5035" s="1" ph="1"/>
    </row>
    <row r="5036" spans="9:9" s="1" customFormat="1" ht="21.75">
      <c r="I5036" s="1" ph="1"/>
    </row>
    <row r="5037" spans="9:9" s="1" customFormat="1" ht="21.75">
      <c r="I5037" s="1" ph="1"/>
    </row>
    <row r="5038" spans="9:9" s="1" customFormat="1" ht="21.75">
      <c r="I5038" s="1" ph="1"/>
    </row>
    <row r="5039" spans="9:9" s="1" customFormat="1" ht="21.75">
      <c r="I5039" s="1" ph="1"/>
    </row>
    <row r="5040" spans="9:9" s="1" customFormat="1" ht="21.75">
      <c r="I5040" s="1" ph="1"/>
    </row>
    <row r="5041" spans="9:9" s="1" customFormat="1" ht="21.75">
      <c r="I5041" s="1" ph="1"/>
    </row>
    <row r="5042" spans="9:9" s="1" customFormat="1" ht="21.75">
      <c r="I5042" s="1" ph="1"/>
    </row>
    <row r="5043" spans="9:9" s="1" customFormat="1" ht="21.75">
      <c r="I5043" s="1" ph="1"/>
    </row>
    <row r="5044" spans="9:9" s="1" customFormat="1" ht="21.75">
      <c r="I5044" s="1" ph="1"/>
    </row>
    <row r="5045" spans="9:9" s="1" customFormat="1" ht="21.75">
      <c r="I5045" s="1" ph="1"/>
    </row>
    <row r="5046" spans="9:9" s="1" customFormat="1" ht="21.75">
      <c r="I5046" s="1" ph="1"/>
    </row>
    <row r="5047" spans="9:9" s="1" customFormat="1" ht="21.75">
      <c r="I5047" s="1" ph="1"/>
    </row>
    <row r="5048" spans="9:9" s="1" customFormat="1" ht="21.75">
      <c r="I5048" s="1" ph="1"/>
    </row>
    <row r="5049" spans="9:9" s="1" customFormat="1" ht="21.75">
      <c r="I5049" s="1" ph="1"/>
    </row>
    <row r="5050" spans="9:9" s="1" customFormat="1" ht="21.75">
      <c r="I5050" s="1" ph="1"/>
    </row>
    <row r="5051" spans="9:9" s="1" customFormat="1" ht="21.75">
      <c r="I5051" s="1" ph="1"/>
    </row>
    <row r="5052" spans="9:9" s="1" customFormat="1" ht="21.75">
      <c r="I5052" s="1" ph="1"/>
    </row>
    <row r="5053" spans="9:9" s="1" customFormat="1" ht="21.75">
      <c r="I5053" s="1" ph="1"/>
    </row>
    <row r="5054" spans="9:9" s="1" customFormat="1" ht="21.75">
      <c r="I5054" s="1" ph="1"/>
    </row>
    <row r="5055" spans="9:9" s="1" customFormat="1" ht="21.75">
      <c r="I5055" s="1" ph="1"/>
    </row>
    <row r="5056" spans="9:9" s="1" customFormat="1" ht="21.75">
      <c r="I5056" s="1" ph="1"/>
    </row>
    <row r="5057" spans="9:9" s="1" customFormat="1" ht="21.75">
      <c r="I5057" s="1" ph="1"/>
    </row>
    <row r="5058" spans="9:9" s="1" customFormat="1" ht="21.75">
      <c r="I5058" s="1" ph="1"/>
    </row>
    <row r="5059" spans="9:9" s="1" customFormat="1" ht="21.75">
      <c r="I5059" s="1" ph="1"/>
    </row>
    <row r="5060" spans="9:9" s="1" customFormat="1" ht="21.75">
      <c r="I5060" s="1" ph="1"/>
    </row>
    <row r="5061" spans="9:9" s="1" customFormat="1" ht="21.75">
      <c r="I5061" s="1" ph="1"/>
    </row>
    <row r="5062" spans="9:9" s="1" customFormat="1" ht="21.75">
      <c r="I5062" s="1" ph="1"/>
    </row>
    <row r="5063" spans="9:9" s="1" customFormat="1" ht="21.75">
      <c r="I5063" s="1" ph="1"/>
    </row>
    <row r="5064" spans="9:9" s="1" customFormat="1" ht="21.75">
      <c r="I5064" s="1" ph="1"/>
    </row>
    <row r="5065" spans="9:9" s="1" customFormat="1" ht="21.75">
      <c r="I5065" s="1" ph="1"/>
    </row>
    <row r="5066" spans="9:9" s="1" customFormat="1" ht="21.75">
      <c r="I5066" s="1" ph="1"/>
    </row>
    <row r="5067" spans="9:9" s="1" customFormat="1" ht="21.75">
      <c r="I5067" s="1" ph="1"/>
    </row>
    <row r="5068" spans="9:9" s="1" customFormat="1" ht="21.75">
      <c r="I5068" s="1" ph="1"/>
    </row>
    <row r="5069" spans="9:9" s="1" customFormat="1" ht="21.75">
      <c r="I5069" s="1" ph="1"/>
    </row>
    <row r="5070" spans="9:9" s="1" customFormat="1" ht="21.75">
      <c r="I5070" s="1" ph="1"/>
    </row>
    <row r="5071" spans="9:9" s="1" customFormat="1" ht="21.75">
      <c r="I5071" s="1" ph="1"/>
    </row>
    <row r="5072" spans="9:9" s="1" customFormat="1" ht="21.75">
      <c r="I5072" s="1" ph="1"/>
    </row>
    <row r="5073" spans="9:9" s="1" customFormat="1" ht="21.75">
      <c r="I5073" s="1" ph="1"/>
    </row>
    <row r="5074" spans="9:9" s="1" customFormat="1" ht="21.75">
      <c r="I5074" s="1" ph="1"/>
    </row>
    <row r="5075" spans="9:9" s="1" customFormat="1" ht="21.75">
      <c r="I5075" s="1" ph="1"/>
    </row>
    <row r="5076" spans="9:9" s="1" customFormat="1" ht="21.75">
      <c r="I5076" s="1" ph="1"/>
    </row>
    <row r="5077" spans="9:9" s="1" customFormat="1" ht="21.75">
      <c r="I5077" s="1" ph="1"/>
    </row>
    <row r="5078" spans="9:9" s="1" customFormat="1" ht="21.75">
      <c r="I5078" s="1" ph="1"/>
    </row>
    <row r="5079" spans="9:9" s="1" customFormat="1" ht="21.75">
      <c r="I5079" s="1" ph="1"/>
    </row>
    <row r="5080" spans="9:9" s="1" customFormat="1" ht="21.75">
      <c r="I5080" s="1" ph="1"/>
    </row>
    <row r="5081" spans="9:9" s="1" customFormat="1" ht="21.75">
      <c r="I5081" s="1" ph="1"/>
    </row>
    <row r="5082" spans="9:9" s="1" customFormat="1" ht="21.75">
      <c r="I5082" s="1" ph="1"/>
    </row>
    <row r="5083" spans="9:9" s="1" customFormat="1" ht="21.75">
      <c r="I5083" s="1" ph="1"/>
    </row>
    <row r="5084" spans="9:9" s="1" customFormat="1" ht="21.75">
      <c r="I5084" s="1" ph="1"/>
    </row>
    <row r="5085" spans="9:9" s="1" customFormat="1" ht="21.75">
      <c r="I5085" s="1" ph="1"/>
    </row>
    <row r="5086" spans="9:9" s="1" customFormat="1" ht="21.75">
      <c r="I5086" s="1" ph="1"/>
    </row>
    <row r="5087" spans="9:9" s="1" customFormat="1" ht="21.75">
      <c r="I5087" s="1" ph="1"/>
    </row>
    <row r="5088" spans="9:9" s="1" customFormat="1" ht="21.75">
      <c r="I5088" s="1" ph="1"/>
    </row>
    <row r="5089" spans="9:9" s="1" customFormat="1" ht="21.75">
      <c r="I5089" s="1" ph="1"/>
    </row>
    <row r="5090" spans="9:9" s="1" customFormat="1" ht="21.75">
      <c r="I5090" s="1" ph="1"/>
    </row>
    <row r="5091" spans="9:9" s="1" customFormat="1" ht="21.75">
      <c r="I5091" s="1" ph="1"/>
    </row>
    <row r="5092" spans="9:9" s="1" customFormat="1" ht="21.75">
      <c r="I5092" s="1" ph="1"/>
    </row>
    <row r="5093" spans="9:9" s="1" customFormat="1" ht="21.75">
      <c r="I5093" s="1" ph="1"/>
    </row>
    <row r="5094" spans="9:9" s="1" customFormat="1" ht="21.75">
      <c r="I5094" s="1" ph="1"/>
    </row>
    <row r="5095" spans="9:9" s="1" customFormat="1" ht="21.75">
      <c r="I5095" s="1" ph="1"/>
    </row>
    <row r="5096" spans="9:9" s="1" customFormat="1" ht="21.75">
      <c r="I5096" s="1" ph="1"/>
    </row>
    <row r="5097" spans="9:9" s="1" customFormat="1" ht="21.75">
      <c r="I5097" s="1" ph="1"/>
    </row>
    <row r="5098" spans="9:9" s="1" customFormat="1" ht="21.75">
      <c r="I5098" s="1" ph="1"/>
    </row>
    <row r="5099" spans="9:9" s="1" customFormat="1" ht="21.75">
      <c r="I5099" s="1" ph="1"/>
    </row>
    <row r="5100" spans="9:9" s="1" customFormat="1" ht="21.75">
      <c r="I5100" s="1" ph="1"/>
    </row>
    <row r="5101" spans="9:9" s="1" customFormat="1" ht="21.75">
      <c r="I5101" s="1" ph="1"/>
    </row>
    <row r="5102" spans="9:9" s="1" customFormat="1" ht="21.75">
      <c r="I5102" s="1" ph="1"/>
    </row>
    <row r="5103" spans="9:9" s="1" customFormat="1" ht="21.75">
      <c r="I5103" s="1" ph="1"/>
    </row>
    <row r="5104" spans="9:9" s="1" customFormat="1" ht="21.75">
      <c r="I5104" s="1" ph="1"/>
    </row>
    <row r="5105" spans="9:9" s="1" customFormat="1" ht="21.75">
      <c r="I5105" s="1" ph="1"/>
    </row>
    <row r="5106" spans="9:9" s="1" customFormat="1" ht="21.75">
      <c r="I5106" s="1" ph="1"/>
    </row>
    <row r="5107" spans="9:9" s="1" customFormat="1" ht="21.75">
      <c r="I5107" s="1" ph="1"/>
    </row>
    <row r="5108" spans="9:9" s="1" customFormat="1" ht="21.75">
      <c r="I5108" s="1" ph="1"/>
    </row>
    <row r="5109" spans="9:9" s="1" customFormat="1" ht="21.75">
      <c r="I5109" s="1" ph="1"/>
    </row>
    <row r="5110" spans="9:9" s="1" customFormat="1" ht="21.75">
      <c r="I5110" s="1" ph="1"/>
    </row>
    <row r="5111" spans="9:9" s="1" customFormat="1" ht="21.75">
      <c r="I5111" s="1" ph="1"/>
    </row>
    <row r="5112" spans="9:9" s="1" customFormat="1" ht="21.75">
      <c r="I5112" s="1" ph="1"/>
    </row>
    <row r="5113" spans="9:9" s="1" customFormat="1" ht="21.75">
      <c r="I5113" s="1" ph="1"/>
    </row>
    <row r="5114" spans="9:9" s="1" customFormat="1" ht="21.75">
      <c r="I5114" s="1" ph="1"/>
    </row>
    <row r="5115" spans="9:9" s="1" customFormat="1" ht="21.75">
      <c r="I5115" s="1" ph="1"/>
    </row>
    <row r="5116" spans="9:9" s="1" customFormat="1" ht="21.75">
      <c r="I5116" s="1" ph="1"/>
    </row>
    <row r="5117" spans="9:9" s="1" customFormat="1" ht="21.75">
      <c r="I5117" s="1" ph="1"/>
    </row>
    <row r="5118" spans="9:9" s="1" customFormat="1" ht="21.75">
      <c r="I5118" s="1" ph="1"/>
    </row>
    <row r="5119" spans="9:9" s="1" customFormat="1" ht="21.75">
      <c r="I5119" s="1" ph="1"/>
    </row>
    <row r="5120" spans="9:9" s="1" customFormat="1" ht="21.75">
      <c r="I5120" s="1" ph="1"/>
    </row>
    <row r="5121" spans="9:9" s="1" customFormat="1" ht="21.75">
      <c r="I5121" s="1" ph="1"/>
    </row>
    <row r="5122" spans="9:9" s="1" customFormat="1" ht="21.75">
      <c r="I5122" s="1" ph="1"/>
    </row>
    <row r="5123" spans="9:9" s="1" customFormat="1" ht="21.75">
      <c r="I5123" s="1" ph="1"/>
    </row>
    <row r="5124" spans="9:9" s="1" customFormat="1" ht="21.75">
      <c r="I5124" s="1" ph="1"/>
    </row>
    <row r="5125" spans="9:9" s="1" customFormat="1" ht="21.75">
      <c r="I5125" s="1" ph="1"/>
    </row>
    <row r="5126" spans="9:9" s="1" customFormat="1" ht="21.75">
      <c r="I5126" s="1" ph="1"/>
    </row>
    <row r="5127" spans="9:9" s="1" customFormat="1" ht="21.75">
      <c r="I5127" s="1" ph="1"/>
    </row>
    <row r="5128" spans="9:9" s="1" customFormat="1" ht="21.75">
      <c r="I5128" s="1" ph="1"/>
    </row>
    <row r="5129" spans="9:9" s="1" customFormat="1" ht="21.75">
      <c r="I5129" s="1" ph="1"/>
    </row>
    <row r="5130" spans="9:9" s="1" customFormat="1" ht="21.75">
      <c r="I5130" s="1" ph="1"/>
    </row>
    <row r="5131" spans="9:9" s="1" customFormat="1" ht="21.75">
      <c r="I5131" s="1" ph="1"/>
    </row>
    <row r="5132" spans="9:9" s="1" customFormat="1" ht="21.75">
      <c r="I5132" s="1" ph="1"/>
    </row>
    <row r="5133" spans="9:9" s="1" customFormat="1" ht="21.75">
      <c r="I5133" s="1" ph="1"/>
    </row>
    <row r="5134" spans="9:9" s="1" customFormat="1" ht="21.75">
      <c r="I5134" s="1" ph="1"/>
    </row>
    <row r="5135" spans="9:9" s="1" customFormat="1" ht="21.75">
      <c r="I5135" s="1" ph="1"/>
    </row>
    <row r="5136" spans="9:9" s="1" customFormat="1" ht="21.75">
      <c r="I5136" s="1" ph="1"/>
    </row>
    <row r="5137" spans="9:9" s="1" customFormat="1" ht="21.75">
      <c r="I5137" s="1" ph="1"/>
    </row>
    <row r="5138" spans="9:9" s="1" customFormat="1" ht="21.75">
      <c r="I5138" s="1" ph="1"/>
    </row>
    <row r="5139" spans="9:9" s="1" customFormat="1" ht="21.75">
      <c r="I5139" s="1" ph="1"/>
    </row>
    <row r="5140" spans="9:9" s="1" customFormat="1" ht="21.75">
      <c r="I5140" s="1" ph="1"/>
    </row>
    <row r="5141" spans="9:9" s="1" customFormat="1" ht="21.75">
      <c r="I5141" s="1" ph="1"/>
    </row>
    <row r="5142" spans="9:9" s="1" customFormat="1" ht="21.75">
      <c r="I5142" s="1" ph="1"/>
    </row>
    <row r="5143" spans="9:9" s="1" customFormat="1" ht="21.75">
      <c r="I5143" s="1" ph="1"/>
    </row>
    <row r="5144" spans="9:9" s="1" customFormat="1" ht="21.75">
      <c r="I5144" s="1" ph="1"/>
    </row>
    <row r="5145" spans="9:9" s="1" customFormat="1" ht="21.75">
      <c r="I5145" s="1" ph="1"/>
    </row>
    <row r="5146" spans="9:9" s="1" customFormat="1" ht="21.75">
      <c r="I5146" s="1" ph="1"/>
    </row>
    <row r="5147" spans="9:9" s="1" customFormat="1" ht="21.75">
      <c r="I5147" s="1" ph="1"/>
    </row>
    <row r="5148" spans="9:9" s="1" customFormat="1" ht="21.75">
      <c r="I5148" s="1" ph="1"/>
    </row>
    <row r="5149" spans="9:9" s="1" customFormat="1" ht="21.75">
      <c r="I5149" s="1" ph="1"/>
    </row>
    <row r="5150" spans="9:9" s="1" customFormat="1" ht="21.75">
      <c r="I5150" s="1" ph="1"/>
    </row>
    <row r="5151" spans="9:9" s="1" customFormat="1" ht="21.75">
      <c r="I5151" s="1" ph="1"/>
    </row>
    <row r="5152" spans="9:9" s="1" customFormat="1" ht="21.75">
      <c r="I5152" s="1" ph="1"/>
    </row>
    <row r="5153" spans="9:9" s="1" customFormat="1" ht="21.75">
      <c r="I5153" s="1" ph="1"/>
    </row>
    <row r="5154" spans="9:9" s="1" customFormat="1" ht="21.75">
      <c r="I5154" s="1" ph="1"/>
    </row>
    <row r="5155" spans="9:9" s="1" customFormat="1" ht="21.75">
      <c r="I5155" s="1" ph="1"/>
    </row>
    <row r="5156" spans="9:9" s="1" customFormat="1" ht="21.75">
      <c r="I5156" s="1" ph="1"/>
    </row>
    <row r="5157" spans="9:9" s="1" customFormat="1" ht="21.75">
      <c r="I5157" s="1" ph="1"/>
    </row>
    <row r="5158" spans="9:9" s="1" customFormat="1" ht="21.75">
      <c r="I5158" s="1" ph="1"/>
    </row>
    <row r="5159" spans="9:9" s="1" customFormat="1" ht="21.75">
      <c r="I5159" s="1" ph="1"/>
    </row>
    <row r="5160" spans="9:9" s="1" customFormat="1" ht="21.75">
      <c r="I5160" s="1" ph="1"/>
    </row>
    <row r="5161" spans="9:9" s="1" customFormat="1" ht="21.75">
      <c r="I5161" s="1" ph="1"/>
    </row>
    <row r="5162" spans="9:9" s="1" customFormat="1" ht="21.75">
      <c r="I5162" s="1" ph="1"/>
    </row>
    <row r="5163" spans="9:9" s="1" customFormat="1" ht="21.75">
      <c r="I5163" s="1" ph="1"/>
    </row>
    <row r="5164" spans="9:9" s="1" customFormat="1" ht="21.75">
      <c r="I5164" s="1" ph="1"/>
    </row>
    <row r="5165" spans="9:9" s="1" customFormat="1" ht="21.75">
      <c r="I5165" s="1" ph="1"/>
    </row>
    <row r="5166" spans="9:9" s="1" customFormat="1" ht="21.75">
      <c r="I5166" s="1" ph="1"/>
    </row>
    <row r="5167" spans="9:9" s="1" customFormat="1" ht="21.75">
      <c r="I5167" s="1" ph="1"/>
    </row>
    <row r="5168" spans="9:9" s="1" customFormat="1" ht="21.75">
      <c r="I5168" s="1" ph="1"/>
    </row>
    <row r="5169" spans="9:9" s="1" customFormat="1" ht="21.75">
      <c r="I5169" s="1" ph="1"/>
    </row>
    <row r="5170" spans="9:9" s="1" customFormat="1" ht="21.75">
      <c r="I5170" s="1" ph="1"/>
    </row>
    <row r="5171" spans="9:9" s="1" customFormat="1" ht="21.75">
      <c r="I5171" s="1" ph="1"/>
    </row>
    <row r="5172" spans="9:9" s="1" customFormat="1" ht="21.75">
      <c r="I5172" s="1" ph="1"/>
    </row>
    <row r="5173" spans="9:9" s="1" customFormat="1" ht="21.75">
      <c r="I5173" s="1" ph="1"/>
    </row>
    <row r="5174" spans="9:9" s="1" customFormat="1" ht="21.75">
      <c r="I5174" s="1" ph="1"/>
    </row>
    <row r="5175" spans="9:9" s="1" customFormat="1" ht="21.75">
      <c r="I5175" s="1" ph="1"/>
    </row>
    <row r="5176" spans="9:9" s="1" customFormat="1" ht="21.75">
      <c r="I5176" s="1" ph="1"/>
    </row>
    <row r="5177" spans="9:9" s="1" customFormat="1" ht="21.75">
      <c r="I5177" s="1" ph="1"/>
    </row>
    <row r="5178" spans="9:9" s="1" customFormat="1" ht="21.75">
      <c r="I5178" s="1" ph="1"/>
    </row>
    <row r="5179" spans="9:9" s="1" customFormat="1" ht="21.75">
      <c r="I5179" s="1" ph="1"/>
    </row>
    <row r="5180" spans="9:9" s="1" customFormat="1" ht="21.75">
      <c r="I5180" s="1" ph="1"/>
    </row>
    <row r="5181" spans="9:9" s="1" customFormat="1" ht="21.75">
      <c r="I5181" s="1" ph="1"/>
    </row>
    <row r="5182" spans="9:9" s="1" customFormat="1" ht="21.75">
      <c r="I5182" s="1" ph="1"/>
    </row>
    <row r="5183" spans="9:9" s="1" customFormat="1" ht="21.75">
      <c r="I5183" s="1" ph="1"/>
    </row>
    <row r="5184" spans="9:9" s="1" customFormat="1" ht="21.75">
      <c r="I5184" s="1" ph="1"/>
    </row>
    <row r="5185" spans="9:9" s="1" customFormat="1" ht="21.75">
      <c r="I5185" s="1" ph="1"/>
    </row>
    <row r="5186" spans="9:9" s="1" customFormat="1" ht="21.75">
      <c r="I5186" s="1" ph="1"/>
    </row>
    <row r="5187" spans="9:9" s="1" customFormat="1" ht="21.75">
      <c r="I5187" s="1" ph="1"/>
    </row>
    <row r="5188" spans="9:9" s="1" customFormat="1" ht="21.75">
      <c r="I5188" s="1" ph="1"/>
    </row>
    <row r="5189" spans="9:9" s="1" customFormat="1" ht="21.75">
      <c r="I5189" s="1" ph="1"/>
    </row>
    <row r="5190" spans="9:9" s="1" customFormat="1" ht="21.75">
      <c r="I5190" s="1" ph="1"/>
    </row>
    <row r="5191" spans="9:9" s="1" customFormat="1" ht="21.75">
      <c r="I5191" s="1" ph="1"/>
    </row>
    <row r="5192" spans="9:9" s="1" customFormat="1" ht="21.75">
      <c r="I5192" s="1" ph="1"/>
    </row>
    <row r="5193" spans="9:9" s="1" customFormat="1" ht="21.75">
      <c r="I5193" s="1" ph="1"/>
    </row>
    <row r="5194" spans="9:9" s="1" customFormat="1" ht="21.75">
      <c r="I5194" s="1" ph="1"/>
    </row>
    <row r="5195" spans="9:9" s="1" customFormat="1" ht="21.75">
      <c r="I5195" s="1" ph="1"/>
    </row>
    <row r="5196" spans="9:9" s="1" customFormat="1" ht="21.75">
      <c r="I5196" s="1" ph="1"/>
    </row>
    <row r="5197" spans="9:9" s="1" customFormat="1" ht="21.75">
      <c r="I5197" s="1" ph="1"/>
    </row>
    <row r="5198" spans="9:9" s="1" customFormat="1" ht="21.75">
      <c r="I5198" s="1" ph="1"/>
    </row>
    <row r="5199" spans="9:9" s="1" customFormat="1" ht="21.75">
      <c r="I5199" s="1" ph="1"/>
    </row>
    <row r="5200" spans="9:9" s="1" customFormat="1" ht="21.75">
      <c r="I5200" s="1" ph="1"/>
    </row>
    <row r="5201" spans="9:9" s="1" customFormat="1" ht="21.75">
      <c r="I5201" s="1" ph="1"/>
    </row>
    <row r="5202" spans="9:9" s="1" customFormat="1" ht="21.75">
      <c r="I5202" s="1" ph="1"/>
    </row>
    <row r="5203" spans="9:9" s="1" customFormat="1" ht="21.75">
      <c r="I5203" s="1" ph="1"/>
    </row>
    <row r="5204" spans="9:9" s="1" customFormat="1" ht="21.75">
      <c r="I5204" s="1" ph="1"/>
    </row>
    <row r="5205" spans="9:9" s="1" customFormat="1" ht="21.75">
      <c r="I5205" s="1" ph="1"/>
    </row>
    <row r="5206" spans="9:9" s="1" customFormat="1" ht="21.75">
      <c r="I5206" s="1" ph="1"/>
    </row>
    <row r="5207" spans="9:9" s="1" customFormat="1" ht="21.75">
      <c r="I5207" s="1" ph="1"/>
    </row>
    <row r="5208" spans="9:9" s="1" customFormat="1" ht="21.75">
      <c r="I5208" s="1" ph="1"/>
    </row>
    <row r="5209" spans="9:9" s="1" customFormat="1" ht="21.75">
      <c r="I5209" s="1" ph="1"/>
    </row>
    <row r="5210" spans="9:9" s="1" customFormat="1" ht="21.75">
      <c r="I5210" s="1" ph="1"/>
    </row>
    <row r="5211" spans="9:9" s="1" customFormat="1" ht="21.75">
      <c r="I5211" s="1" ph="1"/>
    </row>
    <row r="5212" spans="9:9" s="1" customFormat="1" ht="21.75">
      <c r="I5212" s="1" ph="1"/>
    </row>
    <row r="5213" spans="9:9" s="1" customFormat="1" ht="21.75">
      <c r="I5213" s="1" ph="1"/>
    </row>
    <row r="5214" spans="9:9" s="1" customFormat="1" ht="21.75">
      <c r="I5214" s="1" ph="1"/>
    </row>
    <row r="5215" spans="9:9" s="1" customFormat="1" ht="21.75">
      <c r="I5215" s="1" ph="1"/>
    </row>
    <row r="5216" spans="9:9" s="1" customFormat="1" ht="21.75">
      <c r="I5216" s="1" ph="1"/>
    </row>
    <row r="5217" spans="9:9" s="1" customFormat="1" ht="21.75">
      <c r="I5217" s="1" ph="1"/>
    </row>
    <row r="5218" spans="9:9" s="1" customFormat="1" ht="21.75">
      <c r="I5218" s="1" ph="1"/>
    </row>
    <row r="5219" spans="9:9" s="1" customFormat="1" ht="21.75">
      <c r="I5219" s="1" ph="1"/>
    </row>
    <row r="5220" spans="9:9" s="1" customFormat="1" ht="21.75">
      <c r="I5220" s="1" ph="1"/>
    </row>
    <row r="5221" spans="9:9" s="1" customFormat="1" ht="21.75">
      <c r="I5221" s="1" ph="1"/>
    </row>
    <row r="5222" spans="9:9" s="1" customFormat="1" ht="21.75">
      <c r="I5222" s="1" ph="1"/>
    </row>
    <row r="5223" spans="9:9" s="1" customFormat="1" ht="21.75">
      <c r="I5223" s="1" ph="1"/>
    </row>
    <row r="5224" spans="9:9" s="1" customFormat="1" ht="21.75">
      <c r="I5224" s="1" ph="1"/>
    </row>
    <row r="5225" spans="9:9" s="1" customFormat="1" ht="21.75">
      <c r="I5225" s="1" ph="1"/>
    </row>
    <row r="5226" spans="9:9" s="1" customFormat="1" ht="21.75">
      <c r="I5226" s="1" ph="1"/>
    </row>
    <row r="5227" spans="9:9" s="1" customFormat="1" ht="21.75">
      <c r="I5227" s="1" ph="1"/>
    </row>
    <row r="5228" spans="9:9" s="1" customFormat="1" ht="21.75">
      <c r="I5228" s="1" ph="1"/>
    </row>
    <row r="5229" spans="9:9" s="1" customFormat="1" ht="21.75">
      <c r="I5229" s="1" ph="1"/>
    </row>
    <row r="5230" spans="9:9" s="1" customFormat="1" ht="21.75">
      <c r="I5230" s="1" ph="1"/>
    </row>
    <row r="5231" spans="9:9" s="1" customFormat="1" ht="21.75">
      <c r="I5231" s="1" ph="1"/>
    </row>
    <row r="5232" spans="9:9" s="1" customFormat="1" ht="21.75">
      <c r="I5232" s="1" ph="1"/>
    </row>
    <row r="5233" spans="9:9" s="1" customFormat="1" ht="21.75">
      <c r="I5233" s="1" ph="1"/>
    </row>
    <row r="5234" spans="9:9" s="1" customFormat="1" ht="21.75">
      <c r="I5234" s="1" ph="1"/>
    </row>
    <row r="5235" spans="9:9" s="1" customFormat="1" ht="21.75">
      <c r="I5235" s="1" ph="1"/>
    </row>
    <row r="5236" spans="9:9" s="1" customFormat="1" ht="21.75">
      <c r="I5236" s="1" ph="1"/>
    </row>
    <row r="5237" spans="9:9" s="1" customFormat="1" ht="21.75">
      <c r="I5237" s="1" ph="1"/>
    </row>
    <row r="5238" spans="9:9" s="1" customFormat="1" ht="21.75">
      <c r="I5238" s="1" ph="1"/>
    </row>
    <row r="5239" spans="9:9" s="1" customFormat="1" ht="21.75">
      <c r="I5239" s="1" ph="1"/>
    </row>
    <row r="5240" spans="9:9" s="1" customFormat="1" ht="21.75">
      <c r="I5240" s="1" ph="1"/>
    </row>
    <row r="5241" spans="9:9" s="1" customFormat="1" ht="21.75">
      <c r="I5241" s="1" ph="1"/>
    </row>
    <row r="5242" spans="9:9" s="1" customFormat="1" ht="21.75">
      <c r="I5242" s="1" ph="1"/>
    </row>
    <row r="5243" spans="9:9" s="1" customFormat="1" ht="21.75">
      <c r="I5243" s="1" ph="1"/>
    </row>
    <row r="5244" spans="9:9" s="1" customFormat="1" ht="21.75">
      <c r="I5244" s="1" ph="1"/>
    </row>
    <row r="5245" spans="9:9" s="1" customFormat="1" ht="21.75">
      <c r="I5245" s="1" ph="1"/>
    </row>
    <row r="5246" spans="9:9" s="1" customFormat="1" ht="21.75">
      <c r="I5246" s="1" ph="1"/>
    </row>
    <row r="5247" spans="9:9" s="1" customFormat="1" ht="21.75">
      <c r="I5247" s="1" ph="1"/>
    </row>
    <row r="5248" spans="9:9" s="1" customFormat="1" ht="21.75">
      <c r="I5248" s="1" ph="1"/>
    </row>
    <row r="5249" spans="9:9" s="1" customFormat="1" ht="21.75">
      <c r="I5249" s="1" ph="1"/>
    </row>
    <row r="5250" spans="9:9" s="1" customFormat="1" ht="21.75">
      <c r="I5250" s="1" ph="1"/>
    </row>
    <row r="5251" spans="9:9" s="1" customFormat="1" ht="21.75">
      <c r="I5251" s="1" ph="1"/>
    </row>
    <row r="5252" spans="9:9" s="1" customFormat="1" ht="21.75">
      <c r="I5252" s="1" ph="1"/>
    </row>
    <row r="5253" spans="9:9" s="1" customFormat="1" ht="21.75">
      <c r="I5253" s="1" ph="1"/>
    </row>
    <row r="5254" spans="9:9" s="1" customFormat="1" ht="21.75">
      <c r="I5254" s="1" ph="1"/>
    </row>
    <row r="5255" spans="9:9" s="1" customFormat="1" ht="21.75">
      <c r="I5255" s="1" ph="1"/>
    </row>
    <row r="5256" spans="9:9" s="1" customFormat="1" ht="21.75">
      <c r="I5256" s="1" ph="1"/>
    </row>
    <row r="5257" spans="9:9" s="1" customFormat="1" ht="21.75">
      <c r="I5257" s="1" ph="1"/>
    </row>
    <row r="5258" spans="9:9" s="1" customFormat="1" ht="21.75">
      <c r="I5258" s="1" ph="1"/>
    </row>
    <row r="5259" spans="9:9" s="1" customFormat="1" ht="21.75">
      <c r="I5259" s="1" ph="1"/>
    </row>
    <row r="5260" spans="9:9" s="1" customFormat="1" ht="21.75">
      <c r="I5260" s="1" ph="1"/>
    </row>
    <row r="5261" spans="9:9" s="1" customFormat="1" ht="21.75">
      <c r="I5261" s="1" ph="1"/>
    </row>
    <row r="5262" spans="9:9" s="1" customFormat="1" ht="21.75">
      <c r="I5262" s="1" ph="1"/>
    </row>
    <row r="5263" spans="9:9" s="1" customFormat="1" ht="21.75">
      <c r="I5263" s="1" ph="1"/>
    </row>
    <row r="5264" spans="9:9" s="1" customFormat="1" ht="21.75">
      <c r="I5264" s="1" ph="1"/>
    </row>
    <row r="5265" spans="9:9" s="1" customFormat="1" ht="21.75">
      <c r="I5265" s="1" ph="1"/>
    </row>
    <row r="5266" spans="9:9" s="1" customFormat="1" ht="21.75">
      <c r="I5266" s="1" ph="1"/>
    </row>
    <row r="5267" spans="9:9" s="1" customFormat="1" ht="21.75">
      <c r="I5267" s="1" ph="1"/>
    </row>
    <row r="5268" spans="9:9" s="1" customFormat="1" ht="21.75">
      <c r="I5268" s="1" ph="1"/>
    </row>
    <row r="5269" spans="9:9" s="1" customFormat="1" ht="21.75">
      <c r="I5269" s="1" ph="1"/>
    </row>
    <row r="5270" spans="9:9" s="1" customFormat="1" ht="21.75">
      <c r="I5270" s="1" ph="1"/>
    </row>
    <row r="5271" spans="9:9" s="1" customFormat="1" ht="21.75">
      <c r="I5271" s="1" ph="1"/>
    </row>
    <row r="5272" spans="9:9" s="1" customFormat="1" ht="21.75">
      <c r="I5272" s="1" ph="1"/>
    </row>
    <row r="5273" spans="9:9" s="1" customFormat="1" ht="21.75">
      <c r="I5273" s="1" ph="1"/>
    </row>
    <row r="5274" spans="9:9" s="1" customFormat="1" ht="21.75">
      <c r="I5274" s="1" ph="1"/>
    </row>
    <row r="5275" spans="9:9" s="1" customFormat="1" ht="21.75">
      <c r="I5275" s="1" ph="1"/>
    </row>
    <row r="5276" spans="9:9" s="1" customFormat="1" ht="21.75">
      <c r="I5276" s="1" ph="1"/>
    </row>
    <row r="5277" spans="9:9" s="1" customFormat="1" ht="21.75">
      <c r="I5277" s="1" ph="1"/>
    </row>
    <row r="5278" spans="9:9" s="1" customFormat="1" ht="21.75">
      <c r="I5278" s="1" ph="1"/>
    </row>
    <row r="5279" spans="9:9" s="1" customFormat="1" ht="21.75">
      <c r="I5279" s="1" ph="1"/>
    </row>
    <row r="5280" spans="9:9" s="1" customFormat="1" ht="21.75">
      <c r="I5280" s="1" ph="1"/>
    </row>
    <row r="5281" spans="9:9" s="1" customFormat="1" ht="21.75">
      <c r="I5281" s="1" ph="1"/>
    </row>
    <row r="5282" spans="9:9" s="1" customFormat="1" ht="21.75">
      <c r="I5282" s="1" ph="1"/>
    </row>
    <row r="5283" spans="9:9" s="1" customFormat="1" ht="21.75">
      <c r="I5283" s="1" ph="1"/>
    </row>
    <row r="5284" spans="9:9" s="1" customFormat="1" ht="21.75">
      <c r="I5284" s="1" ph="1"/>
    </row>
    <row r="5285" spans="9:9" s="1" customFormat="1" ht="21.75">
      <c r="I5285" s="1" ph="1"/>
    </row>
    <row r="5286" spans="9:9" s="1" customFormat="1" ht="21.75">
      <c r="I5286" s="1" ph="1"/>
    </row>
    <row r="5287" spans="9:9" s="1" customFormat="1" ht="21.75">
      <c r="I5287" s="1" ph="1"/>
    </row>
    <row r="5288" spans="9:9" s="1" customFormat="1" ht="21.75">
      <c r="I5288" s="1" ph="1"/>
    </row>
    <row r="5289" spans="9:9" s="1" customFormat="1" ht="21.75">
      <c r="I5289" s="1" ph="1"/>
    </row>
    <row r="5290" spans="9:9" s="1" customFormat="1" ht="21.75">
      <c r="I5290" s="1" ph="1"/>
    </row>
    <row r="5291" spans="9:9" s="1" customFormat="1" ht="21.75">
      <c r="I5291" s="1" ph="1"/>
    </row>
    <row r="5292" spans="9:9" s="1" customFormat="1" ht="21.75">
      <c r="I5292" s="1" ph="1"/>
    </row>
    <row r="5293" spans="9:9" s="1" customFormat="1" ht="21.75">
      <c r="I5293" s="1" ph="1"/>
    </row>
    <row r="5294" spans="9:9" s="1" customFormat="1" ht="21.75">
      <c r="I5294" s="1" ph="1"/>
    </row>
    <row r="5295" spans="9:9" s="1" customFormat="1" ht="21.75">
      <c r="I5295" s="1" ph="1"/>
    </row>
    <row r="5296" spans="9:9" s="1" customFormat="1" ht="21.75">
      <c r="I5296" s="1" ph="1"/>
    </row>
    <row r="5297" spans="9:9" s="1" customFormat="1" ht="21.75">
      <c r="I5297" s="1" ph="1"/>
    </row>
    <row r="5298" spans="9:9" s="1" customFormat="1" ht="21.75">
      <c r="I5298" s="1" ph="1"/>
    </row>
    <row r="5299" spans="9:9" s="1" customFormat="1" ht="21.75">
      <c r="I5299" s="1" ph="1"/>
    </row>
    <row r="5300" spans="9:9" s="1" customFormat="1" ht="21.75">
      <c r="I5300" s="1" ph="1"/>
    </row>
    <row r="5301" spans="9:9" s="1" customFormat="1" ht="21.75">
      <c r="I5301" s="1" ph="1"/>
    </row>
    <row r="5302" spans="9:9" s="1" customFormat="1" ht="21.75">
      <c r="I5302" s="1" ph="1"/>
    </row>
    <row r="5303" spans="9:9" s="1" customFormat="1" ht="21.75">
      <c r="I5303" s="1" ph="1"/>
    </row>
    <row r="5304" spans="9:9" s="1" customFormat="1" ht="21.75">
      <c r="I5304" s="1" ph="1"/>
    </row>
    <row r="5305" spans="9:9" s="1" customFormat="1" ht="21.75">
      <c r="I5305" s="1" ph="1"/>
    </row>
    <row r="5306" spans="9:9" s="1" customFormat="1" ht="21.75">
      <c r="I5306" s="1" ph="1"/>
    </row>
    <row r="5307" spans="9:9" s="1" customFormat="1" ht="21.75">
      <c r="I5307" s="1" ph="1"/>
    </row>
    <row r="5308" spans="9:9" s="1" customFormat="1" ht="21.75">
      <c r="I5308" s="1" ph="1"/>
    </row>
    <row r="5309" spans="9:9" s="1" customFormat="1" ht="21.75">
      <c r="I5309" s="1" ph="1"/>
    </row>
    <row r="5310" spans="9:9" s="1" customFormat="1" ht="21.75">
      <c r="I5310" s="1" ph="1"/>
    </row>
    <row r="5311" spans="9:9" s="1" customFormat="1" ht="21.75">
      <c r="I5311" s="1" ph="1"/>
    </row>
    <row r="5312" spans="9:9" s="1" customFormat="1" ht="21.75">
      <c r="I5312" s="1" ph="1"/>
    </row>
    <row r="5313" spans="9:9" s="1" customFormat="1" ht="21.75">
      <c r="I5313" s="1" ph="1"/>
    </row>
    <row r="5314" spans="9:9" s="1" customFormat="1" ht="21.75">
      <c r="I5314" s="1" ph="1"/>
    </row>
    <row r="5315" spans="9:9" s="1" customFormat="1" ht="21.75">
      <c r="I5315" s="1" ph="1"/>
    </row>
    <row r="5316" spans="9:9" s="1" customFormat="1" ht="21.75">
      <c r="I5316" s="1" ph="1"/>
    </row>
    <row r="5317" spans="9:9" s="1" customFormat="1" ht="21.75">
      <c r="I5317" s="1" ph="1"/>
    </row>
    <row r="5318" spans="9:9" s="1" customFormat="1" ht="21.75">
      <c r="I5318" s="1" ph="1"/>
    </row>
    <row r="5319" spans="9:9" s="1" customFormat="1" ht="21.75">
      <c r="I5319" s="1" ph="1"/>
    </row>
    <row r="5320" spans="9:9" s="1" customFormat="1" ht="21.75">
      <c r="I5320" s="1" ph="1"/>
    </row>
    <row r="5321" spans="9:9" s="1" customFormat="1" ht="21.75">
      <c r="I5321" s="1" ph="1"/>
    </row>
    <row r="5322" spans="9:9" s="1" customFormat="1" ht="21.75">
      <c r="I5322" s="1" ph="1"/>
    </row>
    <row r="5323" spans="9:9" s="1" customFormat="1" ht="21.75">
      <c r="I5323" s="1" ph="1"/>
    </row>
    <row r="5324" spans="9:9" s="1" customFormat="1" ht="21.75">
      <c r="I5324" s="1" ph="1"/>
    </row>
    <row r="5325" spans="9:9" s="1" customFormat="1" ht="21.75">
      <c r="I5325" s="1" ph="1"/>
    </row>
    <row r="5326" spans="9:9" s="1" customFormat="1" ht="21.75">
      <c r="I5326" s="1" ph="1"/>
    </row>
    <row r="5327" spans="9:9" s="1" customFormat="1" ht="21.75">
      <c r="I5327" s="1" ph="1"/>
    </row>
    <row r="5328" spans="9:9" s="1" customFormat="1" ht="21.75">
      <c r="I5328" s="1" ph="1"/>
    </row>
    <row r="5329" spans="9:9" s="1" customFormat="1" ht="21.75">
      <c r="I5329" s="1" ph="1"/>
    </row>
    <row r="5330" spans="9:9" s="1" customFormat="1" ht="21.75">
      <c r="I5330" s="1" ph="1"/>
    </row>
    <row r="5331" spans="9:9" s="1" customFormat="1" ht="21.75">
      <c r="I5331" s="1" ph="1"/>
    </row>
    <row r="5332" spans="9:9" s="1" customFormat="1" ht="21.75">
      <c r="I5332" s="1" ph="1"/>
    </row>
    <row r="5333" spans="9:9" s="1" customFormat="1" ht="21.75">
      <c r="I5333" s="1" ph="1"/>
    </row>
    <row r="5334" spans="9:9" s="1" customFormat="1" ht="21.75">
      <c r="I5334" s="1" ph="1"/>
    </row>
    <row r="5335" spans="9:9" s="1" customFormat="1" ht="21.75">
      <c r="I5335" s="1" ph="1"/>
    </row>
    <row r="5336" spans="9:9" s="1" customFormat="1" ht="21.75">
      <c r="I5336" s="1" ph="1"/>
    </row>
    <row r="5337" spans="9:9" s="1" customFormat="1" ht="21.75">
      <c r="I5337" s="1" ph="1"/>
    </row>
    <row r="5338" spans="9:9" s="1" customFormat="1" ht="21.75">
      <c r="I5338" s="1" ph="1"/>
    </row>
    <row r="5339" spans="9:9" s="1" customFormat="1" ht="21.75">
      <c r="I5339" s="1" ph="1"/>
    </row>
    <row r="5340" spans="9:9" s="1" customFormat="1" ht="21.75">
      <c r="I5340" s="1" ph="1"/>
    </row>
    <row r="5341" spans="9:9" s="1" customFormat="1" ht="21.75">
      <c r="I5341" s="1" ph="1"/>
    </row>
    <row r="5342" spans="9:9" s="1" customFormat="1" ht="21.75">
      <c r="I5342" s="1" ph="1"/>
    </row>
    <row r="5343" spans="9:9" s="1" customFormat="1" ht="21.75">
      <c r="I5343" s="1" ph="1"/>
    </row>
    <row r="5344" spans="9:9" s="1" customFormat="1" ht="21.75">
      <c r="I5344" s="1" ph="1"/>
    </row>
    <row r="5345" spans="9:9" s="1" customFormat="1" ht="21.75">
      <c r="I5345" s="1" ph="1"/>
    </row>
    <row r="5346" spans="9:9" s="1" customFormat="1" ht="21.75">
      <c r="I5346" s="1" ph="1"/>
    </row>
    <row r="5347" spans="9:9" s="1" customFormat="1" ht="21.75">
      <c r="I5347" s="1" ph="1"/>
    </row>
    <row r="5348" spans="9:9" s="1" customFormat="1" ht="21.75">
      <c r="I5348" s="1" ph="1"/>
    </row>
    <row r="5349" spans="9:9" s="1" customFormat="1" ht="21.75">
      <c r="I5349" s="1" ph="1"/>
    </row>
    <row r="5350" spans="9:9" s="1" customFormat="1" ht="21.75">
      <c r="I5350" s="1" ph="1"/>
    </row>
    <row r="5351" spans="9:9" s="1" customFormat="1" ht="21.75">
      <c r="I5351" s="1" ph="1"/>
    </row>
    <row r="5352" spans="9:9" s="1" customFormat="1" ht="21.75">
      <c r="I5352" s="1" ph="1"/>
    </row>
    <row r="5353" spans="9:9" s="1" customFormat="1" ht="21.75">
      <c r="I5353" s="1" ph="1"/>
    </row>
    <row r="5354" spans="9:9" s="1" customFormat="1" ht="21.75">
      <c r="I5354" s="1" ph="1"/>
    </row>
    <row r="5355" spans="9:9" s="1" customFormat="1" ht="21.75">
      <c r="I5355" s="1" ph="1"/>
    </row>
    <row r="5356" spans="9:9" s="1" customFormat="1" ht="21.75">
      <c r="I5356" s="1" ph="1"/>
    </row>
    <row r="5357" spans="9:9" s="1" customFormat="1" ht="21.75">
      <c r="I5357" s="1" ph="1"/>
    </row>
    <row r="5358" spans="9:9" s="1" customFormat="1" ht="21.75">
      <c r="I5358" s="1" ph="1"/>
    </row>
    <row r="5359" spans="9:9" s="1" customFormat="1" ht="21.75">
      <c r="I5359" s="1" ph="1"/>
    </row>
    <row r="5360" spans="9:9" s="1" customFormat="1" ht="21.75">
      <c r="I5360" s="1" ph="1"/>
    </row>
    <row r="5361" spans="9:9" s="1" customFormat="1" ht="21.75">
      <c r="I5361" s="1" ph="1"/>
    </row>
    <row r="5362" spans="9:9" s="1" customFormat="1" ht="21.75">
      <c r="I5362" s="1" ph="1"/>
    </row>
    <row r="5363" spans="9:9" s="1" customFormat="1" ht="21.75">
      <c r="I5363" s="1" ph="1"/>
    </row>
    <row r="5364" spans="9:9" s="1" customFormat="1" ht="21.75">
      <c r="I5364" s="1" ph="1"/>
    </row>
    <row r="5365" spans="9:9" s="1" customFormat="1" ht="21.75">
      <c r="I5365" s="1" ph="1"/>
    </row>
    <row r="5366" spans="9:9" s="1" customFormat="1" ht="21.75">
      <c r="I5366" s="1" ph="1"/>
    </row>
    <row r="5367" spans="9:9" s="1" customFormat="1" ht="21.75">
      <c r="I5367" s="1" ph="1"/>
    </row>
    <row r="5368" spans="9:9" s="1" customFormat="1" ht="21.75">
      <c r="I5368" s="1" ph="1"/>
    </row>
    <row r="5369" spans="9:9" s="1" customFormat="1" ht="21.75">
      <c r="I5369" s="1" ph="1"/>
    </row>
    <row r="5370" spans="9:9" s="1" customFormat="1" ht="21.75">
      <c r="I5370" s="1" ph="1"/>
    </row>
    <row r="5371" spans="9:9" s="1" customFormat="1" ht="21.75">
      <c r="I5371" s="1" ph="1"/>
    </row>
    <row r="5372" spans="9:9" s="1" customFormat="1" ht="21.75">
      <c r="I5372" s="1" ph="1"/>
    </row>
    <row r="5373" spans="9:9" s="1" customFormat="1" ht="21.75">
      <c r="I5373" s="1" ph="1"/>
    </row>
    <row r="5374" spans="9:9" s="1" customFormat="1" ht="21.75">
      <c r="I5374" s="1" ph="1"/>
    </row>
    <row r="5375" spans="9:9" s="1" customFormat="1" ht="21.75">
      <c r="I5375" s="1" ph="1"/>
    </row>
    <row r="5376" spans="9:9" s="1" customFormat="1" ht="21.75">
      <c r="I5376" s="1" ph="1"/>
    </row>
    <row r="5377" spans="9:9" s="1" customFormat="1" ht="21.75">
      <c r="I5377" s="1" ph="1"/>
    </row>
    <row r="5378" spans="9:9" s="1" customFormat="1" ht="21.75">
      <c r="I5378" s="1" ph="1"/>
    </row>
    <row r="5379" spans="9:9" s="1" customFormat="1" ht="21.75">
      <c r="I5379" s="1" ph="1"/>
    </row>
    <row r="5380" spans="9:9" s="1" customFormat="1" ht="21.75">
      <c r="I5380" s="1" ph="1"/>
    </row>
    <row r="5381" spans="9:9" s="1" customFormat="1" ht="21.75">
      <c r="I5381" s="1" ph="1"/>
    </row>
    <row r="5382" spans="9:9" s="1" customFormat="1" ht="21.75">
      <c r="I5382" s="1" ph="1"/>
    </row>
    <row r="5383" spans="9:9" s="1" customFormat="1" ht="21.75">
      <c r="I5383" s="1" ph="1"/>
    </row>
    <row r="5384" spans="9:9" s="1" customFormat="1" ht="21.75">
      <c r="I5384" s="1" ph="1"/>
    </row>
    <row r="5385" spans="9:9" s="1" customFormat="1" ht="21.75">
      <c r="I5385" s="1" ph="1"/>
    </row>
    <row r="5386" spans="9:9" s="1" customFormat="1" ht="21.75">
      <c r="I5386" s="1" ph="1"/>
    </row>
    <row r="5387" spans="9:9" s="1" customFormat="1" ht="21.75">
      <c r="I5387" s="1" ph="1"/>
    </row>
    <row r="5388" spans="9:9" s="1" customFormat="1" ht="21.75">
      <c r="I5388" s="1" ph="1"/>
    </row>
    <row r="5389" spans="9:9" s="1" customFormat="1" ht="21.75">
      <c r="I5389" s="1" ph="1"/>
    </row>
    <row r="5390" spans="9:9" s="1" customFormat="1" ht="21.75">
      <c r="I5390" s="1" ph="1"/>
    </row>
    <row r="5391" spans="9:9" s="1" customFormat="1" ht="21.75">
      <c r="I5391" s="1" ph="1"/>
    </row>
    <row r="5392" spans="9:9" s="1" customFormat="1" ht="21.75">
      <c r="I5392" s="1" ph="1"/>
    </row>
    <row r="5393" spans="9:9" s="1" customFormat="1" ht="21.75">
      <c r="I5393" s="1" ph="1"/>
    </row>
    <row r="5394" spans="9:9" s="1" customFormat="1" ht="21.75">
      <c r="I5394" s="1" ph="1"/>
    </row>
    <row r="5395" spans="9:9" s="1" customFormat="1" ht="21.75">
      <c r="I5395" s="1" ph="1"/>
    </row>
    <row r="5396" spans="9:9" s="1" customFormat="1" ht="21.75">
      <c r="I5396" s="1" ph="1"/>
    </row>
    <row r="5397" spans="9:9" s="1" customFormat="1" ht="21.75">
      <c r="I5397" s="1" ph="1"/>
    </row>
    <row r="5398" spans="9:9" s="1" customFormat="1" ht="21.75">
      <c r="I5398" s="1" ph="1"/>
    </row>
    <row r="5399" spans="9:9" s="1" customFormat="1" ht="21.75">
      <c r="I5399" s="1" ph="1"/>
    </row>
    <row r="5400" spans="9:9" s="1" customFormat="1" ht="21.75">
      <c r="I5400" s="1" ph="1"/>
    </row>
    <row r="5401" spans="9:9" s="1" customFormat="1" ht="21.75">
      <c r="I5401" s="1" ph="1"/>
    </row>
    <row r="5402" spans="9:9" s="1" customFormat="1" ht="21.75">
      <c r="I5402" s="1" ph="1"/>
    </row>
    <row r="5403" spans="9:9" s="1" customFormat="1" ht="21.75">
      <c r="I5403" s="1" ph="1"/>
    </row>
    <row r="5404" spans="9:9" s="1" customFormat="1" ht="21.75">
      <c r="I5404" s="1" ph="1"/>
    </row>
    <row r="5405" spans="9:9" s="1" customFormat="1" ht="21.75">
      <c r="I5405" s="1" ph="1"/>
    </row>
    <row r="5406" spans="9:9" s="1" customFormat="1" ht="21.75">
      <c r="I5406" s="1" ph="1"/>
    </row>
    <row r="5407" spans="9:9" s="1" customFormat="1" ht="21.75">
      <c r="I5407" s="1" ph="1"/>
    </row>
    <row r="5408" spans="9:9" s="1" customFormat="1" ht="21.75">
      <c r="I5408" s="1" ph="1"/>
    </row>
    <row r="5409" spans="9:9" s="1" customFormat="1" ht="21.75">
      <c r="I5409" s="1" ph="1"/>
    </row>
    <row r="5410" spans="9:9" s="1" customFormat="1" ht="21.75">
      <c r="I5410" s="1" ph="1"/>
    </row>
    <row r="5411" spans="9:9" s="1" customFormat="1" ht="21.75">
      <c r="I5411" s="1" ph="1"/>
    </row>
    <row r="5412" spans="9:9" s="1" customFormat="1" ht="21.75">
      <c r="I5412" s="1" ph="1"/>
    </row>
    <row r="5413" spans="9:9" s="1" customFormat="1" ht="21.75">
      <c r="I5413" s="1" ph="1"/>
    </row>
    <row r="5414" spans="9:9" s="1" customFormat="1" ht="21.75">
      <c r="I5414" s="1" ph="1"/>
    </row>
    <row r="5415" spans="9:9" s="1" customFormat="1" ht="21.75">
      <c r="I5415" s="1" ph="1"/>
    </row>
    <row r="5416" spans="9:9" s="1" customFormat="1" ht="21.75">
      <c r="I5416" s="1" ph="1"/>
    </row>
    <row r="5417" spans="9:9" s="1" customFormat="1" ht="21.75">
      <c r="I5417" s="1" ph="1"/>
    </row>
    <row r="5418" spans="9:9" s="1" customFormat="1" ht="21.75">
      <c r="I5418" s="1" ph="1"/>
    </row>
    <row r="5419" spans="9:9" s="1" customFormat="1" ht="21.75">
      <c r="I5419" s="1" ph="1"/>
    </row>
    <row r="5420" spans="9:9" s="1" customFormat="1" ht="21.75">
      <c r="I5420" s="1" ph="1"/>
    </row>
    <row r="5421" spans="9:9" s="1" customFormat="1" ht="21.75">
      <c r="I5421" s="1" ph="1"/>
    </row>
    <row r="5422" spans="9:9" s="1" customFormat="1" ht="21.75">
      <c r="I5422" s="1" ph="1"/>
    </row>
    <row r="5423" spans="9:9" s="1" customFormat="1" ht="21.75">
      <c r="I5423" s="1" ph="1"/>
    </row>
    <row r="5424" spans="9:9" s="1" customFormat="1" ht="21.75">
      <c r="I5424" s="1" ph="1"/>
    </row>
    <row r="5425" spans="9:9" s="1" customFormat="1" ht="21.75">
      <c r="I5425" s="1" ph="1"/>
    </row>
    <row r="5426" spans="9:9" s="1" customFormat="1" ht="21.75">
      <c r="I5426" s="1" ph="1"/>
    </row>
    <row r="5427" spans="9:9" s="1" customFormat="1" ht="21.75">
      <c r="I5427" s="1" ph="1"/>
    </row>
    <row r="5428" spans="9:9" s="1" customFormat="1" ht="21.75">
      <c r="I5428" s="1" ph="1"/>
    </row>
    <row r="5429" spans="9:9" s="1" customFormat="1" ht="21.75">
      <c r="I5429" s="1" ph="1"/>
    </row>
    <row r="5430" spans="9:9" s="1" customFormat="1" ht="21.75">
      <c r="I5430" s="1" ph="1"/>
    </row>
    <row r="5431" spans="9:9" s="1" customFormat="1" ht="21.75">
      <c r="I5431" s="1" ph="1"/>
    </row>
    <row r="5432" spans="9:9" s="1" customFormat="1" ht="21.75">
      <c r="I5432" s="1" ph="1"/>
    </row>
    <row r="5433" spans="9:9" s="1" customFormat="1" ht="21.75">
      <c r="I5433" s="1" ph="1"/>
    </row>
    <row r="5434" spans="9:9" s="1" customFormat="1" ht="21.75">
      <c r="I5434" s="1" ph="1"/>
    </row>
    <row r="5435" spans="9:9" s="1" customFormat="1" ht="21.75">
      <c r="I5435" s="1" ph="1"/>
    </row>
    <row r="5436" spans="9:9" s="1" customFormat="1" ht="21.75">
      <c r="I5436" s="1" ph="1"/>
    </row>
    <row r="5437" spans="9:9" s="1" customFormat="1" ht="21.75">
      <c r="I5437" s="1" ph="1"/>
    </row>
    <row r="5438" spans="9:9" s="1" customFormat="1" ht="21.75">
      <c r="I5438" s="1" ph="1"/>
    </row>
    <row r="5439" spans="9:9" s="1" customFormat="1" ht="21.75">
      <c r="I5439" s="1" ph="1"/>
    </row>
    <row r="5440" spans="9:9" s="1" customFormat="1" ht="21.75">
      <c r="I5440" s="1" ph="1"/>
    </row>
    <row r="5441" spans="9:9" s="1" customFormat="1" ht="21.75">
      <c r="I5441" s="1" ph="1"/>
    </row>
    <row r="5442" spans="9:9" s="1" customFormat="1" ht="21.75">
      <c r="I5442" s="1" ph="1"/>
    </row>
    <row r="5443" spans="9:9" s="1" customFormat="1" ht="21.75">
      <c r="I5443" s="1" ph="1"/>
    </row>
    <row r="5444" spans="9:9" s="1" customFormat="1" ht="21.75">
      <c r="I5444" s="1" ph="1"/>
    </row>
    <row r="5445" spans="9:9" s="1" customFormat="1" ht="21.75">
      <c r="I5445" s="1" ph="1"/>
    </row>
    <row r="5446" spans="9:9" s="1" customFormat="1" ht="21.75">
      <c r="I5446" s="1" ph="1"/>
    </row>
    <row r="5447" spans="9:9" s="1" customFormat="1" ht="21.75">
      <c r="I5447" s="1" ph="1"/>
    </row>
    <row r="5448" spans="9:9" s="1" customFormat="1" ht="21.75">
      <c r="I5448" s="1" ph="1"/>
    </row>
    <row r="5449" spans="9:9" s="1" customFormat="1" ht="21.75">
      <c r="I5449" s="1" ph="1"/>
    </row>
    <row r="5450" spans="9:9" s="1" customFormat="1" ht="21.75">
      <c r="I5450" s="1" ph="1"/>
    </row>
    <row r="5451" spans="9:9" s="1" customFormat="1" ht="21.75">
      <c r="I5451" s="1" ph="1"/>
    </row>
    <row r="5452" spans="9:9" s="1" customFormat="1" ht="21.75">
      <c r="I5452" s="1" ph="1"/>
    </row>
    <row r="5453" spans="9:9" s="1" customFormat="1" ht="21.75">
      <c r="I5453" s="1" ph="1"/>
    </row>
    <row r="5454" spans="9:9" s="1" customFormat="1" ht="21.75">
      <c r="I5454" s="1" ph="1"/>
    </row>
    <row r="5455" spans="9:9" s="1" customFormat="1" ht="21.75">
      <c r="I5455" s="1" ph="1"/>
    </row>
    <row r="5456" spans="9:9" s="1" customFormat="1" ht="21.75">
      <c r="I5456" s="1" ph="1"/>
    </row>
    <row r="5457" spans="2:22" ht="21.75">
      <c r="B5457" s="1"/>
      <c r="C5457" s="1"/>
      <c r="E5457" s="1"/>
      <c r="F5457" s="1"/>
      <c r="G5457" s="1"/>
      <c r="I5457" s="1" ph="1"/>
      <c r="M5457" s="1"/>
      <c r="O5457" s="1"/>
      <c r="S5457" s="1"/>
      <c r="T5457" s="1"/>
      <c r="U5457" s="1"/>
      <c r="V5457" s="1"/>
    </row>
    <row r="5458" spans="2:22" ht="21.75">
      <c r="B5458" s="1"/>
      <c r="C5458" s="1"/>
      <c r="E5458" s="1"/>
      <c r="F5458" s="1"/>
      <c r="G5458" s="1"/>
      <c r="I5458" s="1" ph="1"/>
      <c r="M5458" s="1"/>
      <c r="O5458" s="1"/>
      <c r="S5458" s="1"/>
      <c r="T5458" s="1"/>
      <c r="U5458" s="1"/>
      <c r="V5458" s="1"/>
    </row>
    <row r="5459" spans="2:22" ht="21.75">
      <c r="B5459" s="1"/>
      <c r="C5459" s="1"/>
      <c r="E5459" s="1"/>
      <c r="F5459" s="1"/>
      <c r="G5459" s="1"/>
      <c r="I5459" s="1" ph="1"/>
      <c r="M5459" s="1"/>
      <c r="O5459" s="1"/>
      <c r="S5459" s="1"/>
      <c r="T5459" s="1"/>
      <c r="U5459" s="1"/>
      <c r="V5459" s="1"/>
    </row>
    <row r="5460" spans="2:22" ht="21.75">
      <c r="B5460" s="1"/>
      <c r="C5460" s="1"/>
      <c r="E5460" s="1"/>
      <c r="F5460" s="1"/>
      <c r="G5460" s="1"/>
      <c r="I5460" s="1" ph="1"/>
      <c r="M5460" s="1"/>
      <c r="O5460" s="1"/>
      <c r="S5460" s="1"/>
      <c r="T5460" s="1"/>
      <c r="U5460" s="1"/>
      <c r="V5460" s="1"/>
    </row>
    <row r="5461" spans="2:22" ht="21.75">
      <c r="B5461" s="1"/>
      <c r="C5461" s="1"/>
      <c r="E5461" s="1"/>
      <c r="F5461" s="1"/>
      <c r="G5461" s="1"/>
      <c r="I5461" s="1" ph="1"/>
      <c r="M5461" s="1"/>
      <c r="O5461" s="1"/>
      <c r="S5461" s="1"/>
      <c r="T5461" s="1"/>
      <c r="U5461" s="1"/>
      <c r="V5461" s="1"/>
    </row>
    <row r="5462" spans="2:22" ht="21.75">
      <c r="I5462" s="1" ph="1"/>
    </row>
    <row r="5463" spans="2:22" ht="21.75">
      <c r="I5463" s="1" ph="1"/>
    </row>
    <row r="5464" spans="2:22" ht="21.75">
      <c r="I5464" s="1" ph="1"/>
    </row>
    <row r="5465" spans="2:22" ht="21.75">
      <c r="I5465" s="1" ph="1"/>
    </row>
    <row r="5466" spans="2:22" ht="21.75">
      <c r="I5466" s="1" ph="1"/>
    </row>
    <row r="5467" spans="2:22" ht="21.75">
      <c r="I5467" s="1" ph="1"/>
    </row>
    <row r="5468" spans="2:22" ht="21.75">
      <c r="I5468" s="1" ph="1"/>
    </row>
    <row r="5469" spans="2:22" ht="21.75">
      <c r="I5469" s="1" ph="1"/>
    </row>
    <row r="5470" spans="2:22" ht="21.75">
      <c r="I5470" s="1" ph="1"/>
    </row>
    <row r="5471" spans="2:22" ht="21.75">
      <c r="I5471" s="1" ph="1"/>
    </row>
    <row r="5472" spans="2:22" ht="21.75">
      <c r="I5472" s="1" ph="1"/>
    </row>
    <row r="5473" spans="9:9" ht="21.75">
      <c r="I5473" s="1" ph="1"/>
    </row>
    <row r="5474" spans="9:9" ht="21.75">
      <c r="I5474" s="1" ph="1"/>
    </row>
    <row r="5475" spans="9:9" ht="21.75">
      <c r="I5475" s="1" ph="1"/>
    </row>
    <row r="5476" spans="9:9" ht="21.75">
      <c r="I5476" s="1" ph="1"/>
    </row>
    <row r="5477" spans="9:9" ht="21.75">
      <c r="I5477" s="1" ph="1"/>
    </row>
    <row r="5478" spans="9:9" ht="21.75">
      <c r="I5478" s="1" ph="1"/>
    </row>
    <row r="5479" spans="9:9" ht="21.75">
      <c r="I5479" s="1" ph="1"/>
    </row>
    <row r="5480" spans="9:9" ht="21.75">
      <c r="I5480" s="1" ph="1"/>
    </row>
    <row r="5481" spans="9:9" ht="21.75">
      <c r="I5481" s="1" ph="1"/>
    </row>
    <row r="5482" spans="9:9" ht="21.75">
      <c r="I5482" s="1" ph="1"/>
    </row>
    <row r="5483" spans="9:9" ht="21.75">
      <c r="I5483" s="1" ph="1"/>
    </row>
    <row r="5484" spans="9:9" ht="21.75">
      <c r="I5484" s="1" ph="1"/>
    </row>
    <row r="5485" spans="9:9" ht="21.75">
      <c r="I5485" s="1" ph="1"/>
    </row>
    <row r="5486" spans="9:9" ht="21.75">
      <c r="I5486" s="1" ph="1"/>
    </row>
    <row r="5487" spans="9:9" ht="21.75">
      <c r="I5487" s="1" ph="1"/>
    </row>
    <row r="5488" spans="9:9" ht="21.75">
      <c r="I5488" s="1" ph="1"/>
    </row>
    <row r="5489" spans="9:9" ht="21.75">
      <c r="I5489" s="1" ph="1"/>
    </row>
    <row r="5490" spans="9:9" ht="21.75">
      <c r="I5490" s="1" ph="1"/>
    </row>
    <row r="5491" spans="9:9" ht="21.75">
      <c r="I5491" s="1" ph="1"/>
    </row>
    <row r="5492" spans="9:9" ht="21.75">
      <c r="I5492" s="1" ph="1"/>
    </row>
    <row r="5493" spans="9:9" ht="21.75">
      <c r="I5493" s="1" ph="1"/>
    </row>
    <row r="5494" spans="9:9" ht="21.75">
      <c r="I5494" s="1" ph="1"/>
    </row>
    <row r="5495" spans="9:9" ht="21.75">
      <c r="I5495" s="1" ph="1"/>
    </row>
    <row r="5496" spans="9:9" ht="21.75">
      <c r="I5496" s="1" ph="1"/>
    </row>
    <row r="5497" spans="9:9" ht="21.75">
      <c r="I5497" s="1" ph="1"/>
    </row>
    <row r="5498" spans="9:9" ht="21.75">
      <c r="I5498" s="1" ph="1"/>
    </row>
    <row r="5499" spans="9:9" ht="21.75">
      <c r="I5499" s="1" ph="1"/>
    </row>
    <row r="5500" spans="9:9" ht="21.75">
      <c r="I5500" s="1" ph="1"/>
    </row>
    <row r="5501" spans="9:9" ht="21.75">
      <c r="I5501" s="1" ph="1"/>
    </row>
    <row r="5502" spans="9:9" ht="21.75">
      <c r="I5502" s="1" ph="1"/>
    </row>
    <row r="5503" spans="9:9" ht="21.75">
      <c r="I5503" s="1" ph="1"/>
    </row>
    <row r="5504" spans="9:9" ht="21.75">
      <c r="I5504" s="1" ph="1"/>
    </row>
    <row r="5505" spans="9:9" ht="21.75">
      <c r="I5505" s="1" ph="1"/>
    </row>
    <row r="5506" spans="9:9" ht="21.75">
      <c r="I5506" s="1" ph="1"/>
    </row>
    <row r="5507" spans="9:9" ht="21.75">
      <c r="I5507" s="1" ph="1"/>
    </row>
    <row r="5508" spans="9:9" ht="21.75">
      <c r="I5508" s="1" ph="1"/>
    </row>
    <row r="5509" spans="9:9" ht="21.75">
      <c r="I5509" s="1" ph="1"/>
    </row>
    <row r="5510" spans="9:9" ht="21.75">
      <c r="I5510" s="1" ph="1"/>
    </row>
    <row r="5511" spans="9:9" ht="21.75">
      <c r="I5511" s="1" ph="1"/>
    </row>
    <row r="5512" spans="9:9" ht="21.75">
      <c r="I5512" s="1" ph="1"/>
    </row>
    <row r="5513" spans="9:9" ht="21.75">
      <c r="I5513" s="1" ph="1"/>
    </row>
    <row r="5514" spans="9:9" ht="21.75">
      <c r="I5514" s="1" ph="1"/>
    </row>
    <row r="5515" spans="9:9" ht="21.75">
      <c r="I5515" s="1" ph="1"/>
    </row>
    <row r="5516" spans="9:9" ht="21.75">
      <c r="I5516" s="1" ph="1"/>
    </row>
    <row r="5517" spans="9:9" ht="21.75">
      <c r="I5517" s="1" ph="1"/>
    </row>
    <row r="5518" spans="9:9" ht="21.75">
      <c r="I5518" s="1" ph="1"/>
    </row>
    <row r="5519" spans="9:9" ht="21.75">
      <c r="I5519" s="1" ph="1"/>
    </row>
    <row r="5520" spans="9:9" ht="21.75">
      <c r="I5520" s="1" ph="1"/>
    </row>
    <row r="5521" spans="9:9" ht="21.75">
      <c r="I5521" s="1" ph="1"/>
    </row>
    <row r="5522" spans="9:9" ht="21.75">
      <c r="I5522" s="1" ph="1"/>
    </row>
    <row r="5523" spans="9:9" ht="21.75">
      <c r="I5523" s="1" ph="1"/>
    </row>
    <row r="5524" spans="9:9" ht="21.75">
      <c r="I5524" s="1" ph="1"/>
    </row>
    <row r="5525" spans="9:9" ht="21.75">
      <c r="I5525" s="1" ph="1"/>
    </row>
    <row r="5526" spans="9:9" ht="21.75">
      <c r="I5526" s="1" ph="1"/>
    </row>
    <row r="5527" spans="9:9" ht="21.75">
      <c r="I5527" s="1" ph="1"/>
    </row>
    <row r="5528" spans="9:9" ht="21.75">
      <c r="I5528" s="1" ph="1"/>
    </row>
    <row r="5529" spans="9:9" ht="21.75">
      <c r="I5529" s="1" ph="1"/>
    </row>
    <row r="5530" spans="9:9" ht="21.75">
      <c r="I5530" s="1" ph="1"/>
    </row>
    <row r="5531" spans="9:9" ht="21.75">
      <c r="I5531" s="1" ph="1"/>
    </row>
    <row r="5532" spans="9:9" ht="21.75">
      <c r="I5532" s="1" ph="1"/>
    </row>
    <row r="5533" spans="9:9" ht="21.75">
      <c r="I5533" s="1" ph="1"/>
    </row>
    <row r="5534" spans="9:9" ht="21.75">
      <c r="I5534" s="1" ph="1"/>
    </row>
    <row r="5535" spans="9:9" ht="21.75">
      <c r="I5535" s="1" ph="1"/>
    </row>
    <row r="5536" spans="9:9" ht="21.75">
      <c r="I5536" s="1" ph="1"/>
    </row>
    <row r="5537" spans="9:9" ht="21.75">
      <c r="I5537" s="1" ph="1"/>
    </row>
    <row r="5538" spans="9:9" ht="21.75">
      <c r="I5538" s="1" ph="1"/>
    </row>
    <row r="5539" spans="9:9" ht="21.75">
      <c r="I5539" s="1" ph="1"/>
    </row>
    <row r="5540" spans="9:9" ht="21.75">
      <c r="I5540" s="1" ph="1"/>
    </row>
    <row r="5541" spans="9:9" ht="21.75">
      <c r="I5541" s="1" ph="1"/>
    </row>
    <row r="5542" spans="9:9" ht="21.75">
      <c r="I5542" s="1" ph="1"/>
    </row>
    <row r="5543" spans="9:9" ht="21.75">
      <c r="I5543" s="1" ph="1"/>
    </row>
    <row r="5544" spans="9:9" ht="21.75">
      <c r="I5544" s="1" ph="1"/>
    </row>
    <row r="5545" spans="9:9" ht="21.75">
      <c r="I5545" s="1" ph="1"/>
    </row>
    <row r="5546" spans="9:9" ht="21.75">
      <c r="I5546" s="1" ph="1"/>
    </row>
    <row r="5547" spans="9:9" ht="21.75">
      <c r="I5547" s="1" ph="1"/>
    </row>
    <row r="5548" spans="9:9" ht="21.75">
      <c r="I5548" s="1" ph="1"/>
    </row>
    <row r="5549" spans="9:9" ht="21.75">
      <c r="I5549" s="1" ph="1"/>
    </row>
    <row r="5550" spans="9:9" ht="21.75">
      <c r="I5550" s="1" ph="1"/>
    </row>
    <row r="5551" spans="9:9" ht="21.75">
      <c r="I5551" s="1" ph="1"/>
    </row>
    <row r="5552" spans="9:9" ht="21.75">
      <c r="I5552" s="1" ph="1"/>
    </row>
    <row r="5553" spans="9:9" ht="21.75">
      <c r="I5553" s="1" ph="1"/>
    </row>
    <row r="5554" spans="9:9" ht="21.75">
      <c r="I5554" s="1" ph="1"/>
    </row>
    <row r="5555" spans="9:9" ht="21.75">
      <c r="I5555" s="1" ph="1"/>
    </row>
    <row r="5556" spans="9:9" ht="21.75">
      <c r="I5556" s="1" ph="1"/>
    </row>
    <row r="5557" spans="9:9" ht="21.75">
      <c r="I5557" s="1" ph="1"/>
    </row>
    <row r="5558" spans="9:9" ht="21.75">
      <c r="I5558" s="1" ph="1"/>
    </row>
    <row r="5559" spans="9:9" ht="21.75">
      <c r="I5559" s="1" ph="1"/>
    </row>
    <row r="5560" spans="9:9" ht="21.75">
      <c r="I5560" s="1" ph="1"/>
    </row>
    <row r="5561" spans="9:9" ht="21.75">
      <c r="I5561" s="1" ph="1"/>
    </row>
    <row r="5562" spans="9:9" ht="21.75">
      <c r="I5562" s="1" ph="1"/>
    </row>
    <row r="5563" spans="9:9" ht="21.75">
      <c r="I5563" s="1" ph="1"/>
    </row>
    <row r="5564" spans="9:9" ht="21.75">
      <c r="I5564" s="1" ph="1"/>
    </row>
    <row r="5565" spans="9:9" ht="21.75">
      <c r="I5565" s="1" ph="1"/>
    </row>
    <row r="5566" spans="9:9" ht="21.75">
      <c r="I5566" s="1" ph="1"/>
    </row>
    <row r="5567" spans="9:9" ht="21.75">
      <c r="I5567" s="1" ph="1"/>
    </row>
    <row r="5568" spans="9:9" ht="21.75">
      <c r="I5568" s="1" ph="1"/>
    </row>
    <row r="5569" spans="9:9" ht="21.75">
      <c r="I5569" s="1" ph="1"/>
    </row>
    <row r="5570" spans="9:9" ht="21.75">
      <c r="I5570" s="1" ph="1"/>
    </row>
    <row r="5571" spans="9:9" ht="21.75">
      <c r="I5571" s="1" ph="1"/>
    </row>
    <row r="5572" spans="9:9" ht="21.75">
      <c r="I5572" s="1" ph="1"/>
    </row>
    <row r="5573" spans="9:9" ht="21.75">
      <c r="I5573" s="1" ph="1"/>
    </row>
    <row r="5574" spans="9:9" ht="21.75">
      <c r="I5574" s="1" ph="1"/>
    </row>
    <row r="5575" spans="9:9" ht="21.75">
      <c r="I5575" s="1" ph="1"/>
    </row>
    <row r="5576" spans="9:9" ht="21.75">
      <c r="I5576" s="1" ph="1"/>
    </row>
    <row r="5577" spans="9:9" ht="21.75">
      <c r="I5577" s="1" ph="1"/>
    </row>
    <row r="5578" spans="9:9" ht="21.75">
      <c r="I5578" s="1" ph="1"/>
    </row>
    <row r="5579" spans="9:9" ht="21.75">
      <c r="I5579" s="1" ph="1"/>
    </row>
    <row r="5580" spans="9:9" ht="21.75">
      <c r="I5580" s="1" ph="1"/>
    </row>
    <row r="5581" spans="9:9" ht="21.75">
      <c r="I5581" s="1" ph="1"/>
    </row>
    <row r="5582" spans="9:9" ht="21.75">
      <c r="I5582" s="1" ph="1"/>
    </row>
    <row r="5583" spans="9:9" ht="21.75">
      <c r="I5583" s="1" ph="1"/>
    </row>
    <row r="5584" spans="9:9" ht="21.75">
      <c r="I5584" s="1" ph="1"/>
    </row>
    <row r="5585" spans="9:9" ht="21.75">
      <c r="I5585" s="1" ph="1"/>
    </row>
    <row r="5586" spans="9:9" ht="21.75">
      <c r="I5586" s="1" ph="1"/>
    </row>
    <row r="5587" spans="9:9" ht="21.75">
      <c r="I5587" s="1" ph="1"/>
    </row>
    <row r="5588" spans="9:9" ht="21.75">
      <c r="I5588" s="1" ph="1"/>
    </row>
    <row r="5589" spans="9:9" ht="21.75">
      <c r="I5589" s="1" ph="1"/>
    </row>
    <row r="5590" spans="9:9" ht="21.75">
      <c r="I5590" s="1" ph="1"/>
    </row>
    <row r="5591" spans="9:9" ht="21.75">
      <c r="I5591" s="1" ph="1"/>
    </row>
    <row r="5592" spans="9:9" ht="21.75">
      <c r="I5592" s="1" ph="1"/>
    </row>
    <row r="5593" spans="9:9" ht="21.75">
      <c r="I5593" s="1" ph="1"/>
    </row>
    <row r="5594" spans="9:9" ht="21.75">
      <c r="I5594" s="1" ph="1"/>
    </row>
    <row r="5595" spans="9:9" ht="21.75">
      <c r="I5595" s="1" ph="1"/>
    </row>
    <row r="5596" spans="9:9" ht="21.75">
      <c r="I5596" s="1" ph="1"/>
    </row>
    <row r="5597" spans="9:9" ht="21.75">
      <c r="I5597" s="1" ph="1"/>
    </row>
    <row r="5598" spans="9:9" ht="21.75">
      <c r="I5598" s="1" ph="1"/>
    </row>
    <row r="5599" spans="9:9" ht="21.75">
      <c r="I5599" s="1" ph="1"/>
    </row>
    <row r="5600" spans="9:9" ht="21.75">
      <c r="I5600" s="1" ph="1"/>
    </row>
    <row r="5601" spans="9:9" ht="21.75">
      <c r="I5601" s="1" ph="1"/>
    </row>
    <row r="5602" spans="9:9" ht="21.75">
      <c r="I5602" s="1" ph="1"/>
    </row>
    <row r="5603" spans="9:9" ht="21.75">
      <c r="I5603" s="1" ph="1"/>
    </row>
    <row r="5604" spans="9:9" ht="21.75">
      <c r="I5604" s="1" ph="1"/>
    </row>
    <row r="5605" spans="9:9" ht="21.75">
      <c r="I5605" s="1" ph="1"/>
    </row>
    <row r="5606" spans="9:9" ht="21.75">
      <c r="I5606" s="1" ph="1"/>
    </row>
    <row r="5607" spans="9:9" ht="21.75">
      <c r="I5607" s="1" ph="1"/>
    </row>
    <row r="5608" spans="9:9" ht="21.75">
      <c r="I5608" s="1" ph="1"/>
    </row>
    <row r="5609" spans="9:9" ht="21.75">
      <c r="I5609" s="1" ph="1"/>
    </row>
    <row r="5610" spans="9:9" ht="21.75">
      <c r="I5610" s="1" ph="1"/>
    </row>
    <row r="5611" spans="9:9" ht="21.75">
      <c r="I5611" s="1" ph="1"/>
    </row>
    <row r="5612" spans="9:9" ht="21.75">
      <c r="I5612" s="1" ph="1"/>
    </row>
    <row r="5613" spans="9:9" ht="21.75">
      <c r="I5613" s="1" ph="1"/>
    </row>
    <row r="5614" spans="9:9" ht="21.75">
      <c r="I5614" s="1" ph="1"/>
    </row>
    <row r="5615" spans="9:9" ht="21.75">
      <c r="I5615" s="1" ph="1"/>
    </row>
    <row r="5616" spans="9:9" ht="21.75">
      <c r="I5616" s="1" ph="1"/>
    </row>
    <row r="5617" spans="9:9" ht="21.75">
      <c r="I5617" s="1" ph="1"/>
    </row>
    <row r="5618" spans="9:9" ht="21.75">
      <c r="I5618" s="1" ph="1"/>
    </row>
    <row r="5619" spans="9:9" ht="21.75">
      <c r="I5619" s="1" ph="1"/>
    </row>
    <row r="5620" spans="9:9" ht="21.75">
      <c r="I5620" s="1" ph="1"/>
    </row>
    <row r="5621" spans="9:9" ht="21.75">
      <c r="I5621" s="1" ph="1"/>
    </row>
    <row r="5622" spans="9:9" ht="21.75">
      <c r="I5622" s="1" ph="1"/>
    </row>
    <row r="5623" spans="9:9" ht="21.75">
      <c r="I5623" s="1" ph="1"/>
    </row>
    <row r="5624" spans="9:9" ht="21.75">
      <c r="I5624" s="1" ph="1"/>
    </row>
    <row r="5625" spans="9:9" ht="21.75">
      <c r="I5625" s="1" ph="1"/>
    </row>
    <row r="5626" spans="9:9" ht="21.75">
      <c r="I5626" s="1" ph="1"/>
    </row>
    <row r="5627" spans="9:9" ht="21.75">
      <c r="I5627" s="1" ph="1"/>
    </row>
    <row r="5628" spans="9:9" ht="21.75">
      <c r="I5628" s="1" ph="1"/>
    </row>
    <row r="5629" spans="9:9" ht="21.75">
      <c r="I5629" s="1" ph="1"/>
    </row>
    <row r="5630" spans="9:9" ht="21.75">
      <c r="I5630" s="1" ph="1"/>
    </row>
    <row r="5631" spans="9:9" ht="21.75">
      <c r="I5631" s="1" ph="1"/>
    </row>
    <row r="5632" spans="9:9" ht="21.75">
      <c r="I5632" s="1" ph="1"/>
    </row>
    <row r="5633" spans="9:9" ht="21.75">
      <c r="I5633" s="1" ph="1"/>
    </row>
    <row r="5634" spans="9:9" ht="21.75">
      <c r="I5634" s="1" ph="1"/>
    </row>
    <row r="5635" spans="9:9" ht="21.75">
      <c r="I5635" s="1" ph="1"/>
    </row>
    <row r="5636" spans="9:9" ht="21.75">
      <c r="I5636" s="1" ph="1"/>
    </row>
    <row r="5637" spans="9:9" ht="21.75">
      <c r="I5637" s="1" ph="1"/>
    </row>
    <row r="5638" spans="9:9" ht="21.75">
      <c r="I5638" s="1" ph="1"/>
    </row>
    <row r="5639" spans="9:9" ht="21.75">
      <c r="I5639" s="1" ph="1"/>
    </row>
    <row r="5640" spans="9:9" ht="21.75">
      <c r="I5640" s="1" ph="1"/>
    </row>
    <row r="5641" spans="9:9" ht="21.75">
      <c r="I5641" s="1" ph="1"/>
    </row>
    <row r="5642" spans="9:9" ht="21.75">
      <c r="I5642" s="1" ph="1"/>
    </row>
    <row r="5643" spans="9:9" ht="21.75">
      <c r="I5643" s="1" ph="1"/>
    </row>
    <row r="5644" spans="9:9" ht="21.75">
      <c r="I5644" s="1" ph="1"/>
    </row>
    <row r="5645" spans="9:9" ht="21.75">
      <c r="I5645" s="1" ph="1"/>
    </row>
    <row r="5646" spans="9:9" ht="21.75">
      <c r="I5646" s="1" ph="1"/>
    </row>
    <row r="5647" spans="9:9" ht="21.75">
      <c r="I5647" s="1" ph="1"/>
    </row>
    <row r="5648" spans="9:9" ht="21.75">
      <c r="I5648" s="1" ph="1"/>
    </row>
    <row r="5649" spans="9:9" ht="21.75">
      <c r="I5649" s="1" ph="1"/>
    </row>
    <row r="5650" spans="9:9" ht="21.75">
      <c r="I5650" s="1" ph="1"/>
    </row>
    <row r="5651" spans="9:9" ht="21.75">
      <c r="I5651" s="1" ph="1"/>
    </row>
    <row r="5652" spans="9:9" ht="21.75">
      <c r="I5652" s="1" ph="1"/>
    </row>
    <row r="5653" spans="9:9" ht="21.75">
      <c r="I5653" s="1" ph="1"/>
    </row>
    <row r="5654" spans="9:9" ht="21.75">
      <c r="I5654" s="1" ph="1"/>
    </row>
    <row r="5655" spans="9:9" ht="21.75">
      <c r="I5655" s="1" ph="1"/>
    </row>
    <row r="5656" spans="9:9" ht="21.75">
      <c r="I5656" s="1" ph="1"/>
    </row>
    <row r="5657" spans="9:9" ht="21.75">
      <c r="I5657" s="1" ph="1"/>
    </row>
    <row r="5658" spans="9:9" ht="21.75">
      <c r="I5658" s="1" ph="1"/>
    </row>
    <row r="5659" spans="9:9" ht="21.75">
      <c r="I5659" s="1" ph="1"/>
    </row>
    <row r="5660" spans="9:9" ht="21.75">
      <c r="I5660" s="1" ph="1"/>
    </row>
    <row r="5661" spans="9:9" ht="21.75">
      <c r="I5661" s="1" ph="1"/>
    </row>
    <row r="5662" spans="9:9" ht="21.75">
      <c r="I5662" s="1" ph="1"/>
    </row>
    <row r="5663" spans="9:9" ht="21.75">
      <c r="I5663" s="1" ph="1"/>
    </row>
    <row r="5664" spans="9:9" ht="21.75">
      <c r="I5664" s="1" ph="1"/>
    </row>
    <row r="5665" spans="9:9" ht="21.75">
      <c r="I5665" s="1" ph="1"/>
    </row>
    <row r="5666" spans="9:9" ht="21.75">
      <c r="I5666" s="1" ph="1"/>
    </row>
    <row r="5667" spans="9:9" ht="21.75">
      <c r="I5667" s="1" ph="1"/>
    </row>
    <row r="5668" spans="9:9" ht="21.75">
      <c r="I5668" s="1" ph="1"/>
    </row>
    <row r="5669" spans="9:9" ht="21.75">
      <c r="I5669" s="1" ph="1"/>
    </row>
    <row r="5670" spans="9:9" ht="21.75">
      <c r="I5670" s="1" ph="1"/>
    </row>
    <row r="5671" spans="9:9" ht="21.75">
      <c r="I5671" s="1" ph="1"/>
    </row>
    <row r="5672" spans="9:9" ht="21.75">
      <c r="I5672" s="1" ph="1"/>
    </row>
    <row r="5673" spans="9:9" ht="21.75">
      <c r="I5673" s="1" ph="1"/>
    </row>
    <row r="5674" spans="9:9" ht="21.75">
      <c r="I5674" s="1" ph="1"/>
    </row>
    <row r="5675" spans="9:9" ht="21.75">
      <c r="I5675" s="1" ph="1"/>
    </row>
    <row r="5676" spans="9:9" ht="21.75">
      <c r="I5676" s="1" ph="1"/>
    </row>
    <row r="5677" spans="9:9" ht="21.75">
      <c r="I5677" s="1" ph="1"/>
    </row>
    <row r="5678" spans="9:9" ht="21.75">
      <c r="I5678" s="1" ph="1"/>
    </row>
    <row r="5679" spans="9:9" ht="21.75">
      <c r="I5679" s="1" ph="1"/>
    </row>
    <row r="5680" spans="9:9" ht="21.75">
      <c r="I5680" s="1" ph="1"/>
    </row>
    <row r="5681" spans="9:9" ht="21.75">
      <c r="I5681" s="1" ph="1"/>
    </row>
    <row r="5682" spans="9:9" ht="21.75">
      <c r="I5682" s="1" ph="1"/>
    </row>
    <row r="5683" spans="9:9" ht="21.75">
      <c r="I5683" s="1" ph="1"/>
    </row>
    <row r="5684" spans="9:9" ht="21.75">
      <c r="I5684" s="1" ph="1"/>
    </row>
    <row r="5685" spans="9:9" ht="21.75">
      <c r="I5685" s="1" ph="1"/>
    </row>
    <row r="5686" spans="9:9" ht="21.75">
      <c r="I5686" s="1" ph="1"/>
    </row>
    <row r="5687" spans="9:9" ht="21.75">
      <c r="I5687" s="1" ph="1"/>
    </row>
    <row r="5688" spans="9:9" ht="21.75">
      <c r="I5688" s="1" ph="1"/>
    </row>
    <row r="5689" spans="9:9" ht="21.75">
      <c r="I5689" s="1" ph="1"/>
    </row>
    <row r="5690" spans="9:9" ht="21.75">
      <c r="I5690" s="1" ph="1"/>
    </row>
    <row r="5691" spans="9:9" ht="21.75">
      <c r="I5691" s="1" ph="1"/>
    </row>
    <row r="5692" spans="9:9" ht="21.75">
      <c r="I5692" s="1" ph="1"/>
    </row>
    <row r="5693" spans="9:9" ht="21.75">
      <c r="I5693" s="1" ph="1"/>
    </row>
    <row r="5694" spans="9:9" ht="21.75">
      <c r="I5694" s="1" ph="1"/>
    </row>
    <row r="5695" spans="9:9" ht="21.75">
      <c r="I5695" s="1" ph="1"/>
    </row>
    <row r="5696" spans="9:9" ht="21.75">
      <c r="I5696" s="1" ph="1"/>
    </row>
    <row r="5697" spans="9:9" ht="21.75">
      <c r="I5697" s="1" ph="1"/>
    </row>
    <row r="5698" spans="9:9" ht="21.75">
      <c r="I5698" s="1" ph="1"/>
    </row>
    <row r="5699" spans="9:9" ht="21.75">
      <c r="I5699" s="1" ph="1"/>
    </row>
    <row r="5700" spans="9:9" ht="21.75">
      <c r="I5700" s="1" ph="1"/>
    </row>
    <row r="5701" spans="9:9" ht="21.75">
      <c r="I5701" s="1" ph="1"/>
    </row>
    <row r="5702" spans="9:9" ht="21.75">
      <c r="I5702" s="1" ph="1"/>
    </row>
    <row r="5703" spans="9:9" ht="21.75">
      <c r="I5703" s="1" ph="1"/>
    </row>
    <row r="5704" spans="9:9" ht="21.75">
      <c r="I5704" s="1" ph="1"/>
    </row>
    <row r="5705" spans="9:9" ht="21.75">
      <c r="I5705" s="1" ph="1"/>
    </row>
    <row r="5706" spans="9:9" ht="21.75">
      <c r="I5706" s="1" ph="1"/>
    </row>
    <row r="5707" spans="9:9" ht="21.75">
      <c r="I5707" s="1" ph="1"/>
    </row>
    <row r="5708" spans="9:9" ht="21.75">
      <c r="I5708" s="1" ph="1"/>
    </row>
    <row r="5709" spans="9:9" ht="21.75">
      <c r="I5709" s="1" ph="1"/>
    </row>
    <row r="5710" spans="9:9" ht="21.75">
      <c r="I5710" s="1" ph="1"/>
    </row>
    <row r="5711" spans="9:9" ht="21.75">
      <c r="I5711" s="1" ph="1"/>
    </row>
    <row r="5712" spans="9:9" ht="21.75">
      <c r="I5712" s="1" ph="1"/>
    </row>
    <row r="5713" spans="9:9" ht="21.75">
      <c r="I5713" s="1" ph="1"/>
    </row>
    <row r="5714" spans="9:9" ht="21.75">
      <c r="I5714" s="1" ph="1"/>
    </row>
    <row r="5715" spans="9:9" ht="21.75">
      <c r="I5715" s="1" ph="1"/>
    </row>
    <row r="5716" spans="9:9" ht="21.75">
      <c r="I5716" s="1" ph="1"/>
    </row>
    <row r="5717" spans="9:9" ht="21.75">
      <c r="I5717" s="1" ph="1"/>
    </row>
    <row r="5718" spans="9:9" ht="21.75">
      <c r="I5718" s="1" ph="1"/>
    </row>
    <row r="5719" spans="9:9" ht="21.75">
      <c r="I5719" s="1" ph="1"/>
    </row>
    <row r="5720" spans="9:9" ht="21.75">
      <c r="I5720" s="1" ph="1"/>
    </row>
    <row r="5721" spans="9:9" ht="21.75">
      <c r="I5721" s="1" ph="1"/>
    </row>
    <row r="5722" spans="9:9" ht="21.75">
      <c r="I5722" s="1" ph="1"/>
    </row>
    <row r="5723" spans="9:9" ht="21.75">
      <c r="I5723" s="1" ph="1"/>
    </row>
    <row r="5724" spans="9:9" ht="21.75">
      <c r="I5724" s="1" ph="1"/>
    </row>
    <row r="5725" spans="9:9" ht="21.75">
      <c r="I5725" s="1" ph="1"/>
    </row>
    <row r="5726" spans="9:9" ht="21.75">
      <c r="I5726" s="1" ph="1"/>
    </row>
    <row r="5727" spans="9:9" ht="21.75">
      <c r="I5727" s="1" ph="1"/>
    </row>
    <row r="5728" spans="9:9" ht="21.75">
      <c r="I5728" s="1" ph="1"/>
    </row>
    <row r="5729" spans="9:9" ht="21.75">
      <c r="I5729" s="1" ph="1"/>
    </row>
    <row r="5730" spans="9:9" ht="21.75">
      <c r="I5730" s="1" ph="1"/>
    </row>
    <row r="5731" spans="9:9" ht="21.75">
      <c r="I5731" s="1" ph="1"/>
    </row>
    <row r="5732" spans="9:9" ht="21.75">
      <c r="I5732" s="1" ph="1"/>
    </row>
    <row r="5733" spans="9:9" ht="21.75">
      <c r="I5733" s="1" ph="1"/>
    </row>
    <row r="5734" spans="9:9" ht="21.75">
      <c r="I5734" s="1" ph="1"/>
    </row>
    <row r="5735" spans="9:9" ht="21.75">
      <c r="I5735" s="1" ph="1"/>
    </row>
    <row r="5736" spans="9:9" ht="21.75">
      <c r="I5736" s="1" ph="1"/>
    </row>
    <row r="5737" spans="9:9" ht="21.75">
      <c r="I5737" s="1" ph="1"/>
    </row>
    <row r="5738" spans="9:9" ht="21.75">
      <c r="I5738" s="1" ph="1"/>
    </row>
    <row r="5739" spans="9:9" ht="21.75">
      <c r="I5739" s="1" ph="1"/>
    </row>
    <row r="5740" spans="9:9" ht="21.75">
      <c r="I5740" s="1" ph="1"/>
    </row>
    <row r="5741" spans="9:9" ht="21.75">
      <c r="I5741" s="1" ph="1"/>
    </row>
    <row r="5742" spans="9:9" ht="21.75">
      <c r="I5742" s="1" ph="1"/>
    </row>
    <row r="5743" spans="9:9" ht="21.75">
      <c r="I5743" s="1" ph="1"/>
    </row>
    <row r="5744" spans="9:9" ht="21.75">
      <c r="I5744" s="1" ph="1"/>
    </row>
    <row r="5745" spans="9:9" ht="21.75">
      <c r="I5745" s="1" ph="1"/>
    </row>
    <row r="5746" spans="9:9" ht="21.75">
      <c r="I5746" s="1" ph="1"/>
    </row>
    <row r="5747" spans="9:9" ht="21.75">
      <c r="I5747" s="1" ph="1"/>
    </row>
    <row r="5748" spans="9:9" ht="21.75">
      <c r="I5748" s="1" ph="1"/>
    </row>
    <row r="5749" spans="9:9" ht="21.75">
      <c r="I5749" s="1" ph="1"/>
    </row>
    <row r="5750" spans="9:9" ht="21.75">
      <c r="I5750" s="1" ph="1"/>
    </row>
    <row r="5751" spans="9:9" ht="21.75">
      <c r="I5751" s="1" ph="1"/>
    </row>
    <row r="5752" spans="9:9" ht="21.75">
      <c r="I5752" s="1" ph="1"/>
    </row>
    <row r="5753" spans="9:9" ht="21.75">
      <c r="I5753" s="1" ph="1"/>
    </row>
    <row r="5754" spans="9:9" ht="21.75">
      <c r="I5754" s="1" ph="1"/>
    </row>
    <row r="5755" spans="9:9" ht="21.75">
      <c r="I5755" s="1" ph="1"/>
    </row>
    <row r="5756" spans="9:9" ht="21.75">
      <c r="I5756" s="1" ph="1"/>
    </row>
    <row r="5757" spans="9:9" ht="21.75">
      <c r="I5757" s="1" ph="1"/>
    </row>
    <row r="5758" spans="9:9" ht="21.75">
      <c r="I5758" s="1" ph="1"/>
    </row>
    <row r="5759" spans="9:9" ht="21.75">
      <c r="I5759" s="1" ph="1"/>
    </row>
    <row r="5760" spans="9:9" ht="21.75">
      <c r="I5760" s="1" ph="1"/>
    </row>
    <row r="5761" spans="9:9" ht="21.75">
      <c r="I5761" s="1" ph="1"/>
    </row>
    <row r="5762" spans="9:9" ht="21.75">
      <c r="I5762" s="1" ph="1"/>
    </row>
    <row r="5763" spans="9:9" ht="21.75">
      <c r="I5763" s="1" ph="1"/>
    </row>
    <row r="5764" spans="9:9" ht="21.75">
      <c r="I5764" s="1" ph="1"/>
    </row>
    <row r="5765" spans="9:9" ht="21.75">
      <c r="I5765" s="1" ph="1"/>
    </row>
    <row r="5766" spans="9:9" ht="21.75">
      <c r="I5766" s="1" ph="1"/>
    </row>
    <row r="5767" spans="9:9" ht="21.75">
      <c r="I5767" s="1" ph="1"/>
    </row>
    <row r="5768" spans="9:9" ht="21.75">
      <c r="I5768" s="1" ph="1"/>
    </row>
    <row r="5769" spans="9:9" ht="21.75">
      <c r="I5769" s="1" ph="1"/>
    </row>
    <row r="5770" spans="9:9" ht="21.75">
      <c r="I5770" s="1" ph="1"/>
    </row>
    <row r="5771" spans="9:9" ht="21.75">
      <c r="I5771" s="1" ph="1"/>
    </row>
    <row r="5772" spans="9:9" ht="21.75">
      <c r="I5772" s="1" ph="1"/>
    </row>
    <row r="5773" spans="9:9" ht="21.75">
      <c r="I5773" s="1" ph="1"/>
    </row>
    <row r="5774" spans="9:9" ht="21.75">
      <c r="I5774" s="1" ph="1"/>
    </row>
    <row r="5775" spans="9:9" ht="21.75">
      <c r="I5775" s="1" ph="1"/>
    </row>
    <row r="5776" spans="9:9" ht="21.75">
      <c r="I5776" s="1" ph="1"/>
    </row>
    <row r="5777" spans="9:9" ht="21.75">
      <c r="I5777" s="1" ph="1"/>
    </row>
    <row r="5778" spans="9:9" ht="21.75">
      <c r="I5778" s="1" ph="1"/>
    </row>
    <row r="5779" spans="9:9" ht="21.75">
      <c r="I5779" s="1" ph="1"/>
    </row>
    <row r="5780" spans="9:9" ht="21.75">
      <c r="I5780" s="1" ph="1"/>
    </row>
    <row r="5781" spans="9:9" ht="21.75">
      <c r="I5781" s="1" ph="1"/>
    </row>
    <row r="5782" spans="9:9" ht="21.75">
      <c r="I5782" s="1" ph="1"/>
    </row>
    <row r="5783" spans="9:9" ht="21.75">
      <c r="I5783" s="1" ph="1"/>
    </row>
    <row r="5784" spans="9:9" ht="21.75">
      <c r="I5784" s="1" ph="1"/>
    </row>
    <row r="5785" spans="9:9" ht="21.75">
      <c r="I5785" s="1" ph="1"/>
    </row>
    <row r="5786" spans="9:9" ht="21.75">
      <c r="I5786" s="1" ph="1"/>
    </row>
    <row r="5787" spans="9:9" ht="21.75">
      <c r="I5787" s="1" ph="1"/>
    </row>
    <row r="5788" spans="9:9" ht="21.75">
      <c r="I5788" s="1" ph="1"/>
    </row>
    <row r="5789" spans="9:9" ht="21.75">
      <c r="I5789" s="1" ph="1"/>
    </row>
    <row r="5790" spans="9:9" ht="21.75">
      <c r="I5790" s="1" ph="1"/>
    </row>
    <row r="5791" spans="9:9" ht="21.75">
      <c r="I5791" s="1" ph="1"/>
    </row>
    <row r="5792" spans="9:9" ht="21.75">
      <c r="I5792" s="1" ph="1"/>
    </row>
    <row r="5793" spans="9:9" ht="21.75">
      <c r="I5793" s="1" ph="1"/>
    </row>
    <row r="5794" spans="9:9" ht="21.75">
      <c r="I5794" s="1" ph="1"/>
    </row>
    <row r="5795" spans="9:9" ht="21.75">
      <c r="I5795" s="1" ph="1"/>
    </row>
    <row r="5796" spans="9:9" ht="21.75">
      <c r="I5796" s="1" ph="1"/>
    </row>
    <row r="5797" spans="9:9" ht="21.75">
      <c r="I5797" s="1" ph="1"/>
    </row>
    <row r="5798" spans="9:9" ht="21.75">
      <c r="I5798" s="1" ph="1"/>
    </row>
    <row r="5799" spans="9:9" ht="21.75">
      <c r="I5799" s="1" ph="1"/>
    </row>
    <row r="5800" spans="9:9" ht="21.75">
      <c r="I5800" s="1" ph="1"/>
    </row>
    <row r="5801" spans="9:9" ht="21.75">
      <c r="I5801" s="1" ph="1"/>
    </row>
    <row r="5802" spans="9:9" ht="21.75">
      <c r="I5802" s="1" ph="1"/>
    </row>
    <row r="5803" spans="9:9" ht="21.75">
      <c r="I5803" s="1" ph="1"/>
    </row>
    <row r="5804" spans="9:9" ht="21.75">
      <c r="I5804" s="1" ph="1"/>
    </row>
    <row r="5805" spans="9:9" ht="21.75">
      <c r="I5805" s="1" ph="1"/>
    </row>
    <row r="5806" spans="9:9" ht="21.75">
      <c r="I5806" s="1" ph="1"/>
    </row>
    <row r="5807" spans="9:9" ht="21.75">
      <c r="I5807" s="1" ph="1"/>
    </row>
    <row r="5808" spans="9:9" ht="21.75">
      <c r="I5808" s="1" ph="1"/>
    </row>
    <row r="5809" spans="9:9" ht="21.75">
      <c r="I5809" s="1" ph="1"/>
    </row>
    <row r="5810" spans="9:9" ht="21.75">
      <c r="I5810" s="1" ph="1"/>
    </row>
    <row r="5811" spans="9:9" ht="21.75">
      <c r="I5811" s="1" ph="1"/>
    </row>
    <row r="5812" spans="9:9" ht="21.75">
      <c r="I5812" s="1" ph="1"/>
    </row>
    <row r="5813" spans="9:9" ht="21.75">
      <c r="I5813" s="1" ph="1"/>
    </row>
    <row r="5814" spans="9:9" ht="21.75">
      <c r="I5814" s="1" ph="1"/>
    </row>
    <row r="5815" spans="9:9" ht="21.75">
      <c r="I5815" s="1" ph="1"/>
    </row>
    <row r="5816" spans="9:9" ht="21.75">
      <c r="I5816" s="1" ph="1"/>
    </row>
    <row r="5817" spans="9:9" ht="21.75">
      <c r="I5817" s="1" ph="1"/>
    </row>
    <row r="5818" spans="9:9" ht="21.75">
      <c r="I5818" s="1" ph="1"/>
    </row>
    <row r="5819" spans="9:9" ht="21.75">
      <c r="I5819" s="1" ph="1"/>
    </row>
    <row r="5820" spans="9:9" ht="21.75">
      <c r="I5820" s="1" ph="1"/>
    </row>
    <row r="5821" spans="9:9" ht="21.75">
      <c r="I5821" s="1" ph="1"/>
    </row>
    <row r="5822" spans="9:9" ht="21.75">
      <c r="I5822" s="1" ph="1"/>
    </row>
    <row r="5823" spans="9:9" ht="21.75">
      <c r="I5823" s="1" ph="1"/>
    </row>
    <row r="5824" spans="9:9" ht="21.75">
      <c r="I5824" s="1" ph="1"/>
    </row>
    <row r="5825" spans="9:9" ht="21.75">
      <c r="I5825" s="1" ph="1"/>
    </row>
    <row r="5826" spans="9:9" ht="21.75">
      <c r="I5826" s="1" ph="1"/>
    </row>
    <row r="5827" spans="9:9" ht="21.75">
      <c r="I5827" s="1" ph="1"/>
    </row>
    <row r="5828" spans="9:9" ht="21.75">
      <c r="I5828" s="1" ph="1"/>
    </row>
  </sheetData>
  <autoFilter ref="B1:W4548" xr:uid="{00000000-0001-0000-0000-000000000000}"/>
  <phoneticPr fontId="2"/>
  <pageMargins left="0.39370078740157483" right="0" top="0.59055118110236227" bottom="0" header="0.51181102362204722" footer="0.51181102362204722"/>
  <pageSetup paperSize="9" scale="10" orientation="portrait" r:id="rId1"/>
  <headerFooter alignWithMargins="0"/>
  <rowBreaks count="3" manualBreakCount="3">
    <brk id="1665" max="16383" man="1"/>
    <brk id="2196" max="16383" man="1"/>
    <brk id="2743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84"/>
  <sheetViews>
    <sheetView topLeftCell="A118" zoomScale="85" zoomScaleNormal="85" workbookViewId="0">
      <selection activeCell="A159" sqref="A159:XFD159"/>
    </sheetView>
  </sheetViews>
  <sheetFormatPr defaultColWidth="9" defaultRowHeight="15"/>
  <cols>
    <col min="1" max="1" width="13.125" style="1422" bestFit="1" customWidth="1"/>
    <col min="2" max="2" width="9" style="1422"/>
    <col min="3" max="3" width="58" style="1422" bestFit="1" customWidth="1"/>
    <col min="4" max="4" width="10" style="1422" bestFit="1" customWidth="1"/>
    <col min="5" max="5" width="45.5" style="1422" bestFit="1" customWidth="1"/>
    <col min="6" max="6" width="57.75" style="1422" bestFit="1" customWidth="1"/>
    <col min="7" max="7" width="44.75" style="1422" bestFit="1" customWidth="1"/>
    <col min="8" max="8" width="29.5" style="1422" bestFit="1" customWidth="1"/>
    <col min="9" max="9" width="24.5" style="1422" bestFit="1" customWidth="1"/>
    <col min="10" max="10" width="21.125" style="1422" bestFit="1" customWidth="1"/>
    <col min="11" max="16384" width="9" style="1422"/>
  </cols>
  <sheetData>
    <row r="1" spans="1:10" ht="18.75">
      <c r="A1" s="1425" t="s">
        <v>4481</v>
      </c>
      <c r="B1" s="1425" t="s">
        <v>4482</v>
      </c>
      <c r="C1" s="1426" t="s">
        <v>4487</v>
      </c>
      <c r="D1" s="1422" t="s">
        <v>4216</v>
      </c>
      <c r="E1" s="1422" t="s">
        <v>4217</v>
      </c>
      <c r="F1" s="1422" t="s">
        <v>4218</v>
      </c>
      <c r="G1" s="1422" t="s">
        <v>4219</v>
      </c>
      <c r="H1" s="1422" t="s">
        <v>4220</v>
      </c>
      <c r="I1" s="1422" t="s">
        <v>4224</v>
      </c>
      <c r="J1" s="1422" t="s">
        <v>5380</v>
      </c>
    </row>
    <row r="2" spans="1:10">
      <c r="A2" s="1422">
        <v>6001</v>
      </c>
      <c r="C2" s="1422" t="s">
        <v>3853</v>
      </c>
      <c r="D2" s="1422">
        <v>10012</v>
      </c>
      <c r="E2" s="1422" t="s">
        <v>3854</v>
      </c>
      <c r="F2" s="1422" t="s">
        <v>4225</v>
      </c>
      <c r="G2" s="1422" t="s">
        <v>3858</v>
      </c>
    </row>
    <row r="3" spans="1:10">
      <c r="A3" s="1422">
        <v>6002</v>
      </c>
      <c r="C3" s="1422" t="s">
        <v>4483</v>
      </c>
      <c r="E3" s="1422" t="s">
        <v>3855</v>
      </c>
      <c r="F3" s="1422" t="s">
        <v>4226</v>
      </c>
      <c r="G3" s="1422" t="s">
        <v>2218</v>
      </c>
      <c r="H3" s="1422" t="s">
        <v>5708</v>
      </c>
    </row>
    <row r="4" spans="1:10">
      <c r="A4" s="1422" t="s">
        <v>4343</v>
      </c>
      <c r="C4" s="1422" t="s">
        <v>4344</v>
      </c>
      <c r="D4" s="1422">
        <v>400025</v>
      </c>
      <c r="E4" s="1422" t="s">
        <v>4345</v>
      </c>
      <c r="F4" s="1422" t="s">
        <v>4455</v>
      </c>
      <c r="G4" s="1422" t="s">
        <v>4454</v>
      </c>
      <c r="H4" s="1422" t="s">
        <v>4539</v>
      </c>
    </row>
    <row r="5" spans="1:10">
      <c r="A5" s="1422">
        <v>6005</v>
      </c>
      <c r="C5" s="1422" t="s">
        <v>3856</v>
      </c>
      <c r="D5" s="1422">
        <v>90014</v>
      </c>
      <c r="E5" s="1422" t="s">
        <v>3857</v>
      </c>
      <c r="F5" s="1422" t="s">
        <v>4228</v>
      </c>
      <c r="G5" s="1422" t="s">
        <v>3858</v>
      </c>
      <c r="H5" s="1422" t="s">
        <v>4540</v>
      </c>
      <c r="I5" s="1422" t="s">
        <v>3859</v>
      </c>
    </row>
    <row r="6" spans="1:10">
      <c r="A6" s="1422">
        <v>6006</v>
      </c>
      <c r="C6" s="1422" t="s">
        <v>3860</v>
      </c>
      <c r="D6" s="1422">
        <v>10013</v>
      </c>
      <c r="E6" s="1422" t="s">
        <v>3861</v>
      </c>
      <c r="F6" s="1422" t="s">
        <v>4230</v>
      </c>
      <c r="G6" s="1422" t="s">
        <v>3858</v>
      </c>
      <c r="H6" s="1422" t="s">
        <v>3862</v>
      </c>
    </row>
    <row r="7" spans="1:10">
      <c r="A7" s="1422">
        <v>6007</v>
      </c>
      <c r="C7" s="1422" t="s">
        <v>3863</v>
      </c>
      <c r="D7" s="1422">
        <v>10018</v>
      </c>
      <c r="E7" s="1422" t="s">
        <v>3864</v>
      </c>
      <c r="F7" s="1422" t="s">
        <v>4230</v>
      </c>
      <c r="G7" s="1422" t="s">
        <v>3858</v>
      </c>
      <c r="H7" s="1422" t="s">
        <v>4490</v>
      </c>
      <c r="I7" s="1422" t="s">
        <v>3865</v>
      </c>
    </row>
    <row r="8" spans="1:10">
      <c r="A8" s="1422">
        <v>7020</v>
      </c>
      <c r="C8" s="1422" t="s">
        <v>4086</v>
      </c>
      <c r="D8" s="1422">
        <v>75011</v>
      </c>
      <c r="E8" s="1422" t="s">
        <v>4087</v>
      </c>
      <c r="F8" s="1422" t="s">
        <v>4088</v>
      </c>
      <c r="G8" s="1422" t="s">
        <v>4296</v>
      </c>
      <c r="H8" s="1422" t="s">
        <v>4541</v>
      </c>
      <c r="I8" s="1422" t="s">
        <v>4089</v>
      </c>
    </row>
    <row r="9" spans="1:10">
      <c r="A9" s="1422">
        <v>6008</v>
      </c>
      <c r="C9" s="1422" t="s">
        <v>3866</v>
      </c>
      <c r="D9" s="1422">
        <v>90046</v>
      </c>
      <c r="E9" s="1422" t="s">
        <v>3867</v>
      </c>
      <c r="F9" s="1422" t="s">
        <v>4228</v>
      </c>
      <c r="G9" s="1422" t="s">
        <v>3858</v>
      </c>
      <c r="H9" s="1422" t="s">
        <v>4491</v>
      </c>
      <c r="I9" s="1422" t="s">
        <v>3868</v>
      </c>
    </row>
    <row r="10" spans="1:10">
      <c r="A10" s="1422">
        <v>6009</v>
      </c>
      <c r="C10" s="1422" t="s">
        <v>3869</v>
      </c>
      <c r="D10" s="1422">
        <v>10018</v>
      </c>
      <c r="E10" s="1422" t="s">
        <v>3870</v>
      </c>
      <c r="F10" s="1422" t="s">
        <v>4230</v>
      </c>
      <c r="G10" s="1422" t="s">
        <v>3858</v>
      </c>
      <c r="H10" s="1422" t="s">
        <v>4492</v>
      </c>
      <c r="I10" s="1422" t="s">
        <v>3871</v>
      </c>
    </row>
    <row r="11" spans="1:10">
      <c r="A11" s="1422">
        <v>6011</v>
      </c>
      <c r="C11" s="1422" t="s">
        <v>3872</v>
      </c>
      <c r="D11" s="1422">
        <v>75207</v>
      </c>
      <c r="E11" s="1422" t="s">
        <v>3873</v>
      </c>
      <c r="F11" s="1422" t="s">
        <v>4231</v>
      </c>
      <c r="G11" s="1422" t="s">
        <v>3858</v>
      </c>
      <c r="H11" s="1422" t="s">
        <v>3874</v>
      </c>
    </row>
    <row r="12" spans="1:10">
      <c r="A12" s="1422">
        <v>6012</v>
      </c>
      <c r="C12" s="1422" t="s">
        <v>3875</v>
      </c>
      <c r="D12" s="1422">
        <v>10018</v>
      </c>
      <c r="E12" s="1422" t="s">
        <v>3876</v>
      </c>
      <c r="F12" s="1422" t="s">
        <v>4230</v>
      </c>
      <c r="G12" s="1422" t="s">
        <v>3858</v>
      </c>
      <c r="H12" s="1422" t="s">
        <v>4493</v>
      </c>
      <c r="I12" s="1422" t="s">
        <v>3877</v>
      </c>
    </row>
    <row r="13" spans="1:10">
      <c r="A13" s="1422">
        <v>6014</v>
      </c>
      <c r="C13" s="1422" t="s">
        <v>3878</v>
      </c>
      <c r="D13" s="1422">
        <v>90015</v>
      </c>
      <c r="E13" s="1422" t="s">
        <v>3879</v>
      </c>
      <c r="F13" s="1422" t="s">
        <v>4228</v>
      </c>
      <c r="G13" s="1422" t="s">
        <v>3858</v>
      </c>
      <c r="H13" s="1422" t="s">
        <v>4494</v>
      </c>
      <c r="I13" s="1422" t="s">
        <v>3880</v>
      </c>
    </row>
    <row r="14" spans="1:10">
      <c r="A14" s="1422">
        <v>7023</v>
      </c>
      <c r="C14" s="1422" t="s">
        <v>4090</v>
      </c>
      <c r="D14" s="1422">
        <v>230088</v>
      </c>
      <c r="E14" s="1422" t="s">
        <v>4091</v>
      </c>
      <c r="F14" s="1422" t="s">
        <v>4297</v>
      </c>
      <c r="G14" s="1422" t="s">
        <v>2218</v>
      </c>
      <c r="H14" s="1422" t="s">
        <v>4542</v>
      </c>
      <c r="I14" s="1422" t="s">
        <v>4092</v>
      </c>
    </row>
    <row r="15" spans="1:10">
      <c r="A15" s="1422">
        <v>6015</v>
      </c>
      <c r="C15" s="1422" t="s">
        <v>3881</v>
      </c>
      <c r="D15" s="1422">
        <v>10018</v>
      </c>
      <c r="E15" s="1422" t="s">
        <v>3882</v>
      </c>
      <c r="F15" s="1422" t="s">
        <v>4230</v>
      </c>
      <c r="G15" s="1422" t="s">
        <v>3858</v>
      </c>
      <c r="H15" s="1422" t="s">
        <v>3883</v>
      </c>
    </row>
    <row r="16" spans="1:10">
      <c r="A16" s="1422">
        <v>6020</v>
      </c>
      <c r="C16" s="1422" t="s">
        <v>3884</v>
      </c>
      <c r="D16" s="1422">
        <v>90015</v>
      </c>
      <c r="E16" s="1422" t="s">
        <v>3885</v>
      </c>
      <c r="F16" s="1422" t="s">
        <v>4228</v>
      </c>
      <c r="G16" s="1422" t="s">
        <v>3858</v>
      </c>
      <c r="H16" s="1422" t="s">
        <v>3886</v>
      </c>
    </row>
    <row r="17" spans="1:9">
      <c r="A17" s="1422">
        <v>6021</v>
      </c>
      <c r="C17" s="1422" t="s">
        <v>3887</v>
      </c>
      <c r="E17" s="1422" t="s">
        <v>3888</v>
      </c>
      <c r="F17" s="1422" t="s">
        <v>4227</v>
      </c>
      <c r="G17" s="1422" t="s">
        <v>2218</v>
      </c>
      <c r="H17" s="1422" t="s">
        <v>4495</v>
      </c>
      <c r="I17" s="1422" t="s">
        <v>3890</v>
      </c>
    </row>
    <row r="18" spans="1:9">
      <c r="A18" s="1422">
        <v>7030</v>
      </c>
      <c r="C18" s="1422" t="s">
        <v>4093</v>
      </c>
      <c r="D18" s="1422">
        <v>75002</v>
      </c>
      <c r="E18" s="1422" t="s">
        <v>4094</v>
      </c>
      <c r="F18" s="1422" t="s">
        <v>4088</v>
      </c>
      <c r="G18" s="1422" t="s">
        <v>4296</v>
      </c>
      <c r="H18" s="1422" t="s">
        <v>4543</v>
      </c>
      <c r="I18" s="1422" t="s">
        <v>4095</v>
      </c>
    </row>
    <row r="19" spans="1:9">
      <c r="A19" s="1422">
        <v>7042</v>
      </c>
      <c r="C19" s="1422" t="s">
        <v>4096</v>
      </c>
      <c r="D19" s="1422">
        <v>75116</v>
      </c>
      <c r="E19" s="1422" t="s">
        <v>4097</v>
      </c>
      <c r="F19" s="1422" t="s">
        <v>4088</v>
      </c>
      <c r="G19" s="1422" t="s">
        <v>4296</v>
      </c>
      <c r="H19" s="1422" t="s">
        <v>4544</v>
      </c>
      <c r="I19" s="1422" t="s">
        <v>4098</v>
      </c>
    </row>
    <row r="20" spans="1:9">
      <c r="A20" s="1422">
        <v>6041</v>
      </c>
      <c r="C20" s="1422" t="s">
        <v>3891</v>
      </c>
      <c r="D20" s="1422">
        <v>90058</v>
      </c>
      <c r="E20" s="1422" t="s">
        <v>3892</v>
      </c>
      <c r="F20" s="1422" t="s">
        <v>4232</v>
      </c>
      <c r="G20" s="1422" t="s">
        <v>3858</v>
      </c>
      <c r="H20" s="1422" t="s">
        <v>4496</v>
      </c>
      <c r="I20" s="1422" t="s">
        <v>3893</v>
      </c>
    </row>
    <row r="21" spans="1:9">
      <c r="A21" s="1422">
        <v>6045</v>
      </c>
      <c r="C21" s="1422" t="s">
        <v>3894</v>
      </c>
      <c r="D21" s="1422">
        <v>92663</v>
      </c>
      <c r="E21" s="1422" t="s">
        <v>3895</v>
      </c>
      <c r="F21" s="1422" t="s">
        <v>4233</v>
      </c>
      <c r="G21" s="1422" t="s">
        <v>3858</v>
      </c>
      <c r="H21" s="1422" t="s">
        <v>4497</v>
      </c>
      <c r="I21" s="1422" t="s">
        <v>3896</v>
      </c>
    </row>
    <row r="22" spans="1:9">
      <c r="A22" s="1422">
        <v>6046</v>
      </c>
      <c r="C22" s="1422" t="s">
        <v>3897</v>
      </c>
      <c r="D22" s="1422">
        <v>60647</v>
      </c>
      <c r="E22" s="1422" t="s">
        <v>3898</v>
      </c>
      <c r="F22" s="1422" t="s">
        <v>4234</v>
      </c>
      <c r="G22" s="1422" t="s">
        <v>3858</v>
      </c>
      <c r="H22" s="1422" t="s">
        <v>4498</v>
      </c>
      <c r="I22" s="1422" t="s">
        <v>3899</v>
      </c>
    </row>
    <row r="23" spans="1:9">
      <c r="A23" s="1422">
        <v>7047</v>
      </c>
      <c r="C23" s="1422" t="s">
        <v>4099</v>
      </c>
      <c r="D23" s="1422">
        <v>75002</v>
      </c>
      <c r="E23" s="1422" t="s">
        <v>4100</v>
      </c>
      <c r="F23" s="1422" t="s">
        <v>4088</v>
      </c>
      <c r="G23" s="1422" t="s">
        <v>4296</v>
      </c>
      <c r="H23" s="1422" t="s">
        <v>4545</v>
      </c>
      <c r="I23" s="1422" t="s">
        <v>4101</v>
      </c>
    </row>
    <row r="24" spans="1:9">
      <c r="A24" s="1422">
        <v>6050</v>
      </c>
      <c r="C24" s="1422" t="s">
        <v>3900</v>
      </c>
      <c r="D24" s="1422">
        <v>10013</v>
      </c>
      <c r="E24" s="1422" t="s">
        <v>3901</v>
      </c>
      <c r="F24" s="1422" t="s">
        <v>4230</v>
      </c>
      <c r="G24" s="1422" t="s">
        <v>3858</v>
      </c>
      <c r="H24" s="1422" t="s">
        <v>4499</v>
      </c>
    </row>
    <row r="25" spans="1:9">
      <c r="A25" s="1422">
        <v>7065</v>
      </c>
      <c r="C25" s="1422" t="s">
        <v>4102</v>
      </c>
      <c r="D25" s="1422">
        <v>75116</v>
      </c>
      <c r="E25" s="1422" t="s">
        <v>4103</v>
      </c>
      <c r="F25" s="1422" t="s">
        <v>4088</v>
      </c>
      <c r="G25" s="1422" t="s">
        <v>4296</v>
      </c>
      <c r="H25" s="1422" t="s">
        <v>4546</v>
      </c>
      <c r="I25" s="1422" t="s">
        <v>4104</v>
      </c>
    </row>
    <row r="26" spans="1:9">
      <c r="A26" s="1422">
        <v>7068</v>
      </c>
      <c r="C26" s="1422" t="s">
        <v>4105</v>
      </c>
      <c r="D26" s="1422">
        <v>4004</v>
      </c>
      <c r="E26" s="1422" t="s">
        <v>4106</v>
      </c>
      <c r="F26" s="1422" t="s">
        <v>4107</v>
      </c>
      <c r="G26" s="1422" t="s">
        <v>4298</v>
      </c>
      <c r="H26" s="1422" t="s">
        <v>4547</v>
      </c>
      <c r="I26" s="1422" t="s">
        <v>4108</v>
      </c>
    </row>
    <row r="27" spans="1:9">
      <c r="A27" s="1422" t="s">
        <v>4352</v>
      </c>
      <c r="C27" s="1422" t="s">
        <v>4353</v>
      </c>
      <c r="D27" s="1422">
        <v>10013</v>
      </c>
      <c r="E27" s="1422" t="s">
        <v>4354</v>
      </c>
      <c r="F27" s="1422" t="s">
        <v>4230</v>
      </c>
      <c r="G27" s="1422" t="s">
        <v>3858</v>
      </c>
      <c r="H27" s="1422" t="s">
        <v>4548</v>
      </c>
    </row>
    <row r="28" spans="1:9">
      <c r="A28" s="1422">
        <v>6060</v>
      </c>
      <c r="C28" s="1422" t="s">
        <v>3902</v>
      </c>
      <c r="D28" s="1422">
        <v>90007</v>
      </c>
      <c r="E28" s="1422" t="s">
        <v>3903</v>
      </c>
      <c r="F28" s="1422" t="s">
        <v>4228</v>
      </c>
      <c r="G28" s="1422" t="s">
        <v>3858</v>
      </c>
      <c r="H28" s="1422" t="s">
        <v>4500</v>
      </c>
      <c r="I28" s="1422" t="s">
        <v>3904</v>
      </c>
    </row>
    <row r="29" spans="1:9">
      <c r="A29" s="1422" t="s">
        <v>4372</v>
      </c>
      <c r="C29" s="1422" t="s">
        <v>4373</v>
      </c>
      <c r="D29" s="1422">
        <v>4475309</v>
      </c>
      <c r="E29" s="1422" t="s">
        <v>4374</v>
      </c>
      <c r="F29" s="1422" t="s">
        <v>4461</v>
      </c>
      <c r="G29" s="1422" t="s">
        <v>4462</v>
      </c>
      <c r="H29" s="1422" t="s">
        <v>4549</v>
      </c>
    </row>
    <row r="30" spans="1:9">
      <c r="A30" s="1422" t="s">
        <v>4433</v>
      </c>
      <c r="C30" s="1422" t="s">
        <v>4434</v>
      </c>
      <c r="D30" s="1422">
        <v>10018</v>
      </c>
      <c r="E30" s="1422" t="s">
        <v>4435</v>
      </c>
      <c r="F30" s="1422" t="s">
        <v>4225</v>
      </c>
      <c r="G30" s="1422" t="s">
        <v>3858</v>
      </c>
    </row>
    <row r="31" spans="1:9">
      <c r="A31" s="1422">
        <v>6080</v>
      </c>
      <c r="C31" s="1422" t="s">
        <v>3905</v>
      </c>
      <c r="D31" s="1422">
        <v>10018</v>
      </c>
      <c r="E31" s="1422" t="s">
        <v>3906</v>
      </c>
      <c r="F31" s="1422" t="s">
        <v>4230</v>
      </c>
      <c r="G31" s="1422" t="s">
        <v>3858</v>
      </c>
      <c r="H31" s="1422" t="s">
        <v>3907</v>
      </c>
      <c r="I31" s="1422" t="s">
        <v>3908</v>
      </c>
    </row>
    <row r="32" spans="1:9">
      <c r="A32" s="1422">
        <v>7085</v>
      </c>
      <c r="C32" s="1422" t="s">
        <v>4109</v>
      </c>
      <c r="D32" s="1422" t="s">
        <v>4110</v>
      </c>
      <c r="E32" s="1422" t="s">
        <v>4314</v>
      </c>
      <c r="F32" s="1422" t="s">
        <v>4313</v>
      </c>
      <c r="G32" s="1422" t="s">
        <v>4459</v>
      </c>
      <c r="H32" s="1422" t="s">
        <v>4550</v>
      </c>
      <c r="I32" s="1422" t="s">
        <v>4111</v>
      </c>
    </row>
    <row r="33" spans="1:9">
      <c r="A33" s="1422">
        <v>6085</v>
      </c>
      <c r="C33" s="1422" t="s">
        <v>3909</v>
      </c>
      <c r="D33" s="1422">
        <v>27406</v>
      </c>
      <c r="E33" s="1422" t="s">
        <v>3910</v>
      </c>
      <c r="F33" s="1422" t="s">
        <v>4235</v>
      </c>
      <c r="G33" s="1422" t="s">
        <v>3858</v>
      </c>
      <c r="I33" s="1422" t="s">
        <v>3911</v>
      </c>
    </row>
    <row r="34" spans="1:9">
      <c r="A34" s="1422">
        <v>6088</v>
      </c>
      <c r="C34" s="1422" t="s">
        <v>3912</v>
      </c>
      <c r="D34" s="1422">
        <v>213000</v>
      </c>
      <c r="E34" s="1422" t="s">
        <v>3913</v>
      </c>
      <c r="F34" s="1422" t="s">
        <v>4236</v>
      </c>
      <c r="G34" s="1422" t="s">
        <v>3914</v>
      </c>
      <c r="H34" s="1422" t="s">
        <v>4501</v>
      </c>
      <c r="I34" s="1422" t="s">
        <v>3915</v>
      </c>
    </row>
    <row r="35" spans="1:9">
      <c r="A35" s="1422" t="s">
        <v>4393</v>
      </c>
      <c r="C35" s="1422" t="s">
        <v>4394</v>
      </c>
      <c r="D35" s="1422">
        <v>521000</v>
      </c>
      <c r="E35" s="1422" t="s">
        <v>4395</v>
      </c>
      <c r="F35" s="1422" t="s">
        <v>4468</v>
      </c>
      <c r="G35" s="1422" t="s">
        <v>2218</v>
      </c>
      <c r="H35" s="1422" t="s">
        <v>4513</v>
      </c>
    </row>
    <row r="36" spans="1:9">
      <c r="A36" s="1422">
        <v>6089</v>
      </c>
      <c r="C36" s="1422" t="s">
        <v>3916</v>
      </c>
      <c r="D36" s="1422">
        <v>213200</v>
      </c>
      <c r="E36" s="1422" t="s">
        <v>4237</v>
      </c>
      <c r="F36" s="1422" t="s">
        <v>4236</v>
      </c>
      <c r="G36" s="1422" t="s">
        <v>2218</v>
      </c>
      <c r="H36" s="1422" t="s">
        <v>4533</v>
      </c>
      <c r="I36" s="1422" t="s">
        <v>3917</v>
      </c>
    </row>
    <row r="37" spans="1:9">
      <c r="A37" s="1422" t="s">
        <v>4338</v>
      </c>
      <c r="C37" s="1422" t="s">
        <v>4339</v>
      </c>
      <c r="D37" s="1422">
        <v>518000</v>
      </c>
      <c r="E37" s="1422" t="s">
        <v>4442</v>
      </c>
      <c r="F37" s="1422" t="s">
        <v>4451</v>
      </c>
      <c r="G37" s="1422" t="s">
        <v>2218</v>
      </c>
      <c r="H37" s="1422" t="s">
        <v>4551</v>
      </c>
    </row>
    <row r="38" spans="1:9">
      <c r="A38" s="1422">
        <v>6090</v>
      </c>
      <c r="C38" s="1422" t="s">
        <v>3918</v>
      </c>
      <c r="D38" s="1422">
        <v>311100</v>
      </c>
      <c r="E38" s="1422" t="s">
        <v>3919</v>
      </c>
      <c r="F38" s="1422" t="s">
        <v>4238</v>
      </c>
      <c r="G38" s="1422" t="s">
        <v>2218</v>
      </c>
      <c r="H38" s="1422" t="s">
        <v>4502</v>
      </c>
      <c r="I38" s="1422" t="s">
        <v>3920</v>
      </c>
    </row>
    <row r="39" spans="1:9">
      <c r="A39" s="1422" t="s">
        <v>4430</v>
      </c>
      <c r="C39" s="1422" t="s">
        <v>4431</v>
      </c>
      <c r="E39" s="1422" t="s">
        <v>4432</v>
      </c>
      <c r="F39" s="1422" t="s">
        <v>4477</v>
      </c>
      <c r="G39" s="1422" t="s">
        <v>2218</v>
      </c>
    </row>
    <row r="40" spans="1:9">
      <c r="A40" s="1422">
        <v>6091</v>
      </c>
      <c r="C40" s="1422" t="s">
        <v>3921</v>
      </c>
      <c r="E40" s="1422" t="s">
        <v>3922</v>
      </c>
      <c r="F40" s="1422" t="s">
        <v>3923</v>
      </c>
      <c r="G40" s="1422" t="s">
        <v>2218</v>
      </c>
      <c r="H40" s="1422" t="s">
        <v>4503</v>
      </c>
      <c r="I40" s="1422" t="s">
        <v>3924</v>
      </c>
    </row>
    <row r="41" spans="1:9">
      <c r="A41" s="1422">
        <v>6092</v>
      </c>
      <c r="C41" s="1422" t="s">
        <v>3925</v>
      </c>
      <c r="D41" s="1422">
        <v>90011</v>
      </c>
      <c r="E41" s="1422" t="s">
        <v>3926</v>
      </c>
      <c r="F41" s="1422" t="s">
        <v>4228</v>
      </c>
      <c r="G41" s="1422" t="s">
        <v>3858</v>
      </c>
      <c r="H41" s="1422" t="s">
        <v>4504</v>
      </c>
    </row>
    <row r="42" spans="1:9">
      <c r="A42" s="1422" t="s">
        <v>4404</v>
      </c>
      <c r="C42" s="1422" t="s">
        <v>4405</v>
      </c>
      <c r="D42" s="1422">
        <v>90039</v>
      </c>
      <c r="E42" s="1422" t="s">
        <v>4264</v>
      </c>
      <c r="F42" s="1422" t="s">
        <v>4228</v>
      </c>
      <c r="G42" s="1422" t="s">
        <v>3858</v>
      </c>
      <c r="H42" s="1422" t="s">
        <v>4552</v>
      </c>
    </row>
    <row r="43" spans="1:9">
      <c r="A43" s="1422">
        <v>6098</v>
      </c>
      <c r="C43" s="1422" t="s">
        <v>3927</v>
      </c>
      <c r="D43" s="1422">
        <v>36000</v>
      </c>
      <c r="E43" s="1422" t="s">
        <v>3928</v>
      </c>
      <c r="F43" s="1422" t="s">
        <v>4239</v>
      </c>
      <c r="G43" s="1422" t="s">
        <v>4240</v>
      </c>
      <c r="H43" s="1422" t="s">
        <v>3929</v>
      </c>
    </row>
    <row r="44" spans="1:9">
      <c r="A44" s="1422">
        <v>7101</v>
      </c>
      <c r="C44" s="1422" t="s">
        <v>4112</v>
      </c>
      <c r="D44" s="1422">
        <v>75001</v>
      </c>
      <c r="E44" s="1422" t="s">
        <v>4113</v>
      </c>
      <c r="F44" s="1422" t="s">
        <v>4088</v>
      </c>
      <c r="G44" s="1422" t="s">
        <v>4296</v>
      </c>
      <c r="H44" s="1422" t="s">
        <v>4553</v>
      </c>
      <c r="I44" s="1422" t="s">
        <v>4114</v>
      </c>
    </row>
    <row r="45" spans="1:9">
      <c r="A45" s="1422">
        <v>6102</v>
      </c>
      <c r="C45" s="1422" t="s">
        <v>3930</v>
      </c>
      <c r="D45" s="1422">
        <v>10001</v>
      </c>
      <c r="E45" s="1422" t="s">
        <v>3931</v>
      </c>
      <c r="F45" s="1422" t="s">
        <v>4230</v>
      </c>
      <c r="G45" s="1422" t="s">
        <v>3858</v>
      </c>
      <c r="H45" s="1422" t="s">
        <v>4505</v>
      </c>
      <c r="I45" s="1422" t="s">
        <v>3932</v>
      </c>
    </row>
    <row r="46" spans="1:9">
      <c r="A46" s="1422">
        <v>7105</v>
      </c>
      <c r="C46" s="1422" t="s">
        <v>4115</v>
      </c>
      <c r="D46" s="1422">
        <v>75008</v>
      </c>
      <c r="E46" s="1422" t="s">
        <v>4116</v>
      </c>
      <c r="F46" s="1422" t="s">
        <v>4088</v>
      </c>
      <c r="G46" s="1422" t="s">
        <v>4296</v>
      </c>
      <c r="H46" s="1422" t="s">
        <v>4554</v>
      </c>
      <c r="I46" s="1422" t="s">
        <v>4117</v>
      </c>
    </row>
    <row r="47" spans="1:9">
      <c r="A47" s="1422" t="s">
        <v>4427</v>
      </c>
      <c r="C47" s="1422" t="s">
        <v>4428</v>
      </c>
      <c r="D47" s="1422">
        <v>90277</v>
      </c>
      <c r="E47" s="1422" t="s">
        <v>4429</v>
      </c>
      <c r="F47" s="1422" t="s">
        <v>4480</v>
      </c>
      <c r="G47" s="1422" t="s">
        <v>3858</v>
      </c>
    </row>
    <row r="48" spans="1:9">
      <c r="A48" s="1422" t="s">
        <v>4436</v>
      </c>
      <c r="C48" s="1422" t="s">
        <v>4437</v>
      </c>
      <c r="D48" s="1422">
        <v>400001</v>
      </c>
      <c r="E48" s="1422" t="s">
        <v>4438</v>
      </c>
      <c r="F48" s="1422" t="s">
        <v>4478</v>
      </c>
      <c r="G48" s="1422" t="s">
        <v>4454</v>
      </c>
    </row>
    <row r="49" spans="1:10">
      <c r="A49" s="1422">
        <v>6105</v>
      </c>
      <c r="C49" s="1422" t="s">
        <v>3933</v>
      </c>
      <c r="D49" s="1423" t="s">
        <v>4242</v>
      </c>
      <c r="E49" s="1422" t="s">
        <v>3934</v>
      </c>
      <c r="F49" s="1422" t="s">
        <v>4243</v>
      </c>
      <c r="G49" s="1422" t="s">
        <v>3858</v>
      </c>
    </row>
    <row r="50" spans="1:10">
      <c r="A50" s="1422">
        <v>7115</v>
      </c>
      <c r="C50" s="1422" t="s">
        <v>4118</v>
      </c>
      <c r="D50" s="1422">
        <v>77210</v>
      </c>
      <c r="E50" s="1422" t="s">
        <v>4119</v>
      </c>
      <c r="F50" s="1422" t="s">
        <v>4120</v>
      </c>
      <c r="G50" s="1422" t="s">
        <v>4296</v>
      </c>
      <c r="H50" s="1422" t="s">
        <v>4555</v>
      </c>
      <c r="I50" s="1422" t="s">
        <v>4121</v>
      </c>
    </row>
    <row r="51" spans="1:10">
      <c r="A51" s="1422">
        <v>6120</v>
      </c>
      <c r="C51" s="1422" t="s">
        <v>4221</v>
      </c>
      <c r="D51" s="1422">
        <v>10018</v>
      </c>
      <c r="E51" s="1422" t="s">
        <v>3935</v>
      </c>
      <c r="F51" s="1422" t="s">
        <v>4230</v>
      </c>
      <c r="G51" s="1422" t="s">
        <v>3858</v>
      </c>
      <c r="H51" s="1422" t="s">
        <v>4506</v>
      </c>
      <c r="I51" s="1422" t="s">
        <v>3936</v>
      </c>
    </row>
    <row r="52" spans="1:10">
      <c r="A52" s="1422">
        <v>6121</v>
      </c>
      <c r="C52" s="1422" t="s">
        <v>3937</v>
      </c>
      <c r="D52" s="1422">
        <v>10018</v>
      </c>
      <c r="E52" s="1422" t="s">
        <v>3938</v>
      </c>
      <c r="F52" s="1422" t="s">
        <v>4230</v>
      </c>
      <c r="G52" s="1422" t="s">
        <v>3858</v>
      </c>
      <c r="H52" s="1422" t="s">
        <v>3939</v>
      </c>
    </row>
    <row r="53" spans="1:10">
      <c r="A53" s="1422">
        <v>6125</v>
      </c>
      <c r="C53" s="1422" t="s">
        <v>3940</v>
      </c>
      <c r="D53" s="1422">
        <v>90014</v>
      </c>
      <c r="E53" s="1422" t="s">
        <v>4241</v>
      </c>
      <c r="F53" s="1422" t="s">
        <v>4228</v>
      </c>
      <c r="G53" s="1422" t="s">
        <v>4222</v>
      </c>
      <c r="H53" s="1422" t="s">
        <v>4507</v>
      </c>
      <c r="I53" s="1422" t="s">
        <v>3941</v>
      </c>
    </row>
    <row r="54" spans="1:10">
      <c r="A54" s="1422">
        <v>7125</v>
      </c>
      <c r="C54" s="1422" t="s">
        <v>4122</v>
      </c>
      <c r="D54" s="1422">
        <v>75002</v>
      </c>
      <c r="E54" s="1422" t="s">
        <v>4123</v>
      </c>
      <c r="F54" s="1422" t="s">
        <v>4088</v>
      </c>
      <c r="G54" s="1422" t="s">
        <v>4296</v>
      </c>
      <c r="H54" s="1422" t="s">
        <v>4556</v>
      </c>
      <c r="I54" s="1422" t="s">
        <v>4124</v>
      </c>
    </row>
    <row r="55" spans="1:10">
      <c r="A55" s="1422">
        <v>6127</v>
      </c>
      <c r="C55" s="1422" t="s">
        <v>3942</v>
      </c>
      <c r="D55" s="1422">
        <v>850000</v>
      </c>
      <c r="E55" s="1422" t="s">
        <v>3943</v>
      </c>
      <c r="F55" s="1422" t="s">
        <v>4244</v>
      </c>
      <c r="G55" s="1422" t="s">
        <v>4245</v>
      </c>
      <c r="H55" s="1422" t="s">
        <v>4557</v>
      </c>
      <c r="I55" s="1422" t="s">
        <v>3944</v>
      </c>
    </row>
    <row r="56" spans="1:10">
      <c r="C56" s="1422" t="s">
        <v>5356</v>
      </c>
      <c r="D56" s="1422">
        <v>91803</v>
      </c>
      <c r="E56" s="1422" t="s">
        <v>5357</v>
      </c>
      <c r="F56" s="1422" t="s">
        <v>5358</v>
      </c>
      <c r="G56" s="1422" t="s">
        <v>3858</v>
      </c>
      <c r="I56" s="1422" t="s">
        <v>5359</v>
      </c>
      <c r="J56" s="1422" t="s">
        <v>5360</v>
      </c>
    </row>
    <row r="57" spans="1:10">
      <c r="A57" s="1422">
        <v>7155</v>
      </c>
      <c r="C57" s="1422" t="s">
        <v>4125</v>
      </c>
      <c r="D57" s="1422">
        <v>75017</v>
      </c>
      <c r="E57" s="1422" t="s">
        <v>4126</v>
      </c>
      <c r="F57" s="1422" t="s">
        <v>4088</v>
      </c>
      <c r="G57" s="1422" t="s">
        <v>4296</v>
      </c>
      <c r="H57" s="1422" t="s">
        <v>4558</v>
      </c>
      <c r="I57" s="1422" t="s">
        <v>4127</v>
      </c>
    </row>
    <row r="58" spans="1:10">
      <c r="A58" s="1422" t="s">
        <v>4335</v>
      </c>
      <c r="C58" s="1422" t="s">
        <v>4336</v>
      </c>
      <c r="E58" s="1422" t="s">
        <v>4337</v>
      </c>
      <c r="F58" s="1422" t="s">
        <v>4450</v>
      </c>
      <c r="G58" s="1422" t="s">
        <v>2218</v>
      </c>
      <c r="H58" s="1422" t="s">
        <v>4559</v>
      </c>
    </row>
    <row r="59" spans="1:10">
      <c r="A59" s="1422" t="s">
        <v>4424</v>
      </c>
      <c r="C59" s="1422" t="s">
        <v>4425</v>
      </c>
      <c r="E59" s="1422" t="s">
        <v>4426</v>
      </c>
      <c r="F59" s="1422" t="s">
        <v>4476</v>
      </c>
      <c r="G59" s="1422" t="s">
        <v>2218</v>
      </c>
    </row>
    <row r="60" spans="1:10">
      <c r="A60" s="1422">
        <v>6185</v>
      </c>
      <c r="C60" s="1422" t="s">
        <v>3945</v>
      </c>
      <c r="D60" s="1422">
        <v>91745</v>
      </c>
      <c r="E60" s="1422" t="s">
        <v>3946</v>
      </c>
      <c r="F60" s="1422" t="s">
        <v>4247</v>
      </c>
      <c r="G60" s="1422" t="s">
        <v>3858</v>
      </c>
      <c r="H60" s="1422" t="s">
        <v>4560</v>
      </c>
    </row>
    <row r="61" spans="1:10">
      <c r="A61" s="1422">
        <v>7168</v>
      </c>
      <c r="C61" s="1422" t="s">
        <v>4128</v>
      </c>
      <c r="D61" s="1422">
        <v>92614</v>
      </c>
      <c r="E61" s="1422" t="s">
        <v>4129</v>
      </c>
      <c r="F61" s="1422" t="s">
        <v>4299</v>
      </c>
      <c r="G61" s="1422" t="s">
        <v>4296</v>
      </c>
      <c r="H61" s="1422" t="s">
        <v>4561</v>
      </c>
      <c r="I61" s="1422" t="s">
        <v>4130</v>
      </c>
    </row>
    <row r="62" spans="1:10">
      <c r="A62" s="1422">
        <v>6190</v>
      </c>
      <c r="C62" s="1422" t="s">
        <v>3947</v>
      </c>
      <c r="D62" s="1422">
        <v>90058</v>
      </c>
      <c r="E62" s="1422" t="s">
        <v>3948</v>
      </c>
      <c r="F62" s="1422" t="s">
        <v>4232</v>
      </c>
      <c r="G62" s="1422" t="s">
        <v>3949</v>
      </c>
      <c r="H62" s="1422" t="s">
        <v>4562</v>
      </c>
      <c r="I62" s="1422" t="s">
        <v>3950</v>
      </c>
    </row>
    <row r="63" spans="1:10">
      <c r="A63" s="1422" t="s">
        <v>4369</v>
      </c>
      <c r="C63" s="1422" t="s">
        <v>4370</v>
      </c>
      <c r="E63" s="1422" t="s">
        <v>4371</v>
      </c>
      <c r="F63" s="1422" t="s">
        <v>4460</v>
      </c>
      <c r="G63" s="1422" t="s">
        <v>2218</v>
      </c>
      <c r="H63" s="1422" t="s">
        <v>4563</v>
      </c>
    </row>
    <row r="64" spans="1:10">
      <c r="A64" s="1422">
        <v>7207</v>
      </c>
      <c r="C64" s="1422" t="s">
        <v>4131</v>
      </c>
      <c r="E64" s="1422" t="s">
        <v>4132</v>
      </c>
      <c r="F64" s="1422" t="s">
        <v>3889</v>
      </c>
      <c r="G64" s="1422" t="s">
        <v>2218</v>
      </c>
      <c r="H64" s="1422" t="s">
        <v>4564</v>
      </c>
      <c r="I64" s="1422" t="s">
        <v>4133</v>
      </c>
    </row>
    <row r="65" spans="1:9">
      <c r="A65" s="1422">
        <v>6210</v>
      </c>
      <c r="C65" s="1422" t="s">
        <v>3951</v>
      </c>
      <c r="E65" s="1422" t="s">
        <v>3952</v>
      </c>
      <c r="F65" s="1422" t="s">
        <v>4246</v>
      </c>
      <c r="G65" s="1422" t="s">
        <v>2218</v>
      </c>
      <c r="H65" s="1422" t="s">
        <v>4565</v>
      </c>
      <c r="I65" s="1422" t="s">
        <v>3953</v>
      </c>
    </row>
    <row r="66" spans="1:9">
      <c r="A66" s="1422" t="s">
        <v>4366</v>
      </c>
      <c r="C66" s="1422" t="s">
        <v>4367</v>
      </c>
      <c r="D66" s="1422">
        <v>90016</v>
      </c>
      <c r="E66" s="1422" t="s">
        <v>4368</v>
      </c>
      <c r="F66" s="1422" t="s">
        <v>4228</v>
      </c>
      <c r="G66" s="1422" t="s">
        <v>3858</v>
      </c>
      <c r="H66" s="1422" t="s">
        <v>4566</v>
      </c>
    </row>
    <row r="67" spans="1:9">
      <c r="A67" s="1422">
        <v>6215</v>
      </c>
      <c r="C67" s="1422" t="s">
        <v>3954</v>
      </c>
      <c r="D67" s="1422">
        <v>90292</v>
      </c>
      <c r="E67" s="1424" t="s">
        <v>4223</v>
      </c>
      <c r="F67" s="1424" t="s">
        <v>4248</v>
      </c>
      <c r="G67" s="1422" t="s">
        <v>3858</v>
      </c>
    </row>
    <row r="68" spans="1:9">
      <c r="A68" s="1422" t="s">
        <v>4346</v>
      </c>
      <c r="C68" s="1422" t="s">
        <v>4347</v>
      </c>
      <c r="D68" s="1422">
        <v>70000</v>
      </c>
      <c r="E68" s="1422" t="s">
        <v>4348</v>
      </c>
      <c r="F68" s="1422" t="s">
        <v>4456</v>
      </c>
      <c r="G68" s="1422" t="s">
        <v>4245</v>
      </c>
      <c r="H68" s="1422" t="s">
        <v>4567</v>
      </c>
    </row>
    <row r="69" spans="1:9">
      <c r="A69" s="1422" t="s">
        <v>4386</v>
      </c>
      <c r="C69" s="1422" t="s">
        <v>4387</v>
      </c>
      <c r="D69" s="1422">
        <v>39000</v>
      </c>
      <c r="E69" s="1422" t="s">
        <v>4388</v>
      </c>
      <c r="F69" s="1422" t="s">
        <v>4467</v>
      </c>
      <c r="G69" s="1422" t="s">
        <v>4245</v>
      </c>
      <c r="H69" s="1422" t="s">
        <v>4510</v>
      </c>
    </row>
    <row r="70" spans="1:9">
      <c r="A70" s="1422" t="s">
        <v>4358</v>
      </c>
      <c r="C70" s="1422" t="s">
        <v>4359</v>
      </c>
      <c r="E70" s="1422" t="s">
        <v>4360</v>
      </c>
      <c r="F70" s="1422" t="s">
        <v>4361</v>
      </c>
      <c r="G70" s="1422" t="s">
        <v>2218</v>
      </c>
      <c r="H70" s="1422" t="s">
        <v>4568</v>
      </c>
    </row>
    <row r="71" spans="1:9">
      <c r="A71" s="1422" t="s">
        <v>4416</v>
      </c>
      <c r="C71" s="1422" t="s">
        <v>4417</v>
      </c>
      <c r="D71" s="1422">
        <v>92704</v>
      </c>
      <c r="E71" s="1422" t="s">
        <v>4418</v>
      </c>
      <c r="F71" s="1422" t="s">
        <v>4473</v>
      </c>
      <c r="G71" s="1422" t="s">
        <v>3858</v>
      </c>
      <c r="H71" s="1422" t="s">
        <v>4569</v>
      </c>
    </row>
    <row r="72" spans="1:9">
      <c r="A72" s="1422">
        <v>6255</v>
      </c>
      <c r="C72" s="1422" t="s">
        <v>3955</v>
      </c>
      <c r="D72" s="1422">
        <v>10016</v>
      </c>
      <c r="E72" s="1422" t="s">
        <v>3956</v>
      </c>
      <c r="F72" s="1422" t="s">
        <v>4230</v>
      </c>
      <c r="G72" s="1422" t="s">
        <v>3858</v>
      </c>
      <c r="H72" s="1422" t="s">
        <v>4570</v>
      </c>
      <c r="I72" s="1422" t="s">
        <v>3957</v>
      </c>
    </row>
    <row r="73" spans="1:9">
      <c r="A73" s="1422">
        <v>6256</v>
      </c>
      <c r="C73" s="1422" t="s">
        <v>3958</v>
      </c>
      <c r="D73" s="1422">
        <v>523108</v>
      </c>
      <c r="E73" s="1422" t="s">
        <v>4250</v>
      </c>
      <c r="F73" s="1422" t="s">
        <v>4249</v>
      </c>
      <c r="G73" s="1422" t="s">
        <v>2218</v>
      </c>
      <c r="H73" s="1422" t="s">
        <v>4571</v>
      </c>
    </row>
    <row r="74" spans="1:9">
      <c r="A74" s="1422" t="s">
        <v>4375</v>
      </c>
      <c r="C74" s="1422" t="s">
        <v>4376</v>
      </c>
      <c r="E74" s="1422" t="s">
        <v>4463</v>
      </c>
      <c r="F74" s="1422" t="s">
        <v>4464</v>
      </c>
      <c r="G74" s="1422" t="s">
        <v>2218</v>
      </c>
      <c r="H74" s="1422" t="s">
        <v>4572</v>
      </c>
    </row>
    <row r="75" spans="1:9">
      <c r="A75" s="1422">
        <v>7281</v>
      </c>
      <c r="C75" s="1422" t="s">
        <v>4134</v>
      </c>
      <c r="D75" s="1422">
        <v>311200</v>
      </c>
      <c r="E75" s="1422" t="s">
        <v>4135</v>
      </c>
      <c r="F75" s="1422" t="s">
        <v>4300</v>
      </c>
      <c r="G75" s="1422" t="s">
        <v>2218</v>
      </c>
      <c r="H75" s="1422" t="s">
        <v>4573</v>
      </c>
      <c r="I75" s="1422" t="s">
        <v>4136</v>
      </c>
    </row>
    <row r="76" spans="1:9">
      <c r="C76" s="1422" t="s">
        <v>4608</v>
      </c>
      <c r="E76" s="1422" t="s">
        <v>4609</v>
      </c>
      <c r="F76" s="1422" t="s">
        <v>4610</v>
      </c>
      <c r="G76" s="1422" t="s">
        <v>2218</v>
      </c>
      <c r="H76" s="1422" t="s">
        <v>4611</v>
      </c>
      <c r="I76" s="1422" t="s">
        <v>4612</v>
      </c>
    </row>
    <row r="77" spans="1:9">
      <c r="A77" s="1422">
        <v>6280</v>
      </c>
      <c r="C77" s="1422" t="s">
        <v>3959</v>
      </c>
      <c r="D77" s="1422">
        <v>11206</v>
      </c>
      <c r="E77" s="1422" t="s">
        <v>3960</v>
      </c>
      <c r="F77" s="1422" t="s">
        <v>4251</v>
      </c>
      <c r="G77" s="1422" t="s">
        <v>3858</v>
      </c>
      <c r="I77" s="1422" t="s">
        <v>3961</v>
      </c>
    </row>
    <row r="78" spans="1:9">
      <c r="A78" s="1422">
        <v>6281</v>
      </c>
      <c r="C78" s="1422" t="s">
        <v>3962</v>
      </c>
      <c r="D78" s="1422">
        <v>10950</v>
      </c>
      <c r="E78" s="1422" t="s">
        <v>3963</v>
      </c>
      <c r="F78" s="1422" t="s">
        <v>4252</v>
      </c>
      <c r="G78" s="1422" t="s">
        <v>3858</v>
      </c>
      <c r="H78" s="1422" t="s">
        <v>4534</v>
      </c>
      <c r="I78" s="1422" t="s">
        <v>3964</v>
      </c>
    </row>
    <row r="79" spans="1:9">
      <c r="A79" s="1422">
        <v>6290</v>
      </c>
      <c r="C79" s="1422" t="s">
        <v>3965</v>
      </c>
      <c r="D79" s="1422">
        <v>10012</v>
      </c>
      <c r="E79" s="1422" t="s">
        <v>4253</v>
      </c>
      <c r="F79" s="1422" t="s">
        <v>4229</v>
      </c>
      <c r="G79" s="1422" t="s">
        <v>3858</v>
      </c>
      <c r="H79" s="1422" t="s">
        <v>4535</v>
      </c>
      <c r="I79" s="1422" t="s">
        <v>3966</v>
      </c>
    </row>
    <row r="80" spans="1:9">
      <c r="A80" s="1422" t="s">
        <v>4377</v>
      </c>
      <c r="C80" s="1422" t="s">
        <v>4378</v>
      </c>
      <c r="E80" s="1422" t="s">
        <v>4379</v>
      </c>
      <c r="F80" s="1422" t="s">
        <v>4465</v>
      </c>
      <c r="G80" s="1422" t="s">
        <v>2218</v>
      </c>
      <c r="H80" s="1422" t="s">
        <v>4509</v>
      </c>
    </row>
    <row r="81" spans="1:10">
      <c r="A81" s="1422" t="s">
        <v>4380</v>
      </c>
      <c r="C81" s="1422" t="s">
        <v>4381</v>
      </c>
      <c r="D81" s="1422">
        <v>515041</v>
      </c>
      <c r="E81" s="1422" t="s">
        <v>4382</v>
      </c>
      <c r="F81" s="1422" t="s">
        <v>4466</v>
      </c>
      <c r="G81" s="1422" t="s">
        <v>2218</v>
      </c>
      <c r="H81" s="1422" t="s">
        <v>3992</v>
      </c>
    </row>
    <row r="82" spans="1:10">
      <c r="A82" s="1422" t="s">
        <v>4383</v>
      </c>
      <c r="C82" s="1422" t="s">
        <v>4384</v>
      </c>
      <c r="D82" s="1422">
        <v>10014</v>
      </c>
      <c r="E82" s="1422" t="s">
        <v>4385</v>
      </c>
      <c r="F82" s="1422" t="s">
        <v>4230</v>
      </c>
      <c r="G82" s="1422" t="s">
        <v>3858</v>
      </c>
      <c r="H82" s="1422" t="s">
        <v>4574</v>
      </c>
    </row>
    <row r="83" spans="1:10">
      <c r="A83" s="1422">
        <v>6291</v>
      </c>
      <c r="C83" s="1422" t="s">
        <v>3967</v>
      </c>
      <c r="D83" s="1423" t="s">
        <v>4256</v>
      </c>
      <c r="E83" s="1422" t="s">
        <v>4257</v>
      </c>
      <c r="F83" s="1422" t="s">
        <v>4258</v>
      </c>
      <c r="G83" s="1422" t="s">
        <v>3858</v>
      </c>
      <c r="I83" s="1422" t="s">
        <v>3968</v>
      </c>
    </row>
    <row r="84" spans="1:10">
      <c r="A84" s="1422">
        <v>6292</v>
      </c>
      <c r="C84" s="1422" t="s">
        <v>3969</v>
      </c>
      <c r="D84" s="1423" t="s">
        <v>4254</v>
      </c>
      <c r="E84" s="1422" t="s">
        <v>3970</v>
      </c>
      <c r="F84" s="1422" t="s">
        <v>3971</v>
      </c>
      <c r="G84" s="1422" t="s">
        <v>4255</v>
      </c>
      <c r="H84" s="1422" t="s">
        <v>3972</v>
      </c>
    </row>
    <row r="85" spans="1:10">
      <c r="A85" s="1422">
        <v>7301</v>
      </c>
      <c r="C85" s="1422" t="s">
        <v>4137</v>
      </c>
      <c r="E85" s="1422" t="s">
        <v>4138</v>
      </c>
      <c r="F85" s="1424" t="s">
        <v>4301</v>
      </c>
      <c r="G85" s="1422" t="s">
        <v>2218</v>
      </c>
      <c r="H85" s="1422" t="s">
        <v>4575</v>
      </c>
      <c r="I85" s="1422" t="s">
        <v>4139</v>
      </c>
    </row>
    <row r="86" spans="1:10">
      <c r="A86" s="1422">
        <v>6300</v>
      </c>
      <c r="C86" s="1422" t="s">
        <v>3973</v>
      </c>
      <c r="D86" s="1422">
        <v>10012</v>
      </c>
      <c r="E86" s="1422" t="s">
        <v>3974</v>
      </c>
      <c r="F86" s="1422" t="s">
        <v>4230</v>
      </c>
      <c r="G86" s="1422" t="s">
        <v>3858</v>
      </c>
      <c r="H86" s="1422" t="s">
        <v>4508</v>
      </c>
      <c r="I86" s="1422" t="s">
        <v>3975</v>
      </c>
    </row>
    <row r="87" spans="1:10">
      <c r="A87" s="1422">
        <v>7324</v>
      </c>
      <c r="C87" s="1422" t="s">
        <v>4140</v>
      </c>
      <c r="D87" s="1422">
        <v>314003</v>
      </c>
      <c r="E87" s="1422" t="s">
        <v>4141</v>
      </c>
      <c r="F87" s="1422" t="s">
        <v>4302</v>
      </c>
      <c r="G87" s="1422" t="s">
        <v>2218</v>
      </c>
    </row>
    <row r="88" spans="1:10">
      <c r="A88" s="1422">
        <v>7331</v>
      </c>
      <c r="C88" s="1422" t="s">
        <v>4142</v>
      </c>
      <c r="D88" s="1422">
        <v>49455</v>
      </c>
      <c r="E88" s="1422" t="s">
        <v>4143</v>
      </c>
      <c r="F88" s="1422" t="s">
        <v>4144</v>
      </c>
      <c r="G88" s="1422" t="s">
        <v>4296</v>
      </c>
      <c r="H88" s="1422" t="s">
        <v>4576</v>
      </c>
      <c r="I88" s="1422" t="s">
        <v>4104</v>
      </c>
    </row>
    <row r="89" spans="1:10">
      <c r="A89" s="1422" t="s">
        <v>4389</v>
      </c>
      <c r="C89" s="1422" t="s">
        <v>4390</v>
      </c>
      <c r="D89" s="1422">
        <v>11362</v>
      </c>
      <c r="E89" s="1422" t="s">
        <v>4391</v>
      </c>
      <c r="F89" s="1422" t="s">
        <v>4392</v>
      </c>
      <c r="G89" s="1422" t="s">
        <v>3858</v>
      </c>
      <c r="H89" s="1422" t="s">
        <v>4512</v>
      </c>
    </row>
    <row r="90" spans="1:10">
      <c r="A90" s="1422">
        <v>6360</v>
      </c>
      <c r="C90" s="1422" t="s">
        <v>3976</v>
      </c>
      <c r="D90" s="1422">
        <v>11021</v>
      </c>
      <c r="E90" s="1422" t="s">
        <v>3977</v>
      </c>
      <c r="F90" s="1422" t="s">
        <v>4259</v>
      </c>
      <c r="G90" s="1422" t="s">
        <v>3858</v>
      </c>
      <c r="H90" s="1422" t="s">
        <v>3978</v>
      </c>
    </row>
    <row r="91" spans="1:10">
      <c r="A91" s="1422">
        <v>6361</v>
      </c>
      <c r="C91" s="1422" t="s">
        <v>3979</v>
      </c>
      <c r="D91" s="1422">
        <v>201108</v>
      </c>
      <c r="E91" s="1422" t="s">
        <v>3980</v>
      </c>
      <c r="F91" s="1422" t="s">
        <v>4260</v>
      </c>
      <c r="G91" s="1422" t="s">
        <v>2218</v>
      </c>
      <c r="H91" s="1422" t="s">
        <v>4536</v>
      </c>
      <c r="I91" s="1422" t="s">
        <v>3981</v>
      </c>
    </row>
    <row r="92" spans="1:10">
      <c r="A92" s="1422">
        <v>6365</v>
      </c>
      <c r="C92" s="1422" t="s">
        <v>3982</v>
      </c>
      <c r="D92" s="1422">
        <v>10018</v>
      </c>
      <c r="E92" s="1422" t="s">
        <v>3983</v>
      </c>
      <c r="F92" s="1422" t="s">
        <v>4230</v>
      </c>
      <c r="G92" s="1422" t="s">
        <v>3858</v>
      </c>
      <c r="H92" s="1422" t="s">
        <v>4537</v>
      </c>
    </row>
    <row r="93" spans="1:10">
      <c r="A93" s="1422">
        <v>6390</v>
      </c>
      <c r="C93" s="1422" t="s">
        <v>3985</v>
      </c>
      <c r="D93" s="1422">
        <v>90025</v>
      </c>
      <c r="E93" s="1422" t="s">
        <v>3986</v>
      </c>
      <c r="F93" s="1422" t="s">
        <v>4228</v>
      </c>
      <c r="G93" s="1422" t="s">
        <v>3858</v>
      </c>
      <c r="H93" s="1422" t="s">
        <v>4572</v>
      </c>
      <c r="I93" s="1422" t="s">
        <v>3987</v>
      </c>
    </row>
    <row r="94" spans="1:10">
      <c r="A94" s="1422" t="s">
        <v>4355</v>
      </c>
      <c r="C94" s="1422" t="s">
        <v>4356</v>
      </c>
      <c r="D94" s="1422">
        <v>90021</v>
      </c>
      <c r="E94" s="1422" t="s">
        <v>4357</v>
      </c>
      <c r="F94" s="1422" t="s">
        <v>4228</v>
      </c>
      <c r="G94" s="1422" t="s">
        <v>3858</v>
      </c>
      <c r="H94" s="1422" t="s">
        <v>4503</v>
      </c>
    </row>
    <row r="95" spans="1:10">
      <c r="A95" s="1422">
        <v>6380</v>
      </c>
      <c r="C95" s="1422" t="s">
        <v>3984</v>
      </c>
      <c r="D95" s="1422">
        <v>90014</v>
      </c>
      <c r="E95" s="1422" t="s">
        <v>5465</v>
      </c>
      <c r="F95" s="1422" t="s">
        <v>4228</v>
      </c>
      <c r="G95" s="1422" t="s">
        <v>3949</v>
      </c>
      <c r="H95" s="1422" t="s">
        <v>5466</v>
      </c>
      <c r="I95" s="1422" t="s">
        <v>5467</v>
      </c>
      <c r="J95" s="1422" t="s">
        <v>5569</v>
      </c>
    </row>
    <row r="96" spans="1:10">
      <c r="C96" s="1422" t="s">
        <v>4604</v>
      </c>
      <c r="D96" s="1422">
        <v>90069</v>
      </c>
      <c r="E96" s="1422" t="s">
        <v>4605</v>
      </c>
      <c r="F96" s="1422" t="s">
        <v>4606</v>
      </c>
      <c r="G96" s="1422" t="s">
        <v>3858</v>
      </c>
      <c r="H96" s="1422" t="s">
        <v>4607</v>
      </c>
    </row>
    <row r="97" spans="1:9">
      <c r="A97" s="1422">
        <v>7381</v>
      </c>
      <c r="C97" s="1422" t="s">
        <v>4145</v>
      </c>
      <c r="D97" s="1422">
        <v>310051</v>
      </c>
      <c r="E97" s="1422" t="s">
        <v>4146</v>
      </c>
      <c r="F97" s="1422" t="s">
        <v>4147</v>
      </c>
      <c r="G97" s="1422" t="s">
        <v>2218</v>
      </c>
      <c r="H97" s="1422" t="s">
        <v>4577</v>
      </c>
      <c r="I97" s="1422" t="s">
        <v>4148</v>
      </c>
    </row>
    <row r="98" spans="1:9">
      <c r="A98" s="1422">
        <v>6401</v>
      </c>
      <c r="C98" s="1422" t="s">
        <v>3988</v>
      </c>
      <c r="D98" s="1422">
        <v>90023</v>
      </c>
      <c r="E98" s="1422" t="s">
        <v>3989</v>
      </c>
      <c r="F98" s="1422" t="s">
        <v>4228</v>
      </c>
      <c r="G98" s="1422" t="s">
        <v>3858</v>
      </c>
      <c r="H98" s="1422" t="s">
        <v>4509</v>
      </c>
    </row>
    <row r="99" spans="1:9">
      <c r="A99" s="1422" t="s">
        <v>4396</v>
      </c>
      <c r="C99" s="1422" t="s">
        <v>4397</v>
      </c>
      <c r="D99" s="1422">
        <v>90023</v>
      </c>
      <c r="E99" s="1422" t="s">
        <v>4471</v>
      </c>
      <c r="F99" s="1422" t="s">
        <v>4228</v>
      </c>
      <c r="G99" s="1422" t="s">
        <v>3858</v>
      </c>
      <c r="H99" s="1422" t="s">
        <v>4515</v>
      </c>
    </row>
    <row r="100" spans="1:9">
      <c r="A100" s="1422">
        <v>6410</v>
      </c>
      <c r="C100" s="1422" t="s">
        <v>3990</v>
      </c>
      <c r="D100" s="1422">
        <v>90048</v>
      </c>
      <c r="E100" s="1422" t="s">
        <v>3991</v>
      </c>
      <c r="F100" s="1422" t="s">
        <v>4228</v>
      </c>
      <c r="G100" s="1422" t="s">
        <v>3858</v>
      </c>
      <c r="H100" s="1422" t="s">
        <v>3992</v>
      </c>
    </row>
    <row r="101" spans="1:9">
      <c r="A101" s="1422">
        <v>6425</v>
      </c>
      <c r="C101" s="1422" t="s">
        <v>3993</v>
      </c>
      <c r="D101" s="1422">
        <v>91604</v>
      </c>
      <c r="E101" s="1422" t="s">
        <v>3994</v>
      </c>
      <c r="F101" s="1422" t="s">
        <v>4261</v>
      </c>
      <c r="G101" s="1422" t="s">
        <v>3858</v>
      </c>
      <c r="I101" s="1422" t="s">
        <v>3995</v>
      </c>
    </row>
    <row r="102" spans="1:9">
      <c r="A102" s="1422" t="s">
        <v>4328</v>
      </c>
      <c r="C102" s="1422" t="s">
        <v>4329</v>
      </c>
      <c r="D102" s="1422">
        <v>26220</v>
      </c>
      <c r="E102" s="1422" t="s">
        <v>4330</v>
      </c>
      <c r="F102" s="1422" t="s">
        <v>4331</v>
      </c>
      <c r="G102" s="1422" t="s">
        <v>4447</v>
      </c>
    </row>
    <row r="103" spans="1:9">
      <c r="A103" s="1422">
        <v>6440</v>
      </c>
      <c r="C103" s="1422" t="s">
        <v>3996</v>
      </c>
      <c r="D103" s="1422">
        <v>90040</v>
      </c>
      <c r="E103" s="1422" t="s">
        <v>4262</v>
      </c>
      <c r="F103" s="1422" t="s">
        <v>4263</v>
      </c>
      <c r="G103" s="1422" t="s">
        <v>3858</v>
      </c>
      <c r="H103" s="1422" t="s">
        <v>4510</v>
      </c>
      <c r="I103" s="1422" t="s">
        <v>3997</v>
      </c>
    </row>
    <row r="104" spans="1:9">
      <c r="A104" s="1422">
        <v>6445</v>
      </c>
      <c r="C104" s="1422" t="s">
        <v>3998</v>
      </c>
      <c r="D104" s="1422">
        <v>90014</v>
      </c>
      <c r="E104" s="1422" t="s">
        <v>3999</v>
      </c>
      <c r="F104" s="1422" t="s">
        <v>4228</v>
      </c>
      <c r="G104" s="1422" t="s">
        <v>3858</v>
      </c>
      <c r="H104" s="1422" t="s">
        <v>4511</v>
      </c>
      <c r="I104" s="1422" t="s">
        <v>4000</v>
      </c>
    </row>
    <row r="105" spans="1:9">
      <c r="A105" s="1422">
        <v>7461</v>
      </c>
      <c r="C105" s="1422" t="s">
        <v>4149</v>
      </c>
      <c r="D105" s="1422">
        <v>85600</v>
      </c>
      <c r="E105" s="1422" t="s">
        <v>4150</v>
      </c>
      <c r="F105" s="1422" t="s">
        <v>4311</v>
      </c>
      <c r="G105" s="1422" t="s">
        <v>4296</v>
      </c>
      <c r="H105" s="1422" t="s">
        <v>4576</v>
      </c>
      <c r="I105" s="1422" t="s">
        <v>4104</v>
      </c>
    </row>
    <row r="106" spans="1:9">
      <c r="A106" s="1422">
        <v>6470</v>
      </c>
      <c r="C106" s="1422" t="s">
        <v>4001</v>
      </c>
      <c r="D106" s="1422">
        <v>90039</v>
      </c>
      <c r="E106" s="1422" t="s">
        <v>4264</v>
      </c>
      <c r="F106" s="1422" t="s">
        <v>4228</v>
      </c>
      <c r="G106" s="1422" t="s">
        <v>3858</v>
      </c>
      <c r="H106" s="1422" t="s">
        <v>4512</v>
      </c>
    </row>
    <row r="107" spans="1:9">
      <c r="A107" s="1422">
        <v>6477</v>
      </c>
      <c r="C107" s="1422" t="s">
        <v>4002</v>
      </c>
      <c r="D107" s="1422">
        <v>90015</v>
      </c>
      <c r="E107" s="1422" t="s">
        <v>4265</v>
      </c>
      <c r="F107" s="1422" t="s">
        <v>4228</v>
      </c>
      <c r="G107" s="1422" t="s">
        <v>3858</v>
      </c>
      <c r="H107" s="1422" t="s">
        <v>4003</v>
      </c>
    </row>
    <row r="108" spans="1:9">
      <c r="A108" s="1422">
        <v>6490</v>
      </c>
      <c r="C108" s="1422" t="s">
        <v>4008</v>
      </c>
      <c r="D108" s="1422">
        <v>90011</v>
      </c>
      <c r="E108" s="1422" t="s">
        <v>4009</v>
      </c>
      <c r="G108" s="1422" t="s">
        <v>3858</v>
      </c>
      <c r="H108" s="1422" t="s">
        <v>4513</v>
      </c>
      <c r="I108" s="1422" t="s">
        <v>4010</v>
      </c>
    </row>
    <row r="109" spans="1:9">
      <c r="A109" s="1422">
        <v>7481</v>
      </c>
      <c r="C109" s="1422" t="s">
        <v>4151</v>
      </c>
      <c r="D109" s="1422">
        <v>92614</v>
      </c>
      <c r="E109" s="1422" t="s">
        <v>4152</v>
      </c>
      <c r="F109" s="1422" t="s">
        <v>4153</v>
      </c>
      <c r="G109" s="1422" t="s">
        <v>4296</v>
      </c>
      <c r="H109" s="1422" t="s">
        <v>4578</v>
      </c>
      <c r="I109" s="1422" t="s">
        <v>4154</v>
      </c>
    </row>
    <row r="110" spans="1:9">
      <c r="A110" s="1422">
        <v>7482</v>
      </c>
      <c r="C110" s="1422" t="s">
        <v>4155</v>
      </c>
      <c r="D110" s="1422">
        <v>75009</v>
      </c>
      <c r="E110" s="1422" t="s">
        <v>4156</v>
      </c>
      <c r="F110" s="1422" t="s">
        <v>4088</v>
      </c>
      <c r="G110" s="1422" t="s">
        <v>4296</v>
      </c>
      <c r="H110" s="1422" t="s">
        <v>4579</v>
      </c>
      <c r="I110" s="1422" t="s">
        <v>4157</v>
      </c>
    </row>
    <row r="111" spans="1:9">
      <c r="A111" s="1422">
        <v>7483</v>
      </c>
      <c r="C111" s="1422" t="s">
        <v>4158</v>
      </c>
      <c r="D111" s="1422">
        <v>75007</v>
      </c>
      <c r="E111" s="1422" t="s">
        <v>4159</v>
      </c>
      <c r="F111" s="1422" t="s">
        <v>4088</v>
      </c>
      <c r="G111" s="1422" t="s">
        <v>4296</v>
      </c>
      <c r="H111" s="1422" t="s">
        <v>4580</v>
      </c>
      <c r="I111" s="1422" t="s">
        <v>4160</v>
      </c>
    </row>
    <row r="112" spans="1:9">
      <c r="A112" s="1422">
        <v>7484</v>
      </c>
      <c r="C112" s="1422" t="s">
        <v>4161</v>
      </c>
      <c r="D112" s="1422">
        <v>75001</v>
      </c>
      <c r="E112" s="1422" t="s">
        <v>4162</v>
      </c>
      <c r="F112" s="1422" t="s">
        <v>4088</v>
      </c>
      <c r="G112" s="1422" t="s">
        <v>4296</v>
      </c>
      <c r="H112" s="1422" t="s">
        <v>4581</v>
      </c>
      <c r="I112" s="1422" t="s">
        <v>4163</v>
      </c>
    </row>
    <row r="113" spans="1:9">
      <c r="A113" s="1422">
        <v>6481</v>
      </c>
      <c r="C113" s="1422" t="s">
        <v>4004</v>
      </c>
      <c r="D113" s="1422">
        <v>10011</v>
      </c>
      <c r="E113" s="1422" t="s">
        <v>4266</v>
      </c>
      <c r="F113" s="1422" t="s">
        <v>4230</v>
      </c>
      <c r="G113" s="1422" t="s">
        <v>3858</v>
      </c>
      <c r="H113" s="1422" t="s">
        <v>4514</v>
      </c>
    </row>
    <row r="114" spans="1:9">
      <c r="A114" s="1422">
        <v>7485</v>
      </c>
      <c r="C114" s="1422" t="s">
        <v>4164</v>
      </c>
      <c r="D114" s="1422">
        <v>200001</v>
      </c>
      <c r="E114" s="1422" t="s">
        <v>4165</v>
      </c>
      <c r="F114" s="1422" t="s">
        <v>4310</v>
      </c>
      <c r="G114" s="1422" t="s">
        <v>2218</v>
      </c>
      <c r="H114" s="1422" t="s">
        <v>4582</v>
      </c>
      <c r="I114" s="1422" t="s">
        <v>4166</v>
      </c>
    </row>
    <row r="115" spans="1:9">
      <c r="A115" s="1422">
        <v>7486</v>
      </c>
      <c r="C115" s="1422" t="s">
        <v>4167</v>
      </c>
      <c r="D115" s="1422">
        <v>75017</v>
      </c>
      <c r="E115" s="1422" t="s">
        <v>4126</v>
      </c>
      <c r="F115" s="1422" t="s">
        <v>4088</v>
      </c>
      <c r="G115" s="1422" t="s">
        <v>4296</v>
      </c>
      <c r="H115" s="1422" t="s">
        <v>4558</v>
      </c>
      <c r="I115" s="1422" t="s">
        <v>4127</v>
      </c>
    </row>
    <row r="116" spans="1:9">
      <c r="A116" s="1422">
        <v>6482</v>
      </c>
      <c r="C116" s="1422" t="s">
        <v>4005</v>
      </c>
      <c r="D116" s="1422">
        <v>90292</v>
      </c>
      <c r="E116" s="1422" t="s">
        <v>4268</v>
      </c>
      <c r="F116" s="1422" t="s">
        <v>4267</v>
      </c>
      <c r="G116" s="1422" t="s">
        <v>3858</v>
      </c>
      <c r="H116" s="1422" t="s">
        <v>4515</v>
      </c>
      <c r="I116" s="1422" t="s">
        <v>4005</v>
      </c>
    </row>
    <row r="117" spans="1:9">
      <c r="A117" s="1422">
        <v>7489</v>
      </c>
      <c r="C117" s="1422" t="s">
        <v>4168</v>
      </c>
      <c r="D117" s="1422">
        <v>11000</v>
      </c>
      <c r="E117" s="1422" t="s">
        <v>4169</v>
      </c>
      <c r="F117" s="1422" t="s">
        <v>4309</v>
      </c>
      <c r="G117" s="1422" t="s">
        <v>4275</v>
      </c>
      <c r="H117" s="1422" t="s">
        <v>4583</v>
      </c>
      <c r="I117" s="1422" t="s">
        <v>4170</v>
      </c>
    </row>
    <row r="118" spans="1:9">
      <c r="A118" s="1422" t="s">
        <v>4326</v>
      </c>
      <c r="C118" s="1422" t="s">
        <v>4168</v>
      </c>
      <c r="D118" s="1422">
        <v>11000</v>
      </c>
      <c r="E118" s="1422" t="s">
        <v>4327</v>
      </c>
      <c r="F118" s="1422" t="s">
        <v>4446</v>
      </c>
      <c r="G118" s="1422" t="s">
        <v>4274</v>
      </c>
      <c r="H118" s="1422" t="s">
        <v>4583</v>
      </c>
    </row>
    <row r="119" spans="1:9">
      <c r="A119" s="1422" t="s">
        <v>4412</v>
      </c>
      <c r="C119" s="1422" t="s">
        <v>4413</v>
      </c>
      <c r="D119" s="1422">
        <v>523170</v>
      </c>
      <c r="E119" s="1422" t="s">
        <v>4414</v>
      </c>
      <c r="F119" s="1422" t="s">
        <v>4415</v>
      </c>
      <c r="G119" s="1422" t="s">
        <v>2218</v>
      </c>
      <c r="H119" s="1422" t="s">
        <v>4584</v>
      </c>
    </row>
    <row r="120" spans="1:9">
      <c r="A120" s="1422">
        <v>6489</v>
      </c>
      <c r="C120" s="1422" t="s">
        <v>4006</v>
      </c>
      <c r="D120" s="1422">
        <v>92662</v>
      </c>
      <c r="E120" s="1422" t="s">
        <v>4007</v>
      </c>
      <c r="F120" s="1422" t="s">
        <v>4269</v>
      </c>
      <c r="G120" s="1422" t="s">
        <v>3858</v>
      </c>
    </row>
    <row r="121" spans="1:9">
      <c r="A121" s="1422" t="s">
        <v>4340</v>
      </c>
      <c r="C121" s="1422" t="s">
        <v>4341</v>
      </c>
      <c r="E121" s="1422" t="s">
        <v>4342</v>
      </c>
      <c r="F121" s="1422" t="s">
        <v>4453</v>
      </c>
      <c r="G121" s="1422" t="s">
        <v>4452</v>
      </c>
      <c r="H121" s="1422" t="s">
        <v>4585</v>
      </c>
    </row>
    <row r="122" spans="1:9">
      <c r="A122" s="1422">
        <v>6501</v>
      </c>
      <c r="C122" s="1422" t="s">
        <v>4011</v>
      </c>
      <c r="D122" s="1423" t="s">
        <v>4270</v>
      </c>
      <c r="E122" s="1422" t="s">
        <v>4012</v>
      </c>
      <c r="F122" s="1422" t="s">
        <v>4271</v>
      </c>
      <c r="G122" s="1422" t="s">
        <v>3858</v>
      </c>
    </row>
    <row r="123" spans="1:9">
      <c r="A123" s="1422">
        <v>6502</v>
      </c>
      <c r="C123" s="1422" t="s">
        <v>4013</v>
      </c>
      <c r="D123" s="1422">
        <v>90058</v>
      </c>
      <c r="E123" s="1422" t="s">
        <v>4014</v>
      </c>
      <c r="F123" s="1422" t="s">
        <v>4232</v>
      </c>
      <c r="G123" s="1422" t="s">
        <v>3858</v>
      </c>
      <c r="H123" s="1422" t="s">
        <v>4015</v>
      </c>
    </row>
    <row r="124" spans="1:9">
      <c r="A124" s="1422">
        <v>6503</v>
      </c>
      <c r="C124" s="1422" t="s">
        <v>4016</v>
      </c>
      <c r="D124" s="1422">
        <v>10012</v>
      </c>
      <c r="E124" s="1422" t="s">
        <v>4017</v>
      </c>
      <c r="F124" s="1422" t="s">
        <v>4230</v>
      </c>
      <c r="G124" s="1422" t="s">
        <v>3858</v>
      </c>
      <c r="H124" s="1422" t="s">
        <v>4516</v>
      </c>
    </row>
    <row r="125" spans="1:9">
      <c r="A125" s="1422">
        <v>6504</v>
      </c>
      <c r="C125" s="1422" t="s">
        <v>4019</v>
      </c>
      <c r="D125" s="1422">
        <v>10012</v>
      </c>
      <c r="E125" s="1422" t="s">
        <v>4273</v>
      </c>
      <c r="F125" s="1422" t="s">
        <v>4230</v>
      </c>
      <c r="G125" s="1422" t="s">
        <v>3858</v>
      </c>
      <c r="H125" s="1422" t="s">
        <v>4020</v>
      </c>
      <c r="I125" s="1422" t="s">
        <v>4272</v>
      </c>
    </row>
    <row r="126" spans="1:9">
      <c r="A126" s="1422">
        <v>6521</v>
      </c>
      <c r="C126" s="1422" t="s">
        <v>4021</v>
      </c>
      <c r="D126" s="1422">
        <v>10200</v>
      </c>
      <c r="E126" s="1422" t="s">
        <v>4276</v>
      </c>
      <c r="F126" s="1422" t="s">
        <v>4277</v>
      </c>
      <c r="G126" s="1422" t="s">
        <v>4275</v>
      </c>
      <c r="H126" s="1422" t="s">
        <v>4022</v>
      </c>
    </row>
    <row r="127" spans="1:9">
      <c r="C127" s="1422" t="s">
        <v>5455</v>
      </c>
      <c r="E127" s="1422" t="s">
        <v>5456</v>
      </c>
      <c r="F127" s="1422" t="s">
        <v>5457</v>
      </c>
      <c r="G127" s="1422" t="s">
        <v>2218</v>
      </c>
      <c r="H127" s="1422" t="s">
        <v>5458</v>
      </c>
      <c r="I127" s="1422" t="s">
        <v>5459</v>
      </c>
    </row>
    <row r="128" spans="1:9">
      <c r="A128" s="1422">
        <v>7568</v>
      </c>
      <c r="C128" s="1422" t="s">
        <v>4171</v>
      </c>
      <c r="D128" s="1422">
        <v>75006</v>
      </c>
      <c r="E128" s="1422" t="s">
        <v>4172</v>
      </c>
      <c r="F128" s="1422" t="s">
        <v>4173</v>
      </c>
      <c r="G128" s="1422" t="s">
        <v>4296</v>
      </c>
      <c r="H128" s="1422" t="s">
        <v>4586</v>
      </c>
      <c r="I128" s="1422" t="s">
        <v>4174</v>
      </c>
    </row>
    <row r="129" spans="1:9">
      <c r="A129" s="1422" t="s">
        <v>4321</v>
      </c>
      <c r="C129" s="1422" t="s">
        <v>4322</v>
      </c>
      <c r="E129" s="1422" t="s">
        <v>4323</v>
      </c>
      <c r="F129" s="1422" t="s">
        <v>4443</v>
      </c>
      <c r="G129" s="1422" t="s">
        <v>2218</v>
      </c>
      <c r="H129" s="1422" t="s">
        <v>4587</v>
      </c>
    </row>
    <row r="130" spans="1:9">
      <c r="C130" s="1422" t="s">
        <v>5484</v>
      </c>
      <c r="D130" s="1422">
        <v>90014</v>
      </c>
      <c r="E130" s="1422" t="s">
        <v>5486</v>
      </c>
      <c r="F130" s="1422" t="s">
        <v>4228</v>
      </c>
      <c r="G130" s="1422" t="s">
        <v>3858</v>
      </c>
      <c r="H130" s="1422" t="s">
        <v>5487</v>
      </c>
      <c r="I130" s="1422" t="s">
        <v>5485</v>
      </c>
    </row>
    <row r="131" spans="1:9">
      <c r="A131" s="1422">
        <v>6522</v>
      </c>
      <c r="C131" s="1422" t="s">
        <v>4023</v>
      </c>
      <c r="D131" s="1422">
        <v>10018</v>
      </c>
      <c r="E131" s="1422" t="s">
        <v>4024</v>
      </c>
      <c r="F131" s="1422" t="s">
        <v>4230</v>
      </c>
      <c r="G131" s="1422" t="s">
        <v>3858</v>
      </c>
      <c r="H131" s="1422" t="s">
        <v>4025</v>
      </c>
    </row>
    <row r="132" spans="1:9">
      <c r="A132" s="1422">
        <v>7601</v>
      </c>
      <c r="C132" s="1422" t="s">
        <v>4175</v>
      </c>
      <c r="D132" s="1422">
        <v>75008</v>
      </c>
      <c r="E132" s="1422" t="s">
        <v>4176</v>
      </c>
      <c r="F132" s="1422" t="s">
        <v>4088</v>
      </c>
      <c r="G132" s="1422" t="s">
        <v>4296</v>
      </c>
      <c r="H132" s="1422" t="s">
        <v>4588</v>
      </c>
    </row>
    <row r="133" spans="1:9">
      <c r="A133" s="1422">
        <v>6523</v>
      </c>
      <c r="C133" s="1422" t="s">
        <v>4026</v>
      </c>
      <c r="D133" s="1422">
        <v>90015</v>
      </c>
      <c r="E133" s="1422" t="s">
        <v>4027</v>
      </c>
      <c r="F133" s="1422" t="s">
        <v>4228</v>
      </c>
      <c r="G133" s="1422" t="s">
        <v>3858</v>
      </c>
      <c r="H133" s="1422" t="s">
        <v>4517</v>
      </c>
      <c r="I133" s="1422" t="s">
        <v>4028</v>
      </c>
    </row>
    <row r="134" spans="1:9">
      <c r="A134" s="1422">
        <v>7602</v>
      </c>
      <c r="C134" s="1422" t="s">
        <v>4177</v>
      </c>
      <c r="D134" s="1422">
        <v>43122</v>
      </c>
      <c r="E134" s="1422" t="s">
        <v>4178</v>
      </c>
      <c r="F134" s="1422" t="s">
        <v>4179</v>
      </c>
      <c r="G134" s="1422" t="s">
        <v>4308</v>
      </c>
      <c r="H134" s="1422" t="s">
        <v>4589</v>
      </c>
      <c r="I134" s="1422" t="s">
        <v>4180</v>
      </c>
    </row>
    <row r="135" spans="1:9">
      <c r="A135" s="1422">
        <v>6528</v>
      </c>
      <c r="C135" s="1422" t="s">
        <v>4278</v>
      </c>
      <c r="E135" s="1422" t="s">
        <v>4279</v>
      </c>
      <c r="F135" s="1422" t="s">
        <v>4280</v>
      </c>
      <c r="G135" s="1422" t="s">
        <v>4282</v>
      </c>
      <c r="H135" s="1422" t="s">
        <v>4518</v>
      </c>
      <c r="I135" s="1422" t="s">
        <v>4029</v>
      </c>
    </row>
    <row r="136" spans="1:9">
      <c r="A136" s="1422">
        <v>7613</v>
      </c>
      <c r="C136" s="1422" t="s">
        <v>4181</v>
      </c>
      <c r="D136" s="1422">
        <v>10146</v>
      </c>
      <c r="E136" s="1422" t="s">
        <v>4182</v>
      </c>
      <c r="F136" s="1422" t="s">
        <v>4306</v>
      </c>
      <c r="G136" s="1422" t="s">
        <v>4307</v>
      </c>
      <c r="H136" s="1422" t="s">
        <v>4590</v>
      </c>
      <c r="I136" s="1422" t="s">
        <v>4181</v>
      </c>
    </row>
    <row r="137" spans="1:9">
      <c r="A137" s="1422" t="s">
        <v>4398</v>
      </c>
      <c r="C137" s="1422" t="s">
        <v>4399</v>
      </c>
      <c r="D137" s="1422">
        <v>90014</v>
      </c>
      <c r="E137" s="1422" t="s">
        <v>4400</v>
      </c>
      <c r="F137" s="1422" t="s">
        <v>4228</v>
      </c>
      <c r="G137" s="1422" t="s">
        <v>3858</v>
      </c>
      <c r="H137" s="1422" t="s">
        <v>4591</v>
      </c>
    </row>
    <row r="138" spans="1:9">
      <c r="A138" s="1422">
        <v>7621</v>
      </c>
      <c r="C138" s="1422" t="s">
        <v>4183</v>
      </c>
      <c r="D138" s="1422">
        <v>59142</v>
      </c>
      <c r="E138" s="1422" t="s">
        <v>4184</v>
      </c>
      <c r="F138" s="1422" t="s">
        <v>4185</v>
      </c>
      <c r="G138" s="1422" t="s">
        <v>4296</v>
      </c>
      <c r="H138" s="1422" t="s">
        <v>4592</v>
      </c>
      <c r="I138" s="1422" t="s">
        <v>4186</v>
      </c>
    </row>
    <row r="139" spans="1:9">
      <c r="A139" s="1422">
        <v>6545</v>
      </c>
      <c r="C139" s="1422" t="s">
        <v>4030</v>
      </c>
      <c r="D139" s="1422">
        <v>75800</v>
      </c>
      <c r="E139" s="1422" t="s">
        <v>4031</v>
      </c>
      <c r="F139" s="1422" t="s">
        <v>4281</v>
      </c>
      <c r="G139" s="1422" t="s">
        <v>4032</v>
      </c>
      <c r="H139" s="1422" t="s">
        <v>4593</v>
      </c>
      <c r="I139" s="1422" t="s">
        <v>4033</v>
      </c>
    </row>
    <row r="140" spans="1:9">
      <c r="A140" s="1422">
        <v>7625</v>
      </c>
      <c r="C140" s="1422" t="s">
        <v>4187</v>
      </c>
      <c r="D140" s="1422">
        <v>49450</v>
      </c>
      <c r="E140" s="1422" t="s">
        <v>4188</v>
      </c>
      <c r="F140" s="1422" t="s">
        <v>4305</v>
      </c>
      <c r="G140" s="1422" t="s">
        <v>4296</v>
      </c>
      <c r="H140" s="1422" t="s">
        <v>4594</v>
      </c>
      <c r="I140" s="1422" t="s">
        <v>4189</v>
      </c>
    </row>
    <row r="141" spans="1:9">
      <c r="A141" s="1422">
        <v>6548</v>
      </c>
      <c r="C141" s="1422" t="s">
        <v>4034</v>
      </c>
      <c r="D141" s="1422">
        <v>10001</v>
      </c>
      <c r="E141" s="1422" t="s">
        <v>4035</v>
      </c>
      <c r="F141" s="1422" t="s">
        <v>4230</v>
      </c>
      <c r="G141" s="1422" t="s">
        <v>3858</v>
      </c>
      <c r="H141" s="1422" t="s">
        <v>4519</v>
      </c>
      <c r="I141" s="1422" t="s">
        <v>4036</v>
      </c>
    </row>
    <row r="142" spans="1:9">
      <c r="A142" s="1422">
        <v>6561</v>
      </c>
      <c r="C142" s="1422" t="s">
        <v>4037</v>
      </c>
      <c r="D142" s="1422">
        <v>92780</v>
      </c>
      <c r="E142" s="1422" t="s">
        <v>4283</v>
      </c>
      <c r="F142" s="1422" t="s">
        <v>4284</v>
      </c>
      <c r="G142" s="1422" t="s">
        <v>3858</v>
      </c>
      <c r="H142" s="1422" t="s">
        <v>4569</v>
      </c>
      <c r="I142" s="1422" t="s">
        <v>4627</v>
      </c>
    </row>
    <row r="143" spans="1:9">
      <c r="A143" s="1422" t="s">
        <v>4422</v>
      </c>
      <c r="C143" s="1422" t="s">
        <v>4423</v>
      </c>
      <c r="D143" s="1422">
        <v>92780</v>
      </c>
      <c r="E143" s="1422" t="s">
        <v>4475</v>
      </c>
      <c r="F143" s="1422" t="s">
        <v>4284</v>
      </c>
      <c r="G143" s="1422" t="s">
        <v>3858</v>
      </c>
      <c r="H143" s="1422" t="s">
        <v>4071</v>
      </c>
    </row>
    <row r="144" spans="1:9">
      <c r="A144" s="1422" t="s">
        <v>4324</v>
      </c>
      <c r="C144" s="1422" t="s">
        <v>4325</v>
      </c>
      <c r="D144" s="1422">
        <v>35603</v>
      </c>
      <c r="E144" s="1422" t="s">
        <v>4444</v>
      </c>
      <c r="F144" s="1422" t="s">
        <v>4445</v>
      </c>
      <c r="G144" s="1422" t="s">
        <v>4295</v>
      </c>
      <c r="H144" s="1422" t="s">
        <v>4595</v>
      </c>
    </row>
    <row r="145" spans="1:10">
      <c r="A145" s="1422">
        <v>7728</v>
      </c>
      <c r="C145" s="1422" t="s">
        <v>4190</v>
      </c>
      <c r="D145" s="1422">
        <v>75006</v>
      </c>
      <c r="E145" s="1422" t="s">
        <v>4191</v>
      </c>
      <c r="F145" s="1422" t="s">
        <v>4088</v>
      </c>
      <c r="G145" s="1422" t="s">
        <v>4296</v>
      </c>
      <c r="H145" s="1422" t="s">
        <v>4596</v>
      </c>
      <c r="I145" s="1422" t="s">
        <v>4192</v>
      </c>
    </row>
    <row r="146" spans="1:10">
      <c r="A146" s="1422">
        <v>6568</v>
      </c>
      <c r="C146" s="1422" t="s">
        <v>4038</v>
      </c>
      <c r="D146" s="1422">
        <v>10017</v>
      </c>
      <c r="E146" s="1422" t="s">
        <v>4039</v>
      </c>
      <c r="F146" s="1422" t="s">
        <v>4230</v>
      </c>
      <c r="G146" s="1422" t="s">
        <v>3858</v>
      </c>
      <c r="H146" s="1422" t="s">
        <v>4520</v>
      </c>
      <c r="I146" s="1422" t="s">
        <v>4040</v>
      </c>
    </row>
    <row r="147" spans="1:10">
      <c r="A147" s="1422">
        <v>7733</v>
      </c>
      <c r="C147" s="1422" t="s">
        <v>4193</v>
      </c>
      <c r="D147" s="1422">
        <v>75002</v>
      </c>
      <c r="E147" s="1422" t="s">
        <v>4194</v>
      </c>
      <c r="F147" s="1422" t="s">
        <v>4088</v>
      </c>
      <c r="G147" s="1422" t="s">
        <v>4296</v>
      </c>
      <c r="H147" s="1422" t="s">
        <v>4597</v>
      </c>
      <c r="I147" s="1422" t="s">
        <v>4193</v>
      </c>
    </row>
    <row r="148" spans="1:10">
      <c r="A148" s="1422">
        <v>6581</v>
      </c>
      <c r="C148" s="1422" t="s">
        <v>5489</v>
      </c>
      <c r="D148" s="1422">
        <v>91106</v>
      </c>
      <c r="E148" s="1422" t="s">
        <v>4042</v>
      </c>
      <c r="F148" s="1422" t="s">
        <v>4285</v>
      </c>
      <c r="G148" s="1422" t="s">
        <v>3858</v>
      </c>
    </row>
    <row r="149" spans="1:10">
      <c r="C149" s="1422" t="s">
        <v>4041</v>
      </c>
      <c r="D149" s="1422">
        <v>90023</v>
      </c>
      <c r="E149" s="1422" t="s">
        <v>5490</v>
      </c>
      <c r="F149" s="1422" t="s">
        <v>4228</v>
      </c>
      <c r="G149" s="1422" t="s">
        <v>3858</v>
      </c>
      <c r="H149" s="1422" t="s">
        <v>5491</v>
      </c>
      <c r="I149" s="1422" t="s">
        <v>5488</v>
      </c>
    </row>
    <row r="150" spans="1:10">
      <c r="A150" s="1422">
        <v>6582</v>
      </c>
      <c r="C150" s="1422" t="s">
        <v>4043</v>
      </c>
      <c r="E150" s="1422" t="s">
        <v>4044</v>
      </c>
      <c r="F150" s="1422" t="s">
        <v>3889</v>
      </c>
      <c r="G150" s="1422" t="s">
        <v>2218</v>
      </c>
      <c r="H150" s="1422" t="s">
        <v>4521</v>
      </c>
      <c r="I150" s="1422" t="s">
        <v>4045</v>
      </c>
    </row>
    <row r="151" spans="1:10">
      <c r="A151" s="1422">
        <v>6601</v>
      </c>
      <c r="C151" s="1422" t="s">
        <v>4046</v>
      </c>
      <c r="D151" s="1422">
        <v>90502</v>
      </c>
      <c r="E151" s="1422" t="s">
        <v>4047</v>
      </c>
      <c r="F151" s="1422" t="s">
        <v>4287</v>
      </c>
      <c r="G151" s="1422" t="s">
        <v>3858</v>
      </c>
      <c r="H151" s="1422" t="s">
        <v>4522</v>
      </c>
      <c r="I151" s="1422" t="s">
        <v>4048</v>
      </c>
    </row>
    <row r="152" spans="1:10">
      <c r="A152" s="1422">
        <v>6602</v>
      </c>
      <c r="C152" s="1422" t="s">
        <v>4049</v>
      </c>
      <c r="D152" s="1423" t="s">
        <v>4286</v>
      </c>
      <c r="E152" s="1422" t="s">
        <v>4050</v>
      </c>
      <c r="F152" s="1422" t="s">
        <v>4288</v>
      </c>
      <c r="G152" s="1422" t="s">
        <v>3858</v>
      </c>
      <c r="H152" s="1422" t="s">
        <v>4523</v>
      </c>
      <c r="I152" s="1422" t="s">
        <v>4051</v>
      </c>
    </row>
    <row r="153" spans="1:10">
      <c r="A153" s="1422">
        <v>7764</v>
      </c>
      <c r="C153" s="1422" t="s">
        <v>4195</v>
      </c>
      <c r="D153" s="1422">
        <v>62520</v>
      </c>
      <c r="E153" s="1422" t="s">
        <v>4196</v>
      </c>
      <c r="F153" s="1422" t="s">
        <v>4197</v>
      </c>
      <c r="G153" s="1422" t="s">
        <v>4304</v>
      </c>
    </row>
    <row r="154" spans="1:10">
      <c r="A154" s="1422" t="s">
        <v>4419</v>
      </c>
      <c r="C154" s="1422" t="s">
        <v>4420</v>
      </c>
      <c r="D154" s="1422">
        <v>312400</v>
      </c>
      <c r="E154" s="1422" t="s">
        <v>4421</v>
      </c>
      <c r="F154" s="1422" t="s">
        <v>4474</v>
      </c>
      <c r="G154" s="1422" t="s">
        <v>2218</v>
      </c>
      <c r="H154" s="1422" t="s">
        <v>4521</v>
      </c>
    </row>
    <row r="155" spans="1:10">
      <c r="A155" s="1422">
        <v>6610</v>
      </c>
      <c r="C155" s="1422" t="s">
        <v>4291</v>
      </c>
      <c r="D155" s="1422">
        <v>518100</v>
      </c>
      <c r="E155" s="1422" t="s">
        <v>4290</v>
      </c>
      <c r="F155" s="1422" t="s">
        <v>4289</v>
      </c>
      <c r="G155" s="1422" t="s">
        <v>2218</v>
      </c>
      <c r="H155" s="1422" t="s">
        <v>4524</v>
      </c>
    </row>
    <row r="156" spans="1:10">
      <c r="A156" s="1422" t="s">
        <v>4406</v>
      </c>
      <c r="C156" s="1422" t="s">
        <v>4407</v>
      </c>
      <c r="D156" s="1422">
        <v>10018</v>
      </c>
      <c r="E156" s="1422" t="s">
        <v>4470</v>
      </c>
      <c r="F156" s="1422" t="s">
        <v>4230</v>
      </c>
      <c r="G156" s="1422" t="s">
        <v>3858</v>
      </c>
      <c r="H156" s="1422" t="s">
        <v>4598</v>
      </c>
    </row>
    <row r="157" spans="1:10">
      <c r="C157" s="1422" t="s">
        <v>5460</v>
      </c>
      <c r="D157" s="1422">
        <v>315176</v>
      </c>
      <c r="E157" s="1422" t="s">
        <v>5461</v>
      </c>
      <c r="F157" s="1422" t="s">
        <v>5462</v>
      </c>
      <c r="G157" s="1422" t="s">
        <v>2218</v>
      </c>
      <c r="H157" s="1422" t="s">
        <v>5463</v>
      </c>
      <c r="I157" s="1422" t="s">
        <v>5459</v>
      </c>
      <c r="J157" s="1422" t="s">
        <v>5464</v>
      </c>
    </row>
    <row r="158" spans="1:10">
      <c r="A158" s="1422" t="s">
        <v>4408</v>
      </c>
      <c r="C158" s="1422" t="s">
        <v>4409</v>
      </c>
      <c r="D158" s="1422">
        <v>700046</v>
      </c>
      <c r="E158" s="1422" t="s">
        <v>4410</v>
      </c>
      <c r="F158" s="1422" t="s">
        <v>4472</v>
      </c>
      <c r="G158" s="1422" t="s">
        <v>4411</v>
      </c>
      <c r="H158" s="1422" t="s">
        <v>4584</v>
      </c>
    </row>
    <row r="159" spans="1:10">
      <c r="C159" s="1422" t="s">
        <v>4625</v>
      </c>
      <c r="D159" s="1422">
        <v>10018</v>
      </c>
      <c r="E159" s="1422" t="s">
        <v>9124</v>
      </c>
      <c r="F159" s="1422" t="s">
        <v>4230</v>
      </c>
      <c r="G159" s="1422" t="s">
        <v>3858</v>
      </c>
      <c r="I159" s="1422" t="s">
        <v>9125</v>
      </c>
    </row>
    <row r="160" spans="1:10">
      <c r="A160" s="1422">
        <v>6629</v>
      </c>
      <c r="C160" s="1422" t="s">
        <v>4052</v>
      </c>
      <c r="D160" s="1422">
        <v>34406</v>
      </c>
      <c r="E160" s="1422" t="s">
        <v>4053</v>
      </c>
      <c r="F160" s="1422" t="s">
        <v>4292</v>
      </c>
      <c r="G160" s="1422" t="s">
        <v>4054</v>
      </c>
      <c r="H160" s="1422" t="s">
        <v>4525</v>
      </c>
      <c r="I160" s="1422" t="s">
        <v>4055</v>
      </c>
    </row>
    <row r="161" spans="1:10">
      <c r="A161" s="1422">
        <v>6631</v>
      </c>
      <c r="C161" s="1422" t="s">
        <v>4056</v>
      </c>
      <c r="D161" s="1422">
        <v>90049</v>
      </c>
      <c r="E161" s="1422" t="s">
        <v>4057</v>
      </c>
      <c r="F161" s="1422" t="s">
        <v>4228</v>
      </c>
      <c r="G161" s="1422" t="s">
        <v>3858</v>
      </c>
      <c r="I161" s="1422" t="s">
        <v>4058</v>
      </c>
    </row>
    <row r="162" spans="1:10">
      <c r="A162" s="1422">
        <v>7807</v>
      </c>
      <c r="C162" s="1422" t="s">
        <v>4320</v>
      </c>
      <c r="D162" s="1422" t="s">
        <v>4315</v>
      </c>
      <c r="E162" s="1422" t="s">
        <v>4312</v>
      </c>
      <c r="F162" s="1422" t="s">
        <v>4313</v>
      </c>
      <c r="G162" s="1422" t="s">
        <v>4459</v>
      </c>
      <c r="H162" s="1422" t="s">
        <v>4526</v>
      </c>
      <c r="I162" s="1422" t="s">
        <v>4316</v>
      </c>
    </row>
    <row r="163" spans="1:10">
      <c r="A163" s="1422" t="s">
        <v>4349</v>
      </c>
      <c r="C163" s="1422" t="s">
        <v>4350</v>
      </c>
      <c r="D163" s="1422">
        <v>6560108</v>
      </c>
      <c r="E163" s="1422" t="s">
        <v>4351</v>
      </c>
      <c r="F163" s="1422" t="s">
        <v>4457</v>
      </c>
      <c r="G163" s="1422" t="s">
        <v>4458</v>
      </c>
      <c r="H163" s="1422" t="s">
        <v>4500</v>
      </c>
    </row>
    <row r="164" spans="1:10">
      <c r="A164" s="1422">
        <v>7808</v>
      </c>
      <c r="C164" s="1422" t="s">
        <v>4198</v>
      </c>
      <c r="D164" s="1422">
        <v>2010</v>
      </c>
      <c r="E164" s="1422" t="s">
        <v>4318</v>
      </c>
      <c r="F164" s="1422" t="s">
        <v>4319</v>
      </c>
      <c r="G164" s="1422" t="s">
        <v>4317</v>
      </c>
      <c r="H164" s="1422" t="s">
        <v>4599</v>
      </c>
      <c r="I164" s="1422" t="s">
        <v>4199</v>
      </c>
    </row>
    <row r="165" spans="1:10">
      <c r="A165" s="1422">
        <v>6651</v>
      </c>
      <c r="C165" s="1422" t="s">
        <v>4059</v>
      </c>
      <c r="D165" s="1422">
        <v>90021</v>
      </c>
      <c r="E165" s="1422" t="s">
        <v>4060</v>
      </c>
      <c r="F165" s="1422" t="s">
        <v>4228</v>
      </c>
      <c r="G165" s="1422" t="s">
        <v>3858</v>
      </c>
      <c r="H165" s="1422" t="s">
        <v>4527</v>
      </c>
    </row>
    <row r="166" spans="1:10">
      <c r="A166" s="1422">
        <v>7811</v>
      </c>
      <c r="C166" s="1422" t="s">
        <v>4200</v>
      </c>
      <c r="D166" s="1422">
        <v>75017</v>
      </c>
      <c r="E166" s="1422" t="s">
        <v>4201</v>
      </c>
      <c r="F166" s="1422" t="s">
        <v>4088</v>
      </c>
      <c r="G166" s="1422" t="s">
        <v>4296</v>
      </c>
      <c r="H166" s="1422" t="s">
        <v>4600</v>
      </c>
      <c r="I166" s="1422" t="s">
        <v>4202</v>
      </c>
    </row>
    <row r="167" spans="1:10">
      <c r="C167" s="1422" t="s">
        <v>5361</v>
      </c>
      <c r="D167" s="1422">
        <v>90021</v>
      </c>
      <c r="E167" s="1422" t="s">
        <v>5362</v>
      </c>
      <c r="F167" s="1422" t="s">
        <v>5363</v>
      </c>
      <c r="G167" s="1422" t="s">
        <v>3858</v>
      </c>
      <c r="H167" s="1422" t="s">
        <v>5365</v>
      </c>
      <c r="I167" s="1422" t="s">
        <v>5366</v>
      </c>
      <c r="J167" s="1627" t="s">
        <v>5367</v>
      </c>
    </row>
    <row r="168" spans="1:10">
      <c r="A168" s="1422">
        <v>6652</v>
      </c>
      <c r="C168" s="1422" t="s">
        <v>4061</v>
      </c>
      <c r="D168" s="1422">
        <v>10014</v>
      </c>
      <c r="E168" s="1422" t="s">
        <v>4062</v>
      </c>
      <c r="F168" s="1422" t="s">
        <v>4230</v>
      </c>
      <c r="G168" s="1422" t="s">
        <v>3858</v>
      </c>
      <c r="H168" s="1422" t="s">
        <v>4528</v>
      </c>
      <c r="I168" s="1422" t="s">
        <v>4064</v>
      </c>
    </row>
    <row r="169" spans="1:10">
      <c r="A169" s="1422">
        <v>6661</v>
      </c>
      <c r="C169" s="1422" t="s">
        <v>4065</v>
      </c>
      <c r="D169" s="1422">
        <v>11201</v>
      </c>
      <c r="E169" s="1422" t="s">
        <v>4066</v>
      </c>
      <c r="F169" s="1422" t="s">
        <v>4251</v>
      </c>
      <c r="G169" s="1422" t="s">
        <v>3858</v>
      </c>
      <c r="H169" s="1422" t="s">
        <v>4529</v>
      </c>
      <c r="I169" s="1422" t="s">
        <v>4065</v>
      </c>
    </row>
    <row r="170" spans="1:10">
      <c r="A170" s="1422">
        <v>6662</v>
      </c>
      <c r="C170" s="1422" t="s">
        <v>4067</v>
      </c>
      <c r="D170" s="1422">
        <v>10011</v>
      </c>
      <c r="E170" s="1422" t="s">
        <v>4068</v>
      </c>
      <c r="F170" s="1422" t="s">
        <v>4230</v>
      </c>
      <c r="G170" s="1422" t="s">
        <v>3858</v>
      </c>
      <c r="H170" s="1422" t="s">
        <v>4530</v>
      </c>
      <c r="I170" s="1422" t="s">
        <v>4069</v>
      </c>
    </row>
    <row r="171" spans="1:10">
      <c r="A171" s="1422">
        <v>6665</v>
      </c>
      <c r="C171" s="1422" t="s">
        <v>4070</v>
      </c>
      <c r="E171" s="1422" t="s">
        <v>5637</v>
      </c>
      <c r="F171" s="1422" t="s">
        <v>4293</v>
      </c>
      <c r="G171" s="1422" t="s">
        <v>2218</v>
      </c>
      <c r="H171" s="1422" t="s">
        <v>4071</v>
      </c>
    </row>
    <row r="172" spans="1:10">
      <c r="A172" s="1422">
        <v>6666</v>
      </c>
      <c r="C172" s="1422" t="s">
        <v>4072</v>
      </c>
      <c r="D172" s="1422">
        <v>10013</v>
      </c>
      <c r="E172" s="1422" t="s">
        <v>4073</v>
      </c>
      <c r="F172" s="1422" t="s">
        <v>4230</v>
      </c>
      <c r="G172" s="1422" t="s">
        <v>3858</v>
      </c>
    </row>
    <row r="173" spans="1:10">
      <c r="A173" s="1422">
        <v>6695</v>
      </c>
      <c r="C173" s="1422" t="s">
        <v>4074</v>
      </c>
      <c r="D173" s="1422">
        <v>10012</v>
      </c>
      <c r="E173" s="1422" t="s">
        <v>4075</v>
      </c>
      <c r="F173" s="1422" t="s">
        <v>4018</v>
      </c>
      <c r="G173" s="1422" t="s">
        <v>3858</v>
      </c>
      <c r="H173" s="1422" t="s">
        <v>4531</v>
      </c>
      <c r="I173" s="1422" t="s">
        <v>4076</v>
      </c>
    </row>
    <row r="174" spans="1:10">
      <c r="A174" s="1422">
        <v>6705</v>
      </c>
      <c r="C174" s="1422" t="s">
        <v>4077</v>
      </c>
      <c r="D174" s="1422">
        <v>10014</v>
      </c>
      <c r="E174" s="1422" t="s">
        <v>4078</v>
      </c>
      <c r="F174" s="1422" t="s">
        <v>4063</v>
      </c>
      <c r="G174" s="1422" t="s">
        <v>3858</v>
      </c>
      <c r="H174" s="1422" t="s">
        <v>4538</v>
      </c>
      <c r="I174" s="1422" t="s">
        <v>4079</v>
      </c>
    </row>
    <row r="175" spans="1:10">
      <c r="A175" s="1422">
        <v>7841</v>
      </c>
      <c r="C175" s="1422" t="s">
        <v>4203</v>
      </c>
      <c r="D175" s="1422">
        <v>75002</v>
      </c>
      <c r="E175" s="1422" t="s">
        <v>4204</v>
      </c>
      <c r="F175" s="1422" t="s">
        <v>4088</v>
      </c>
      <c r="G175" s="1422" t="s">
        <v>4296</v>
      </c>
      <c r="H175" s="1422" t="s">
        <v>4601</v>
      </c>
      <c r="I175" s="1422" t="s">
        <v>4205</v>
      </c>
    </row>
    <row r="176" spans="1:10">
      <c r="A176" s="1422">
        <v>6727</v>
      </c>
      <c r="C176" s="1422" t="s">
        <v>4080</v>
      </c>
      <c r="D176" s="1422">
        <v>10010</v>
      </c>
      <c r="E176" s="1422" t="s">
        <v>4081</v>
      </c>
      <c r="F176" s="1422" t="s">
        <v>4082</v>
      </c>
      <c r="G176" s="1422" t="s">
        <v>3858</v>
      </c>
    </row>
    <row r="177" spans="1:9">
      <c r="A177" s="1422" t="s">
        <v>4439</v>
      </c>
      <c r="C177" s="1422" t="s">
        <v>4440</v>
      </c>
      <c r="D177" s="1422">
        <v>33414</v>
      </c>
      <c r="E177" s="1422" t="s">
        <v>4441</v>
      </c>
      <c r="F177" s="1422" t="s">
        <v>4479</v>
      </c>
      <c r="G177" s="1422" t="s">
        <v>3858</v>
      </c>
    </row>
    <row r="178" spans="1:9">
      <c r="A178" s="1422">
        <v>7847</v>
      </c>
      <c r="C178" s="1422" t="s">
        <v>4206</v>
      </c>
      <c r="D178" s="1422">
        <v>75012</v>
      </c>
      <c r="E178" s="1422" t="s">
        <v>4207</v>
      </c>
      <c r="F178" s="1422" t="s">
        <v>4303</v>
      </c>
      <c r="G178" s="1422" t="s">
        <v>4296</v>
      </c>
      <c r="H178" s="1422" t="s">
        <v>4602</v>
      </c>
      <c r="I178" s="1422" t="s">
        <v>4208</v>
      </c>
    </row>
    <row r="179" spans="1:9">
      <c r="A179" s="1422">
        <v>6733</v>
      </c>
      <c r="C179" s="1422" t="s">
        <v>4083</v>
      </c>
      <c r="E179" s="1422" t="s">
        <v>4084</v>
      </c>
      <c r="F179" s="1422" t="s">
        <v>4294</v>
      </c>
      <c r="G179" s="1422" t="s">
        <v>2218</v>
      </c>
      <c r="H179" s="1422" t="s">
        <v>4532</v>
      </c>
      <c r="I179" s="1422" t="s">
        <v>4085</v>
      </c>
    </row>
    <row r="180" spans="1:9">
      <c r="A180" s="1422" t="s">
        <v>4332</v>
      </c>
      <c r="C180" s="1422" t="s">
        <v>4333</v>
      </c>
      <c r="E180" s="1422" t="s">
        <v>4334</v>
      </c>
      <c r="F180" s="1422" t="s">
        <v>4448</v>
      </c>
      <c r="G180" s="1422" t="s">
        <v>4449</v>
      </c>
    </row>
    <row r="181" spans="1:9">
      <c r="A181" s="1422" t="s">
        <v>4362</v>
      </c>
      <c r="C181" s="1422" t="s">
        <v>4363</v>
      </c>
      <c r="D181" s="1422">
        <v>52100</v>
      </c>
      <c r="E181" s="1422" t="s">
        <v>4364</v>
      </c>
      <c r="F181" s="1422" t="s">
        <v>4365</v>
      </c>
      <c r="G181" s="1422" t="s">
        <v>2218</v>
      </c>
      <c r="H181" s="1422" t="s">
        <v>4535</v>
      </c>
    </row>
    <row r="182" spans="1:9">
      <c r="A182" s="1422" t="s">
        <v>4401</v>
      </c>
      <c r="C182" s="1422" t="s">
        <v>4402</v>
      </c>
      <c r="D182" s="1422">
        <v>3111108</v>
      </c>
      <c r="E182" s="1422" t="s">
        <v>4403</v>
      </c>
      <c r="F182" s="1422" t="s">
        <v>4469</v>
      </c>
      <c r="G182" s="1422" t="s">
        <v>2218</v>
      </c>
      <c r="H182" s="1422" t="s">
        <v>4015</v>
      </c>
    </row>
    <row r="183" spans="1:9">
      <c r="A183" s="1422">
        <v>7921</v>
      </c>
      <c r="C183" s="1422" t="s">
        <v>4209</v>
      </c>
      <c r="D183" s="1422">
        <v>75010</v>
      </c>
      <c r="E183" s="1422" t="s">
        <v>4210</v>
      </c>
      <c r="F183" s="1422" t="s">
        <v>4088</v>
      </c>
      <c r="G183" s="1422" t="s">
        <v>4296</v>
      </c>
      <c r="H183" s="1422" t="s">
        <v>4603</v>
      </c>
      <c r="I183" s="1422" t="s">
        <v>4211</v>
      </c>
    </row>
    <row r="184" spans="1:9">
      <c r="A184" s="1422">
        <v>7961</v>
      </c>
      <c r="C184" s="1422" t="s">
        <v>4212</v>
      </c>
      <c r="D184" s="1422">
        <v>75010</v>
      </c>
      <c r="E184" s="1422" t="s">
        <v>4213</v>
      </c>
      <c r="F184" s="1422" t="s">
        <v>4214</v>
      </c>
      <c r="G184" s="1422" t="s">
        <v>4296</v>
      </c>
      <c r="H184" s="1422" t="s">
        <v>5364</v>
      </c>
      <c r="I184" s="1422" t="s">
        <v>4215</v>
      </c>
    </row>
  </sheetData>
  <autoFilter ref="A1:J184" xr:uid="{00000000-0001-0000-0100-000000000000}">
    <sortState xmlns:xlrd2="http://schemas.microsoft.com/office/spreadsheetml/2017/richdata2" ref="A2:J184">
      <sortCondition ref="C1:C184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E719-EB6D-43A9-A2B3-8D661D02D0BE}">
  <sheetPr codeName="Sheet10"/>
  <dimension ref="A1:I139"/>
  <sheetViews>
    <sheetView topLeftCell="A4" workbookViewId="0">
      <selection activeCell="C36" sqref="C36:D36"/>
    </sheetView>
  </sheetViews>
  <sheetFormatPr defaultColWidth="9" defaultRowHeight="15"/>
  <cols>
    <col min="1" max="1" width="13.125" style="1420" customWidth="1"/>
    <col min="2" max="2" width="29" style="1420" bestFit="1" customWidth="1"/>
    <col min="3" max="3" width="9" style="1420"/>
    <col min="4" max="4" width="39.75" style="1420" bestFit="1" customWidth="1"/>
    <col min="5" max="5" width="24.5" style="1420" bestFit="1" customWidth="1"/>
    <col min="6" max="7" width="12.625" style="1420" bestFit="1" customWidth="1"/>
    <col min="8" max="16384" width="9" style="1420"/>
  </cols>
  <sheetData>
    <row r="1" spans="1:9" ht="18.75">
      <c r="A1" s="1420" t="s">
        <v>5180</v>
      </c>
      <c r="B1" s="1420" t="s">
        <v>5177</v>
      </c>
      <c r="C1" s="1420" t="s">
        <v>5181</v>
      </c>
      <c r="D1" s="1420" t="s">
        <v>5182</v>
      </c>
      <c r="E1" s="1420" t="s">
        <v>5183</v>
      </c>
      <c r="F1" s="1420" t="s">
        <v>5178</v>
      </c>
      <c r="G1" s="1420" t="s">
        <v>5179</v>
      </c>
      <c r="H1" s="1427" t="s">
        <v>4637</v>
      </c>
      <c r="I1" s="1427" t="s">
        <v>4639</v>
      </c>
    </row>
    <row r="2" spans="1:9">
      <c r="A2" s="1420">
        <v>13</v>
      </c>
      <c r="B2" s="1420" t="s">
        <v>4937</v>
      </c>
      <c r="D2" s="1420" t="s">
        <v>4938</v>
      </c>
    </row>
    <row r="3" spans="1:9">
      <c r="A3" s="1420">
        <v>17</v>
      </c>
      <c r="B3" s="1420" t="s">
        <v>4939</v>
      </c>
      <c r="C3" s="1420" t="s">
        <v>4643</v>
      </c>
      <c r="D3" s="1420" t="s">
        <v>4940</v>
      </c>
      <c r="F3" s="1420" t="s">
        <v>4644</v>
      </c>
      <c r="G3" s="1420" t="s">
        <v>4645</v>
      </c>
    </row>
    <row r="4" spans="1:9">
      <c r="A4" s="1420">
        <v>18</v>
      </c>
      <c r="B4" s="1420" t="s">
        <v>4941</v>
      </c>
      <c r="C4" s="1420" t="s">
        <v>4646</v>
      </c>
      <c r="D4" s="1420" t="s">
        <v>4942</v>
      </c>
      <c r="F4" s="1420" t="s">
        <v>4647</v>
      </c>
      <c r="G4" s="1420" t="s">
        <v>4648</v>
      </c>
    </row>
    <row r="5" spans="1:9">
      <c r="A5" s="1420">
        <v>20</v>
      </c>
      <c r="B5" s="1420" t="s">
        <v>4943</v>
      </c>
      <c r="C5" s="1420" t="s">
        <v>4649</v>
      </c>
      <c r="D5" s="1420" t="s">
        <v>4944</v>
      </c>
      <c r="F5" s="1420" t="s">
        <v>4650</v>
      </c>
      <c r="G5" s="1420" t="s">
        <v>4651</v>
      </c>
    </row>
    <row r="6" spans="1:9">
      <c r="A6" s="1420">
        <v>30</v>
      </c>
      <c r="B6" s="1420" t="s">
        <v>4945</v>
      </c>
      <c r="C6" s="1420" t="s">
        <v>4652</v>
      </c>
      <c r="D6" s="1420" t="s">
        <v>4946</v>
      </c>
      <c r="E6" s="1420" t="s">
        <v>4653</v>
      </c>
      <c r="F6" s="1420" t="s">
        <v>4654</v>
      </c>
      <c r="G6" s="1420" t="s">
        <v>4655</v>
      </c>
    </row>
    <row r="7" spans="1:9">
      <c r="A7" s="1420">
        <v>31</v>
      </c>
      <c r="B7" s="1420" t="s">
        <v>4947</v>
      </c>
      <c r="C7" s="1420" t="s">
        <v>4656</v>
      </c>
      <c r="D7" s="1420" t="s">
        <v>4948</v>
      </c>
      <c r="F7" s="1420" t="s">
        <v>4657</v>
      </c>
      <c r="G7" s="1420" t="s">
        <v>4658</v>
      </c>
    </row>
    <row r="8" spans="1:9">
      <c r="A8" s="1420">
        <v>35</v>
      </c>
      <c r="B8" s="1420" t="s">
        <v>4949</v>
      </c>
      <c r="C8" s="1420" t="s">
        <v>4659</v>
      </c>
      <c r="D8" s="1420" t="s">
        <v>4950</v>
      </c>
      <c r="F8" s="1420" t="s">
        <v>4660</v>
      </c>
      <c r="G8" s="1420" t="s">
        <v>4661</v>
      </c>
    </row>
    <row r="9" spans="1:9">
      <c r="A9" s="1420">
        <v>36</v>
      </c>
      <c r="B9" s="1420" t="s">
        <v>4951</v>
      </c>
      <c r="C9" s="1420" t="s">
        <v>4662</v>
      </c>
      <c r="D9" s="1420" t="s">
        <v>4952</v>
      </c>
      <c r="F9" s="1420" t="s">
        <v>4663</v>
      </c>
      <c r="G9" s="1420" t="s">
        <v>4664</v>
      </c>
    </row>
    <row r="10" spans="1:9">
      <c r="A10" s="1420">
        <v>37</v>
      </c>
      <c r="B10" s="1420" t="s">
        <v>4953</v>
      </c>
      <c r="C10" s="1420" t="s">
        <v>4662</v>
      </c>
      <c r="D10" s="1420" t="s">
        <v>4954</v>
      </c>
      <c r="F10" s="1420" t="s">
        <v>4665</v>
      </c>
      <c r="G10" s="1420" t="s">
        <v>4666</v>
      </c>
    </row>
    <row r="11" spans="1:9">
      <c r="A11" s="1420">
        <v>38</v>
      </c>
      <c r="B11" s="1420" t="s">
        <v>4955</v>
      </c>
      <c r="C11" s="1420" t="s">
        <v>4667</v>
      </c>
      <c r="D11" s="1420" t="s">
        <v>4956</v>
      </c>
      <c r="F11" s="1420" t="s">
        <v>4668</v>
      </c>
      <c r="G11" s="1420" t="s">
        <v>4669</v>
      </c>
    </row>
    <row r="12" spans="1:9">
      <c r="A12" s="1420">
        <v>40</v>
      </c>
      <c r="B12" s="1420" t="s">
        <v>4670</v>
      </c>
      <c r="C12" s="1420" t="s">
        <v>4671</v>
      </c>
      <c r="D12" s="1420" t="s">
        <v>4957</v>
      </c>
      <c r="F12" s="1420" t="s">
        <v>4672</v>
      </c>
      <c r="G12" s="1420" t="s">
        <v>4673</v>
      </c>
    </row>
    <row r="13" spans="1:9">
      <c r="A13" s="1420">
        <v>46</v>
      </c>
      <c r="B13" s="1420" t="s">
        <v>4958</v>
      </c>
      <c r="C13" s="1420" t="s">
        <v>4674</v>
      </c>
      <c r="D13" s="1420" t="s">
        <v>4959</v>
      </c>
      <c r="F13" s="1420" t="s">
        <v>4675</v>
      </c>
      <c r="G13" s="1420" t="s">
        <v>4676</v>
      </c>
    </row>
    <row r="14" spans="1:9">
      <c r="A14" s="1420">
        <v>47</v>
      </c>
      <c r="B14" s="1420" t="s">
        <v>4960</v>
      </c>
      <c r="C14" s="1420" t="s">
        <v>4677</v>
      </c>
      <c r="D14" s="2089" t="s">
        <v>6360</v>
      </c>
      <c r="F14" s="1420" t="s">
        <v>4678</v>
      </c>
      <c r="G14" s="1420" t="s">
        <v>4679</v>
      </c>
    </row>
    <row r="15" spans="1:9">
      <c r="A15" s="1420">
        <v>51</v>
      </c>
      <c r="B15" s="1420" t="s">
        <v>4961</v>
      </c>
    </row>
    <row r="16" spans="1:9">
      <c r="A16" s="1420">
        <v>62</v>
      </c>
      <c r="B16" s="1420" t="s">
        <v>4962</v>
      </c>
      <c r="C16" s="1420" t="s">
        <v>4680</v>
      </c>
      <c r="D16" s="1420" t="s">
        <v>4963</v>
      </c>
      <c r="F16" s="1420" t="s">
        <v>4681</v>
      </c>
      <c r="G16" s="1420" t="s">
        <v>4682</v>
      </c>
    </row>
    <row r="17" spans="1:7">
      <c r="A17" s="1420">
        <v>64</v>
      </c>
      <c r="B17" s="1420" t="s">
        <v>4964</v>
      </c>
      <c r="C17" s="1420" t="s">
        <v>4683</v>
      </c>
      <c r="D17" s="1420" t="s">
        <v>4965</v>
      </c>
      <c r="E17" s="1420" t="s">
        <v>4966</v>
      </c>
      <c r="F17" s="1420" t="s">
        <v>4684</v>
      </c>
      <c r="G17" s="1420" t="s">
        <v>4685</v>
      </c>
    </row>
    <row r="18" spans="1:7">
      <c r="A18" s="1420">
        <v>65</v>
      </c>
      <c r="B18" s="1420" t="s">
        <v>4967</v>
      </c>
      <c r="C18" s="1420" t="s">
        <v>4686</v>
      </c>
      <c r="D18" s="1420" t="s">
        <v>4968</v>
      </c>
      <c r="F18" s="1420" t="s">
        <v>4687</v>
      </c>
      <c r="G18" s="1420" t="s">
        <v>4688</v>
      </c>
    </row>
    <row r="19" spans="1:7">
      <c r="A19" s="1420">
        <v>69</v>
      </c>
      <c r="B19" s="1420" t="s">
        <v>4969</v>
      </c>
      <c r="C19" s="1420" t="s">
        <v>4689</v>
      </c>
      <c r="D19" s="1420" t="s">
        <v>4970</v>
      </c>
      <c r="E19" s="1420" t="s">
        <v>4653</v>
      </c>
      <c r="F19" s="1420" t="s">
        <v>4690</v>
      </c>
      <c r="G19" s="1420" t="s">
        <v>4691</v>
      </c>
    </row>
    <row r="20" spans="1:7">
      <c r="A20" s="1420">
        <v>79</v>
      </c>
      <c r="B20" s="1420" t="s">
        <v>4971</v>
      </c>
    </row>
    <row r="21" spans="1:7">
      <c r="A21" s="1420">
        <v>81</v>
      </c>
      <c r="B21" s="1420" t="s">
        <v>4972</v>
      </c>
      <c r="C21" s="1420" t="s">
        <v>4692</v>
      </c>
      <c r="D21" s="1420" t="s">
        <v>4973</v>
      </c>
      <c r="F21" s="1420" t="s">
        <v>4693</v>
      </c>
      <c r="G21" s="1420" t="s">
        <v>4694</v>
      </c>
    </row>
    <row r="22" spans="1:7">
      <c r="A22" s="1420">
        <v>83</v>
      </c>
      <c r="B22" s="1420" t="s">
        <v>4974</v>
      </c>
      <c r="C22" s="1420" t="s">
        <v>4695</v>
      </c>
      <c r="D22" s="1420" t="s">
        <v>4975</v>
      </c>
      <c r="F22" s="1420" t="s">
        <v>4696</v>
      </c>
      <c r="G22" s="1420" t="s">
        <v>4697</v>
      </c>
    </row>
    <row r="23" spans="1:7">
      <c r="A23" s="1420">
        <v>91</v>
      </c>
      <c r="B23" s="1420" t="s">
        <v>4976</v>
      </c>
      <c r="C23" s="1420" t="s">
        <v>4698</v>
      </c>
      <c r="D23" s="1420" t="s">
        <v>4977</v>
      </c>
      <c r="F23" s="1420" t="s">
        <v>4699</v>
      </c>
      <c r="G23" s="1420" t="s">
        <v>4700</v>
      </c>
    </row>
    <row r="24" spans="1:7">
      <c r="A24" s="1420">
        <v>95</v>
      </c>
      <c r="B24" s="1420" t="s">
        <v>4978</v>
      </c>
      <c r="C24" s="1420" t="s">
        <v>4701</v>
      </c>
      <c r="D24" s="1420" t="s">
        <v>4979</v>
      </c>
      <c r="F24" s="1420" t="s">
        <v>4702</v>
      </c>
      <c r="G24" s="1420" t="s">
        <v>4703</v>
      </c>
    </row>
    <row r="25" spans="1:7">
      <c r="A25" s="1420">
        <v>97</v>
      </c>
      <c r="B25" s="1420" t="s">
        <v>4980</v>
      </c>
      <c r="D25" s="1420" t="s">
        <v>4981</v>
      </c>
    </row>
    <row r="26" spans="1:7">
      <c r="A26" s="1420">
        <v>104</v>
      </c>
      <c r="B26" s="1420" t="s">
        <v>4982</v>
      </c>
      <c r="C26" s="1420" t="s">
        <v>4704</v>
      </c>
      <c r="D26" s="1420" t="s">
        <v>4983</v>
      </c>
      <c r="F26" s="1420" t="s">
        <v>4705</v>
      </c>
      <c r="G26" s="1420" t="s">
        <v>4706</v>
      </c>
    </row>
    <row r="27" spans="1:7">
      <c r="A27" s="1420">
        <v>114</v>
      </c>
      <c r="B27" s="1420" t="s">
        <v>4984</v>
      </c>
      <c r="C27" s="1420" t="s">
        <v>4707</v>
      </c>
      <c r="D27" s="1420" t="s">
        <v>4985</v>
      </c>
      <c r="F27" s="1420" t="s">
        <v>4708</v>
      </c>
      <c r="G27" s="1420" t="s">
        <v>4709</v>
      </c>
    </row>
    <row r="28" spans="1:7">
      <c r="A28" s="1420">
        <v>115</v>
      </c>
      <c r="B28" s="1420" t="s">
        <v>4986</v>
      </c>
      <c r="C28" s="1420" t="s">
        <v>4710</v>
      </c>
      <c r="D28" s="1420" t="s">
        <v>4987</v>
      </c>
      <c r="F28" s="1420" t="s">
        <v>4711</v>
      </c>
      <c r="G28" s="1420" t="s">
        <v>4712</v>
      </c>
    </row>
    <row r="29" spans="1:7">
      <c r="A29" s="1420">
        <v>116</v>
      </c>
      <c r="B29" s="1420" t="s">
        <v>4988</v>
      </c>
      <c r="C29" s="1420" t="s">
        <v>4713</v>
      </c>
      <c r="D29" s="1420" t="s">
        <v>4989</v>
      </c>
      <c r="F29" s="1420" t="s">
        <v>4714</v>
      </c>
      <c r="G29" s="1420" t="s">
        <v>4715</v>
      </c>
    </row>
    <row r="30" spans="1:7">
      <c r="A30" s="1420">
        <v>120</v>
      </c>
      <c r="B30" s="1420" t="s">
        <v>4990</v>
      </c>
      <c r="D30" s="1420" t="s">
        <v>4991</v>
      </c>
    </row>
    <row r="31" spans="1:7">
      <c r="A31" s="1420">
        <v>122</v>
      </c>
      <c r="B31" s="1420" t="s">
        <v>4992</v>
      </c>
      <c r="D31" s="1420" t="s">
        <v>4991</v>
      </c>
    </row>
    <row r="32" spans="1:7">
      <c r="A32" s="1420">
        <v>127</v>
      </c>
      <c r="B32" s="1420" t="s">
        <v>4993</v>
      </c>
      <c r="D32" s="1420" t="s">
        <v>4994</v>
      </c>
      <c r="F32" s="1420" t="s">
        <v>4716</v>
      </c>
      <c r="G32" s="1420" t="s">
        <v>4717</v>
      </c>
    </row>
    <row r="33" spans="1:7">
      <c r="A33" s="1420">
        <v>128</v>
      </c>
      <c r="B33" s="1420" t="s">
        <v>4995</v>
      </c>
      <c r="C33" s="1420" t="s">
        <v>4718</v>
      </c>
      <c r="D33" s="1420" t="s">
        <v>4994</v>
      </c>
      <c r="F33" s="1420" t="s">
        <v>4716</v>
      </c>
      <c r="G33" s="1420" t="s">
        <v>4719</v>
      </c>
    </row>
    <row r="34" spans="1:7">
      <c r="A34" s="1420">
        <v>129</v>
      </c>
      <c r="B34" s="1420" t="s">
        <v>4996</v>
      </c>
      <c r="C34" s="1420" t="s">
        <v>4720</v>
      </c>
      <c r="D34" s="1420" t="s">
        <v>4997</v>
      </c>
      <c r="F34" s="1420" t="s">
        <v>4721</v>
      </c>
      <c r="G34" s="1420" t="s">
        <v>4722</v>
      </c>
    </row>
    <row r="35" spans="1:7">
      <c r="A35" s="1420">
        <v>146</v>
      </c>
      <c r="B35" s="1420" t="s">
        <v>4998</v>
      </c>
      <c r="C35" s="1420" t="s">
        <v>4723</v>
      </c>
      <c r="D35" s="1420" t="s">
        <v>4999</v>
      </c>
      <c r="F35" s="1420" t="s">
        <v>4724</v>
      </c>
      <c r="G35" s="1420" t="s">
        <v>4725</v>
      </c>
    </row>
    <row r="36" spans="1:7" ht="18.75">
      <c r="A36" s="1420">
        <v>148</v>
      </c>
      <c r="B36" s="1420" t="s">
        <v>5000</v>
      </c>
      <c r="C36" s="1420" t="s">
        <v>8034</v>
      </c>
      <c r="D36" s="2089" t="s">
        <v>8035</v>
      </c>
      <c r="F36" s="1420" t="s">
        <v>4726</v>
      </c>
      <c r="G36" s="1420" t="s">
        <v>4727</v>
      </c>
    </row>
    <row r="37" spans="1:7">
      <c r="A37" s="1420">
        <v>151</v>
      </c>
      <c r="B37" s="1420" t="s">
        <v>5001</v>
      </c>
      <c r="C37" s="1420" t="s">
        <v>4728</v>
      </c>
      <c r="D37" s="1420" t="s">
        <v>5002</v>
      </c>
      <c r="F37" s="1420" t="s">
        <v>4729</v>
      </c>
      <c r="G37" s="1420" t="s">
        <v>4730</v>
      </c>
    </row>
    <row r="38" spans="1:7">
      <c r="A38" s="1420">
        <v>152</v>
      </c>
      <c r="B38" s="1420" t="s">
        <v>5003</v>
      </c>
      <c r="C38" s="1420" t="s">
        <v>4731</v>
      </c>
      <c r="D38" s="1420" t="s">
        <v>5004</v>
      </c>
      <c r="F38" s="1420" t="s">
        <v>4732</v>
      </c>
      <c r="G38" s="1420" t="s">
        <v>4733</v>
      </c>
    </row>
    <row r="39" spans="1:7">
      <c r="A39" s="1420">
        <v>157</v>
      </c>
      <c r="B39" s="1420" t="s">
        <v>5005</v>
      </c>
      <c r="C39" s="1420" t="s">
        <v>4701</v>
      </c>
      <c r="D39" s="1420" t="s">
        <v>5006</v>
      </c>
      <c r="F39" s="1420" t="s">
        <v>4734</v>
      </c>
      <c r="G39" s="1420" t="s">
        <v>4735</v>
      </c>
    </row>
    <row r="40" spans="1:7">
      <c r="A40" s="1420">
        <v>179</v>
      </c>
      <c r="B40" s="1420" t="s">
        <v>5007</v>
      </c>
      <c r="D40" s="1420" t="s">
        <v>4991</v>
      </c>
    </row>
    <row r="41" spans="1:7">
      <c r="A41" s="1420">
        <v>180</v>
      </c>
      <c r="B41" s="1420" t="s">
        <v>5008</v>
      </c>
      <c r="D41" s="1420" t="s">
        <v>5009</v>
      </c>
      <c r="E41" s="1420" t="s">
        <v>5010</v>
      </c>
    </row>
    <row r="42" spans="1:7">
      <c r="A42" s="1420">
        <v>183</v>
      </c>
      <c r="B42" s="1420" t="s">
        <v>5011</v>
      </c>
      <c r="C42" s="1420" t="s">
        <v>4736</v>
      </c>
      <c r="D42" s="1420" t="s">
        <v>5012</v>
      </c>
      <c r="F42" s="1420" t="s">
        <v>4737</v>
      </c>
      <c r="G42" s="1420" t="s">
        <v>4738</v>
      </c>
    </row>
    <row r="43" spans="1:7">
      <c r="A43" s="1420">
        <v>188</v>
      </c>
      <c r="B43" s="1420" t="s">
        <v>5013</v>
      </c>
      <c r="C43" s="1420" t="s">
        <v>4739</v>
      </c>
      <c r="D43" s="1420" t="s">
        <v>5014</v>
      </c>
      <c r="E43" s="1420" t="s">
        <v>5015</v>
      </c>
      <c r="F43" s="1420" t="s">
        <v>4740</v>
      </c>
      <c r="G43" s="1420" t="s">
        <v>4741</v>
      </c>
    </row>
    <row r="44" spans="1:7">
      <c r="A44" s="1420">
        <v>189</v>
      </c>
      <c r="B44" s="1420" t="s">
        <v>5016</v>
      </c>
      <c r="D44" s="1420" t="s">
        <v>4991</v>
      </c>
    </row>
    <row r="45" spans="1:7">
      <c r="A45" s="1420">
        <v>197</v>
      </c>
      <c r="B45" s="1420" t="s">
        <v>5017</v>
      </c>
      <c r="C45" s="1420" t="s">
        <v>4742</v>
      </c>
      <c r="D45" s="1420" t="s">
        <v>5018</v>
      </c>
      <c r="F45" s="1420" t="s">
        <v>4743</v>
      </c>
      <c r="G45" s="1420" t="s">
        <v>4744</v>
      </c>
    </row>
    <row r="46" spans="1:7">
      <c r="A46" s="1420">
        <v>201</v>
      </c>
      <c r="B46" s="1420" t="s">
        <v>5019</v>
      </c>
      <c r="C46" s="1420" t="s">
        <v>4745</v>
      </c>
      <c r="D46" s="1420" t="s">
        <v>5020</v>
      </c>
      <c r="F46" s="1420" t="s">
        <v>4746</v>
      </c>
      <c r="G46" s="1420" t="s">
        <v>4747</v>
      </c>
    </row>
    <row r="47" spans="1:7">
      <c r="A47" s="1420">
        <v>202</v>
      </c>
      <c r="B47" s="1420" t="s">
        <v>5019</v>
      </c>
      <c r="C47" s="1420" t="s">
        <v>4745</v>
      </c>
      <c r="D47" s="1420" t="s">
        <v>5020</v>
      </c>
      <c r="F47" s="1420" t="s">
        <v>4746</v>
      </c>
      <c r="G47" s="1420" t="s">
        <v>4747</v>
      </c>
    </row>
    <row r="48" spans="1:7">
      <c r="A48" s="1420">
        <v>204</v>
      </c>
      <c r="B48" s="1757" t="s">
        <v>5473</v>
      </c>
      <c r="C48" s="1420" t="s">
        <v>4646</v>
      </c>
      <c r="D48" s="1420" t="s">
        <v>5021</v>
      </c>
      <c r="E48" s="1420" t="s">
        <v>5022</v>
      </c>
      <c r="F48" s="1420" t="s">
        <v>4748</v>
      </c>
      <c r="G48" s="1420" t="s">
        <v>4749</v>
      </c>
    </row>
    <row r="49" spans="1:9">
      <c r="A49" s="1420">
        <v>221</v>
      </c>
      <c r="B49" s="1420" t="s">
        <v>5023</v>
      </c>
      <c r="C49" s="1420" t="s">
        <v>4750</v>
      </c>
      <c r="D49" s="1420" t="s">
        <v>5024</v>
      </c>
      <c r="F49" s="1420" t="s">
        <v>4751</v>
      </c>
      <c r="G49" s="1420" t="s">
        <v>4752</v>
      </c>
    </row>
    <row r="50" spans="1:9">
      <c r="A50" s="1420">
        <v>234</v>
      </c>
      <c r="B50" s="1420" t="s">
        <v>5025</v>
      </c>
      <c r="C50" s="1420" t="s">
        <v>4753</v>
      </c>
      <c r="D50" s="1420" t="s">
        <v>5026</v>
      </c>
      <c r="F50" s="1420" t="s">
        <v>4754</v>
      </c>
      <c r="G50" s="1420" t="s">
        <v>4755</v>
      </c>
    </row>
    <row r="51" spans="1:9">
      <c r="A51" s="1420">
        <v>239</v>
      </c>
      <c r="B51" s="1420" t="s">
        <v>5027</v>
      </c>
      <c r="C51" s="1420" t="s">
        <v>4756</v>
      </c>
      <c r="D51" s="1420" t="s">
        <v>5028</v>
      </c>
      <c r="F51" s="1420" t="s">
        <v>4757</v>
      </c>
      <c r="G51" s="1420" t="s">
        <v>4758</v>
      </c>
    </row>
    <row r="52" spans="1:9">
      <c r="A52" s="1420">
        <v>240</v>
      </c>
      <c r="B52" s="1757" t="s">
        <v>5474</v>
      </c>
      <c r="C52" s="1420" t="s">
        <v>5475</v>
      </c>
      <c r="D52" s="1758" t="s">
        <v>5476</v>
      </c>
      <c r="F52" s="1420" t="s">
        <v>5477</v>
      </c>
      <c r="G52" s="1420" t="s">
        <v>5478</v>
      </c>
      <c r="I52" s="1427" t="s">
        <v>5479</v>
      </c>
    </row>
    <row r="53" spans="1:9">
      <c r="A53" s="1420">
        <v>241</v>
      </c>
      <c r="B53" s="1420" t="s">
        <v>5029</v>
      </c>
      <c r="C53" s="1420" t="s">
        <v>4759</v>
      </c>
      <c r="D53" s="1420" t="s">
        <v>5030</v>
      </c>
      <c r="F53" s="1420" t="s">
        <v>4760</v>
      </c>
      <c r="G53" s="1420" t="s">
        <v>4761</v>
      </c>
    </row>
    <row r="54" spans="1:9">
      <c r="A54" s="1420">
        <v>245</v>
      </c>
      <c r="B54" s="1420" t="s">
        <v>5031</v>
      </c>
      <c r="C54" s="1420" t="s">
        <v>4762</v>
      </c>
      <c r="D54" s="1420" t="s">
        <v>5032</v>
      </c>
      <c r="F54" s="1420" t="s">
        <v>4763</v>
      </c>
      <c r="G54" s="1420" t="s">
        <v>4764</v>
      </c>
    </row>
    <row r="55" spans="1:9">
      <c r="A55" s="1420">
        <v>259</v>
      </c>
      <c r="B55" s="1420" t="s">
        <v>5033</v>
      </c>
      <c r="C55" s="1420" t="s">
        <v>4765</v>
      </c>
      <c r="D55" s="1420" t="s">
        <v>5034</v>
      </c>
      <c r="F55" s="1420" t="s">
        <v>4766</v>
      </c>
      <c r="G55" s="1420" t="s">
        <v>4767</v>
      </c>
    </row>
    <row r="56" spans="1:9">
      <c r="A56" s="1420">
        <v>265</v>
      </c>
      <c r="B56" s="1420" t="s">
        <v>5035</v>
      </c>
      <c r="C56" s="1420" t="s">
        <v>4768</v>
      </c>
      <c r="D56" s="1420" t="s">
        <v>5036</v>
      </c>
      <c r="F56" s="1420" t="s">
        <v>4769</v>
      </c>
      <c r="G56" s="1420" t="s">
        <v>4770</v>
      </c>
    </row>
    <row r="57" spans="1:9">
      <c r="A57" s="1420">
        <v>291</v>
      </c>
      <c r="B57" s="1420" t="s">
        <v>5037</v>
      </c>
      <c r="C57" s="1420" t="s">
        <v>4771</v>
      </c>
      <c r="D57" s="1420" t="s">
        <v>5038</v>
      </c>
      <c r="F57" s="1420" t="s">
        <v>4772</v>
      </c>
      <c r="G57" s="1420" t="s">
        <v>4773</v>
      </c>
    </row>
    <row r="58" spans="1:9">
      <c r="A58" s="1420">
        <v>307</v>
      </c>
      <c r="B58" s="1420" t="s">
        <v>5039</v>
      </c>
      <c r="C58" s="1420" t="s">
        <v>4774</v>
      </c>
      <c r="D58" s="1420" t="s">
        <v>5040</v>
      </c>
      <c r="F58" s="1420" t="s">
        <v>4775</v>
      </c>
      <c r="G58" s="1420" t="s">
        <v>4776</v>
      </c>
    </row>
    <row r="59" spans="1:9">
      <c r="A59" s="1420">
        <v>308</v>
      </c>
      <c r="B59" s="1420" t="s">
        <v>5041</v>
      </c>
      <c r="C59" s="1420" t="s">
        <v>4774</v>
      </c>
      <c r="D59" s="1420" t="s">
        <v>5040</v>
      </c>
      <c r="F59" s="1420" t="s">
        <v>4775</v>
      </c>
      <c r="G59" s="1420" t="s">
        <v>4776</v>
      </c>
    </row>
    <row r="60" spans="1:9">
      <c r="A60" s="1420">
        <v>312</v>
      </c>
      <c r="B60" s="1420" t="s">
        <v>5042</v>
      </c>
      <c r="C60" s="1420" t="s">
        <v>4777</v>
      </c>
      <c r="D60" s="1420" t="s">
        <v>5043</v>
      </c>
      <c r="F60" s="1420" t="s">
        <v>4778</v>
      </c>
      <c r="G60" s="1420" t="s">
        <v>4779</v>
      </c>
    </row>
    <row r="61" spans="1:9">
      <c r="A61" s="1420">
        <v>321</v>
      </c>
      <c r="B61" s="1420" t="s">
        <v>5044</v>
      </c>
      <c r="C61" s="1420" t="s">
        <v>4780</v>
      </c>
      <c r="D61" s="1420" t="s">
        <v>5045</v>
      </c>
      <c r="F61" s="1420" t="s">
        <v>4781</v>
      </c>
      <c r="G61" s="1420" t="s">
        <v>4782</v>
      </c>
    </row>
    <row r="62" spans="1:9">
      <c r="A62" s="1420">
        <v>326</v>
      </c>
      <c r="B62" s="1420" t="s">
        <v>5046</v>
      </c>
      <c r="C62" s="1420" t="s">
        <v>4783</v>
      </c>
      <c r="D62" s="1420" t="s">
        <v>5047</v>
      </c>
      <c r="F62" s="1420" t="s">
        <v>4784</v>
      </c>
      <c r="G62" s="1420" t="s">
        <v>4785</v>
      </c>
    </row>
    <row r="63" spans="1:9">
      <c r="A63" s="1420">
        <v>329</v>
      </c>
      <c r="B63" s="1420" t="s">
        <v>5048</v>
      </c>
      <c r="C63" s="1420" t="s">
        <v>4786</v>
      </c>
      <c r="D63" s="1420" t="s">
        <v>5049</v>
      </c>
      <c r="F63" s="1420" t="s">
        <v>4787</v>
      </c>
      <c r="G63" s="1420" t="s">
        <v>4788</v>
      </c>
    </row>
    <row r="64" spans="1:9">
      <c r="A64" s="1420">
        <v>355</v>
      </c>
      <c r="B64" s="1420" t="s">
        <v>5050</v>
      </c>
      <c r="D64" s="1420" t="s">
        <v>4991</v>
      </c>
    </row>
    <row r="65" spans="1:7">
      <c r="A65" s="1420">
        <v>357</v>
      </c>
      <c r="B65" s="1420" t="s">
        <v>5051</v>
      </c>
      <c r="D65" s="1420" t="s">
        <v>4991</v>
      </c>
    </row>
    <row r="66" spans="1:7">
      <c r="A66" s="1420">
        <v>358</v>
      </c>
      <c r="B66" s="1420" t="s">
        <v>5052</v>
      </c>
      <c r="D66" s="1420" t="s">
        <v>4991</v>
      </c>
    </row>
    <row r="67" spans="1:7">
      <c r="A67" s="1420">
        <v>361</v>
      </c>
      <c r="B67" s="1420" t="s">
        <v>5053</v>
      </c>
      <c r="C67" s="1420" t="s">
        <v>4789</v>
      </c>
      <c r="D67" s="1420" t="s">
        <v>5054</v>
      </c>
      <c r="F67" s="1420" t="s">
        <v>4790</v>
      </c>
      <c r="G67" s="1420" t="s">
        <v>4791</v>
      </c>
    </row>
    <row r="68" spans="1:7">
      <c r="A68" s="1420">
        <v>373</v>
      </c>
      <c r="B68" s="1420" t="s">
        <v>5055</v>
      </c>
      <c r="D68" s="1420" t="s">
        <v>4991</v>
      </c>
    </row>
    <row r="69" spans="1:7">
      <c r="A69" s="1420">
        <v>379</v>
      </c>
      <c r="B69" s="1420" t="s">
        <v>5056</v>
      </c>
      <c r="C69" s="1420" t="s">
        <v>4646</v>
      </c>
      <c r="D69" s="1420" t="s">
        <v>5057</v>
      </c>
      <c r="E69" s="1420" t="s">
        <v>5058</v>
      </c>
      <c r="F69" s="1420" t="s">
        <v>4792</v>
      </c>
      <c r="G69" s="1420" t="s">
        <v>4793</v>
      </c>
    </row>
    <row r="70" spans="1:7">
      <c r="A70" s="1420">
        <v>391</v>
      </c>
      <c r="B70" s="1420" t="s">
        <v>5059</v>
      </c>
      <c r="C70" s="1420" t="s">
        <v>4794</v>
      </c>
      <c r="D70" s="1420" t="s">
        <v>5060</v>
      </c>
      <c r="F70" s="1420" t="s">
        <v>4795</v>
      </c>
      <c r="G70" s="1420" t="s">
        <v>4796</v>
      </c>
    </row>
    <row r="71" spans="1:7">
      <c r="A71" s="1420">
        <v>392</v>
      </c>
      <c r="B71" s="1420" t="s">
        <v>5061</v>
      </c>
      <c r="C71" s="1420" t="s">
        <v>4797</v>
      </c>
      <c r="D71" s="1420" t="s">
        <v>5062</v>
      </c>
      <c r="F71" s="1420" t="s">
        <v>4798</v>
      </c>
      <c r="G71" s="1420" t="s">
        <v>4799</v>
      </c>
    </row>
    <row r="72" spans="1:7">
      <c r="A72" s="1420">
        <v>395</v>
      </c>
      <c r="B72" s="1420" t="s">
        <v>5063</v>
      </c>
      <c r="C72" s="1420" t="s">
        <v>4800</v>
      </c>
      <c r="D72" s="1420" t="s">
        <v>5064</v>
      </c>
      <c r="F72" s="1420" t="s">
        <v>4801</v>
      </c>
      <c r="G72" s="1420" t="s">
        <v>4801</v>
      </c>
    </row>
    <row r="73" spans="1:7">
      <c r="A73" s="1420">
        <v>397</v>
      </c>
      <c r="B73" s="1420" t="s">
        <v>5065</v>
      </c>
      <c r="D73" s="1420" t="s">
        <v>4991</v>
      </c>
    </row>
    <row r="74" spans="1:7">
      <c r="A74" s="1420">
        <v>398</v>
      </c>
      <c r="B74" s="1420" t="s">
        <v>5066</v>
      </c>
      <c r="C74" s="1420" t="s">
        <v>4802</v>
      </c>
      <c r="D74" s="1420" t="s">
        <v>5067</v>
      </c>
      <c r="F74" s="1420" t="s">
        <v>4803</v>
      </c>
      <c r="G74" s="1420" t="s">
        <v>4804</v>
      </c>
    </row>
    <row r="75" spans="1:7">
      <c r="A75" s="1420">
        <v>401</v>
      </c>
      <c r="B75" s="1420" t="s">
        <v>5068</v>
      </c>
      <c r="C75" s="1420" t="s">
        <v>4805</v>
      </c>
      <c r="D75" s="1420" t="s">
        <v>5069</v>
      </c>
      <c r="F75" s="1420" t="s">
        <v>4806</v>
      </c>
      <c r="G75" s="1420" t="s">
        <v>4807</v>
      </c>
    </row>
    <row r="76" spans="1:7">
      <c r="A76" s="1420">
        <v>407</v>
      </c>
      <c r="B76" s="1420" t="s">
        <v>5070</v>
      </c>
      <c r="C76" s="1420" t="s">
        <v>4808</v>
      </c>
      <c r="D76" s="1420" t="s">
        <v>5071</v>
      </c>
      <c r="F76" s="1420" t="s">
        <v>4809</v>
      </c>
      <c r="G76" s="1420" t="s">
        <v>4810</v>
      </c>
    </row>
    <row r="77" spans="1:7">
      <c r="A77" s="1420">
        <v>408</v>
      </c>
      <c r="B77" s="1420" t="s">
        <v>5072</v>
      </c>
      <c r="D77" s="1420" t="s">
        <v>4991</v>
      </c>
    </row>
    <row r="78" spans="1:7">
      <c r="A78" s="1420">
        <v>409</v>
      </c>
      <c r="B78" s="1420" t="s">
        <v>5073</v>
      </c>
      <c r="C78" s="1420" t="s">
        <v>4811</v>
      </c>
      <c r="D78" s="1420" t="s">
        <v>5074</v>
      </c>
      <c r="F78" s="1420" t="s">
        <v>4812</v>
      </c>
      <c r="G78" s="1420" t="s">
        <v>4813</v>
      </c>
    </row>
    <row r="79" spans="1:7">
      <c r="A79" s="1420">
        <v>410</v>
      </c>
      <c r="B79" s="1420" t="s">
        <v>5075</v>
      </c>
      <c r="D79" s="1420" t="s">
        <v>4991</v>
      </c>
    </row>
    <row r="80" spans="1:7">
      <c r="A80" s="1420">
        <v>411</v>
      </c>
      <c r="B80" s="1420" t="s">
        <v>5076</v>
      </c>
      <c r="C80" s="1420" t="s">
        <v>4814</v>
      </c>
      <c r="D80" s="1420" t="s">
        <v>5077</v>
      </c>
      <c r="F80" s="1420" t="s">
        <v>4815</v>
      </c>
      <c r="G80" s="1420" t="s">
        <v>4816</v>
      </c>
    </row>
    <row r="81" spans="1:7">
      <c r="A81" s="1420">
        <v>419</v>
      </c>
      <c r="B81" s="1420" t="s">
        <v>5078</v>
      </c>
      <c r="D81" s="1420" t="s">
        <v>4991</v>
      </c>
    </row>
    <row r="82" spans="1:7">
      <c r="A82" s="1420">
        <v>426</v>
      </c>
      <c r="B82" s="1420" t="s">
        <v>5079</v>
      </c>
      <c r="C82" s="1420" t="s">
        <v>4817</v>
      </c>
      <c r="D82" s="1420" t="s">
        <v>5080</v>
      </c>
      <c r="F82" s="1420" t="s">
        <v>4818</v>
      </c>
      <c r="G82" s="1420" t="s">
        <v>4819</v>
      </c>
    </row>
    <row r="83" spans="1:7">
      <c r="A83" s="1420">
        <v>427</v>
      </c>
      <c r="B83" s="1420" t="s">
        <v>5081</v>
      </c>
      <c r="C83" s="1420" t="s">
        <v>4820</v>
      </c>
      <c r="D83" s="1420" t="s">
        <v>5082</v>
      </c>
      <c r="F83" s="1420" t="s">
        <v>4821</v>
      </c>
      <c r="G83" s="1420" t="s">
        <v>4822</v>
      </c>
    </row>
    <row r="84" spans="1:7">
      <c r="A84" s="1420">
        <v>429</v>
      </c>
      <c r="B84" s="1420" t="s">
        <v>5083</v>
      </c>
      <c r="C84" s="1420" t="s">
        <v>4823</v>
      </c>
      <c r="D84" s="1420" t="s">
        <v>5084</v>
      </c>
      <c r="F84" s="1420" t="s">
        <v>4824</v>
      </c>
      <c r="G84" s="1420" t="s">
        <v>4825</v>
      </c>
    </row>
    <row r="85" spans="1:7">
      <c r="A85" s="1420">
        <v>431</v>
      </c>
      <c r="B85" s="1420" t="s">
        <v>5085</v>
      </c>
      <c r="C85" s="1420" t="s">
        <v>4826</v>
      </c>
      <c r="D85" s="1420" t="s">
        <v>5086</v>
      </c>
      <c r="F85" s="1420" t="s">
        <v>4827</v>
      </c>
      <c r="G85" s="1420" t="s">
        <v>4828</v>
      </c>
    </row>
    <row r="86" spans="1:7">
      <c r="A86" s="1420">
        <v>432</v>
      </c>
      <c r="B86" s="1420" t="s">
        <v>5087</v>
      </c>
      <c r="D86" s="1420" t="s">
        <v>4991</v>
      </c>
    </row>
    <row r="87" spans="1:7">
      <c r="A87" s="1420">
        <v>433</v>
      </c>
      <c r="B87" s="1420" t="s">
        <v>5087</v>
      </c>
      <c r="D87" s="1420" t="s">
        <v>4991</v>
      </c>
    </row>
    <row r="88" spans="1:7">
      <c r="A88" s="1420">
        <v>436</v>
      </c>
      <c r="B88" s="1420" t="s">
        <v>5088</v>
      </c>
      <c r="C88" s="1420" t="s">
        <v>4829</v>
      </c>
      <c r="D88" s="1420" t="s">
        <v>5089</v>
      </c>
      <c r="F88" s="1420" t="s">
        <v>4830</v>
      </c>
    </row>
    <row r="89" spans="1:7">
      <c r="A89" s="1420">
        <v>504</v>
      </c>
      <c r="B89" s="1420" t="s">
        <v>5090</v>
      </c>
      <c r="C89" s="1420" t="s">
        <v>4831</v>
      </c>
      <c r="D89" s="1420" t="s">
        <v>5091</v>
      </c>
      <c r="F89" s="1420" t="s">
        <v>4832</v>
      </c>
      <c r="G89" s="1420" t="s">
        <v>4833</v>
      </c>
    </row>
    <row r="90" spans="1:7">
      <c r="A90" s="1420">
        <v>507</v>
      </c>
      <c r="B90" s="1420" t="s">
        <v>5092</v>
      </c>
      <c r="C90" s="1420" t="s">
        <v>4834</v>
      </c>
      <c r="D90" s="1420" t="s">
        <v>5093</v>
      </c>
      <c r="F90" s="1420" t="s">
        <v>4835</v>
      </c>
      <c r="G90" s="1420" t="s">
        <v>4836</v>
      </c>
    </row>
    <row r="91" spans="1:7">
      <c r="A91" s="1420">
        <v>513</v>
      </c>
      <c r="B91" s="1420" t="s">
        <v>5094</v>
      </c>
      <c r="C91" s="1420" t="s">
        <v>4837</v>
      </c>
      <c r="D91" s="1420" t="s">
        <v>5095</v>
      </c>
      <c r="F91" s="1420" t="s">
        <v>4838</v>
      </c>
      <c r="G91" s="1420" t="s">
        <v>4839</v>
      </c>
    </row>
    <row r="92" spans="1:7">
      <c r="A92" s="1420">
        <v>516</v>
      </c>
      <c r="B92" s="1420" t="s">
        <v>5096</v>
      </c>
      <c r="D92" s="1420" t="s">
        <v>4991</v>
      </c>
    </row>
    <row r="93" spans="1:7">
      <c r="A93" s="1420">
        <v>517</v>
      </c>
      <c r="B93" s="1420" t="s">
        <v>5097</v>
      </c>
      <c r="C93" s="1420" t="s">
        <v>4840</v>
      </c>
      <c r="D93" s="1420" t="s">
        <v>5098</v>
      </c>
      <c r="F93" s="1420" t="s">
        <v>4841</v>
      </c>
      <c r="G93" s="1420" t="s">
        <v>4842</v>
      </c>
    </row>
    <row r="94" spans="1:7">
      <c r="A94" s="1420">
        <v>518</v>
      </c>
      <c r="B94" s="1420" t="s">
        <v>5099</v>
      </c>
      <c r="D94" s="1420" t="s">
        <v>4991</v>
      </c>
    </row>
    <row r="95" spans="1:7">
      <c r="A95" s="1420">
        <v>525</v>
      </c>
      <c r="B95" s="1420" t="s">
        <v>5100</v>
      </c>
      <c r="C95" s="1420" t="s">
        <v>4843</v>
      </c>
      <c r="D95" s="1420" t="s">
        <v>5101</v>
      </c>
      <c r="F95" s="1420" t="s">
        <v>4844</v>
      </c>
      <c r="G95" s="1420" t="s">
        <v>4845</v>
      </c>
    </row>
    <row r="96" spans="1:7">
      <c r="A96" s="1420">
        <v>532</v>
      </c>
      <c r="B96" s="1420" t="s">
        <v>5102</v>
      </c>
      <c r="C96" s="1420" t="s">
        <v>4846</v>
      </c>
      <c r="D96" s="1420" t="s">
        <v>5103</v>
      </c>
      <c r="F96" s="1420" t="s">
        <v>4847</v>
      </c>
      <c r="G96" s="1420" t="s">
        <v>4848</v>
      </c>
    </row>
    <row r="97" spans="1:7">
      <c r="A97" s="1420">
        <v>536</v>
      </c>
      <c r="B97" s="1420" t="s">
        <v>5104</v>
      </c>
      <c r="C97" s="1420" t="s">
        <v>4849</v>
      </c>
      <c r="D97" s="1420" t="s">
        <v>5105</v>
      </c>
      <c r="F97" s="1420" t="s">
        <v>4850</v>
      </c>
      <c r="G97" s="1420" t="s">
        <v>4851</v>
      </c>
    </row>
    <row r="98" spans="1:7">
      <c r="A98" s="1420">
        <v>537</v>
      </c>
      <c r="B98" s="1420" t="s">
        <v>5104</v>
      </c>
      <c r="D98" s="1420" t="s">
        <v>4991</v>
      </c>
    </row>
    <row r="99" spans="1:7">
      <c r="A99" s="1420">
        <v>538</v>
      </c>
      <c r="B99" s="1420" t="s">
        <v>5106</v>
      </c>
      <c r="C99" s="1420" t="s">
        <v>4852</v>
      </c>
      <c r="D99" s="1420" t="s">
        <v>5107</v>
      </c>
      <c r="F99" s="1420" t="s">
        <v>4853</v>
      </c>
      <c r="G99" s="1420" t="s">
        <v>4854</v>
      </c>
    </row>
    <row r="100" spans="1:7">
      <c r="A100" s="1420">
        <v>549</v>
      </c>
      <c r="B100" s="1420" t="s">
        <v>5108</v>
      </c>
      <c r="D100" s="1420" t="s">
        <v>4991</v>
      </c>
    </row>
    <row r="101" spans="1:7">
      <c r="A101" s="1420">
        <v>551</v>
      </c>
      <c r="B101" s="1420" t="s">
        <v>5109</v>
      </c>
      <c r="C101" s="1420" t="s">
        <v>4855</v>
      </c>
      <c r="D101" s="1420" t="s">
        <v>5110</v>
      </c>
      <c r="F101" s="1420" t="s">
        <v>4856</v>
      </c>
      <c r="G101" s="1420" t="s">
        <v>4857</v>
      </c>
    </row>
    <row r="102" spans="1:7">
      <c r="A102" s="1420">
        <v>552</v>
      </c>
      <c r="B102" s="1420" t="s">
        <v>5111</v>
      </c>
      <c r="D102" s="1420" t="s">
        <v>4991</v>
      </c>
    </row>
    <row r="103" spans="1:7">
      <c r="A103" s="1420">
        <v>553</v>
      </c>
      <c r="B103" s="1420" t="s">
        <v>5112</v>
      </c>
      <c r="C103" s="1420" t="s">
        <v>4786</v>
      </c>
      <c r="D103" s="1420" t="s">
        <v>5113</v>
      </c>
      <c r="F103" s="1420" t="s">
        <v>4858</v>
      </c>
      <c r="G103" s="1420" t="s">
        <v>4859</v>
      </c>
    </row>
    <row r="104" spans="1:7">
      <c r="A104" s="1420">
        <v>554</v>
      </c>
      <c r="B104" s="1420" t="s">
        <v>5114</v>
      </c>
      <c r="C104" s="1420" t="s">
        <v>4701</v>
      </c>
      <c r="D104" s="1420" t="s">
        <v>5115</v>
      </c>
      <c r="F104" s="1420" t="s">
        <v>4860</v>
      </c>
      <c r="G104" s="1420" t="s">
        <v>4861</v>
      </c>
    </row>
    <row r="105" spans="1:7">
      <c r="A105" s="1420">
        <v>555</v>
      </c>
      <c r="B105" s="1420" t="s">
        <v>5116</v>
      </c>
      <c r="C105" s="1420" t="s">
        <v>4811</v>
      </c>
      <c r="D105" s="1420" t="s">
        <v>5117</v>
      </c>
      <c r="F105" s="1420" t="s">
        <v>4862</v>
      </c>
      <c r="G105" s="1420" t="s">
        <v>4863</v>
      </c>
    </row>
    <row r="106" spans="1:7">
      <c r="A106" s="1420">
        <v>558</v>
      </c>
      <c r="B106" s="1420" t="s">
        <v>5118</v>
      </c>
      <c r="C106" s="1420" t="s">
        <v>4864</v>
      </c>
      <c r="D106" s="1420" t="s">
        <v>5119</v>
      </c>
      <c r="E106" s="1420" t="s">
        <v>5120</v>
      </c>
      <c r="F106" s="1420" t="s">
        <v>4865</v>
      </c>
      <c r="G106" s="1420" t="s">
        <v>4866</v>
      </c>
    </row>
    <row r="107" spans="1:7">
      <c r="A107" s="1420">
        <v>593</v>
      </c>
      <c r="B107" s="1420" t="s">
        <v>5121</v>
      </c>
      <c r="D107" s="1420" t="s">
        <v>4991</v>
      </c>
    </row>
    <row r="108" spans="1:7">
      <c r="A108" s="1420">
        <v>595</v>
      </c>
      <c r="B108" s="1420" t="s">
        <v>5122</v>
      </c>
      <c r="C108" s="1420" t="s">
        <v>4867</v>
      </c>
      <c r="D108" s="1420" t="s">
        <v>5123</v>
      </c>
      <c r="F108" s="1420" t="s">
        <v>4868</v>
      </c>
      <c r="G108" s="1420" t="s">
        <v>4869</v>
      </c>
    </row>
    <row r="109" spans="1:7">
      <c r="A109" s="1420">
        <v>603</v>
      </c>
      <c r="B109" s="1420" t="s">
        <v>4670</v>
      </c>
      <c r="C109" s="1420" t="s">
        <v>4671</v>
      </c>
      <c r="D109" s="1420" t="s">
        <v>4957</v>
      </c>
      <c r="F109" s="1420" t="s">
        <v>4672</v>
      </c>
      <c r="G109" s="1420" t="s">
        <v>4673</v>
      </c>
    </row>
    <row r="110" spans="1:7">
      <c r="A110" s="1420">
        <v>623</v>
      </c>
      <c r="B110" s="1420" t="s">
        <v>5124</v>
      </c>
      <c r="C110" s="1420" t="s">
        <v>4870</v>
      </c>
      <c r="D110" s="1420" t="s">
        <v>5125</v>
      </c>
      <c r="F110" s="1420" t="s">
        <v>4871</v>
      </c>
      <c r="G110" s="1420" t="s">
        <v>4872</v>
      </c>
    </row>
    <row r="111" spans="1:7">
      <c r="A111" s="1420">
        <v>625</v>
      </c>
      <c r="B111" s="1420" t="s">
        <v>5126</v>
      </c>
      <c r="C111" s="1420" t="s">
        <v>4873</v>
      </c>
      <c r="D111" s="1420" t="s">
        <v>5127</v>
      </c>
      <c r="F111" s="1420" t="s">
        <v>4874</v>
      </c>
      <c r="G111" s="1420" t="s">
        <v>4875</v>
      </c>
    </row>
    <row r="112" spans="1:7">
      <c r="A112" s="1420">
        <v>629</v>
      </c>
      <c r="B112" s="1420" t="s">
        <v>5128</v>
      </c>
      <c r="C112" s="1420" t="s">
        <v>4876</v>
      </c>
      <c r="D112" s="1420" t="s">
        <v>5129</v>
      </c>
      <c r="F112" s="1420" t="s">
        <v>4877</v>
      </c>
      <c r="G112" s="1420" t="s">
        <v>4878</v>
      </c>
    </row>
    <row r="113" spans="1:7">
      <c r="A113" s="1420">
        <v>643</v>
      </c>
      <c r="B113" s="1420" t="s">
        <v>5130</v>
      </c>
      <c r="C113" s="1420" t="s">
        <v>4879</v>
      </c>
      <c r="D113" s="1420" t="s">
        <v>5131</v>
      </c>
      <c r="F113" s="1420" t="s">
        <v>4880</v>
      </c>
      <c r="G113" s="1420" t="s">
        <v>4881</v>
      </c>
    </row>
    <row r="114" spans="1:7">
      <c r="A114" s="1420">
        <v>644</v>
      </c>
      <c r="B114" s="1420" t="s">
        <v>5132</v>
      </c>
      <c r="C114" s="1420" t="s">
        <v>4882</v>
      </c>
      <c r="D114" s="1420" t="s">
        <v>5133</v>
      </c>
      <c r="F114" s="1420" t="s">
        <v>4883</v>
      </c>
      <c r="G114" s="1420" t="s">
        <v>4884</v>
      </c>
    </row>
    <row r="115" spans="1:7">
      <c r="A115" s="1420">
        <v>645</v>
      </c>
      <c r="B115" s="1420" t="s">
        <v>5134</v>
      </c>
      <c r="C115" s="1420" t="s">
        <v>4885</v>
      </c>
      <c r="D115" s="1420" t="s">
        <v>5135</v>
      </c>
      <c r="F115" s="1420" t="s">
        <v>4886</v>
      </c>
      <c r="G115" s="1420" t="s">
        <v>4887</v>
      </c>
    </row>
    <row r="116" spans="1:7">
      <c r="A116" s="1420">
        <v>649</v>
      </c>
      <c r="B116" s="1420" t="s">
        <v>5136</v>
      </c>
      <c r="C116" s="1420" t="s">
        <v>4888</v>
      </c>
      <c r="D116" s="1420" t="s">
        <v>5137</v>
      </c>
      <c r="F116" s="1420" t="s">
        <v>4889</v>
      </c>
      <c r="G116" s="1420" t="s">
        <v>4890</v>
      </c>
    </row>
    <row r="117" spans="1:7">
      <c r="A117" s="1420">
        <v>672</v>
      </c>
      <c r="B117" s="1420" t="s">
        <v>5138</v>
      </c>
      <c r="C117" s="1420" t="s">
        <v>4891</v>
      </c>
      <c r="D117" s="1420" t="s">
        <v>5139</v>
      </c>
      <c r="F117" s="1420" t="s">
        <v>4892</v>
      </c>
      <c r="G117" s="1420" t="s">
        <v>4893</v>
      </c>
    </row>
    <row r="118" spans="1:7">
      <c r="A118" s="1420">
        <v>674</v>
      </c>
      <c r="B118" s="1420" t="s">
        <v>5140</v>
      </c>
      <c r="C118" s="1420" t="s">
        <v>4894</v>
      </c>
      <c r="D118" s="1420" t="s">
        <v>5141</v>
      </c>
      <c r="F118" s="1420" t="s">
        <v>4895</v>
      </c>
      <c r="G118" s="1420" t="s">
        <v>4896</v>
      </c>
    </row>
    <row r="119" spans="1:7">
      <c r="A119" s="1420">
        <v>681</v>
      </c>
      <c r="B119" s="1420" t="s">
        <v>5142</v>
      </c>
      <c r="C119" s="1420" t="s">
        <v>4897</v>
      </c>
      <c r="D119" s="1420" t="s">
        <v>5143</v>
      </c>
      <c r="F119" s="1420" t="s">
        <v>4898</v>
      </c>
      <c r="G119" s="1420" t="s">
        <v>4899</v>
      </c>
    </row>
    <row r="120" spans="1:7">
      <c r="A120" s="1420">
        <v>686</v>
      </c>
      <c r="B120" s="1420" t="s">
        <v>5144</v>
      </c>
      <c r="C120" s="1420" t="s">
        <v>4900</v>
      </c>
      <c r="D120" s="1420" t="s">
        <v>5145</v>
      </c>
      <c r="F120" s="1420" t="s">
        <v>4901</v>
      </c>
      <c r="G120" s="1420" t="s">
        <v>4902</v>
      </c>
    </row>
    <row r="121" spans="1:7">
      <c r="A121" s="1420">
        <v>703</v>
      </c>
      <c r="B121" s="1420" t="s">
        <v>5146</v>
      </c>
      <c r="C121" s="1420" t="s">
        <v>4903</v>
      </c>
      <c r="D121" s="1420" t="s">
        <v>5147</v>
      </c>
    </row>
    <row r="122" spans="1:7">
      <c r="A122" s="1420">
        <v>706</v>
      </c>
      <c r="B122" s="1420" t="s">
        <v>5148</v>
      </c>
      <c r="C122" s="1420" t="s">
        <v>4904</v>
      </c>
      <c r="D122" s="1420" t="s">
        <v>5149</v>
      </c>
      <c r="F122" s="1420" t="s">
        <v>4905</v>
      </c>
      <c r="G122" s="1420" t="s">
        <v>4906</v>
      </c>
    </row>
    <row r="123" spans="1:7">
      <c r="A123" s="1420">
        <v>707</v>
      </c>
      <c r="B123" s="1420" t="s">
        <v>5150</v>
      </c>
      <c r="C123" s="1420" t="s">
        <v>4907</v>
      </c>
      <c r="D123" s="1420" t="s">
        <v>5151</v>
      </c>
      <c r="F123" s="1420" t="s">
        <v>4908</v>
      </c>
      <c r="G123" s="1420" t="s">
        <v>4909</v>
      </c>
    </row>
    <row r="124" spans="1:7">
      <c r="A124" s="1420">
        <v>708</v>
      </c>
      <c r="B124" s="1420" t="s">
        <v>5152</v>
      </c>
      <c r="D124" s="1420" t="s">
        <v>4991</v>
      </c>
    </row>
    <row r="125" spans="1:7">
      <c r="A125" s="1420">
        <v>709</v>
      </c>
      <c r="B125" s="1420" t="s">
        <v>5153</v>
      </c>
      <c r="C125" s="1420" t="s">
        <v>4910</v>
      </c>
      <c r="D125" s="1420" t="s">
        <v>5154</v>
      </c>
      <c r="F125" s="1420" t="s">
        <v>4911</v>
      </c>
      <c r="G125" s="1420" t="s">
        <v>4912</v>
      </c>
    </row>
    <row r="126" spans="1:7">
      <c r="A126" s="1420">
        <v>713</v>
      </c>
      <c r="B126" s="1420" t="s">
        <v>5155</v>
      </c>
      <c r="D126" s="1420" t="s">
        <v>4991</v>
      </c>
    </row>
    <row r="127" spans="1:7">
      <c r="A127" s="1420">
        <v>715</v>
      </c>
      <c r="B127" s="1420" t="s">
        <v>5156</v>
      </c>
      <c r="C127" s="1420" t="s">
        <v>4913</v>
      </c>
      <c r="D127" s="1420" t="s">
        <v>5157</v>
      </c>
      <c r="F127" s="1420" t="s">
        <v>4914</v>
      </c>
      <c r="G127" s="1420" t="s">
        <v>4915</v>
      </c>
    </row>
    <row r="128" spans="1:7">
      <c r="A128" s="1420">
        <v>716</v>
      </c>
      <c r="B128" s="1420" t="s">
        <v>5158</v>
      </c>
      <c r="C128" s="1420" t="s">
        <v>4916</v>
      </c>
      <c r="D128" s="1420" t="s">
        <v>5159</v>
      </c>
      <c r="F128" s="1420" t="s">
        <v>4917</v>
      </c>
      <c r="G128" s="1420" t="s">
        <v>4918</v>
      </c>
    </row>
    <row r="129" spans="1:7">
      <c r="A129" s="1420">
        <v>719</v>
      </c>
      <c r="B129" s="1420" t="s">
        <v>5160</v>
      </c>
      <c r="C129" s="1420" t="s">
        <v>4919</v>
      </c>
      <c r="D129" s="1420" t="s">
        <v>5161</v>
      </c>
      <c r="F129" s="1420" t="s">
        <v>4920</v>
      </c>
      <c r="G129" s="1420" t="s">
        <v>4921</v>
      </c>
    </row>
    <row r="130" spans="1:7">
      <c r="A130" s="1420">
        <v>731</v>
      </c>
      <c r="B130" s="1420" t="s">
        <v>5162</v>
      </c>
      <c r="D130" s="1420" t="s">
        <v>4991</v>
      </c>
      <c r="G130" s="1420" t="s">
        <v>4922</v>
      </c>
    </row>
    <row r="131" spans="1:7">
      <c r="A131" s="1420">
        <v>745</v>
      </c>
      <c r="B131" s="1420" t="s">
        <v>5163</v>
      </c>
      <c r="C131" s="1420" t="s">
        <v>4923</v>
      </c>
      <c r="D131" s="1420" t="s">
        <v>5164</v>
      </c>
      <c r="F131" s="1420" t="s">
        <v>4924</v>
      </c>
      <c r="G131" s="1420" t="s">
        <v>4925</v>
      </c>
    </row>
    <row r="132" spans="1:7">
      <c r="A132" s="1420">
        <v>746</v>
      </c>
      <c r="B132" s="1420" t="s">
        <v>5165</v>
      </c>
      <c r="C132" s="1420" t="s">
        <v>4786</v>
      </c>
      <c r="D132" s="1420" t="s">
        <v>5166</v>
      </c>
      <c r="F132" s="1420" t="s">
        <v>4926</v>
      </c>
      <c r="G132" s="1420" t="s">
        <v>4927</v>
      </c>
    </row>
    <row r="133" spans="1:7">
      <c r="A133" s="1420">
        <v>802</v>
      </c>
      <c r="B133" s="1420" t="s">
        <v>5167</v>
      </c>
      <c r="C133" s="1420" t="s">
        <v>4928</v>
      </c>
      <c r="D133" s="1420" t="s">
        <v>5168</v>
      </c>
      <c r="F133" s="1420" t="s">
        <v>4929</v>
      </c>
      <c r="G133" s="1420" t="s">
        <v>4930</v>
      </c>
    </row>
    <row r="134" spans="1:7">
      <c r="A134" s="1420">
        <v>906</v>
      </c>
      <c r="B134" s="1420" t="s">
        <v>5169</v>
      </c>
      <c r="C134" s="1420" t="s">
        <v>4931</v>
      </c>
      <c r="D134" s="1420" t="s">
        <v>5170</v>
      </c>
      <c r="F134" s="1420" t="s">
        <v>4932</v>
      </c>
      <c r="G134" s="1420" t="s">
        <v>4933</v>
      </c>
    </row>
    <row r="135" spans="1:7">
      <c r="A135" s="1420">
        <v>908</v>
      </c>
      <c r="B135" s="1420" t="s">
        <v>5171</v>
      </c>
      <c r="C135" s="1420" t="s">
        <v>4934</v>
      </c>
      <c r="D135" s="1420" t="s">
        <v>5172</v>
      </c>
      <c r="F135" s="1420" t="s">
        <v>4935</v>
      </c>
      <c r="G135" s="1420" t="s">
        <v>4936</v>
      </c>
    </row>
    <row r="136" spans="1:7">
      <c r="A136" s="1420">
        <v>959</v>
      </c>
      <c r="B136" s="1420" t="s">
        <v>5173</v>
      </c>
      <c r="D136" s="1420" t="s">
        <v>4991</v>
      </c>
    </row>
    <row r="137" spans="1:7">
      <c r="A137" s="1420">
        <v>990</v>
      </c>
      <c r="B137" s="1420" t="s">
        <v>5174</v>
      </c>
      <c r="D137" s="1420" t="s">
        <v>4991</v>
      </c>
    </row>
    <row r="138" spans="1:7">
      <c r="A138" s="1420">
        <v>992</v>
      </c>
      <c r="B138" s="1420" t="s">
        <v>5175</v>
      </c>
      <c r="D138" s="1420" t="s">
        <v>4991</v>
      </c>
    </row>
    <row r="139" spans="1:7">
      <c r="A139" s="1420">
        <v>993</v>
      </c>
      <c r="B139" s="1420" t="s">
        <v>5176</v>
      </c>
      <c r="D139" s="1420" t="s">
        <v>4991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  <pageSetUpPr fitToPage="1"/>
  </sheetPr>
  <dimension ref="A1:Q80"/>
  <sheetViews>
    <sheetView showGridLines="0" topLeftCell="C13" zoomScale="115" zoomScaleNormal="115" zoomScaleSheetLayoutView="85" workbookViewId="0">
      <selection activeCell="J20" sqref="J20"/>
    </sheetView>
  </sheetViews>
  <sheetFormatPr defaultColWidth="9" defaultRowHeight="18.75" customHeight="1" outlineLevelRow="1"/>
  <cols>
    <col min="1" max="1" width="16.75" style="1561" bestFit="1" customWidth="1"/>
    <col min="2" max="2" width="24.875" style="1501" customWidth="1"/>
    <col min="3" max="3" width="22.5" style="1501" customWidth="1"/>
    <col min="4" max="4" width="12.375" style="1501" customWidth="1"/>
    <col min="5" max="5" width="25" style="1502" customWidth="1"/>
    <col min="6" max="10" width="12.375" style="1501" customWidth="1"/>
    <col min="11" max="16" width="12.5" style="1501" customWidth="1"/>
    <col min="17" max="16384" width="9" style="1501"/>
  </cols>
  <sheetData>
    <row r="1" spans="1:17" ht="17.25" customHeight="1" thickBot="1">
      <c r="A1" s="1481"/>
      <c r="D1" s="1499"/>
      <c r="E1" s="1500"/>
      <c r="F1" s="1558"/>
      <c r="G1" s="1499"/>
      <c r="H1" s="1484">
        <v>2</v>
      </c>
      <c r="L1" s="1499"/>
      <c r="M1" s="1499"/>
      <c r="N1" s="1499"/>
      <c r="O1" s="1499"/>
      <c r="P1" s="1499"/>
      <c r="Q1" s="1499"/>
    </row>
    <row r="2" spans="1:17" ht="17.25" customHeight="1" thickBot="1">
      <c r="A2" s="1785" t="s">
        <v>5533</v>
      </c>
      <c r="B2" s="1786" t="s">
        <v>4484</v>
      </c>
      <c r="C2" s="1787">
        <v>7847</v>
      </c>
      <c r="F2" s="1559" t="s">
        <v>5534</v>
      </c>
      <c r="G2" s="1499"/>
      <c r="J2" s="1559" t="s">
        <v>5535</v>
      </c>
      <c r="L2" s="1499"/>
      <c r="M2" s="1499"/>
      <c r="N2" s="1499"/>
      <c r="O2" s="1499"/>
      <c r="P2" s="1499"/>
      <c r="Q2" s="1499"/>
    </row>
    <row r="3" spans="1:17" ht="17.25" customHeight="1">
      <c r="A3" s="1785" t="s">
        <v>5536</v>
      </c>
      <c r="B3" s="1788" t="s">
        <v>4485</v>
      </c>
      <c r="C3" s="1789" t="s">
        <v>4487</v>
      </c>
      <c r="D3" s="2712" t="s">
        <v>5537</v>
      </c>
      <c r="E3" s="2713"/>
      <c r="G3" s="1499"/>
      <c r="H3" s="1499"/>
      <c r="J3" s="1856" t="s">
        <v>5557</v>
      </c>
      <c r="K3" s="1857"/>
      <c r="L3" s="1856" t="s">
        <v>5558</v>
      </c>
      <c r="M3" s="1857"/>
      <c r="N3" s="1858" t="s">
        <v>5559</v>
      </c>
      <c r="O3" s="1857"/>
      <c r="P3" s="1499"/>
      <c r="Q3" s="1499"/>
    </row>
    <row r="4" spans="1:17" ht="17.25" customHeight="1">
      <c r="A4" s="1785" t="s">
        <v>5538</v>
      </c>
      <c r="B4" s="1788" t="s">
        <v>4486</v>
      </c>
      <c r="C4" s="1789" t="s">
        <v>4487</v>
      </c>
      <c r="D4" s="1790" t="s">
        <v>4642</v>
      </c>
      <c r="E4" s="1791">
        <v>41382</v>
      </c>
      <c r="G4" s="1499"/>
      <c r="H4" s="1499"/>
      <c r="J4" s="1818"/>
      <c r="K4" s="1819"/>
      <c r="L4" s="1821"/>
      <c r="M4" s="1819"/>
      <c r="N4" s="1818"/>
      <c r="O4" s="1819"/>
    </row>
    <row r="5" spans="1:17" ht="17.25" customHeight="1">
      <c r="A5" s="1785" t="s">
        <v>5539</v>
      </c>
      <c r="B5" s="1788" t="s">
        <v>5188</v>
      </c>
      <c r="C5" s="1792">
        <v>4347</v>
      </c>
      <c r="D5" s="1793" t="s">
        <v>4642</v>
      </c>
      <c r="E5" s="1794">
        <f>MATCH(TEXT(E4,"@"),'LA BackOrder'!C:C,0)</f>
        <v>2217</v>
      </c>
      <c r="G5" s="1499"/>
      <c r="H5" s="1499"/>
      <c r="J5" s="1818"/>
      <c r="K5" s="1820"/>
      <c r="L5" s="1821"/>
      <c r="M5" s="1820"/>
      <c r="N5" s="1821"/>
      <c r="O5" s="1820"/>
      <c r="P5" s="1499"/>
      <c r="Q5" s="1499"/>
    </row>
    <row r="6" spans="1:17" ht="17.25" customHeight="1" thickBot="1">
      <c r="A6" s="1785" t="s">
        <v>5540</v>
      </c>
      <c r="B6" s="1788" t="s">
        <v>5189</v>
      </c>
      <c r="C6" s="1792">
        <v>4349</v>
      </c>
      <c r="D6" s="1795" t="s">
        <v>4623</v>
      </c>
      <c r="E6" s="1796">
        <f>E5+COUNTIF('LA BackOrder'!C:C,TEXT(E4,"@"))-2</f>
        <v>2221</v>
      </c>
      <c r="F6" s="1797"/>
      <c r="G6" s="1560" t="s">
        <v>5541</v>
      </c>
      <c r="H6" s="1499"/>
      <c r="J6" s="1821"/>
      <c r="K6" s="1820"/>
      <c r="L6" s="1821"/>
      <c r="M6" s="1820"/>
      <c r="N6" s="1821"/>
      <c r="O6" s="1820"/>
      <c r="P6" s="1499"/>
      <c r="Q6" s="1499"/>
    </row>
    <row r="7" spans="1:17" ht="17.25" customHeight="1" thickBot="1">
      <c r="A7" s="1785" t="s">
        <v>5542</v>
      </c>
      <c r="B7" s="1798" t="s">
        <v>5227</v>
      </c>
      <c r="C7" s="1799">
        <v>36</v>
      </c>
      <c r="D7" s="1800"/>
      <c r="E7" s="1801"/>
      <c r="I7" s="1499"/>
      <c r="J7" s="1822"/>
      <c r="K7" s="1823"/>
      <c r="L7" s="1822"/>
      <c r="M7" s="1823"/>
      <c r="N7" s="1822"/>
      <c r="O7" s="1823"/>
      <c r="P7" s="1499"/>
      <c r="Q7" s="1499"/>
    </row>
    <row r="8" spans="1:17" ht="17.25" customHeight="1" outlineLevel="1">
      <c r="A8" s="2714" t="s">
        <v>5543</v>
      </c>
      <c r="B8" s="1802" t="s">
        <v>5190</v>
      </c>
      <c r="C8" s="1803">
        <f>C6-C5+C7</f>
        <v>38</v>
      </c>
      <c r="D8" s="1804" t="s">
        <v>4613</v>
      </c>
      <c r="E8" s="1805" t="str">
        <f>IF(H1=1,"Invoice "&amp;C2&amp;" (NY)","Invoice "&amp;C2&amp;" (LA)")</f>
        <v>Invoice 7847 (LA)</v>
      </c>
      <c r="F8" s="1429"/>
    </row>
    <row r="9" spans="1:17" ht="17.25" customHeight="1" outlineLevel="1">
      <c r="A9" s="2715"/>
      <c r="B9" s="1806" t="s">
        <v>5228</v>
      </c>
      <c r="C9" s="1807">
        <v>36</v>
      </c>
      <c r="D9" s="1808" t="s">
        <v>5343</v>
      </c>
      <c r="E9" s="1809" t="str" cm="1">
        <f t="array" aca="1" ref="E9" ca="1">RIGHT(CELL("filename",A1),LEN(CELL("filename",A1))-FIND("]",CELL("filename",A1)))</f>
        <v>Invoice(SF米国)</v>
      </c>
      <c r="F9" s="1499"/>
      <c r="G9" s="1499"/>
      <c r="H9" s="1499"/>
    </row>
    <row r="10" spans="1:17" ht="17.25" customHeight="1" outlineLevel="1">
      <c r="A10" s="2715"/>
      <c r="B10" s="1806" t="s">
        <v>5229</v>
      </c>
      <c r="C10" s="1807">
        <v>68</v>
      </c>
      <c r="D10" s="1808" t="s">
        <v>5344</v>
      </c>
      <c r="E10" s="1810" t="str" cm="1">
        <f t="array" aca="1" ref="E10" ca="1">RIGHT(CELL("filename",'Invoice(SF大阪)'!A1),LEN(CELL("filename",'Invoice(SF大阪)'!A1))-FIND("]",CELL("filename",'Invoice(SF大阪)'!A1)))</f>
        <v>Invoice(SF大阪)</v>
      </c>
      <c r="F10" s="1499"/>
      <c r="G10" s="1499"/>
      <c r="H10" s="1499"/>
      <c r="I10" s="1499"/>
      <c r="J10" s="1499"/>
      <c r="K10" s="1499"/>
      <c r="L10" s="1499"/>
      <c r="M10" s="1499"/>
      <c r="N10" s="1499"/>
      <c r="O10" s="1499"/>
      <c r="P10" s="1499"/>
      <c r="Q10" s="1499"/>
    </row>
    <row r="11" spans="1:17" ht="17.25" customHeight="1" outlineLevel="1">
      <c r="A11" s="2715"/>
      <c r="B11" s="1811" t="s">
        <v>5544</v>
      </c>
      <c r="C11" s="1812">
        <f>ROW(A69)</f>
        <v>69</v>
      </c>
      <c r="D11" s="1813" t="s">
        <v>5345</v>
      </c>
      <c r="E11" s="1810" t="str" cm="1">
        <f t="array" aca="1" ref="E11" ca="1">RIGHT(CELL("filename",'LA BackOrder'!A1),LEN(CELL("filename",'LA BackOrder'!A1))-FIND("]",CELL("filename",'LA BackOrder'!A1)))</f>
        <v>LA BackOrder</v>
      </c>
      <c r="F11" s="1499"/>
      <c r="G11" s="1499"/>
      <c r="H11" s="1499"/>
      <c r="I11" s="1499"/>
      <c r="J11" s="1499"/>
      <c r="K11" s="1499"/>
      <c r="L11" s="1499"/>
      <c r="M11" s="1499"/>
      <c r="N11" s="1499"/>
      <c r="O11" s="1499"/>
      <c r="P11" s="1499"/>
      <c r="Q11" s="1499"/>
    </row>
    <row r="12" spans="1:17" ht="17.25" customHeight="1" outlineLevel="1" thickBot="1">
      <c r="A12" s="2716"/>
      <c r="B12" s="1814" t="s">
        <v>5545</v>
      </c>
      <c r="C12" s="1815" t="str" cm="1">
        <f t="array" aca="1" ref="C12" ca="1">LEFT(MID(CELL("filename",A2),10,99),FIND("B",MID(CELL("filename",A2),10,99))-2)</f>
        <v>chiba</v>
      </c>
      <c r="D12" s="1816" t="s">
        <v>5546</v>
      </c>
      <c r="E12" s="1817" t="str">
        <f>IF(H1=1,"NY","LA")</f>
        <v>LA</v>
      </c>
      <c r="F12" s="1558"/>
      <c r="G12" s="1499"/>
      <c r="H12" s="1499"/>
      <c r="I12" s="1499"/>
      <c r="J12" s="1499"/>
      <c r="K12" s="1499"/>
      <c r="L12" s="1499"/>
      <c r="M12" s="1499"/>
      <c r="N12" s="1499"/>
      <c r="O12" s="1499"/>
      <c r="P12" s="1499"/>
      <c r="Q12" s="1499"/>
    </row>
    <row r="13" spans="1:17" ht="17.25" customHeight="1">
      <c r="A13" s="1557"/>
      <c r="B13" s="1557"/>
      <c r="C13" s="1560"/>
      <c r="D13" s="1499"/>
      <c r="E13" s="1500"/>
      <c r="F13" s="1558"/>
      <c r="G13" s="1499"/>
      <c r="H13" s="1499"/>
      <c r="I13" s="1499"/>
      <c r="J13" s="1499"/>
      <c r="K13" s="1499"/>
      <c r="L13" s="1499"/>
      <c r="M13" s="1499"/>
      <c r="N13" s="1499"/>
      <c r="O13" s="1499"/>
      <c r="P13" s="1499"/>
      <c r="Q13" s="1499"/>
    </row>
    <row r="14" spans="1:17" ht="18.75" customHeight="1">
      <c r="B14" s="2717" t="s">
        <v>9127</v>
      </c>
      <c r="C14" s="2718"/>
      <c r="D14" s="2718"/>
      <c r="E14" s="2718"/>
      <c r="F14" s="2720" t="s">
        <v>3841</v>
      </c>
      <c r="G14" s="2720"/>
      <c r="H14" s="2720"/>
      <c r="I14" s="2720"/>
      <c r="J14" s="2720"/>
      <c r="K14" s="2720"/>
    </row>
    <row r="15" spans="1:17" ht="18.75" customHeight="1">
      <c r="B15" s="2718"/>
      <c r="C15" s="2718"/>
      <c r="D15" s="2718"/>
      <c r="E15" s="2718"/>
      <c r="F15" s="2720"/>
      <c r="G15" s="2720"/>
      <c r="H15" s="2720"/>
      <c r="I15" s="2720"/>
      <c r="J15" s="2720"/>
      <c r="K15" s="2720"/>
    </row>
    <row r="16" spans="1:17">
      <c r="B16" s="2718"/>
      <c r="C16" s="2718"/>
      <c r="D16" s="2718"/>
      <c r="E16" s="2718"/>
      <c r="F16" s="1562" t="s">
        <v>3838</v>
      </c>
      <c r="G16" s="2721">
        <f>C2</f>
        <v>7847</v>
      </c>
      <c r="H16" s="2721"/>
      <c r="I16" s="2721"/>
      <c r="J16" s="2721"/>
      <c r="K16" s="2721"/>
    </row>
    <row r="17" spans="2:12" ht="18.75" customHeight="1">
      <c r="B17" s="2719"/>
      <c r="C17" s="2719"/>
      <c r="D17" s="2719"/>
      <c r="E17" s="2719"/>
      <c r="F17" s="1563" t="s">
        <v>3839</v>
      </c>
      <c r="G17" s="1552" t="s">
        <v>4617</v>
      </c>
      <c r="H17" s="1552" t="s">
        <v>4616</v>
      </c>
      <c r="I17" s="1563" t="s">
        <v>3840</v>
      </c>
      <c r="J17" s="2722">
        <f ca="1">TODAY()</f>
        <v>46114</v>
      </c>
      <c r="K17" s="2722"/>
      <c r="L17" s="1564" t="s">
        <v>4621</v>
      </c>
    </row>
    <row r="18" spans="2:12" ht="18.75" customHeight="1">
      <c r="B18" s="1565" t="s">
        <v>3826</v>
      </c>
      <c r="C18" s="1566" t="str">
        <f>C3</f>
        <v>(SELECT) - 顧客名</v>
      </c>
      <c r="D18" s="1567"/>
      <c r="E18" s="1568"/>
      <c r="F18" s="1569" t="s">
        <v>3832</v>
      </c>
      <c r="G18" s="1570"/>
      <c r="H18" s="1571"/>
      <c r="I18" s="1569" t="s">
        <v>3835</v>
      </c>
      <c r="J18" s="1570"/>
      <c r="K18" s="1571"/>
    </row>
    <row r="19" spans="2:12" ht="18.75" customHeight="1">
      <c r="B19" s="1549"/>
      <c r="C19" s="1572" t="str">
        <f>IFERROR(VLOOKUP(C3,取引先マスタ!C:E,3,FALSE),"")</f>
        <v>ADDRESS 1</v>
      </c>
      <c r="D19" s="1507"/>
      <c r="E19" s="1508"/>
      <c r="F19" s="1503"/>
      <c r="G19" s="1504"/>
      <c r="H19" s="1505"/>
      <c r="I19" s="1503"/>
      <c r="J19" s="1504"/>
      <c r="K19" s="1505"/>
    </row>
    <row r="20" spans="2:12" ht="18.75" customHeight="1">
      <c r="B20" s="1549"/>
      <c r="C20" s="1572" t="str">
        <f>IFERROR(VLOOKUP(C3,取引先マスタ!C:F,4,FALSE),"")</f>
        <v>ADDRESS 2</v>
      </c>
      <c r="D20" s="1507"/>
      <c r="E20" s="1508"/>
      <c r="F20" s="1569" t="s">
        <v>3833</v>
      </c>
      <c r="G20" s="1570"/>
      <c r="H20" s="1571"/>
      <c r="I20" s="1569" t="s">
        <v>3834</v>
      </c>
      <c r="J20" s="1570"/>
      <c r="K20" s="1571"/>
    </row>
    <row r="21" spans="2:12" ht="18.75" customHeight="1">
      <c r="B21" s="1549"/>
      <c r="C21" s="1573" t="str">
        <f>IFERROR(IF(VLOOKUP(C3,取引先マスタ!C:G,5,FALSE)=0,"Country: ","Country: "&amp;VLOOKUP(C3,取引先マスタ!C:G,5,FALSE)),"")</f>
        <v>Country: COUNTRY</v>
      </c>
      <c r="D21" s="1507" t="str">
        <f>IFERROR(IF(VLOOKUP(C3,取引先マスタ!C:D,2,FALSE)=0,"Zip Code: ","Zip Code: "&amp;VLOOKUP(C3,取引先マスタ!C:D,2,FALSE)),"")</f>
        <v>Zip Code: ZIP CODE</v>
      </c>
      <c r="E21" s="1508"/>
      <c r="F21" s="1636"/>
      <c r="G21" s="1504"/>
      <c r="H21" s="1505"/>
      <c r="I21" s="1503"/>
      <c r="J21" s="1504"/>
      <c r="K21" s="1505"/>
    </row>
    <row r="22" spans="2:12" ht="18.75" customHeight="1">
      <c r="B22" s="1549"/>
      <c r="C22" s="1573" t="str">
        <f>IFERROR(IF(VLOOKUP(C3,取引先マスタ!C:H,6,FALSE)=0,"Tel: ",VLOOKUP(C3,取引先マスタ!C:H,6,FALSE)),"")</f>
        <v>TEL</v>
      </c>
      <c r="D22" s="1507" t="str">
        <f>IFERROR(IF(VLOOKUP(C3,取引先マスタ!C:I,7,FALSE)=0,"Attn: ","Attn: "&amp;VLOOKUP(C3,取引先マスタ!C:I,7,FALSE)),"")</f>
        <v>Attn: ATTENTION</v>
      </c>
      <c r="E22" s="1508"/>
      <c r="F22" s="1569" t="s">
        <v>3828</v>
      </c>
      <c r="G22" s="1570"/>
      <c r="H22" s="1570"/>
      <c r="I22" s="1570"/>
      <c r="J22" s="1570"/>
      <c r="K22" s="1571"/>
    </row>
    <row r="23" spans="2:12" ht="18.75" customHeight="1">
      <c r="B23" s="1551"/>
      <c r="C23" s="1555"/>
      <c r="D23" s="1504"/>
      <c r="E23" s="1505"/>
      <c r="F23" s="1574" t="s">
        <v>3829</v>
      </c>
      <c r="G23" s="1506" t="s">
        <v>3789</v>
      </c>
      <c r="H23" s="1507"/>
      <c r="I23" s="1507"/>
      <c r="J23" s="1507"/>
      <c r="K23" s="1508"/>
    </row>
    <row r="24" spans="2:12" ht="18.75" customHeight="1">
      <c r="B24" s="1565" t="s">
        <v>3825</v>
      </c>
      <c r="C24" s="1566" t="str">
        <f>C4</f>
        <v>(SELECT) - 顧客名</v>
      </c>
      <c r="D24" s="1567"/>
      <c r="E24" s="1568"/>
      <c r="F24" s="1574" t="s">
        <v>3830</v>
      </c>
      <c r="G24" s="1506" t="s">
        <v>3843</v>
      </c>
      <c r="H24" s="1507"/>
      <c r="I24" s="1507"/>
      <c r="J24" s="1507"/>
      <c r="K24" s="1508"/>
    </row>
    <row r="25" spans="2:12" ht="18.75" customHeight="1">
      <c r="B25" s="1549"/>
      <c r="C25" s="1572" t="str">
        <f>IFERROR(VLOOKUP(C4,取引先マスタ!C:E,3,FALSE),"")</f>
        <v>ADDRESS 1</v>
      </c>
      <c r="D25" s="1507"/>
      <c r="E25" s="1508"/>
      <c r="F25" s="1574" t="s">
        <v>3787</v>
      </c>
      <c r="G25" s="1506" t="s">
        <v>4625</v>
      </c>
      <c r="H25" s="1507"/>
      <c r="I25" s="1507"/>
      <c r="J25" s="1507"/>
      <c r="K25" s="1508"/>
    </row>
    <row r="26" spans="2:12" ht="18.75" customHeight="1">
      <c r="B26" s="1549"/>
      <c r="C26" s="1572" t="str">
        <f>IFERROR(VLOOKUP(C4,取引先マスタ!C:F,4,FALSE),"")</f>
        <v>ADDRESS 2</v>
      </c>
      <c r="D26" s="1507"/>
      <c r="E26" s="1508"/>
      <c r="F26" s="1574" t="s">
        <v>3831</v>
      </c>
      <c r="G26" s="1506" t="s">
        <v>3844</v>
      </c>
      <c r="H26" s="1507"/>
      <c r="I26" s="1507"/>
      <c r="J26" s="1507"/>
      <c r="K26" s="1508"/>
    </row>
    <row r="27" spans="2:12" ht="18.75" customHeight="1">
      <c r="B27" s="1549"/>
      <c r="C27" s="1573" t="str">
        <f>IFERROR(IF(VLOOKUP(C4,取引先マスタ!C:G,5,FALSE)=0,"Country: ","Country: "&amp;VLOOKUP(C4,取引先マスタ!C:G,5,FALSE)),"")</f>
        <v>Country: COUNTRY</v>
      </c>
      <c r="D27" s="1507" t="str">
        <f>IFERROR(IF(VLOOKUP(C4,取引先マスタ!C:D,2,FALSE)=0,"Zip Code: ","Zip Code: "&amp;VLOOKUP(C4,取引先マスタ!C:D,2,FALSE)),"")</f>
        <v>Zip Code: ZIP CODE</v>
      </c>
      <c r="E27" s="1508"/>
      <c r="F27" s="1503" t="s">
        <v>3837</v>
      </c>
      <c r="G27" s="1509" t="s">
        <v>5509</v>
      </c>
      <c r="H27" s="1504"/>
      <c r="I27" s="1510" t="s">
        <v>3836</v>
      </c>
      <c r="J27" s="1510" t="s">
        <v>3786</v>
      </c>
      <c r="K27" s="1505"/>
    </row>
    <row r="28" spans="2:12" ht="18.75" customHeight="1">
      <c r="B28" s="1549"/>
      <c r="C28" s="1573" t="str">
        <f>IFERROR(IF(VLOOKUP(C4,取引先マスタ!C:H,6,FALSE)=0,"Tel: ",VLOOKUP(C4,取引先マスタ!C:H,6,FALSE)),"")</f>
        <v>TEL</v>
      </c>
      <c r="D28" s="1507" t="str">
        <f>IFERROR(IF(VLOOKUP(C4,取引先マスタ!C:I,7,FALSE)=0,"Attn: ","Attn: "&amp;VLOOKUP(C4,取引先マスタ!C:I,7,FALSE)),"")</f>
        <v>Attn: ATTENTION</v>
      </c>
      <c r="E28" s="1508"/>
      <c r="F28" s="1569" t="s">
        <v>3827</v>
      </c>
      <c r="G28" s="1570"/>
      <c r="H28" s="1570"/>
      <c r="I28" s="1570"/>
      <c r="J28" s="1569" t="s">
        <v>5379</v>
      </c>
      <c r="K28" s="1571"/>
    </row>
    <row r="29" spans="2:12" ht="18.75" customHeight="1">
      <c r="B29" s="1549"/>
      <c r="C29" s="1555"/>
      <c r="D29" s="1504"/>
      <c r="E29" s="1505"/>
      <c r="F29" s="2694" t="s">
        <v>5373</v>
      </c>
      <c r="G29" s="2695"/>
      <c r="H29" s="2624" t="s">
        <v>9020</v>
      </c>
      <c r="I29" s="2625"/>
      <c r="J29" s="1630">
        <f ca="1">J17+30</f>
        <v>46144</v>
      </c>
      <c r="K29" s="1631"/>
    </row>
    <row r="30" spans="2:12" ht="18.75" customHeight="1">
      <c r="B30" s="1569" t="s">
        <v>3818</v>
      </c>
      <c r="C30" s="1575"/>
      <c r="D30" s="1569" t="s">
        <v>3819</v>
      </c>
      <c r="E30" s="1576"/>
      <c r="F30" s="1569" t="s">
        <v>3821</v>
      </c>
      <c r="G30" s="1577"/>
      <c r="H30" s="1575"/>
      <c r="I30" s="1569" t="s">
        <v>3823</v>
      </c>
      <c r="J30" s="1578"/>
      <c r="K30" s="1579"/>
    </row>
    <row r="31" spans="2:12" ht="18.75" customHeight="1">
      <c r="B31" s="1632" t="s">
        <v>5257</v>
      </c>
      <c r="C31" s="1505"/>
      <c r="D31" s="2709" t="s">
        <v>5369</v>
      </c>
      <c r="E31" s="2708"/>
      <c r="F31" s="2706">
        <f ca="1">J17</f>
        <v>46114</v>
      </c>
      <c r="G31" s="2707"/>
      <c r="H31" s="2708"/>
      <c r="I31" s="1580" t="s">
        <v>3845</v>
      </c>
      <c r="J31" s="1581"/>
      <c r="K31" s="1582"/>
      <c r="L31" s="1564" t="s">
        <v>4622</v>
      </c>
    </row>
    <row r="32" spans="2:12" ht="18.75" customHeight="1">
      <c r="B32" s="1569" t="s">
        <v>3817</v>
      </c>
      <c r="C32" s="1575"/>
      <c r="D32" s="1569" t="s">
        <v>3820</v>
      </c>
      <c r="E32" s="1576"/>
      <c r="F32" s="1569" t="s">
        <v>3822</v>
      </c>
      <c r="G32" s="1577"/>
      <c r="H32" s="1575"/>
      <c r="I32" s="1551" t="str">
        <f>IFERROR(IF(VLOOKUP(C18,取引先マスタ!C:J,8,FALSE)=0,"",VLOOKUP(C18,取引先マスタ!C:J,8,FALSE)),"")</f>
        <v>Courier Account#</v>
      </c>
      <c r="J32" s="1634" t="s">
        <v>5604</v>
      </c>
      <c r="K32" s="1635"/>
      <c r="L32" s="1558" t="s">
        <v>5547</v>
      </c>
    </row>
    <row r="33" spans="2:16" ht="18.75" customHeight="1" thickBot="1">
      <c r="B33" s="2710" t="s">
        <v>5370</v>
      </c>
      <c r="C33" s="2711"/>
      <c r="D33" s="2710" t="s">
        <v>5370</v>
      </c>
      <c r="E33" s="2711"/>
      <c r="F33" s="2725" t="s">
        <v>5433</v>
      </c>
      <c r="G33" s="2726"/>
      <c r="H33" s="2727"/>
      <c r="I33" s="1583" t="s">
        <v>3824</v>
      </c>
      <c r="J33" s="2723" t="s">
        <v>1203</v>
      </c>
      <c r="K33" s="2724"/>
    </row>
    <row r="34" spans="2:16" ht="18.75" customHeight="1" thickTop="1">
      <c r="B34" s="2692" t="s">
        <v>3811</v>
      </c>
      <c r="C34" s="2696" t="s">
        <v>3846</v>
      </c>
      <c r="D34" s="2696"/>
      <c r="E34" s="2696"/>
      <c r="F34" s="2697" t="s">
        <v>3847</v>
      </c>
      <c r="G34" s="2698"/>
      <c r="H34" s="2699"/>
      <c r="I34" s="2704" t="s">
        <v>3815</v>
      </c>
      <c r="J34" s="2702" t="s">
        <v>3816</v>
      </c>
      <c r="K34" s="2700" t="s">
        <v>2213</v>
      </c>
    </row>
    <row r="35" spans="2:16" ht="18.75" customHeight="1" thickBot="1">
      <c r="B35" s="2693"/>
      <c r="C35" s="1584" t="s">
        <v>2264</v>
      </c>
      <c r="D35" s="1584" t="s">
        <v>52</v>
      </c>
      <c r="E35" s="1585" t="s">
        <v>53</v>
      </c>
      <c r="F35" s="1584" t="s">
        <v>3812</v>
      </c>
      <c r="G35" s="1584" t="s">
        <v>3813</v>
      </c>
      <c r="H35" s="1584" t="s">
        <v>3814</v>
      </c>
      <c r="I35" s="2705"/>
      <c r="J35" s="2703"/>
      <c r="K35" s="2701"/>
    </row>
    <row r="36" spans="2:16" ht="18.75" customHeight="1" thickTop="1">
      <c r="B36" s="1511" t="s">
        <v>9161</v>
      </c>
      <c r="C36" s="1512" t="s">
        <v>9162</v>
      </c>
      <c r="D36" s="2667"/>
      <c r="E36" s="2667"/>
      <c r="F36" s="1624"/>
      <c r="G36" s="1624"/>
      <c r="H36" s="1624"/>
      <c r="I36" s="1513" t="s">
        <v>134</v>
      </c>
      <c r="J36" s="1514"/>
      <c r="K36" s="1514"/>
      <c r="L36" s="1586"/>
      <c r="M36" s="1587"/>
      <c r="N36" s="1588"/>
      <c r="O36" s="1589"/>
      <c r="P36" s="1589"/>
    </row>
    <row r="37" spans="2:16" ht="18.75" customHeight="1">
      <c r="B37" s="1515" t="s">
        <v>9161</v>
      </c>
      <c r="C37" s="1516" t="s">
        <v>6710</v>
      </c>
      <c r="D37" s="1517"/>
      <c r="E37" s="1518" t="s">
        <v>9158</v>
      </c>
      <c r="F37" s="1522">
        <v>50</v>
      </c>
      <c r="G37" s="1520">
        <v>1</v>
      </c>
      <c r="H37" s="1522">
        <v>50</v>
      </c>
      <c r="I37" s="1521">
        <v>0.44</v>
      </c>
      <c r="J37" s="1521">
        <v>22</v>
      </c>
      <c r="K37" s="1521" t="s">
        <v>3085</v>
      </c>
      <c r="L37" s="1586"/>
      <c r="M37" s="1587"/>
      <c r="N37" s="1590"/>
      <c r="O37" s="1590"/>
      <c r="P37" s="1590"/>
    </row>
    <row r="38" spans="2:16" ht="18.75" customHeight="1">
      <c r="B38" s="1515" t="s">
        <v>9161</v>
      </c>
      <c r="C38" s="1516"/>
      <c r="D38" s="1524"/>
      <c r="E38" s="1525" t="s">
        <v>2975</v>
      </c>
      <c r="F38" s="1522"/>
      <c r="G38" s="1520"/>
      <c r="H38" s="1526">
        <v>1</v>
      </c>
      <c r="I38" s="1521">
        <v>12</v>
      </c>
      <c r="J38" s="1521">
        <v>12</v>
      </c>
      <c r="K38" s="1521"/>
      <c r="L38" s="1586"/>
      <c r="M38" s="1587"/>
      <c r="N38" s="1590"/>
      <c r="O38" s="1590"/>
      <c r="P38" s="1590"/>
    </row>
    <row r="39" spans="2:16" ht="18.75" customHeight="1">
      <c r="B39" s="1515"/>
      <c r="C39" s="1516"/>
      <c r="D39" s="1518"/>
      <c r="E39" s="1525"/>
      <c r="F39" s="1530"/>
      <c r="G39" s="1530"/>
      <c r="H39" s="1530"/>
      <c r="I39" s="1518"/>
      <c r="J39" s="1523"/>
      <c r="K39" s="1521"/>
      <c r="L39" s="1586"/>
      <c r="M39" s="1587"/>
      <c r="N39" s="1590"/>
      <c r="O39" s="1590"/>
      <c r="P39" s="1590"/>
    </row>
    <row r="40" spans="2:16" ht="18.75" customHeight="1">
      <c r="B40" s="1515"/>
      <c r="C40" s="1516"/>
      <c r="D40" s="1525"/>
      <c r="E40" s="1525"/>
      <c r="F40" s="1519"/>
      <c r="G40" s="1520"/>
      <c r="H40" s="1522"/>
      <c r="I40" s="1521"/>
      <c r="J40" s="1521"/>
      <c r="K40" s="1521"/>
      <c r="L40" s="1586"/>
      <c r="M40" s="1587"/>
      <c r="N40" s="1590"/>
      <c r="O40" s="1590"/>
      <c r="P40" s="1590"/>
    </row>
    <row r="41" spans="2:16" ht="18.75" customHeight="1">
      <c r="B41" s="1515"/>
      <c r="C41" s="1516"/>
      <c r="D41" s="1524"/>
      <c r="E41" s="1525"/>
      <c r="F41" s="1522"/>
      <c r="G41" s="1520"/>
      <c r="H41" s="1526"/>
      <c r="I41" s="1521"/>
      <c r="J41" s="1521"/>
      <c r="K41" s="1521"/>
      <c r="L41" s="1586"/>
      <c r="M41" s="1587"/>
      <c r="N41" s="1588"/>
      <c r="O41" s="1590"/>
      <c r="P41" s="1590"/>
    </row>
    <row r="42" spans="2:16" ht="18.75" customHeight="1">
      <c r="B42" s="1515"/>
      <c r="C42" s="1516"/>
      <c r="D42" s="1524"/>
      <c r="E42" s="1525"/>
      <c r="F42" s="1522"/>
      <c r="G42" s="1520"/>
      <c r="H42" s="1526"/>
      <c r="I42" s="1521"/>
      <c r="J42" s="1521"/>
      <c r="K42" s="1521"/>
    </row>
    <row r="43" spans="2:16" ht="18.75" customHeight="1">
      <c r="B43" s="1515"/>
      <c r="C43" s="1516"/>
      <c r="D43" s="1524"/>
      <c r="E43" s="1525"/>
      <c r="F43" s="1522"/>
      <c r="G43" s="1520"/>
      <c r="H43" s="1526"/>
      <c r="I43" s="1521"/>
      <c r="J43" s="1521"/>
      <c r="K43" s="1521"/>
    </row>
    <row r="44" spans="2:16" ht="18.75" customHeight="1">
      <c r="B44" s="1515"/>
      <c r="C44" s="1516"/>
      <c r="D44" s="1517"/>
      <c r="E44" s="1518"/>
      <c r="F44" s="1530"/>
      <c r="G44" s="1520"/>
      <c r="H44" s="1522"/>
      <c r="I44" s="1521"/>
      <c r="J44" s="1521"/>
      <c r="K44" s="1521"/>
    </row>
    <row r="45" spans="2:16" ht="18.75" customHeight="1">
      <c r="B45" s="1515"/>
      <c r="C45" s="1516"/>
      <c r="D45" s="1517"/>
      <c r="E45" s="1518"/>
      <c r="F45" s="1530"/>
      <c r="G45" s="1520"/>
      <c r="H45" s="1522"/>
      <c r="I45" s="1521"/>
      <c r="J45" s="1521"/>
      <c r="K45" s="1521"/>
    </row>
    <row r="46" spans="2:16" ht="18.75" customHeight="1">
      <c r="B46" s="1515"/>
      <c r="C46" s="1516"/>
      <c r="D46" s="1517"/>
      <c r="E46" s="1518"/>
      <c r="F46" s="1530"/>
      <c r="G46" s="1520"/>
      <c r="H46" s="1526"/>
      <c r="I46" s="1521"/>
      <c r="J46" s="1521"/>
      <c r="K46" s="1521"/>
    </row>
    <row r="47" spans="2:16" ht="18.75" customHeight="1">
      <c r="B47" s="1515"/>
      <c r="C47" s="1516"/>
      <c r="D47" s="1517"/>
      <c r="E47" s="1518"/>
      <c r="F47" s="1530"/>
      <c r="G47" s="1520"/>
      <c r="H47" s="1522"/>
      <c r="I47" s="1521"/>
      <c r="J47" s="1521"/>
      <c r="K47" s="1521"/>
    </row>
    <row r="48" spans="2:16" ht="18.75" customHeight="1">
      <c r="B48" s="1515"/>
      <c r="C48" s="1516"/>
      <c r="D48" s="1524"/>
      <c r="E48" s="1525"/>
      <c r="F48" s="1522"/>
      <c r="G48" s="1520"/>
      <c r="H48" s="1526"/>
      <c r="I48" s="1521"/>
      <c r="J48" s="1521"/>
      <c r="K48" s="1521"/>
    </row>
    <row r="49" spans="2:11" ht="18.75" customHeight="1">
      <c r="B49" s="1515"/>
      <c r="C49" s="1516"/>
      <c r="D49" s="1517"/>
      <c r="E49" s="1518"/>
      <c r="F49" s="1522"/>
      <c r="G49" s="1520"/>
      <c r="H49" s="1522"/>
      <c r="I49" s="1521"/>
      <c r="J49" s="1521"/>
      <c r="K49" s="1521"/>
    </row>
    <row r="50" spans="2:11" ht="18.75" customHeight="1">
      <c r="B50" s="1515"/>
      <c r="C50" s="1516"/>
      <c r="D50" s="1527"/>
      <c r="E50" s="1518"/>
      <c r="F50" s="1530"/>
      <c r="G50" s="1529"/>
      <c r="H50" s="1530"/>
      <c r="I50" s="1518"/>
      <c r="J50" s="1523"/>
      <c r="K50" s="1523"/>
    </row>
    <row r="51" spans="2:11" ht="18.75" customHeight="1">
      <c r="B51" s="1515"/>
      <c r="C51" s="1516"/>
      <c r="D51" s="1527"/>
      <c r="E51" s="1518"/>
      <c r="F51" s="1522"/>
      <c r="G51" s="1520"/>
      <c r="H51" s="1522"/>
      <c r="I51" s="1528"/>
      <c r="J51" s="1521"/>
      <c r="K51" s="1521"/>
    </row>
    <row r="52" spans="2:11" ht="18.75" customHeight="1">
      <c r="B52" s="1515"/>
      <c r="C52" s="1516"/>
      <c r="D52" s="1527"/>
      <c r="E52" s="1518"/>
      <c r="F52" s="1530"/>
      <c r="G52" s="1529"/>
      <c r="H52" s="1530"/>
      <c r="I52" s="1518"/>
      <c r="J52" s="1523"/>
      <c r="K52" s="1523"/>
    </row>
    <row r="53" spans="2:11" ht="18.75" customHeight="1">
      <c r="B53" s="1515"/>
      <c r="C53" s="1516"/>
      <c r="D53" s="1527"/>
      <c r="E53" s="1518"/>
      <c r="F53" s="1522"/>
      <c r="G53" s="1520"/>
      <c r="H53" s="1522"/>
      <c r="I53" s="1528"/>
      <c r="J53" s="1521"/>
      <c r="K53" s="1521"/>
    </row>
    <row r="54" spans="2:11" ht="18.75" customHeight="1">
      <c r="B54" s="1515"/>
      <c r="C54" s="1516"/>
      <c r="D54" s="1524"/>
      <c r="E54" s="1525"/>
      <c r="F54" s="1522"/>
      <c r="G54" s="1520"/>
      <c r="H54" s="1522"/>
      <c r="I54" s="1521"/>
      <c r="J54" s="1521"/>
      <c r="K54" s="1523"/>
    </row>
    <row r="55" spans="2:11" ht="18.75" customHeight="1">
      <c r="B55" s="1515"/>
      <c r="C55" s="1516"/>
      <c r="D55" s="1524"/>
      <c r="E55" s="1525"/>
      <c r="F55" s="1522"/>
      <c r="G55" s="1520"/>
      <c r="H55" s="1526"/>
      <c r="I55" s="1521"/>
      <c r="J55" s="1521"/>
      <c r="K55" s="1523"/>
    </row>
    <row r="56" spans="2:11" ht="18.75" customHeight="1">
      <c r="B56" s="1515"/>
      <c r="C56" s="1516"/>
      <c r="D56" s="1525"/>
      <c r="E56" s="1525"/>
      <c r="F56" s="1531"/>
      <c r="G56" s="1531"/>
      <c r="H56" s="1532"/>
      <c r="I56" s="1521"/>
      <c r="J56" s="1521"/>
      <c r="K56" s="1521"/>
    </row>
    <row r="57" spans="2:11" ht="18.75" customHeight="1">
      <c r="B57" s="1533"/>
      <c r="C57" s="1516"/>
      <c r="D57" s="1518"/>
      <c r="E57" s="1518"/>
      <c r="F57" s="1518"/>
      <c r="G57" s="1518"/>
      <c r="H57" s="1518"/>
      <c r="I57" s="1534"/>
      <c r="J57" s="1534"/>
      <c r="K57" s="1518"/>
    </row>
    <row r="58" spans="2:11" ht="18.75" customHeight="1">
      <c r="B58" s="1533"/>
      <c r="C58" s="1516"/>
      <c r="D58" s="1518"/>
      <c r="E58" s="1518"/>
      <c r="F58" s="1518"/>
      <c r="G58" s="1518"/>
      <c r="H58" s="1518"/>
      <c r="I58" s="1534"/>
      <c r="J58" s="1534"/>
      <c r="K58" s="1518"/>
    </row>
    <row r="59" spans="2:11" ht="18.75" customHeight="1">
      <c r="B59" s="1533"/>
      <c r="C59" s="1516"/>
      <c r="D59" s="1518"/>
      <c r="E59" s="1518"/>
      <c r="F59" s="1518"/>
      <c r="G59" s="1518"/>
      <c r="H59" s="1518"/>
      <c r="I59" s="1534"/>
      <c r="J59" s="1534"/>
      <c r="K59" s="1518"/>
    </row>
    <row r="60" spans="2:11" ht="18.75" customHeight="1">
      <c r="B60" s="1533"/>
      <c r="C60" s="1516"/>
      <c r="D60" s="1518"/>
      <c r="E60" s="1518"/>
      <c r="F60" s="1518"/>
      <c r="G60" s="1518"/>
      <c r="H60" s="1518"/>
      <c r="I60" s="1534"/>
      <c r="J60" s="1534"/>
      <c r="K60" s="1518"/>
    </row>
    <row r="61" spans="2:11" ht="18.75" customHeight="1">
      <c r="B61" s="1533"/>
      <c r="C61" s="1516"/>
      <c r="D61" s="1518"/>
      <c r="E61" s="1518"/>
      <c r="F61" s="1518"/>
      <c r="G61" s="1518"/>
      <c r="H61" s="1518"/>
      <c r="I61" s="1534"/>
      <c r="J61" s="1534"/>
      <c r="K61" s="1518"/>
    </row>
    <row r="62" spans="2:11" ht="18.75" customHeight="1">
      <c r="B62" s="1533"/>
      <c r="C62" s="1516"/>
      <c r="D62" s="1518"/>
      <c r="E62" s="1518"/>
      <c r="F62" s="1518"/>
      <c r="G62" s="1518"/>
      <c r="H62" s="1518"/>
      <c r="I62" s="1534"/>
      <c r="J62" s="1534"/>
      <c r="K62" s="1518"/>
    </row>
    <row r="63" spans="2:11" ht="18.75" customHeight="1">
      <c r="B63" s="1533"/>
      <c r="C63" s="1516"/>
      <c r="D63" s="1518"/>
      <c r="E63" s="1518"/>
      <c r="F63" s="1518"/>
      <c r="G63" s="1518"/>
      <c r="H63" s="1518"/>
      <c r="I63" s="1534"/>
      <c r="J63" s="1534"/>
      <c r="K63" s="1518"/>
    </row>
    <row r="64" spans="2:11" ht="18.75" customHeight="1">
      <c r="B64" s="1533"/>
      <c r="C64" s="1516"/>
      <c r="D64" s="1518"/>
      <c r="E64" s="1518"/>
      <c r="F64" s="1518"/>
      <c r="G64" s="1518"/>
      <c r="H64" s="1518"/>
      <c r="I64" s="1534"/>
      <c r="J64" s="1534"/>
      <c r="K64" s="1518"/>
    </row>
    <row r="65" spans="1:11" ht="18.75" customHeight="1">
      <c r="B65" s="1533"/>
      <c r="C65" s="1516"/>
      <c r="D65" s="1518"/>
      <c r="E65" s="1518"/>
      <c r="F65" s="1518"/>
      <c r="G65" s="1518"/>
      <c r="H65" s="1518"/>
      <c r="I65" s="1534"/>
      <c r="J65" s="1534"/>
      <c r="K65" s="1518"/>
    </row>
    <row r="66" spans="1:11" ht="18.75" customHeight="1">
      <c r="B66" s="1533"/>
      <c r="C66" s="1516"/>
      <c r="D66" s="1518"/>
      <c r="E66" s="1518"/>
      <c r="F66" s="1518"/>
      <c r="G66" s="1518"/>
      <c r="H66" s="1518"/>
      <c r="I66" s="1534"/>
      <c r="J66" s="1534"/>
      <c r="K66" s="1518"/>
    </row>
    <row r="67" spans="1:11" ht="18.75" customHeight="1">
      <c r="B67" s="1533"/>
      <c r="C67" s="1516"/>
      <c r="D67" s="1518"/>
      <c r="E67" s="1518"/>
      <c r="F67" s="1518"/>
      <c r="G67" s="1518"/>
      <c r="H67" s="1518"/>
      <c r="I67" s="1534"/>
      <c r="J67" s="1534"/>
      <c r="K67" s="1518"/>
    </row>
    <row r="68" spans="1:11" ht="18.75" customHeight="1">
      <c r="B68" s="1535"/>
      <c r="C68" s="1536"/>
      <c r="D68" s="1537"/>
      <c r="E68" s="1537"/>
      <c r="F68" s="1537"/>
      <c r="G68" s="1537"/>
      <c r="H68" s="1537"/>
      <c r="I68" s="1538"/>
      <c r="J68" s="1538"/>
      <c r="K68" s="1537"/>
    </row>
    <row r="69" spans="1:11" ht="18.75" customHeight="1">
      <c r="A69" s="1824" t="s">
        <v>5548</v>
      </c>
      <c r="G69" s="1591"/>
      <c r="H69" s="1539" t="s">
        <v>4620</v>
      </c>
      <c r="I69" s="1540" t="s">
        <v>3085</v>
      </c>
      <c r="J69" s="1541">
        <f>IFERROR(SUMIF(K36:K68,I69,J36:J68),"")</f>
        <v>22</v>
      </c>
    </row>
    <row r="70" spans="1:11" ht="18.75" customHeight="1">
      <c r="B70" s="1592" t="s">
        <v>3801</v>
      </c>
      <c r="D70" s="1563" t="s">
        <v>3849</v>
      </c>
      <c r="G70" s="1591"/>
      <c r="H70" s="1542" t="str" cm="1">
        <f t="array" ref="H70">IF(OR(SUMPRODUCT((K36:K68&lt;&gt;"")/COUNTIF(K36:K68,K36:K68&amp;""))=1,SUMPRODUCT((K36:K68&lt;&gt;"")/COUNTIF(K36:K68,K36:K68&amp;""))=0),"","Made In")</f>
        <v/>
      </c>
      <c r="I70" s="1508"/>
      <c r="J70" s="1534" t="str">
        <f>IFERROR(IF(I70="","",SUMIF(K36:K68,I70,J36:J68)),"")</f>
        <v/>
      </c>
    </row>
    <row r="71" spans="1:11" ht="18.75" customHeight="1">
      <c r="B71" s="1593" t="s">
        <v>3802</v>
      </c>
      <c r="D71" s="1591" t="s">
        <v>5612</v>
      </c>
      <c r="E71" s="1502" t="s">
        <v>5613</v>
      </c>
      <c r="G71" s="1591"/>
      <c r="H71" s="1543" t="str" cm="1">
        <f t="array" ref="H71">IF(SUMPRODUCT((K36:K68&lt;&gt;"")/COUNTIF(K36:K68,K36:K68&amp;""))&lt;&gt;3,"","Made In")</f>
        <v/>
      </c>
      <c r="I71" s="1505"/>
      <c r="J71" s="1538" t="str">
        <f>IFERROR(IF(I71="","",SUMIF(K37:K69,I71,J37:J69)),"")</f>
        <v/>
      </c>
    </row>
    <row r="72" spans="1:11" ht="18.75" customHeight="1" thickBot="1">
      <c r="B72" s="1593" t="s">
        <v>3803</v>
      </c>
      <c r="D72" s="1594" t="s">
        <v>3852</v>
      </c>
      <c r="H72" s="2691" t="s">
        <v>4614</v>
      </c>
      <c r="I72" s="2691"/>
      <c r="J72" s="1544" t="s">
        <v>5563</v>
      </c>
    </row>
    <row r="73" spans="1:11" ht="18.75" customHeight="1" thickBot="1">
      <c r="B73" s="1593" t="s">
        <v>3804</v>
      </c>
      <c r="D73" s="1591" t="s">
        <v>3850</v>
      </c>
      <c r="E73" s="1502" t="s">
        <v>5375</v>
      </c>
      <c r="H73" s="2689" t="s">
        <v>3848</v>
      </c>
      <c r="I73" s="2690"/>
      <c r="J73" s="1756">
        <f>SUM(J37:J68,J72)</f>
        <v>34</v>
      </c>
    </row>
    <row r="74" spans="1:11" ht="18.75" customHeight="1">
      <c r="B74" s="1593" t="s">
        <v>3805</v>
      </c>
      <c r="D74" s="1591" t="s">
        <v>4488</v>
      </c>
      <c r="E74" s="1502" t="s">
        <v>5374</v>
      </c>
    </row>
    <row r="76" spans="1:11" ht="18.75" customHeight="1">
      <c r="B76" s="1593" t="s">
        <v>4489</v>
      </c>
      <c r="H76" s="1592" t="s">
        <v>3809</v>
      </c>
    </row>
    <row r="77" spans="1:11" ht="18.75" customHeight="1">
      <c r="B77" s="1545"/>
      <c r="C77" s="1546"/>
      <c r="D77" s="1546"/>
      <c r="E77" s="1547"/>
      <c r="F77" s="1548"/>
    </row>
    <row r="78" spans="1:11" ht="18.75" customHeight="1">
      <c r="B78" s="1549"/>
      <c r="F78" s="1550"/>
    </row>
    <row r="79" spans="1:11" ht="18.75" customHeight="1">
      <c r="B79" s="1549"/>
      <c r="F79" s="1550"/>
    </row>
    <row r="80" spans="1:11" ht="18.75" customHeight="1">
      <c r="B80" s="1551"/>
      <c r="C80" s="1552"/>
      <c r="D80" s="1552"/>
      <c r="E80" s="1553"/>
      <c r="F80" s="1554"/>
      <c r="H80" s="1552"/>
      <c r="I80" s="1552"/>
      <c r="J80" s="1552"/>
      <c r="K80" s="1552"/>
    </row>
  </sheetData>
  <mergeCells count="21">
    <mergeCell ref="D3:E3"/>
    <mergeCell ref="A8:A12"/>
    <mergeCell ref="B33:C33"/>
    <mergeCell ref="B14:E17"/>
    <mergeCell ref="F14:K15"/>
    <mergeCell ref="G16:K16"/>
    <mergeCell ref="J17:K17"/>
    <mergeCell ref="J33:K33"/>
    <mergeCell ref="F33:H33"/>
    <mergeCell ref="K34:K35"/>
    <mergeCell ref="J34:J35"/>
    <mergeCell ref="I34:I35"/>
    <mergeCell ref="F31:H31"/>
    <mergeCell ref="D31:E31"/>
    <mergeCell ref="D33:E33"/>
    <mergeCell ref="H73:I73"/>
    <mergeCell ref="H72:I72"/>
    <mergeCell ref="B34:B35"/>
    <mergeCell ref="F29:G29"/>
    <mergeCell ref="C34:E34"/>
    <mergeCell ref="F34:H34"/>
  </mergeCells>
  <phoneticPr fontId="2"/>
  <conditionalFormatting sqref="B31">
    <cfRule type="expression" dxfId="78" priority="10" stopIfTrue="1">
      <formula>$B$31="(SELECT)"</formula>
    </cfRule>
  </conditionalFormatting>
  <conditionalFormatting sqref="F31:H31 C34 F34 B33:H33">
    <cfRule type="containsBlanks" dxfId="77" priority="13" stopIfTrue="1">
      <formula>LEN(TRIM(B31))=0</formula>
    </cfRule>
  </conditionalFormatting>
  <conditionalFormatting sqref="F29">
    <cfRule type="expression" dxfId="76" priority="9" stopIfTrue="1">
      <formula>$F$29="(SELECT)"</formula>
    </cfRule>
  </conditionalFormatting>
  <conditionalFormatting sqref="C18:C20 C24:C26 C21:D22 C27:D28">
    <cfRule type="containsBlanks" dxfId="75" priority="11" stopIfTrue="1">
      <formula>LEN(TRIM(C18))=0</formula>
    </cfRule>
  </conditionalFormatting>
  <conditionalFormatting sqref="C31">
    <cfRule type="expression" dxfId="74" priority="6" stopIfTrue="1">
      <formula>$B$31="Vessel"</formula>
    </cfRule>
    <cfRule type="expression" dxfId="73" priority="7" stopIfTrue="1">
      <formula>$B$31="AIR"</formula>
    </cfRule>
    <cfRule type="expression" dxfId="72" priority="8" stopIfTrue="1">
      <formula>$B$31="Other"</formula>
    </cfRule>
  </conditionalFormatting>
  <conditionalFormatting sqref="J17:K17">
    <cfRule type="containsBlanks" dxfId="71" priority="4" stopIfTrue="1">
      <formula>LEN(TRIM(J17))=0</formula>
    </cfRule>
  </conditionalFormatting>
  <conditionalFormatting sqref="C36:K68">
    <cfRule type="expression" dxfId="70" priority="3" stopIfTrue="1">
      <formula>COUNTIF($I36,"*per*")</formula>
    </cfRule>
  </conditionalFormatting>
  <dataValidations count="2">
    <dataValidation type="list" allowBlank="1" showInputMessage="1" showErrorMessage="1" sqref="B31" xr:uid="{00000000-0002-0000-0200-000000000000}">
      <formula1>"(SELECT),FedEx,UPS,DHL,Other,Vessel,AIR"</formula1>
    </dataValidation>
    <dataValidation type="list" allowBlank="1" showInputMessage="1" showErrorMessage="1" sqref="F29:G29" xr:uid="{5C0A3626-5B10-4FE7-ACD1-A05D9D48494A}">
      <formula1>"(SELECT),　,Advanced Payment,NET 30days,NET 60days"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Option Button 1">
              <controlPr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228600</xdr:rowOff>
                  </from>
                  <to>
                    <xdr:col>6</xdr:col>
                    <xdr:colOff>333375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228600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改行設定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取引先マスタ!$C:$C</xm:f>
          </x14:formula1>
          <xm:sqref>E5:E6 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  <pageSetUpPr fitToPage="1"/>
  </sheetPr>
  <dimension ref="A1:N3952"/>
  <sheetViews>
    <sheetView showGridLines="0" topLeftCell="A16" zoomScale="85" zoomScaleNormal="85" zoomScaleSheetLayoutView="85" workbookViewId="0">
      <selection activeCell="K36" sqref="K36:K38"/>
    </sheetView>
  </sheetViews>
  <sheetFormatPr defaultColWidth="9" defaultRowHeight="18.75" customHeight="1" outlineLevelRow="1"/>
  <cols>
    <col min="1" max="1" width="16.75" style="1561" bestFit="1" customWidth="1"/>
    <col min="2" max="2" width="15" style="1501" customWidth="1"/>
    <col min="3" max="3" width="22.5" style="1501" customWidth="1"/>
    <col min="4" max="4" width="12.375" style="1501" customWidth="1"/>
    <col min="5" max="5" width="25" style="1502" customWidth="1"/>
    <col min="6" max="10" width="12.375" style="1501" customWidth="1"/>
    <col min="11" max="11" width="12.5" style="1501" customWidth="1"/>
    <col min="12" max="16384" width="9" style="1501"/>
  </cols>
  <sheetData>
    <row r="1" spans="1:11" s="1499" customFormat="1" ht="17.25" customHeight="1" thickBot="1">
      <c r="A1" s="1481"/>
      <c r="D1" s="1429"/>
      <c r="E1" s="1431"/>
      <c r="F1" s="1430"/>
      <c r="G1" s="1429"/>
      <c r="H1" s="1429"/>
    </row>
    <row r="2" spans="1:11" s="1499" customFormat="1" ht="17.25" customHeight="1" thickBot="1">
      <c r="A2" s="1785" t="s">
        <v>5236</v>
      </c>
      <c r="B2" s="1786" t="s">
        <v>4484</v>
      </c>
      <c r="C2" s="1787">
        <f>'Invoice(SF米国)'!C2</f>
        <v>7847</v>
      </c>
      <c r="D2" s="1501"/>
      <c r="E2" s="1502"/>
      <c r="F2" s="1557"/>
      <c r="H2" s="1484" t="str">
        <f>'Invoice(SF米国)'!E12</f>
        <v>LA</v>
      </c>
    </row>
    <row r="3" spans="1:11" s="1499" customFormat="1" ht="17.25" customHeight="1">
      <c r="A3" s="1785" t="s">
        <v>5236</v>
      </c>
      <c r="B3" s="1788" t="s">
        <v>4485</v>
      </c>
      <c r="C3" s="1789" t="str">
        <f>'Invoice(SF米国)'!C3</f>
        <v>(SELECT) - 顧客名</v>
      </c>
      <c r="D3" s="2712" t="s">
        <v>5537</v>
      </c>
      <c r="E3" s="2713"/>
      <c r="H3" s="1429"/>
    </row>
    <row r="4" spans="1:11" s="1499" customFormat="1" ht="17.25" customHeight="1">
      <c r="A4" s="1785" t="s">
        <v>4628</v>
      </c>
      <c r="B4" s="1788" t="s">
        <v>4486</v>
      </c>
      <c r="C4" s="1789" t="s">
        <v>4624</v>
      </c>
      <c r="D4" s="1790" t="s">
        <v>4642</v>
      </c>
      <c r="E4" s="1791">
        <f>'Invoice(SF米国)'!E4</f>
        <v>41382</v>
      </c>
      <c r="H4" s="1429"/>
    </row>
    <row r="5" spans="1:11" s="1499" customFormat="1" ht="17.25" customHeight="1">
      <c r="A5" s="1785" t="s">
        <v>5236</v>
      </c>
      <c r="B5" s="1788" t="s">
        <v>5188</v>
      </c>
      <c r="C5" s="1792">
        <f>'Invoice(SF米国)'!C5</f>
        <v>4347</v>
      </c>
      <c r="D5" s="1793" t="s">
        <v>4642</v>
      </c>
      <c r="E5" s="1794">
        <f>MATCH(TEXT(E4,"@"),'LA BackOrder'!C:C,0)</f>
        <v>2217</v>
      </c>
      <c r="H5" s="1429"/>
      <c r="I5" s="1429"/>
      <c r="J5" s="1429"/>
      <c r="K5" s="1429"/>
    </row>
    <row r="6" spans="1:11" s="1499" customFormat="1" ht="17.25" customHeight="1" thickBot="1">
      <c r="A6" s="1785" t="s">
        <v>5236</v>
      </c>
      <c r="B6" s="1788" t="s">
        <v>5189</v>
      </c>
      <c r="C6" s="1792">
        <f>'Invoice(SF米国)'!C6</f>
        <v>4349</v>
      </c>
      <c r="D6" s="1795" t="s">
        <v>4623</v>
      </c>
      <c r="E6" s="1796">
        <f>E5+COUNTIF('LA BackOrder'!C:C,TEXT(E4,"@"))-2</f>
        <v>2221</v>
      </c>
      <c r="H6" s="1429"/>
      <c r="I6" s="1429"/>
      <c r="J6" s="1429"/>
      <c r="K6" s="1429"/>
    </row>
    <row r="7" spans="1:11" s="1499" customFormat="1" ht="17.25" customHeight="1" thickBot="1">
      <c r="A7" s="1785" t="s">
        <v>5236</v>
      </c>
      <c r="B7" s="1798" t="s">
        <v>5227</v>
      </c>
      <c r="C7" s="1799">
        <f>'Invoice(SF米国)'!C7</f>
        <v>36</v>
      </c>
      <c r="D7" s="1800"/>
      <c r="E7" s="1801"/>
      <c r="F7" s="1430"/>
      <c r="G7" s="1429"/>
      <c r="H7" s="1429"/>
      <c r="I7" s="1429"/>
      <c r="J7" s="1429"/>
      <c r="K7" s="1429"/>
    </row>
    <row r="8" spans="1:11" s="1499" customFormat="1" ht="17.25" hidden="1" customHeight="1" outlineLevel="1">
      <c r="A8" s="2714" t="s">
        <v>5543</v>
      </c>
      <c r="B8" s="1802" t="s">
        <v>5190</v>
      </c>
      <c r="C8" s="1803">
        <f>C6-C5+C7</f>
        <v>38</v>
      </c>
      <c r="D8" s="1804" t="s">
        <v>4613</v>
      </c>
      <c r="E8" s="1805" t="str">
        <f>"Invoice "&amp;C2&amp;" (OSAKA)"</f>
        <v>Invoice 7847 (OSAKA)</v>
      </c>
      <c r="F8" s="1429"/>
      <c r="G8" s="1429"/>
      <c r="H8" s="1429"/>
      <c r="I8" s="1429"/>
      <c r="J8" s="1429"/>
      <c r="K8" s="1429"/>
    </row>
    <row r="9" spans="1:11" s="1499" customFormat="1" ht="17.25" hidden="1" customHeight="1" outlineLevel="1">
      <c r="A9" s="2715"/>
      <c r="B9" s="1806" t="s">
        <v>5228</v>
      </c>
      <c r="C9" s="1807">
        <f>'Invoice(SF米国)'!C9</f>
        <v>36</v>
      </c>
      <c r="D9" s="1808" t="s">
        <v>5343</v>
      </c>
      <c r="E9" s="1809" t="str">
        <f ca="1">'Invoice(SF米国)'!E9</f>
        <v>Invoice(SF米国)</v>
      </c>
      <c r="G9" s="1429"/>
      <c r="H9" s="1429"/>
      <c r="I9" s="1429"/>
      <c r="J9" s="1429"/>
      <c r="K9" s="1429"/>
    </row>
    <row r="10" spans="1:11" s="1499" customFormat="1" ht="17.25" hidden="1" customHeight="1" outlineLevel="1">
      <c r="A10" s="2715"/>
      <c r="B10" s="1806" t="s">
        <v>5229</v>
      </c>
      <c r="C10" s="1807">
        <f>'Invoice(SF米国)'!C10</f>
        <v>68</v>
      </c>
      <c r="D10" s="1808" t="s">
        <v>5344</v>
      </c>
      <c r="E10" s="1810" t="str">
        <f ca="1">'Invoice(SF米国)'!E10</f>
        <v>Invoice(SF大阪)</v>
      </c>
      <c r="G10" s="1429"/>
      <c r="H10" s="1429"/>
      <c r="I10" s="1429"/>
      <c r="J10" s="1429"/>
      <c r="K10" s="1429"/>
    </row>
    <row r="11" spans="1:11" s="1499" customFormat="1" ht="17.25" hidden="1" customHeight="1" outlineLevel="1">
      <c r="A11" s="2715"/>
      <c r="B11" s="1811" t="s">
        <v>5544</v>
      </c>
      <c r="C11" s="1812">
        <f>ROW(A69)</f>
        <v>69</v>
      </c>
      <c r="D11" s="1813" t="s">
        <v>5345</v>
      </c>
      <c r="E11" s="1810" t="str">
        <f ca="1">'Invoice(SF米国)'!E11</f>
        <v>LA BackOrder</v>
      </c>
    </row>
    <row r="12" spans="1:11" s="1499" customFormat="1" ht="17.25" hidden="1" customHeight="1" outlineLevel="1" thickBot="1">
      <c r="A12" s="2716"/>
      <c r="B12" s="1814" t="s">
        <v>5545</v>
      </c>
      <c r="C12" s="1815" t="str" cm="1">
        <f t="array" aca="1" ref="C12" ca="1">LEFT(MID(CELL("filename",A2),10,99),FIND("B",MID(CELL("filename",A2),10,99))-2)</f>
        <v>chiba</v>
      </c>
      <c r="D12" s="1816" t="s">
        <v>5546</v>
      </c>
      <c r="E12" s="1817" t="str">
        <f>'Invoice(SF米国)'!E12</f>
        <v>LA</v>
      </c>
      <c r="F12" s="1558"/>
    </row>
    <row r="13" spans="1:11" s="1499" customFormat="1" ht="17.25" customHeight="1" collapsed="1">
      <c r="A13" s="1557"/>
      <c r="B13" s="1557"/>
      <c r="C13" s="1560"/>
      <c r="E13" s="1500"/>
      <c r="F13" s="1558"/>
    </row>
    <row r="14" spans="1:11" ht="18.75" customHeight="1">
      <c r="B14" s="2717" t="s">
        <v>5658</v>
      </c>
      <c r="C14" s="2718"/>
      <c r="D14" s="2718"/>
      <c r="E14" s="2718"/>
      <c r="F14" s="2720" t="s">
        <v>4615</v>
      </c>
      <c r="G14" s="2720"/>
      <c r="H14" s="2720"/>
      <c r="I14" s="2720"/>
      <c r="J14" s="2720"/>
      <c r="K14" s="2720"/>
    </row>
    <row r="15" spans="1:11" ht="18.75" customHeight="1">
      <c r="B15" s="2718"/>
      <c r="C15" s="2718"/>
      <c r="D15" s="2718"/>
      <c r="E15" s="2718"/>
      <c r="F15" s="2720"/>
      <c r="G15" s="2720"/>
      <c r="H15" s="2720"/>
      <c r="I15" s="2720"/>
      <c r="J15" s="2720"/>
      <c r="K15" s="2720"/>
    </row>
    <row r="16" spans="1:11" ht="18.75" customHeight="1">
      <c r="B16" s="2718"/>
      <c r="C16" s="2718"/>
      <c r="D16" s="2718"/>
      <c r="E16" s="2718"/>
      <c r="F16" s="1562" t="s">
        <v>3838</v>
      </c>
      <c r="G16" s="2721">
        <f>C2</f>
        <v>7847</v>
      </c>
      <c r="H16" s="2721"/>
      <c r="I16" s="2721"/>
      <c r="J16" s="2721"/>
      <c r="K16" s="2721"/>
    </row>
    <row r="17" spans="2:11" ht="18.75" customHeight="1">
      <c r="B17" s="2719"/>
      <c r="C17" s="2719"/>
      <c r="D17" s="2719"/>
      <c r="E17" s="2719"/>
      <c r="F17" s="1563" t="s">
        <v>3839</v>
      </c>
      <c r="G17" s="1552" t="s">
        <v>3851</v>
      </c>
      <c r="H17" s="1552" t="s">
        <v>4618</v>
      </c>
      <c r="I17" s="1563" t="s">
        <v>3840</v>
      </c>
      <c r="J17" s="2722">
        <f ca="1">IF('Invoice(SF米国)'!J17="","",'Invoice(SF米国)'!J17)</f>
        <v>46114</v>
      </c>
      <c r="K17" s="2722"/>
    </row>
    <row r="18" spans="2:11" ht="18.75" customHeight="1">
      <c r="B18" s="1565" t="s">
        <v>3826</v>
      </c>
      <c r="C18" s="1566" t="str">
        <f>C3</f>
        <v>(SELECT) - 顧客名</v>
      </c>
      <c r="D18" s="1567"/>
      <c r="E18" s="1568"/>
      <c r="F18" s="1569" t="s">
        <v>3832</v>
      </c>
      <c r="G18" s="1570"/>
      <c r="H18" s="1571"/>
      <c r="I18" s="1569" t="s">
        <v>3835</v>
      </c>
      <c r="J18" s="1570"/>
      <c r="K18" s="1571"/>
    </row>
    <row r="19" spans="2:11" ht="18.75" customHeight="1">
      <c r="B19" s="1549"/>
      <c r="C19" s="1572" t="str">
        <f>IFERROR(VLOOKUP(C3,取引先マスタ!C:E,3,FALSE),"")</f>
        <v>ADDRESS 1</v>
      </c>
      <c r="D19" s="1507"/>
      <c r="E19" s="1508"/>
      <c r="F19" s="1503"/>
      <c r="G19" s="1504"/>
      <c r="H19" s="1505"/>
      <c r="I19" s="1503"/>
      <c r="J19" s="1504"/>
      <c r="K19" s="1505"/>
    </row>
    <row r="20" spans="2:11" ht="18.75" customHeight="1">
      <c r="B20" s="1549"/>
      <c r="C20" s="1572" t="str">
        <f>IFERROR(VLOOKUP(C3,取引先マスタ!C:F,4,FALSE),"")</f>
        <v>ADDRESS 2</v>
      </c>
      <c r="D20" s="1507"/>
      <c r="E20" s="1508"/>
      <c r="F20" s="1569" t="s">
        <v>3833</v>
      </c>
      <c r="G20" s="1570"/>
      <c r="H20" s="1571"/>
      <c r="I20" s="1569" t="s">
        <v>3834</v>
      </c>
      <c r="J20" s="1570"/>
      <c r="K20" s="1571"/>
    </row>
    <row r="21" spans="2:11" ht="18.75" customHeight="1">
      <c r="B21" s="1549"/>
      <c r="C21" s="1573" t="str">
        <f>IFERROR(IF(VLOOKUP(C3,取引先マスタ!C:G,5,FALSE)=0,"Country: ","Country: "&amp;VLOOKUP(C3,取引先マスタ!C:G,5,FALSE)),"")</f>
        <v>Country: COUNTRY</v>
      </c>
      <c r="D21" s="1507" t="str">
        <f>IFERROR(IF(VLOOKUP(C3,取引先マスタ!C:D,2,FALSE)=0,"Zip Code: ","Zip Code: "&amp;VLOOKUP(C3,取引先マスタ!C:D,2,FALSE)),"")</f>
        <v>Zip Code: ZIP CODE</v>
      </c>
      <c r="E21" s="1508"/>
      <c r="F21" s="1503"/>
      <c r="G21" s="1504"/>
      <c r="H21" s="1505"/>
      <c r="I21" s="1503"/>
      <c r="J21" s="1504"/>
      <c r="K21" s="1505"/>
    </row>
    <row r="22" spans="2:11" ht="18.75" customHeight="1">
      <c r="B22" s="1549"/>
      <c r="C22" s="1573" t="str">
        <f>IFERROR(IF(VLOOKUP(C3,取引先マスタ!C:H,6,FALSE)=0,"Tel: ",VLOOKUP(C3,取引先マスタ!C:H,6,FALSE)),"")</f>
        <v>TEL</v>
      </c>
      <c r="D22" s="1507" t="str">
        <f>IFERROR(IF(VLOOKUP(C3,取引先マスタ!C:I,7,FALSE)=0,"Attn: ","Attn: "&amp;VLOOKUP(C3,取引先マスタ!C:I,7,FALSE)),"")</f>
        <v>Attn: ATTENTION</v>
      </c>
      <c r="E22" s="1508"/>
      <c r="F22" s="1569" t="s">
        <v>3828</v>
      </c>
      <c r="G22" s="1570"/>
      <c r="H22" s="1570"/>
      <c r="I22" s="1570"/>
      <c r="J22" s="1570"/>
      <c r="K22" s="1571"/>
    </row>
    <row r="23" spans="2:11" ht="18.75" customHeight="1">
      <c r="B23" s="1551"/>
      <c r="C23" s="1555"/>
      <c r="D23" s="1504"/>
      <c r="E23" s="1505"/>
      <c r="F23" s="1574" t="s">
        <v>3829</v>
      </c>
      <c r="G23" s="1506" t="s">
        <v>4629</v>
      </c>
      <c r="H23" s="1507"/>
      <c r="I23" s="1507"/>
      <c r="J23" s="1507"/>
      <c r="K23" s="1508"/>
    </row>
    <row r="24" spans="2:11" ht="18.75" customHeight="1">
      <c r="B24" s="1565" t="s">
        <v>3825</v>
      </c>
      <c r="C24" s="1566" t="str">
        <f>C4</f>
        <v>SUN FASHION AMERICA, INC.</v>
      </c>
      <c r="D24" s="1567"/>
      <c r="E24" s="1568"/>
      <c r="F24" s="1574" t="s">
        <v>3830</v>
      </c>
      <c r="G24" s="1506" t="s">
        <v>4630</v>
      </c>
      <c r="H24" s="1507"/>
      <c r="I24" s="1507"/>
      <c r="J24" s="1507"/>
      <c r="K24" s="1508"/>
    </row>
    <row r="25" spans="2:11" ht="18.75" customHeight="1">
      <c r="B25" s="1549"/>
      <c r="C25" s="1572" t="str">
        <f>IFERROR(VLOOKUP(C4,取引先マスタ!C:E,3,FALSE),"")</f>
        <v>Suite 716, 15 West 38th Street,</v>
      </c>
      <c r="D25" s="1507"/>
      <c r="E25" s="1508"/>
      <c r="F25" s="1574" t="s">
        <v>3787</v>
      </c>
      <c r="G25" s="1506" t="s">
        <v>4631</v>
      </c>
      <c r="H25" s="1507"/>
      <c r="I25" s="1507"/>
      <c r="J25" s="1507"/>
      <c r="K25" s="1508"/>
    </row>
    <row r="26" spans="2:11" ht="18.75" customHeight="1">
      <c r="B26" s="1549"/>
      <c r="C26" s="1572" t="str">
        <f>IFERROR(VLOOKUP(C4,取引先マスタ!C:F,4,FALSE),"")</f>
        <v>New York, NY</v>
      </c>
      <c r="D26" s="1507"/>
      <c r="E26" s="1508"/>
      <c r="F26" s="1574" t="s">
        <v>3831</v>
      </c>
      <c r="G26" s="1506" t="s">
        <v>4632</v>
      </c>
      <c r="H26" s="1507"/>
      <c r="I26" s="1507"/>
      <c r="J26" s="1507"/>
      <c r="K26" s="1508"/>
    </row>
    <row r="27" spans="2:11" ht="18.75" customHeight="1">
      <c r="B27" s="1549"/>
      <c r="C27" s="1573" t="str">
        <f>IFERROR(IF(VLOOKUP(C4,取引先マスタ!C:G,5,FALSE)=0,"Country: ","Country: "&amp;VLOOKUP(C4,取引先マスタ!C:G,5,FALSE)),"")</f>
        <v>Country: U.S.A.</v>
      </c>
      <c r="D27" s="1507" t="str">
        <f>IFERROR(IF(VLOOKUP(C4,取引先マスタ!C:D,2,FALSE)=0,"Zip Code: ","Zip Code: "&amp;VLOOKUP(C4,取引先マスタ!C:D,2,FALSE)),"")</f>
        <v>Zip Code: 10018</v>
      </c>
      <c r="E27" s="1508"/>
      <c r="F27" s="1503" t="s">
        <v>3837</v>
      </c>
      <c r="G27" s="1509" t="s">
        <v>4633</v>
      </c>
      <c r="H27" s="1504"/>
      <c r="I27" s="1510" t="s">
        <v>3836</v>
      </c>
      <c r="J27" s="1510" t="s">
        <v>4634</v>
      </c>
      <c r="K27" s="1505"/>
    </row>
    <row r="28" spans="2:11" ht="18.75" customHeight="1">
      <c r="B28" s="1549"/>
      <c r="C28" s="1573" t="str">
        <f>IFERROR(IF(VLOOKUP(C4,取引先マスタ!C:H,6,FALSE)=0,"Tel: ",VLOOKUP(C4,取引先マスタ!C:H,6,FALSE)),"")</f>
        <v xml:space="preserve">Tel: </v>
      </c>
      <c r="D28" s="1507" t="str">
        <f>IFERROR(IF(VLOOKUP(C4,取引先マスタ!C:I,7,FALSE)=0,"Attn: ","Attn: "&amp;VLOOKUP(C4,取引先マスタ!C:I,7,FALSE)),"")</f>
        <v>Attn: Megumi Chiba</v>
      </c>
      <c r="E28" s="1508"/>
      <c r="F28" s="1569" t="s">
        <v>3827</v>
      </c>
      <c r="G28" s="1570"/>
      <c r="H28" s="1570"/>
      <c r="I28" s="1570"/>
      <c r="J28" s="1570"/>
      <c r="K28" s="1571"/>
    </row>
    <row r="29" spans="2:11" ht="18.75" customHeight="1">
      <c r="B29" s="1549"/>
      <c r="C29" s="1555"/>
      <c r="D29" s="1504"/>
      <c r="E29" s="1505"/>
      <c r="F29" s="2730" t="s">
        <v>4635</v>
      </c>
      <c r="G29" s="2731"/>
      <c r="H29" s="1595"/>
      <c r="I29" s="1595"/>
      <c r="J29" s="1595"/>
      <c r="K29" s="1582"/>
    </row>
    <row r="30" spans="2:11" ht="18.75" customHeight="1">
      <c r="B30" s="1569" t="s">
        <v>3818</v>
      </c>
      <c r="C30" s="1575"/>
      <c r="D30" s="1569" t="s">
        <v>3819</v>
      </c>
      <c r="E30" s="1576"/>
      <c r="F30" s="1569" t="s">
        <v>3821</v>
      </c>
      <c r="G30" s="1577"/>
      <c r="H30" s="1575"/>
      <c r="I30" s="1569" t="s">
        <v>3823</v>
      </c>
      <c r="J30" s="1578"/>
      <c r="K30" s="1579"/>
    </row>
    <row r="31" spans="2:11" ht="18.75" customHeight="1">
      <c r="B31" s="1632" t="str">
        <f>'Invoice(SF米国)'!B31</f>
        <v>FedEx</v>
      </c>
      <c r="C31" s="1505"/>
      <c r="D31" s="2709" t="str">
        <f>IF('Invoice(SF米国)'!D31="","",'Invoice(SF米国)'!D31)</f>
        <v>Osaka, Japan</v>
      </c>
      <c r="E31" s="2708"/>
      <c r="F31" s="2706">
        <f ca="1">J17</f>
        <v>46114</v>
      </c>
      <c r="G31" s="2707"/>
      <c r="H31" s="2708"/>
      <c r="I31" s="1580" t="s">
        <v>3845</v>
      </c>
      <c r="J31" s="1581" t="str">
        <f>IF('Invoice(SF米国)'!J31="","",'Invoice(SF米国)'!J31)</f>
        <v/>
      </c>
      <c r="K31" s="1582"/>
    </row>
    <row r="32" spans="2:11" ht="18.75" customHeight="1">
      <c r="B32" s="1569" t="s">
        <v>3817</v>
      </c>
      <c r="C32" s="1575"/>
      <c r="D32" s="1569" t="s">
        <v>3820</v>
      </c>
      <c r="E32" s="1576"/>
      <c r="F32" s="1569" t="s">
        <v>3822</v>
      </c>
      <c r="G32" s="1577"/>
      <c r="H32" s="1575"/>
      <c r="I32" s="1633"/>
      <c r="J32" s="1634"/>
      <c r="K32" s="1635"/>
    </row>
    <row r="33" spans="2:11" ht="18.75" customHeight="1" thickBot="1">
      <c r="B33" s="2710" t="str">
        <f>IF('Invoice(SF米国)'!B33="","",'Invoice(SF米国)'!B33)</f>
        <v>LA, California</v>
      </c>
      <c r="C33" s="2711"/>
      <c r="D33" s="2710" t="str">
        <f>IF('Invoice(SF米国)'!D33="","",'Invoice(SF米国)'!D33)</f>
        <v>LA, California</v>
      </c>
      <c r="E33" s="2711"/>
      <c r="F33" s="2725" t="str">
        <f>IF('Invoice(SF米国)'!F33="","",'Invoice(SF米国)'!F33)</f>
        <v>-</v>
      </c>
      <c r="G33" s="2726"/>
      <c r="H33" s="2727"/>
      <c r="I33" s="1583" t="s">
        <v>3824</v>
      </c>
      <c r="J33" s="2723" t="s">
        <v>4636</v>
      </c>
      <c r="K33" s="2724"/>
    </row>
    <row r="34" spans="2:11" ht="18.75" customHeight="1" thickTop="1">
      <c r="B34" s="2733" t="s">
        <v>3811</v>
      </c>
      <c r="C34" s="2696" t="s">
        <v>3846</v>
      </c>
      <c r="D34" s="2696"/>
      <c r="E34" s="2696"/>
      <c r="F34" s="2697" t="s">
        <v>3847</v>
      </c>
      <c r="G34" s="2698"/>
      <c r="H34" s="2699"/>
      <c r="I34" s="2734" t="s">
        <v>3815</v>
      </c>
      <c r="J34" s="2735" t="s">
        <v>3816</v>
      </c>
      <c r="K34" s="2732" t="s">
        <v>2213</v>
      </c>
    </row>
    <row r="35" spans="2:11" ht="18.75" customHeight="1" thickBot="1">
      <c r="B35" s="2693"/>
      <c r="C35" s="1584" t="s">
        <v>2264</v>
      </c>
      <c r="D35" s="1584" t="s">
        <v>52</v>
      </c>
      <c r="E35" s="1585" t="s">
        <v>53</v>
      </c>
      <c r="F35" s="1584" t="s">
        <v>3812</v>
      </c>
      <c r="G35" s="1584" t="s">
        <v>3813</v>
      </c>
      <c r="H35" s="1584" t="s">
        <v>3814</v>
      </c>
      <c r="I35" s="2705"/>
      <c r="J35" s="2703"/>
      <c r="K35" s="2701"/>
    </row>
    <row r="36" spans="2:11" ht="18.75" customHeight="1" thickTop="1">
      <c r="B36" s="1511" t="s">
        <v>9161</v>
      </c>
      <c r="C36" s="1512" t="s">
        <v>9162</v>
      </c>
      <c r="D36" s="2667"/>
      <c r="E36" s="2667"/>
      <c r="F36" s="1624"/>
      <c r="G36" s="1624"/>
      <c r="H36" s="1624"/>
      <c r="I36" s="2621"/>
      <c r="J36" s="1513"/>
      <c r="K36" s="1514"/>
    </row>
    <row r="37" spans="2:11" ht="18.75" customHeight="1">
      <c r="B37" s="1515" t="s">
        <v>9161</v>
      </c>
      <c r="C37" s="1516" t="s">
        <v>6710</v>
      </c>
      <c r="D37" s="1517"/>
      <c r="E37" s="1518" t="s">
        <v>9158</v>
      </c>
      <c r="F37" s="1522">
        <v>50</v>
      </c>
      <c r="G37" s="1520">
        <v>1</v>
      </c>
      <c r="H37" s="1522">
        <v>50</v>
      </c>
      <c r="I37" s="1521">
        <v>0.39</v>
      </c>
      <c r="J37" s="1596">
        <v>19.5</v>
      </c>
      <c r="K37" s="1521" t="s">
        <v>3085</v>
      </c>
    </row>
    <row r="38" spans="2:11" ht="18.75" customHeight="1">
      <c r="B38" s="1515" t="s">
        <v>9161</v>
      </c>
      <c r="C38" s="1516"/>
      <c r="D38" s="1524"/>
      <c r="E38" s="1525" t="s">
        <v>2975</v>
      </c>
      <c r="F38" s="1522"/>
      <c r="G38" s="1520"/>
      <c r="H38" s="1526">
        <v>1</v>
      </c>
      <c r="I38" s="1521">
        <v>12</v>
      </c>
      <c r="J38" s="1521">
        <v>12</v>
      </c>
      <c r="K38" s="1521"/>
    </row>
    <row r="39" spans="2:11" ht="18.75" customHeight="1">
      <c r="B39" s="1515"/>
      <c r="C39" s="1516"/>
      <c r="D39" s="1525"/>
      <c r="E39" s="1525"/>
      <c r="F39" s="1519"/>
      <c r="G39" s="1520"/>
      <c r="H39" s="1522"/>
      <c r="I39" s="1521"/>
      <c r="J39" s="1596"/>
      <c r="K39" s="1521"/>
    </row>
    <row r="40" spans="2:11" ht="18.75" customHeight="1">
      <c r="B40" s="1515"/>
      <c r="C40" s="1516"/>
      <c r="D40" s="1524"/>
      <c r="E40" s="1525"/>
      <c r="F40" s="1522"/>
      <c r="G40" s="1520"/>
      <c r="H40" s="1526"/>
      <c r="I40" s="1521"/>
      <c r="J40" s="1596"/>
      <c r="K40" s="1521"/>
    </row>
    <row r="41" spans="2:11" ht="18.75" customHeight="1">
      <c r="B41" s="1515"/>
      <c r="C41" s="1516"/>
      <c r="D41" s="1524"/>
      <c r="E41" s="1525"/>
      <c r="F41" s="1522"/>
      <c r="G41" s="1520"/>
      <c r="H41" s="1526"/>
      <c r="I41" s="1521"/>
      <c r="J41" s="1596"/>
      <c r="K41" s="1521"/>
    </row>
    <row r="42" spans="2:11" ht="18.75" customHeight="1">
      <c r="B42" s="1515"/>
      <c r="C42" s="1516"/>
      <c r="D42" s="1524"/>
      <c r="E42" s="1525"/>
      <c r="F42" s="1522"/>
      <c r="G42" s="1520"/>
      <c r="H42" s="1526"/>
      <c r="I42" s="1521"/>
      <c r="J42" s="1596"/>
      <c r="K42" s="1521"/>
    </row>
    <row r="43" spans="2:11" ht="18.75" customHeight="1">
      <c r="B43" s="1515"/>
      <c r="C43" s="1516"/>
      <c r="D43" s="1524"/>
      <c r="E43" s="1525"/>
      <c r="F43" s="1522"/>
      <c r="G43" s="1520"/>
      <c r="H43" s="1526"/>
      <c r="I43" s="1521"/>
      <c r="J43" s="1596"/>
      <c r="K43" s="1521"/>
    </row>
    <row r="44" spans="2:11" ht="18.75" customHeight="1">
      <c r="B44" s="1515"/>
      <c r="C44" s="1516"/>
      <c r="D44" s="1517"/>
      <c r="E44" s="1518"/>
      <c r="F44" s="1530"/>
      <c r="G44" s="1520"/>
      <c r="H44" s="1522"/>
      <c r="I44" s="1521"/>
      <c r="J44" s="1596"/>
      <c r="K44" s="1521"/>
    </row>
    <row r="45" spans="2:11" ht="18.75" customHeight="1">
      <c r="B45" s="1515"/>
      <c r="C45" s="1516"/>
      <c r="D45" s="1517"/>
      <c r="E45" s="1518"/>
      <c r="F45" s="1530"/>
      <c r="G45" s="1520"/>
      <c r="H45" s="1522"/>
      <c r="I45" s="1521"/>
      <c r="J45" s="1596"/>
      <c r="K45" s="1521"/>
    </row>
    <row r="46" spans="2:11" ht="18.75" customHeight="1">
      <c r="B46" s="1515"/>
      <c r="C46" s="1516"/>
      <c r="D46" s="1517"/>
      <c r="E46" s="1518"/>
      <c r="F46" s="1530"/>
      <c r="G46" s="1520"/>
      <c r="H46" s="1526"/>
      <c r="I46" s="1521"/>
      <c r="J46" s="1596"/>
      <c r="K46" s="1521"/>
    </row>
    <row r="47" spans="2:11" ht="18.75" customHeight="1">
      <c r="B47" s="1515"/>
      <c r="C47" s="1516"/>
      <c r="D47" s="1517"/>
      <c r="E47" s="1518"/>
      <c r="F47" s="1530"/>
      <c r="G47" s="1520"/>
      <c r="H47" s="1522"/>
      <c r="I47" s="1521"/>
      <c r="J47" s="1596"/>
      <c r="K47" s="1521"/>
    </row>
    <row r="48" spans="2:11" ht="18.75" customHeight="1">
      <c r="B48" s="1515"/>
      <c r="C48" s="1516"/>
      <c r="D48" s="1524"/>
      <c r="E48" s="1525"/>
      <c r="F48" s="1522"/>
      <c r="G48" s="1520"/>
      <c r="H48" s="1526"/>
      <c r="I48" s="1521"/>
      <c r="J48" s="1596"/>
      <c r="K48" s="1521"/>
    </row>
    <row r="49" spans="2:11" ht="18.75" customHeight="1">
      <c r="B49" s="1515"/>
      <c r="C49" s="1516"/>
      <c r="D49" s="1525"/>
      <c r="E49" s="1525"/>
      <c r="F49" s="1522"/>
      <c r="G49" s="1520"/>
      <c r="H49" s="1522"/>
      <c r="I49" s="1521"/>
      <c r="J49" s="1596"/>
      <c r="K49" s="1521"/>
    </row>
    <row r="50" spans="2:11" ht="18.75" customHeight="1">
      <c r="B50" s="1515"/>
      <c r="C50" s="1516"/>
      <c r="D50" s="1525"/>
      <c r="E50" s="1525"/>
      <c r="F50" s="1522"/>
      <c r="G50" s="1520"/>
      <c r="H50" s="1522"/>
      <c r="I50" s="1521"/>
      <c r="J50" s="1596"/>
      <c r="K50" s="1521"/>
    </row>
    <row r="51" spans="2:11" ht="18.75" customHeight="1">
      <c r="B51" s="1515"/>
      <c r="C51" s="1516"/>
      <c r="D51" s="1525"/>
      <c r="E51" s="1525"/>
      <c r="F51" s="1522"/>
      <c r="G51" s="1520"/>
      <c r="H51" s="1522"/>
      <c r="I51" s="1521"/>
      <c r="J51" s="1596"/>
      <c r="K51" s="1521"/>
    </row>
    <row r="52" spans="2:11" ht="18.75" customHeight="1">
      <c r="B52" s="1515"/>
      <c r="C52" s="1516"/>
      <c r="D52" s="1525"/>
      <c r="E52" s="1525"/>
      <c r="F52" s="1522"/>
      <c r="G52" s="1520"/>
      <c r="H52" s="1522"/>
      <c r="I52" s="1521"/>
      <c r="J52" s="1596"/>
      <c r="K52" s="1521"/>
    </row>
    <row r="53" spans="2:11" ht="18.75" customHeight="1">
      <c r="B53" s="1515"/>
      <c r="C53" s="1516"/>
      <c r="D53" s="1524"/>
      <c r="E53" s="1525"/>
      <c r="F53" s="1522"/>
      <c r="G53" s="1520"/>
      <c r="H53" s="1526"/>
      <c r="I53" s="1521"/>
      <c r="J53" s="1596"/>
      <c r="K53" s="1521"/>
    </row>
    <row r="54" spans="2:11" ht="18.75" customHeight="1">
      <c r="B54" s="1515"/>
      <c r="C54" s="1516"/>
      <c r="D54" s="1525"/>
      <c r="E54" s="1525"/>
      <c r="F54" s="1526"/>
      <c r="G54" s="1529"/>
      <c r="H54" s="1530"/>
      <c r="I54" s="1521"/>
      <c r="J54" s="1518"/>
      <c r="K54" s="1523"/>
    </row>
    <row r="55" spans="2:11" ht="18.75" customHeight="1">
      <c r="B55" s="1515"/>
      <c r="C55" s="1516"/>
      <c r="D55" s="1525"/>
      <c r="E55" s="1525"/>
      <c r="F55" s="1530"/>
      <c r="G55" s="1530"/>
      <c r="H55" s="1530"/>
      <c r="I55" s="1521"/>
      <c r="J55" s="1518"/>
      <c r="K55" s="1523"/>
    </row>
    <row r="56" spans="2:11" ht="18.75" customHeight="1">
      <c r="B56" s="1515"/>
      <c r="C56" s="1516"/>
      <c r="D56" s="1525"/>
      <c r="E56" s="1525"/>
      <c r="F56" s="1531"/>
      <c r="G56" s="1531"/>
      <c r="H56" s="1532"/>
      <c r="I56" s="1521"/>
      <c r="J56" s="1596"/>
      <c r="K56" s="1521"/>
    </row>
    <row r="57" spans="2:11" ht="18.75" customHeight="1">
      <c r="B57" s="1533"/>
      <c r="C57" s="1516"/>
      <c r="D57" s="1518"/>
      <c r="E57" s="1518"/>
      <c r="F57" s="1518"/>
      <c r="G57" s="1518"/>
      <c r="H57" s="1518"/>
      <c r="I57" s="1534"/>
      <c r="J57" s="1534"/>
      <c r="K57" s="1518"/>
    </row>
    <row r="58" spans="2:11" ht="18.75" customHeight="1">
      <c r="B58" s="1533"/>
      <c r="C58" s="1516"/>
      <c r="D58" s="1518"/>
      <c r="E58" s="1518"/>
      <c r="F58" s="1518"/>
      <c r="G58" s="1518"/>
      <c r="H58" s="1518"/>
      <c r="I58" s="1534"/>
      <c r="J58" s="1534"/>
      <c r="K58" s="1518"/>
    </row>
    <row r="59" spans="2:11" ht="18.75" customHeight="1">
      <c r="B59" s="1533"/>
      <c r="C59" s="1516"/>
      <c r="D59" s="1518"/>
      <c r="E59" s="1518"/>
      <c r="F59" s="1518"/>
      <c r="G59" s="1518"/>
      <c r="H59" s="1518"/>
      <c r="I59" s="1534"/>
      <c r="J59" s="1534"/>
      <c r="K59" s="1518"/>
    </row>
    <row r="60" spans="2:11" ht="18.75" customHeight="1">
      <c r="B60" s="1533"/>
      <c r="C60" s="1516"/>
      <c r="D60" s="1518"/>
      <c r="E60" s="1518"/>
      <c r="F60" s="1518"/>
      <c r="G60" s="1518"/>
      <c r="H60" s="1518"/>
      <c r="I60" s="1534"/>
      <c r="J60" s="1534"/>
      <c r="K60" s="1518"/>
    </row>
    <row r="61" spans="2:11" ht="18.75" customHeight="1">
      <c r="B61" s="1533"/>
      <c r="C61" s="1516"/>
      <c r="D61" s="1518"/>
      <c r="E61" s="1518"/>
      <c r="F61" s="1518"/>
      <c r="G61" s="1518"/>
      <c r="H61" s="1518"/>
      <c r="I61" s="1534"/>
      <c r="J61" s="1534"/>
      <c r="K61" s="1518"/>
    </row>
    <row r="62" spans="2:11" ht="18.75" customHeight="1">
      <c r="B62" s="1533"/>
      <c r="C62" s="1516"/>
      <c r="D62" s="1518"/>
      <c r="E62" s="1518"/>
      <c r="F62" s="1518"/>
      <c r="G62" s="1518"/>
      <c r="H62" s="1518"/>
      <c r="I62" s="1534"/>
      <c r="J62" s="1534"/>
      <c r="K62" s="1518"/>
    </row>
    <row r="63" spans="2:11" ht="18.75" customHeight="1">
      <c r="B63" s="1533"/>
      <c r="C63" s="1516"/>
      <c r="D63" s="1518"/>
      <c r="E63" s="1518"/>
      <c r="F63" s="1518"/>
      <c r="G63" s="1518"/>
      <c r="H63" s="1518"/>
      <c r="I63" s="1534"/>
      <c r="J63" s="1534"/>
      <c r="K63" s="1518"/>
    </row>
    <row r="64" spans="2:11" ht="18.75" customHeight="1">
      <c r="B64" s="1533"/>
      <c r="C64" s="1516"/>
      <c r="D64" s="1518"/>
      <c r="E64" s="1518"/>
      <c r="F64" s="1518"/>
      <c r="G64" s="1518"/>
      <c r="H64" s="1518"/>
      <c r="I64" s="1534"/>
      <c r="J64" s="1534"/>
      <c r="K64" s="1518"/>
    </row>
    <row r="65" spans="1:11" ht="18.75" customHeight="1">
      <c r="B65" s="1533"/>
      <c r="C65" s="1516"/>
      <c r="D65" s="1518"/>
      <c r="E65" s="1518"/>
      <c r="F65" s="1518"/>
      <c r="G65" s="1518"/>
      <c r="H65" s="1518"/>
      <c r="I65" s="1534"/>
      <c r="J65" s="1534"/>
      <c r="K65" s="1518"/>
    </row>
    <row r="66" spans="1:11" ht="18.75" customHeight="1">
      <c r="B66" s="1533"/>
      <c r="C66" s="1516"/>
      <c r="D66" s="1518"/>
      <c r="E66" s="1518"/>
      <c r="F66" s="1518"/>
      <c r="G66" s="1518"/>
      <c r="H66" s="1518"/>
      <c r="I66" s="1534"/>
      <c r="J66" s="1534"/>
      <c r="K66" s="1518"/>
    </row>
    <row r="67" spans="1:11" ht="18.75" customHeight="1">
      <c r="B67" s="1533"/>
      <c r="C67" s="1516"/>
      <c r="D67" s="1518"/>
      <c r="E67" s="1518"/>
      <c r="F67" s="1518"/>
      <c r="G67" s="1518"/>
      <c r="H67" s="1518"/>
      <c r="I67" s="1534"/>
      <c r="J67" s="1534"/>
      <c r="K67" s="1518"/>
    </row>
    <row r="68" spans="1:11" ht="18.75" customHeight="1">
      <c r="B68" s="1535"/>
      <c r="C68" s="1536"/>
      <c r="D68" s="1537"/>
      <c r="E68" s="1537"/>
      <c r="F68" s="1537"/>
      <c r="G68" s="1537"/>
      <c r="H68" s="1537"/>
      <c r="I68" s="1538"/>
      <c r="J68" s="1538"/>
      <c r="K68" s="1537"/>
    </row>
    <row r="69" spans="1:11" ht="18.75" customHeight="1">
      <c r="A69" s="1824" t="s">
        <v>5548</v>
      </c>
      <c r="G69" s="1591"/>
      <c r="H69" s="1539" t="s">
        <v>4620</v>
      </c>
      <c r="I69" s="1540" t="s">
        <v>3085</v>
      </c>
      <c r="J69" s="1541">
        <f>IFERROR(SUMIF(K36:K68,I69,J36:J68),"")</f>
        <v>19.5</v>
      </c>
    </row>
    <row r="70" spans="1:11" ht="18.75" customHeight="1">
      <c r="B70" s="1592" t="s">
        <v>3801</v>
      </c>
      <c r="D70" s="1563" t="s">
        <v>3849</v>
      </c>
      <c r="G70" s="1591"/>
      <c r="H70" s="1542" t="str" cm="1">
        <f t="array" ref="H70">IF(OR(SUMPRODUCT((K36:K68&lt;&gt;"")/COUNTIF(K36:K68,K36:K68&amp;""))=1,SUMPRODUCT((K36:K68&lt;&gt;"")/COUNTIF(K36:K68,K36:K68&amp;""))=0),"","Made In")</f>
        <v/>
      </c>
      <c r="I70" s="1508"/>
      <c r="J70" s="1534" t="str">
        <f>IFERROR(IF(I70="","",SUMIF(K36:K68,I70,J36:J68)),"")</f>
        <v/>
      </c>
    </row>
    <row r="71" spans="1:11" ht="18.75" customHeight="1">
      <c r="B71" s="1593" t="s">
        <v>3802</v>
      </c>
      <c r="D71" s="1591" t="s">
        <v>5612</v>
      </c>
      <c r="E71" s="1502" t="s">
        <v>5613</v>
      </c>
      <c r="G71" s="1591"/>
      <c r="H71" s="1543" t="str" cm="1">
        <f t="array" ref="H71">IF(SUMPRODUCT((K36:K68&lt;&gt;"")/COUNTIF(K36:K68,K36:K68&amp;""))&lt;&gt;3,"","Made In")</f>
        <v/>
      </c>
      <c r="I71" s="1505"/>
      <c r="J71" s="1538" t="str">
        <f>IFERROR(IF(I71="","",SUMIF(K37:K69,I71,J37:J69)),"")</f>
        <v/>
      </c>
    </row>
    <row r="72" spans="1:11" ht="18.75" customHeight="1" thickBot="1">
      <c r="B72" s="1593" t="s">
        <v>3803</v>
      </c>
      <c r="D72" s="1594" t="s">
        <v>3852</v>
      </c>
      <c r="H72" s="2691" t="s">
        <v>4614</v>
      </c>
      <c r="I72" s="2691"/>
      <c r="J72" s="1544" t="str">
        <f>'Invoice(SF米国)'!J72</f>
        <v>Collect</v>
      </c>
    </row>
    <row r="73" spans="1:11" ht="18.75" customHeight="1" thickBot="1">
      <c r="B73" s="1593" t="s">
        <v>3804</v>
      </c>
      <c r="D73" s="1591" t="s">
        <v>3850</v>
      </c>
      <c r="E73" s="1502" t="s">
        <v>5375</v>
      </c>
      <c r="H73" s="2728" t="s">
        <v>3848</v>
      </c>
      <c r="I73" s="2729"/>
      <c r="J73" s="1756">
        <f>SUM(J37:J68,J72)</f>
        <v>31.5</v>
      </c>
    </row>
    <row r="74" spans="1:11" ht="18.75" customHeight="1">
      <c r="B74" s="1593" t="s">
        <v>3805</v>
      </c>
      <c r="D74" s="1591" t="s">
        <v>4488</v>
      </c>
      <c r="E74" s="1502" t="s">
        <v>5374</v>
      </c>
    </row>
    <row r="76" spans="1:11" ht="18.75" customHeight="1">
      <c r="B76" s="1593" t="s">
        <v>4489</v>
      </c>
      <c r="H76" s="1592" t="s">
        <v>4619</v>
      </c>
    </row>
    <row r="77" spans="1:11" ht="18.75" customHeight="1">
      <c r="B77" s="1545"/>
      <c r="C77" s="1546"/>
      <c r="D77" s="1546"/>
      <c r="E77" s="1547"/>
      <c r="F77" s="1548"/>
    </row>
    <row r="78" spans="1:11" ht="18.75" customHeight="1">
      <c r="B78" s="1549"/>
      <c r="F78" s="1550"/>
    </row>
    <row r="79" spans="1:11" ht="18.75" customHeight="1">
      <c r="B79" s="1549"/>
      <c r="F79" s="1550"/>
    </row>
    <row r="80" spans="1:11" ht="18.75" customHeight="1">
      <c r="B80" s="1551"/>
      <c r="C80" s="1552"/>
      <c r="D80" s="1552"/>
      <c r="E80" s="1553"/>
      <c r="F80" s="1554"/>
      <c r="H80" s="1552"/>
      <c r="I80" s="1552"/>
      <c r="J80" s="1552"/>
      <c r="K80" s="1552"/>
    </row>
    <row r="3934" spans="14:14" ht="18.75" customHeight="1">
      <c r="N3934" s="2532" t="s">
        <v>8560</v>
      </c>
    </row>
    <row r="3939" spans="14:14" ht="18.75" customHeight="1">
      <c r="N3939" s="2532" t="s">
        <v>8561</v>
      </c>
    </row>
    <row r="3940" spans="14:14" ht="18.75" customHeight="1">
      <c r="N3940" s="2532" t="s">
        <v>8561</v>
      </c>
    </row>
    <row r="3941" spans="14:14" ht="18.75" customHeight="1">
      <c r="N3941" s="2532" t="s">
        <v>8561</v>
      </c>
    </row>
    <row r="3942" spans="14:14" ht="18.75" customHeight="1">
      <c r="N3942" s="2532" t="s">
        <v>8561</v>
      </c>
    </row>
    <row r="3944" spans="14:14" ht="18.75" customHeight="1">
      <c r="N3944" s="2532" t="s">
        <v>8561</v>
      </c>
    </row>
    <row r="3945" spans="14:14" ht="18.75" customHeight="1">
      <c r="N3945" s="2532" t="s">
        <v>8561</v>
      </c>
    </row>
    <row r="3946" spans="14:14" ht="18.75" customHeight="1">
      <c r="N3946" s="2532" t="s">
        <v>8561</v>
      </c>
    </row>
    <row r="3947" spans="14:14" ht="18.75" customHeight="1">
      <c r="N3947" s="2532" t="s">
        <v>8561</v>
      </c>
    </row>
    <row r="3949" spans="14:14" ht="18.75" customHeight="1">
      <c r="N3949" s="2532" t="s">
        <v>8561</v>
      </c>
    </row>
    <row r="3950" spans="14:14" ht="18.75" customHeight="1">
      <c r="N3950" s="2532" t="s">
        <v>8561</v>
      </c>
    </row>
    <row r="3951" spans="14:14" ht="18.75" customHeight="1">
      <c r="N3951" s="2532" t="s">
        <v>8561</v>
      </c>
    </row>
    <row r="3952" spans="14:14" ht="18.75" customHeight="1">
      <c r="N3952" s="2532" t="s">
        <v>8561</v>
      </c>
    </row>
  </sheetData>
  <mergeCells count="21">
    <mergeCell ref="A8:A12"/>
    <mergeCell ref="H72:I72"/>
    <mergeCell ref="H73:I73"/>
    <mergeCell ref="F29:G29"/>
    <mergeCell ref="K34:K35"/>
    <mergeCell ref="D31:E31"/>
    <mergeCell ref="F31:H31"/>
    <mergeCell ref="B33:C33"/>
    <mergeCell ref="D33:E33"/>
    <mergeCell ref="F33:H33"/>
    <mergeCell ref="J33:K33"/>
    <mergeCell ref="B34:B35"/>
    <mergeCell ref="C34:E34"/>
    <mergeCell ref="F34:H34"/>
    <mergeCell ref="I34:I35"/>
    <mergeCell ref="J34:J35"/>
    <mergeCell ref="B14:E17"/>
    <mergeCell ref="F14:K15"/>
    <mergeCell ref="G16:K16"/>
    <mergeCell ref="J17:K17"/>
    <mergeCell ref="D3:E3"/>
  </mergeCells>
  <phoneticPr fontId="2"/>
  <conditionalFormatting sqref="B31">
    <cfRule type="expression" dxfId="69" priority="14" stopIfTrue="1">
      <formula>$B$31="(SELECT)"</formula>
    </cfRule>
  </conditionalFormatting>
  <conditionalFormatting sqref="J33:K33 B33:H33 D31:E31 C34 F34">
    <cfRule type="containsBlanks" dxfId="68" priority="17" stopIfTrue="1">
      <formula>LEN(TRIM(B31))=0</formula>
    </cfRule>
  </conditionalFormatting>
  <conditionalFormatting sqref="C31">
    <cfRule type="expression" dxfId="67" priority="10" stopIfTrue="1">
      <formula>$B$31="Vessel"</formula>
    </cfRule>
    <cfRule type="expression" dxfId="66" priority="11" stopIfTrue="1">
      <formula>$B$31="AIR"</formula>
    </cfRule>
    <cfRule type="expression" dxfId="65" priority="12" stopIfTrue="1">
      <formula>$B$31="Other"</formula>
    </cfRule>
  </conditionalFormatting>
  <conditionalFormatting sqref="J17:K17">
    <cfRule type="containsBlanks" dxfId="64" priority="7" stopIfTrue="1">
      <formula>LEN(TRIM(J17))=0</formula>
    </cfRule>
  </conditionalFormatting>
  <conditionalFormatting sqref="C18:C20 C24:C26 C21:D22 C27:D28">
    <cfRule type="containsBlanks" dxfId="63" priority="6" stopIfTrue="1">
      <formula>LEN(TRIM(C18))=0</formula>
    </cfRule>
  </conditionalFormatting>
  <conditionalFormatting sqref="F29">
    <cfRule type="expression" dxfId="62" priority="5" stopIfTrue="1">
      <formula>$F$29="(SELECT)"</formula>
    </cfRule>
  </conditionalFormatting>
  <conditionalFormatting sqref="F31:H31">
    <cfRule type="containsBlanks" dxfId="61" priority="4" stopIfTrue="1">
      <formula>LEN(TRIM(F31))=0</formula>
    </cfRule>
  </conditionalFormatting>
  <conditionalFormatting sqref="I36">
    <cfRule type="expression" dxfId="60" priority="1" stopIfTrue="1">
      <formula>COUNTIF($I36,"*per*")</formula>
    </cfRule>
  </conditionalFormatting>
  <dataValidations count="1">
    <dataValidation type="list" allowBlank="1" showInputMessage="1" showErrorMessage="1" sqref="B31" xr:uid="{00000000-0002-0000-0300-000001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228600</xdr:rowOff>
                  </from>
                  <to>
                    <xdr:col>6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>
                <anchor moveWithCells="1">
                  <from>
                    <xdr:col>6</xdr:col>
                    <xdr:colOff>914400</xdr:colOff>
                    <xdr:row>15</xdr:row>
                    <xdr:rowOff>228600</xdr:rowOff>
                  </from>
                  <to>
                    <xdr:col>7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Button 12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Button 13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Button 14">
              <controlPr defaultSize="0" print="0" autoFill="0" autoPict="0" macro="[0]!改行設定大阪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stopIfTrue="1" id="{00000000-000E-0000-0400-000005000000}">
            <xm:f>COUNTIF('Invoice(SF米国)'!$I47,"*per*")</xm:f>
            <x14:dxf>
              <font>
                <b/>
                <i val="0"/>
              </font>
            </x14:dxf>
          </x14:cfRule>
          <xm:sqref>C42:K52</xm:sqref>
        </x14:conditionalFormatting>
        <x14:conditionalFormatting xmlns:xm="http://schemas.microsoft.com/office/excel/2006/main">
          <x14:cfRule type="expression" priority="24" stopIfTrue="1" id="{00000000-000E-0000-0400-000005000000}">
            <xm:f>COUNTIF('Invoice(SF米国)'!$I36,"*per*")</xm:f>
            <x14:dxf>
              <font>
                <b/>
                <i val="0"/>
              </font>
            </x14:dxf>
          </x14:cfRule>
          <xm:sqref>C68:K68 C40:K41 C37:K38 C53:K64 C36:H36 J36:K36</xm:sqref>
        </x14:conditionalFormatting>
        <x14:conditionalFormatting xmlns:xm="http://schemas.microsoft.com/office/excel/2006/main">
          <x14:cfRule type="expression" priority="25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C67:K67</xm:sqref>
        </x14:conditionalFormatting>
        <x14:conditionalFormatting xmlns:xm="http://schemas.microsoft.com/office/excel/2006/main">
          <x14:cfRule type="expression" priority="34" stopIfTrue="1" id="{00000000-000E-0000-0400-000005000000}">
            <xm:f>COUNTIF('Invoice(SF米国)'!$I66,"*per*")</xm:f>
            <x14:dxf>
              <font>
                <b/>
                <i val="0"/>
              </font>
            </x14:dxf>
          </x14:cfRule>
          <xm:sqref>C65:K66</xm:sqref>
        </x14:conditionalFormatting>
        <x14:conditionalFormatting xmlns:xm="http://schemas.microsoft.com/office/excel/2006/main">
          <x14:cfRule type="expression" priority="37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C39:K39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579FC8-0D16-496A-A644-5AE2F2DD5362}">
          <x14:formula1>
            <xm:f>取引先マスタ!$C:$C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50"/>
    <pageSetUpPr fitToPage="1"/>
  </sheetPr>
  <dimension ref="A1:N70"/>
  <sheetViews>
    <sheetView showGridLines="0" zoomScale="85" zoomScaleNormal="85" workbookViewId="0">
      <selection activeCell="K54" sqref="K54"/>
    </sheetView>
  </sheetViews>
  <sheetFormatPr defaultColWidth="9" defaultRowHeight="13.5" outlineLevelRow="1"/>
  <cols>
    <col min="1" max="1" width="16.75" style="1430" customWidth="1"/>
    <col min="2" max="2" width="12.5" style="1429" customWidth="1"/>
    <col min="3" max="3" width="22.5" style="1429" customWidth="1"/>
    <col min="4" max="4" width="36" style="1429" customWidth="1"/>
    <col min="5" max="5" width="39.25" style="1429" customWidth="1"/>
    <col min="6" max="9" width="12.5" style="1429" customWidth="1"/>
    <col min="10" max="10" width="14.25" style="1429" customWidth="1"/>
    <col min="11" max="13" width="22.5" style="1429" customWidth="1"/>
    <col min="14" max="16384" width="9" style="1429"/>
  </cols>
  <sheetData>
    <row r="1" spans="1:13" ht="14.25" thickBot="1"/>
    <row r="2" spans="1:13">
      <c r="A2" s="1556" t="s">
        <v>5533</v>
      </c>
      <c r="B2" s="1829" t="s">
        <v>5186</v>
      </c>
      <c r="C2" s="1830" t="s">
        <v>9171</v>
      </c>
      <c r="D2" s="2712" t="s">
        <v>5537</v>
      </c>
      <c r="E2" s="2713"/>
      <c r="F2" s="1556" t="s">
        <v>5553</v>
      </c>
      <c r="J2" s="1556" t="s">
        <v>5554</v>
      </c>
    </row>
    <row r="3" spans="1:13">
      <c r="A3" s="1556" t="s">
        <v>5556</v>
      </c>
      <c r="B3" s="1831" t="s">
        <v>5235</v>
      </c>
      <c r="C3" s="1832">
        <v>580</v>
      </c>
      <c r="D3" s="1831" t="s">
        <v>4642</v>
      </c>
      <c r="E3" s="1833" t="s">
        <v>5564</v>
      </c>
    </row>
    <row r="4" spans="1:13">
      <c r="A4" s="1556" t="s">
        <v>5552</v>
      </c>
      <c r="B4" s="1831" t="s">
        <v>5188</v>
      </c>
      <c r="C4" s="1832">
        <v>4365</v>
      </c>
      <c r="D4" s="1834" t="s">
        <v>4642</v>
      </c>
      <c r="E4" s="1835">
        <f>MATCH(TEXT(E3,"@"),'LA BackOrder'!C:C,0)</f>
        <v>2228</v>
      </c>
    </row>
    <row r="5" spans="1:13" ht="14.25" thickBot="1">
      <c r="A5" s="1556" t="s">
        <v>5539</v>
      </c>
      <c r="B5" s="1831" t="s">
        <v>5189</v>
      </c>
      <c r="C5" s="1832">
        <v>4365</v>
      </c>
      <c r="D5" s="1836" t="s">
        <v>5187</v>
      </c>
      <c r="E5" s="1837">
        <f>E4+COUNTIF('LA BackOrder'!C:C,E3)-2</f>
        <v>2230</v>
      </c>
    </row>
    <row r="6" spans="1:13" ht="14.25" thickBot="1">
      <c r="A6" s="1556" t="s">
        <v>5540</v>
      </c>
      <c r="B6" s="1838" t="s">
        <v>5230</v>
      </c>
      <c r="C6" s="1839">
        <v>38</v>
      </c>
      <c r="D6" s="1430"/>
    </row>
    <row r="7" spans="1:13" hidden="1" outlineLevel="1">
      <c r="A7" s="2714" t="s">
        <v>5543</v>
      </c>
      <c r="B7" s="1840" t="s">
        <v>5190</v>
      </c>
      <c r="C7" s="1841">
        <f>C5-C4+C6</f>
        <v>38</v>
      </c>
      <c r="D7" s="1842" t="s">
        <v>5185</v>
      </c>
      <c r="E7" s="1843" t="str">
        <f>"(発注書) "&amp;C3&amp;" ("&amp;C2&amp;")"</f>
        <v>(発注書) 580 (株式会社SHINDO)</v>
      </c>
    </row>
    <row r="8" spans="1:13" hidden="1" outlineLevel="1">
      <c r="A8" s="2715"/>
      <c r="B8" s="1844" t="s">
        <v>5228</v>
      </c>
      <c r="C8" s="1845">
        <v>38</v>
      </c>
      <c r="D8" s="1825" t="s">
        <v>5346</v>
      </c>
      <c r="E8" s="1846" t="str" cm="1">
        <f t="array" aca="1" ref="E8" ca="1">RIGHT(CELL("filename",A1),LEN(CELL("filename",A1))-FIND("]",CELL("filename",A1)))</f>
        <v>発注書</v>
      </c>
    </row>
    <row r="9" spans="1:13" hidden="1" outlineLevel="1">
      <c r="A9" s="2715"/>
      <c r="B9" s="1844" t="s">
        <v>5229</v>
      </c>
      <c r="C9" s="1845">
        <v>62</v>
      </c>
      <c r="D9" s="1825" t="s">
        <v>5345</v>
      </c>
      <c r="E9" s="1846" t="str">
        <f ca="1">'Invoice(SF米国)'!E11</f>
        <v>LA BackOrder</v>
      </c>
    </row>
    <row r="10" spans="1:13" hidden="1" outlineLevel="1">
      <c r="A10" s="2715"/>
      <c r="B10" s="1844" t="s">
        <v>5231</v>
      </c>
      <c r="C10" s="1847">
        <f>C9+3</f>
        <v>65</v>
      </c>
      <c r="D10" s="1825" t="s">
        <v>5545</v>
      </c>
      <c r="E10" s="1846" t="str" cm="1">
        <f t="array" aca="1" ref="E10" ca="1">LEFT(MID(CELL("filename",A1),10,99),FIND("B",MID(CELL("filename",A1),10,99))-2)</f>
        <v>chiba</v>
      </c>
    </row>
    <row r="11" spans="1:13" hidden="1" outlineLevel="1">
      <c r="A11" s="2715"/>
      <c r="B11" s="1844" t="s">
        <v>5232</v>
      </c>
      <c r="C11" s="1847">
        <f>C10+4</f>
        <v>69</v>
      </c>
      <c r="D11" s="1825" t="s">
        <v>5549</v>
      </c>
      <c r="E11" s="1826">
        <f>ROW(N63)</f>
        <v>63</v>
      </c>
    </row>
    <row r="12" spans="1:13" hidden="1" outlineLevel="1">
      <c r="A12" s="2715"/>
      <c r="B12" s="1844" t="s">
        <v>5233</v>
      </c>
      <c r="C12" s="1847">
        <f>C10</f>
        <v>65</v>
      </c>
      <c r="D12" s="1825" t="s">
        <v>5550</v>
      </c>
      <c r="E12" s="1827"/>
    </row>
    <row r="13" spans="1:13" ht="14.25" hidden="1" outlineLevel="1" thickBot="1">
      <c r="A13" s="2716"/>
      <c r="B13" s="1848" t="s">
        <v>5234</v>
      </c>
      <c r="C13" s="1849">
        <f>C11</f>
        <v>69</v>
      </c>
      <c r="D13" s="1828" t="s">
        <v>5551</v>
      </c>
      <c r="E13" s="1817"/>
    </row>
    <row r="14" spans="1:13" collapsed="1">
      <c r="A14" s="1440"/>
      <c r="B14" s="1440"/>
      <c r="C14" s="1440"/>
      <c r="D14" s="1482"/>
      <c r="E14" s="1483"/>
      <c r="F14" s="1440"/>
      <c r="G14" s="1440"/>
      <c r="H14" s="1440"/>
      <c r="I14" s="1440"/>
      <c r="J14" s="1440"/>
      <c r="K14" s="1440"/>
      <c r="L14" s="1440"/>
      <c r="M14" s="1440"/>
    </row>
    <row r="15" spans="1:13">
      <c r="A15" s="1429"/>
      <c r="E15" s="1431"/>
    </row>
    <row r="16" spans="1:13">
      <c r="A16" s="1432" t="s">
        <v>5191</v>
      </c>
      <c r="B16" s="1433" t="s">
        <v>5192</v>
      </c>
      <c r="C16" s="1434"/>
      <c r="E16" s="1431"/>
    </row>
    <row r="17" spans="1:13">
      <c r="A17" s="1430" t="s">
        <v>5193</v>
      </c>
      <c r="B17" s="1429" t="s">
        <v>5194</v>
      </c>
    </row>
    <row r="18" spans="1:13">
      <c r="A18" s="1430" t="s">
        <v>5195</v>
      </c>
      <c r="B18" s="1429" t="str">
        <f ca="1">IF(J18="","上記商品、"&amp;TEXT(F18,"mm/dd")&amp;"出荷、"&amp;TEXT(H18,"mm/dd")&amp;"必着でお手配お願い致します。","上記商品、"&amp;TEXT(F18,"mm/dd")&amp;"出荷、"&amp;TEXT(H18,"mm/dd")&amp;J18&amp;"必着でお手配お願い致します。")</f>
        <v>上記商品、04/02出荷、04/03AM必着でお手配お願い致します。</v>
      </c>
      <c r="E18" s="1435" t="s">
        <v>5196</v>
      </c>
      <c r="F18" s="1436">
        <f ca="1">TODAY()</f>
        <v>46114</v>
      </c>
      <c r="G18" s="1435" t="s">
        <v>5197</v>
      </c>
      <c r="H18" s="1436">
        <f ca="1">F18+1</f>
        <v>46115</v>
      </c>
      <c r="I18" s="1435" t="s">
        <v>5198</v>
      </c>
      <c r="J18" s="1437" t="s">
        <v>4641</v>
      </c>
    </row>
    <row r="19" spans="1:13">
      <c r="A19" s="1430" t="s">
        <v>5199</v>
      </c>
      <c r="B19" s="1429" t="str">
        <f>IF(F19="","上記商品、最短納期でお手配お願い致します。","上記商品、最短納期でお手配お願い致します。 ("&amp;F19&amp;")")</f>
        <v>上記商品、最短納期でお手配お願い致します。 (2月中)</v>
      </c>
      <c r="E19" s="1435" t="s">
        <v>5200</v>
      </c>
      <c r="F19" s="1438" t="s">
        <v>5472</v>
      </c>
    </row>
    <row r="20" spans="1:13">
      <c r="A20" s="1430" t="s">
        <v>5201</v>
      </c>
      <c r="B20" s="1429" t="str">
        <f>"上記商品、"&amp;F20&amp;"にて出荷をお願い致します。"</f>
        <v>上記商品、ヤマト便にて出荷をお願い致します。</v>
      </c>
      <c r="E20" s="1435" t="s">
        <v>5202</v>
      </c>
      <c r="F20" s="1437" t="s">
        <v>5203</v>
      </c>
    </row>
    <row r="21" spans="1:13">
      <c r="A21" s="1430" t="s">
        <v>5204</v>
      </c>
      <c r="B21" s="1429" t="s">
        <v>5205</v>
      </c>
    </row>
    <row r="22" spans="1:13">
      <c r="A22" s="1430" t="s">
        <v>5206</v>
      </c>
      <c r="B22" s="1429" t="s">
        <v>5207</v>
      </c>
    </row>
    <row r="23" spans="1:13">
      <c r="A23" s="1430" t="s">
        <v>5208</v>
      </c>
      <c r="B23" s="1429" t="s">
        <v>5209</v>
      </c>
    </row>
    <row r="24" spans="1:13">
      <c r="A24" s="1430" t="s">
        <v>5210</v>
      </c>
      <c r="B24" s="1429" t="s">
        <v>5211</v>
      </c>
    </row>
    <row r="25" spans="1:13">
      <c r="A25" s="1430" t="s">
        <v>5212</v>
      </c>
      <c r="B25" s="1429" t="str">
        <f>"上記商品、"&amp;F25&amp;"でお手配お願い致します。"</f>
        <v>上記商品、あいうえおでお手配お願い致します。</v>
      </c>
      <c r="E25" s="1435" t="s">
        <v>5213</v>
      </c>
      <c r="F25" s="1437" t="s">
        <v>5214</v>
      </c>
      <c r="G25" s="1437"/>
      <c r="H25" s="1437"/>
      <c r="I25" s="1437"/>
      <c r="J25" s="1437"/>
    </row>
    <row r="26" spans="1:13">
      <c r="A26" s="1439"/>
      <c r="B26" s="1440"/>
      <c r="C26" s="1440"/>
      <c r="D26" s="1440"/>
      <c r="E26" s="1440"/>
      <c r="F26" s="1440"/>
      <c r="G26" s="1440"/>
      <c r="H26" s="1440"/>
      <c r="I26" s="1440"/>
      <c r="J26" s="1440"/>
      <c r="K26" s="1440"/>
      <c r="L26" s="1440"/>
      <c r="M26" s="1440"/>
    </row>
    <row r="27" spans="1:13" ht="14.25" thickBot="1"/>
    <row r="28" spans="1:13" ht="17.25">
      <c r="G28" s="2741" t="s">
        <v>5215</v>
      </c>
      <c r="H28" s="2741"/>
      <c r="I28" s="2741"/>
      <c r="L28" s="1441" t="s">
        <v>4640</v>
      </c>
      <c r="M28" s="1854">
        <f>C3</f>
        <v>580</v>
      </c>
    </row>
    <row r="29" spans="1:13" ht="18" thickBot="1">
      <c r="G29" s="2741"/>
      <c r="H29" s="2741"/>
      <c r="I29" s="2741"/>
      <c r="L29" s="1442" t="s">
        <v>5216</v>
      </c>
      <c r="M29" s="1853">
        <f ca="1">TODAY()</f>
        <v>46114</v>
      </c>
    </row>
    <row r="30" spans="1:13" ht="5.25" customHeight="1">
      <c r="L30" s="1435"/>
      <c r="M30" s="1443"/>
    </row>
    <row r="31" spans="1:13" ht="18.75">
      <c r="B31" s="1435" t="s">
        <v>5217</v>
      </c>
      <c r="C31" s="1428" t="str">
        <f>C2</f>
        <v>株式会社SHINDO</v>
      </c>
      <c r="L31" s="2740" t="s">
        <v>5218</v>
      </c>
      <c r="M31" s="2740"/>
    </row>
    <row r="32" spans="1:13">
      <c r="B32" s="1435" t="s">
        <v>5219</v>
      </c>
      <c r="C32" s="1429" t="str">
        <f>IFERROR(IF(VLOOKUP(C2,仕入先マスタ!B:C,2,FALSE)="",VLOOKUP(C2,仕入先マスタ!B:D,3,FALSE)&amp;" "&amp;VLOOKUP(C2,仕入先マスタ!B:E,4,FALSE),"〒"&amp;VLOOKUP(C2,仕入先マスタ!B:C,2,FALSE)&amp;" "&amp;VLOOKUP(C2,仕入先マスタ!B:D,3,FALSE)&amp;" "&amp;VLOOKUP(C2,仕入先マスタ!B:E,4,FALSE)),"")</f>
        <v xml:space="preserve">〒919-0614 福井県あわら市伊井11-1-1 </v>
      </c>
      <c r="L32" s="2739" t="s">
        <v>5220</v>
      </c>
      <c r="M32" s="2739"/>
    </row>
    <row r="33" spans="1:13">
      <c r="B33" s="1435" t="s">
        <v>5226</v>
      </c>
      <c r="C33" s="1429" t="str">
        <f>IFERROR(IF(VLOOKUP(C2,仕入先マスタ!B:F,5,FALSE)="","",VLOOKUP(C2,仕入先マスタ!B:F,5,FALSE)),"")</f>
        <v>0776-73-7111</v>
      </c>
      <c r="L33" s="1434" t="s">
        <v>5221</v>
      </c>
      <c r="M33" s="1434" t="s">
        <v>4638</v>
      </c>
    </row>
    <row r="34" spans="1:13">
      <c r="B34" s="1435" t="s">
        <v>5222</v>
      </c>
      <c r="L34" s="1435" t="s">
        <v>5222</v>
      </c>
      <c r="M34" s="1434" t="s">
        <v>5223</v>
      </c>
    </row>
    <row r="35" spans="1:13">
      <c r="B35" s="1435" t="s">
        <v>5224</v>
      </c>
      <c r="D35" s="1485"/>
      <c r="F35" s="1486"/>
      <c r="G35" s="1487"/>
      <c r="H35" s="1486"/>
      <c r="L35" s="1435"/>
      <c r="M35" s="1434" t="s">
        <v>8244</v>
      </c>
    </row>
    <row r="36" spans="1:13" ht="5.25" customHeight="1" thickBot="1">
      <c r="D36" s="1485"/>
      <c r="F36" s="1488"/>
      <c r="G36" s="1489"/>
      <c r="H36" s="1488"/>
    </row>
    <row r="37" spans="1:13" ht="15" thickBot="1">
      <c r="B37" s="1444" t="s">
        <v>5237</v>
      </c>
      <c r="C37" s="1445" t="s">
        <v>5238</v>
      </c>
      <c r="D37" s="1490" t="s">
        <v>5239</v>
      </c>
      <c r="E37" s="1445" t="s">
        <v>5240</v>
      </c>
      <c r="F37" s="1491" t="s">
        <v>5241</v>
      </c>
      <c r="G37" s="1492" t="s">
        <v>5242</v>
      </c>
      <c r="H37" s="1491" t="s">
        <v>5243</v>
      </c>
      <c r="I37" s="1445" t="s">
        <v>5244</v>
      </c>
      <c r="J37" s="1445" t="s">
        <v>5245</v>
      </c>
      <c r="K37" s="1445" t="s">
        <v>5246</v>
      </c>
      <c r="L37" s="1445" t="s">
        <v>5247</v>
      </c>
      <c r="M37" s="1446" t="s">
        <v>5248</v>
      </c>
    </row>
    <row r="38" spans="1:13" ht="21" customHeight="1" thickTop="1">
      <c r="A38" s="1850">
        <f t="shared" ref="A38:A62" si="0">IF(C38="",0,1)</f>
        <v>1</v>
      </c>
      <c r="B38" s="1896">
        <f>IF(C38&lt;&gt;"",1,0)</f>
        <v>1</v>
      </c>
      <c r="C38" s="1897">
        <v>14552</v>
      </c>
      <c r="D38" s="2668">
        <v>7</v>
      </c>
      <c r="E38" s="2668" t="s">
        <v>9160</v>
      </c>
      <c r="F38" s="2669">
        <v>30</v>
      </c>
      <c r="G38" s="1899">
        <v>270</v>
      </c>
      <c r="H38" s="2534">
        <v>8100</v>
      </c>
      <c r="I38" s="1900">
        <v>41</v>
      </c>
      <c r="J38" s="1900">
        <v>332100</v>
      </c>
      <c r="K38" s="2575"/>
      <c r="L38" s="1897"/>
      <c r="M38" s="1901"/>
    </row>
    <row r="39" spans="1:13" ht="21" customHeight="1">
      <c r="A39" s="1850">
        <f t="shared" si="0"/>
        <v>0</v>
      </c>
      <c r="B39" s="1902" t="str">
        <f>IF(C39="","",COUNTIF($A$38:$A39,1))</f>
        <v/>
      </c>
      <c r="C39" s="1903"/>
      <c r="D39" s="2566"/>
      <c r="E39" s="2566"/>
      <c r="F39" s="2665"/>
      <c r="G39" s="1906"/>
      <c r="H39" s="1905"/>
      <c r="I39" s="1907"/>
      <c r="J39" s="1907"/>
      <c r="K39" s="2576"/>
      <c r="L39" s="1904"/>
      <c r="M39" s="1908"/>
    </row>
    <row r="40" spans="1:13" ht="21" customHeight="1">
      <c r="A40" s="1850">
        <f t="shared" si="0"/>
        <v>0</v>
      </c>
      <c r="B40" s="1902" t="str">
        <f>IF(C40="","",COUNTIF($A$38:$A40,1))</f>
        <v/>
      </c>
      <c r="C40" s="1903"/>
      <c r="D40" s="2666"/>
      <c r="E40" s="2566"/>
      <c r="F40" s="1905"/>
      <c r="G40" s="1906"/>
      <c r="H40" s="2574"/>
      <c r="I40" s="1907"/>
      <c r="J40" s="1907"/>
      <c r="K40" s="1898"/>
      <c r="L40" s="1909"/>
      <c r="M40" s="1908"/>
    </row>
    <row r="41" spans="1:13" ht="21" customHeight="1">
      <c r="A41" s="1850">
        <f t="shared" si="0"/>
        <v>0</v>
      </c>
      <c r="B41" s="1902" t="str">
        <f>IF(C41="","",COUNTIF($A$38:$A41,1))</f>
        <v/>
      </c>
      <c r="C41" s="1903"/>
      <c r="D41" s="2566"/>
      <c r="E41" s="1904"/>
      <c r="F41" s="2570"/>
      <c r="G41" s="2571"/>
      <c r="H41" s="2572"/>
      <c r="I41" s="1907"/>
      <c r="J41" s="1907"/>
      <c r="K41" s="1898"/>
      <c r="L41" s="1909"/>
      <c r="M41" s="1908"/>
    </row>
    <row r="42" spans="1:13" ht="21" customHeight="1">
      <c r="A42" s="1850">
        <f t="shared" si="0"/>
        <v>0</v>
      </c>
      <c r="B42" s="1902" t="str">
        <f>IF(C42="","",COUNTIF($A$38:$A42,1))</f>
        <v/>
      </c>
      <c r="C42" s="1903"/>
      <c r="D42" s="2566"/>
      <c r="E42" s="1904"/>
      <c r="F42" s="2570"/>
      <c r="G42" s="2571"/>
      <c r="H42" s="2572"/>
      <c r="I42" s="1907"/>
      <c r="J42" s="1907"/>
      <c r="K42" s="1898"/>
      <c r="L42" s="1909"/>
      <c r="M42" s="1908"/>
    </row>
    <row r="43" spans="1:13" ht="21" customHeight="1">
      <c r="A43" s="1850">
        <f t="shared" si="0"/>
        <v>0</v>
      </c>
      <c r="B43" s="1902" t="str">
        <f>IF(C43="","",COUNTIF($A$38:$A43,1))</f>
        <v/>
      </c>
      <c r="C43" s="1903"/>
      <c r="D43" s="2573"/>
      <c r="E43" s="1904"/>
      <c r="F43" s="1905"/>
      <c r="G43" s="1906"/>
      <c r="H43" s="2574"/>
      <c r="I43" s="1907"/>
      <c r="J43" s="1907"/>
      <c r="K43" s="1909"/>
      <c r="L43" s="1909"/>
      <c r="M43" s="1455"/>
    </row>
    <row r="44" spans="1:13" ht="21" customHeight="1">
      <c r="A44" s="1850">
        <f t="shared" si="0"/>
        <v>0</v>
      </c>
      <c r="B44" s="1447" t="str">
        <f>IF(C44="","",COUNTIF($A$38:$A44,1))</f>
        <v/>
      </c>
      <c r="C44" s="1448"/>
      <c r="D44" s="1449"/>
      <c r="E44" s="1450"/>
      <c r="F44" s="1456"/>
      <c r="G44" s="1457"/>
      <c r="H44" s="1456"/>
      <c r="I44" s="1453"/>
      <c r="J44" s="1453"/>
      <c r="K44" s="1454"/>
      <c r="L44" s="1454"/>
      <c r="M44" s="1455"/>
    </row>
    <row r="45" spans="1:13" ht="21" customHeight="1">
      <c r="A45" s="1850">
        <f t="shared" si="0"/>
        <v>0</v>
      </c>
      <c r="B45" s="1447" t="str">
        <f>IF(C45="","",COUNTIF($A$38:$A45,1))</f>
        <v/>
      </c>
      <c r="C45" s="1448"/>
      <c r="D45" s="1449"/>
      <c r="E45" s="1450"/>
      <c r="F45" s="1451"/>
      <c r="G45" s="1452"/>
      <c r="H45" s="1451"/>
      <c r="I45" s="1453"/>
      <c r="J45" s="1453"/>
      <c r="K45" s="1454"/>
      <c r="L45" s="1454"/>
      <c r="M45" s="1455"/>
    </row>
    <row r="46" spans="1:13" ht="21" customHeight="1">
      <c r="A46" s="1850">
        <f t="shared" si="0"/>
        <v>0</v>
      </c>
      <c r="B46" s="1447" t="str">
        <f>IF(C46="","",COUNTIF($A$38:$A46,1))</f>
        <v/>
      </c>
      <c r="C46" s="1448"/>
      <c r="D46" s="1449"/>
      <c r="E46" s="1450"/>
      <c r="F46" s="1451"/>
      <c r="G46" s="1452"/>
      <c r="H46" s="1451"/>
      <c r="I46" s="1453"/>
      <c r="J46" s="1453"/>
      <c r="K46" s="1454"/>
      <c r="L46" s="1454"/>
      <c r="M46" s="1455"/>
    </row>
    <row r="47" spans="1:13" ht="21" customHeight="1">
      <c r="A47" s="1850">
        <f t="shared" si="0"/>
        <v>0</v>
      </c>
      <c r="B47" s="1447" t="str">
        <f>IF(C47="","",COUNTIF($A$38:$A47,1))</f>
        <v/>
      </c>
      <c r="C47" s="1448"/>
      <c r="D47" s="1458"/>
      <c r="E47" s="1450"/>
      <c r="F47" s="1451"/>
      <c r="G47" s="1452"/>
      <c r="H47" s="1459"/>
      <c r="I47" s="1453"/>
      <c r="J47" s="1453"/>
      <c r="K47" s="1454"/>
      <c r="L47" s="1454"/>
      <c r="M47" s="1455"/>
    </row>
    <row r="48" spans="1:13" ht="21" customHeight="1">
      <c r="A48" s="1850">
        <f t="shared" si="0"/>
        <v>0</v>
      </c>
      <c r="B48" s="1447" t="str">
        <f>IF(C48="","",COUNTIF($A$38:$A48,1))</f>
        <v/>
      </c>
      <c r="C48" s="1448"/>
      <c r="D48" s="1449"/>
      <c r="E48" s="1450"/>
      <c r="F48" s="1456"/>
      <c r="G48" s="1457"/>
      <c r="H48" s="1456"/>
      <c r="I48" s="1453"/>
      <c r="J48" s="1453"/>
      <c r="K48" s="1454"/>
      <c r="L48" s="1454"/>
      <c r="M48" s="1455"/>
    </row>
    <row r="49" spans="1:14" ht="21" customHeight="1">
      <c r="A49" s="1850">
        <f t="shared" si="0"/>
        <v>0</v>
      </c>
      <c r="B49" s="1447" t="str">
        <f>IF(C49="","",COUNTIF($A$38:$A49,1))</f>
        <v/>
      </c>
      <c r="C49" s="1448"/>
      <c r="D49" s="1449"/>
      <c r="E49" s="1450"/>
      <c r="F49" s="1451"/>
      <c r="G49" s="1452"/>
      <c r="H49" s="1451"/>
      <c r="I49" s="1453"/>
      <c r="J49" s="1453"/>
      <c r="K49" s="1454"/>
      <c r="L49" s="1454"/>
      <c r="M49" s="1455"/>
    </row>
    <row r="50" spans="1:14" ht="21" customHeight="1">
      <c r="A50" s="1850">
        <f t="shared" si="0"/>
        <v>0</v>
      </c>
      <c r="B50" s="1447" t="str">
        <f>IF(C50="","",COUNTIF($A$38:$A50,1))</f>
        <v/>
      </c>
      <c r="C50" s="1448"/>
      <c r="D50" s="1449"/>
      <c r="E50" s="1450"/>
      <c r="F50" s="1451"/>
      <c r="G50" s="1452"/>
      <c r="H50" s="1451"/>
      <c r="I50" s="1453"/>
      <c r="J50" s="1453"/>
      <c r="K50" s="1454"/>
      <c r="L50" s="1454"/>
      <c r="M50" s="1455"/>
    </row>
    <row r="51" spans="1:14" ht="21" customHeight="1">
      <c r="A51" s="1850">
        <f t="shared" si="0"/>
        <v>0</v>
      </c>
      <c r="B51" s="1447" t="str">
        <f>IF(C51="","",COUNTIF($A$38:$A51,1))</f>
        <v/>
      </c>
      <c r="C51" s="1448"/>
      <c r="D51" s="1449"/>
      <c r="E51" s="1450"/>
      <c r="F51" s="1451"/>
      <c r="G51" s="1452"/>
      <c r="H51" s="1451"/>
      <c r="I51" s="1453"/>
      <c r="J51" s="1453"/>
      <c r="K51" s="1454"/>
      <c r="L51" s="1454"/>
      <c r="M51" s="1455"/>
    </row>
    <row r="52" spans="1:14" ht="21" customHeight="1">
      <c r="A52" s="1850">
        <f t="shared" si="0"/>
        <v>0</v>
      </c>
      <c r="B52" s="1447" t="str">
        <f>IF(C52="","",COUNTIF($A$38:$A52,1))</f>
        <v/>
      </c>
      <c r="C52" s="1448"/>
      <c r="D52" s="1449"/>
      <c r="E52" s="1450"/>
      <c r="F52" s="1456"/>
      <c r="G52" s="1457"/>
      <c r="H52" s="1456"/>
      <c r="I52" s="1453"/>
      <c r="J52" s="1453"/>
      <c r="K52" s="1454"/>
      <c r="L52" s="1454"/>
      <c r="M52" s="1455"/>
    </row>
    <row r="53" spans="1:14" ht="21" customHeight="1">
      <c r="A53" s="1850">
        <f t="shared" si="0"/>
        <v>0</v>
      </c>
      <c r="B53" s="1447" t="str">
        <f>IF(C53="","",COUNTIF($A$38:$A53,1))</f>
        <v/>
      </c>
      <c r="C53" s="1448"/>
      <c r="D53" s="1449"/>
      <c r="E53" s="1450"/>
      <c r="F53" s="1451"/>
      <c r="G53" s="1452"/>
      <c r="H53" s="1451"/>
      <c r="I53" s="1453"/>
      <c r="J53" s="1453"/>
      <c r="K53" s="1454"/>
      <c r="L53" s="1454"/>
      <c r="M53" s="1455"/>
    </row>
    <row r="54" spans="1:14" ht="21" customHeight="1">
      <c r="A54" s="1850">
        <f t="shared" si="0"/>
        <v>0</v>
      </c>
      <c r="B54" s="1447" t="str">
        <f>IF(C54="","",COUNTIF($A$38:$A54,1))</f>
        <v/>
      </c>
      <c r="C54" s="1448"/>
      <c r="D54" s="1449"/>
      <c r="E54" s="1450"/>
      <c r="F54" s="1451"/>
      <c r="G54" s="1452"/>
      <c r="H54" s="1451"/>
      <c r="I54" s="1453"/>
      <c r="J54" s="1453"/>
      <c r="K54" s="1454"/>
      <c r="L54" s="1454"/>
      <c r="M54" s="1455"/>
    </row>
    <row r="55" spans="1:14" ht="21" customHeight="1">
      <c r="A55" s="1850">
        <f t="shared" si="0"/>
        <v>0</v>
      </c>
      <c r="B55" s="1447" t="str">
        <f>IF(C55="","",COUNTIF($A$38:$A55,1))</f>
        <v/>
      </c>
      <c r="C55" s="1448"/>
      <c r="D55" s="1449"/>
      <c r="E55" s="1450"/>
      <c r="F55" s="1456"/>
      <c r="G55" s="1457"/>
      <c r="H55" s="1456"/>
      <c r="I55" s="1453"/>
      <c r="J55" s="1453"/>
      <c r="K55" s="1454"/>
      <c r="L55" s="1454"/>
      <c r="M55" s="1455"/>
    </row>
    <row r="56" spans="1:14" ht="21" customHeight="1">
      <c r="A56" s="1850">
        <f t="shared" si="0"/>
        <v>0</v>
      </c>
      <c r="B56" s="1447" t="str">
        <f>IF(C56="","",COUNTIF($A$38:$A56,1))</f>
        <v/>
      </c>
      <c r="C56" s="1448"/>
      <c r="D56" s="1449"/>
      <c r="E56" s="1450"/>
      <c r="F56" s="1451"/>
      <c r="G56" s="1452"/>
      <c r="H56" s="1451"/>
      <c r="I56" s="1453"/>
      <c r="J56" s="1453"/>
      <c r="K56" s="1454"/>
      <c r="L56" s="1454"/>
      <c r="M56" s="1455"/>
    </row>
    <row r="57" spans="1:14" ht="21" customHeight="1">
      <c r="A57" s="1850">
        <f t="shared" si="0"/>
        <v>0</v>
      </c>
      <c r="B57" s="1447" t="str">
        <f>IF(C57="","",COUNTIF($A$38:$A57,1))</f>
        <v/>
      </c>
      <c r="C57" s="1476"/>
      <c r="D57" s="1497"/>
      <c r="E57" s="1477"/>
      <c r="F57" s="1494"/>
      <c r="G57" s="1495"/>
      <c r="H57" s="1494"/>
      <c r="I57" s="1478"/>
      <c r="J57" s="1478"/>
      <c r="K57" s="1479"/>
      <c r="L57" s="1479"/>
      <c r="M57" s="1480"/>
    </row>
    <row r="58" spans="1:14" ht="21" customHeight="1">
      <c r="A58" s="1850">
        <f t="shared" si="0"/>
        <v>0</v>
      </c>
      <c r="B58" s="1447" t="str">
        <f>IF(C58="","",COUNTIF($A$38:$A58,1))</f>
        <v/>
      </c>
      <c r="C58" s="1476"/>
      <c r="D58" s="1493"/>
      <c r="E58" s="1477"/>
      <c r="F58" s="1494"/>
      <c r="G58" s="1495"/>
      <c r="H58" s="1496"/>
      <c r="I58" s="1478"/>
      <c r="J58" s="1478"/>
      <c r="K58" s="1479"/>
      <c r="L58" s="1479"/>
      <c r="M58" s="1480"/>
    </row>
    <row r="59" spans="1:14" ht="21" customHeight="1">
      <c r="A59" s="1850">
        <f t="shared" si="0"/>
        <v>0</v>
      </c>
      <c r="B59" s="1447" t="str">
        <f>IF(C59="","",COUNTIF($A$38:$A59,1))</f>
        <v/>
      </c>
      <c r="C59" s="1476"/>
      <c r="D59" s="1477"/>
      <c r="E59" s="1477"/>
      <c r="F59" s="1477"/>
      <c r="G59" s="1477"/>
      <c r="H59" s="1477"/>
      <c r="I59" s="1478"/>
      <c r="J59" s="1478"/>
      <c r="K59" s="1479"/>
      <c r="L59" s="1479"/>
      <c r="M59" s="1480"/>
    </row>
    <row r="60" spans="1:14" ht="21" customHeight="1">
      <c r="A60" s="1850">
        <f t="shared" si="0"/>
        <v>0</v>
      </c>
      <c r="B60" s="1447" t="str">
        <f>IF(C60="","",COUNTIF($A$38:$A60,1))</f>
        <v/>
      </c>
      <c r="C60" s="1476"/>
      <c r="D60" s="1477"/>
      <c r="E60" s="1477"/>
      <c r="F60" s="1477"/>
      <c r="G60" s="1477"/>
      <c r="H60" s="1477"/>
      <c r="I60" s="1478"/>
      <c r="J60" s="1478"/>
      <c r="K60" s="1479"/>
      <c r="L60" s="1479"/>
      <c r="M60" s="1480"/>
    </row>
    <row r="61" spans="1:14" ht="21" customHeight="1">
      <c r="A61" s="1850">
        <f t="shared" si="0"/>
        <v>0</v>
      </c>
      <c r="B61" s="1447" t="str">
        <f>IF(C61="","",COUNTIF($A$38:$A61,1))</f>
        <v/>
      </c>
      <c r="C61" s="1476"/>
      <c r="D61" s="1477"/>
      <c r="E61" s="1477"/>
      <c r="F61" s="1477"/>
      <c r="G61" s="1477"/>
      <c r="H61" s="1477"/>
      <c r="I61" s="1478"/>
      <c r="J61" s="1478"/>
      <c r="K61" s="1479"/>
      <c r="L61" s="1479"/>
      <c r="M61" s="1480"/>
    </row>
    <row r="62" spans="1:14" ht="21" customHeight="1" thickBot="1">
      <c r="A62" s="1850">
        <f t="shared" si="0"/>
        <v>0</v>
      </c>
      <c r="B62" s="1460" t="str">
        <f>IF(C62="","",COUNTIF($A$38:$A62,1))</f>
        <v/>
      </c>
      <c r="C62" s="1461"/>
      <c r="D62" s="1462"/>
      <c r="E62" s="1462"/>
      <c r="F62" s="1462"/>
      <c r="G62" s="1462"/>
      <c r="H62" s="1462"/>
      <c r="I62" s="1463"/>
      <c r="J62" s="1463"/>
      <c r="K62" s="1464"/>
      <c r="L62" s="1464"/>
      <c r="M62" s="1465"/>
    </row>
    <row r="63" spans="1:14" ht="21" customHeight="1" thickBot="1">
      <c r="I63" s="1466" t="s">
        <v>5184</v>
      </c>
      <c r="J63" s="1467">
        <f>SUM(J38:J62)</f>
        <v>332100</v>
      </c>
      <c r="N63" s="1855" t="s">
        <v>5555</v>
      </c>
    </row>
    <row r="64" spans="1:14" ht="6" customHeight="1" thickBot="1"/>
    <row r="65" spans="1:11" ht="21" customHeight="1">
      <c r="A65" s="1498" t="s">
        <v>5193</v>
      </c>
      <c r="B65" s="1891" t="str">
        <f>IF(A65="","","注記(1)")</f>
        <v>注記(1)</v>
      </c>
      <c r="C65" s="2742" t="str">
        <f>IFERROR(IF(OR(A65="",A65="0"),"",VLOOKUP(A65,A17:B29,2,FALSE)),"")</f>
        <v>上記商品、同一ロットでお手配お願い致します。</v>
      </c>
      <c r="D65" s="2743"/>
      <c r="E65" s="2743"/>
      <c r="F65" s="2744"/>
      <c r="G65" s="1892" t="s">
        <v>5225</v>
      </c>
      <c r="H65" s="2515" t="s">
        <v>9172</v>
      </c>
      <c r="I65" s="1470"/>
      <c r="J65" s="1470"/>
      <c r="K65" s="1471"/>
    </row>
    <row r="66" spans="1:11" ht="21" customHeight="1">
      <c r="A66" s="1498" t="s">
        <v>5206</v>
      </c>
      <c r="B66" s="1893" t="str">
        <f>IF(A66="","","注記(2)")</f>
        <v>注記(2)</v>
      </c>
      <c r="C66" s="2745" t="str">
        <f>IFERROR(IF(OR(A66="",A66="0"),"",VLOOKUP(A66,A17:B29,2,FALSE)),"")</f>
        <v>上記商品、キープ分より出荷お願い致します。</v>
      </c>
      <c r="D66" s="2746"/>
      <c r="E66" s="2746"/>
      <c r="F66" s="2747"/>
      <c r="G66" s="1894"/>
      <c r="H66" s="1895"/>
      <c r="I66" s="1472"/>
      <c r="J66" s="1472"/>
      <c r="K66" s="1473"/>
    </row>
    <row r="67" spans="1:11" ht="21" customHeight="1">
      <c r="A67" s="1498" t="s">
        <v>5212</v>
      </c>
      <c r="B67" s="1893" t="str">
        <f>IF(A67="","","注記(3)")</f>
        <v>注記(3)</v>
      </c>
      <c r="C67" s="2745" t="str">
        <f>IFERROR(IF(OR(A67="",A67="0"),"",VLOOKUP(A67,A17:B29,2,FALSE)),"")</f>
        <v>上記商品、あいうえおでお手配お願い致します。</v>
      </c>
      <c r="D67" s="2746"/>
      <c r="E67" s="2746"/>
      <c r="F67" s="2747"/>
      <c r="G67" s="1851"/>
      <c r="H67" s="1472"/>
      <c r="I67" s="1472"/>
      <c r="J67" s="1472"/>
      <c r="K67" s="1473"/>
    </row>
    <row r="68" spans="1:11" ht="21" customHeight="1">
      <c r="A68" s="1498" t="s">
        <v>5199</v>
      </c>
      <c r="B68" s="1468" t="str">
        <f>IF(A68="","","注記(4)")</f>
        <v>注記(4)</v>
      </c>
      <c r="C68" s="2748" t="str">
        <f>IFERROR(IF(OR(A68="",A68="0"),"",VLOOKUP(A68,A17:B29,2,FALSE)),"")</f>
        <v>上記商品、最短納期でお手配お願い致します。 (2月中)</v>
      </c>
      <c r="D68" s="2749"/>
      <c r="E68" s="2749"/>
      <c r="F68" s="2750"/>
      <c r="G68" s="1851"/>
      <c r="H68" s="1472"/>
      <c r="I68" s="1472"/>
      <c r="J68" s="1472"/>
      <c r="K68" s="1473"/>
    </row>
    <row r="69" spans="1:11" ht="21" customHeight="1" thickBot="1">
      <c r="A69" s="1498" t="s">
        <v>5204</v>
      </c>
      <c r="B69" s="1469" t="str">
        <f>IF(A69="","","注記(5)")</f>
        <v>注記(5)</v>
      </c>
      <c r="C69" s="2736" t="str">
        <f>IFERROR(IF(OR(A69="",A69="0"),"",VLOOKUP(A69,A21:B33,2,FALSE)),"")</f>
        <v>在庫有無、納期のご回答をお願い致します。</v>
      </c>
      <c r="D69" s="2737"/>
      <c r="E69" s="2737"/>
      <c r="F69" s="2738"/>
      <c r="G69" s="1852"/>
      <c r="H69" s="1474"/>
      <c r="I69" s="1474"/>
      <c r="J69" s="1474"/>
      <c r="K69" s="1475"/>
    </row>
    <row r="70" spans="1:11" ht="5.25" customHeight="1"/>
  </sheetData>
  <mergeCells count="10">
    <mergeCell ref="D2:E2"/>
    <mergeCell ref="A7:A13"/>
    <mergeCell ref="C69:F69"/>
    <mergeCell ref="L32:M32"/>
    <mergeCell ref="L31:M31"/>
    <mergeCell ref="G28:I29"/>
    <mergeCell ref="C65:F65"/>
    <mergeCell ref="C66:F66"/>
    <mergeCell ref="C67:F67"/>
    <mergeCell ref="C68:F68"/>
  </mergeCells>
  <phoneticPr fontId="2"/>
  <conditionalFormatting sqref="B38:B62">
    <cfRule type="cellIs" dxfId="54" priority="1" operator="equal">
      <formula>0</formula>
    </cfRule>
  </conditionalFormatting>
  <dataValidations count="1">
    <dataValidation type="list" allowBlank="1" showInputMessage="1" showErrorMessage="1" sqref="A65:A69" xr:uid="{C7D50E80-AF4D-47FD-9397-5ED721E9F6F0}">
      <formula1>$A$17:$A$28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7" r:id="rId4" name="Button 11">
              <controlPr defaultSize="0" print="0" autoFill="0" autoPict="0" macro="[0]!発注書明細クリア">
                <anchor moveWithCells="1" sizeWithCells="1">
                  <from>
                    <xdr:col>5</xdr:col>
                    <xdr:colOff>95250</xdr:colOff>
                    <xdr:row>4</xdr:row>
                    <xdr:rowOff>38100</xdr:rowOff>
                  </from>
                  <to>
                    <xdr:col>5</xdr:col>
                    <xdr:colOff>942975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DataCopy_発注書">
                <anchor moveWithCells="1" sizeWithCells="1">
                  <from>
                    <xdr:col>5</xdr:col>
                    <xdr:colOff>104775</xdr:colOff>
                    <xdr:row>2</xdr:row>
                    <xdr:rowOff>19050</xdr:rowOff>
                  </from>
                  <to>
                    <xdr:col>8</xdr:col>
                    <xdr:colOff>876300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6" name="Button 13">
              <controlPr defaultSize="0" print="0" autoFill="0" autoPict="0" macro="[0]!発注書注記クリア">
                <anchor moveWithCells="1" sizeWithCells="1">
                  <from>
                    <xdr:col>6</xdr:col>
                    <xdr:colOff>76200</xdr:colOff>
                    <xdr:row>4</xdr:row>
                    <xdr:rowOff>38100</xdr:rowOff>
                  </from>
                  <to>
                    <xdr:col>6</xdr:col>
                    <xdr:colOff>914400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" name="Button 14">
              <controlPr defaultSize="0" print="0" autoFill="0" autoPict="0" macro="[0]!発注書メモクリア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7</xdr:col>
                    <xdr:colOff>885825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8" name="Button 15">
              <controlPr defaultSize="0" print="0" autoFill="0" autoPict="0" macro="[0]!改行設定発注書">
                <anchor moveWithCells="1" sizeWithCells="1">
                  <from>
                    <xdr:col>8</xdr:col>
                    <xdr:colOff>28575</xdr:colOff>
                    <xdr:row>4</xdr:row>
                    <xdr:rowOff>38100</xdr:rowOff>
                  </from>
                  <to>
                    <xdr:col>8</xdr:col>
                    <xdr:colOff>876300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BD8EF6-45ED-4A10-B5FB-8BCF265B1609}">
          <x14:formula1>
            <xm:f>仕入先マスタ!$B:$B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C58C0-3BCE-4E05-BC62-F879D5849E4C}">
  <sheetPr codeName="Sheet11"/>
  <dimension ref="A1:O68"/>
  <sheetViews>
    <sheetView topLeftCell="A10" workbookViewId="0">
      <selection activeCell="G16" sqref="G16:H16"/>
    </sheetView>
  </sheetViews>
  <sheetFormatPr defaultRowHeight="15"/>
  <cols>
    <col min="1" max="1" width="15" style="1501" customWidth="1"/>
    <col min="2" max="2" width="22.5" style="1501" customWidth="1"/>
    <col min="3" max="3" width="12.375" style="1501" customWidth="1"/>
    <col min="4" max="4" width="25" style="1502" customWidth="1"/>
    <col min="5" max="9" width="12.375" style="1501" customWidth="1"/>
    <col min="10" max="10" width="12.5" style="1501" customWidth="1"/>
    <col min="11" max="12" width="9" style="1501"/>
  </cols>
  <sheetData>
    <row r="1" spans="1:15" s="1501" customFormat="1" ht="18.75" customHeight="1">
      <c r="A1" s="2717" t="s">
        <v>3842</v>
      </c>
      <c r="B1" s="2718"/>
      <c r="C1" s="2718"/>
      <c r="D1" s="2718"/>
      <c r="E1" s="2720" t="s">
        <v>5422</v>
      </c>
      <c r="F1" s="2720"/>
      <c r="G1" s="2720"/>
      <c r="H1" s="2720"/>
      <c r="I1" s="2720"/>
      <c r="J1" s="2720"/>
    </row>
    <row r="2" spans="1:15" s="1501" customFormat="1" ht="18.75" customHeight="1">
      <c r="A2" s="2718"/>
      <c r="B2" s="2718"/>
      <c r="C2" s="2718"/>
      <c r="D2" s="2718"/>
      <c r="E2" s="2720"/>
      <c r="F2" s="2720"/>
      <c r="G2" s="2720"/>
      <c r="H2" s="2720"/>
      <c r="I2" s="2720"/>
      <c r="J2" s="2720"/>
    </row>
    <row r="3" spans="1:15" s="1501" customFormat="1" ht="18.75" customHeight="1">
      <c r="A3" s="2718"/>
      <c r="B3" s="2718"/>
      <c r="C3" s="2718"/>
      <c r="D3" s="2718"/>
      <c r="E3" s="1562" t="s">
        <v>3838</v>
      </c>
      <c r="F3" s="2721">
        <f>'Invoice(SF米国)'!C2</f>
        <v>7847</v>
      </c>
      <c r="G3" s="2721"/>
      <c r="H3" s="2721"/>
      <c r="I3" s="2721"/>
      <c r="J3" s="2721"/>
    </row>
    <row r="4" spans="1:15" s="1501" customFormat="1" ht="18.75" customHeight="1">
      <c r="A4" s="2719"/>
      <c r="B4" s="2719"/>
      <c r="C4" s="2719"/>
      <c r="D4" s="2719"/>
      <c r="E4" s="1563" t="s">
        <v>3839</v>
      </c>
      <c r="F4" s="1552" t="s">
        <v>4617</v>
      </c>
      <c r="G4" s="1552" t="s">
        <v>4616</v>
      </c>
      <c r="H4" s="1563" t="s">
        <v>3840</v>
      </c>
      <c r="I4" s="2722">
        <f ca="1">TODAY()</f>
        <v>46114</v>
      </c>
      <c r="J4" s="2722"/>
      <c r="K4" s="1564" t="s">
        <v>4621</v>
      </c>
    </row>
    <row r="5" spans="1:15" s="1501" customFormat="1" ht="18.75" customHeight="1">
      <c r="A5" s="1565" t="s">
        <v>3826</v>
      </c>
      <c r="B5" s="1566" t="str">
        <f>'Invoice(SF米国)'!C18</f>
        <v>(SELECT) - 顧客名</v>
      </c>
      <c r="C5" s="1567"/>
      <c r="D5" s="1568"/>
      <c r="E5" s="1569" t="s">
        <v>3832</v>
      </c>
      <c r="F5" s="1570"/>
      <c r="G5" s="1571"/>
      <c r="H5" s="1569" t="s">
        <v>3835</v>
      </c>
      <c r="I5" s="1570"/>
      <c r="J5" s="1571"/>
    </row>
    <row r="6" spans="1:15" s="1501" customFormat="1" ht="18.75" customHeight="1">
      <c r="A6" s="1549"/>
      <c r="B6" s="1572" t="str">
        <f>IFERROR(VLOOKUP(B5,取引先マスタ!C:J,3,FALSE),"")</f>
        <v>ADDRESS 1</v>
      </c>
      <c r="C6" s="1507"/>
      <c r="D6" s="1508"/>
      <c r="E6" s="1503"/>
      <c r="F6" s="1504"/>
      <c r="G6" s="1505"/>
      <c r="H6" s="1503"/>
      <c r="I6" s="1504"/>
      <c r="J6" s="1505"/>
    </row>
    <row r="7" spans="1:15" s="1501" customFormat="1" ht="18.75" customHeight="1">
      <c r="A7" s="1549"/>
      <c r="B7" s="1572" t="str">
        <f>IFERROR(VLOOKUP(B5,取引先マスタ!C:J,4,FALSE),"")</f>
        <v>ADDRESS 2</v>
      </c>
      <c r="C7" s="1507"/>
      <c r="D7" s="1508"/>
      <c r="E7" s="1569" t="s">
        <v>3833</v>
      </c>
      <c r="F7" s="1570"/>
      <c r="G7" s="1571"/>
      <c r="H7" s="1569" t="s">
        <v>3834</v>
      </c>
      <c r="I7" s="1570"/>
      <c r="J7" s="1571"/>
    </row>
    <row r="8" spans="1:15" s="1501" customFormat="1" ht="18.75" customHeight="1">
      <c r="A8" s="1549"/>
      <c r="B8" s="1572" t="str">
        <f>IFERROR(IF(VLOOKUP(B5,取引先マスタ!C:J,5,FALSE)=0,"Country:","Country:"&amp;VLOOKUP(B5,取引先マスタ!C:J,5,FALSE)),"")</f>
        <v>Country:COUNTRY</v>
      </c>
      <c r="C8" s="1572" t="str">
        <f>IFERROR(IF(VLOOKUP(B5,取引先マスタ!C:J,2,FALSE)=0,"Zip Code:","Zip Code:"&amp;VLOOKUP(B5,取引先マスタ!C:J,2,FALSE)),"")</f>
        <v>Zip Code:ZIP CODE</v>
      </c>
      <c r="D8" s="1508"/>
      <c r="E8" s="1636"/>
      <c r="F8" s="1504"/>
      <c r="G8" s="1505"/>
      <c r="H8" s="1503"/>
      <c r="I8" s="1504"/>
      <c r="J8" s="1505"/>
    </row>
    <row r="9" spans="1:15" s="1501" customFormat="1" ht="18.75" customHeight="1">
      <c r="A9" s="1549"/>
      <c r="B9" s="1572" t="str">
        <f>IFERROR(IF(VLOOKUP(B5,取引先マスタ!C:J,6,FALSE)=0,"Tel:",VLOOKUP(B5,取引先マスタ!C:J,6,FALSE)),"")</f>
        <v>TEL</v>
      </c>
      <c r="C9" s="1572" t="str">
        <f>IFERROR(IF(VLOOKUP(B5,取引先マスタ!C:J,7,FALSE)=0,"Attn:","Attn:"&amp;VLOOKUP(B5,取引先マスタ!C:J,7,FALSE)),"")</f>
        <v>Attn:ATTENTION</v>
      </c>
      <c r="D9" s="1508"/>
      <c r="E9" s="1569" t="s">
        <v>3828</v>
      </c>
      <c r="F9" s="1570"/>
      <c r="G9" s="1570"/>
      <c r="H9" s="1570"/>
      <c r="I9" s="1570"/>
      <c r="J9" s="1571"/>
    </row>
    <row r="10" spans="1:15" s="1501" customFormat="1" ht="18.75" customHeight="1">
      <c r="A10" s="1551"/>
      <c r="B10" s="1555"/>
      <c r="C10" s="1504"/>
      <c r="D10" s="1505"/>
      <c r="E10" s="1574" t="s">
        <v>3829</v>
      </c>
      <c r="F10" s="1506" t="s">
        <v>3789</v>
      </c>
      <c r="G10" s="1507"/>
      <c r="H10" s="1507"/>
      <c r="I10" s="1507"/>
      <c r="J10" s="1508"/>
      <c r="M10" s="1588"/>
      <c r="N10" s="1589"/>
      <c r="O10" s="1589"/>
    </row>
    <row r="11" spans="1:15" s="1501" customFormat="1" ht="18.75" customHeight="1">
      <c r="A11" s="1565" t="s">
        <v>3825</v>
      </c>
      <c r="B11" s="1566" t="str">
        <f>'Invoice(SF米国)'!C24</f>
        <v>(SELECT) - 顧客名</v>
      </c>
      <c r="C11" s="1567"/>
      <c r="D11" s="1568"/>
      <c r="E11" s="1574" t="s">
        <v>3830</v>
      </c>
      <c r="F11" s="1506" t="s">
        <v>3843</v>
      </c>
      <c r="G11" s="1507"/>
      <c r="H11" s="1507"/>
      <c r="I11" s="1507"/>
      <c r="J11" s="1508"/>
      <c r="M11" s="1590"/>
      <c r="N11" s="1590"/>
      <c r="O11" s="1590"/>
    </row>
    <row r="12" spans="1:15" s="1501" customFormat="1" ht="18.75" customHeight="1">
      <c r="A12" s="1549"/>
      <c r="B12" s="1572" t="str">
        <f>IFERROR(VLOOKUP(B11,取引先マスタ!C:J,3,FALSE),"")</f>
        <v>ADDRESS 1</v>
      </c>
      <c r="C12" s="1507"/>
      <c r="D12" s="1508"/>
      <c r="E12" s="1574" t="s">
        <v>3787</v>
      </c>
      <c r="F12" s="1506" t="s">
        <v>4625</v>
      </c>
      <c r="G12" s="1507"/>
      <c r="H12" s="1507"/>
      <c r="I12" s="1507"/>
      <c r="J12" s="1508"/>
      <c r="M12" s="1590"/>
      <c r="N12" s="1590"/>
      <c r="O12" s="1590"/>
    </row>
    <row r="13" spans="1:15" s="1501" customFormat="1" ht="18.75" customHeight="1">
      <c r="A13" s="1549"/>
      <c r="B13" s="1572" t="str">
        <f>IFERROR(VLOOKUP(B11,取引先マスタ!C:J,4,FALSE),"")</f>
        <v>ADDRESS 2</v>
      </c>
      <c r="C13" s="1507"/>
      <c r="D13" s="1508"/>
      <c r="E13" s="1574" t="s">
        <v>3831</v>
      </c>
      <c r="F13" s="1506" t="s">
        <v>3844</v>
      </c>
      <c r="G13" s="1507"/>
      <c r="H13" s="1507"/>
      <c r="I13" s="1507"/>
      <c r="J13" s="1508"/>
      <c r="M13" s="1590"/>
      <c r="N13" s="1590"/>
      <c r="O13" s="1590"/>
    </row>
    <row r="14" spans="1:15" s="1501" customFormat="1" ht="18.75" customHeight="1">
      <c r="A14" s="1549"/>
      <c r="B14" s="1572" t="str">
        <f>IFERROR(IF(VLOOKUP(B11,取引先マスタ!C:J,5,FALSE)=0,"Country:","Country:"&amp;VLOOKUP(B11,取引先マスタ!C:J,5,FALSE)),"")</f>
        <v>Country:COUNTRY</v>
      </c>
      <c r="C14" s="1572" t="str">
        <f>IFERROR(IF(VLOOKUP(B11,取引先マスタ!C:J,2,FALSE)=0,"Zip Code:","Zip Code:"&amp;VLOOKUP(B11,取引先マスタ!C:J,2,FALSE)),"")</f>
        <v>Zip Code:ZIP CODE</v>
      </c>
      <c r="D14" s="1508"/>
      <c r="E14" s="1503" t="s">
        <v>3837</v>
      </c>
      <c r="F14" s="1509">
        <v>6877842585</v>
      </c>
      <c r="G14" s="1504"/>
      <c r="H14" s="1510" t="s">
        <v>3836</v>
      </c>
      <c r="I14" s="1510" t="s">
        <v>3786</v>
      </c>
      <c r="J14" s="1505"/>
      <c r="M14" s="1590"/>
      <c r="N14" s="1590"/>
      <c r="O14" s="1590"/>
    </row>
    <row r="15" spans="1:15" s="1501" customFormat="1" ht="18.75" customHeight="1">
      <c r="A15" s="1549"/>
      <c r="B15" s="1572" t="str">
        <f>IFERROR(IF(VLOOKUP(B11,取引先マスタ!C:J,6,FALSE)=0,"Tel:",VLOOKUP(B11,取引先マスタ!C:J,6,FALSE)),"")</f>
        <v>TEL</v>
      </c>
      <c r="C15" s="1572" t="str">
        <f>IFERROR(IF(VLOOKUP(B11,取引先マスタ!C:J,7,FALSE)=0,"Attn:","Attn:"&amp;VLOOKUP(B11,取引先マスタ!C:J,7,FALSE)),"")</f>
        <v>Attn:ATTENTION</v>
      </c>
      <c r="D15" s="1508"/>
      <c r="E15" s="1569" t="s">
        <v>3827</v>
      </c>
      <c r="F15" s="1570"/>
      <c r="G15" s="1570"/>
      <c r="H15" s="1570"/>
      <c r="I15" s="1569" t="s">
        <v>5379</v>
      </c>
      <c r="J15" s="1571"/>
      <c r="M15" s="1588"/>
      <c r="N15" s="1590"/>
      <c r="O15" s="1590"/>
    </row>
    <row r="16" spans="1:15" s="1501" customFormat="1" ht="18.75" customHeight="1">
      <c r="A16" s="1549"/>
      <c r="B16" s="1555"/>
      <c r="C16" s="1504"/>
      <c r="D16" s="1505"/>
      <c r="E16" s="2694" t="s">
        <v>5373</v>
      </c>
      <c r="F16" s="2695"/>
      <c r="G16" s="2622" t="s">
        <v>9019</v>
      </c>
      <c r="H16" s="2623"/>
      <c r="I16" s="1630">
        <f ca="1">I4+30</f>
        <v>46144</v>
      </c>
      <c r="J16" s="1631"/>
    </row>
    <row r="17" spans="1:12" s="1501" customFormat="1" ht="18.75" customHeight="1">
      <c r="A17" s="1569" t="s">
        <v>3818</v>
      </c>
      <c r="B17" s="1575"/>
      <c r="C17" s="1569" t="s">
        <v>3819</v>
      </c>
      <c r="D17" s="1576"/>
      <c r="E17" s="1569" t="s">
        <v>3821</v>
      </c>
      <c r="F17" s="1577"/>
      <c r="G17" s="1575"/>
      <c r="H17" s="1569" t="s">
        <v>3823</v>
      </c>
      <c r="I17" s="1578"/>
      <c r="J17" s="1579"/>
    </row>
    <row r="18" spans="1:12" s="1501" customFormat="1" ht="18.75" customHeight="1">
      <c r="A18" s="1632" t="s">
        <v>5257</v>
      </c>
      <c r="B18" s="1505"/>
      <c r="C18" s="2709" t="str">
        <f>'Invoice(SF米国)'!D31</f>
        <v>Osaka, Japan</v>
      </c>
      <c r="D18" s="2708"/>
      <c r="E18" s="2706">
        <f ca="1">I4</f>
        <v>46114</v>
      </c>
      <c r="F18" s="2707"/>
      <c r="G18" s="2708"/>
      <c r="H18" s="1580" t="s">
        <v>3845</v>
      </c>
      <c r="I18" s="1581">
        <f>'Invoice(SF米国)'!J31</f>
        <v>0</v>
      </c>
      <c r="J18" s="1582"/>
      <c r="K18" s="1564" t="s">
        <v>4622</v>
      </c>
    </row>
    <row r="19" spans="1:12" s="1501" customFormat="1" ht="18.75" customHeight="1">
      <c r="A19" s="1569" t="s">
        <v>3817</v>
      </c>
      <c r="B19" s="1575"/>
      <c r="C19" s="1569" t="s">
        <v>3820</v>
      </c>
      <c r="D19" s="1576"/>
      <c r="E19" s="1569" t="s">
        <v>3822</v>
      </c>
      <c r="F19" s="1577"/>
      <c r="G19" s="1575"/>
      <c r="H19" s="1551"/>
      <c r="I19" s="1634"/>
      <c r="J19" s="1635"/>
    </row>
    <row r="20" spans="1:12" s="1501" customFormat="1" ht="18.75" customHeight="1" thickBot="1">
      <c r="A20" s="2710" t="str">
        <f>'Invoice(SF米国)'!B33</f>
        <v>LA, California</v>
      </c>
      <c r="B20" s="2711"/>
      <c r="C20" s="2710" t="str">
        <f>'Invoice(SF米国)'!D33</f>
        <v>LA, California</v>
      </c>
      <c r="D20" s="2711"/>
      <c r="E20" s="2725" t="s">
        <v>5433</v>
      </c>
      <c r="F20" s="2726"/>
      <c r="G20" s="2727"/>
      <c r="H20" s="1583" t="s">
        <v>3824</v>
      </c>
      <c r="I20" s="2723" t="str">
        <f>'Invoice(SF米国)'!J33</f>
        <v>EXW JAPAN</v>
      </c>
      <c r="J20" s="2724"/>
    </row>
    <row r="21" spans="1:12" s="1501" customFormat="1" ht="18.75" customHeight="1" thickTop="1">
      <c r="A21" s="2692" t="s">
        <v>3811</v>
      </c>
      <c r="B21" s="2696" t="s">
        <v>3846</v>
      </c>
      <c r="C21" s="2696"/>
      <c r="D21" s="2696"/>
      <c r="E21" s="2697" t="s">
        <v>3847</v>
      </c>
      <c r="F21" s="2698"/>
      <c r="G21" s="2699"/>
      <c r="H21" s="2704" t="s">
        <v>5434</v>
      </c>
      <c r="I21" s="2702" t="s">
        <v>5435</v>
      </c>
      <c r="J21" s="2700" t="s">
        <v>5436</v>
      </c>
    </row>
    <row r="22" spans="1:12" s="1501" customFormat="1" ht="18.75" customHeight="1" thickBot="1">
      <c r="A22" s="2693"/>
      <c r="B22" s="1584" t="s">
        <v>2264</v>
      </c>
      <c r="C22" s="1584" t="s">
        <v>52</v>
      </c>
      <c r="D22" s="1585" t="s">
        <v>53</v>
      </c>
      <c r="E22" s="1584" t="s">
        <v>3812</v>
      </c>
      <c r="F22" s="1584" t="s">
        <v>3813</v>
      </c>
      <c r="G22" s="1584" t="s">
        <v>3814</v>
      </c>
      <c r="H22" s="2705"/>
      <c r="I22" s="2703"/>
      <c r="J22" s="2701"/>
    </row>
    <row r="23" spans="1:12" s="1501" customFormat="1" ht="18.75" customHeight="1" thickTop="1">
      <c r="A23" s="1511" t="s">
        <v>5368</v>
      </c>
      <c r="B23" s="1512" t="s">
        <v>5371</v>
      </c>
      <c r="C23" s="1628"/>
      <c r="D23" s="1513"/>
      <c r="E23" s="1624"/>
      <c r="F23" s="1629"/>
      <c r="G23" s="1624"/>
      <c r="H23" s="1745"/>
      <c r="I23" s="1745"/>
      <c r="J23" s="1747"/>
      <c r="K23" s="1586"/>
      <c r="L23" s="1587"/>
    </row>
    <row r="24" spans="1:12" s="1501" customFormat="1" ht="18.75" customHeight="1">
      <c r="A24" s="1515" t="s">
        <v>5368</v>
      </c>
      <c r="B24" s="1516" t="s">
        <v>2576</v>
      </c>
      <c r="C24" s="1527">
        <v>162</v>
      </c>
      <c r="D24" s="1518" t="s">
        <v>5372</v>
      </c>
      <c r="E24" s="1530">
        <v>50</v>
      </c>
      <c r="F24" s="1529">
        <v>1</v>
      </c>
      <c r="G24" s="1522">
        <v>50</v>
      </c>
      <c r="H24" s="1746"/>
      <c r="I24" s="1746"/>
      <c r="J24" s="1748">
        <v>1</v>
      </c>
      <c r="K24" s="1586"/>
      <c r="L24" s="1587"/>
    </row>
    <row r="25" spans="1:12" s="1501" customFormat="1" ht="18.75" customHeight="1">
      <c r="A25" s="1515" t="s">
        <v>5368</v>
      </c>
      <c r="B25" s="1516" t="s">
        <v>805</v>
      </c>
      <c r="C25" s="1527">
        <v>152</v>
      </c>
      <c r="D25" s="1518" t="s">
        <v>5372</v>
      </c>
      <c r="E25" s="1530">
        <v>25</v>
      </c>
      <c r="F25" s="1529">
        <v>1</v>
      </c>
      <c r="G25" s="1522">
        <v>25</v>
      </c>
      <c r="H25" s="1746"/>
      <c r="I25" s="1746"/>
      <c r="J25" s="1748">
        <v>2</v>
      </c>
      <c r="K25" s="1586"/>
      <c r="L25" s="1587"/>
    </row>
    <row r="26" spans="1:12" s="1501" customFormat="1" ht="18.75" customHeight="1">
      <c r="A26" s="1515"/>
      <c r="B26" s="1516"/>
      <c r="C26" s="1525"/>
      <c r="D26" s="1518"/>
      <c r="E26" s="1522"/>
      <c r="F26" s="1529" ph="1"/>
      <c r="G26" s="1526"/>
      <c r="H26" s="1746"/>
      <c r="I26" s="1746"/>
      <c r="J26" s="1748"/>
      <c r="K26" s="1586"/>
      <c r="L26" s="1587"/>
    </row>
    <row r="27" spans="1:12" s="1501" customFormat="1" ht="18.75" customHeight="1">
      <c r="A27" s="1515"/>
      <c r="B27" s="1516"/>
      <c r="C27" s="1525"/>
      <c r="D27" s="1518"/>
      <c r="E27" s="1522"/>
      <c r="F27" s="1529" ph="1"/>
      <c r="G27" s="1526"/>
      <c r="H27" s="1746"/>
      <c r="I27" s="1746"/>
      <c r="J27" s="1748"/>
      <c r="K27" s="1586"/>
      <c r="L27" s="1587"/>
    </row>
    <row r="28" spans="1:12" s="1501" customFormat="1" ht="18.75" customHeight="1">
      <c r="A28" s="1515"/>
      <c r="B28" s="1623"/>
      <c r="C28" s="1525"/>
      <c r="D28" s="1525"/>
      <c r="E28" s="1530"/>
      <c r="F28" s="1529"/>
      <c r="G28" s="1519"/>
      <c r="H28" s="1746"/>
      <c r="I28" s="1746"/>
      <c r="J28" s="1748"/>
      <c r="K28" s="1586"/>
      <c r="L28" s="1587"/>
    </row>
    <row r="29" spans="1:12" s="1501" customFormat="1" ht="18.75" customHeight="1">
      <c r="A29" s="1515"/>
      <c r="B29" s="1516"/>
      <c r="C29" s="1524"/>
      <c r="D29" s="1525"/>
      <c r="E29" s="1522"/>
      <c r="F29" s="1520"/>
      <c r="G29" s="1526"/>
      <c r="H29" s="1746"/>
      <c r="I29" s="1746"/>
      <c r="J29" s="1748"/>
    </row>
    <row r="30" spans="1:12" s="1501" customFormat="1" ht="18.75" customHeight="1">
      <c r="A30" s="1515"/>
      <c r="B30" s="1623"/>
      <c r="C30" s="1525"/>
      <c r="D30" s="1525"/>
      <c r="E30" s="1530"/>
      <c r="F30" s="1529"/>
      <c r="G30" s="1522"/>
      <c r="H30" s="1746"/>
      <c r="I30" s="1746"/>
      <c r="J30" s="1748"/>
    </row>
    <row r="31" spans="1:12" s="1501" customFormat="1" ht="18.75" customHeight="1">
      <c r="A31" s="1515"/>
      <c r="B31" s="1516"/>
      <c r="C31" s="1518"/>
      <c r="D31" s="1525"/>
      <c r="E31" s="1530"/>
      <c r="F31" s="1530"/>
      <c r="G31" s="1530"/>
      <c r="H31" s="1746"/>
      <c r="I31" s="1746"/>
      <c r="J31" s="1748"/>
    </row>
    <row r="32" spans="1:12" s="1501" customFormat="1" ht="18.75" customHeight="1">
      <c r="A32" s="1515"/>
      <c r="B32" s="1623"/>
      <c r="C32" s="1525"/>
      <c r="D32" s="1525"/>
      <c r="E32" s="1530"/>
      <c r="F32" s="1529"/>
      <c r="G32" s="1519"/>
      <c r="H32" s="1746"/>
      <c r="I32" s="1746"/>
      <c r="J32" s="1748"/>
    </row>
    <row r="33" spans="1:10" s="1501" customFormat="1" ht="18.75" customHeight="1">
      <c r="A33" s="1515"/>
      <c r="B33" s="1516"/>
      <c r="C33" s="1524"/>
      <c r="D33" s="1525"/>
      <c r="E33" s="1522"/>
      <c r="F33" s="1520"/>
      <c r="G33" s="1526"/>
      <c r="H33" s="1746"/>
      <c r="I33" s="1746"/>
      <c r="J33" s="1748"/>
    </row>
    <row r="34" spans="1:10" s="1501" customFormat="1" ht="18.75" customHeight="1">
      <c r="A34" s="1515"/>
      <c r="B34" s="1516"/>
      <c r="C34" s="1517"/>
      <c r="D34" s="1518"/>
      <c r="E34" s="1522"/>
      <c r="F34" s="1520"/>
      <c r="G34" s="1522"/>
      <c r="H34" s="1746"/>
      <c r="I34" s="1746"/>
      <c r="J34" s="1748"/>
    </row>
    <row r="35" spans="1:10" s="1501" customFormat="1" ht="18.75" customHeight="1">
      <c r="A35" s="1515"/>
      <c r="B35" s="1516"/>
      <c r="C35" s="1517"/>
      <c r="D35" s="1518"/>
      <c r="E35" s="1522"/>
      <c r="F35" s="1520"/>
      <c r="G35" s="1522"/>
      <c r="H35" s="1746"/>
      <c r="I35" s="1746"/>
      <c r="J35" s="1748"/>
    </row>
    <row r="36" spans="1:10" s="1501" customFormat="1" ht="18.75" customHeight="1">
      <c r="A36" s="1515"/>
      <c r="B36" s="1516"/>
      <c r="C36" s="1517"/>
      <c r="D36" s="1518"/>
      <c r="E36" s="1522"/>
      <c r="F36" s="1520"/>
      <c r="G36" s="1522"/>
      <c r="H36" s="1746"/>
      <c r="I36" s="1746"/>
      <c r="J36" s="1748"/>
    </row>
    <row r="37" spans="1:10" s="1501" customFormat="1" ht="18.75" customHeight="1">
      <c r="A37" s="1515"/>
      <c r="B37" s="1516"/>
      <c r="C37" s="1527"/>
      <c r="D37" s="1518"/>
      <c r="E37" s="1530"/>
      <c r="F37" s="1529"/>
      <c r="G37" s="1530"/>
      <c r="H37" s="1746"/>
      <c r="I37" s="1746"/>
      <c r="J37" s="1748"/>
    </row>
    <row r="38" spans="1:10" s="1501" customFormat="1" ht="18.75" customHeight="1">
      <c r="A38" s="1515"/>
      <c r="B38" s="1516"/>
      <c r="C38" s="1527"/>
      <c r="D38" s="1518"/>
      <c r="E38" s="1522"/>
      <c r="F38" s="1520"/>
      <c r="G38" s="1522"/>
      <c r="H38" s="1746"/>
      <c r="I38" s="1746"/>
      <c r="J38" s="1748"/>
    </row>
    <row r="39" spans="1:10" s="1501" customFormat="1" ht="18.75" customHeight="1">
      <c r="A39" s="1515"/>
      <c r="B39" s="1516"/>
      <c r="C39" s="1527"/>
      <c r="D39" s="1518"/>
      <c r="E39" s="1530"/>
      <c r="F39" s="1529"/>
      <c r="G39" s="1530"/>
      <c r="H39" s="1746"/>
      <c r="I39" s="1746"/>
      <c r="J39" s="1748"/>
    </row>
    <row r="40" spans="1:10" s="1501" customFormat="1" ht="18.75" customHeight="1">
      <c r="A40" s="1515"/>
      <c r="B40" s="1516"/>
      <c r="C40" s="1527"/>
      <c r="D40" s="1518"/>
      <c r="E40" s="1522"/>
      <c r="F40" s="1520"/>
      <c r="G40" s="1522"/>
      <c r="H40" s="1746"/>
      <c r="I40" s="1746"/>
      <c r="J40" s="1748"/>
    </row>
    <row r="41" spans="1:10" s="1501" customFormat="1" ht="18.75" customHeight="1">
      <c r="A41" s="1515"/>
      <c r="B41" s="1516"/>
      <c r="C41" s="1524"/>
      <c r="D41" s="1525"/>
      <c r="E41" s="1522"/>
      <c r="F41" s="1520"/>
      <c r="G41" s="1522"/>
      <c r="H41" s="1746"/>
      <c r="I41" s="1746"/>
      <c r="J41" s="1748"/>
    </row>
    <row r="42" spans="1:10" s="1501" customFormat="1" ht="18.75" customHeight="1">
      <c r="A42" s="1515"/>
      <c r="B42" s="1516"/>
      <c r="C42" s="1524"/>
      <c r="D42" s="1525"/>
      <c r="E42" s="1522"/>
      <c r="F42" s="1520"/>
      <c r="G42" s="1526"/>
      <c r="H42" s="1746"/>
      <c r="I42" s="1746"/>
      <c r="J42" s="1748"/>
    </row>
    <row r="43" spans="1:10" s="1501" customFormat="1" ht="18.75" customHeight="1">
      <c r="A43" s="1515"/>
      <c r="B43" s="1516"/>
      <c r="C43" s="1525"/>
      <c r="D43" s="1525"/>
      <c r="E43" s="1531"/>
      <c r="F43" s="1531"/>
      <c r="G43" s="1532"/>
      <c r="H43" s="1746"/>
      <c r="I43" s="1746"/>
      <c r="J43" s="1748"/>
    </row>
    <row r="44" spans="1:10" s="1501" customFormat="1" ht="18.75" customHeight="1">
      <c r="A44" s="1533"/>
      <c r="B44" s="1516"/>
      <c r="C44" s="1518"/>
      <c r="D44" s="1518"/>
      <c r="E44" s="1518"/>
      <c r="F44" s="1518"/>
      <c r="G44" s="1518"/>
      <c r="H44" s="1746"/>
      <c r="I44" s="1746"/>
      <c r="J44" s="1748"/>
    </row>
    <row r="45" spans="1:10" s="1501" customFormat="1" ht="18.75" customHeight="1">
      <c r="A45" s="1533"/>
      <c r="B45" s="1516"/>
      <c r="C45" s="1518"/>
      <c r="D45" s="1518"/>
      <c r="E45" s="1518"/>
      <c r="F45" s="1518"/>
      <c r="G45" s="1518"/>
      <c r="H45" s="1746"/>
      <c r="I45" s="1746"/>
      <c r="J45" s="1748"/>
    </row>
    <row r="46" spans="1:10" s="1501" customFormat="1" ht="18.75" customHeight="1">
      <c r="A46" s="1533"/>
      <c r="B46" s="1516"/>
      <c r="C46" s="1518"/>
      <c r="D46" s="1525"/>
      <c r="E46" s="1530"/>
      <c r="F46" s="1529"/>
      <c r="G46" s="1525" t="s">
        <v>5496</v>
      </c>
      <c r="H46" s="1746">
        <v>15</v>
      </c>
      <c r="I46" s="1746">
        <v>18</v>
      </c>
      <c r="J46" s="1748"/>
    </row>
    <row r="47" spans="1:10" s="1501" customFormat="1" ht="18.75" customHeight="1">
      <c r="A47" s="1533"/>
      <c r="B47" s="1516"/>
      <c r="C47" s="1518"/>
      <c r="D47" s="1525"/>
      <c r="E47" s="1530"/>
      <c r="F47" s="1530"/>
      <c r="G47" s="1525" t="s">
        <v>5497</v>
      </c>
      <c r="H47" s="1746">
        <v>20</v>
      </c>
      <c r="I47" s="1746">
        <v>23</v>
      </c>
      <c r="J47" s="1748"/>
    </row>
    <row r="48" spans="1:10" s="1501" customFormat="1" ht="18.75" customHeight="1">
      <c r="A48" s="1533"/>
      <c r="B48" s="1516"/>
      <c r="C48" s="1518"/>
      <c r="D48" s="1525"/>
      <c r="E48" s="1518"/>
      <c r="F48" s="1518"/>
      <c r="G48" s="1525" t="s">
        <v>5498</v>
      </c>
      <c r="H48" s="1746">
        <v>25</v>
      </c>
      <c r="I48" s="1746">
        <v>28</v>
      </c>
      <c r="J48" s="1748"/>
    </row>
    <row r="49" spans="1:10" s="1501" customFormat="1" ht="18.75" customHeight="1">
      <c r="A49" s="1533"/>
      <c r="B49" s="1516"/>
      <c r="C49" s="1518"/>
      <c r="D49" s="1525"/>
      <c r="E49" s="1518"/>
      <c r="F49" s="1518"/>
      <c r="G49" s="1525" t="s">
        <v>5499</v>
      </c>
      <c r="H49" s="1746">
        <v>30</v>
      </c>
      <c r="I49" s="1746">
        <v>33</v>
      </c>
      <c r="J49" s="1748"/>
    </row>
    <row r="50" spans="1:10" s="1501" customFormat="1" ht="18.75" customHeight="1">
      <c r="A50" s="1533"/>
      <c r="B50" s="1516"/>
      <c r="C50" s="1518"/>
      <c r="D50" s="1525"/>
      <c r="E50" s="1518"/>
      <c r="F50" s="1518"/>
      <c r="G50" s="1525" t="s">
        <v>5500</v>
      </c>
      <c r="H50" s="1746">
        <v>35</v>
      </c>
      <c r="I50" s="1746">
        <v>38</v>
      </c>
      <c r="J50" s="1748"/>
    </row>
    <row r="51" spans="1:10" s="1501" customFormat="1" ht="18.75" customHeight="1">
      <c r="A51" s="1533"/>
      <c r="B51" s="1516"/>
      <c r="C51" s="1518"/>
      <c r="D51" s="1525"/>
      <c r="E51" s="1518"/>
      <c r="F51" s="1518"/>
      <c r="G51" s="1525" t="s">
        <v>5501</v>
      </c>
      <c r="H51" s="1746">
        <v>40</v>
      </c>
      <c r="I51" s="1746">
        <v>43</v>
      </c>
      <c r="J51" s="1748"/>
    </row>
    <row r="52" spans="1:10" s="1501" customFormat="1" ht="18.75" customHeight="1">
      <c r="A52" s="1533"/>
      <c r="B52" s="1516"/>
      <c r="C52" s="1518"/>
      <c r="D52" s="1525"/>
      <c r="E52" s="1518"/>
      <c r="F52" s="1518"/>
      <c r="G52" s="1525" t="s">
        <v>5502</v>
      </c>
      <c r="H52" s="1746">
        <v>45</v>
      </c>
      <c r="I52" s="1746">
        <v>48</v>
      </c>
      <c r="J52" s="1748"/>
    </row>
    <row r="53" spans="1:10" s="1501" customFormat="1" ht="18.75" customHeight="1">
      <c r="A53" s="1533"/>
      <c r="B53" s="1516"/>
      <c r="C53" s="1518"/>
      <c r="D53" s="1525"/>
      <c r="E53" s="1518"/>
      <c r="F53" s="1518"/>
      <c r="G53" s="1525" t="s">
        <v>5503</v>
      </c>
      <c r="H53" s="1746">
        <v>50</v>
      </c>
      <c r="I53" s="1746">
        <v>53</v>
      </c>
      <c r="J53" s="1748"/>
    </row>
    <row r="54" spans="1:10" s="1501" customFormat="1" ht="18.75" customHeight="1">
      <c r="A54" s="1533"/>
      <c r="B54" s="1516"/>
      <c r="C54" s="1518"/>
      <c r="D54" s="1525"/>
      <c r="E54" s="1518"/>
      <c r="F54" s="1518"/>
      <c r="G54" s="1525" t="s">
        <v>5504</v>
      </c>
      <c r="H54" s="1746">
        <v>55</v>
      </c>
      <c r="I54" s="1746">
        <v>58</v>
      </c>
      <c r="J54" s="1748"/>
    </row>
    <row r="55" spans="1:10" s="1501" customFormat="1" ht="18.75" customHeight="1">
      <c r="A55" s="1533"/>
      <c r="B55" s="1516"/>
      <c r="C55" s="1518"/>
      <c r="D55" s="1525"/>
      <c r="E55" s="1518"/>
      <c r="F55" s="1518"/>
      <c r="G55" s="1525" t="s">
        <v>5505</v>
      </c>
      <c r="H55" s="1746">
        <v>60</v>
      </c>
      <c r="I55" s="1746">
        <v>63</v>
      </c>
      <c r="J55" s="1748"/>
    </row>
    <row r="56" spans="1:10" ht="15.75" thickBot="1">
      <c r="A56" s="1535"/>
      <c r="B56" s="1536"/>
      <c r="C56" s="1537"/>
      <c r="D56" s="1537"/>
      <c r="E56" s="1537"/>
      <c r="F56" s="1537"/>
      <c r="G56" s="1760"/>
      <c r="H56" s="1761"/>
      <c r="I56" s="1761"/>
      <c r="J56" s="1749"/>
    </row>
    <row r="57" spans="1:10">
      <c r="F57" s="1591" t="s">
        <v>5506</v>
      </c>
      <c r="G57" s="1762"/>
      <c r="H57" s="1763"/>
      <c r="I57" s="1764"/>
    </row>
    <row r="58" spans="1:10">
      <c r="A58" s="1592" t="s">
        <v>3801</v>
      </c>
      <c r="C58" s="1563" t="s">
        <v>3849</v>
      </c>
      <c r="F58" s="1591" t="s">
        <v>5507</v>
      </c>
      <c r="G58" s="1765"/>
      <c r="H58" s="1766"/>
      <c r="I58" s="1767" t="str">
        <f>IFERROR(IF(H58="","",SUMIF(J23:J56,H58,I23:I56)),"")</f>
        <v/>
      </c>
    </row>
    <row r="59" spans="1:10" ht="15.75" thickBot="1">
      <c r="A59" s="1593" t="s">
        <v>3802</v>
      </c>
      <c r="C59" s="1594" t="s">
        <v>3852</v>
      </c>
      <c r="F59" s="1591" t="s">
        <v>5508</v>
      </c>
      <c r="G59" s="1768" t="str" cm="1">
        <f t="array" ref="G59">IF(SUMPRODUCT((J23:J56&lt;&gt;"")/COUNTIF(J23:J56,J23:J56&amp;""))&lt;&gt;3,"","Made In")</f>
        <v/>
      </c>
      <c r="H59" s="1769"/>
      <c r="I59" s="1770" t="str">
        <f>IFERROR(IF(H59="","",SUMIF(J24:J57,H59,I24:I57)),"")</f>
        <v/>
      </c>
    </row>
    <row r="60" spans="1:10">
      <c r="A60" s="1593" t="s">
        <v>3803</v>
      </c>
      <c r="C60" s="1591" t="s">
        <v>3850</v>
      </c>
      <c r="D60" s="1502" t="s">
        <v>5375</v>
      </c>
      <c r="G60" s="2751"/>
      <c r="H60" s="2751"/>
      <c r="I60" s="1759"/>
    </row>
    <row r="61" spans="1:10">
      <c r="A61" s="1593" t="s">
        <v>3804</v>
      </c>
      <c r="C61" s="1591" t="s">
        <v>4488</v>
      </c>
      <c r="D61" s="1502" t="s">
        <v>5374</v>
      </c>
      <c r="G61" s="2751"/>
      <c r="H61" s="2751"/>
      <c r="I61" s="1759"/>
    </row>
    <row r="62" spans="1:10">
      <c r="A62" s="1593" t="s">
        <v>3805</v>
      </c>
    </row>
    <row r="64" spans="1:10">
      <c r="A64" s="1593" t="s">
        <v>4489</v>
      </c>
      <c r="G64" s="1592" t="s">
        <v>3809</v>
      </c>
    </row>
    <row r="65" spans="1:10">
      <c r="A65" s="1545"/>
      <c r="B65" s="1546"/>
      <c r="C65" s="1546"/>
      <c r="D65" s="1547"/>
      <c r="E65" s="1548"/>
    </row>
    <row r="66" spans="1:10">
      <c r="A66" s="1549"/>
      <c r="E66" s="1550"/>
    </row>
    <row r="67" spans="1:10">
      <c r="A67" s="1549"/>
      <c r="E67" s="1550"/>
    </row>
    <row r="68" spans="1:10">
      <c r="A68" s="1551"/>
      <c r="B68" s="1552"/>
      <c r="C68" s="1552"/>
      <c r="D68" s="1553"/>
      <c r="E68" s="1554"/>
      <c r="G68" s="1552"/>
      <c r="H68" s="1552"/>
      <c r="I68" s="1552"/>
      <c r="J68" s="1552"/>
    </row>
  </sheetData>
  <mergeCells count="19">
    <mergeCell ref="A1:D4"/>
    <mergeCell ref="E1:J2"/>
    <mergeCell ref="F3:J3"/>
    <mergeCell ref="I4:J4"/>
    <mergeCell ref="E16:F16"/>
    <mergeCell ref="J21:J22"/>
    <mergeCell ref="G60:H60"/>
    <mergeCell ref="G61:H61"/>
    <mergeCell ref="E18:G18"/>
    <mergeCell ref="A20:B20"/>
    <mergeCell ref="C20:D20"/>
    <mergeCell ref="E20:G20"/>
    <mergeCell ref="I20:J20"/>
    <mergeCell ref="A21:A22"/>
    <mergeCell ref="B21:D21"/>
    <mergeCell ref="E21:G21"/>
    <mergeCell ref="H21:H22"/>
    <mergeCell ref="I21:I22"/>
    <mergeCell ref="C18:D18"/>
  </mergeCells>
  <phoneticPr fontId="2"/>
  <conditionalFormatting sqref="A18">
    <cfRule type="expression" dxfId="53" priority="9" stopIfTrue="1">
      <formula>$B$18="(SELECT)"</formula>
    </cfRule>
  </conditionalFormatting>
  <conditionalFormatting sqref="E18:G18 B21 E21 A20:G20">
    <cfRule type="containsBlanks" dxfId="52" priority="11" stopIfTrue="1">
      <formula>LEN(TRIM(A18))=0</formula>
    </cfRule>
  </conditionalFormatting>
  <conditionalFormatting sqref="E16">
    <cfRule type="expression" dxfId="51" priority="8" stopIfTrue="1">
      <formula>$F$16="(SELECT)"</formula>
    </cfRule>
  </conditionalFormatting>
  <conditionalFormatting sqref="B5:B8 B8:C9 B11:B13 B14:C15">
    <cfRule type="containsBlanks" dxfId="50" priority="10" stopIfTrue="1">
      <formula>LEN(TRIM(B5))=0</formula>
    </cfRule>
  </conditionalFormatting>
  <conditionalFormatting sqref="B18">
    <cfRule type="expression" dxfId="49" priority="5" stopIfTrue="1">
      <formula>$B$18="Vessel"</formula>
    </cfRule>
    <cfRule type="expression" dxfId="48" priority="6" stopIfTrue="1">
      <formula>$B$18="AIR"</formula>
    </cfRule>
    <cfRule type="expression" dxfId="47" priority="7" stopIfTrue="1">
      <formula>$B$18="Other"</formula>
    </cfRule>
  </conditionalFormatting>
  <conditionalFormatting sqref="I4:J4">
    <cfRule type="containsBlanks" dxfId="46" priority="4" stopIfTrue="1">
      <formula>LEN(TRIM(I4))=0</formula>
    </cfRule>
  </conditionalFormatting>
  <conditionalFormatting sqref="B23:J56">
    <cfRule type="expression" dxfId="45" priority="3" stopIfTrue="1">
      <formula>COUNTIF($I23,"*per*")</formula>
    </cfRule>
  </conditionalFormatting>
  <dataValidations count="2">
    <dataValidation type="list" allowBlank="1" showInputMessage="1" showErrorMessage="1" sqref="E16:F16" xr:uid="{CCE5E35B-FA3A-4382-9D80-A74985F4E762}">
      <formula1>"(SELECT),　,Advanced Payment,NET 30days,NET 60days"</formula1>
    </dataValidation>
    <dataValidation type="list" allowBlank="1" showInputMessage="1" showErrorMessage="1" sqref="A18" xr:uid="{0590C9A0-764D-4B21-A8D2-30DC4D4E102D}">
      <formula1>"(SELECT),FedEx,UPS,DHL,Other,Vessel,AIR"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Option Button 1">
              <controlPr defaultSize="0" autoFill="0" autoLine="0" autoPict="0">
                <anchor moveWithCells="1">
                  <from>
                    <xdr:col>5</xdr:col>
                    <xdr:colOff>38100</xdr:colOff>
                    <xdr:row>2</xdr:row>
                    <xdr:rowOff>190500</xdr:rowOff>
                  </from>
                  <to>
                    <xdr:col>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Option Button 2">
              <controlPr defaultSize="0" autoFill="0" autoLine="0" autoPict="0">
                <anchor moveWithCells="1">
                  <from>
                    <xdr:col>6</xdr:col>
                    <xdr:colOff>19050</xdr:colOff>
                    <xdr:row>2</xdr:row>
                    <xdr:rowOff>190500</xdr:rowOff>
                  </from>
                  <to>
                    <xdr:col>6</xdr:col>
                    <xdr:colOff>323850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Option Button 3">
              <controlPr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228600</xdr:rowOff>
                  </from>
                  <to>
                    <xdr:col>5</xdr:col>
                    <xdr:colOff>333375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Option Button 4">
              <controlPr defaultSize="0" autoFill="0" autoLine="0" autoPict="0">
                <anchor moveWithCells="1">
                  <from>
                    <xdr:col>6</xdr:col>
                    <xdr:colOff>9525</xdr:colOff>
                    <xdr:row>2</xdr:row>
                    <xdr:rowOff>228600</xdr:rowOff>
                  </from>
                  <to>
                    <xdr:col>6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460ED-B7AB-4EC0-8BD6-29DA77AABE42}">
  <sheetPr codeName="Sheet12"/>
  <dimension ref="A1:K78"/>
  <sheetViews>
    <sheetView view="pageBreakPreview" topLeftCell="A34" zoomScale="75" zoomScaleNormal="100" workbookViewId="0">
      <selection activeCell="K55" sqref="K55"/>
    </sheetView>
  </sheetViews>
  <sheetFormatPr defaultColWidth="8.875" defaultRowHeight="15"/>
  <cols>
    <col min="1" max="3" width="8.875" style="1655"/>
    <col min="4" max="4" width="18.625" style="1655" customWidth="1"/>
    <col min="5" max="5" width="8.875" style="1655"/>
    <col min="6" max="6" width="21.5" style="1655" bestFit="1" customWidth="1"/>
    <col min="7" max="8" width="8.875" style="1655"/>
    <col min="9" max="9" width="9.5" style="1655" customWidth="1"/>
    <col min="10" max="10" width="24.625" style="1655" bestFit="1" customWidth="1"/>
    <col min="11" max="11" width="17.375" style="1655" customWidth="1"/>
    <col min="12" max="259" width="8.875" style="1655"/>
    <col min="260" max="260" width="18.625" style="1655" customWidth="1"/>
    <col min="261" max="261" width="8.875" style="1655"/>
    <col min="262" max="262" width="21.5" style="1655" bestFit="1" customWidth="1"/>
    <col min="263" max="264" width="8.875" style="1655"/>
    <col min="265" max="265" width="9.5" style="1655" customWidth="1"/>
    <col min="266" max="266" width="24.625" style="1655" bestFit="1" customWidth="1"/>
    <col min="267" max="267" width="17.375" style="1655" customWidth="1"/>
    <col min="268" max="515" width="8.875" style="1655"/>
    <col min="516" max="516" width="18.625" style="1655" customWidth="1"/>
    <col min="517" max="517" width="8.875" style="1655"/>
    <col min="518" max="518" width="21.5" style="1655" bestFit="1" customWidth="1"/>
    <col min="519" max="520" width="8.875" style="1655"/>
    <col min="521" max="521" width="9.5" style="1655" customWidth="1"/>
    <col min="522" max="522" width="24.625" style="1655" bestFit="1" customWidth="1"/>
    <col min="523" max="523" width="17.375" style="1655" customWidth="1"/>
    <col min="524" max="771" width="8.875" style="1655"/>
    <col min="772" max="772" width="18.625" style="1655" customWidth="1"/>
    <col min="773" max="773" width="8.875" style="1655"/>
    <col min="774" max="774" width="21.5" style="1655" bestFit="1" customWidth="1"/>
    <col min="775" max="776" width="8.875" style="1655"/>
    <col min="777" max="777" width="9.5" style="1655" customWidth="1"/>
    <col min="778" max="778" width="24.625" style="1655" bestFit="1" customWidth="1"/>
    <col min="779" max="779" width="17.375" style="1655" customWidth="1"/>
    <col min="780" max="1027" width="8.875" style="1655"/>
    <col min="1028" max="1028" width="18.625" style="1655" customWidth="1"/>
    <col min="1029" max="1029" width="8.875" style="1655"/>
    <col min="1030" max="1030" width="21.5" style="1655" bestFit="1" customWidth="1"/>
    <col min="1031" max="1032" width="8.875" style="1655"/>
    <col min="1033" max="1033" width="9.5" style="1655" customWidth="1"/>
    <col min="1034" max="1034" width="24.625" style="1655" bestFit="1" customWidth="1"/>
    <col min="1035" max="1035" width="17.375" style="1655" customWidth="1"/>
    <col min="1036" max="1283" width="8.875" style="1655"/>
    <col min="1284" max="1284" width="18.625" style="1655" customWidth="1"/>
    <col min="1285" max="1285" width="8.875" style="1655"/>
    <col min="1286" max="1286" width="21.5" style="1655" bestFit="1" customWidth="1"/>
    <col min="1287" max="1288" width="8.875" style="1655"/>
    <col min="1289" max="1289" width="9.5" style="1655" customWidth="1"/>
    <col min="1290" max="1290" width="24.625" style="1655" bestFit="1" customWidth="1"/>
    <col min="1291" max="1291" width="17.375" style="1655" customWidth="1"/>
    <col min="1292" max="1539" width="8.875" style="1655"/>
    <col min="1540" max="1540" width="18.625" style="1655" customWidth="1"/>
    <col min="1541" max="1541" width="8.875" style="1655"/>
    <col min="1542" max="1542" width="21.5" style="1655" bestFit="1" customWidth="1"/>
    <col min="1543" max="1544" width="8.875" style="1655"/>
    <col min="1545" max="1545" width="9.5" style="1655" customWidth="1"/>
    <col min="1546" max="1546" width="24.625" style="1655" bestFit="1" customWidth="1"/>
    <col min="1547" max="1547" width="17.375" style="1655" customWidth="1"/>
    <col min="1548" max="1795" width="8.875" style="1655"/>
    <col min="1796" max="1796" width="18.625" style="1655" customWidth="1"/>
    <col min="1797" max="1797" width="8.875" style="1655"/>
    <col min="1798" max="1798" width="21.5" style="1655" bestFit="1" customWidth="1"/>
    <col min="1799" max="1800" width="8.875" style="1655"/>
    <col min="1801" max="1801" width="9.5" style="1655" customWidth="1"/>
    <col min="1802" max="1802" width="24.625" style="1655" bestFit="1" customWidth="1"/>
    <col min="1803" max="1803" width="17.375" style="1655" customWidth="1"/>
    <col min="1804" max="2051" width="8.875" style="1655"/>
    <col min="2052" max="2052" width="18.625" style="1655" customWidth="1"/>
    <col min="2053" max="2053" width="8.875" style="1655"/>
    <col min="2054" max="2054" width="21.5" style="1655" bestFit="1" customWidth="1"/>
    <col min="2055" max="2056" width="8.875" style="1655"/>
    <col min="2057" max="2057" width="9.5" style="1655" customWidth="1"/>
    <col min="2058" max="2058" width="24.625" style="1655" bestFit="1" customWidth="1"/>
    <col min="2059" max="2059" width="17.375" style="1655" customWidth="1"/>
    <col min="2060" max="2307" width="8.875" style="1655"/>
    <col min="2308" max="2308" width="18.625" style="1655" customWidth="1"/>
    <col min="2309" max="2309" width="8.875" style="1655"/>
    <col min="2310" max="2310" width="21.5" style="1655" bestFit="1" customWidth="1"/>
    <col min="2311" max="2312" width="8.875" style="1655"/>
    <col min="2313" max="2313" width="9.5" style="1655" customWidth="1"/>
    <col min="2314" max="2314" width="24.625" style="1655" bestFit="1" customWidth="1"/>
    <col min="2315" max="2315" width="17.375" style="1655" customWidth="1"/>
    <col min="2316" max="2563" width="8.875" style="1655"/>
    <col min="2564" max="2564" width="18.625" style="1655" customWidth="1"/>
    <col min="2565" max="2565" width="8.875" style="1655"/>
    <col min="2566" max="2566" width="21.5" style="1655" bestFit="1" customWidth="1"/>
    <col min="2567" max="2568" width="8.875" style="1655"/>
    <col min="2569" max="2569" width="9.5" style="1655" customWidth="1"/>
    <col min="2570" max="2570" width="24.625" style="1655" bestFit="1" customWidth="1"/>
    <col min="2571" max="2571" width="17.375" style="1655" customWidth="1"/>
    <col min="2572" max="2819" width="8.875" style="1655"/>
    <col min="2820" max="2820" width="18.625" style="1655" customWidth="1"/>
    <col min="2821" max="2821" width="8.875" style="1655"/>
    <col min="2822" max="2822" width="21.5" style="1655" bestFit="1" customWidth="1"/>
    <col min="2823" max="2824" width="8.875" style="1655"/>
    <col min="2825" max="2825" width="9.5" style="1655" customWidth="1"/>
    <col min="2826" max="2826" width="24.625" style="1655" bestFit="1" customWidth="1"/>
    <col min="2827" max="2827" width="17.375" style="1655" customWidth="1"/>
    <col min="2828" max="3075" width="8.875" style="1655"/>
    <col min="3076" max="3076" width="18.625" style="1655" customWidth="1"/>
    <col min="3077" max="3077" width="8.875" style="1655"/>
    <col min="3078" max="3078" width="21.5" style="1655" bestFit="1" customWidth="1"/>
    <col min="3079" max="3080" width="8.875" style="1655"/>
    <col min="3081" max="3081" width="9.5" style="1655" customWidth="1"/>
    <col min="3082" max="3082" width="24.625" style="1655" bestFit="1" customWidth="1"/>
    <col min="3083" max="3083" width="17.375" style="1655" customWidth="1"/>
    <col min="3084" max="3331" width="8.875" style="1655"/>
    <col min="3332" max="3332" width="18.625" style="1655" customWidth="1"/>
    <col min="3333" max="3333" width="8.875" style="1655"/>
    <col min="3334" max="3334" width="21.5" style="1655" bestFit="1" customWidth="1"/>
    <col min="3335" max="3336" width="8.875" style="1655"/>
    <col min="3337" max="3337" width="9.5" style="1655" customWidth="1"/>
    <col min="3338" max="3338" width="24.625" style="1655" bestFit="1" customWidth="1"/>
    <col min="3339" max="3339" width="17.375" style="1655" customWidth="1"/>
    <col min="3340" max="3587" width="8.875" style="1655"/>
    <col min="3588" max="3588" width="18.625" style="1655" customWidth="1"/>
    <col min="3589" max="3589" width="8.875" style="1655"/>
    <col min="3590" max="3590" width="21.5" style="1655" bestFit="1" customWidth="1"/>
    <col min="3591" max="3592" width="8.875" style="1655"/>
    <col min="3593" max="3593" width="9.5" style="1655" customWidth="1"/>
    <col min="3594" max="3594" width="24.625" style="1655" bestFit="1" customWidth="1"/>
    <col min="3595" max="3595" width="17.375" style="1655" customWidth="1"/>
    <col min="3596" max="3843" width="8.875" style="1655"/>
    <col min="3844" max="3844" width="18.625" style="1655" customWidth="1"/>
    <col min="3845" max="3845" width="8.875" style="1655"/>
    <col min="3846" max="3846" width="21.5" style="1655" bestFit="1" customWidth="1"/>
    <col min="3847" max="3848" width="8.875" style="1655"/>
    <col min="3849" max="3849" width="9.5" style="1655" customWidth="1"/>
    <col min="3850" max="3850" width="24.625" style="1655" bestFit="1" customWidth="1"/>
    <col min="3851" max="3851" width="17.375" style="1655" customWidth="1"/>
    <col min="3852" max="4099" width="8.875" style="1655"/>
    <col min="4100" max="4100" width="18.625" style="1655" customWidth="1"/>
    <col min="4101" max="4101" width="8.875" style="1655"/>
    <col min="4102" max="4102" width="21.5" style="1655" bestFit="1" customWidth="1"/>
    <col min="4103" max="4104" width="8.875" style="1655"/>
    <col min="4105" max="4105" width="9.5" style="1655" customWidth="1"/>
    <col min="4106" max="4106" width="24.625" style="1655" bestFit="1" customWidth="1"/>
    <col min="4107" max="4107" width="17.375" style="1655" customWidth="1"/>
    <col min="4108" max="4355" width="8.875" style="1655"/>
    <col min="4356" max="4356" width="18.625" style="1655" customWidth="1"/>
    <col min="4357" max="4357" width="8.875" style="1655"/>
    <col min="4358" max="4358" width="21.5" style="1655" bestFit="1" customWidth="1"/>
    <col min="4359" max="4360" width="8.875" style="1655"/>
    <col min="4361" max="4361" width="9.5" style="1655" customWidth="1"/>
    <col min="4362" max="4362" width="24.625" style="1655" bestFit="1" customWidth="1"/>
    <col min="4363" max="4363" width="17.375" style="1655" customWidth="1"/>
    <col min="4364" max="4611" width="8.875" style="1655"/>
    <col min="4612" max="4612" width="18.625" style="1655" customWidth="1"/>
    <col min="4613" max="4613" width="8.875" style="1655"/>
    <col min="4614" max="4614" width="21.5" style="1655" bestFit="1" customWidth="1"/>
    <col min="4615" max="4616" width="8.875" style="1655"/>
    <col min="4617" max="4617" width="9.5" style="1655" customWidth="1"/>
    <col min="4618" max="4618" width="24.625" style="1655" bestFit="1" customWidth="1"/>
    <col min="4619" max="4619" width="17.375" style="1655" customWidth="1"/>
    <col min="4620" max="4867" width="8.875" style="1655"/>
    <col min="4868" max="4868" width="18.625" style="1655" customWidth="1"/>
    <col min="4869" max="4869" width="8.875" style="1655"/>
    <col min="4870" max="4870" width="21.5" style="1655" bestFit="1" customWidth="1"/>
    <col min="4871" max="4872" width="8.875" style="1655"/>
    <col min="4873" max="4873" width="9.5" style="1655" customWidth="1"/>
    <col min="4874" max="4874" width="24.625" style="1655" bestFit="1" customWidth="1"/>
    <col min="4875" max="4875" width="17.375" style="1655" customWidth="1"/>
    <col min="4876" max="5123" width="8.875" style="1655"/>
    <col min="5124" max="5124" width="18.625" style="1655" customWidth="1"/>
    <col min="5125" max="5125" width="8.875" style="1655"/>
    <col min="5126" max="5126" width="21.5" style="1655" bestFit="1" customWidth="1"/>
    <col min="5127" max="5128" width="8.875" style="1655"/>
    <col min="5129" max="5129" width="9.5" style="1655" customWidth="1"/>
    <col min="5130" max="5130" width="24.625" style="1655" bestFit="1" customWidth="1"/>
    <col min="5131" max="5131" width="17.375" style="1655" customWidth="1"/>
    <col min="5132" max="5379" width="8.875" style="1655"/>
    <col min="5380" max="5380" width="18.625" style="1655" customWidth="1"/>
    <col min="5381" max="5381" width="8.875" style="1655"/>
    <col min="5382" max="5382" width="21.5" style="1655" bestFit="1" customWidth="1"/>
    <col min="5383" max="5384" width="8.875" style="1655"/>
    <col min="5385" max="5385" width="9.5" style="1655" customWidth="1"/>
    <col min="5386" max="5386" width="24.625" style="1655" bestFit="1" customWidth="1"/>
    <col min="5387" max="5387" width="17.375" style="1655" customWidth="1"/>
    <col min="5388" max="5635" width="8.875" style="1655"/>
    <col min="5636" max="5636" width="18.625" style="1655" customWidth="1"/>
    <col min="5637" max="5637" width="8.875" style="1655"/>
    <col min="5638" max="5638" width="21.5" style="1655" bestFit="1" customWidth="1"/>
    <col min="5639" max="5640" width="8.875" style="1655"/>
    <col min="5641" max="5641" width="9.5" style="1655" customWidth="1"/>
    <col min="5642" max="5642" width="24.625" style="1655" bestFit="1" customWidth="1"/>
    <col min="5643" max="5643" width="17.375" style="1655" customWidth="1"/>
    <col min="5644" max="5891" width="8.875" style="1655"/>
    <col min="5892" max="5892" width="18.625" style="1655" customWidth="1"/>
    <col min="5893" max="5893" width="8.875" style="1655"/>
    <col min="5894" max="5894" width="21.5" style="1655" bestFit="1" customWidth="1"/>
    <col min="5895" max="5896" width="8.875" style="1655"/>
    <col min="5897" max="5897" width="9.5" style="1655" customWidth="1"/>
    <col min="5898" max="5898" width="24.625" style="1655" bestFit="1" customWidth="1"/>
    <col min="5899" max="5899" width="17.375" style="1655" customWidth="1"/>
    <col min="5900" max="6147" width="8.875" style="1655"/>
    <col min="6148" max="6148" width="18.625" style="1655" customWidth="1"/>
    <col min="6149" max="6149" width="8.875" style="1655"/>
    <col min="6150" max="6150" width="21.5" style="1655" bestFit="1" customWidth="1"/>
    <col min="6151" max="6152" width="8.875" style="1655"/>
    <col min="6153" max="6153" width="9.5" style="1655" customWidth="1"/>
    <col min="6154" max="6154" width="24.625" style="1655" bestFit="1" customWidth="1"/>
    <col min="6155" max="6155" width="17.375" style="1655" customWidth="1"/>
    <col min="6156" max="6403" width="8.875" style="1655"/>
    <col min="6404" max="6404" width="18.625" style="1655" customWidth="1"/>
    <col min="6405" max="6405" width="8.875" style="1655"/>
    <col min="6406" max="6406" width="21.5" style="1655" bestFit="1" customWidth="1"/>
    <col min="6407" max="6408" width="8.875" style="1655"/>
    <col min="6409" max="6409" width="9.5" style="1655" customWidth="1"/>
    <col min="6410" max="6410" width="24.625" style="1655" bestFit="1" customWidth="1"/>
    <col min="6411" max="6411" width="17.375" style="1655" customWidth="1"/>
    <col min="6412" max="6659" width="8.875" style="1655"/>
    <col min="6660" max="6660" width="18.625" style="1655" customWidth="1"/>
    <col min="6661" max="6661" width="8.875" style="1655"/>
    <col min="6662" max="6662" width="21.5" style="1655" bestFit="1" customWidth="1"/>
    <col min="6663" max="6664" width="8.875" style="1655"/>
    <col min="6665" max="6665" width="9.5" style="1655" customWidth="1"/>
    <col min="6666" max="6666" width="24.625" style="1655" bestFit="1" customWidth="1"/>
    <col min="6667" max="6667" width="17.375" style="1655" customWidth="1"/>
    <col min="6668" max="6915" width="8.875" style="1655"/>
    <col min="6916" max="6916" width="18.625" style="1655" customWidth="1"/>
    <col min="6917" max="6917" width="8.875" style="1655"/>
    <col min="6918" max="6918" width="21.5" style="1655" bestFit="1" customWidth="1"/>
    <col min="6919" max="6920" width="8.875" style="1655"/>
    <col min="6921" max="6921" width="9.5" style="1655" customWidth="1"/>
    <col min="6922" max="6922" width="24.625" style="1655" bestFit="1" customWidth="1"/>
    <col min="6923" max="6923" width="17.375" style="1655" customWidth="1"/>
    <col min="6924" max="7171" width="8.875" style="1655"/>
    <col min="7172" max="7172" width="18.625" style="1655" customWidth="1"/>
    <col min="7173" max="7173" width="8.875" style="1655"/>
    <col min="7174" max="7174" width="21.5" style="1655" bestFit="1" customWidth="1"/>
    <col min="7175" max="7176" width="8.875" style="1655"/>
    <col min="7177" max="7177" width="9.5" style="1655" customWidth="1"/>
    <col min="7178" max="7178" width="24.625" style="1655" bestFit="1" customWidth="1"/>
    <col min="7179" max="7179" width="17.375" style="1655" customWidth="1"/>
    <col min="7180" max="7427" width="8.875" style="1655"/>
    <col min="7428" max="7428" width="18.625" style="1655" customWidth="1"/>
    <col min="7429" max="7429" width="8.875" style="1655"/>
    <col min="7430" max="7430" width="21.5" style="1655" bestFit="1" customWidth="1"/>
    <col min="7431" max="7432" width="8.875" style="1655"/>
    <col min="7433" max="7433" width="9.5" style="1655" customWidth="1"/>
    <col min="7434" max="7434" width="24.625" style="1655" bestFit="1" customWidth="1"/>
    <col min="7435" max="7435" width="17.375" style="1655" customWidth="1"/>
    <col min="7436" max="7683" width="8.875" style="1655"/>
    <col min="7684" max="7684" width="18.625" style="1655" customWidth="1"/>
    <col min="7685" max="7685" width="8.875" style="1655"/>
    <col min="7686" max="7686" width="21.5" style="1655" bestFit="1" customWidth="1"/>
    <col min="7687" max="7688" width="8.875" style="1655"/>
    <col min="7689" max="7689" width="9.5" style="1655" customWidth="1"/>
    <col min="7690" max="7690" width="24.625" style="1655" bestFit="1" customWidth="1"/>
    <col min="7691" max="7691" width="17.375" style="1655" customWidth="1"/>
    <col min="7692" max="7939" width="8.875" style="1655"/>
    <col min="7940" max="7940" width="18.625" style="1655" customWidth="1"/>
    <col min="7941" max="7941" width="8.875" style="1655"/>
    <col min="7942" max="7942" width="21.5" style="1655" bestFit="1" customWidth="1"/>
    <col min="7943" max="7944" width="8.875" style="1655"/>
    <col min="7945" max="7945" width="9.5" style="1655" customWidth="1"/>
    <col min="7946" max="7946" width="24.625" style="1655" bestFit="1" customWidth="1"/>
    <col min="7947" max="7947" width="17.375" style="1655" customWidth="1"/>
    <col min="7948" max="8195" width="8.875" style="1655"/>
    <col min="8196" max="8196" width="18.625" style="1655" customWidth="1"/>
    <col min="8197" max="8197" width="8.875" style="1655"/>
    <col min="8198" max="8198" width="21.5" style="1655" bestFit="1" customWidth="1"/>
    <col min="8199" max="8200" width="8.875" style="1655"/>
    <col min="8201" max="8201" width="9.5" style="1655" customWidth="1"/>
    <col min="8202" max="8202" width="24.625" style="1655" bestFit="1" customWidth="1"/>
    <col min="8203" max="8203" width="17.375" style="1655" customWidth="1"/>
    <col min="8204" max="8451" width="8.875" style="1655"/>
    <col min="8452" max="8452" width="18.625" style="1655" customWidth="1"/>
    <col min="8453" max="8453" width="8.875" style="1655"/>
    <col min="8454" max="8454" width="21.5" style="1655" bestFit="1" customWidth="1"/>
    <col min="8455" max="8456" width="8.875" style="1655"/>
    <col min="8457" max="8457" width="9.5" style="1655" customWidth="1"/>
    <col min="8458" max="8458" width="24.625" style="1655" bestFit="1" customWidth="1"/>
    <col min="8459" max="8459" width="17.375" style="1655" customWidth="1"/>
    <col min="8460" max="8707" width="8.875" style="1655"/>
    <col min="8708" max="8708" width="18.625" style="1655" customWidth="1"/>
    <col min="8709" max="8709" width="8.875" style="1655"/>
    <col min="8710" max="8710" width="21.5" style="1655" bestFit="1" customWidth="1"/>
    <col min="8711" max="8712" width="8.875" style="1655"/>
    <col min="8713" max="8713" width="9.5" style="1655" customWidth="1"/>
    <col min="8714" max="8714" width="24.625" style="1655" bestFit="1" customWidth="1"/>
    <col min="8715" max="8715" width="17.375" style="1655" customWidth="1"/>
    <col min="8716" max="8963" width="8.875" style="1655"/>
    <col min="8964" max="8964" width="18.625" style="1655" customWidth="1"/>
    <col min="8965" max="8965" width="8.875" style="1655"/>
    <col min="8966" max="8966" width="21.5" style="1655" bestFit="1" customWidth="1"/>
    <col min="8967" max="8968" width="8.875" style="1655"/>
    <col min="8969" max="8969" width="9.5" style="1655" customWidth="1"/>
    <col min="8970" max="8970" width="24.625" style="1655" bestFit="1" customWidth="1"/>
    <col min="8971" max="8971" width="17.375" style="1655" customWidth="1"/>
    <col min="8972" max="9219" width="8.875" style="1655"/>
    <col min="9220" max="9220" width="18.625" style="1655" customWidth="1"/>
    <col min="9221" max="9221" width="8.875" style="1655"/>
    <col min="9222" max="9222" width="21.5" style="1655" bestFit="1" customWidth="1"/>
    <col min="9223" max="9224" width="8.875" style="1655"/>
    <col min="9225" max="9225" width="9.5" style="1655" customWidth="1"/>
    <col min="9226" max="9226" width="24.625" style="1655" bestFit="1" customWidth="1"/>
    <col min="9227" max="9227" width="17.375" style="1655" customWidth="1"/>
    <col min="9228" max="9475" width="8.875" style="1655"/>
    <col min="9476" max="9476" width="18.625" style="1655" customWidth="1"/>
    <col min="9477" max="9477" width="8.875" style="1655"/>
    <col min="9478" max="9478" width="21.5" style="1655" bestFit="1" customWidth="1"/>
    <col min="9479" max="9480" width="8.875" style="1655"/>
    <col min="9481" max="9481" width="9.5" style="1655" customWidth="1"/>
    <col min="9482" max="9482" width="24.625" style="1655" bestFit="1" customWidth="1"/>
    <col min="9483" max="9483" width="17.375" style="1655" customWidth="1"/>
    <col min="9484" max="9731" width="8.875" style="1655"/>
    <col min="9732" max="9732" width="18.625" style="1655" customWidth="1"/>
    <col min="9733" max="9733" width="8.875" style="1655"/>
    <col min="9734" max="9734" width="21.5" style="1655" bestFit="1" customWidth="1"/>
    <col min="9735" max="9736" width="8.875" style="1655"/>
    <col min="9737" max="9737" width="9.5" style="1655" customWidth="1"/>
    <col min="9738" max="9738" width="24.625" style="1655" bestFit="1" customWidth="1"/>
    <col min="9739" max="9739" width="17.375" style="1655" customWidth="1"/>
    <col min="9740" max="9987" width="8.875" style="1655"/>
    <col min="9988" max="9988" width="18.625" style="1655" customWidth="1"/>
    <col min="9989" max="9989" width="8.875" style="1655"/>
    <col min="9990" max="9990" width="21.5" style="1655" bestFit="1" customWidth="1"/>
    <col min="9991" max="9992" width="8.875" style="1655"/>
    <col min="9993" max="9993" width="9.5" style="1655" customWidth="1"/>
    <col min="9994" max="9994" width="24.625" style="1655" bestFit="1" customWidth="1"/>
    <col min="9995" max="9995" width="17.375" style="1655" customWidth="1"/>
    <col min="9996" max="10243" width="8.875" style="1655"/>
    <col min="10244" max="10244" width="18.625" style="1655" customWidth="1"/>
    <col min="10245" max="10245" width="8.875" style="1655"/>
    <col min="10246" max="10246" width="21.5" style="1655" bestFit="1" customWidth="1"/>
    <col min="10247" max="10248" width="8.875" style="1655"/>
    <col min="10249" max="10249" width="9.5" style="1655" customWidth="1"/>
    <col min="10250" max="10250" width="24.625" style="1655" bestFit="1" customWidth="1"/>
    <col min="10251" max="10251" width="17.375" style="1655" customWidth="1"/>
    <col min="10252" max="10499" width="8.875" style="1655"/>
    <col min="10500" max="10500" width="18.625" style="1655" customWidth="1"/>
    <col min="10501" max="10501" width="8.875" style="1655"/>
    <col min="10502" max="10502" width="21.5" style="1655" bestFit="1" customWidth="1"/>
    <col min="10503" max="10504" width="8.875" style="1655"/>
    <col min="10505" max="10505" width="9.5" style="1655" customWidth="1"/>
    <col min="10506" max="10506" width="24.625" style="1655" bestFit="1" customWidth="1"/>
    <col min="10507" max="10507" width="17.375" style="1655" customWidth="1"/>
    <col min="10508" max="10755" width="8.875" style="1655"/>
    <col min="10756" max="10756" width="18.625" style="1655" customWidth="1"/>
    <col min="10757" max="10757" width="8.875" style="1655"/>
    <col min="10758" max="10758" width="21.5" style="1655" bestFit="1" customWidth="1"/>
    <col min="10759" max="10760" width="8.875" style="1655"/>
    <col min="10761" max="10761" width="9.5" style="1655" customWidth="1"/>
    <col min="10762" max="10762" width="24.625" style="1655" bestFit="1" customWidth="1"/>
    <col min="10763" max="10763" width="17.375" style="1655" customWidth="1"/>
    <col min="10764" max="11011" width="8.875" style="1655"/>
    <col min="11012" max="11012" width="18.625" style="1655" customWidth="1"/>
    <col min="11013" max="11013" width="8.875" style="1655"/>
    <col min="11014" max="11014" width="21.5" style="1655" bestFit="1" customWidth="1"/>
    <col min="11015" max="11016" width="8.875" style="1655"/>
    <col min="11017" max="11017" width="9.5" style="1655" customWidth="1"/>
    <col min="11018" max="11018" width="24.625" style="1655" bestFit="1" customWidth="1"/>
    <col min="11019" max="11019" width="17.375" style="1655" customWidth="1"/>
    <col min="11020" max="11267" width="8.875" style="1655"/>
    <col min="11268" max="11268" width="18.625" style="1655" customWidth="1"/>
    <col min="11269" max="11269" width="8.875" style="1655"/>
    <col min="11270" max="11270" width="21.5" style="1655" bestFit="1" customWidth="1"/>
    <col min="11271" max="11272" width="8.875" style="1655"/>
    <col min="11273" max="11273" width="9.5" style="1655" customWidth="1"/>
    <col min="11274" max="11274" width="24.625" style="1655" bestFit="1" customWidth="1"/>
    <col min="11275" max="11275" width="17.375" style="1655" customWidth="1"/>
    <col min="11276" max="11523" width="8.875" style="1655"/>
    <col min="11524" max="11524" width="18.625" style="1655" customWidth="1"/>
    <col min="11525" max="11525" width="8.875" style="1655"/>
    <col min="11526" max="11526" width="21.5" style="1655" bestFit="1" customWidth="1"/>
    <col min="11527" max="11528" width="8.875" style="1655"/>
    <col min="11529" max="11529" width="9.5" style="1655" customWidth="1"/>
    <col min="11530" max="11530" width="24.625" style="1655" bestFit="1" customWidth="1"/>
    <col min="11531" max="11531" width="17.375" style="1655" customWidth="1"/>
    <col min="11532" max="11779" width="8.875" style="1655"/>
    <col min="11780" max="11780" width="18.625" style="1655" customWidth="1"/>
    <col min="11781" max="11781" width="8.875" style="1655"/>
    <col min="11782" max="11782" width="21.5" style="1655" bestFit="1" customWidth="1"/>
    <col min="11783" max="11784" width="8.875" style="1655"/>
    <col min="11785" max="11785" width="9.5" style="1655" customWidth="1"/>
    <col min="11786" max="11786" width="24.625" style="1655" bestFit="1" customWidth="1"/>
    <col min="11787" max="11787" width="17.375" style="1655" customWidth="1"/>
    <col min="11788" max="12035" width="8.875" style="1655"/>
    <col min="12036" max="12036" width="18.625" style="1655" customWidth="1"/>
    <col min="12037" max="12037" width="8.875" style="1655"/>
    <col min="12038" max="12038" width="21.5" style="1655" bestFit="1" customWidth="1"/>
    <col min="12039" max="12040" width="8.875" style="1655"/>
    <col min="12041" max="12041" width="9.5" style="1655" customWidth="1"/>
    <col min="12042" max="12042" width="24.625" style="1655" bestFit="1" customWidth="1"/>
    <col min="12043" max="12043" width="17.375" style="1655" customWidth="1"/>
    <col min="12044" max="12291" width="8.875" style="1655"/>
    <col min="12292" max="12292" width="18.625" style="1655" customWidth="1"/>
    <col min="12293" max="12293" width="8.875" style="1655"/>
    <col min="12294" max="12294" width="21.5" style="1655" bestFit="1" customWidth="1"/>
    <col min="12295" max="12296" width="8.875" style="1655"/>
    <col min="12297" max="12297" width="9.5" style="1655" customWidth="1"/>
    <col min="12298" max="12298" width="24.625" style="1655" bestFit="1" customWidth="1"/>
    <col min="12299" max="12299" width="17.375" style="1655" customWidth="1"/>
    <col min="12300" max="12547" width="8.875" style="1655"/>
    <col min="12548" max="12548" width="18.625" style="1655" customWidth="1"/>
    <col min="12549" max="12549" width="8.875" style="1655"/>
    <col min="12550" max="12550" width="21.5" style="1655" bestFit="1" customWidth="1"/>
    <col min="12551" max="12552" width="8.875" style="1655"/>
    <col min="12553" max="12553" width="9.5" style="1655" customWidth="1"/>
    <col min="12554" max="12554" width="24.625" style="1655" bestFit="1" customWidth="1"/>
    <col min="12555" max="12555" width="17.375" style="1655" customWidth="1"/>
    <col min="12556" max="12803" width="8.875" style="1655"/>
    <col min="12804" max="12804" width="18.625" style="1655" customWidth="1"/>
    <col min="12805" max="12805" width="8.875" style="1655"/>
    <col min="12806" max="12806" width="21.5" style="1655" bestFit="1" customWidth="1"/>
    <col min="12807" max="12808" width="8.875" style="1655"/>
    <col min="12809" max="12809" width="9.5" style="1655" customWidth="1"/>
    <col min="12810" max="12810" width="24.625" style="1655" bestFit="1" customWidth="1"/>
    <col min="12811" max="12811" width="17.375" style="1655" customWidth="1"/>
    <col min="12812" max="13059" width="8.875" style="1655"/>
    <col min="13060" max="13060" width="18.625" style="1655" customWidth="1"/>
    <col min="13061" max="13061" width="8.875" style="1655"/>
    <col min="13062" max="13062" width="21.5" style="1655" bestFit="1" customWidth="1"/>
    <col min="13063" max="13064" width="8.875" style="1655"/>
    <col min="13065" max="13065" width="9.5" style="1655" customWidth="1"/>
    <col min="13066" max="13066" width="24.625" style="1655" bestFit="1" customWidth="1"/>
    <col min="13067" max="13067" width="17.375" style="1655" customWidth="1"/>
    <col min="13068" max="13315" width="8.875" style="1655"/>
    <col min="13316" max="13316" width="18.625" style="1655" customWidth="1"/>
    <col min="13317" max="13317" width="8.875" style="1655"/>
    <col min="13318" max="13318" width="21.5" style="1655" bestFit="1" customWidth="1"/>
    <col min="13319" max="13320" width="8.875" style="1655"/>
    <col min="13321" max="13321" width="9.5" style="1655" customWidth="1"/>
    <col min="13322" max="13322" width="24.625" style="1655" bestFit="1" customWidth="1"/>
    <col min="13323" max="13323" width="17.375" style="1655" customWidth="1"/>
    <col min="13324" max="13571" width="8.875" style="1655"/>
    <col min="13572" max="13572" width="18.625" style="1655" customWidth="1"/>
    <col min="13573" max="13573" width="8.875" style="1655"/>
    <col min="13574" max="13574" width="21.5" style="1655" bestFit="1" customWidth="1"/>
    <col min="13575" max="13576" width="8.875" style="1655"/>
    <col min="13577" max="13577" width="9.5" style="1655" customWidth="1"/>
    <col min="13578" max="13578" width="24.625" style="1655" bestFit="1" customWidth="1"/>
    <col min="13579" max="13579" width="17.375" style="1655" customWidth="1"/>
    <col min="13580" max="13827" width="8.875" style="1655"/>
    <col min="13828" max="13828" width="18.625" style="1655" customWidth="1"/>
    <col min="13829" max="13829" width="8.875" style="1655"/>
    <col min="13830" max="13830" width="21.5" style="1655" bestFit="1" customWidth="1"/>
    <col min="13831" max="13832" width="8.875" style="1655"/>
    <col min="13833" max="13833" width="9.5" style="1655" customWidth="1"/>
    <col min="13834" max="13834" width="24.625" style="1655" bestFit="1" customWidth="1"/>
    <col min="13835" max="13835" width="17.375" style="1655" customWidth="1"/>
    <col min="13836" max="14083" width="8.875" style="1655"/>
    <col min="14084" max="14084" width="18.625" style="1655" customWidth="1"/>
    <col min="14085" max="14085" width="8.875" style="1655"/>
    <col min="14086" max="14086" width="21.5" style="1655" bestFit="1" customWidth="1"/>
    <col min="14087" max="14088" width="8.875" style="1655"/>
    <col min="14089" max="14089" width="9.5" style="1655" customWidth="1"/>
    <col min="14090" max="14090" width="24.625" style="1655" bestFit="1" customWidth="1"/>
    <col min="14091" max="14091" width="17.375" style="1655" customWidth="1"/>
    <col min="14092" max="14339" width="8.875" style="1655"/>
    <col min="14340" max="14340" width="18.625" style="1655" customWidth="1"/>
    <col min="14341" max="14341" width="8.875" style="1655"/>
    <col min="14342" max="14342" width="21.5" style="1655" bestFit="1" customWidth="1"/>
    <col min="14343" max="14344" width="8.875" style="1655"/>
    <col min="14345" max="14345" width="9.5" style="1655" customWidth="1"/>
    <col min="14346" max="14346" width="24.625" style="1655" bestFit="1" customWidth="1"/>
    <col min="14347" max="14347" width="17.375" style="1655" customWidth="1"/>
    <col min="14348" max="14595" width="8.875" style="1655"/>
    <col min="14596" max="14596" width="18.625" style="1655" customWidth="1"/>
    <col min="14597" max="14597" width="8.875" style="1655"/>
    <col min="14598" max="14598" width="21.5" style="1655" bestFit="1" customWidth="1"/>
    <col min="14599" max="14600" width="8.875" style="1655"/>
    <col min="14601" max="14601" width="9.5" style="1655" customWidth="1"/>
    <col min="14602" max="14602" width="24.625" style="1655" bestFit="1" customWidth="1"/>
    <col min="14603" max="14603" width="17.375" style="1655" customWidth="1"/>
    <col min="14604" max="14851" width="8.875" style="1655"/>
    <col min="14852" max="14852" width="18.625" style="1655" customWidth="1"/>
    <col min="14853" max="14853" width="8.875" style="1655"/>
    <col min="14854" max="14854" width="21.5" style="1655" bestFit="1" customWidth="1"/>
    <col min="14855" max="14856" width="8.875" style="1655"/>
    <col min="14857" max="14857" width="9.5" style="1655" customWidth="1"/>
    <col min="14858" max="14858" width="24.625" style="1655" bestFit="1" customWidth="1"/>
    <col min="14859" max="14859" width="17.375" style="1655" customWidth="1"/>
    <col min="14860" max="15107" width="8.875" style="1655"/>
    <col min="15108" max="15108" width="18.625" style="1655" customWidth="1"/>
    <col min="15109" max="15109" width="8.875" style="1655"/>
    <col min="15110" max="15110" width="21.5" style="1655" bestFit="1" customWidth="1"/>
    <col min="15111" max="15112" width="8.875" style="1655"/>
    <col min="15113" max="15113" width="9.5" style="1655" customWidth="1"/>
    <col min="15114" max="15114" width="24.625" style="1655" bestFit="1" customWidth="1"/>
    <col min="15115" max="15115" width="17.375" style="1655" customWidth="1"/>
    <col min="15116" max="15363" width="8.875" style="1655"/>
    <col min="15364" max="15364" width="18.625" style="1655" customWidth="1"/>
    <col min="15365" max="15365" width="8.875" style="1655"/>
    <col min="15366" max="15366" width="21.5" style="1655" bestFit="1" customWidth="1"/>
    <col min="15367" max="15368" width="8.875" style="1655"/>
    <col min="15369" max="15369" width="9.5" style="1655" customWidth="1"/>
    <col min="15370" max="15370" width="24.625" style="1655" bestFit="1" customWidth="1"/>
    <col min="15371" max="15371" width="17.375" style="1655" customWidth="1"/>
    <col min="15372" max="15619" width="8.875" style="1655"/>
    <col min="15620" max="15620" width="18.625" style="1655" customWidth="1"/>
    <col min="15621" max="15621" width="8.875" style="1655"/>
    <col min="15622" max="15622" width="21.5" style="1655" bestFit="1" customWidth="1"/>
    <col min="15623" max="15624" width="8.875" style="1655"/>
    <col min="15625" max="15625" width="9.5" style="1655" customWidth="1"/>
    <col min="15626" max="15626" width="24.625" style="1655" bestFit="1" customWidth="1"/>
    <col min="15627" max="15627" width="17.375" style="1655" customWidth="1"/>
    <col min="15628" max="15875" width="8.875" style="1655"/>
    <col min="15876" max="15876" width="18.625" style="1655" customWidth="1"/>
    <col min="15877" max="15877" width="8.875" style="1655"/>
    <col min="15878" max="15878" width="21.5" style="1655" bestFit="1" customWidth="1"/>
    <col min="15879" max="15880" width="8.875" style="1655"/>
    <col min="15881" max="15881" width="9.5" style="1655" customWidth="1"/>
    <col min="15882" max="15882" width="24.625" style="1655" bestFit="1" customWidth="1"/>
    <col min="15883" max="15883" width="17.375" style="1655" customWidth="1"/>
    <col min="15884" max="16131" width="8.875" style="1655"/>
    <col min="16132" max="16132" width="18.625" style="1655" customWidth="1"/>
    <col min="16133" max="16133" width="8.875" style="1655"/>
    <col min="16134" max="16134" width="21.5" style="1655" bestFit="1" customWidth="1"/>
    <col min="16135" max="16136" width="8.875" style="1655"/>
    <col min="16137" max="16137" width="9.5" style="1655" customWidth="1"/>
    <col min="16138" max="16138" width="24.625" style="1655" bestFit="1" customWidth="1"/>
    <col min="16139" max="16139" width="17.375" style="1655" customWidth="1"/>
    <col min="16140" max="16384" width="8.875" style="1655"/>
  </cols>
  <sheetData>
    <row r="1" spans="1:11" ht="33">
      <c r="A1" s="1652" t="s">
        <v>4625</v>
      </c>
      <c r="B1" s="1653"/>
      <c r="C1" s="1653"/>
      <c r="D1" s="1653"/>
      <c r="E1" s="1653"/>
      <c r="F1" s="1654"/>
      <c r="G1" s="2763" t="s">
        <v>5422</v>
      </c>
      <c r="H1" s="2763"/>
      <c r="I1" s="2763"/>
      <c r="J1" s="2763"/>
      <c r="K1" s="2763"/>
    </row>
    <row r="2" spans="1:11" ht="22.5" customHeight="1">
      <c r="A2" s="1656" t="s">
        <v>4626</v>
      </c>
      <c r="B2" s="1656"/>
      <c r="C2" s="1656"/>
      <c r="D2" s="1656"/>
      <c r="E2" s="1656"/>
      <c r="F2" s="1656"/>
      <c r="G2" s="2764"/>
      <c r="H2" s="2765" t="s">
        <v>5237</v>
      </c>
      <c r="I2" s="2765"/>
      <c r="J2" s="2767">
        <f>'Invoice(SF米国)'!C2</f>
        <v>7847</v>
      </c>
      <c r="K2" s="1657"/>
    </row>
    <row r="3" spans="1:11" ht="22.5" customHeight="1">
      <c r="A3" s="1656" t="s">
        <v>5421</v>
      </c>
      <c r="B3" s="1656"/>
      <c r="C3" s="1656"/>
      <c r="D3" s="1656"/>
      <c r="E3" s="1656"/>
      <c r="F3" s="1656"/>
      <c r="G3" s="2764"/>
      <c r="H3" s="2766"/>
      <c r="I3" s="2766"/>
      <c r="J3" s="2768"/>
      <c r="K3" s="1657"/>
    </row>
    <row r="4" spans="1:11" ht="18.75">
      <c r="A4" s="1656" t="s">
        <v>5420</v>
      </c>
      <c r="B4" s="1656"/>
      <c r="C4" s="1656"/>
      <c r="D4" s="1656"/>
      <c r="E4" s="1656"/>
      <c r="F4" s="1656"/>
      <c r="G4" s="1654"/>
      <c r="H4" s="1654"/>
      <c r="I4" s="1654"/>
      <c r="J4" s="1654"/>
      <c r="K4" s="1657"/>
    </row>
    <row r="5" spans="1:11" ht="18.75">
      <c r="A5" s="1656" t="s">
        <v>5419</v>
      </c>
      <c r="B5" s="1656"/>
      <c r="C5" s="1656"/>
      <c r="D5" s="1656"/>
      <c r="E5" s="1656"/>
      <c r="F5" s="1656"/>
      <c r="G5" s="1658"/>
      <c r="H5" s="2769"/>
      <c r="I5" s="2769"/>
      <c r="J5" s="1659" t="s">
        <v>5432</v>
      </c>
      <c r="K5" s="1660"/>
    </row>
    <row r="6" spans="1:11" ht="18.75">
      <c r="A6" s="1661"/>
      <c r="B6" s="1661"/>
      <c r="C6" s="1661"/>
      <c r="D6" s="1661"/>
      <c r="E6" s="1661"/>
      <c r="F6" s="1661"/>
      <c r="G6" s="1654"/>
      <c r="H6" s="1654"/>
      <c r="I6" s="1654"/>
      <c r="J6" s="1654"/>
      <c r="K6" s="1657"/>
    </row>
    <row r="7" spans="1:11" ht="18.75">
      <c r="A7" s="1662" t="s">
        <v>5418</v>
      </c>
      <c r="B7" s="1663" t="s">
        <v>11</v>
      </c>
      <c r="C7" s="1656"/>
      <c r="D7" s="1664"/>
      <c r="E7" s="1656"/>
      <c r="F7" s="1665"/>
      <c r="G7" s="1654"/>
      <c r="H7" s="1666" t="s">
        <v>5417</v>
      </c>
      <c r="I7" s="1662"/>
      <c r="J7" s="1666" t="s">
        <v>3835</v>
      </c>
      <c r="K7" s="1657"/>
    </row>
    <row r="8" spans="1:11" ht="18.75">
      <c r="A8" s="1662"/>
      <c r="B8" s="1667" t="s">
        <v>5415</v>
      </c>
      <c r="C8" s="1656"/>
      <c r="D8" s="1656"/>
      <c r="E8" s="1656"/>
      <c r="F8" s="1668"/>
      <c r="G8" s="1662"/>
      <c r="H8" s="1662"/>
      <c r="I8" s="1662"/>
      <c r="J8" s="1662"/>
      <c r="K8" s="1657"/>
    </row>
    <row r="9" spans="1:11" ht="18.75">
      <c r="A9" s="1662"/>
      <c r="B9" s="1669" t="s">
        <v>5413</v>
      </c>
      <c r="C9" s="1656"/>
      <c r="D9" s="1656"/>
      <c r="E9" s="1656"/>
      <c r="F9" s="1668"/>
      <c r="G9" s="1654"/>
      <c r="H9" s="1666" t="s">
        <v>5416</v>
      </c>
      <c r="I9" s="1670"/>
      <c r="J9" s="1671"/>
      <c r="K9" s="1670"/>
    </row>
    <row r="10" spans="1:11" ht="18.75">
      <c r="A10" s="1662"/>
      <c r="B10" s="1667" t="s">
        <v>5412</v>
      </c>
      <c r="C10" s="1656"/>
      <c r="D10" s="1656"/>
      <c r="E10" s="1656"/>
      <c r="F10" s="1668"/>
      <c r="G10" s="1662"/>
      <c r="H10" s="1662"/>
      <c r="I10" s="1670"/>
      <c r="J10" s="1670"/>
      <c r="K10" s="1657"/>
    </row>
    <row r="11" spans="1:11" ht="18.75">
      <c r="A11" s="1662"/>
      <c r="B11" s="1667" t="s">
        <v>5410</v>
      </c>
      <c r="C11" s="1656"/>
      <c r="D11" s="1656"/>
      <c r="E11" s="1656"/>
      <c r="F11" s="1668"/>
      <c r="G11" s="1662"/>
      <c r="H11" s="1662"/>
      <c r="I11" s="1670"/>
      <c r="J11" s="1670"/>
      <c r="K11" s="1657"/>
    </row>
    <row r="12" spans="1:11" ht="18.75">
      <c r="A12" s="1672"/>
      <c r="B12" s="1673" t="s">
        <v>5409</v>
      </c>
      <c r="C12" s="1661"/>
      <c r="D12" s="1661"/>
      <c r="E12" s="1661"/>
      <c r="F12" s="1674"/>
      <c r="G12" s="1662" t="s">
        <v>3828</v>
      </c>
      <c r="H12" s="1654"/>
      <c r="I12" s="1662"/>
      <c r="J12" s="1662"/>
      <c r="K12" s="1657"/>
    </row>
    <row r="13" spans="1:11" ht="18.75">
      <c r="A13" s="1662" t="s">
        <v>3825</v>
      </c>
      <c r="B13" s="1663" t="s">
        <v>11</v>
      </c>
      <c r="C13" s="1656"/>
      <c r="D13" s="1656"/>
      <c r="E13" s="1656"/>
      <c r="F13" s="1675"/>
      <c r="G13" s="1662"/>
      <c r="H13" s="1662"/>
      <c r="I13" s="1662"/>
      <c r="J13" s="1662"/>
      <c r="K13" s="1657"/>
    </row>
    <row r="14" spans="1:11" ht="18.75">
      <c r="A14" s="1654"/>
      <c r="B14" s="1667" t="s">
        <v>5415</v>
      </c>
      <c r="C14" s="1656"/>
      <c r="D14" s="1656"/>
      <c r="E14" s="1656"/>
      <c r="F14" s="1675"/>
      <c r="G14" s="1666" t="s">
        <v>3827</v>
      </c>
      <c r="H14" s="1662"/>
      <c r="I14" s="1654"/>
      <c r="J14" s="1658" t="s">
        <v>5414</v>
      </c>
      <c r="K14" s="1657"/>
    </row>
    <row r="15" spans="1:11" ht="18.75">
      <c r="A15" s="1654"/>
      <c r="B15" s="1669" t="s">
        <v>5413</v>
      </c>
      <c r="C15" s="1656"/>
      <c r="D15" s="1656"/>
      <c r="E15" s="1656"/>
      <c r="F15" s="1675"/>
      <c r="G15" s="1662"/>
      <c r="H15" s="1662"/>
      <c r="I15" s="1662"/>
      <c r="J15" s="1662"/>
      <c r="K15" s="1657"/>
    </row>
    <row r="16" spans="1:11" ht="18.75">
      <c r="A16" s="1654"/>
      <c r="B16" s="1667" t="s">
        <v>5412</v>
      </c>
      <c r="C16" s="1656"/>
      <c r="D16" s="1656"/>
      <c r="E16" s="1656"/>
      <c r="F16" s="1675"/>
      <c r="G16" s="1666" t="s">
        <v>5411</v>
      </c>
      <c r="H16" s="1662"/>
      <c r="I16" s="1662"/>
      <c r="J16" s="1662"/>
      <c r="K16" s="1657"/>
    </row>
    <row r="17" spans="1:11" ht="18.75">
      <c r="A17" s="1654"/>
      <c r="B17" s="1667" t="s">
        <v>5410</v>
      </c>
      <c r="C17" s="1656"/>
      <c r="D17" s="1656"/>
      <c r="E17" s="1656"/>
      <c r="F17" s="1675"/>
      <c r="G17" s="1666"/>
      <c r="H17" s="1662"/>
      <c r="I17" s="1662"/>
      <c r="J17" s="1662"/>
      <c r="K17" s="1657"/>
    </row>
    <row r="18" spans="1:11" ht="18.75">
      <c r="A18" s="1676"/>
      <c r="B18" s="1673" t="s">
        <v>5409</v>
      </c>
      <c r="C18" s="1661"/>
      <c r="D18" s="1661"/>
      <c r="E18" s="1661"/>
      <c r="F18" s="1677"/>
      <c r="G18" s="1672"/>
      <c r="H18" s="1672"/>
      <c r="I18" s="1672"/>
      <c r="J18" s="1672"/>
      <c r="K18" s="1678"/>
    </row>
    <row r="19" spans="1:11" ht="15.75">
      <c r="A19" s="1666" t="s">
        <v>5408</v>
      </c>
      <c r="B19" s="1679"/>
      <c r="C19" s="1680"/>
      <c r="D19" s="1681" t="s">
        <v>3819</v>
      </c>
      <c r="E19" s="1662"/>
      <c r="F19" s="1668"/>
      <c r="G19" s="1666" t="s">
        <v>3821</v>
      </c>
      <c r="H19" s="1662"/>
      <c r="I19" s="1662"/>
      <c r="J19" s="1682"/>
      <c r="K19" s="1683"/>
    </row>
    <row r="20" spans="1:11" ht="18.75">
      <c r="A20" s="1672" t="s">
        <v>5407</v>
      </c>
      <c r="B20" s="1672"/>
      <c r="C20" s="1684"/>
      <c r="D20" s="1685"/>
      <c r="E20" s="1672" t="s">
        <v>5406</v>
      </c>
      <c r="F20" s="1674"/>
      <c r="G20" s="1686"/>
      <c r="H20" s="2752">
        <v>44867</v>
      </c>
      <c r="I20" s="2752"/>
      <c r="J20" s="1687"/>
      <c r="K20" s="1683"/>
    </row>
    <row r="21" spans="1:11" ht="15.75">
      <c r="A21" s="1666" t="s">
        <v>3817</v>
      </c>
      <c r="B21" s="1662"/>
      <c r="C21" s="1680"/>
      <c r="D21" s="1688" t="s">
        <v>3820</v>
      </c>
      <c r="E21" s="1662"/>
      <c r="F21" s="1668"/>
      <c r="G21" s="1666" t="s">
        <v>3822</v>
      </c>
      <c r="H21" s="1662"/>
      <c r="I21" s="1662"/>
      <c r="J21" s="1689"/>
      <c r="K21" s="1690"/>
    </row>
    <row r="22" spans="1:11" ht="16.5" thickBot="1">
      <c r="A22" s="1691" t="s">
        <v>5405</v>
      </c>
      <c r="B22" s="1691"/>
      <c r="C22" s="1692"/>
      <c r="D22" s="1691" t="s">
        <v>5405</v>
      </c>
      <c r="E22" s="1691"/>
      <c r="F22" s="1693"/>
      <c r="G22" s="1691"/>
      <c r="H22" s="1691"/>
      <c r="I22" s="1691"/>
      <c r="J22" s="1694"/>
      <c r="K22" s="1695"/>
    </row>
    <row r="23" spans="1:11" ht="16.5" thickTop="1">
      <c r="A23" s="1662" t="s">
        <v>3811</v>
      </c>
      <c r="B23" s="1658" t="s">
        <v>5404</v>
      </c>
      <c r="C23" s="1658"/>
      <c r="D23" s="1696"/>
      <c r="E23" s="1662" t="s">
        <v>1475</v>
      </c>
      <c r="F23" s="1662"/>
      <c r="G23" s="1662" t="s">
        <v>3847</v>
      </c>
      <c r="H23" s="1662"/>
      <c r="I23" s="1662"/>
      <c r="J23" s="1697"/>
      <c r="K23" s="1698"/>
    </row>
    <row r="24" spans="1:11" ht="15.75">
      <c r="A24" s="1662"/>
      <c r="B24" s="1699" t="s">
        <v>5403</v>
      </c>
      <c r="C24" s="1699"/>
      <c r="D24" s="1688"/>
      <c r="E24" s="1666" t="s">
        <v>5402</v>
      </c>
      <c r="F24" s="1662"/>
      <c r="G24" s="1662"/>
      <c r="H24" s="1662"/>
      <c r="I24" s="1662"/>
      <c r="J24" s="1700"/>
      <c r="K24" s="1698"/>
    </row>
    <row r="25" spans="1:11" ht="15.75">
      <c r="A25" s="1662"/>
      <c r="B25" s="1662"/>
      <c r="C25" s="1700"/>
      <c r="D25" s="1662"/>
      <c r="E25" s="1662"/>
      <c r="F25" s="1662"/>
      <c r="G25" s="1662"/>
      <c r="H25" s="1662"/>
      <c r="I25" s="1662"/>
      <c r="J25" s="1701"/>
      <c r="K25" s="1698"/>
    </row>
    <row r="26" spans="1:11" ht="15.75">
      <c r="A26" s="1662"/>
      <c r="B26" s="1662"/>
      <c r="C26" s="1700"/>
      <c r="D26" s="1662">
        <v>3</v>
      </c>
      <c r="E26" s="1662" t="s">
        <v>5391</v>
      </c>
      <c r="F26" s="1662"/>
      <c r="G26" s="1662"/>
      <c r="H26" s="1662"/>
      <c r="I26" s="1662"/>
      <c r="J26" s="1700"/>
      <c r="K26" s="1698"/>
    </row>
    <row r="27" spans="1:11" ht="15.75">
      <c r="A27" s="1662"/>
      <c r="B27" s="1662"/>
      <c r="C27" s="1701" t="s">
        <v>5401</v>
      </c>
      <c r="D27" s="1702" t="s">
        <v>5400</v>
      </c>
      <c r="E27" s="1702" t="s">
        <v>377</v>
      </c>
      <c r="F27" s="1702" t="s">
        <v>53</v>
      </c>
      <c r="G27" s="1703" t="s">
        <v>1186</v>
      </c>
      <c r="H27" s="1703" t="s">
        <v>1652</v>
      </c>
      <c r="I27" s="1703" t="s">
        <v>1653</v>
      </c>
      <c r="J27" s="1701" t="s">
        <v>5399</v>
      </c>
      <c r="K27" s="1704" t="s">
        <v>5398</v>
      </c>
    </row>
    <row r="28" spans="1:11" ht="15.75">
      <c r="A28" s="1662"/>
      <c r="B28" s="1662"/>
      <c r="C28" s="1700"/>
      <c r="D28" s="1702"/>
      <c r="E28" s="1702"/>
      <c r="F28" s="1705"/>
      <c r="G28" s="1702"/>
      <c r="H28" s="1702"/>
      <c r="I28" s="1702"/>
      <c r="J28" s="1706"/>
      <c r="K28" s="1698"/>
    </row>
    <row r="29" spans="1:11" ht="18.75">
      <c r="A29" s="1707" t="s">
        <v>5397</v>
      </c>
      <c r="B29" s="1708"/>
      <c r="C29" s="1709">
        <v>1</v>
      </c>
      <c r="D29" s="1710" t="s">
        <v>79</v>
      </c>
      <c r="E29" s="1711"/>
      <c r="F29" s="1712"/>
      <c r="G29" s="1713"/>
      <c r="H29" s="1714"/>
      <c r="I29" s="1713"/>
      <c r="J29" s="1715"/>
      <c r="K29" s="1716"/>
    </row>
    <row r="30" spans="1:11" ht="18.75">
      <c r="A30" s="1707"/>
      <c r="B30" s="1708"/>
      <c r="C30" s="1709"/>
      <c r="D30" s="2753" t="s">
        <v>5431</v>
      </c>
      <c r="E30" s="1711">
        <v>152</v>
      </c>
      <c r="F30" s="1712" t="s">
        <v>3355</v>
      </c>
      <c r="G30" s="1717">
        <v>58</v>
      </c>
      <c r="H30" s="1718">
        <v>12</v>
      </c>
      <c r="I30" s="1717">
        <v>696</v>
      </c>
      <c r="J30" s="1719">
        <v>55.5</v>
      </c>
      <c r="K30" s="1719">
        <v>59.5</v>
      </c>
    </row>
    <row r="31" spans="1:11" ht="18.75">
      <c r="A31" s="1707"/>
      <c r="B31" s="1708"/>
      <c r="C31" s="1709"/>
      <c r="D31" s="2753"/>
      <c r="E31" s="1711">
        <v>152</v>
      </c>
      <c r="F31" s="1712" t="s">
        <v>3355</v>
      </c>
      <c r="G31" s="1717">
        <v>67</v>
      </c>
      <c r="H31" s="1718">
        <v>1</v>
      </c>
      <c r="I31" s="1717">
        <v>67</v>
      </c>
      <c r="J31" s="1720"/>
      <c r="K31" s="1721"/>
    </row>
    <row r="32" spans="1:11" ht="18.75">
      <c r="A32" s="1707"/>
      <c r="B32" s="1708"/>
      <c r="C32" s="1709"/>
      <c r="D32" s="2753"/>
      <c r="E32" s="1711">
        <v>152</v>
      </c>
      <c r="F32" s="1712" t="s">
        <v>3355</v>
      </c>
      <c r="G32" s="1717">
        <v>68</v>
      </c>
      <c r="H32" s="1722">
        <v>7</v>
      </c>
      <c r="I32" s="1717">
        <v>476</v>
      </c>
      <c r="J32" s="1719"/>
      <c r="K32" s="1719"/>
    </row>
    <row r="33" spans="1:11" ht="18.75">
      <c r="A33" s="1707"/>
      <c r="B33" s="1708"/>
      <c r="C33" s="1709"/>
      <c r="D33" s="1723"/>
      <c r="E33" s="1711"/>
      <c r="F33" s="1712"/>
      <c r="G33" s="1717"/>
      <c r="H33" s="1722"/>
      <c r="I33" s="1717"/>
      <c r="J33" s="1724"/>
      <c r="K33" s="1721"/>
    </row>
    <row r="34" spans="1:11" ht="18.75">
      <c r="A34" s="1707"/>
      <c r="B34" s="1708"/>
      <c r="C34" s="1709"/>
      <c r="D34" s="1723"/>
      <c r="E34" s="1725" t="s">
        <v>5396</v>
      </c>
      <c r="F34" s="1726"/>
      <c r="G34" s="1717"/>
      <c r="H34" s="1713"/>
      <c r="I34" s="1714"/>
      <c r="J34" s="1719"/>
      <c r="K34" s="1719"/>
    </row>
    <row r="35" spans="1:11" ht="18.75">
      <c r="A35" s="1707"/>
      <c r="B35" s="1708"/>
      <c r="C35" s="1709"/>
      <c r="D35" s="1710"/>
      <c r="E35" s="1725"/>
      <c r="F35" s="1726"/>
      <c r="G35" s="1713"/>
      <c r="H35" s="1713"/>
      <c r="I35" s="1713"/>
      <c r="J35" s="1719"/>
      <c r="K35" s="1719"/>
    </row>
    <row r="36" spans="1:11" ht="18.75">
      <c r="A36" s="1707"/>
      <c r="B36" s="1708"/>
      <c r="C36" s="1709"/>
      <c r="D36" s="1727"/>
      <c r="E36" s="1711"/>
      <c r="F36" s="1708"/>
      <c r="G36" s="1713"/>
      <c r="H36" s="1713"/>
      <c r="I36" s="1714"/>
      <c r="J36" s="1719"/>
      <c r="K36" s="1719"/>
    </row>
    <row r="37" spans="1:11" ht="18.75">
      <c r="A37" s="1728" t="s">
        <v>5394</v>
      </c>
      <c r="B37" s="1708"/>
      <c r="C37" s="1709">
        <v>2</v>
      </c>
      <c r="D37" s="1710" t="s">
        <v>27</v>
      </c>
      <c r="E37" s="1711"/>
      <c r="F37" s="1712"/>
      <c r="G37" s="1713"/>
      <c r="H37" s="1714"/>
      <c r="I37" s="1713"/>
      <c r="J37" s="1719"/>
      <c r="K37" s="1719"/>
    </row>
    <row r="38" spans="1:11" ht="18.75">
      <c r="A38" s="1707"/>
      <c r="B38" s="1708"/>
      <c r="C38" s="1709"/>
      <c r="D38" s="1723" t="s">
        <v>536</v>
      </c>
      <c r="E38" s="1711">
        <v>160</v>
      </c>
      <c r="F38" s="1712" t="s">
        <v>859</v>
      </c>
      <c r="G38" s="1717">
        <v>50</v>
      </c>
      <c r="H38" s="1722">
        <v>2</v>
      </c>
      <c r="I38" s="1729">
        <f>G38*H38</f>
        <v>100</v>
      </c>
      <c r="J38" s="1719">
        <v>38.799999999999997</v>
      </c>
      <c r="K38" s="1719">
        <v>42.8</v>
      </c>
    </row>
    <row r="39" spans="1:11" ht="18.75">
      <c r="A39" s="1707"/>
      <c r="B39" s="1708"/>
      <c r="C39" s="1709"/>
      <c r="D39" s="1723" t="s">
        <v>536</v>
      </c>
      <c r="E39" s="1711">
        <v>160</v>
      </c>
      <c r="F39" s="1712" t="s">
        <v>3358</v>
      </c>
      <c r="G39" s="1717">
        <v>50</v>
      </c>
      <c r="H39" s="1722">
        <v>1</v>
      </c>
      <c r="I39" s="1729">
        <f>G39*H39</f>
        <v>50</v>
      </c>
      <c r="J39" s="1719"/>
      <c r="K39" s="1719"/>
    </row>
    <row r="40" spans="1:11" ht="18.75">
      <c r="A40" s="1707"/>
      <c r="B40" s="1708"/>
      <c r="C40" s="1709"/>
      <c r="D40" s="1710" t="s">
        <v>5393</v>
      </c>
      <c r="E40" s="1711"/>
      <c r="F40" s="1712"/>
      <c r="G40" s="1717"/>
      <c r="H40" s="1722"/>
      <c r="I40" s="1729"/>
      <c r="J40" s="1719"/>
      <c r="K40" s="1719"/>
    </row>
    <row r="41" spans="1:11" ht="18.75">
      <c r="A41" s="1707"/>
      <c r="B41" s="1708"/>
      <c r="C41" s="1709"/>
      <c r="D41" s="1723">
        <v>2440</v>
      </c>
      <c r="E41" s="1711">
        <v>140</v>
      </c>
      <c r="F41" s="1712" t="s">
        <v>3361</v>
      </c>
      <c r="G41" s="1717">
        <v>58</v>
      </c>
      <c r="H41" s="1722">
        <v>2</v>
      </c>
      <c r="I41" s="1729">
        <f t="shared" ref="I41:I46" si="0">G41*H41</f>
        <v>116</v>
      </c>
      <c r="J41" s="1719"/>
      <c r="K41" s="1719"/>
    </row>
    <row r="42" spans="1:11" ht="18.75">
      <c r="A42" s="1707"/>
      <c r="B42" s="1708"/>
      <c r="C42" s="1709"/>
      <c r="D42" s="1723">
        <v>2440</v>
      </c>
      <c r="E42" s="1711">
        <v>140</v>
      </c>
      <c r="F42" s="1712" t="s">
        <v>3363</v>
      </c>
      <c r="G42" s="1717">
        <v>58</v>
      </c>
      <c r="H42" s="1722">
        <v>1</v>
      </c>
      <c r="I42" s="1729">
        <f t="shared" si="0"/>
        <v>58</v>
      </c>
      <c r="J42" s="1719"/>
      <c r="K42" s="1719"/>
    </row>
    <row r="43" spans="1:11" ht="18.75">
      <c r="A43" s="1707"/>
      <c r="B43" s="1708"/>
      <c r="C43" s="1709"/>
      <c r="D43" s="1723">
        <v>2440</v>
      </c>
      <c r="E43" s="1711">
        <v>140</v>
      </c>
      <c r="F43" s="1712" t="s">
        <v>1547</v>
      </c>
      <c r="G43" s="1717">
        <v>58</v>
      </c>
      <c r="H43" s="1722">
        <v>2</v>
      </c>
      <c r="I43" s="1729">
        <f t="shared" si="0"/>
        <v>116</v>
      </c>
      <c r="J43" s="1719"/>
      <c r="K43" s="1719"/>
    </row>
    <row r="44" spans="1:11" ht="18.75">
      <c r="A44" s="1707"/>
      <c r="B44" s="1708"/>
      <c r="C44" s="1709"/>
      <c r="D44" s="1723">
        <v>2440</v>
      </c>
      <c r="E44" s="1711">
        <v>140</v>
      </c>
      <c r="F44" s="1712" t="s">
        <v>2010</v>
      </c>
      <c r="G44" s="1717">
        <v>58</v>
      </c>
      <c r="H44" s="1722">
        <v>5</v>
      </c>
      <c r="I44" s="1729">
        <f t="shared" si="0"/>
        <v>290</v>
      </c>
      <c r="J44" s="1719"/>
      <c r="K44" s="1719"/>
    </row>
    <row r="45" spans="1:11" ht="18.75">
      <c r="A45" s="1707"/>
      <c r="B45" s="1708"/>
      <c r="C45" s="1709"/>
      <c r="D45" s="1723">
        <v>2440</v>
      </c>
      <c r="E45" s="1711">
        <v>140</v>
      </c>
      <c r="F45" s="1712" t="s">
        <v>3367</v>
      </c>
      <c r="G45" s="1717">
        <v>58</v>
      </c>
      <c r="H45" s="1722">
        <v>1</v>
      </c>
      <c r="I45" s="1729">
        <f t="shared" si="0"/>
        <v>58</v>
      </c>
      <c r="J45" s="1719"/>
      <c r="K45" s="1719"/>
    </row>
    <row r="46" spans="1:11" ht="18.75">
      <c r="A46" s="1707"/>
      <c r="B46" s="1708"/>
      <c r="C46" s="1709"/>
      <c r="D46" s="1723">
        <v>2440</v>
      </c>
      <c r="E46" s="1711">
        <v>140</v>
      </c>
      <c r="F46" s="1712" t="s">
        <v>3374</v>
      </c>
      <c r="G46" s="1717">
        <v>58</v>
      </c>
      <c r="H46" s="1722">
        <v>1</v>
      </c>
      <c r="I46" s="1729">
        <f t="shared" si="0"/>
        <v>58</v>
      </c>
      <c r="J46" s="1719"/>
      <c r="K46" s="1719"/>
    </row>
    <row r="47" spans="1:11" ht="18.75">
      <c r="A47" s="1707"/>
      <c r="B47" s="1708"/>
      <c r="C47" s="1709"/>
      <c r="D47" s="1723"/>
      <c r="E47" s="1725"/>
      <c r="F47" s="1726"/>
      <c r="G47" s="1717"/>
      <c r="H47" s="1713"/>
      <c r="I47" s="1714"/>
      <c r="J47" s="1719"/>
      <c r="K47" s="1719"/>
    </row>
    <row r="48" spans="1:11" ht="18.75">
      <c r="A48" s="1707"/>
      <c r="B48" s="1708"/>
      <c r="C48" s="1709"/>
      <c r="D48" s="1723"/>
      <c r="E48" s="1725" t="s">
        <v>5395</v>
      </c>
      <c r="F48" s="1712"/>
      <c r="G48" s="1717"/>
      <c r="H48" s="1713"/>
      <c r="I48" s="1714"/>
      <c r="J48" s="1720"/>
      <c r="K48" s="1721"/>
    </row>
    <row r="49" spans="1:11" ht="18.75">
      <c r="A49" s="1707"/>
      <c r="B49" s="1708"/>
      <c r="C49" s="1709"/>
      <c r="D49" s="1727"/>
      <c r="E49" s="1711"/>
      <c r="F49" s="1708"/>
      <c r="G49" s="1713"/>
      <c r="H49" s="1713"/>
      <c r="I49" s="1714"/>
      <c r="J49" s="1719"/>
      <c r="K49" s="1719"/>
    </row>
    <row r="50" spans="1:11" ht="18.75">
      <c r="A50" s="1728" t="s">
        <v>5394</v>
      </c>
      <c r="B50" s="1708"/>
      <c r="C50" s="1709">
        <v>3</v>
      </c>
      <c r="D50" s="1710" t="s">
        <v>5393</v>
      </c>
      <c r="E50" s="1711"/>
      <c r="F50" s="1712"/>
      <c r="G50" s="1713"/>
      <c r="H50" s="1713"/>
      <c r="I50" s="1713"/>
      <c r="J50" s="1724"/>
      <c r="K50" s="1721"/>
    </row>
    <row r="51" spans="1:11" ht="18.75">
      <c r="A51" s="1707"/>
      <c r="B51" s="1708"/>
      <c r="C51" s="1709"/>
      <c r="D51" s="1723">
        <v>2440</v>
      </c>
      <c r="E51" s="1711">
        <v>140</v>
      </c>
      <c r="F51" s="1726" t="s">
        <v>3365</v>
      </c>
      <c r="G51" s="1717">
        <v>58</v>
      </c>
      <c r="H51" s="1730">
        <v>2</v>
      </c>
      <c r="I51" s="1729">
        <v>174</v>
      </c>
      <c r="J51" s="1719">
        <v>38</v>
      </c>
      <c r="K51" s="1719">
        <v>41</v>
      </c>
    </row>
    <row r="52" spans="1:11" ht="18.75">
      <c r="A52" s="1707"/>
      <c r="B52" s="1708"/>
      <c r="C52" s="1709"/>
      <c r="D52" s="1723">
        <v>2440</v>
      </c>
      <c r="E52" s="1711">
        <v>140</v>
      </c>
      <c r="F52" s="1726" t="s">
        <v>3368</v>
      </c>
      <c r="G52" s="1713">
        <v>58</v>
      </c>
      <c r="H52" s="1730">
        <v>1</v>
      </c>
      <c r="I52" s="1729">
        <v>232</v>
      </c>
      <c r="J52" s="1719"/>
      <c r="K52" s="1719"/>
    </row>
    <row r="53" spans="1:11" ht="18.75">
      <c r="A53" s="1707"/>
      <c r="B53" s="1708"/>
      <c r="C53" s="1709"/>
      <c r="D53" s="1723">
        <v>2440</v>
      </c>
      <c r="E53" s="1711">
        <v>140</v>
      </c>
      <c r="F53" s="1712" t="s">
        <v>3370</v>
      </c>
      <c r="G53" s="1713">
        <v>58</v>
      </c>
      <c r="H53" s="1730">
        <v>2</v>
      </c>
      <c r="I53" s="1729">
        <v>290</v>
      </c>
      <c r="J53" s="1719"/>
      <c r="K53" s="1719"/>
    </row>
    <row r="54" spans="1:11" ht="18.75">
      <c r="A54" s="1707"/>
      <c r="B54" s="1708"/>
      <c r="C54" s="1709"/>
      <c r="D54" s="1723">
        <v>2440</v>
      </c>
      <c r="E54" s="1711">
        <v>140</v>
      </c>
      <c r="F54" s="1712" t="s">
        <v>3372</v>
      </c>
      <c r="G54" s="1713">
        <v>58</v>
      </c>
      <c r="H54" s="1730">
        <v>5</v>
      </c>
      <c r="I54" s="1729">
        <v>174</v>
      </c>
      <c r="J54" s="1724"/>
      <c r="K54" s="1721"/>
    </row>
    <row r="55" spans="1:11" ht="18.75">
      <c r="A55" s="1707"/>
      <c r="B55" s="1708"/>
      <c r="C55" s="1709"/>
      <c r="D55" s="1723"/>
      <c r="E55" s="1725"/>
      <c r="F55" s="1726"/>
      <c r="G55" s="1717"/>
      <c r="H55" s="1713"/>
      <c r="I55" s="1729"/>
      <c r="J55" s="1719"/>
      <c r="K55" s="1719"/>
    </row>
    <row r="56" spans="1:11" ht="18.75">
      <c r="A56" s="1707"/>
      <c r="B56" s="1708"/>
      <c r="C56" s="1709"/>
      <c r="D56" s="1710"/>
      <c r="E56" s="1725" t="s">
        <v>5392</v>
      </c>
      <c r="F56" s="1726"/>
      <c r="G56" s="1713"/>
      <c r="H56" s="1713"/>
      <c r="I56" s="1729"/>
      <c r="J56" s="1724"/>
      <c r="K56" s="1721"/>
    </row>
    <row r="57" spans="1:11" ht="18.75">
      <c r="A57" s="1707"/>
      <c r="B57" s="1708"/>
      <c r="C57" s="1709"/>
      <c r="D57" s="1727"/>
      <c r="E57" s="1711"/>
      <c r="F57" s="1712"/>
      <c r="G57" s="1713"/>
      <c r="H57" s="1713"/>
      <c r="I57" s="1713"/>
      <c r="J57" s="1715"/>
      <c r="K57" s="1716"/>
    </row>
    <row r="58" spans="1:11" ht="18.75">
      <c r="A58" s="1707"/>
      <c r="B58" s="1708"/>
      <c r="C58" s="1709"/>
      <c r="D58" s="1723"/>
      <c r="E58" s="1725"/>
      <c r="F58" s="1726"/>
      <c r="G58" s="1717"/>
      <c r="H58" s="1713"/>
      <c r="I58" s="1714"/>
      <c r="J58" s="1731"/>
      <c r="K58" s="1731"/>
    </row>
    <row r="59" spans="1:11" ht="18.75">
      <c r="A59" s="1707"/>
      <c r="B59" s="1708"/>
      <c r="C59" s="1709"/>
      <c r="D59" s="1723"/>
      <c r="E59" s="1725"/>
      <c r="F59" s="1726"/>
      <c r="G59" s="1717"/>
      <c r="H59" s="1713"/>
      <c r="I59" s="1714"/>
      <c r="J59" s="1731"/>
      <c r="K59" s="1731"/>
    </row>
    <row r="60" spans="1:11" ht="18.75">
      <c r="A60" s="1707"/>
      <c r="B60" s="1708"/>
      <c r="C60" s="1709"/>
      <c r="D60" s="1727"/>
      <c r="E60" s="1711"/>
      <c r="F60" s="1708"/>
      <c r="G60" s="1713"/>
      <c r="H60" s="1713"/>
      <c r="I60" s="1714"/>
      <c r="J60" s="1731"/>
      <c r="K60" s="1731"/>
    </row>
    <row r="61" spans="1:11" ht="18.75">
      <c r="A61" s="1707"/>
      <c r="B61" s="1708"/>
      <c r="C61" s="1709"/>
      <c r="D61" s="1723"/>
      <c r="E61" s="1725"/>
      <c r="F61" s="1726"/>
      <c r="G61" s="1717"/>
      <c r="H61" s="1713"/>
      <c r="I61" s="1714"/>
      <c r="J61" s="1731"/>
      <c r="K61" s="1731"/>
    </row>
    <row r="62" spans="1:11" ht="18.75">
      <c r="A62" s="1707"/>
      <c r="B62" s="1708"/>
      <c r="C62" s="1709"/>
      <c r="D62" s="1723"/>
      <c r="E62" s="1725"/>
      <c r="F62" s="1726"/>
      <c r="G62" s="1717"/>
      <c r="H62" s="1713"/>
      <c r="I62" s="1714"/>
      <c r="J62" s="1731"/>
      <c r="K62" s="1731"/>
    </row>
    <row r="63" spans="1:11" ht="18.75">
      <c r="A63" s="1707"/>
      <c r="B63" s="1708"/>
      <c r="C63" s="1709"/>
      <c r="D63" s="1727"/>
      <c r="E63" s="1711"/>
      <c r="F63" s="1708"/>
      <c r="G63" s="1713"/>
      <c r="H63" s="1713"/>
      <c r="I63" s="1714"/>
      <c r="J63" s="1731"/>
      <c r="K63" s="1731"/>
    </row>
    <row r="64" spans="1:11" ht="18.75">
      <c r="A64" s="1707"/>
      <c r="B64" s="1708"/>
      <c r="C64" s="1709"/>
      <c r="D64" s="1727"/>
      <c r="E64" s="1711"/>
      <c r="F64" s="1712"/>
      <c r="G64" s="1713"/>
      <c r="H64" s="1713"/>
      <c r="I64" s="1713"/>
      <c r="J64" s="1715"/>
      <c r="K64" s="1716"/>
    </row>
    <row r="65" spans="1:11" ht="18.75">
      <c r="A65" s="1707"/>
      <c r="B65" s="1708"/>
      <c r="C65" s="1709"/>
      <c r="D65" s="1723"/>
      <c r="E65" s="1725"/>
      <c r="F65" s="1726"/>
      <c r="G65" s="1717"/>
      <c r="H65" s="1713"/>
      <c r="I65" s="1714"/>
      <c r="J65" s="1731"/>
      <c r="K65" s="1731"/>
    </row>
    <row r="66" spans="1:11" ht="18.75">
      <c r="A66" s="1707"/>
      <c r="B66" s="1708"/>
      <c r="C66" s="1709"/>
      <c r="D66" s="1723"/>
      <c r="E66" s="1725"/>
      <c r="F66" s="1726"/>
      <c r="G66" s="1717"/>
      <c r="H66" s="1713"/>
      <c r="I66" s="1714"/>
      <c r="J66" s="1731"/>
      <c r="K66" s="1731"/>
    </row>
    <row r="67" spans="1:11" ht="18.75">
      <c r="A67" s="1707"/>
      <c r="B67" s="1708"/>
      <c r="C67" s="1709"/>
      <c r="D67" s="1727"/>
      <c r="E67" s="1711"/>
      <c r="F67" s="1708"/>
      <c r="G67" s="1713"/>
      <c r="H67" s="1713"/>
      <c r="I67" s="1714"/>
      <c r="J67" s="1731"/>
      <c r="K67" s="1731"/>
    </row>
    <row r="68" spans="1:11" ht="18.75">
      <c r="A68" s="1707"/>
      <c r="B68" s="1708"/>
      <c r="C68" s="1709"/>
      <c r="D68" s="1727"/>
      <c r="E68" s="1711"/>
      <c r="F68" s="1712"/>
      <c r="G68" s="1713"/>
      <c r="H68" s="1713"/>
      <c r="I68" s="1713"/>
      <c r="J68" s="1715"/>
      <c r="K68" s="1716"/>
    </row>
    <row r="69" spans="1:11" ht="18.75">
      <c r="A69" s="1707"/>
      <c r="B69" s="1708"/>
      <c r="C69" s="1709"/>
      <c r="D69" s="1723"/>
      <c r="E69" s="1725"/>
      <c r="F69" s="1726"/>
      <c r="G69" s="1717"/>
      <c r="H69" s="1713"/>
      <c r="I69" s="1714"/>
      <c r="J69" s="1731"/>
      <c r="K69" s="1731"/>
    </row>
    <row r="70" spans="1:11" ht="20.25">
      <c r="A70" s="1732" t="s">
        <v>3814</v>
      </c>
      <c r="B70" s="1732"/>
      <c r="C70" s="1733"/>
      <c r="D70" s="1732">
        <v>3</v>
      </c>
      <c r="E70" s="1732" t="s">
        <v>5391</v>
      </c>
      <c r="F70" s="1732"/>
      <c r="G70" s="1732"/>
      <c r="H70" s="2754">
        <f>SUM(I30:I69)</f>
        <v>2955</v>
      </c>
      <c r="I70" s="2755"/>
      <c r="J70" s="2756">
        <f>SUM(J26:J52)</f>
        <v>132.30000000000001</v>
      </c>
      <c r="K70" s="2756">
        <f>SUM(K27:K52)</f>
        <v>143.30000000000001</v>
      </c>
    </row>
    <row r="71" spans="1:11" ht="20.25">
      <c r="A71" s="1734"/>
      <c r="B71" s="1734"/>
      <c r="C71" s="1735"/>
      <c r="D71" s="1653"/>
      <c r="E71" s="1653"/>
      <c r="F71" s="1653"/>
      <c r="G71" s="1653"/>
      <c r="H71" s="2759" t="s">
        <v>5390</v>
      </c>
      <c r="I71" s="2760"/>
      <c r="J71" s="2757"/>
      <c r="K71" s="2757"/>
    </row>
    <row r="72" spans="1:11" ht="21" thickBot="1">
      <c r="A72" s="1670" t="s">
        <v>5389</v>
      </c>
      <c r="B72" s="1662"/>
      <c r="C72" s="1662"/>
      <c r="D72" s="1734"/>
      <c r="E72" s="1734"/>
      <c r="F72" s="1734"/>
      <c r="G72" s="1734"/>
      <c r="H72" s="2761"/>
      <c r="I72" s="2762"/>
      <c r="J72" s="2758"/>
      <c r="K72" s="2758"/>
    </row>
    <row r="73" spans="1:11" ht="19.5" thickTop="1">
      <c r="A73" s="1736" t="s">
        <v>4631</v>
      </c>
      <c r="B73" s="1662"/>
      <c r="C73" s="1662"/>
      <c r="D73" s="1708"/>
      <c r="E73" s="1737"/>
      <c r="F73" s="1712"/>
      <c r="G73" s="1738"/>
      <c r="H73" s="1738"/>
      <c r="I73" s="1738"/>
      <c r="J73" s="1739"/>
      <c r="K73" s="1740"/>
    </row>
    <row r="74" spans="1:11" ht="18.75">
      <c r="A74" s="1736" t="s">
        <v>5388</v>
      </c>
      <c r="B74" s="1662"/>
      <c r="C74" s="1662"/>
      <c r="D74" s="1708"/>
      <c r="E74" s="1737"/>
      <c r="F74" s="1712"/>
      <c r="G74" s="1738"/>
      <c r="H74" s="1738"/>
      <c r="I74" s="1738"/>
      <c r="J74" s="1739"/>
      <c r="K74" s="1740"/>
    </row>
    <row r="75" spans="1:11" ht="18.75">
      <c r="A75" s="1736" t="s">
        <v>3804</v>
      </c>
      <c r="B75" s="1662"/>
      <c r="C75" s="1662"/>
      <c r="D75" s="1708"/>
      <c r="E75" s="1737"/>
      <c r="F75" s="1712"/>
      <c r="G75" s="1738"/>
      <c r="H75" s="1738"/>
      <c r="I75" s="1738"/>
      <c r="J75" s="1739"/>
      <c r="K75" s="1740"/>
    </row>
    <row r="76" spans="1:11" ht="18.75">
      <c r="A76" s="1736" t="s">
        <v>5387</v>
      </c>
      <c r="B76" s="1662"/>
      <c r="C76" s="1662"/>
      <c r="D76" s="1708"/>
      <c r="E76" s="1737"/>
      <c r="F76" s="1712"/>
      <c r="G76" s="1738"/>
      <c r="H76" s="1738"/>
      <c r="I76" s="1738"/>
      <c r="J76" s="1739"/>
      <c r="K76" s="1740"/>
    </row>
    <row r="77" spans="1:11" ht="18.75">
      <c r="A77" s="1707"/>
      <c r="B77" s="1708"/>
      <c r="C77" s="1741"/>
      <c r="D77" s="1708"/>
      <c r="E77" s="1742"/>
      <c r="F77" s="1712"/>
      <c r="G77" s="1738"/>
      <c r="H77" s="1738"/>
      <c r="I77" s="1738"/>
      <c r="J77" s="1739"/>
      <c r="K77" s="1740"/>
    </row>
    <row r="78" spans="1:11" ht="18.75">
      <c r="A78" s="1707"/>
      <c r="B78" s="1708"/>
      <c r="C78" s="1741"/>
      <c r="D78" s="1708"/>
      <c r="E78" s="1742"/>
      <c r="F78" s="1712"/>
      <c r="G78" s="1738"/>
      <c r="H78" s="1738"/>
      <c r="I78" s="1738"/>
      <c r="J78" s="1743"/>
      <c r="K78" s="1744"/>
    </row>
  </sheetData>
  <mergeCells count="11">
    <mergeCell ref="G1:K1"/>
    <mergeCell ref="G2:G3"/>
    <mergeCell ref="H2:I3"/>
    <mergeCell ref="J2:J3"/>
    <mergeCell ref="H5:I5"/>
    <mergeCell ref="H20:I20"/>
    <mergeCell ref="D30:D32"/>
    <mergeCell ref="H70:I70"/>
    <mergeCell ref="J70:J72"/>
    <mergeCell ref="K70:K72"/>
    <mergeCell ref="H71:I72"/>
  </mergeCells>
  <phoneticPr fontId="2"/>
  <pageMargins left="0.59055118110236227" right="0.19685039370078741" top="0.39370078740157483" bottom="0.2" header="0.39" footer="0.2"/>
  <pageSetup paperSize="9" scale="6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EA5CE-67D1-494F-BCC7-A96AA0F4100F}">
  <sheetPr codeName="Sheet13"/>
  <dimension ref="A1:J51"/>
  <sheetViews>
    <sheetView zoomScaleNormal="100" workbookViewId="0">
      <selection activeCell="A10" sqref="A10:H10"/>
    </sheetView>
  </sheetViews>
  <sheetFormatPr defaultRowHeight="14.25"/>
  <cols>
    <col min="1" max="2" width="8.625" style="1641" customWidth="1"/>
    <col min="3" max="3" width="11.875" style="1641" customWidth="1"/>
    <col min="4" max="4" width="10.625" style="1641" customWidth="1"/>
    <col min="5" max="5" width="8.625" style="1641" customWidth="1"/>
    <col min="6" max="6" width="12.625" style="1641" customWidth="1"/>
    <col min="7" max="8" width="10.625" style="1641" customWidth="1"/>
    <col min="9" max="9" width="15.625" style="1643" customWidth="1"/>
    <col min="10" max="10" width="15.625" style="1642" customWidth="1"/>
    <col min="11" max="256" width="9" style="1641"/>
    <col min="257" max="258" width="8.625" style="1641" customWidth="1"/>
    <col min="259" max="259" width="11.875" style="1641" customWidth="1"/>
    <col min="260" max="260" width="10.625" style="1641" customWidth="1"/>
    <col min="261" max="261" width="8.625" style="1641" customWidth="1"/>
    <col min="262" max="262" width="12.625" style="1641" customWidth="1"/>
    <col min="263" max="264" width="10.625" style="1641" customWidth="1"/>
    <col min="265" max="266" width="15.625" style="1641" customWidth="1"/>
    <col min="267" max="512" width="9" style="1641"/>
    <col min="513" max="514" width="8.625" style="1641" customWidth="1"/>
    <col min="515" max="515" width="11.875" style="1641" customWidth="1"/>
    <col min="516" max="516" width="10.625" style="1641" customWidth="1"/>
    <col min="517" max="517" width="8.625" style="1641" customWidth="1"/>
    <col min="518" max="518" width="12.625" style="1641" customWidth="1"/>
    <col min="519" max="520" width="10.625" style="1641" customWidth="1"/>
    <col min="521" max="522" width="15.625" style="1641" customWidth="1"/>
    <col min="523" max="768" width="9" style="1641"/>
    <col min="769" max="770" width="8.625" style="1641" customWidth="1"/>
    <col min="771" max="771" width="11.875" style="1641" customWidth="1"/>
    <col min="772" max="772" width="10.625" style="1641" customWidth="1"/>
    <col min="773" max="773" width="8.625" style="1641" customWidth="1"/>
    <col min="774" max="774" width="12.625" style="1641" customWidth="1"/>
    <col min="775" max="776" width="10.625" style="1641" customWidth="1"/>
    <col min="777" max="778" width="15.625" style="1641" customWidth="1"/>
    <col min="779" max="1024" width="9" style="1641"/>
    <col min="1025" max="1026" width="8.625" style="1641" customWidth="1"/>
    <col min="1027" max="1027" width="11.875" style="1641" customWidth="1"/>
    <col min="1028" max="1028" width="10.625" style="1641" customWidth="1"/>
    <col min="1029" max="1029" width="8.625" style="1641" customWidth="1"/>
    <col min="1030" max="1030" width="12.625" style="1641" customWidth="1"/>
    <col min="1031" max="1032" width="10.625" style="1641" customWidth="1"/>
    <col min="1033" max="1034" width="15.625" style="1641" customWidth="1"/>
    <col min="1035" max="1280" width="9" style="1641"/>
    <col min="1281" max="1282" width="8.625" style="1641" customWidth="1"/>
    <col min="1283" max="1283" width="11.875" style="1641" customWidth="1"/>
    <col min="1284" max="1284" width="10.625" style="1641" customWidth="1"/>
    <col min="1285" max="1285" width="8.625" style="1641" customWidth="1"/>
    <col min="1286" max="1286" width="12.625" style="1641" customWidth="1"/>
    <col min="1287" max="1288" width="10.625" style="1641" customWidth="1"/>
    <col min="1289" max="1290" width="15.625" style="1641" customWidth="1"/>
    <col min="1291" max="1536" width="9" style="1641"/>
    <col min="1537" max="1538" width="8.625" style="1641" customWidth="1"/>
    <col min="1539" max="1539" width="11.875" style="1641" customWidth="1"/>
    <col min="1540" max="1540" width="10.625" style="1641" customWidth="1"/>
    <col min="1541" max="1541" width="8.625" style="1641" customWidth="1"/>
    <col min="1542" max="1542" width="12.625" style="1641" customWidth="1"/>
    <col min="1543" max="1544" width="10.625" style="1641" customWidth="1"/>
    <col min="1545" max="1546" width="15.625" style="1641" customWidth="1"/>
    <col min="1547" max="1792" width="9" style="1641"/>
    <col min="1793" max="1794" width="8.625" style="1641" customWidth="1"/>
    <col min="1795" max="1795" width="11.875" style="1641" customWidth="1"/>
    <col min="1796" max="1796" width="10.625" style="1641" customWidth="1"/>
    <col min="1797" max="1797" width="8.625" style="1641" customWidth="1"/>
    <col min="1798" max="1798" width="12.625" style="1641" customWidth="1"/>
    <col min="1799" max="1800" width="10.625" style="1641" customWidth="1"/>
    <col min="1801" max="1802" width="15.625" style="1641" customWidth="1"/>
    <col min="1803" max="2048" width="9" style="1641"/>
    <col min="2049" max="2050" width="8.625" style="1641" customWidth="1"/>
    <col min="2051" max="2051" width="11.875" style="1641" customWidth="1"/>
    <col min="2052" max="2052" width="10.625" style="1641" customWidth="1"/>
    <col min="2053" max="2053" width="8.625" style="1641" customWidth="1"/>
    <col min="2054" max="2054" width="12.625" style="1641" customWidth="1"/>
    <col min="2055" max="2056" width="10.625" style="1641" customWidth="1"/>
    <col min="2057" max="2058" width="15.625" style="1641" customWidth="1"/>
    <col min="2059" max="2304" width="9" style="1641"/>
    <col min="2305" max="2306" width="8.625" style="1641" customWidth="1"/>
    <col min="2307" max="2307" width="11.875" style="1641" customWidth="1"/>
    <col min="2308" max="2308" width="10.625" style="1641" customWidth="1"/>
    <col min="2309" max="2309" width="8.625" style="1641" customWidth="1"/>
    <col min="2310" max="2310" width="12.625" style="1641" customWidth="1"/>
    <col min="2311" max="2312" width="10.625" style="1641" customWidth="1"/>
    <col min="2313" max="2314" width="15.625" style="1641" customWidth="1"/>
    <col min="2315" max="2560" width="9" style="1641"/>
    <col min="2561" max="2562" width="8.625" style="1641" customWidth="1"/>
    <col min="2563" max="2563" width="11.875" style="1641" customWidth="1"/>
    <col min="2564" max="2564" width="10.625" style="1641" customWidth="1"/>
    <col min="2565" max="2565" width="8.625" style="1641" customWidth="1"/>
    <col min="2566" max="2566" width="12.625" style="1641" customWidth="1"/>
    <col min="2567" max="2568" width="10.625" style="1641" customWidth="1"/>
    <col min="2569" max="2570" width="15.625" style="1641" customWidth="1"/>
    <col min="2571" max="2816" width="9" style="1641"/>
    <col min="2817" max="2818" width="8.625" style="1641" customWidth="1"/>
    <col min="2819" max="2819" width="11.875" style="1641" customWidth="1"/>
    <col min="2820" max="2820" width="10.625" style="1641" customWidth="1"/>
    <col min="2821" max="2821" width="8.625" style="1641" customWidth="1"/>
    <col min="2822" max="2822" width="12.625" style="1641" customWidth="1"/>
    <col min="2823" max="2824" width="10.625" style="1641" customWidth="1"/>
    <col min="2825" max="2826" width="15.625" style="1641" customWidth="1"/>
    <col min="2827" max="3072" width="9" style="1641"/>
    <col min="3073" max="3074" width="8.625" style="1641" customWidth="1"/>
    <col min="3075" max="3075" width="11.875" style="1641" customWidth="1"/>
    <col min="3076" max="3076" width="10.625" style="1641" customWidth="1"/>
    <col min="3077" max="3077" width="8.625" style="1641" customWidth="1"/>
    <col min="3078" max="3078" width="12.625" style="1641" customWidth="1"/>
    <col min="3079" max="3080" width="10.625" style="1641" customWidth="1"/>
    <col min="3081" max="3082" width="15.625" style="1641" customWidth="1"/>
    <col min="3083" max="3328" width="9" style="1641"/>
    <col min="3329" max="3330" width="8.625" style="1641" customWidth="1"/>
    <col min="3331" max="3331" width="11.875" style="1641" customWidth="1"/>
    <col min="3332" max="3332" width="10.625" style="1641" customWidth="1"/>
    <col min="3333" max="3333" width="8.625" style="1641" customWidth="1"/>
    <col min="3334" max="3334" width="12.625" style="1641" customWidth="1"/>
    <col min="3335" max="3336" width="10.625" style="1641" customWidth="1"/>
    <col min="3337" max="3338" width="15.625" style="1641" customWidth="1"/>
    <col min="3339" max="3584" width="9" style="1641"/>
    <col min="3585" max="3586" width="8.625" style="1641" customWidth="1"/>
    <col min="3587" max="3587" width="11.875" style="1641" customWidth="1"/>
    <col min="3588" max="3588" width="10.625" style="1641" customWidth="1"/>
    <col min="3589" max="3589" width="8.625" style="1641" customWidth="1"/>
    <col min="3590" max="3590" width="12.625" style="1641" customWidth="1"/>
    <col min="3591" max="3592" width="10.625" style="1641" customWidth="1"/>
    <col min="3593" max="3594" width="15.625" style="1641" customWidth="1"/>
    <col min="3595" max="3840" width="9" style="1641"/>
    <col min="3841" max="3842" width="8.625" style="1641" customWidth="1"/>
    <col min="3843" max="3843" width="11.875" style="1641" customWidth="1"/>
    <col min="3844" max="3844" width="10.625" style="1641" customWidth="1"/>
    <col min="3845" max="3845" width="8.625" style="1641" customWidth="1"/>
    <col min="3846" max="3846" width="12.625" style="1641" customWidth="1"/>
    <col min="3847" max="3848" width="10.625" style="1641" customWidth="1"/>
    <col min="3849" max="3850" width="15.625" style="1641" customWidth="1"/>
    <col min="3851" max="4096" width="9" style="1641"/>
    <col min="4097" max="4098" width="8.625" style="1641" customWidth="1"/>
    <col min="4099" max="4099" width="11.875" style="1641" customWidth="1"/>
    <col min="4100" max="4100" width="10.625" style="1641" customWidth="1"/>
    <col min="4101" max="4101" width="8.625" style="1641" customWidth="1"/>
    <col min="4102" max="4102" width="12.625" style="1641" customWidth="1"/>
    <col min="4103" max="4104" width="10.625" style="1641" customWidth="1"/>
    <col min="4105" max="4106" width="15.625" style="1641" customWidth="1"/>
    <col min="4107" max="4352" width="9" style="1641"/>
    <col min="4353" max="4354" width="8.625" style="1641" customWidth="1"/>
    <col min="4355" max="4355" width="11.875" style="1641" customWidth="1"/>
    <col min="4356" max="4356" width="10.625" style="1641" customWidth="1"/>
    <col min="4357" max="4357" width="8.625" style="1641" customWidth="1"/>
    <col min="4358" max="4358" width="12.625" style="1641" customWidth="1"/>
    <col min="4359" max="4360" width="10.625" style="1641" customWidth="1"/>
    <col min="4361" max="4362" width="15.625" style="1641" customWidth="1"/>
    <col min="4363" max="4608" width="9" style="1641"/>
    <col min="4609" max="4610" width="8.625" style="1641" customWidth="1"/>
    <col min="4611" max="4611" width="11.875" style="1641" customWidth="1"/>
    <col min="4612" max="4612" width="10.625" style="1641" customWidth="1"/>
    <col min="4613" max="4613" width="8.625" style="1641" customWidth="1"/>
    <col min="4614" max="4614" width="12.625" style="1641" customWidth="1"/>
    <col min="4615" max="4616" width="10.625" style="1641" customWidth="1"/>
    <col min="4617" max="4618" width="15.625" style="1641" customWidth="1"/>
    <col min="4619" max="4864" width="9" style="1641"/>
    <col min="4865" max="4866" width="8.625" style="1641" customWidth="1"/>
    <col min="4867" max="4867" width="11.875" style="1641" customWidth="1"/>
    <col min="4868" max="4868" width="10.625" style="1641" customWidth="1"/>
    <col min="4869" max="4869" width="8.625" style="1641" customWidth="1"/>
    <col min="4870" max="4870" width="12.625" style="1641" customWidth="1"/>
    <col min="4871" max="4872" width="10.625" style="1641" customWidth="1"/>
    <col min="4873" max="4874" width="15.625" style="1641" customWidth="1"/>
    <col min="4875" max="5120" width="9" style="1641"/>
    <col min="5121" max="5122" width="8.625" style="1641" customWidth="1"/>
    <col min="5123" max="5123" width="11.875" style="1641" customWidth="1"/>
    <col min="5124" max="5124" width="10.625" style="1641" customWidth="1"/>
    <col min="5125" max="5125" width="8.625" style="1641" customWidth="1"/>
    <col min="5126" max="5126" width="12.625" style="1641" customWidth="1"/>
    <col min="5127" max="5128" width="10.625" style="1641" customWidth="1"/>
    <col min="5129" max="5130" width="15.625" style="1641" customWidth="1"/>
    <col min="5131" max="5376" width="9" style="1641"/>
    <col min="5377" max="5378" width="8.625" style="1641" customWidth="1"/>
    <col min="5379" max="5379" width="11.875" style="1641" customWidth="1"/>
    <col min="5380" max="5380" width="10.625" style="1641" customWidth="1"/>
    <col min="5381" max="5381" width="8.625" style="1641" customWidth="1"/>
    <col min="5382" max="5382" width="12.625" style="1641" customWidth="1"/>
    <col min="5383" max="5384" width="10.625" style="1641" customWidth="1"/>
    <col min="5385" max="5386" width="15.625" style="1641" customWidth="1"/>
    <col min="5387" max="5632" width="9" style="1641"/>
    <col min="5633" max="5634" width="8.625" style="1641" customWidth="1"/>
    <col min="5635" max="5635" width="11.875" style="1641" customWidth="1"/>
    <col min="5636" max="5636" width="10.625" style="1641" customWidth="1"/>
    <col min="5637" max="5637" width="8.625" style="1641" customWidth="1"/>
    <col min="5638" max="5638" width="12.625" style="1641" customWidth="1"/>
    <col min="5639" max="5640" width="10.625" style="1641" customWidth="1"/>
    <col min="5641" max="5642" width="15.625" style="1641" customWidth="1"/>
    <col min="5643" max="5888" width="9" style="1641"/>
    <col min="5889" max="5890" width="8.625" style="1641" customWidth="1"/>
    <col min="5891" max="5891" width="11.875" style="1641" customWidth="1"/>
    <col min="5892" max="5892" width="10.625" style="1641" customWidth="1"/>
    <col min="5893" max="5893" width="8.625" style="1641" customWidth="1"/>
    <col min="5894" max="5894" width="12.625" style="1641" customWidth="1"/>
    <col min="5895" max="5896" width="10.625" style="1641" customWidth="1"/>
    <col min="5897" max="5898" width="15.625" style="1641" customWidth="1"/>
    <col min="5899" max="6144" width="9" style="1641"/>
    <col min="6145" max="6146" width="8.625" style="1641" customWidth="1"/>
    <col min="6147" max="6147" width="11.875" style="1641" customWidth="1"/>
    <col min="6148" max="6148" width="10.625" style="1641" customWidth="1"/>
    <col min="6149" max="6149" width="8.625" style="1641" customWidth="1"/>
    <col min="6150" max="6150" width="12.625" style="1641" customWidth="1"/>
    <col min="6151" max="6152" width="10.625" style="1641" customWidth="1"/>
    <col min="6153" max="6154" width="15.625" style="1641" customWidth="1"/>
    <col min="6155" max="6400" width="9" style="1641"/>
    <col min="6401" max="6402" width="8.625" style="1641" customWidth="1"/>
    <col min="6403" max="6403" width="11.875" style="1641" customWidth="1"/>
    <col min="6404" max="6404" width="10.625" style="1641" customWidth="1"/>
    <col min="6405" max="6405" width="8.625" style="1641" customWidth="1"/>
    <col min="6406" max="6406" width="12.625" style="1641" customWidth="1"/>
    <col min="6407" max="6408" width="10.625" style="1641" customWidth="1"/>
    <col min="6409" max="6410" width="15.625" style="1641" customWidth="1"/>
    <col min="6411" max="6656" width="9" style="1641"/>
    <col min="6657" max="6658" width="8.625" style="1641" customWidth="1"/>
    <col min="6659" max="6659" width="11.875" style="1641" customWidth="1"/>
    <col min="6660" max="6660" width="10.625" style="1641" customWidth="1"/>
    <col min="6661" max="6661" width="8.625" style="1641" customWidth="1"/>
    <col min="6662" max="6662" width="12.625" style="1641" customWidth="1"/>
    <col min="6663" max="6664" width="10.625" style="1641" customWidth="1"/>
    <col min="6665" max="6666" width="15.625" style="1641" customWidth="1"/>
    <col min="6667" max="6912" width="9" style="1641"/>
    <col min="6913" max="6914" width="8.625" style="1641" customWidth="1"/>
    <col min="6915" max="6915" width="11.875" style="1641" customWidth="1"/>
    <col min="6916" max="6916" width="10.625" style="1641" customWidth="1"/>
    <col min="6917" max="6917" width="8.625" style="1641" customWidth="1"/>
    <col min="6918" max="6918" width="12.625" style="1641" customWidth="1"/>
    <col min="6919" max="6920" width="10.625" style="1641" customWidth="1"/>
    <col min="6921" max="6922" width="15.625" style="1641" customWidth="1"/>
    <col min="6923" max="7168" width="9" style="1641"/>
    <col min="7169" max="7170" width="8.625" style="1641" customWidth="1"/>
    <col min="7171" max="7171" width="11.875" style="1641" customWidth="1"/>
    <col min="7172" max="7172" width="10.625" style="1641" customWidth="1"/>
    <col min="7173" max="7173" width="8.625" style="1641" customWidth="1"/>
    <col min="7174" max="7174" width="12.625" style="1641" customWidth="1"/>
    <col min="7175" max="7176" width="10.625" style="1641" customWidth="1"/>
    <col min="7177" max="7178" width="15.625" style="1641" customWidth="1"/>
    <col min="7179" max="7424" width="9" style="1641"/>
    <col min="7425" max="7426" width="8.625" style="1641" customWidth="1"/>
    <col min="7427" max="7427" width="11.875" style="1641" customWidth="1"/>
    <col min="7428" max="7428" width="10.625" style="1641" customWidth="1"/>
    <col min="7429" max="7429" width="8.625" style="1641" customWidth="1"/>
    <col min="7430" max="7430" width="12.625" style="1641" customWidth="1"/>
    <col min="7431" max="7432" width="10.625" style="1641" customWidth="1"/>
    <col min="7433" max="7434" width="15.625" style="1641" customWidth="1"/>
    <col min="7435" max="7680" width="9" style="1641"/>
    <col min="7681" max="7682" width="8.625" style="1641" customWidth="1"/>
    <col min="7683" max="7683" width="11.875" style="1641" customWidth="1"/>
    <col min="7684" max="7684" width="10.625" style="1641" customWidth="1"/>
    <col min="7685" max="7685" width="8.625" style="1641" customWidth="1"/>
    <col min="7686" max="7686" width="12.625" style="1641" customWidth="1"/>
    <col min="7687" max="7688" width="10.625" style="1641" customWidth="1"/>
    <col min="7689" max="7690" width="15.625" style="1641" customWidth="1"/>
    <col min="7691" max="7936" width="9" style="1641"/>
    <col min="7937" max="7938" width="8.625" style="1641" customWidth="1"/>
    <col min="7939" max="7939" width="11.875" style="1641" customWidth="1"/>
    <col min="7940" max="7940" width="10.625" style="1641" customWidth="1"/>
    <col min="7941" max="7941" width="8.625" style="1641" customWidth="1"/>
    <col min="7942" max="7942" width="12.625" style="1641" customWidth="1"/>
    <col min="7943" max="7944" width="10.625" style="1641" customWidth="1"/>
    <col min="7945" max="7946" width="15.625" style="1641" customWidth="1"/>
    <col min="7947" max="8192" width="9" style="1641"/>
    <col min="8193" max="8194" width="8.625" style="1641" customWidth="1"/>
    <col min="8195" max="8195" width="11.875" style="1641" customWidth="1"/>
    <col min="8196" max="8196" width="10.625" style="1641" customWidth="1"/>
    <col min="8197" max="8197" width="8.625" style="1641" customWidth="1"/>
    <col min="8198" max="8198" width="12.625" style="1641" customWidth="1"/>
    <col min="8199" max="8200" width="10.625" style="1641" customWidth="1"/>
    <col min="8201" max="8202" width="15.625" style="1641" customWidth="1"/>
    <col min="8203" max="8448" width="9" style="1641"/>
    <col min="8449" max="8450" width="8.625" style="1641" customWidth="1"/>
    <col min="8451" max="8451" width="11.875" style="1641" customWidth="1"/>
    <col min="8452" max="8452" width="10.625" style="1641" customWidth="1"/>
    <col min="8453" max="8453" width="8.625" style="1641" customWidth="1"/>
    <col min="8454" max="8454" width="12.625" style="1641" customWidth="1"/>
    <col min="8455" max="8456" width="10.625" style="1641" customWidth="1"/>
    <col min="8457" max="8458" width="15.625" style="1641" customWidth="1"/>
    <col min="8459" max="8704" width="9" style="1641"/>
    <col min="8705" max="8706" width="8.625" style="1641" customWidth="1"/>
    <col min="8707" max="8707" width="11.875" style="1641" customWidth="1"/>
    <col min="8708" max="8708" width="10.625" style="1641" customWidth="1"/>
    <col min="8709" max="8709" width="8.625" style="1641" customWidth="1"/>
    <col min="8710" max="8710" width="12.625" style="1641" customWidth="1"/>
    <col min="8711" max="8712" width="10.625" style="1641" customWidth="1"/>
    <col min="8713" max="8714" width="15.625" style="1641" customWidth="1"/>
    <col min="8715" max="8960" width="9" style="1641"/>
    <col min="8961" max="8962" width="8.625" style="1641" customWidth="1"/>
    <col min="8963" max="8963" width="11.875" style="1641" customWidth="1"/>
    <col min="8964" max="8964" width="10.625" style="1641" customWidth="1"/>
    <col min="8965" max="8965" width="8.625" style="1641" customWidth="1"/>
    <col min="8966" max="8966" width="12.625" style="1641" customWidth="1"/>
    <col min="8967" max="8968" width="10.625" style="1641" customWidth="1"/>
    <col min="8969" max="8970" width="15.625" style="1641" customWidth="1"/>
    <col min="8971" max="9216" width="9" style="1641"/>
    <col min="9217" max="9218" width="8.625" style="1641" customWidth="1"/>
    <col min="9219" max="9219" width="11.875" style="1641" customWidth="1"/>
    <col min="9220" max="9220" width="10.625" style="1641" customWidth="1"/>
    <col min="9221" max="9221" width="8.625" style="1641" customWidth="1"/>
    <col min="9222" max="9222" width="12.625" style="1641" customWidth="1"/>
    <col min="9223" max="9224" width="10.625" style="1641" customWidth="1"/>
    <col min="9225" max="9226" width="15.625" style="1641" customWidth="1"/>
    <col min="9227" max="9472" width="9" style="1641"/>
    <col min="9473" max="9474" width="8.625" style="1641" customWidth="1"/>
    <col min="9475" max="9475" width="11.875" style="1641" customWidth="1"/>
    <col min="9476" max="9476" width="10.625" style="1641" customWidth="1"/>
    <col min="9477" max="9477" width="8.625" style="1641" customWidth="1"/>
    <col min="9478" max="9478" width="12.625" style="1641" customWidth="1"/>
    <col min="9479" max="9480" width="10.625" style="1641" customWidth="1"/>
    <col min="9481" max="9482" width="15.625" style="1641" customWidth="1"/>
    <col min="9483" max="9728" width="9" style="1641"/>
    <col min="9729" max="9730" width="8.625" style="1641" customWidth="1"/>
    <col min="9731" max="9731" width="11.875" style="1641" customWidth="1"/>
    <col min="9732" max="9732" width="10.625" style="1641" customWidth="1"/>
    <col min="9733" max="9733" width="8.625" style="1641" customWidth="1"/>
    <col min="9734" max="9734" width="12.625" style="1641" customWidth="1"/>
    <col min="9735" max="9736" width="10.625" style="1641" customWidth="1"/>
    <col min="9737" max="9738" width="15.625" style="1641" customWidth="1"/>
    <col min="9739" max="9984" width="9" style="1641"/>
    <col min="9985" max="9986" width="8.625" style="1641" customWidth="1"/>
    <col min="9987" max="9987" width="11.875" style="1641" customWidth="1"/>
    <col min="9988" max="9988" width="10.625" style="1641" customWidth="1"/>
    <col min="9989" max="9989" width="8.625" style="1641" customWidth="1"/>
    <col min="9990" max="9990" width="12.625" style="1641" customWidth="1"/>
    <col min="9991" max="9992" width="10.625" style="1641" customWidth="1"/>
    <col min="9993" max="9994" width="15.625" style="1641" customWidth="1"/>
    <col min="9995" max="10240" width="9" style="1641"/>
    <col min="10241" max="10242" width="8.625" style="1641" customWidth="1"/>
    <col min="10243" max="10243" width="11.875" style="1641" customWidth="1"/>
    <col min="10244" max="10244" width="10.625" style="1641" customWidth="1"/>
    <col min="10245" max="10245" width="8.625" style="1641" customWidth="1"/>
    <col min="10246" max="10246" width="12.625" style="1641" customWidth="1"/>
    <col min="10247" max="10248" width="10.625" style="1641" customWidth="1"/>
    <col min="10249" max="10250" width="15.625" style="1641" customWidth="1"/>
    <col min="10251" max="10496" width="9" style="1641"/>
    <col min="10497" max="10498" width="8.625" style="1641" customWidth="1"/>
    <col min="10499" max="10499" width="11.875" style="1641" customWidth="1"/>
    <col min="10500" max="10500" width="10.625" style="1641" customWidth="1"/>
    <col min="10501" max="10501" width="8.625" style="1641" customWidth="1"/>
    <col min="10502" max="10502" width="12.625" style="1641" customWidth="1"/>
    <col min="10503" max="10504" width="10.625" style="1641" customWidth="1"/>
    <col min="10505" max="10506" width="15.625" style="1641" customWidth="1"/>
    <col min="10507" max="10752" width="9" style="1641"/>
    <col min="10753" max="10754" width="8.625" style="1641" customWidth="1"/>
    <col min="10755" max="10755" width="11.875" style="1641" customWidth="1"/>
    <col min="10756" max="10756" width="10.625" style="1641" customWidth="1"/>
    <col min="10757" max="10757" width="8.625" style="1641" customWidth="1"/>
    <col min="10758" max="10758" width="12.625" style="1641" customWidth="1"/>
    <col min="10759" max="10760" width="10.625" style="1641" customWidth="1"/>
    <col min="10761" max="10762" width="15.625" style="1641" customWidth="1"/>
    <col min="10763" max="11008" width="9" style="1641"/>
    <col min="11009" max="11010" width="8.625" style="1641" customWidth="1"/>
    <col min="11011" max="11011" width="11.875" style="1641" customWidth="1"/>
    <col min="11012" max="11012" width="10.625" style="1641" customWidth="1"/>
    <col min="11013" max="11013" width="8.625" style="1641" customWidth="1"/>
    <col min="11014" max="11014" width="12.625" style="1641" customWidth="1"/>
    <col min="11015" max="11016" width="10.625" style="1641" customWidth="1"/>
    <col min="11017" max="11018" width="15.625" style="1641" customWidth="1"/>
    <col min="11019" max="11264" width="9" style="1641"/>
    <col min="11265" max="11266" width="8.625" style="1641" customWidth="1"/>
    <col min="11267" max="11267" width="11.875" style="1641" customWidth="1"/>
    <col min="11268" max="11268" width="10.625" style="1641" customWidth="1"/>
    <col min="11269" max="11269" width="8.625" style="1641" customWidth="1"/>
    <col min="11270" max="11270" width="12.625" style="1641" customWidth="1"/>
    <col min="11271" max="11272" width="10.625" style="1641" customWidth="1"/>
    <col min="11273" max="11274" width="15.625" style="1641" customWidth="1"/>
    <col min="11275" max="11520" width="9" style="1641"/>
    <col min="11521" max="11522" width="8.625" style="1641" customWidth="1"/>
    <col min="11523" max="11523" width="11.875" style="1641" customWidth="1"/>
    <col min="11524" max="11524" width="10.625" style="1641" customWidth="1"/>
    <col min="11525" max="11525" width="8.625" style="1641" customWidth="1"/>
    <col min="11526" max="11526" width="12.625" style="1641" customWidth="1"/>
    <col min="11527" max="11528" width="10.625" style="1641" customWidth="1"/>
    <col min="11529" max="11530" width="15.625" style="1641" customWidth="1"/>
    <col min="11531" max="11776" width="9" style="1641"/>
    <col min="11777" max="11778" width="8.625" style="1641" customWidth="1"/>
    <col min="11779" max="11779" width="11.875" style="1641" customWidth="1"/>
    <col min="11780" max="11780" width="10.625" style="1641" customWidth="1"/>
    <col min="11781" max="11781" width="8.625" style="1641" customWidth="1"/>
    <col min="11782" max="11782" width="12.625" style="1641" customWidth="1"/>
    <col min="11783" max="11784" width="10.625" style="1641" customWidth="1"/>
    <col min="11785" max="11786" width="15.625" style="1641" customWidth="1"/>
    <col min="11787" max="12032" width="9" style="1641"/>
    <col min="12033" max="12034" width="8.625" style="1641" customWidth="1"/>
    <col min="12035" max="12035" width="11.875" style="1641" customWidth="1"/>
    <col min="12036" max="12036" width="10.625" style="1641" customWidth="1"/>
    <col min="12037" max="12037" width="8.625" style="1641" customWidth="1"/>
    <col min="12038" max="12038" width="12.625" style="1641" customWidth="1"/>
    <col min="12039" max="12040" width="10.625" style="1641" customWidth="1"/>
    <col min="12041" max="12042" width="15.625" style="1641" customWidth="1"/>
    <col min="12043" max="12288" width="9" style="1641"/>
    <col min="12289" max="12290" width="8.625" style="1641" customWidth="1"/>
    <col min="12291" max="12291" width="11.875" style="1641" customWidth="1"/>
    <col min="12292" max="12292" width="10.625" style="1641" customWidth="1"/>
    <col min="12293" max="12293" width="8.625" style="1641" customWidth="1"/>
    <col min="12294" max="12294" width="12.625" style="1641" customWidth="1"/>
    <col min="12295" max="12296" width="10.625" style="1641" customWidth="1"/>
    <col min="12297" max="12298" width="15.625" style="1641" customWidth="1"/>
    <col min="12299" max="12544" width="9" style="1641"/>
    <col min="12545" max="12546" width="8.625" style="1641" customWidth="1"/>
    <col min="12547" max="12547" width="11.875" style="1641" customWidth="1"/>
    <col min="12548" max="12548" width="10.625" style="1641" customWidth="1"/>
    <col min="12549" max="12549" width="8.625" style="1641" customWidth="1"/>
    <col min="12550" max="12550" width="12.625" style="1641" customWidth="1"/>
    <col min="12551" max="12552" width="10.625" style="1641" customWidth="1"/>
    <col min="12553" max="12554" width="15.625" style="1641" customWidth="1"/>
    <col min="12555" max="12800" width="9" style="1641"/>
    <col min="12801" max="12802" width="8.625" style="1641" customWidth="1"/>
    <col min="12803" max="12803" width="11.875" style="1641" customWidth="1"/>
    <col min="12804" max="12804" width="10.625" style="1641" customWidth="1"/>
    <col min="12805" max="12805" width="8.625" style="1641" customWidth="1"/>
    <col min="12806" max="12806" width="12.625" style="1641" customWidth="1"/>
    <col min="12807" max="12808" width="10.625" style="1641" customWidth="1"/>
    <col min="12809" max="12810" width="15.625" style="1641" customWidth="1"/>
    <col min="12811" max="13056" width="9" style="1641"/>
    <col min="13057" max="13058" width="8.625" style="1641" customWidth="1"/>
    <col min="13059" max="13059" width="11.875" style="1641" customWidth="1"/>
    <col min="13060" max="13060" width="10.625" style="1641" customWidth="1"/>
    <col min="13061" max="13061" width="8.625" style="1641" customWidth="1"/>
    <col min="13062" max="13062" width="12.625" style="1641" customWidth="1"/>
    <col min="13063" max="13064" width="10.625" style="1641" customWidth="1"/>
    <col min="13065" max="13066" width="15.625" style="1641" customWidth="1"/>
    <col min="13067" max="13312" width="9" style="1641"/>
    <col min="13313" max="13314" width="8.625" style="1641" customWidth="1"/>
    <col min="13315" max="13315" width="11.875" style="1641" customWidth="1"/>
    <col min="13316" max="13316" width="10.625" style="1641" customWidth="1"/>
    <col min="13317" max="13317" width="8.625" style="1641" customWidth="1"/>
    <col min="13318" max="13318" width="12.625" style="1641" customWidth="1"/>
    <col min="13319" max="13320" width="10.625" style="1641" customWidth="1"/>
    <col min="13321" max="13322" width="15.625" style="1641" customWidth="1"/>
    <col min="13323" max="13568" width="9" style="1641"/>
    <col min="13569" max="13570" width="8.625" style="1641" customWidth="1"/>
    <col min="13571" max="13571" width="11.875" style="1641" customWidth="1"/>
    <col min="13572" max="13572" width="10.625" style="1641" customWidth="1"/>
    <col min="13573" max="13573" width="8.625" style="1641" customWidth="1"/>
    <col min="13574" max="13574" width="12.625" style="1641" customWidth="1"/>
    <col min="13575" max="13576" width="10.625" style="1641" customWidth="1"/>
    <col min="13577" max="13578" width="15.625" style="1641" customWidth="1"/>
    <col min="13579" max="13824" width="9" style="1641"/>
    <col min="13825" max="13826" width="8.625" style="1641" customWidth="1"/>
    <col min="13827" max="13827" width="11.875" style="1641" customWidth="1"/>
    <col min="13828" max="13828" width="10.625" style="1641" customWidth="1"/>
    <col min="13829" max="13829" width="8.625" style="1641" customWidth="1"/>
    <col min="13830" max="13830" width="12.625" style="1641" customWidth="1"/>
    <col min="13831" max="13832" width="10.625" style="1641" customWidth="1"/>
    <col min="13833" max="13834" width="15.625" style="1641" customWidth="1"/>
    <col min="13835" max="14080" width="9" style="1641"/>
    <col min="14081" max="14082" width="8.625" style="1641" customWidth="1"/>
    <col min="14083" max="14083" width="11.875" style="1641" customWidth="1"/>
    <col min="14084" max="14084" width="10.625" style="1641" customWidth="1"/>
    <col min="14085" max="14085" width="8.625" style="1641" customWidth="1"/>
    <col min="14086" max="14086" width="12.625" style="1641" customWidth="1"/>
    <col min="14087" max="14088" width="10.625" style="1641" customWidth="1"/>
    <col min="14089" max="14090" width="15.625" style="1641" customWidth="1"/>
    <col min="14091" max="14336" width="9" style="1641"/>
    <col min="14337" max="14338" width="8.625" style="1641" customWidth="1"/>
    <col min="14339" max="14339" width="11.875" style="1641" customWidth="1"/>
    <col min="14340" max="14340" width="10.625" style="1641" customWidth="1"/>
    <col min="14341" max="14341" width="8.625" style="1641" customWidth="1"/>
    <col min="14342" max="14342" width="12.625" style="1641" customWidth="1"/>
    <col min="14343" max="14344" width="10.625" style="1641" customWidth="1"/>
    <col min="14345" max="14346" width="15.625" style="1641" customWidth="1"/>
    <col min="14347" max="14592" width="9" style="1641"/>
    <col min="14593" max="14594" width="8.625" style="1641" customWidth="1"/>
    <col min="14595" max="14595" width="11.875" style="1641" customWidth="1"/>
    <col min="14596" max="14596" width="10.625" style="1641" customWidth="1"/>
    <col min="14597" max="14597" width="8.625" style="1641" customWidth="1"/>
    <col min="14598" max="14598" width="12.625" style="1641" customWidth="1"/>
    <col min="14599" max="14600" width="10.625" style="1641" customWidth="1"/>
    <col min="14601" max="14602" width="15.625" style="1641" customWidth="1"/>
    <col min="14603" max="14848" width="9" style="1641"/>
    <col min="14849" max="14850" width="8.625" style="1641" customWidth="1"/>
    <col min="14851" max="14851" width="11.875" style="1641" customWidth="1"/>
    <col min="14852" max="14852" width="10.625" style="1641" customWidth="1"/>
    <col min="14853" max="14853" width="8.625" style="1641" customWidth="1"/>
    <col min="14854" max="14854" width="12.625" style="1641" customWidth="1"/>
    <col min="14855" max="14856" width="10.625" style="1641" customWidth="1"/>
    <col min="14857" max="14858" width="15.625" style="1641" customWidth="1"/>
    <col min="14859" max="15104" width="9" style="1641"/>
    <col min="15105" max="15106" width="8.625" style="1641" customWidth="1"/>
    <col min="15107" max="15107" width="11.875" style="1641" customWidth="1"/>
    <col min="15108" max="15108" width="10.625" style="1641" customWidth="1"/>
    <col min="15109" max="15109" width="8.625" style="1641" customWidth="1"/>
    <col min="15110" max="15110" width="12.625" style="1641" customWidth="1"/>
    <col min="15111" max="15112" width="10.625" style="1641" customWidth="1"/>
    <col min="15113" max="15114" width="15.625" style="1641" customWidth="1"/>
    <col min="15115" max="15360" width="9" style="1641"/>
    <col min="15361" max="15362" width="8.625" style="1641" customWidth="1"/>
    <col min="15363" max="15363" width="11.875" style="1641" customWidth="1"/>
    <col min="15364" max="15364" width="10.625" style="1641" customWidth="1"/>
    <col min="15365" max="15365" width="8.625" style="1641" customWidth="1"/>
    <col min="15366" max="15366" width="12.625" style="1641" customWidth="1"/>
    <col min="15367" max="15368" width="10.625" style="1641" customWidth="1"/>
    <col min="15369" max="15370" width="15.625" style="1641" customWidth="1"/>
    <col min="15371" max="15616" width="9" style="1641"/>
    <col min="15617" max="15618" width="8.625" style="1641" customWidth="1"/>
    <col min="15619" max="15619" width="11.875" style="1641" customWidth="1"/>
    <col min="15620" max="15620" width="10.625" style="1641" customWidth="1"/>
    <col min="15621" max="15621" width="8.625" style="1641" customWidth="1"/>
    <col min="15622" max="15622" width="12.625" style="1641" customWidth="1"/>
    <col min="15623" max="15624" width="10.625" style="1641" customWidth="1"/>
    <col min="15625" max="15626" width="15.625" style="1641" customWidth="1"/>
    <col min="15627" max="15872" width="9" style="1641"/>
    <col min="15873" max="15874" width="8.625" style="1641" customWidth="1"/>
    <col min="15875" max="15875" width="11.875" style="1641" customWidth="1"/>
    <col min="15876" max="15876" width="10.625" style="1641" customWidth="1"/>
    <col min="15877" max="15877" width="8.625" style="1641" customWidth="1"/>
    <col min="15878" max="15878" width="12.625" style="1641" customWidth="1"/>
    <col min="15879" max="15880" width="10.625" style="1641" customWidth="1"/>
    <col min="15881" max="15882" width="15.625" style="1641" customWidth="1"/>
    <col min="15883" max="16128" width="9" style="1641"/>
    <col min="16129" max="16130" width="8.625" style="1641" customWidth="1"/>
    <col min="16131" max="16131" width="11.875" style="1641" customWidth="1"/>
    <col min="16132" max="16132" width="10.625" style="1641" customWidth="1"/>
    <col min="16133" max="16133" width="8.625" style="1641" customWidth="1"/>
    <col min="16134" max="16134" width="12.625" style="1641" customWidth="1"/>
    <col min="16135" max="16136" width="10.625" style="1641" customWidth="1"/>
    <col min="16137" max="16138" width="15.625" style="1641" customWidth="1"/>
    <col min="16139" max="16384" width="9" style="1641"/>
  </cols>
  <sheetData>
    <row r="1" spans="1:10" s="1651" customFormat="1" ht="14.25" customHeight="1">
      <c r="A1" s="2770" t="s">
        <v>11</v>
      </c>
      <c r="B1" s="2770"/>
      <c r="C1" s="2770"/>
      <c r="D1" s="2770"/>
      <c r="E1" s="2770"/>
      <c r="F1" s="2770"/>
      <c r="G1" s="2770"/>
      <c r="H1" s="2770"/>
      <c r="I1" s="1643"/>
      <c r="J1" s="1642"/>
    </row>
    <row r="2" spans="1:10" s="1651" customFormat="1" ht="14.25" customHeight="1">
      <c r="A2" s="2770"/>
      <c r="B2" s="2770"/>
      <c r="C2" s="2770"/>
      <c r="D2" s="2770"/>
      <c r="E2" s="2770"/>
      <c r="F2" s="2770"/>
      <c r="G2" s="2770"/>
      <c r="H2" s="2770"/>
      <c r="I2" s="1643"/>
      <c r="J2" s="1642"/>
    </row>
    <row r="3" spans="1:10" s="1651" customFormat="1" ht="14.25" customHeight="1">
      <c r="A3" s="2770"/>
      <c r="B3" s="2770"/>
      <c r="C3" s="2770"/>
      <c r="D3" s="2770"/>
      <c r="E3" s="2770"/>
      <c r="F3" s="2770"/>
      <c r="G3" s="2770"/>
      <c r="H3" s="2770"/>
      <c r="I3" s="1643"/>
      <c r="J3" s="1642"/>
    </row>
    <row r="4" spans="1:10" s="1651" customFormat="1" ht="61.5" customHeight="1">
      <c r="A4" s="1641"/>
      <c r="B4" s="1641"/>
      <c r="C4" s="1641"/>
      <c r="D4" s="1641"/>
      <c r="E4" s="1641"/>
      <c r="F4" s="1641"/>
      <c r="G4" s="1641"/>
      <c r="H4" s="1641"/>
      <c r="I4" s="1643"/>
      <c r="J4" s="1642"/>
    </row>
    <row r="5" spans="1:10" ht="50.25" customHeight="1">
      <c r="A5" s="2770"/>
      <c r="B5" s="2770"/>
      <c r="C5" s="2770"/>
      <c r="D5" s="2770"/>
      <c r="E5" s="2770"/>
      <c r="F5" s="2770"/>
      <c r="G5" s="2770"/>
      <c r="H5" s="2770"/>
    </row>
    <row r="9" spans="1:10" ht="30">
      <c r="B9" s="1644"/>
      <c r="C9" s="2771" t="s">
        <v>5427</v>
      </c>
      <c r="D9" s="2771"/>
      <c r="E9" s="1650" t="s">
        <v>5430</v>
      </c>
      <c r="F9" s="1648"/>
      <c r="G9" s="1648"/>
      <c r="H9" s="1644"/>
    </row>
    <row r="10" spans="1:10" ht="25.5">
      <c r="A10" s="2772"/>
      <c r="B10" s="2772"/>
      <c r="C10" s="2772"/>
      <c r="D10" s="2772"/>
      <c r="E10" s="2772"/>
      <c r="F10" s="2772"/>
      <c r="G10" s="2772"/>
      <c r="H10" s="2772"/>
    </row>
    <row r="11" spans="1:10" s="1643" customFormat="1" ht="69" customHeight="1">
      <c r="A11" s="1641"/>
      <c r="B11" s="1641"/>
      <c r="C11" s="1641"/>
      <c r="D11" s="1641"/>
      <c r="E11" s="1641"/>
      <c r="F11" s="1641"/>
      <c r="G11" s="1641"/>
      <c r="H11" s="1641"/>
      <c r="J11" s="1642"/>
    </row>
    <row r="12" spans="1:10" s="1643" customFormat="1" ht="30">
      <c r="A12" s="1644"/>
      <c r="B12" s="1644"/>
      <c r="D12" s="1646" t="s">
        <v>5425</v>
      </c>
      <c r="E12" s="1645" t="s">
        <v>804</v>
      </c>
      <c r="F12" s="1645"/>
      <c r="G12" s="1644"/>
      <c r="H12" s="1644"/>
      <c r="J12" s="1642"/>
    </row>
    <row r="15" spans="1:10" s="1643" customFormat="1" ht="68.25" customHeight="1">
      <c r="A15" s="2773" t="s">
        <v>5429</v>
      </c>
      <c r="B15" s="2773"/>
      <c r="C15" s="2773"/>
      <c r="D15" s="2773"/>
      <c r="E15" s="2773"/>
      <c r="F15" s="2773"/>
      <c r="G15" s="2773"/>
      <c r="H15" s="2773"/>
      <c r="J15" s="1642"/>
    </row>
    <row r="16" spans="1:10" s="1643" customFormat="1" ht="105.75" customHeight="1">
      <c r="A16" s="2773" t="s">
        <v>5428</v>
      </c>
      <c r="B16" s="2773"/>
      <c r="C16" s="2773"/>
      <c r="D16" s="2773"/>
      <c r="E16" s="2773"/>
      <c r="F16" s="2773"/>
      <c r="G16" s="2773"/>
      <c r="H16" s="2773"/>
      <c r="J16" s="1642"/>
    </row>
    <row r="21" spans="1:10" s="1643" customFormat="1">
      <c r="A21" s="2770"/>
      <c r="B21" s="2770"/>
      <c r="C21" s="2770"/>
      <c r="D21" s="2770"/>
      <c r="E21" s="2770"/>
      <c r="F21" s="2770"/>
      <c r="G21" s="2770"/>
      <c r="H21" s="2770"/>
      <c r="J21" s="1642"/>
    </row>
    <row r="22" spans="1:10" s="1643" customFormat="1">
      <c r="A22" s="2770"/>
      <c r="B22" s="2770"/>
      <c r="C22" s="2770"/>
      <c r="D22" s="2770"/>
      <c r="E22" s="2770"/>
      <c r="F22" s="2770"/>
      <c r="G22" s="2770"/>
      <c r="H22" s="2770"/>
      <c r="J22" s="1642"/>
    </row>
    <row r="23" spans="1:10" s="1643" customFormat="1">
      <c r="A23" s="2770"/>
      <c r="B23" s="2770"/>
      <c r="C23" s="2770"/>
      <c r="D23" s="2770"/>
      <c r="E23" s="2770"/>
      <c r="F23" s="2770"/>
      <c r="G23" s="2770"/>
      <c r="H23" s="2770"/>
      <c r="J23" s="1642"/>
    </row>
    <row r="25" spans="1:10" s="1643" customFormat="1" ht="70.5" customHeight="1">
      <c r="A25" s="2770"/>
      <c r="B25" s="2770"/>
      <c r="C25" s="2770"/>
      <c r="D25" s="2770"/>
      <c r="E25" s="2770"/>
      <c r="F25" s="2770"/>
      <c r="G25" s="2770"/>
      <c r="H25" s="2770"/>
      <c r="J25" s="1642"/>
    </row>
    <row r="29" spans="1:10" s="1643" customFormat="1">
      <c r="A29" s="2770"/>
      <c r="B29" s="2770"/>
      <c r="C29" s="2770"/>
      <c r="D29" s="2770"/>
      <c r="E29" s="2770"/>
      <c r="F29" s="2770"/>
      <c r="G29" s="2770"/>
      <c r="H29" s="2770"/>
      <c r="J29" s="1642"/>
    </row>
    <row r="30" spans="1:10" s="1643" customFormat="1">
      <c r="A30" s="2770"/>
      <c r="B30" s="2770"/>
      <c r="C30" s="2770"/>
      <c r="D30" s="2770"/>
      <c r="E30" s="2770"/>
      <c r="F30" s="2770"/>
      <c r="G30" s="2770"/>
      <c r="H30" s="2770"/>
      <c r="J30" s="1642"/>
    </row>
    <row r="31" spans="1:10" s="1643" customFormat="1">
      <c r="A31" s="2770"/>
      <c r="B31" s="2770"/>
      <c r="C31" s="2770"/>
      <c r="D31" s="2770"/>
      <c r="E31" s="2770"/>
      <c r="F31" s="2770"/>
      <c r="G31" s="2770"/>
      <c r="H31" s="2770"/>
      <c r="J31" s="1642"/>
    </row>
    <row r="32" spans="1:10" s="1643" customFormat="1">
      <c r="A32" s="2770"/>
      <c r="B32" s="2770"/>
      <c r="C32" s="2770"/>
      <c r="D32" s="2770"/>
      <c r="E32" s="2770"/>
      <c r="F32" s="2770"/>
      <c r="G32" s="2770"/>
      <c r="H32" s="2770"/>
      <c r="J32" s="1642"/>
    </row>
    <row r="33" spans="1:10" s="1643" customFormat="1">
      <c r="A33" s="2770" t="s">
        <v>11</v>
      </c>
      <c r="B33" s="2770"/>
      <c r="C33" s="2770"/>
      <c r="D33" s="2770"/>
      <c r="E33" s="2770"/>
      <c r="F33" s="2770"/>
      <c r="G33" s="2770"/>
      <c r="H33" s="2770"/>
      <c r="J33" s="1642"/>
    </row>
    <row r="34" spans="1:10" s="1643" customFormat="1">
      <c r="A34" s="2770"/>
      <c r="B34" s="2770"/>
      <c r="C34" s="2770"/>
      <c r="D34" s="2770"/>
      <c r="E34" s="2770"/>
      <c r="F34" s="2770"/>
      <c r="G34" s="2770"/>
      <c r="H34" s="2770"/>
      <c r="J34" s="1642"/>
    </row>
    <row r="35" spans="1:10" s="1643" customFormat="1">
      <c r="A35" s="2770"/>
      <c r="B35" s="2770"/>
      <c r="C35" s="2770"/>
      <c r="D35" s="2770"/>
      <c r="E35" s="2770"/>
      <c r="F35" s="2770"/>
      <c r="G35" s="2770"/>
      <c r="H35" s="2770"/>
      <c r="J35" s="1642"/>
    </row>
    <row r="44" spans="1:10" s="1643" customFormat="1" ht="30">
      <c r="A44" s="1641"/>
      <c r="B44" s="1644"/>
      <c r="C44" s="1646"/>
      <c r="D44" s="1646" t="s">
        <v>5427</v>
      </c>
      <c r="E44" s="1649" t="s">
        <v>5426</v>
      </c>
      <c r="F44" s="1648"/>
      <c r="G44" s="1648"/>
      <c r="H44" s="1644"/>
      <c r="J44" s="1642"/>
    </row>
    <row r="45" spans="1:10" s="1643" customFormat="1" ht="25.5">
      <c r="A45" s="1647"/>
      <c r="B45" s="1647"/>
      <c r="C45" s="1647"/>
      <c r="D45" s="1647"/>
      <c r="E45" s="1647"/>
      <c r="F45" s="1647"/>
      <c r="G45" s="1647"/>
      <c r="H45" s="1647"/>
      <c r="J45" s="1642"/>
    </row>
    <row r="46" spans="1:10" s="1643" customFormat="1" ht="72.75" customHeight="1">
      <c r="A46" s="1641"/>
      <c r="B46" s="1641"/>
      <c r="C46" s="1641"/>
      <c r="D46" s="1641"/>
      <c r="E46" s="1641"/>
      <c r="F46" s="1641"/>
      <c r="G46" s="1641"/>
      <c r="H46" s="1641"/>
      <c r="J46" s="1642"/>
    </row>
    <row r="47" spans="1:10" s="1643" customFormat="1" ht="30">
      <c r="A47" s="1644"/>
      <c r="B47" s="1644"/>
      <c r="D47" s="1646" t="s">
        <v>5425</v>
      </c>
      <c r="E47" s="1645">
        <v>2440</v>
      </c>
      <c r="F47" s="1645"/>
      <c r="G47" s="1644"/>
      <c r="H47" s="1644"/>
      <c r="J47" s="1642"/>
    </row>
    <row r="48" spans="1:10" s="1643" customFormat="1" ht="48.75" customHeight="1">
      <c r="A48" s="1641"/>
      <c r="B48" s="1641"/>
      <c r="C48" s="1641"/>
      <c r="D48" s="1641"/>
      <c r="E48" s="1641"/>
      <c r="F48" s="1641"/>
      <c r="G48" s="1641"/>
      <c r="H48" s="1641"/>
      <c r="J48" s="1642"/>
    </row>
    <row r="49" spans="1:10" s="1643" customFormat="1" ht="48.75" customHeight="1">
      <c r="A49" s="1641"/>
      <c r="B49" s="1641"/>
      <c r="C49" s="1641"/>
      <c r="D49" s="1641"/>
      <c r="E49" s="1641"/>
      <c r="F49" s="1641"/>
      <c r="G49" s="1641"/>
      <c r="H49" s="1641"/>
      <c r="J49" s="1642"/>
    </row>
    <row r="50" spans="1:10" s="1643" customFormat="1" ht="60" customHeight="1">
      <c r="A50" s="2773" t="s">
        <v>5424</v>
      </c>
      <c r="B50" s="2773"/>
      <c r="C50" s="2773"/>
      <c r="D50" s="2773"/>
      <c r="E50" s="2773"/>
      <c r="F50" s="2773"/>
      <c r="G50" s="2773"/>
      <c r="H50" s="2773"/>
      <c r="J50" s="1642"/>
    </row>
    <row r="51" spans="1:10" s="1643" customFormat="1" ht="125.25" customHeight="1">
      <c r="A51" s="2773" t="s">
        <v>5423</v>
      </c>
      <c r="B51" s="2773"/>
      <c r="C51" s="2773"/>
      <c r="D51" s="2773"/>
      <c r="E51" s="2773"/>
      <c r="F51" s="2773"/>
      <c r="G51" s="2773"/>
      <c r="H51" s="2773"/>
      <c r="J51" s="1642"/>
    </row>
  </sheetData>
  <mergeCells count="12">
    <mergeCell ref="A50:H50"/>
    <mergeCell ref="A51:H51"/>
    <mergeCell ref="A16:H16"/>
    <mergeCell ref="A21:H23"/>
    <mergeCell ref="A25:H25"/>
    <mergeCell ref="A29:H32"/>
    <mergeCell ref="A33:H35"/>
    <mergeCell ref="A1:H3"/>
    <mergeCell ref="A5:H5"/>
    <mergeCell ref="C9:D9"/>
    <mergeCell ref="A10:H10"/>
    <mergeCell ref="A15:H15"/>
  </mergeCells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7AF4-D2D4-48CC-A4D4-3F00B47A0761}">
  <sheetPr codeName="Sheet7"/>
  <dimension ref="A13:IQ12239"/>
  <sheetViews>
    <sheetView topLeftCell="D12206" zoomScaleNormal="100" workbookViewId="0">
      <selection activeCell="A12237" sqref="A12237:E12239"/>
    </sheetView>
  </sheetViews>
  <sheetFormatPr defaultRowHeight="13.5"/>
  <cols>
    <col min="1" max="1" width="34.375" customWidth="1"/>
    <col min="2" max="2" width="33.375" customWidth="1"/>
    <col min="3" max="3" width="46.875" customWidth="1"/>
    <col min="4" max="4" width="38.25" customWidth="1"/>
    <col min="5" max="5" width="33.25" customWidth="1"/>
    <col min="6" max="6" width="20.75" customWidth="1"/>
    <col min="7" max="7" width="26" customWidth="1"/>
    <col min="8" max="8" width="30.75" customWidth="1"/>
    <col min="9" max="9" width="42.5" customWidth="1"/>
    <col min="10" max="10" width="12.375" customWidth="1"/>
    <col min="11" max="11" width="36.625" customWidth="1"/>
    <col min="12" max="12" width="26.875" customWidth="1"/>
    <col min="13" max="13" width="30" customWidth="1"/>
    <col min="14" max="14" width="13.75" bestFit="1" customWidth="1"/>
    <col min="15" max="15" width="9.5" bestFit="1" customWidth="1"/>
    <col min="257" max="257" width="19.75" customWidth="1"/>
    <col min="258" max="258" width="21.5" customWidth="1"/>
    <col min="259" max="259" width="29.625" customWidth="1"/>
    <col min="260" max="260" width="16.75" customWidth="1"/>
    <col min="261" max="261" width="21.375" customWidth="1"/>
    <col min="262" max="262" width="16.75" customWidth="1"/>
    <col min="263" max="263" width="20.625" customWidth="1"/>
    <col min="264" max="264" width="27.125" customWidth="1"/>
    <col min="265" max="265" width="49.625" customWidth="1"/>
    <col min="266" max="266" width="20.75" customWidth="1"/>
    <col min="267" max="267" width="36.625" customWidth="1"/>
    <col min="268" max="268" width="9.125" bestFit="1" customWidth="1"/>
    <col min="269" max="269" width="15.875" bestFit="1" customWidth="1"/>
    <col min="270" max="270" width="9.125" bestFit="1" customWidth="1"/>
    <col min="513" max="513" width="19.75" customWidth="1"/>
    <col min="514" max="514" width="21.5" customWidth="1"/>
    <col min="515" max="515" width="29.625" customWidth="1"/>
    <col min="516" max="516" width="16.75" customWidth="1"/>
    <col min="517" max="517" width="21.375" customWidth="1"/>
    <col min="518" max="518" width="16.75" customWidth="1"/>
    <col min="519" max="519" width="20.625" customWidth="1"/>
    <col min="520" max="520" width="27.125" customWidth="1"/>
    <col min="521" max="521" width="49.625" customWidth="1"/>
    <col min="522" max="522" width="20.75" customWidth="1"/>
    <col min="523" max="523" width="36.625" customWidth="1"/>
    <col min="524" max="524" width="9.125" bestFit="1" customWidth="1"/>
    <col min="525" max="525" width="15.875" bestFit="1" customWidth="1"/>
    <col min="526" max="526" width="9.125" bestFit="1" customWidth="1"/>
    <col min="769" max="769" width="19.75" customWidth="1"/>
    <col min="770" max="770" width="21.5" customWidth="1"/>
    <col min="771" max="771" width="29.625" customWidth="1"/>
    <col min="772" max="772" width="16.75" customWidth="1"/>
    <col min="773" max="773" width="21.375" customWidth="1"/>
    <col min="774" max="774" width="16.75" customWidth="1"/>
    <col min="775" max="775" width="20.625" customWidth="1"/>
    <col min="776" max="776" width="27.125" customWidth="1"/>
    <col min="777" max="777" width="49.625" customWidth="1"/>
    <col min="778" max="778" width="20.75" customWidth="1"/>
    <col min="779" max="779" width="36.625" customWidth="1"/>
    <col min="780" max="780" width="9.125" bestFit="1" customWidth="1"/>
    <col min="781" max="781" width="15.875" bestFit="1" customWidth="1"/>
    <col min="782" max="782" width="9.125" bestFit="1" customWidth="1"/>
    <col min="1025" max="1025" width="19.75" customWidth="1"/>
    <col min="1026" max="1026" width="21.5" customWidth="1"/>
    <col min="1027" max="1027" width="29.625" customWidth="1"/>
    <col min="1028" max="1028" width="16.75" customWidth="1"/>
    <col min="1029" max="1029" width="21.375" customWidth="1"/>
    <col min="1030" max="1030" width="16.75" customWidth="1"/>
    <col min="1031" max="1031" width="20.625" customWidth="1"/>
    <col min="1032" max="1032" width="27.125" customWidth="1"/>
    <col min="1033" max="1033" width="49.625" customWidth="1"/>
    <col min="1034" max="1034" width="20.75" customWidth="1"/>
    <col min="1035" max="1035" width="36.625" customWidth="1"/>
    <col min="1036" max="1036" width="9.125" bestFit="1" customWidth="1"/>
    <col min="1037" max="1037" width="15.875" bestFit="1" customWidth="1"/>
    <col min="1038" max="1038" width="9.125" bestFit="1" customWidth="1"/>
    <col min="1281" max="1281" width="19.75" customWidth="1"/>
    <col min="1282" max="1282" width="21.5" customWidth="1"/>
    <col min="1283" max="1283" width="29.625" customWidth="1"/>
    <col min="1284" max="1284" width="16.75" customWidth="1"/>
    <col min="1285" max="1285" width="21.375" customWidth="1"/>
    <col min="1286" max="1286" width="16.75" customWidth="1"/>
    <col min="1287" max="1287" width="20.625" customWidth="1"/>
    <col min="1288" max="1288" width="27.125" customWidth="1"/>
    <col min="1289" max="1289" width="49.625" customWidth="1"/>
    <col min="1290" max="1290" width="20.75" customWidth="1"/>
    <col min="1291" max="1291" width="36.625" customWidth="1"/>
    <col min="1292" max="1292" width="9.125" bestFit="1" customWidth="1"/>
    <col min="1293" max="1293" width="15.875" bestFit="1" customWidth="1"/>
    <col min="1294" max="1294" width="9.125" bestFit="1" customWidth="1"/>
    <col min="1537" max="1537" width="19.75" customWidth="1"/>
    <col min="1538" max="1538" width="21.5" customWidth="1"/>
    <col min="1539" max="1539" width="29.625" customWidth="1"/>
    <col min="1540" max="1540" width="16.75" customWidth="1"/>
    <col min="1541" max="1541" width="21.375" customWidth="1"/>
    <col min="1542" max="1542" width="16.75" customWidth="1"/>
    <col min="1543" max="1543" width="20.625" customWidth="1"/>
    <col min="1544" max="1544" width="27.125" customWidth="1"/>
    <col min="1545" max="1545" width="49.625" customWidth="1"/>
    <col min="1546" max="1546" width="20.75" customWidth="1"/>
    <col min="1547" max="1547" width="36.625" customWidth="1"/>
    <col min="1548" max="1548" width="9.125" bestFit="1" customWidth="1"/>
    <col min="1549" max="1549" width="15.875" bestFit="1" customWidth="1"/>
    <col min="1550" max="1550" width="9.125" bestFit="1" customWidth="1"/>
    <col min="1793" max="1793" width="19.75" customWidth="1"/>
    <col min="1794" max="1794" width="21.5" customWidth="1"/>
    <col min="1795" max="1795" width="29.625" customWidth="1"/>
    <col min="1796" max="1796" width="16.75" customWidth="1"/>
    <col min="1797" max="1797" width="21.375" customWidth="1"/>
    <col min="1798" max="1798" width="16.75" customWidth="1"/>
    <col min="1799" max="1799" width="20.625" customWidth="1"/>
    <col min="1800" max="1800" width="27.125" customWidth="1"/>
    <col min="1801" max="1801" width="49.625" customWidth="1"/>
    <col min="1802" max="1802" width="20.75" customWidth="1"/>
    <col min="1803" max="1803" width="36.625" customWidth="1"/>
    <col min="1804" max="1804" width="9.125" bestFit="1" customWidth="1"/>
    <col min="1805" max="1805" width="15.875" bestFit="1" customWidth="1"/>
    <col min="1806" max="1806" width="9.125" bestFit="1" customWidth="1"/>
    <col min="2049" max="2049" width="19.75" customWidth="1"/>
    <col min="2050" max="2050" width="21.5" customWidth="1"/>
    <col min="2051" max="2051" width="29.625" customWidth="1"/>
    <col min="2052" max="2052" width="16.75" customWidth="1"/>
    <col min="2053" max="2053" width="21.375" customWidth="1"/>
    <col min="2054" max="2054" width="16.75" customWidth="1"/>
    <col min="2055" max="2055" width="20.625" customWidth="1"/>
    <col min="2056" max="2056" width="27.125" customWidth="1"/>
    <col min="2057" max="2057" width="49.625" customWidth="1"/>
    <col min="2058" max="2058" width="20.75" customWidth="1"/>
    <col min="2059" max="2059" width="36.625" customWidth="1"/>
    <col min="2060" max="2060" width="9.125" bestFit="1" customWidth="1"/>
    <col min="2061" max="2061" width="15.875" bestFit="1" customWidth="1"/>
    <col min="2062" max="2062" width="9.125" bestFit="1" customWidth="1"/>
    <col min="2305" max="2305" width="19.75" customWidth="1"/>
    <col min="2306" max="2306" width="21.5" customWidth="1"/>
    <col min="2307" max="2307" width="29.625" customWidth="1"/>
    <col min="2308" max="2308" width="16.75" customWidth="1"/>
    <col min="2309" max="2309" width="21.375" customWidth="1"/>
    <col min="2310" max="2310" width="16.75" customWidth="1"/>
    <col min="2311" max="2311" width="20.625" customWidth="1"/>
    <col min="2312" max="2312" width="27.125" customWidth="1"/>
    <col min="2313" max="2313" width="49.625" customWidth="1"/>
    <col min="2314" max="2314" width="20.75" customWidth="1"/>
    <col min="2315" max="2315" width="36.625" customWidth="1"/>
    <col min="2316" max="2316" width="9.125" bestFit="1" customWidth="1"/>
    <col min="2317" max="2317" width="15.875" bestFit="1" customWidth="1"/>
    <col min="2318" max="2318" width="9.125" bestFit="1" customWidth="1"/>
    <col min="2561" max="2561" width="19.75" customWidth="1"/>
    <col min="2562" max="2562" width="21.5" customWidth="1"/>
    <col min="2563" max="2563" width="29.625" customWidth="1"/>
    <col min="2564" max="2564" width="16.75" customWidth="1"/>
    <col min="2565" max="2565" width="21.375" customWidth="1"/>
    <col min="2566" max="2566" width="16.75" customWidth="1"/>
    <col min="2567" max="2567" width="20.625" customWidth="1"/>
    <col min="2568" max="2568" width="27.125" customWidth="1"/>
    <col min="2569" max="2569" width="49.625" customWidth="1"/>
    <col min="2570" max="2570" width="20.75" customWidth="1"/>
    <col min="2571" max="2571" width="36.625" customWidth="1"/>
    <col min="2572" max="2572" width="9.125" bestFit="1" customWidth="1"/>
    <col min="2573" max="2573" width="15.875" bestFit="1" customWidth="1"/>
    <col min="2574" max="2574" width="9.125" bestFit="1" customWidth="1"/>
    <col min="2817" max="2817" width="19.75" customWidth="1"/>
    <col min="2818" max="2818" width="21.5" customWidth="1"/>
    <col min="2819" max="2819" width="29.625" customWidth="1"/>
    <col min="2820" max="2820" width="16.75" customWidth="1"/>
    <col min="2821" max="2821" width="21.375" customWidth="1"/>
    <col min="2822" max="2822" width="16.75" customWidth="1"/>
    <col min="2823" max="2823" width="20.625" customWidth="1"/>
    <col min="2824" max="2824" width="27.125" customWidth="1"/>
    <col min="2825" max="2825" width="49.625" customWidth="1"/>
    <col min="2826" max="2826" width="20.75" customWidth="1"/>
    <col min="2827" max="2827" width="36.625" customWidth="1"/>
    <col min="2828" max="2828" width="9.125" bestFit="1" customWidth="1"/>
    <col min="2829" max="2829" width="15.875" bestFit="1" customWidth="1"/>
    <col min="2830" max="2830" width="9.125" bestFit="1" customWidth="1"/>
    <col min="3073" max="3073" width="19.75" customWidth="1"/>
    <col min="3074" max="3074" width="21.5" customWidth="1"/>
    <col min="3075" max="3075" width="29.625" customWidth="1"/>
    <col min="3076" max="3076" width="16.75" customWidth="1"/>
    <col min="3077" max="3077" width="21.375" customWidth="1"/>
    <col min="3078" max="3078" width="16.75" customWidth="1"/>
    <col min="3079" max="3079" width="20.625" customWidth="1"/>
    <col min="3080" max="3080" width="27.125" customWidth="1"/>
    <col min="3081" max="3081" width="49.625" customWidth="1"/>
    <col min="3082" max="3082" width="20.75" customWidth="1"/>
    <col min="3083" max="3083" width="36.625" customWidth="1"/>
    <col min="3084" max="3084" width="9.125" bestFit="1" customWidth="1"/>
    <col min="3085" max="3085" width="15.875" bestFit="1" customWidth="1"/>
    <col min="3086" max="3086" width="9.125" bestFit="1" customWidth="1"/>
    <col min="3329" max="3329" width="19.75" customWidth="1"/>
    <col min="3330" max="3330" width="21.5" customWidth="1"/>
    <col min="3331" max="3331" width="29.625" customWidth="1"/>
    <col min="3332" max="3332" width="16.75" customWidth="1"/>
    <col min="3333" max="3333" width="21.375" customWidth="1"/>
    <col min="3334" max="3334" width="16.75" customWidth="1"/>
    <col min="3335" max="3335" width="20.625" customWidth="1"/>
    <col min="3336" max="3336" width="27.125" customWidth="1"/>
    <col min="3337" max="3337" width="49.625" customWidth="1"/>
    <col min="3338" max="3338" width="20.75" customWidth="1"/>
    <col min="3339" max="3339" width="36.625" customWidth="1"/>
    <col min="3340" max="3340" width="9.125" bestFit="1" customWidth="1"/>
    <col min="3341" max="3341" width="15.875" bestFit="1" customWidth="1"/>
    <col min="3342" max="3342" width="9.125" bestFit="1" customWidth="1"/>
    <col min="3585" max="3585" width="19.75" customWidth="1"/>
    <col min="3586" max="3586" width="21.5" customWidth="1"/>
    <col min="3587" max="3587" width="29.625" customWidth="1"/>
    <col min="3588" max="3588" width="16.75" customWidth="1"/>
    <col min="3589" max="3589" width="21.375" customWidth="1"/>
    <col min="3590" max="3590" width="16.75" customWidth="1"/>
    <col min="3591" max="3591" width="20.625" customWidth="1"/>
    <col min="3592" max="3592" width="27.125" customWidth="1"/>
    <col min="3593" max="3593" width="49.625" customWidth="1"/>
    <col min="3594" max="3594" width="20.75" customWidth="1"/>
    <col min="3595" max="3595" width="36.625" customWidth="1"/>
    <col min="3596" max="3596" width="9.125" bestFit="1" customWidth="1"/>
    <col min="3597" max="3597" width="15.875" bestFit="1" customWidth="1"/>
    <col min="3598" max="3598" width="9.125" bestFit="1" customWidth="1"/>
    <col min="3841" max="3841" width="19.75" customWidth="1"/>
    <col min="3842" max="3842" width="21.5" customWidth="1"/>
    <col min="3843" max="3843" width="29.625" customWidth="1"/>
    <col min="3844" max="3844" width="16.75" customWidth="1"/>
    <col min="3845" max="3845" width="21.375" customWidth="1"/>
    <col min="3846" max="3846" width="16.75" customWidth="1"/>
    <col min="3847" max="3847" width="20.625" customWidth="1"/>
    <col min="3848" max="3848" width="27.125" customWidth="1"/>
    <col min="3849" max="3849" width="49.625" customWidth="1"/>
    <col min="3850" max="3850" width="20.75" customWidth="1"/>
    <col min="3851" max="3851" width="36.625" customWidth="1"/>
    <col min="3852" max="3852" width="9.125" bestFit="1" customWidth="1"/>
    <col min="3853" max="3853" width="15.875" bestFit="1" customWidth="1"/>
    <col min="3854" max="3854" width="9.125" bestFit="1" customWidth="1"/>
    <col min="4097" max="4097" width="19.75" customWidth="1"/>
    <col min="4098" max="4098" width="21.5" customWidth="1"/>
    <col min="4099" max="4099" width="29.625" customWidth="1"/>
    <col min="4100" max="4100" width="16.75" customWidth="1"/>
    <col min="4101" max="4101" width="21.375" customWidth="1"/>
    <col min="4102" max="4102" width="16.75" customWidth="1"/>
    <col min="4103" max="4103" width="20.625" customWidth="1"/>
    <col min="4104" max="4104" width="27.125" customWidth="1"/>
    <col min="4105" max="4105" width="49.625" customWidth="1"/>
    <col min="4106" max="4106" width="20.75" customWidth="1"/>
    <col min="4107" max="4107" width="36.625" customWidth="1"/>
    <col min="4108" max="4108" width="9.125" bestFit="1" customWidth="1"/>
    <col min="4109" max="4109" width="15.875" bestFit="1" customWidth="1"/>
    <col min="4110" max="4110" width="9.125" bestFit="1" customWidth="1"/>
    <col min="4353" max="4353" width="19.75" customWidth="1"/>
    <col min="4354" max="4354" width="21.5" customWidth="1"/>
    <col min="4355" max="4355" width="29.625" customWidth="1"/>
    <col min="4356" max="4356" width="16.75" customWidth="1"/>
    <col min="4357" max="4357" width="21.375" customWidth="1"/>
    <col min="4358" max="4358" width="16.75" customWidth="1"/>
    <col min="4359" max="4359" width="20.625" customWidth="1"/>
    <col min="4360" max="4360" width="27.125" customWidth="1"/>
    <col min="4361" max="4361" width="49.625" customWidth="1"/>
    <col min="4362" max="4362" width="20.75" customWidth="1"/>
    <col min="4363" max="4363" width="36.625" customWidth="1"/>
    <col min="4364" max="4364" width="9.125" bestFit="1" customWidth="1"/>
    <col min="4365" max="4365" width="15.875" bestFit="1" customWidth="1"/>
    <col min="4366" max="4366" width="9.125" bestFit="1" customWidth="1"/>
    <col min="4609" max="4609" width="19.75" customWidth="1"/>
    <col min="4610" max="4610" width="21.5" customWidth="1"/>
    <col min="4611" max="4611" width="29.625" customWidth="1"/>
    <col min="4612" max="4612" width="16.75" customWidth="1"/>
    <col min="4613" max="4613" width="21.375" customWidth="1"/>
    <col min="4614" max="4614" width="16.75" customWidth="1"/>
    <col min="4615" max="4615" width="20.625" customWidth="1"/>
    <col min="4616" max="4616" width="27.125" customWidth="1"/>
    <col min="4617" max="4617" width="49.625" customWidth="1"/>
    <col min="4618" max="4618" width="20.75" customWidth="1"/>
    <col min="4619" max="4619" width="36.625" customWidth="1"/>
    <col min="4620" max="4620" width="9.125" bestFit="1" customWidth="1"/>
    <col min="4621" max="4621" width="15.875" bestFit="1" customWidth="1"/>
    <col min="4622" max="4622" width="9.125" bestFit="1" customWidth="1"/>
    <col min="4865" max="4865" width="19.75" customWidth="1"/>
    <col min="4866" max="4866" width="21.5" customWidth="1"/>
    <col min="4867" max="4867" width="29.625" customWidth="1"/>
    <col min="4868" max="4868" width="16.75" customWidth="1"/>
    <col min="4869" max="4869" width="21.375" customWidth="1"/>
    <col min="4870" max="4870" width="16.75" customWidth="1"/>
    <col min="4871" max="4871" width="20.625" customWidth="1"/>
    <col min="4872" max="4872" width="27.125" customWidth="1"/>
    <col min="4873" max="4873" width="49.625" customWidth="1"/>
    <col min="4874" max="4874" width="20.75" customWidth="1"/>
    <col min="4875" max="4875" width="36.625" customWidth="1"/>
    <col min="4876" max="4876" width="9.125" bestFit="1" customWidth="1"/>
    <col min="4877" max="4877" width="15.875" bestFit="1" customWidth="1"/>
    <col min="4878" max="4878" width="9.125" bestFit="1" customWidth="1"/>
    <col min="5121" max="5121" width="19.75" customWidth="1"/>
    <col min="5122" max="5122" width="21.5" customWidth="1"/>
    <col min="5123" max="5123" width="29.625" customWidth="1"/>
    <col min="5124" max="5124" width="16.75" customWidth="1"/>
    <col min="5125" max="5125" width="21.375" customWidth="1"/>
    <col min="5126" max="5126" width="16.75" customWidth="1"/>
    <col min="5127" max="5127" width="20.625" customWidth="1"/>
    <col min="5128" max="5128" width="27.125" customWidth="1"/>
    <col min="5129" max="5129" width="49.625" customWidth="1"/>
    <col min="5130" max="5130" width="20.75" customWidth="1"/>
    <col min="5131" max="5131" width="36.625" customWidth="1"/>
    <col min="5132" max="5132" width="9.125" bestFit="1" customWidth="1"/>
    <col min="5133" max="5133" width="15.875" bestFit="1" customWidth="1"/>
    <col min="5134" max="5134" width="9.125" bestFit="1" customWidth="1"/>
    <col min="5377" max="5377" width="19.75" customWidth="1"/>
    <col min="5378" max="5378" width="21.5" customWidth="1"/>
    <col min="5379" max="5379" width="29.625" customWidth="1"/>
    <col min="5380" max="5380" width="16.75" customWidth="1"/>
    <col min="5381" max="5381" width="21.375" customWidth="1"/>
    <col min="5382" max="5382" width="16.75" customWidth="1"/>
    <col min="5383" max="5383" width="20.625" customWidth="1"/>
    <col min="5384" max="5384" width="27.125" customWidth="1"/>
    <col min="5385" max="5385" width="49.625" customWidth="1"/>
    <col min="5386" max="5386" width="20.75" customWidth="1"/>
    <col min="5387" max="5387" width="36.625" customWidth="1"/>
    <col min="5388" max="5388" width="9.125" bestFit="1" customWidth="1"/>
    <col min="5389" max="5389" width="15.875" bestFit="1" customWidth="1"/>
    <col min="5390" max="5390" width="9.125" bestFit="1" customWidth="1"/>
    <col min="5633" max="5633" width="19.75" customWidth="1"/>
    <col min="5634" max="5634" width="21.5" customWidth="1"/>
    <col min="5635" max="5635" width="29.625" customWidth="1"/>
    <col min="5636" max="5636" width="16.75" customWidth="1"/>
    <col min="5637" max="5637" width="21.375" customWidth="1"/>
    <col min="5638" max="5638" width="16.75" customWidth="1"/>
    <col min="5639" max="5639" width="20.625" customWidth="1"/>
    <col min="5640" max="5640" width="27.125" customWidth="1"/>
    <col min="5641" max="5641" width="49.625" customWidth="1"/>
    <col min="5642" max="5642" width="20.75" customWidth="1"/>
    <col min="5643" max="5643" width="36.625" customWidth="1"/>
    <col min="5644" max="5644" width="9.125" bestFit="1" customWidth="1"/>
    <col min="5645" max="5645" width="15.875" bestFit="1" customWidth="1"/>
    <col min="5646" max="5646" width="9.125" bestFit="1" customWidth="1"/>
    <col min="5889" max="5889" width="19.75" customWidth="1"/>
    <col min="5890" max="5890" width="21.5" customWidth="1"/>
    <col min="5891" max="5891" width="29.625" customWidth="1"/>
    <col min="5892" max="5892" width="16.75" customWidth="1"/>
    <col min="5893" max="5893" width="21.375" customWidth="1"/>
    <col min="5894" max="5894" width="16.75" customWidth="1"/>
    <col min="5895" max="5895" width="20.625" customWidth="1"/>
    <col min="5896" max="5896" width="27.125" customWidth="1"/>
    <col min="5897" max="5897" width="49.625" customWidth="1"/>
    <col min="5898" max="5898" width="20.75" customWidth="1"/>
    <col min="5899" max="5899" width="36.625" customWidth="1"/>
    <col min="5900" max="5900" width="9.125" bestFit="1" customWidth="1"/>
    <col min="5901" max="5901" width="15.875" bestFit="1" customWidth="1"/>
    <col min="5902" max="5902" width="9.125" bestFit="1" customWidth="1"/>
    <col min="6145" max="6145" width="19.75" customWidth="1"/>
    <col min="6146" max="6146" width="21.5" customWidth="1"/>
    <col min="6147" max="6147" width="29.625" customWidth="1"/>
    <col min="6148" max="6148" width="16.75" customWidth="1"/>
    <col min="6149" max="6149" width="21.375" customWidth="1"/>
    <col min="6150" max="6150" width="16.75" customWidth="1"/>
    <col min="6151" max="6151" width="20.625" customWidth="1"/>
    <col min="6152" max="6152" width="27.125" customWidth="1"/>
    <col min="6153" max="6153" width="49.625" customWidth="1"/>
    <col min="6154" max="6154" width="20.75" customWidth="1"/>
    <col min="6155" max="6155" width="36.625" customWidth="1"/>
    <col min="6156" max="6156" width="9.125" bestFit="1" customWidth="1"/>
    <col min="6157" max="6157" width="15.875" bestFit="1" customWidth="1"/>
    <col min="6158" max="6158" width="9.125" bestFit="1" customWidth="1"/>
    <col min="6401" max="6401" width="19.75" customWidth="1"/>
    <col min="6402" max="6402" width="21.5" customWidth="1"/>
    <col min="6403" max="6403" width="29.625" customWidth="1"/>
    <col min="6404" max="6404" width="16.75" customWidth="1"/>
    <col min="6405" max="6405" width="21.375" customWidth="1"/>
    <col min="6406" max="6406" width="16.75" customWidth="1"/>
    <col min="6407" max="6407" width="20.625" customWidth="1"/>
    <col min="6408" max="6408" width="27.125" customWidth="1"/>
    <col min="6409" max="6409" width="49.625" customWidth="1"/>
    <col min="6410" max="6410" width="20.75" customWidth="1"/>
    <col min="6411" max="6411" width="36.625" customWidth="1"/>
    <col min="6412" max="6412" width="9.125" bestFit="1" customWidth="1"/>
    <col min="6413" max="6413" width="15.875" bestFit="1" customWidth="1"/>
    <col min="6414" max="6414" width="9.125" bestFit="1" customWidth="1"/>
    <col min="6657" max="6657" width="19.75" customWidth="1"/>
    <col min="6658" max="6658" width="21.5" customWidth="1"/>
    <col min="6659" max="6659" width="29.625" customWidth="1"/>
    <col min="6660" max="6660" width="16.75" customWidth="1"/>
    <col min="6661" max="6661" width="21.375" customWidth="1"/>
    <col min="6662" max="6662" width="16.75" customWidth="1"/>
    <col min="6663" max="6663" width="20.625" customWidth="1"/>
    <col min="6664" max="6664" width="27.125" customWidth="1"/>
    <col min="6665" max="6665" width="49.625" customWidth="1"/>
    <col min="6666" max="6666" width="20.75" customWidth="1"/>
    <col min="6667" max="6667" width="36.625" customWidth="1"/>
    <col min="6668" max="6668" width="9.125" bestFit="1" customWidth="1"/>
    <col min="6669" max="6669" width="15.875" bestFit="1" customWidth="1"/>
    <col min="6670" max="6670" width="9.125" bestFit="1" customWidth="1"/>
    <col min="6913" max="6913" width="19.75" customWidth="1"/>
    <col min="6914" max="6914" width="21.5" customWidth="1"/>
    <col min="6915" max="6915" width="29.625" customWidth="1"/>
    <col min="6916" max="6916" width="16.75" customWidth="1"/>
    <col min="6917" max="6917" width="21.375" customWidth="1"/>
    <col min="6918" max="6918" width="16.75" customWidth="1"/>
    <col min="6919" max="6919" width="20.625" customWidth="1"/>
    <col min="6920" max="6920" width="27.125" customWidth="1"/>
    <col min="6921" max="6921" width="49.625" customWidth="1"/>
    <col min="6922" max="6922" width="20.75" customWidth="1"/>
    <col min="6923" max="6923" width="36.625" customWidth="1"/>
    <col min="6924" max="6924" width="9.125" bestFit="1" customWidth="1"/>
    <col min="6925" max="6925" width="15.875" bestFit="1" customWidth="1"/>
    <col min="6926" max="6926" width="9.125" bestFit="1" customWidth="1"/>
    <col min="7169" max="7169" width="19.75" customWidth="1"/>
    <col min="7170" max="7170" width="21.5" customWidth="1"/>
    <col min="7171" max="7171" width="29.625" customWidth="1"/>
    <col min="7172" max="7172" width="16.75" customWidth="1"/>
    <col min="7173" max="7173" width="21.375" customWidth="1"/>
    <col min="7174" max="7174" width="16.75" customWidth="1"/>
    <col min="7175" max="7175" width="20.625" customWidth="1"/>
    <col min="7176" max="7176" width="27.125" customWidth="1"/>
    <col min="7177" max="7177" width="49.625" customWidth="1"/>
    <col min="7178" max="7178" width="20.75" customWidth="1"/>
    <col min="7179" max="7179" width="36.625" customWidth="1"/>
    <col min="7180" max="7180" width="9.125" bestFit="1" customWidth="1"/>
    <col min="7181" max="7181" width="15.875" bestFit="1" customWidth="1"/>
    <col min="7182" max="7182" width="9.125" bestFit="1" customWidth="1"/>
    <col min="7425" max="7425" width="19.75" customWidth="1"/>
    <col min="7426" max="7426" width="21.5" customWidth="1"/>
    <col min="7427" max="7427" width="29.625" customWidth="1"/>
    <col min="7428" max="7428" width="16.75" customWidth="1"/>
    <col min="7429" max="7429" width="21.375" customWidth="1"/>
    <col min="7430" max="7430" width="16.75" customWidth="1"/>
    <col min="7431" max="7431" width="20.625" customWidth="1"/>
    <col min="7432" max="7432" width="27.125" customWidth="1"/>
    <col min="7433" max="7433" width="49.625" customWidth="1"/>
    <col min="7434" max="7434" width="20.75" customWidth="1"/>
    <col min="7435" max="7435" width="36.625" customWidth="1"/>
    <col min="7436" max="7436" width="9.125" bestFit="1" customWidth="1"/>
    <col min="7437" max="7437" width="15.875" bestFit="1" customWidth="1"/>
    <col min="7438" max="7438" width="9.125" bestFit="1" customWidth="1"/>
    <col min="7681" max="7681" width="19.75" customWidth="1"/>
    <col min="7682" max="7682" width="21.5" customWidth="1"/>
    <col min="7683" max="7683" width="29.625" customWidth="1"/>
    <col min="7684" max="7684" width="16.75" customWidth="1"/>
    <col min="7685" max="7685" width="21.375" customWidth="1"/>
    <col min="7686" max="7686" width="16.75" customWidth="1"/>
    <col min="7687" max="7687" width="20.625" customWidth="1"/>
    <col min="7688" max="7688" width="27.125" customWidth="1"/>
    <col min="7689" max="7689" width="49.625" customWidth="1"/>
    <col min="7690" max="7690" width="20.75" customWidth="1"/>
    <col min="7691" max="7691" width="36.625" customWidth="1"/>
    <col min="7692" max="7692" width="9.125" bestFit="1" customWidth="1"/>
    <col min="7693" max="7693" width="15.875" bestFit="1" customWidth="1"/>
    <col min="7694" max="7694" width="9.125" bestFit="1" customWidth="1"/>
    <col min="7937" max="7937" width="19.75" customWidth="1"/>
    <col min="7938" max="7938" width="21.5" customWidth="1"/>
    <col min="7939" max="7939" width="29.625" customWidth="1"/>
    <col min="7940" max="7940" width="16.75" customWidth="1"/>
    <col min="7941" max="7941" width="21.375" customWidth="1"/>
    <col min="7942" max="7942" width="16.75" customWidth="1"/>
    <col min="7943" max="7943" width="20.625" customWidth="1"/>
    <col min="7944" max="7944" width="27.125" customWidth="1"/>
    <col min="7945" max="7945" width="49.625" customWidth="1"/>
    <col min="7946" max="7946" width="20.75" customWidth="1"/>
    <col min="7947" max="7947" width="36.625" customWidth="1"/>
    <col min="7948" max="7948" width="9.125" bestFit="1" customWidth="1"/>
    <col min="7949" max="7949" width="15.875" bestFit="1" customWidth="1"/>
    <col min="7950" max="7950" width="9.125" bestFit="1" customWidth="1"/>
    <col min="8193" max="8193" width="19.75" customWidth="1"/>
    <col min="8194" max="8194" width="21.5" customWidth="1"/>
    <col min="8195" max="8195" width="29.625" customWidth="1"/>
    <col min="8196" max="8196" width="16.75" customWidth="1"/>
    <col min="8197" max="8197" width="21.375" customWidth="1"/>
    <col min="8198" max="8198" width="16.75" customWidth="1"/>
    <col min="8199" max="8199" width="20.625" customWidth="1"/>
    <col min="8200" max="8200" width="27.125" customWidth="1"/>
    <col min="8201" max="8201" width="49.625" customWidth="1"/>
    <col min="8202" max="8202" width="20.75" customWidth="1"/>
    <col min="8203" max="8203" width="36.625" customWidth="1"/>
    <col min="8204" max="8204" width="9.125" bestFit="1" customWidth="1"/>
    <col min="8205" max="8205" width="15.875" bestFit="1" customWidth="1"/>
    <col min="8206" max="8206" width="9.125" bestFit="1" customWidth="1"/>
    <col min="8449" max="8449" width="19.75" customWidth="1"/>
    <col min="8450" max="8450" width="21.5" customWidth="1"/>
    <col min="8451" max="8451" width="29.625" customWidth="1"/>
    <col min="8452" max="8452" width="16.75" customWidth="1"/>
    <col min="8453" max="8453" width="21.375" customWidth="1"/>
    <col min="8454" max="8454" width="16.75" customWidth="1"/>
    <col min="8455" max="8455" width="20.625" customWidth="1"/>
    <col min="8456" max="8456" width="27.125" customWidth="1"/>
    <col min="8457" max="8457" width="49.625" customWidth="1"/>
    <col min="8458" max="8458" width="20.75" customWidth="1"/>
    <col min="8459" max="8459" width="36.625" customWidth="1"/>
    <col min="8460" max="8460" width="9.125" bestFit="1" customWidth="1"/>
    <col min="8461" max="8461" width="15.875" bestFit="1" customWidth="1"/>
    <col min="8462" max="8462" width="9.125" bestFit="1" customWidth="1"/>
    <col min="8705" max="8705" width="19.75" customWidth="1"/>
    <col min="8706" max="8706" width="21.5" customWidth="1"/>
    <col min="8707" max="8707" width="29.625" customWidth="1"/>
    <col min="8708" max="8708" width="16.75" customWidth="1"/>
    <col min="8709" max="8709" width="21.375" customWidth="1"/>
    <col min="8710" max="8710" width="16.75" customWidth="1"/>
    <col min="8711" max="8711" width="20.625" customWidth="1"/>
    <col min="8712" max="8712" width="27.125" customWidth="1"/>
    <col min="8713" max="8713" width="49.625" customWidth="1"/>
    <col min="8714" max="8714" width="20.75" customWidth="1"/>
    <col min="8715" max="8715" width="36.625" customWidth="1"/>
    <col min="8716" max="8716" width="9.125" bestFit="1" customWidth="1"/>
    <col min="8717" max="8717" width="15.875" bestFit="1" customWidth="1"/>
    <col min="8718" max="8718" width="9.125" bestFit="1" customWidth="1"/>
    <col min="8961" max="8961" width="19.75" customWidth="1"/>
    <col min="8962" max="8962" width="21.5" customWidth="1"/>
    <col min="8963" max="8963" width="29.625" customWidth="1"/>
    <col min="8964" max="8964" width="16.75" customWidth="1"/>
    <col min="8965" max="8965" width="21.375" customWidth="1"/>
    <col min="8966" max="8966" width="16.75" customWidth="1"/>
    <col min="8967" max="8967" width="20.625" customWidth="1"/>
    <col min="8968" max="8968" width="27.125" customWidth="1"/>
    <col min="8969" max="8969" width="49.625" customWidth="1"/>
    <col min="8970" max="8970" width="20.75" customWidth="1"/>
    <col min="8971" max="8971" width="36.625" customWidth="1"/>
    <col min="8972" max="8972" width="9.125" bestFit="1" customWidth="1"/>
    <col min="8973" max="8973" width="15.875" bestFit="1" customWidth="1"/>
    <col min="8974" max="8974" width="9.125" bestFit="1" customWidth="1"/>
    <col min="9217" max="9217" width="19.75" customWidth="1"/>
    <col min="9218" max="9218" width="21.5" customWidth="1"/>
    <col min="9219" max="9219" width="29.625" customWidth="1"/>
    <col min="9220" max="9220" width="16.75" customWidth="1"/>
    <col min="9221" max="9221" width="21.375" customWidth="1"/>
    <col min="9222" max="9222" width="16.75" customWidth="1"/>
    <col min="9223" max="9223" width="20.625" customWidth="1"/>
    <col min="9224" max="9224" width="27.125" customWidth="1"/>
    <col min="9225" max="9225" width="49.625" customWidth="1"/>
    <col min="9226" max="9226" width="20.75" customWidth="1"/>
    <col min="9227" max="9227" width="36.625" customWidth="1"/>
    <col min="9228" max="9228" width="9.125" bestFit="1" customWidth="1"/>
    <col min="9229" max="9229" width="15.875" bestFit="1" customWidth="1"/>
    <col min="9230" max="9230" width="9.125" bestFit="1" customWidth="1"/>
    <col min="9473" max="9473" width="19.75" customWidth="1"/>
    <col min="9474" max="9474" width="21.5" customWidth="1"/>
    <col min="9475" max="9475" width="29.625" customWidth="1"/>
    <col min="9476" max="9476" width="16.75" customWidth="1"/>
    <col min="9477" max="9477" width="21.375" customWidth="1"/>
    <col min="9478" max="9478" width="16.75" customWidth="1"/>
    <col min="9479" max="9479" width="20.625" customWidth="1"/>
    <col min="9480" max="9480" width="27.125" customWidth="1"/>
    <col min="9481" max="9481" width="49.625" customWidth="1"/>
    <col min="9482" max="9482" width="20.75" customWidth="1"/>
    <col min="9483" max="9483" width="36.625" customWidth="1"/>
    <col min="9484" max="9484" width="9.125" bestFit="1" customWidth="1"/>
    <col min="9485" max="9485" width="15.875" bestFit="1" customWidth="1"/>
    <col min="9486" max="9486" width="9.125" bestFit="1" customWidth="1"/>
    <col min="9729" max="9729" width="19.75" customWidth="1"/>
    <col min="9730" max="9730" width="21.5" customWidth="1"/>
    <col min="9731" max="9731" width="29.625" customWidth="1"/>
    <col min="9732" max="9732" width="16.75" customWidth="1"/>
    <col min="9733" max="9733" width="21.375" customWidth="1"/>
    <col min="9734" max="9734" width="16.75" customWidth="1"/>
    <col min="9735" max="9735" width="20.625" customWidth="1"/>
    <col min="9736" max="9736" width="27.125" customWidth="1"/>
    <col min="9737" max="9737" width="49.625" customWidth="1"/>
    <col min="9738" max="9738" width="20.75" customWidth="1"/>
    <col min="9739" max="9739" width="36.625" customWidth="1"/>
    <col min="9740" max="9740" width="9.125" bestFit="1" customWidth="1"/>
    <col min="9741" max="9741" width="15.875" bestFit="1" customWidth="1"/>
    <col min="9742" max="9742" width="9.125" bestFit="1" customWidth="1"/>
    <col min="9985" max="9985" width="19.75" customWidth="1"/>
    <col min="9986" max="9986" width="21.5" customWidth="1"/>
    <col min="9987" max="9987" width="29.625" customWidth="1"/>
    <col min="9988" max="9988" width="16.75" customWidth="1"/>
    <col min="9989" max="9989" width="21.375" customWidth="1"/>
    <col min="9990" max="9990" width="16.75" customWidth="1"/>
    <col min="9991" max="9991" width="20.625" customWidth="1"/>
    <col min="9992" max="9992" width="27.125" customWidth="1"/>
    <col min="9993" max="9993" width="49.625" customWidth="1"/>
    <col min="9994" max="9994" width="20.75" customWidth="1"/>
    <col min="9995" max="9995" width="36.625" customWidth="1"/>
    <col min="9996" max="9996" width="9.125" bestFit="1" customWidth="1"/>
    <col min="9997" max="9997" width="15.875" bestFit="1" customWidth="1"/>
    <col min="9998" max="9998" width="9.125" bestFit="1" customWidth="1"/>
    <col min="10241" max="10241" width="19.75" customWidth="1"/>
    <col min="10242" max="10242" width="21.5" customWidth="1"/>
    <col min="10243" max="10243" width="29.625" customWidth="1"/>
    <col min="10244" max="10244" width="16.75" customWidth="1"/>
    <col min="10245" max="10245" width="21.375" customWidth="1"/>
    <col min="10246" max="10246" width="16.75" customWidth="1"/>
    <col min="10247" max="10247" width="20.625" customWidth="1"/>
    <col min="10248" max="10248" width="27.125" customWidth="1"/>
    <col min="10249" max="10249" width="49.625" customWidth="1"/>
    <col min="10250" max="10250" width="20.75" customWidth="1"/>
    <col min="10251" max="10251" width="36.625" customWidth="1"/>
    <col min="10252" max="10252" width="9.125" bestFit="1" customWidth="1"/>
    <col min="10253" max="10253" width="15.875" bestFit="1" customWidth="1"/>
    <col min="10254" max="10254" width="9.125" bestFit="1" customWidth="1"/>
    <col min="10497" max="10497" width="19.75" customWidth="1"/>
    <col min="10498" max="10498" width="21.5" customWidth="1"/>
    <col min="10499" max="10499" width="29.625" customWidth="1"/>
    <col min="10500" max="10500" width="16.75" customWidth="1"/>
    <col min="10501" max="10501" width="21.375" customWidth="1"/>
    <col min="10502" max="10502" width="16.75" customWidth="1"/>
    <col min="10503" max="10503" width="20.625" customWidth="1"/>
    <col min="10504" max="10504" width="27.125" customWidth="1"/>
    <col min="10505" max="10505" width="49.625" customWidth="1"/>
    <col min="10506" max="10506" width="20.75" customWidth="1"/>
    <col min="10507" max="10507" width="36.625" customWidth="1"/>
    <col min="10508" max="10508" width="9.125" bestFit="1" customWidth="1"/>
    <col min="10509" max="10509" width="15.875" bestFit="1" customWidth="1"/>
    <col min="10510" max="10510" width="9.125" bestFit="1" customWidth="1"/>
    <col min="10753" max="10753" width="19.75" customWidth="1"/>
    <col min="10754" max="10754" width="21.5" customWidth="1"/>
    <col min="10755" max="10755" width="29.625" customWidth="1"/>
    <col min="10756" max="10756" width="16.75" customWidth="1"/>
    <col min="10757" max="10757" width="21.375" customWidth="1"/>
    <col min="10758" max="10758" width="16.75" customWidth="1"/>
    <col min="10759" max="10759" width="20.625" customWidth="1"/>
    <col min="10760" max="10760" width="27.125" customWidth="1"/>
    <col min="10761" max="10761" width="49.625" customWidth="1"/>
    <col min="10762" max="10762" width="20.75" customWidth="1"/>
    <col min="10763" max="10763" width="36.625" customWidth="1"/>
    <col min="10764" max="10764" width="9.125" bestFit="1" customWidth="1"/>
    <col min="10765" max="10765" width="15.875" bestFit="1" customWidth="1"/>
    <col min="10766" max="10766" width="9.125" bestFit="1" customWidth="1"/>
    <col min="11009" max="11009" width="19.75" customWidth="1"/>
    <col min="11010" max="11010" width="21.5" customWidth="1"/>
    <col min="11011" max="11011" width="29.625" customWidth="1"/>
    <col min="11012" max="11012" width="16.75" customWidth="1"/>
    <col min="11013" max="11013" width="21.375" customWidth="1"/>
    <col min="11014" max="11014" width="16.75" customWidth="1"/>
    <col min="11015" max="11015" width="20.625" customWidth="1"/>
    <col min="11016" max="11016" width="27.125" customWidth="1"/>
    <col min="11017" max="11017" width="49.625" customWidth="1"/>
    <col min="11018" max="11018" width="20.75" customWidth="1"/>
    <col min="11019" max="11019" width="36.625" customWidth="1"/>
    <col min="11020" max="11020" width="9.125" bestFit="1" customWidth="1"/>
    <col min="11021" max="11021" width="15.875" bestFit="1" customWidth="1"/>
    <col min="11022" max="11022" width="9.125" bestFit="1" customWidth="1"/>
    <col min="11265" max="11265" width="19.75" customWidth="1"/>
    <col min="11266" max="11266" width="21.5" customWidth="1"/>
    <col min="11267" max="11267" width="29.625" customWidth="1"/>
    <col min="11268" max="11268" width="16.75" customWidth="1"/>
    <col min="11269" max="11269" width="21.375" customWidth="1"/>
    <col min="11270" max="11270" width="16.75" customWidth="1"/>
    <col min="11271" max="11271" width="20.625" customWidth="1"/>
    <col min="11272" max="11272" width="27.125" customWidth="1"/>
    <col min="11273" max="11273" width="49.625" customWidth="1"/>
    <col min="11274" max="11274" width="20.75" customWidth="1"/>
    <col min="11275" max="11275" width="36.625" customWidth="1"/>
    <col min="11276" max="11276" width="9.125" bestFit="1" customWidth="1"/>
    <col min="11277" max="11277" width="15.875" bestFit="1" customWidth="1"/>
    <col min="11278" max="11278" width="9.125" bestFit="1" customWidth="1"/>
    <col min="11521" max="11521" width="19.75" customWidth="1"/>
    <col min="11522" max="11522" width="21.5" customWidth="1"/>
    <col min="11523" max="11523" width="29.625" customWidth="1"/>
    <col min="11524" max="11524" width="16.75" customWidth="1"/>
    <col min="11525" max="11525" width="21.375" customWidth="1"/>
    <col min="11526" max="11526" width="16.75" customWidth="1"/>
    <col min="11527" max="11527" width="20.625" customWidth="1"/>
    <col min="11528" max="11528" width="27.125" customWidth="1"/>
    <col min="11529" max="11529" width="49.625" customWidth="1"/>
    <col min="11530" max="11530" width="20.75" customWidth="1"/>
    <col min="11531" max="11531" width="36.625" customWidth="1"/>
    <col min="11532" max="11532" width="9.125" bestFit="1" customWidth="1"/>
    <col min="11533" max="11533" width="15.875" bestFit="1" customWidth="1"/>
    <col min="11534" max="11534" width="9.125" bestFit="1" customWidth="1"/>
    <col min="11777" max="11777" width="19.75" customWidth="1"/>
    <col min="11778" max="11778" width="21.5" customWidth="1"/>
    <col min="11779" max="11779" width="29.625" customWidth="1"/>
    <col min="11780" max="11780" width="16.75" customWidth="1"/>
    <col min="11781" max="11781" width="21.375" customWidth="1"/>
    <col min="11782" max="11782" width="16.75" customWidth="1"/>
    <col min="11783" max="11783" width="20.625" customWidth="1"/>
    <col min="11784" max="11784" width="27.125" customWidth="1"/>
    <col min="11785" max="11785" width="49.625" customWidth="1"/>
    <col min="11786" max="11786" width="20.75" customWidth="1"/>
    <col min="11787" max="11787" width="36.625" customWidth="1"/>
    <col min="11788" max="11788" width="9.125" bestFit="1" customWidth="1"/>
    <col min="11789" max="11789" width="15.875" bestFit="1" customWidth="1"/>
    <col min="11790" max="11790" width="9.125" bestFit="1" customWidth="1"/>
    <col min="12033" max="12033" width="19.75" customWidth="1"/>
    <col min="12034" max="12034" width="21.5" customWidth="1"/>
    <col min="12035" max="12035" width="29.625" customWidth="1"/>
    <col min="12036" max="12036" width="16.75" customWidth="1"/>
    <col min="12037" max="12037" width="21.375" customWidth="1"/>
    <col min="12038" max="12038" width="16.75" customWidth="1"/>
    <col min="12039" max="12039" width="20.625" customWidth="1"/>
    <col min="12040" max="12040" width="27.125" customWidth="1"/>
    <col min="12041" max="12041" width="49.625" customWidth="1"/>
    <col min="12042" max="12042" width="20.75" customWidth="1"/>
    <col min="12043" max="12043" width="36.625" customWidth="1"/>
    <col min="12044" max="12044" width="9.125" bestFit="1" customWidth="1"/>
    <col min="12045" max="12045" width="15.875" bestFit="1" customWidth="1"/>
    <col min="12046" max="12046" width="9.125" bestFit="1" customWidth="1"/>
    <col min="12289" max="12289" width="19.75" customWidth="1"/>
    <col min="12290" max="12290" width="21.5" customWidth="1"/>
    <col min="12291" max="12291" width="29.625" customWidth="1"/>
    <col min="12292" max="12292" width="16.75" customWidth="1"/>
    <col min="12293" max="12293" width="21.375" customWidth="1"/>
    <col min="12294" max="12294" width="16.75" customWidth="1"/>
    <col min="12295" max="12295" width="20.625" customWidth="1"/>
    <col min="12296" max="12296" width="27.125" customWidth="1"/>
    <col min="12297" max="12297" width="49.625" customWidth="1"/>
    <col min="12298" max="12298" width="20.75" customWidth="1"/>
    <col min="12299" max="12299" width="36.625" customWidth="1"/>
    <col min="12300" max="12300" width="9.125" bestFit="1" customWidth="1"/>
    <col min="12301" max="12301" width="15.875" bestFit="1" customWidth="1"/>
    <col min="12302" max="12302" width="9.125" bestFit="1" customWidth="1"/>
    <col min="12545" max="12545" width="19.75" customWidth="1"/>
    <col min="12546" max="12546" width="21.5" customWidth="1"/>
    <col min="12547" max="12547" width="29.625" customWidth="1"/>
    <col min="12548" max="12548" width="16.75" customWidth="1"/>
    <col min="12549" max="12549" width="21.375" customWidth="1"/>
    <col min="12550" max="12550" width="16.75" customWidth="1"/>
    <col min="12551" max="12551" width="20.625" customWidth="1"/>
    <col min="12552" max="12552" width="27.125" customWidth="1"/>
    <col min="12553" max="12553" width="49.625" customWidth="1"/>
    <col min="12554" max="12554" width="20.75" customWidth="1"/>
    <col min="12555" max="12555" width="36.625" customWidth="1"/>
    <col min="12556" max="12556" width="9.125" bestFit="1" customWidth="1"/>
    <col min="12557" max="12557" width="15.875" bestFit="1" customWidth="1"/>
    <col min="12558" max="12558" width="9.125" bestFit="1" customWidth="1"/>
    <col min="12801" max="12801" width="19.75" customWidth="1"/>
    <col min="12802" max="12802" width="21.5" customWidth="1"/>
    <col min="12803" max="12803" width="29.625" customWidth="1"/>
    <col min="12804" max="12804" width="16.75" customWidth="1"/>
    <col min="12805" max="12805" width="21.375" customWidth="1"/>
    <col min="12806" max="12806" width="16.75" customWidth="1"/>
    <col min="12807" max="12807" width="20.625" customWidth="1"/>
    <col min="12808" max="12808" width="27.125" customWidth="1"/>
    <col min="12809" max="12809" width="49.625" customWidth="1"/>
    <col min="12810" max="12810" width="20.75" customWidth="1"/>
    <col min="12811" max="12811" width="36.625" customWidth="1"/>
    <col min="12812" max="12812" width="9.125" bestFit="1" customWidth="1"/>
    <col min="12813" max="12813" width="15.875" bestFit="1" customWidth="1"/>
    <col min="12814" max="12814" width="9.125" bestFit="1" customWidth="1"/>
    <col min="13057" max="13057" width="19.75" customWidth="1"/>
    <col min="13058" max="13058" width="21.5" customWidth="1"/>
    <col min="13059" max="13059" width="29.625" customWidth="1"/>
    <col min="13060" max="13060" width="16.75" customWidth="1"/>
    <col min="13061" max="13061" width="21.375" customWidth="1"/>
    <col min="13062" max="13062" width="16.75" customWidth="1"/>
    <col min="13063" max="13063" width="20.625" customWidth="1"/>
    <col min="13064" max="13064" width="27.125" customWidth="1"/>
    <col min="13065" max="13065" width="49.625" customWidth="1"/>
    <col min="13066" max="13066" width="20.75" customWidth="1"/>
    <col min="13067" max="13067" width="36.625" customWidth="1"/>
    <col min="13068" max="13068" width="9.125" bestFit="1" customWidth="1"/>
    <col min="13069" max="13069" width="15.875" bestFit="1" customWidth="1"/>
    <col min="13070" max="13070" width="9.125" bestFit="1" customWidth="1"/>
    <col min="13313" max="13313" width="19.75" customWidth="1"/>
    <col min="13314" max="13314" width="21.5" customWidth="1"/>
    <col min="13315" max="13315" width="29.625" customWidth="1"/>
    <col min="13316" max="13316" width="16.75" customWidth="1"/>
    <col min="13317" max="13317" width="21.375" customWidth="1"/>
    <col min="13318" max="13318" width="16.75" customWidth="1"/>
    <col min="13319" max="13319" width="20.625" customWidth="1"/>
    <col min="13320" max="13320" width="27.125" customWidth="1"/>
    <col min="13321" max="13321" width="49.625" customWidth="1"/>
    <col min="13322" max="13322" width="20.75" customWidth="1"/>
    <col min="13323" max="13323" width="36.625" customWidth="1"/>
    <col min="13324" max="13324" width="9.125" bestFit="1" customWidth="1"/>
    <col min="13325" max="13325" width="15.875" bestFit="1" customWidth="1"/>
    <col min="13326" max="13326" width="9.125" bestFit="1" customWidth="1"/>
    <col min="13569" max="13569" width="19.75" customWidth="1"/>
    <col min="13570" max="13570" width="21.5" customWidth="1"/>
    <col min="13571" max="13571" width="29.625" customWidth="1"/>
    <col min="13572" max="13572" width="16.75" customWidth="1"/>
    <col min="13573" max="13573" width="21.375" customWidth="1"/>
    <col min="13574" max="13574" width="16.75" customWidth="1"/>
    <col min="13575" max="13575" width="20.625" customWidth="1"/>
    <col min="13576" max="13576" width="27.125" customWidth="1"/>
    <col min="13577" max="13577" width="49.625" customWidth="1"/>
    <col min="13578" max="13578" width="20.75" customWidth="1"/>
    <col min="13579" max="13579" width="36.625" customWidth="1"/>
    <col min="13580" max="13580" width="9.125" bestFit="1" customWidth="1"/>
    <col min="13581" max="13581" width="15.875" bestFit="1" customWidth="1"/>
    <col min="13582" max="13582" width="9.125" bestFit="1" customWidth="1"/>
    <col min="13825" max="13825" width="19.75" customWidth="1"/>
    <col min="13826" max="13826" width="21.5" customWidth="1"/>
    <col min="13827" max="13827" width="29.625" customWidth="1"/>
    <col min="13828" max="13828" width="16.75" customWidth="1"/>
    <col min="13829" max="13829" width="21.375" customWidth="1"/>
    <col min="13830" max="13830" width="16.75" customWidth="1"/>
    <col min="13831" max="13831" width="20.625" customWidth="1"/>
    <col min="13832" max="13832" width="27.125" customWidth="1"/>
    <col min="13833" max="13833" width="49.625" customWidth="1"/>
    <col min="13834" max="13834" width="20.75" customWidth="1"/>
    <col min="13835" max="13835" width="36.625" customWidth="1"/>
    <col min="13836" max="13836" width="9.125" bestFit="1" customWidth="1"/>
    <col min="13837" max="13837" width="15.875" bestFit="1" customWidth="1"/>
    <col min="13838" max="13838" width="9.125" bestFit="1" customWidth="1"/>
    <col min="14081" max="14081" width="19.75" customWidth="1"/>
    <col min="14082" max="14082" width="21.5" customWidth="1"/>
    <col min="14083" max="14083" width="29.625" customWidth="1"/>
    <col min="14084" max="14084" width="16.75" customWidth="1"/>
    <col min="14085" max="14085" width="21.375" customWidth="1"/>
    <col min="14086" max="14086" width="16.75" customWidth="1"/>
    <col min="14087" max="14087" width="20.625" customWidth="1"/>
    <col min="14088" max="14088" width="27.125" customWidth="1"/>
    <col min="14089" max="14089" width="49.625" customWidth="1"/>
    <col min="14090" max="14090" width="20.75" customWidth="1"/>
    <col min="14091" max="14091" width="36.625" customWidth="1"/>
    <col min="14092" max="14092" width="9.125" bestFit="1" customWidth="1"/>
    <col min="14093" max="14093" width="15.875" bestFit="1" customWidth="1"/>
    <col min="14094" max="14094" width="9.125" bestFit="1" customWidth="1"/>
    <col min="14337" max="14337" width="19.75" customWidth="1"/>
    <col min="14338" max="14338" width="21.5" customWidth="1"/>
    <col min="14339" max="14339" width="29.625" customWidth="1"/>
    <col min="14340" max="14340" width="16.75" customWidth="1"/>
    <col min="14341" max="14341" width="21.375" customWidth="1"/>
    <col min="14342" max="14342" width="16.75" customWidth="1"/>
    <col min="14343" max="14343" width="20.625" customWidth="1"/>
    <col min="14344" max="14344" width="27.125" customWidth="1"/>
    <col min="14345" max="14345" width="49.625" customWidth="1"/>
    <col min="14346" max="14346" width="20.75" customWidth="1"/>
    <col min="14347" max="14347" width="36.625" customWidth="1"/>
    <col min="14348" max="14348" width="9.125" bestFit="1" customWidth="1"/>
    <col min="14349" max="14349" width="15.875" bestFit="1" customWidth="1"/>
    <col min="14350" max="14350" width="9.125" bestFit="1" customWidth="1"/>
    <col min="14593" max="14593" width="19.75" customWidth="1"/>
    <col min="14594" max="14594" width="21.5" customWidth="1"/>
    <col min="14595" max="14595" width="29.625" customWidth="1"/>
    <col min="14596" max="14596" width="16.75" customWidth="1"/>
    <col min="14597" max="14597" width="21.375" customWidth="1"/>
    <col min="14598" max="14598" width="16.75" customWidth="1"/>
    <col min="14599" max="14599" width="20.625" customWidth="1"/>
    <col min="14600" max="14600" width="27.125" customWidth="1"/>
    <col min="14601" max="14601" width="49.625" customWidth="1"/>
    <col min="14602" max="14602" width="20.75" customWidth="1"/>
    <col min="14603" max="14603" width="36.625" customWidth="1"/>
    <col min="14604" max="14604" width="9.125" bestFit="1" customWidth="1"/>
    <col min="14605" max="14605" width="15.875" bestFit="1" customWidth="1"/>
    <col min="14606" max="14606" width="9.125" bestFit="1" customWidth="1"/>
    <col min="14849" max="14849" width="19.75" customWidth="1"/>
    <col min="14850" max="14850" width="21.5" customWidth="1"/>
    <col min="14851" max="14851" width="29.625" customWidth="1"/>
    <col min="14852" max="14852" width="16.75" customWidth="1"/>
    <col min="14853" max="14853" width="21.375" customWidth="1"/>
    <col min="14854" max="14854" width="16.75" customWidth="1"/>
    <col min="14855" max="14855" width="20.625" customWidth="1"/>
    <col min="14856" max="14856" width="27.125" customWidth="1"/>
    <col min="14857" max="14857" width="49.625" customWidth="1"/>
    <col min="14858" max="14858" width="20.75" customWidth="1"/>
    <col min="14859" max="14859" width="36.625" customWidth="1"/>
    <col min="14860" max="14860" width="9.125" bestFit="1" customWidth="1"/>
    <col min="14861" max="14861" width="15.875" bestFit="1" customWidth="1"/>
    <col min="14862" max="14862" width="9.125" bestFit="1" customWidth="1"/>
    <col min="15105" max="15105" width="19.75" customWidth="1"/>
    <col min="15106" max="15106" width="21.5" customWidth="1"/>
    <col min="15107" max="15107" width="29.625" customWidth="1"/>
    <col min="15108" max="15108" width="16.75" customWidth="1"/>
    <col min="15109" max="15109" width="21.375" customWidth="1"/>
    <col min="15110" max="15110" width="16.75" customWidth="1"/>
    <col min="15111" max="15111" width="20.625" customWidth="1"/>
    <col min="15112" max="15112" width="27.125" customWidth="1"/>
    <col min="15113" max="15113" width="49.625" customWidth="1"/>
    <col min="15114" max="15114" width="20.75" customWidth="1"/>
    <col min="15115" max="15115" width="36.625" customWidth="1"/>
    <col min="15116" max="15116" width="9.125" bestFit="1" customWidth="1"/>
    <col min="15117" max="15117" width="15.875" bestFit="1" customWidth="1"/>
    <col min="15118" max="15118" width="9.125" bestFit="1" customWidth="1"/>
    <col min="15361" max="15361" width="19.75" customWidth="1"/>
    <col min="15362" max="15362" width="21.5" customWidth="1"/>
    <col min="15363" max="15363" width="29.625" customWidth="1"/>
    <col min="15364" max="15364" width="16.75" customWidth="1"/>
    <col min="15365" max="15365" width="21.375" customWidth="1"/>
    <col min="15366" max="15366" width="16.75" customWidth="1"/>
    <col min="15367" max="15367" width="20.625" customWidth="1"/>
    <col min="15368" max="15368" width="27.125" customWidth="1"/>
    <col min="15369" max="15369" width="49.625" customWidth="1"/>
    <col min="15370" max="15370" width="20.75" customWidth="1"/>
    <col min="15371" max="15371" width="36.625" customWidth="1"/>
    <col min="15372" max="15372" width="9.125" bestFit="1" customWidth="1"/>
    <col min="15373" max="15373" width="15.875" bestFit="1" customWidth="1"/>
    <col min="15374" max="15374" width="9.125" bestFit="1" customWidth="1"/>
    <col min="15617" max="15617" width="19.75" customWidth="1"/>
    <col min="15618" max="15618" width="21.5" customWidth="1"/>
    <col min="15619" max="15619" width="29.625" customWidth="1"/>
    <col min="15620" max="15620" width="16.75" customWidth="1"/>
    <col min="15621" max="15621" width="21.375" customWidth="1"/>
    <col min="15622" max="15622" width="16.75" customWidth="1"/>
    <col min="15623" max="15623" width="20.625" customWidth="1"/>
    <col min="15624" max="15624" width="27.125" customWidth="1"/>
    <col min="15625" max="15625" width="49.625" customWidth="1"/>
    <col min="15626" max="15626" width="20.75" customWidth="1"/>
    <col min="15627" max="15627" width="36.625" customWidth="1"/>
    <col min="15628" max="15628" width="9.125" bestFit="1" customWidth="1"/>
    <col min="15629" max="15629" width="15.875" bestFit="1" customWidth="1"/>
    <col min="15630" max="15630" width="9.125" bestFit="1" customWidth="1"/>
    <col min="15873" max="15873" width="19.75" customWidth="1"/>
    <col min="15874" max="15874" width="21.5" customWidth="1"/>
    <col min="15875" max="15875" width="29.625" customWidth="1"/>
    <col min="15876" max="15876" width="16.75" customWidth="1"/>
    <col min="15877" max="15877" width="21.375" customWidth="1"/>
    <col min="15878" max="15878" width="16.75" customWidth="1"/>
    <col min="15879" max="15879" width="20.625" customWidth="1"/>
    <col min="15880" max="15880" width="27.125" customWidth="1"/>
    <col min="15881" max="15881" width="49.625" customWidth="1"/>
    <col min="15882" max="15882" width="20.75" customWidth="1"/>
    <col min="15883" max="15883" width="36.625" customWidth="1"/>
    <col min="15884" max="15884" width="9.125" bestFit="1" customWidth="1"/>
    <col min="15885" max="15885" width="15.875" bestFit="1" customWidth="1"/>
    <col min="15886" max="15886" width="9.125" bestFit="1" customWidth="1"/>
    <col min="16129" max="16129" width="19.75" customWidth="1"/>
    <col min="16130" max="16130" width="21.5" customWidth="1"/>
    <col min="16131" max="16131" width="29.625" customWidth="1"/>
    <col min="16132" max="16132" width="16.75" customWidth="1"/>
    <col min="16133" max="16133" width="21.375" customWidth="1"/>
    <col min="16134" max="16134" width="16.75" customWidth="1"/>
    <col min="16135" max="16135" width="20.625" customWidth="1"/>
    <col min="16136" max="16136" width="27.125" customWidth="1"/>
    <col min="16137" max="16137" width="49.625" customWidth="1"/>
    <col min="16138" max="16138" width="20.75" customWidth="1"/>
    <col min="16139" max="16139" width="36.625" customWidth="1"/>
    <col min="16140" max="16140" width="9.125" bestFit="1" customWidth="1"/>
    <col min="16141" max="16141" width="15.875" bestFit="1" customWidth="1"/>
    <col min="16142" max="16142" width="9.125" bestFit="1" customWidth="1"/>
  </cols>
  <sheetData>
    <row r="13" spans="1:3" ht="15.75">
      <c r="A13" s="90" t="s">
        <v>125</v>
      </c>
      <c r="B13" s="90" t="s">
        <v>128</v>
      </c>
      <c r="C13" s="91" t="s">
        <v>54</v>
      </c>
    </row>
    <row r="14" spans="1:3" ht="15">
      <c r="A14" s="24" t="s">
        <v>126</v>
      </c>
      <c r="B14" s="24" t="s">
        <v>123</v>
      </c>
      <c r="C14" s="97">
        <v>41.1</v>
      </c>
    </row>
    <row r="15" spans="1:3" ht="15">
      <c r="A15" s="24" t="s">
        <v>126</v>
      </c>
      <c r="B15" s="24" t="s">
        <v>130</v>
      </c>
      <c r="C15" s="97">
        <v>41.1</v>
      </c>
    </row>
    <row r="16" spans="1:3" ht="15">
      <c r="A16" s="24"/>
      <c r="B16" s="94" t="s">
        <v>132</v>
      </c>
      <c r="C16" s="36" t="s">
        <v>62</v>
      </c>
    </row>
    <row r="17" spans="1:3" ht="15">
      <c r="A17" s="24" t="s">
        <v>127</v>
      </c>
      <c r="B17" s="24" t="s">
        <v>123</v>
      </c>
      <c r="C17" s="97">
        <v>41.1</v>
      </c>
    </row>
    <row r="18" spans="1:3" ht="15.75">
      <c r="A18" s="24" t="s">
        <v>127</v>
      </c>
      <c r="B18" s="96" t="s">
        <v>129</v>
      </c>
      <c r="C18" s="97">
        <v>41.1</v>
      </c>
    </row>
    <row r="19" spans="1:3" ht="15">
      <c r="A19" s="95"/>
      <c r="B19" s="94" t="s">
        <v>133</v>
      </c>
      <c r="C19" s="36" t="s">
        <v>86</v>
      </c>
    </row>
    <row r="20" spans="1:3" ht="15.75">
      <c r="A20" s="95"/>
      <c r="B20" s="2812" t="s">
        <v>131</v>
      </c>
      <c r="C20" s="2813"/>
    </row>
    <row r="25" spans="1:3" ht="15">
      <c r="A25" s="99" t="s">
        <v>136</v>
      </c>
      <c r="B25" s="100" t="s">
        <v>52</v>
      </c>
      <c r="C25" s="100" t="s">
        <v>111</v>
      </c>
    </row>
    <row r="26" spans="1:3" ht="14.25">
      <c r="A26" s="55">
        <v>1130</v>
      </c>
      <c r="B26" s="71">
        <v>30</v>
      </c>
      <c r="C26" s="71" t="s">
        <v>137</v>
      </c>
    </row>
    <row r="27" spans="1:3" ht="14.25">
      <c r="A27" s="55">
        <v>1130</v>
      </c>
      <c r="B27" s="71">
        <v>30</v>
      </c>
      <c r="C27" s="71" t="s">
        <v>138</v>
      </c>
    </row>
    <row r="28" spans="1:3" ht="14.25">
      <c r="A28" s="55"/>
      <c r="B28" s="74"/>
      <c r="C28" s="55" t="s">
        <v>31</v>
      </c>
    </row>
    <row r="31" spans="1:3" ht="15">
      <c r="A31" s="99" t="s">
        <v>106</v>
      </c>
      <c r="B31" s="100" t="s">
        <v>128</v>
      </c>
      <c r="C31" s="100" t="s">
        <v>54</v>
      </c>
    </row>
    <row r="32" spans="1:3" ht="15">
      <c r="A32" s="24" t="s">
        <v>122</v>
      </c>
      <c r="B32" s="24" t="s">
        <v>78</v>
      </c>
      <c r="C32" s="54">
        <v>54.8</v>
      </c>
    </row>
    <row r="33" spans="1:5" ht="14.25">
      <c r="A33" s="55"/>
      <c r="B33" s="55" t="s">
        <v>31</v>
      </c>
      <c r="C33" s="35" t="s">
        <v>86</v>
      </c>
    </row>
    <row r="39" spans="1:5" ht="15">
      <c r="A39" s="15"/>
      <c r="B39" s="20" t="s">
        <v>141</v>
      </c>
      <c r="C39" s="26"/>
      <c r="D39" s="67"/>
      <c r="E39" s="68"/>
    </row>
    <row r="40" spans="1:5" ht="15">
      <c r="A40" s="15" t="s">
        <v>28</v>
      </c>
      <c r="B40" s="95" t="s">
        <v>142</v>
      </c>
      <c r="C40" s="26"/>
      <c r="D40" s="54">
        <v>13.7</v>
      </c>
      <c r="E40" s="64">
        <v>2</v>
      </c>
    </row>
    <row r="41" spans="1:5" ht="15">
      <c r="A41" s="15" t="s">
        <v>28</v>
      </c>
      <c r="B41" s="95" t="s">
        <v>142</v>
      </c>
      <c r="C41" s="26"/>
      <c r="D41" s="54">
        <v>13.7</v>
      </c>
      <c r="E41" s="64">
        <v>2</v>
      </c>
    </row>
    <row r="42" spans="1:5" ht="15">
      <c r="A42" s="15" t="s">
        <v>28</v>
      </c>
      <c r="B42" s="95"/>
      <c r="C42" s="26"/>
      <c r="D42" s="102" t="s">
        <v>146</v>
      </c>
      <c r="E42" s="64"/>
    </row>
    <row r="44" spans="1:5" ht="15">
      <c r="A44" s="99" t="s">
        <v>106</v>
      </c>
      <c r="B44" s="100" t="s">
        <v>128</v>
      </c>
      <c r="C44" s="100" t="s">
        <v>54</v>
      </c>
      <c r="D44" s="101" t="s">
        <v>139</v>
      </c>
    </row>
    <row r="45" spans="1:5" ht="15">
      <c r="A45" s="103" t="s">
        <v>147</v>
      </c>
      <c r="B45" s="103" t="s">
        <v>148</v>
      </c>
      <c r="C45" s="583">
        <v>698.69999999999993</v>
      </c>
      <c r="D45" s="25">
        <v>2.4</v>
      </c>
    </row>
    <row r="46" spans="1:5" ht="15">
      <c r="A46" s="103" t="s">
        <v>87</v>
      </c>
      <c r="B46" s="103" t="s">
        <v>166</v>
      </c>
      <c r="C46" s="583">
        <v>191.79999999999998</v>
      </c>
      <c r="D46" s="25">
        <v>2.4</v>
      </c>
    </row>
    <row r="47" spans="1:5" ht="15">
      <c r="A47" s="103" t="s">
        <v>150</v>
      </c>
      <c r="B47" s="103" t="s">
        <v>148</v>
      </c>
      <c r="C47" s="583">
        <v>826</v>
      </c>
      <c r="D47" s="25">
        <v>1.3</v>
      </c>
    </row>
    <row r="51" spans="1:3" ht="15">
      <c r="A51" s="99" t="s">
        <v>106</v>
      </c>
      <c r="B51" s="100" t="s">
        <v>128</v>
      </c>
      <c r="C51" s="100" t="s">
        <v>54</v>
      </c>
    </row>
    <row r="52" spans="1:3" ht="15">
      <c r="A52" s="24" t="s">
        <v>154</v>
      </c>
      <c r="B52" s="24" t="s">
        <v>78</v>
      </c>
      <c r="C52" s="54">
        <v>13.7</v>
      </c>
    </row>
    <row r="53" spans="1:3" ht="15">
      <c r="A53" s="24" t="s">
        <v>155</v>
      </c>
      <c r="B53" s="24" t="s">
        <v>78</v>
      </c>
      <c r="C53" s="54">
        <v>13.7</v>
      </c>
    </row>
    <row r="54" spans="1:3" ht="15">
      <c r="A54" s="24" t="s">
        <v>156</v>
      </c>
      <c r="B54" s="24" t="s">
        <v>78</v>
      </c>
      <c r="C54" s="54">
        <v>5</v>
      </c>
    </row>
    <row r="55" spans="1:3" ht="15">
      <c r="A55" s="95" t="s">
        <v>158</v>
      </c>
      <c r="B55" s="24" t="s">
        <v>78</v>
      </c>
      <c r="C55" s="54">
        <v>5</v>
      </c>
    </row>
    <row r="56" spans="1:3" ht="15">
      <c r="A56" s="24" t="s">
        <v>157</v>
      </c>
      <c r="B56" s="24" t="s">
        <v>78</v>
      </c>
      <c r="C56" s="54">
        <v>4.5</v>
      </c>
    </row>
    <row r="57" spans="1:3" ht="15">
      <c r="A57" s="24" t="s">
        <v>159</v>
      </c>
      <c r="B57" s="24"/>
      <c r="C57" s="102" t="s">
        <v>86</v>
      </c>
    </row>
    <row r="61" spans="1:3" ht="15">
      <c r="A61" s="99" t="s">
        <v>106</v>
      </c>
      <c r="B61" s="100" t="s">
        <v>52</v>
      </c>
      <c r="C61" s="100" t="s">
        <v>128</v>
      </c>
    </row>
    <row r="62" spans="1:3" ht="14.25">
      <c r="A62" s="55">
        <v>5603</v>
      </c>
      <c r="B62" s="71"/>
      <c r="C62" s="71" t="s">
        <v>160</v>
      </c>
    </row>
    <row r="63" spans="1:3" ht="14.25">
      <c r="A63" s="55">
        <v>5604</v>
      </c>
      <c r="B63" s="71"/>
      <c r="C63" s="71" t="s">
        <v>160</v>
      </c>
    </row>
    <row r="64" spans="1:3" ht="14.25">
      <c r="A64" s="55">
        <v>5606</v>
      </c>
      <c r="B64" s="71"/>
      <c r="C64" s="71" t="s">
        <v>160</v>
      </c>
    </row>
    <row r="65" spans="1:3" ht="14.25">
      <c r="A65" s="55">
        <v>5607</v>
      </c>
      <c r="B65" s="71"/>
      <c r="C65" s="71" t="s">
        <v>160</v>
      </c>
    </row>
    <row r="66" spans="1:3" ht="15">
      <c r="A66" s="24">
        <v>1095</v>
      </c>
      <c r="B66" s="26">
        <v>150</v>
      </c>
      <c r="C66" s="24" t="s">
        <v>26</v>
      </c>
    </row>
    <row r="67" spans="1:3" ht="14.25">
      <c r="A67" s="55"/>
      <c r="B67" s="74"/>
      <c r="C67" s="55" t="s">
        <v>31</v>
      </c>
    </row>
    <row r="73" spans="1:3">
      <c r="A73" s="107" t="s">
        <v>64</v>
      </c>
      <c r="B73" s="108" t="s">
        <v>162</v>
      </c>
      <c r="C73" s="108" t="s">
        <v>163</v>
      </c>
    </row>
    <row r="74" spans="1:3" ht="14.25">
      <c r="A74" s="104">
        <v>9025</v>
      </c>
      <c r="B74" s="105" t="s">
        <v>161</v>
      </c>
      <c r="C74" s="106">
        <v>20</v>
      </c>
    </row>
    <row r="75" spans="1:3" ht="14.25">
      <c r="A75" s="104">
        <v>9072</v>
      </c>
      <c r="B75" s="105" t="s">
        <v>161</v>
      </c>
      <c r="C75" s="106">
        <v>20</v>
      </c>
    </row>
    <row r="76" spans="1:3" ht="14.25">
      <c r="A76" s="104">
        <v>9041</v>
      </c>
      <c r="B76" s="105" t="s">
        <v>161</v>
      </c>
      <c r="C76" s="106">
        <v>20</v>
      </c>
    </row>
    <row r="77" spans="1:3" ht="14.25">
      <c r="A77" s="104">
        <v>9075</v>
      </c>
      <c r="B77" s="105" t="s">
        <v>161</v>
      </c>
      <c r="C77" s="106">
        <v>20</v>
      </c>
    </row>
    <row r="78" spans="1:3" ht="14.25">
      <c r="A78" s="104">
        <v>9054</v>
      </c>
      <c r="B78" s="105" t="s">
        <v>161</v>
      </c>
      <c r="C78" s="106">
        <v>20</v>
      </c>
    </row>
    <row r="79" spans="1:3" ht="14.25">
      <c r="A79" s="104">
        <v>9057</v>
      </c>
      <c r="B79" s="105" t="s">
        <v>161</v>
      </c>
      <c r="C79" s="106">
        <v>20</v>
      </c>
    </row>
    <row r="80" spans="1:3" ht="14.25">
      <c r="A80" s="104">
        <v>9015</v>
      </c>
      <c r="B80" s="105" t="s">
        <v>161</v>
      </c>
      <c r="C80" s="106">
        <v>20</v>
      </c>
    </row>
    <row r="81" spans="1:3" ht="14.25">
      <c r="A81" s="104">
        <v>9047</v>
      </c>
      <c r="B81" s="105" t="s">
        <v>161</v>
      </c>
      <c r="C81" s="106">
        <v>20</v>
      </c>
    </row>
    <row r="82" spans="1:3" ht="14.25">
      <c r="A82" s="104">
        <v>9061</v>
      </c>
      <c r="B82" s="105" t="s">
        <v>161</v>
      </c>
      <c r="C82" s="106">
        <v>20</v>
      </c>
    </row>
    <row r="83" spans="1:3" ht="14.25">
      <c r="A83" s="104">
        <v>9048</v>
      </c>
      <c r="B83" s="105" t="s">
        <v>161</v>
      </c>
      <c r="C83" s="106">
        <v>20</v>
      </c>
    </row>
    <row r="84" spans="1:3" ht="14.25">
      <c r="A84" s="104">
        <v>9063</v>
      </c>
      <c r="B84" s="105" t="s">
        <v>161</v>
      </c>
      <c r="C84" s="106">
        <v>20</v>
      </c>
    </row>
    <row r="87" spans="1:3" ht="15">
      <c r="A87" s="99" t="s">
        <v>106</v>
      </c>
      <c r="B87" s="100" t="s">
        <v>128</v>
      </c>
      <c r="C87" s="100" t="s">
        <v>54</v>
      </c>
    </row>
    <row r="88" spans="1:3" ht="14.25">
      <c r="A88" s="55">
        <v>4191</v>
      </c>
      <c r="B88" s="71" t="s">
        <v>99</v>
      </c>
      <c r="C88" s="54">
        <v>30</v>
      </c>
    </row>
    <row r="89" spans="1:3" ht="14.25">
      <c r="A89" s="55">
        <v>4192</v>
      </c>
      <c r="B89" s="71" t="s">
        <v>99</v>
      </c>
      <c r="C89" s="54">
        <v>30</v>
      </c>
    </row>
    <row r="90" spans="1:3" ht="14.25">
      <c r="A90" s="55">
        <v>4191</v>
      </c>
      <c r="B90" s="71" t="s">
        <v>46</v>
      </c>
      <c r="C90" s="54">
        <v>30</v>
      </c>
    </row>
    <row r="91" spans="1:3" ht="14.25">
      <c r="A91" s="55">
        <v>4192</v>
      </c>
      <c r="B91" s="71" t="s">
        <v>46</v>
      </c>
      <c r="C91" s="54">
        <v>30</v>
      </c>
    </row>
    <row r="92" spans="1:3" ht="14.25">
      <c r="A92" s="55"/>
      <c r="B92" s="55" t="s">
        <v>31</v>
      </c>
      <c r="C92" s="35" t="s">
        <v>86</v>
      </c>
    </row>
    <row r="99" spans="1:3" ht="15">
      <c r="A99" s="99" t="s">
        <v>106</v>
      </c>
      <c r="B99" s="99" t="s">
        <v>52</v>
      </c>
      <c r="C99" s="100" t="s">
        <v>128</v>
      </c>
    </row>
    <row r="100" spans="1:3" ht="14.25">
      <c r="A100" s="55">
        <v>3713</v>
      </c>
      <c r="B100" s="71">
        <v>18</v>
      </c>
      <c r="C100" s="71" t="s">
        <v>170</v>
      </c>
    </row>
    <row r="101" spans="1:3" ht="14.25">
      <c r="A101" s="55">
        <v>4069</v>
      </c>
      <c r="B101" s="71"/>
      <c r="C101" s="71" t="s">
        <v>171</v>
      </c>
    </row>
    <row r="102" spans="1:3" ht="14.25">
      <c r="A102" s="55">
        <v>4069</v>
      </c>
      <c r="B102" s="71"/>
      <c r="C102" s="71" t="s">
        <v>103</v>
      </c>
    </row>
    <row r="103" spans="1:3" ht="15">
      <c r="A103" s="24"/>
      <c r="B103" s="26"/>
      <c r="C103" s="24" t="s">
        <v>31</v>
      </c>
    </row>
    <row r="107" spans="1:3" ht="15">
      <c r="A107" s="99" t="s">
        <v>106</v>
      </c>
      <c r="B107" s="99" t="s">
        <v>52</v>
      </c>
      <c r="C107" s="100" t="s">
        <v>128</v>
      </c>
    </row>
    <row r="108" spans="1:3" ht="15">
      <c r="A108" s="24">
        <v>11700</v>
      </c>
      <c r="B108" s="26">
        <v>9</v>
      </c>
      <c r="C108" s="24" t="s">
        <v>6</v>
      </c>
    </row>
    <row r="109" spans="1:3" ht="15">
      <c r="A109" s="24">
        <v>11700</v>
      </c>
      <c r="B109" s="26">
        <v>12</v>
      </c>
      <c r="C109" s="24" t="s">
        <v>6</v>
      </c>
    </row>
    <row r="110" spans="1:3" ht="15">
      <c r="A110" s="24">
        <v>11700</v>
      </c>
      <c r="B110" s="26">
        <v>9</v>
      </c>
      <c r="C110" s="24" t="s">
        <v>173</v>
      </c>
    </row>
    <row r="111" spans="1:3" ht="15">
      <c r="A111" s="24">
        <v>11700</v>
      </c>
      <c r="B111" s="26">
        <v>12</v>
      </c>
      <c r="C111" s="24" t="s">
        <v>173</v>
      </c>
    </row>
    <row r="112" spans="1:3" ht="14.25">
      <c r="A112" s="55"/>
      <c r="B112" s="74"/>
      <c r="C112" s="55" t="s">
        <v>31</v>
      </c>
    </row>
    <row r="115" spans="1:5" ht="15">
      <c r="E115" s="101"/>
    </row>
    <row r="116" spans="1:5" ht="15">
      <c r="A116" s="99" t="s">
        <v>106</v>
      </c>
      <c r="B116" s="100" t="s">
        <v>128</v>
      </c>
      <c r="C116" s="100" t="s">
        <v>54</v>
      </c>
    </row>
    <row r="117" spans="1:5" ht="15">
      <c r="A117" s="24">
        <v>5600</v>
      </c>
      <c r="B117" s="24" t="s">
        <v>76</v>
      </c>
      <c r="C117" s="8">
        <v>20</v>
      </c>
    </row>
    <row r="118" spans="1:5" ht="15">
      <c r="A118" s="24"/>
      <c r="B118" s="24" t="s">
        <v>75</v>
      </c>
      <c r="C118" s="36">
        <v>1</v>
      </c>
    </row>
    <row r="119" spans="1:5" ht="15">
      <c r="A119" s="24"/>
      <c r="B119" s="24" t="s">
        <v>31</v>
      </c>
      <c r="C119" s="36">
        <v>1</v>
      </c>
    </row>
    <row r="125" spans="1:5" ht="15">
      <c r="A125" s="99" t="s">
        <v>106</v>
      </c>
      <c r="B125" s="100" t="s">
        <v>128</v>
      </c>
      <c r="C125" s="100" t="s">
        <v>54</v>
      </c>
    </row>
    <row r="126" spans="1:5" ht="15">
      <c r="A126" s="24" t="s">
        <v>179</v>
      </c>
      <c r="B126" s="24" t="s">
        <v>78</v>
      </c>
      <c r="C126" s="54">
        <v>13.7</v>
      </c>
    </row>
    <row r="127" spans="1:5" ht="15">
      <c r="A127" s="24"/>
      <c r="B127" s="24" t="s">
        <v>31</v>
      </c>
      <c r="C127" s="36">
        <v>1</v>
      </c>
    </row>
    <row r="133" spans="1:5" ht="15">
      <c r="A133" s="99" t="s">
        <v>106</v>
      </c>
      <c r="B133" s="100" t="s">
        <v>128</v>
      </c>
      <c r="C133" s="100" t="s">
        <v>2</v>
      </c>
      <c r="D133" s="101" t="s">
        <v>139</v>
      </c>
    </row>
    <row r="134" spans="1:5" ht="15">
      <c r="A134" s="24" t="s">
        <v>121</v>
      </c>
      <c r="B134" s="24" t="s">
        <v>180</v>
      </c>
      <c r="C134" s="54">
        <v>13.7</v>
      </c>
      <c r="D134" s="25">
        <v>2.2400000000000002</v>
      </c>
    </row>
    <row r="135" spans="1:5" ht="15">
      <c r="A135" s="24" t="s">
        <v>121</v>
      </c>
      <c r="B135" s="95" t="s">
        <v>183</v>
      </c>
      <c r="C135" s="54">
        <v>13.7</v>
      </c>
      <c r="D135" s="25">
        <v>2.2400000000000002</v>
      </c>
    </row>
    <row r="138" spans="1:5" ht="15">
      <c r="A138" s="99" t="s">
        <v>106</v>
      </c>
      <c r="B138" s="99" t="s">
        <v>52</v>
      </c>
      <c r="C138" s="100" t="s">
        <v>128</v>
      </c>
      <c r="D138" s="100" t="s">
        <v>181</v>
      </c>
      <c r="E138" s="101" t="s">
        <v>139</v>
      </c>
    </row>
    <row r="139" spans="1:5" ht="15">
      <c r="A139" s="24">
        <v>11700</v>
      </c>
      <c r="B139" s="26">
        <v>24</v>
      </c>
      <c r="C139" s="24" t="s">
        <v>184</v>
      </c>
      <c r="D139" s="8">
        <v>20</v>
      </c>
      <c r="E139" s="46">
        <v>2.02</v>
      </c>
    </row>
    <row r="140" spans="1:5" ht="15">
      <c r="A140" s="24">
        <v>11700</v>
      </c>
      <c r="B140" s="26">
        <v>24</v>
      </c>
      <c r="C140" s="24" t="s">
        <v>185</v>
      </c>
      <c r="D140" s="8">
        <v>10</v>
      </c>
      <c r="E140" s="46">
        <v>2.02</v>
      </c>
    </row>
    <row r="141" spans="1:5" ht="15">
      <c r="A141" s="24">
        <v>3030</v>
      </c>
      <c r="B141" s="26">
        <v>4</v>
      </c>
      <c r="C141" s="24" t="s">
        <v>184</v>
      </c>
      <c r="D141" s="8">
        <v>150</v>
      </c>
      <c r="E141" s="46">
        <v>0.15</v>
      </c>
    </row>
    <row r="142" spans="1:5" ht="15">
      <c r="A142" s="24" t="s">
        <v>186</v>
      </c>
      <c r="B142" s="26"/>
      <c r="C142" s="24" t="s">
        <v>187</v>
      </c>
      <c r="D142" s="8">
        <v>100</v>
      </c>
      <c r="E142" s="46">
        <v>0.33</v>
      </c>
    </row>
    <row r="143" spans="1:5" ht="15">
      <c r="A143" s="24" t="s">
        <v>186</v>
      </c>
      <c r="B143" s="26"/>
      <c r="C143" s="24" t="s">
        <v>188</v>
      </c>
      <c r="D143" s="8">
        <v>100</v>
      </c>
      <c r="E143" s="46">
        <v>0.33</v>
      </c>
    </row>
    <row r="144" spans="1:5" ht="15">
      <c r="A144" s="24">
        <v>3212</v>
      </c>
      <c r="B144" s="26"/>
      <c r="C144" s="24" t="s">
        <v>29</v>
      </c>
      <c r="D144" s="8">
        <v>100</v>
      </c>
      <c r="E144" s="46">
        <v>0.8</v>
      </c>
    </row>
    <row r="145" spans="1:5" ht="14.25">
      <c r="A145" s="55"/>
      <c r="B145" s="74"/>
      <c r="C145" s="55" t="s">
        <v>31</v>
      </c>
      <c r="D145" s="35"/>
      <c r="E145" s="40">
        <v>12</v>
      </c>
    </row>
    <row r="149" spans="1:5" ht="15">
      <c r="A149" s="99" t="s">
        <v>191</v>
      </c>
      <c r="B149" s="99" t="s">
        <v>106</v>
      </c>
      <c r="C149" s="99" t="s">
        <v>52</v>
      </c>
      <c r="D149" s="100" t="s">
        <v>182</v>
      </c>
      <c r="E149" s="100" t="s">
        <v>181</v>
      </c>
    </row>
    <row r="150" spans="1:5" ht="15">
      <c r="A150" s="33" t="s">
        <v>189</v>
      </c>
      <c r="B150" s="24" t="s">
        <v>176</v>
      </c>
      <c r="C150" s="26">
        <v>30</v>
      </c>
      <c r="D150" s="41">
        <v>3</v>
      </c>
      <c r="E150" s="8">
        <v>60</v>
      </c>
    </row>
    <row r="151" spans="1:5" ht="15">
      <c r="A151" s="33" t="s">
        <v>189</v>
      </c>
      <c r="B151" s="24" t="s">
        <v>176</v>
      </c>
      <c r="C151" s="26">
        <v>30</v>
      </c>
      <c r="D151" s="41">
        <v>3</v>
      </c>
      <c r="E151" s="8">
        <v>60</v>
      </c>
    </row>
    <row r="152" spans="1:5" ht="15">
      <c r="A152" s="33" t="s">
        <v>189</v>
      </c>
      <c r="B152" s="55"/>
      <c r="C152" s="74"/>
      <c r="D152" s="37"/>
      <c r="E152" s="35"/>
    </row>
    <row r="156" spans="1:5" ht="15">
      <c r="A156" s="99" t="s">
        <v>106</v>
      </c>
      <c r="B156" s="100" t="s">
        <v>128</v>
      </c>
      <c r="C156" s="100" t="s">
        <v>54</v>
      </c>
    </row>
    <row r="157" spans="1:5" ht="15">
      <c r="A157" s="24" t="s">
        <v>197</v>
      </c>
      <c r="B157" s="24" t="s">
        <v>78</v>
      </c>
      <c r="C157" s="54">
        <v>5</v>
      </c>
    </row>
    <row r="158" spans="1:5" ht="15">
      <c r="A158" s="24" t="s">
        <v>198</v>
      </c>
      <c r="B158" s="24" t="s">
        <v>78</v>
      </c>
      <c r="C158" s="54">
        <v>5</v>
      </c>
    </row>
    <row r="159" spans="1:5" ht="15">
      <c r="A159" s="24" t="s">
        <v>91</v>
      </c>
      <c r="B159" s="24" t="s">
        <v>78</v>
      </c>
      <c r="C159" s="54">
        <v>5</v>
      </c>
    </row>
    <row r="160" spans="1:5" ht="15">
      <c r="A160" s="24" t="s">
        <v>199</v>
      </c>
      <c r="B160" s="24" t="s">
        <v>200</v>
      </c>
      <c r="C160" s="54">
        <v>5</v>
      </c>
    </row>
    <row r="161" spans="1:5" ht="14.25">
      <c r="A161" s="55"/>
      <c r="B161" s="55" t="s">
        <v>31</v>
      </c>
      <c r="C161" s="35" t="s">
        <v>86</v>
      </c>
    </row>
    <row r="164" spans="1:5" ht="15">
      <c r="A164" s="99" t="s">
        <v>191</v>
      </c>
      <c r="B164" s="99" t="s">
        <v>202</v>
      </c>
      <c r="C164" s="99" t="s">
        <v>106</v>
      </c>
      <c r="D164" s="100" t="s">
        <v>2</v>
      </c>
      <c r="E164" s="100" t="s">
        <v>182</v>
      </c>
    </row>
    <row r="165" spans="1:5" ht="15">
      <c r="A165" s="6" t="s">
        <v>201</v>
      </c>
      <c r="B165" s="15" t="s">
        <v>172</v>
      </c>
      <c r="C165" s="24" t="s">
        <v>90</v>
      </c>
      <c r="D165" s="35">
        <v>14</v>
      </c>
      <c r="E165" s="37">
        <v>4</v>
      </c>
    </row>
    <row r="167" spans="1:5" ht="15">
      <c r="A167" s="99" t="s">
        <v>106</v>
      </c>
      <c r="B167" s="99" t="s">
        <v>52</v>
      </c>
      <c r="C167" s="100" t="s">
        <v>128</v>
      </c>
      <c r="D167" s="100" t="s">
        <v>181</v>
      </c>
      <c r="E167" s="101" t="s">
        <v>139</v>
      </c>
    </row>
    <row r="168" spans="1:5" ht="15">
      <c r="A168" s="24">
        <v>4143</v>
      </c>
      <c r="B168" s="26" t="s">
        <v>210</v>
      </c>
      <c r="C168" s="24" t="s">
        <v>48</v>
      </c>
      <c r="D168" s="8">
        <v>120</v>
      </c>
      <c r="E168" s="46">
        <v>1.7</v>
      </c>
    </row>
    <row r="169" spans="1:5" ht="14.25">
      <c r="A169" s="55"/>
      <c r="B169" s="63"/>
      <c r="C169" s="55" t="s">
        <v>31</v>
      </c>
      <c r="D169" s="54"/>
      <c r="E169" s="40">
        <v>12</v>
      </c>
    </row>
    <row r="170" spans="1:5" ht="15">
      <c r="A170" s="99" t="s">
        <v>106</v>
      </c>
      <c r="B170" s="100" t="s">
        <v>128</v>
      </c>
      <c r="C170" s="100" t="s">
        <v>2</v>
      </c>
      <c r="D170" s="101" t="s">
        <v>139</v>
      </c>
    </row>
    <row r="171" spans="1:5" ht="15">
      <c r="A171" s="55">
        <v>4069</v>
      </c>
      <c r="B171" s="71" t="s">
        <v>211</v>
      </c>
      <c r="C171" s="8">
        <v>30</v>
      </c>
      <c r="D171" s="46">
        <v>1.57</v>
      </c>
    </row>
    <row r="172" spans="1:5" ht="15">
      <c r="A172" s="24"/>
      <c r="B172" s="24" t="s">
        <v>31</v>
      </c>
      <c r="C172" s="36">
        <v>1</v>
      </c>
      <c r="D172" s="40">
        <v>12</v>
      </c>
    </row>
    <row r="174" spans="1:5">
      <c r="A174" s="114" t="s">
        <v>212</v>
      </c>
      <c r="B174" s="114" t="s">
        <v>213</v>
      </c>
      <c r="C174" s="114" t="s">
        <v>214</v>
      </c>
    </row>
    <row r="175" spans="1:5">
      <c r="A175" s="115" t="s">
        <v>215</v>
      </c>
      <c r="B175" s="116" t="s">
        <v>216</v>
      </c>
      <c r="C175" s="2814" t="s">
        <v>217</v>
      </c>
    </row>
    <row r="176" spans="1:5">
      <c r="A176" s="115" t="s">
        <v>218</v>
      </c>
      <c r="B176" s="116" t="s">
        <v>219</v>
      </c>
      <c r="C176" s="2815"/>
    </row>
    <row r="177" spans="1:5">
      <c r="A177" s="115" t="s">
        <v>220</v>
      </c>
      <c r="B177" s="116" t="s">
        <v>221</v>
      </c>
      <c r="C177" s="2815"/>
    </row>
    <row r="178" spans="1:5">
      <c r="A178" s="115" t="s">
        <v>222</v>
      </c>
      <c r="B178" s="116">
        <v>1454</v>
      </c>
      <c r="C178" s="2815"/>
    </row>
    <row r="179" spans="1:5">
      <c r="A179" s="115" t="s">
        <v>223</v>
      </c>
      <c r="B179" s="116">
        <v>1476</v>
      </c>
      <c r="C179" s="2815"/>
    </row>
    <row r="180" spans="1:5">
      <c r="A180" s="118" t="s">
        <v>224</v>
      </c>
      <c r="B180" s="117">
        <v>1508</v>
      </c>
      <c r="C180" s="2816"/>
    </row>
    <row r="182" spans="1:5" ht="15">
      <c r="A182" s="99" t="s">
        <v>191</v>
      </c>
      <c r="B182" s="99" t="s">
        <v>106</v>
      </c>
      <c r="C182" s="100" t="s">
        <v>128</v>
      </c>
      <c r="D182" s="100" t="s">
        <v>181</v>
      </c>
      <c r="E182" s="101" t="s">
        <v>139</v>
      </c>
    </row>
    <row r="183" spans="1:5" ht="15">
      <c r="A183" s="33" t="s">
        <v>225</v>
      </c>
      <c r="B183" s="24" t="s">
        <v>226</v>
      </c>
      <c r="C183" s="24" t="s">
        <v>144</v>
      </c>
      <c r="D183" s="86">
        <v>2329</v>
      </c>
      <c r="E183" s="25">
        <v>2.0499999999999998</v>
      </c>
    </row>
    <row r="184" spans="1:5" ht="15">
      <c r="A184" s="33" t="s">
        <v>225</v>
      </c>
      <c r="B184" s="24" t="s">
        <v>226</v>
      </c>
      <c r="C184" s="24" t="s">
        <v>227</v>
      </c>
      <c r="D184" s="86">
        <v>3315.3999999999996</v>
      </c>
      <c r="E184" s="25">
        <v>2.0499999999999998</v>
      </c>
    </row>
    <row r="185" spans="1:5" ht="15">
      <c r="A185" s="33" t="s">
        <v>225</v>
      </c>
      <c r="B185" s="24" t="s">
        <v>226</v>
      </c>
      <c r="C185" s="24" t="s">
        <v>167</v>
      </c>
      <c r="D185" s="86">
        <v>479.5</v>
      </c>
      <c r="E185" s="25">
        <v>2.0499999999999998</v>
      </c>
    </row>
    <row r="187" spans="1:5" ht="15">
      <c r="A187" s="99" t="s">
        <v>191</v>
      </c>
      <c r="B187" s="99" t="s">
        <v>106</v>
      </c>
      <c r="C187" s="100" t="s">
        <v>128</v>
      </c>
      <c r="D187" s="100" t="s">
        <v>181</v>
      </c>
      <c r="E187" s="101" t="s">
        <v>139</v>
      </c>
    </row>
    <row r="188" spans="1:5" ht="15">
      <c r="A188" s="6" t="s">
        <v>193</v>
      </c>
      <c r="B188" s="24" t="s">
        <v>179</v>
      </c>
      <c r="C188" s="24" t="s">
        <v>196</v>
      </c>
      <c r="D188" s="69">
        <v>945.3</v>
      </c>
    </row>
    <row r="192" spans="1:5" ht="15">
      <c r="A192" s="99" t="s">
        <v>106</v>
      </c>
      <c r="B192" s="100" t="s">
        <v>128</v>
      </c>
      <c r="C192" s="100" t="s">
        <v>2</v>
      </c>
      <c r="D192" s="101" t="s">
        <v>139</v>
      </c>
    </row>
    <row r="193" spans="1:5" ht="15">
      <c r="A193" s="55">
        <v>5631</v>
      </c>
      <c r="B193" s="71" t="s">
        <v>228</v>
      </c>
      <c r="C193" s="67">
        <v>50</v>
      </c>
      <c r="D193" s="25">
        <v>0.32</v>
      </c>
    </row>
    <row r="194" spans="1:5" ht="15">
      <c r="A194" s="24"/>
      <c r="B194" s="24" t="s">
        <v>31</v>
      </c>
      <c r="C194" s="36">
        <v>1</v>
      </c>
      <c r="D194" s="40">
        <v>12</v>
      </c>
    </row>
    <row r="197" spans="1:5" ht="15">
      <c r="A197" s="99" t="s">
        <v>191</v>
      </c>
      <c r="B197" s="99" t="s">
        <v>106</v>
      </c>
      <c r="C197" s="100" t="s">
        <v>128</v>
      </c>
    </row>
    <row r="198" spans="1:5" ht="15">
      <c r="A198" s="33" t="s">
        <v>229</v>
      </c>
      <c r="B198" s="24" t="s">
        <v>230</v>
      </c>
      <c r="C198" s="24" t="s">
        <v>78</v>
      </c>
    </row>
    <row r="201" spans="1:5" ht="15">
      <c r="A201" s="99" t="s">
        <v>191</v>
      </c>
      <c r="B201" s="99" t="s">
        <v>106</v>
      </c>
      <c r="C201" s="100" t="s">
        <v>128</v>
      </c>
      <c r="D201" s="100" t="s">
        <v>181</v>
      </c>
      <c r="E201" s="101" t="s">
        <v>139</v>
      </c>
    </row>
    <row r="202" spans="1:5" ht="14.25">
      <c r="A202" s="65" t="s">
        <v>231</v>
      </c>
      <c r="B202" s="55">
        <v>5604</v>
      </c>
      <c r="C202" s="71" t="s">
        <v>232</v>
      </c>
      <c r="D202" s="35">
        <v>50</v>
      </c>
      <c r="E202" s="40">
        <v>0.35</v>
      </c>
    </row>
    <row r="203" spans="1:5" ht="15">
      <c r="A203" s="65" t="s">
        <v>231</v>
      </c>
      <c r="B203" s="24"/>
      <c r="C203" s="24" t="s">
        <v>31</v>
      </c>
      <c r="D203" s="8"/>
      <c r="E203" s="40">
        <v>12</v>
      </c>
    </row>
    <row r="205" spans="1:5" ht="15">
      <c r="A205" s="99" t="s">
        <v>191</v>
      </c>
      <c r="B205" s="99" t="s">
        <v>202</v>
      </c>
      <c r="C205" s="99" t="s">
        <v>106</v>
      </c>
      <c r="D205" s="100" t="s">
        <v>182</v>
      </c>
      <c r="E205" s="100" t="s">
        <v>181</v>
      </c>
    </row>
    <row r="206" spans="1:5" ht="15">
      <c r="A206" s="6" t="s">
        <v>233</v>
      </c>
      <c r="B206" s="15" t="s">
        <v>234</v>
      </c>
      <c r="C206" s="24" t="s">
        <v>235</v>
      </c>
      <c r="D206" s="64">
        <v>1</v>
      </c>
      <c r="E206" s="54" t="e">
        <f>#REF!*D206</f>
        <v>#REF!</v>
      </c>
    </row>
    <row r="207" spans="1:5" ht="15">
      <c r="A207" s="6" t="s">
        <v>233</v>
      </c>
      <c r="B207" s="15" t="s">
        <v>234</v>
      </c>
      <c r="C207" s="24" t="s">
        <v>236</v>
      </c>
      <c r="D207" s="64">
        <v>1</v>
      </c>
      <c r="E207" s="54" t="e">
        <f>#REF!*D207</f>
        <v>#REF!</v>
      </c>
    </row>
    <row r="208" spans="1:5" ht="15">
      <c r="A208" s="6" t="s">
        <v>233</v>
      </c>
      <c r="B208" s="15" t="s">
        <v>234</v>
      </c>
      <c r="C208" s="24" t="s">
        <v>155</v>
      </c>
      <c r="D208" s="64">
        <v>1</v>
      </c>
      <c r="E208" s="54" t="e">
        <f>#REF!*D208</f>
        <v>#REF!</v>
      </c>
    </row>
    <row r="211" spans="1:5" ht="15">
      <c r="A211" s="99" t="s">
        <v>191</v>
      </c>
      <c r="B211" s="99" t="s">
        <v>202</v>
      </c>
      <c r="C211" s="99" t="s">
        <v>106</v>
      </c>
      <c r="D211" s="100" t="s">
        <v>2</v>
      </c>
      <c r="E211" s="100" t="s">
        <v>182</v>
      </c>
    </row>
    <row r="212" spans="1:5" ht="15">
      <c r="A212" s="33" t="s">
        <v>233</v>
      </c>
      <c r="B212" s="15" t="s">
        <v>234</v>
      </c>
      <c r="C212" s="24" t="s">
        <v>237</v>
      </c>
      <c r="D212" s="54">
        <v>13.7</v>
      </c>
      <c r="E212" s="64">
        <v>1</v>
      </c>
    </row>
    <row r="213" spans="1:5" ht="15">
      <c r="A213" s="33" t="s">
        <v>233</v>
      </c>
      <c r="B213" s="15" t="s">
        <v>234</v>
      </c>
      <c r="C213" s="24" t="s">
        <v>238</v>
      </c>
      <c r="D213" s="54">
        <v>13.7</v>
      </c>
      <c r="E213" s="64">
        <v>1</v>
      </c>
    </row>
    <row r="214" spans="1:5" ht="15">
      <c r="A214" s="33" t="s">
        <v>233</v>
      </c>
      <c r="B214" s="15" t="s">
        <v>234</v>
      </c>
      <c r="C214" s="24" t="s">
        <v>239</v>
      </c>
      <c r="D214" s="54">
        <v>13.7</v>
      </c>
      <c r="E214" s="64">
        <v>1</v>
      </c>
    </row>
    <row r="215" spans="1:5" ht="15">
      <c r="A215" s="33" t="s">
        <v>233</v>
      </c>
      <c r="B215" s="15" t="s">
        <v>234</v>
      </c>
      <c r="C215" s="24" t="s">
        <v>240</v>
      </c>
      <c r="D215" s="54">
        <v>13.7</v>
      </c>
      <c r="E215" s="64">
        <v>1</v>
      </c>
    </row>
    <row r="216" spans="1:5" ht="15">
      <c r="A216" s="33" t="s">
        <v>233</v>
      </c>
      <c r="B216" s="15" t="s">
        <v>234</v>
      </c>
      <c r="C216" s="24" t="s">
        <v>241</v>
      </c>
      <c r="D216" s="54">
        <v>13.7</v>
      </c>
      <c r="E216" s="64">
        <v>1</v>
      </c>
    </row>
    <row r="217" spans="1:5" ht="15">
      <c r="A217" s="33" t="s">
        <v>233</v>
      </c>
      <c r="B217" s="15" t="s">
        <v>234</v>
      </c>
      <c r="C217" s="24" t="s">
        <v>242</v>
      </c>
      <c r="D217" s="54">
        <v>13.7</v>
      </c>
      <c r="E217" s="64">
        <v>1</v>
      </c>
    </row>
    <row r="218" spans="1:5" ht="15">
      <c r="A218" s="33" t="s">
        <v>243</v>
      </c>
      <c r="B218" s="15" t="s">
        <v>234</v>
      </c>
      <c r="C218" s="24" t="s">
        <v>244</v>
      </c>
      <c r="D218" s="54">
        <v>13.7</v>
      </c>
      <c r="E218" s="64">
        <v>1</v>
      </c>
    </row>
    <row r="219" spans="1:5" ht="15">
      <c r="A219" s="33" t="s">
        <v>243</v>
      </c>
      <c r="B219" s="15" t="s">
        <v>234</v>
      </c>
      <c r="C219" s="24" t="s">
        <v>57</v>
      </c>
      <c r="D219" s="54">
        <v>13.7</v>
      </c>
      <c r="E219" s="64">
        <v>1</v>
      </c>
    </row>
    <row r="224" spans="1:5" ht="15">
      <c r="A224" s="99" t="s">
        <v>106</v>
      </c>
      <c r="B224" s="99" t="s">
        <v>52</v>
      </c>
      <c r="C224" s="100" t="s">
        <v>128</v>
      </c>
      <c r="D224" s="100" t="s">
        <v>181</v>
      </c>
      <c r="E224" s="101" t="s">
        <v>139</v>
      </c>
    </row>
    <row r="225" spans="1:5" ht="14.25">
      <c r="A225" s="55" t="s">
        <v>246</v>
      </c>
      <c r="B225" s="71" t="s">
        <v>24</v>
      </c>
      <c r="C225" s="71" t="s">
        <v>247</v>
      </c>
      <c r="D225" s="35">
        <v>150</v>
      </c>
      <c r="E225" s="40">
        <v>0.84</v>
      </c>
    </row>
    <row r="226" spans="1:5" ht="15">
      <c r="A226" s="24"/>
      <c r="B226" s="26"/>
      <c r="C226" s="24" t="s">
        <v>31</v>
      </c>
      <c r="D226" s="8"/>
      <c r="E226" s="40">
        <v>12</v>
      </c>
    </row>
    <row r="229" spans="1:5" ht="15">
      <c r="A229" s="99" t="s">
        <v>191</v>
      </c>
      <c r="B229" s="99" t="s">
        <v>106</v>
      </c>
      <c r="C229" s="100" t="s">
        <v>128</v>
      </c>
      <c r="D229" s="100" t="s">
        <v>181</v>
      </c>
      <c r="E229" s="101" t="s">
        <v>139</v>
      </c>
    </row>
    <row r="230" spans="1:5" ht="15">
      <c r="A230" s="33" t="s">
        <v>233</v>
      </c>
      <c r="B230" s="24" t="s">
        <v>235</v>
      </c>
      <c r="C230" s="24" t="s">
        <v>78</v>
      </c>
      <c r="D230" s="86">
        <v>13.7</v>
      </c>
      <c r="E230" s="121">
        <v>2.44</v>
      </c>
    </row>
    <row r="231" spans="1:5" ht="15">
      <c r="A231" s="33" t="s">
        <v>233</v>
      </c>
      <c r="B231" s="24" t="s">
        <v>236</v>
      </c>
      <c r="C231" s="24" t="s">
        <v>78</v>
      </c>
      <c r="D231" s="86">
        <v>14</v>
      </c>
      <c r="E231" s="121">
        <v>3.35</v>
      </c>
    </row>
    <row r="232" spans="1:5" ht="15">
      <c r="A232" s="33" t="s">
        <v>233</v>
      </c>
      <c r="B232" s="24" t="s">
        <v>155</v>
      </c>
      <c r="C232" s="24" t="s">
        <v>78</v>
      </c>
      <c r="D232" s="86">
        <v>13.7</v>
      </c>
      <c r="E232" s="121">
        <v>12.34</v>
      </c>
    </row>
    <row r="233" spans="1:5" ht="15">
      <c r="A233" s="33" t="s">
        <v>233</v>
      </c>
      <c r="B233" s="24" t="s">
        <v>237</v>
      </c>
      <c r="C233" s="24" t="s">
        <v>78</v>
      </c>
      <c r="D233" s="86">
        <v>13.7</v>
      </c>
      <c r="E233" s="121">
        <v>3.4</v>
      </c>
    </row>
    <row r="234" spans="1:5" ht="15">
      <c r="A234" s="33" t="s">
        <v>233</v>
      </c>
      <c r="B234" s="24" t="s">
        <v>238</v>
      </c>
      <c r="C234" s="24" t="s">
        <v>78</v>
      </c>
      <c r="D234" s="86">
        <v>13.7</v>
      </c>
      <c r="E234" s="121">
        <v>2.19</v>
      </c>
    </row>
    <row r="235" spans="1:5" ht="15">
      <c r="A235" s="33" t="s">
        <v>233</v>
      </c>
      <c r="B235" s="24" t="s">
        <v>239</v>
      </c>
      <c r="C235" s="24" t="s">
        <v>78</v>
      </c>
      <c r="D235" s="86">
        <v>13.7</v>
      </c>
      <c r="E235" s="121">
        <v>2.82</v>
      </c>
    </row>
    <row r="236" spans="1:5" ht="15">
      <c r="A236" s="33" t="s">
        <v>233</v>
      </c>
      <c r="B236" s="24" t="s">
        <v>240</v>
      </c>
      <c r="C236" s="24" t="s">
        <v>78</v>
      </c>
      <c r="D236" s="86">
        <v>13.7</v>
      </c>
      <c r="E236" s="121">
        <v>2.92</v>
      </c>
    </row>
    <row r="237" spans="1:5" ht="15">
      <c r="A237" s="33" t="s">
        <v>233</v>
      </c>
      <c r="B237" s="24" t="s">
        <v>241</v>
      </c>
      <c r="C237" s="24" t="s">
        <v>78</v>
      </c>
      <c r="D237" s="86">
        <v>13.7</v>
      </c>
      <c r="E237" s="121">
        <v>2.37</v>
      </c>
    </row>
    <row r="238" spans="1:5" ht="15">
      <c r="A238" s="33" t="s">
        <v>233</v>
      </c>
      <c r="B238" s="24" t="s">
        <v>242</v>
      </c>
      <c r="C238" s="24" t="s">
        <v>78</v>
      </c>
      <c r="D238" s="86">
        <v>13.7</v>
      </c>
      <c r="E238" s="121">
        <v>1.99</v>
      </c>
    </row>
    <row r="239" spans="1:5" ht="15">
      <c r="A239" s="33" t="s">
        <v>243</v>
      </c>
      <c r="B239" s="24" t="s">
        <v>244</v>
      </c>
      <c r="C239" s="24" t="s">
        <v>78</v>
      </c>
      <c r="D239" s="86">
        <v>13.7</v>
      </c>
      <c r="E239" s="121">
        <v>2.19</v>
      </c>
    </row>
    <row r="240" spans="1:5" ht="15">
      <c r="A240" s="33" t="s">
        <v>243</v>
      </c>
      <c r="B240" s="24" t="s">
        <v>57</v>
      </c>
      <c r="C240" s="24" t="s">
        <v>78</v>
      </c>
      <c r="D240" s="86">
        <v>13.7</v>
      </c>
      <c r="E240" s="121">
        <v>1.82</v>
      </c>
    </row>
    <row r="241" spans="1:5" ht="15">
      <c r="A241" s="33" t="s">
        <v>243</v>
      </c>
      <c r="B241" s="24"/>
      <c r="C241" s="24" t="s">
        <v>31</v>
      </c>
      <c r="D241" s="120"/>
      <c r="E241" s="122">
        <v>12</v>
      </c>
    </row>
    <row r="244" spans="1:5" ht="15">
      <c r="A244" s="99" t="s">
        <v>191</v>
      </c>
      <c r="B244" s="99" t="s">
        <v>106</v>
      </c>
      <c r="C244" s="99" t="s">
        <v>52</v>
      </c>
      <c r="D244" s="100" t="s">
        <v>182</v>
      </c>
      <c r="E244" s="100" t="s">
        <v>181</v>
      </c>
    </row>
    <row r="245" spans="1:5" ht="14.25">
      <c r="A245" s="92" t="s">
        <v>248</v>
      </c>
      <c r="B245" s="55" t="s">
        <v>246</v>
      </c>
      <c r="C245" s="71" t="s">
        <v>24</v>
      </c>
      <c r="D245" s="64">
        <v>1</v>
      </c>
      <c r="E245" s="35">
        <v>50</v>
      </c>
    </row>
    <row r="246" spans="1:5" ht="14.25">
      <c r="A246" s="92" t="s">
        <v>248</v>
      </c>
      <c r="B246" s="55" t="s">
        <v>246</v>
      </c>
      <c r="C246" s="71" t="s">
        <v>24</v>
      </c>
      <c r="D246" s="64">
        <v>1</v>
      </c>
      <c r="E246" s="35">
        <v>50</v>
      </c>
    </row>
    <row r="247" spans="1:5" ht="14.25">
      <c r="A247" s="92" t="s">
        <v>248</v>
      </c>
      <c r="B247" s="55" t="s">
        <v>246</v>
      </c>
      <c r="C247" s="71" t="s">
        <v>24</v>
      </c>
      <c r="D247" s="64">
        <v>1</v>
      </c>
      <c r="E247" s="35">
        <v>50</v>
      </c>
    </row>
    <row r="250" spans="1:5" ht="15">
      <c r="A250" s="99" t="s">
        <v>191</v>
      </c>
      <c r="B250" s="99" t="s">
        <v>106</v>
      </c>
      <c r="C250" s="99" t="s">
        <v>52</v>
      </c>
      <c r="D250" s="100" t="s">
        <v>182</v>
      </c>
      <c r="E250" s="100" t="s">
        <v>181</v>
      </c>
    </row>
    <row r="251" spans="1:5" ht="15">
      <c r="A251" s="33" t="s">
        <v>249</v>
      </c>
      <c r="B251" s="24" t="s">
        <v>176</v>
      </c>
      <c r="C251" s="26">
        <v>30</v>
      </c>
      <c r="D251" s="68">
        <v>4</v>
      </c>
      <c r="E251" s="67">
        <v>80</v>
      </c>
    </row>
    <row r="252" spans="1:5" ht="15">
      <c r="A252" s="33" t="s">
        <v>249</v>
      </c>
      <c r="B252" s="55"/>
      <c r="C252" s="74"/>
      <c r="D252" s="37"/>
      <c r="E252" s="35"/>
    </row>
    <row r="254" spans="1:5" ht="15">
      <c r="A254" s="99" t="s">
        <v>191</v>
      </c>
      <c r="B254" s="99" t="s">
        <v>106</v>
      </c>
      <c r="C254" s="100" t="s">
        <v>128</v>
      </c>
      <c r="D254" s="100" t="s">
        <v>181</v>
      </c>
      <c r="E254" s="101" t="s">
        <v>139</v>
      </c>
    </row>
    <row r="255" spans="1:5" ht="15">
      <c r="A255" s="33" t="s">
        <v>250</v>
      </c>
      <c r="B255" s="24" t="s">
        <v>251</v>
      </c>
      <c r="C255" s="24" t="s">
        <v>78</v>
      </c>
      <c r="D255" s="69">
        <v>41.099999999999994</v>
      </c>
      <c r="E255" s="46">
        <v>2.72</v>
      </c>
    </row>
    <row r="256" spans="1:5" ht="15">
      <c r="A256" s="33" t="s">
        <v>250</v>
      </c>
      <c r="B256" s="24" t="s">
        <v>252</v>
      </c>
      <c r="C256" s="24" t="s">
        <v>78</v>
      </c>
      <c r="D256" s="69">
        <v>41.099999999999994</v>
      </c>
      <c r="E256" s="46">
        <v>2.44</v>
      </c>
    </row>
    <row r="257" spans="1:5" ht="15">
      <c r="A257" s="33" t="s">
        <v>250</v>
      </c>
      <c r="B257" s="24" t="s">
        <v>253</v>
      </c>
      <c r="C257" s="24" t="s">
        <v>78</v>
      </c>
      <c r="D257" s="69">
        <v>42</v>
      </c>
      <c r="E257" s="46">
        <v>1.59</v>
      </c>
    </row>
    <row r="260" spans="1:5" ht="15">
      <c r="A260" s="99" t="s">
        <v>191</v>
      </c>
      <c r="B260" s="99" t="s">
        <v>106</v>
      </c>
      <c r="C260" s="99" t="s">
        <v>52</v>
      </c>
      <c r="D260" s="100" t="s">
        <v>182</v>
      </c>
      <c r="E260" s="100" t="s">
        <v>181</v>
      </c>
    </row>
    <row r="261" spans="1:5" ht="15">
      <c r="A261" s="33" t="s">
        <v>254</v>
      </c>
      <c r="B261" s="24" t="s">
        <v>255</v>
      </c>
      <c r="C261" s="26">
        <v>16</v>
      </c>
      <c r="D261" s="68">
        <v>1</v>
      </c>
      <c r="E261" s="67">
        <v>100</v>
      </c>
    </row>
    <row r="262" spans="1:5" ht="15">
      <c r="A262" s="33" t="s">
        <v>254</v>
      </c>
      <c r="B262" s="55"/>
      <c r="C262" s="74"/>
      <c r="D262" s="37"/>
      <c r="E262" s="35"/>
    </row>
    <row r="263" spans="1:5" ht="15">
      <c r="A263" s="33" t="s">
        <v>254</v>
      </c>
      <c r="B263" s="55"/>
      <c r="C263" s="74"/>
      <c r="D263" s="37"/>
      <c r="E263" s="35"/>
    </row>
    <row r="265" spans="1:5" ht="15">
      <c r="A265" s="99" t="s">
        <v>191</v>
      </c>
      <c r="B265" s="99" t="s">
        <v>106</v>
      </c>
      <c r="C265" s="100" t="s">
        <v>128</v>
      </c>
      <c r="D265" s="100" t="s">
        <v>181</v>
      </c>
      <c r="E265" s="101" t="s">
        <v>139</v>
      </c>
    </row>
    <row r="266" spans="1:5" ht="15">
      <c r="A266" s="33" t="s">
        <v>257</v>
      </c>
      <c r="B266" s="24" t="s">
        <v>122</v>
      </c>
      <c r="C266" s="24" t="s">
        <v>78</v>
      </c>
      <c r="D266" s="54">
        <v>274</v>
      </c>
      <c r="E266" s="25">
        <v>3</v>
      </c>
    </row>
    <row r="268" spans="1:5" ht="15">
      <c r="A268" s="99" t="s">
        <v>191</v>
      </c>
      <c r="B268" s="99" t="s">
        <v>106</v>
      </c>
      <c r="C268" s="99" t="s">
        <v>52</v>
      </c>
      <c r="D268" s="100" t="s">
        <v>182</v>
      </c>
      <c r="E268" s="100" t="s">
        <v>181</v>
      </c>
    </row>
    <row r="269" spans="1:5" ht="15">
      <c r="A269" s="6" t="s">
        <v>258</v>
      </c>
      <c r="B269" s="24">
        <v>12701</v>
      </c>
      <c r="C269" s="26">
        <v>38</v>
      </c>
      <c r="D269" s="41">
        <v>1</v>
      </c>
      <c r="E269" s="8">
        <v>10</v>
      </c>
    </row>
    <row r="270" spans="1:5" ht="15">
      <c r="A270" s="6" t="s">
        <v>258</v>
      </c>
      <c r="B270" s="55"/>
      <c r="C270" s="74"/>
      <c r="D270" s="37"/>
      <c r="E270" s="35"/>
    </row>
    <row r="272" spans="1:5" ht="15">
      <c r="A272" s="99" t="s">
        <v>191</v>
      </c>
      <c r="B272" s="99" t="s">
        <v>106</v>
      </c>
      <c r="C272" s="100" t="s">
        <v>128</v>
      </c>
      <c r="D272" s="100" t="s">
        <v>181</v>
      </c>
      <c r="E272" s="101" t="s">
        <v>139</v>
      </c>
    </row>
    <row r="273" spans="1:5" ht="15" customHeight="1">
      <c r="A273" s="33" t="s">
        <v>225</v>
      </c>
      <c r="B273" s="24" t="s">
        <v>226</v>
      </c>
      <c r="C273" s="24" t="s">
        <v>144</v>
      </c>
      <c r="D273" s="86" t="s">
        <v>280</v>
      </c>
      <c r="E273" s="25">
        <v>2.0499999999999998</v>
      </c>
    </row>
    <row r="274" spans="1:5" ht="15">
      <c r="A274" s="33" t="s">
        <v>225</v>
      </c>
      <c r="B274" s="24" t="s">
        <v>226</v>
      </c>
      <c r="C274" s="24" t="s">
        <v>227</v>
      </c>
      <c r="D274" s="86" t="s">
        <v>281</v>
      </c>
      <c r="E274" s="25">
        <v>2.0499999999999998</v>
      </c>
    </row>
    <row r="275" spans="1:5" ht="15">
      <c r="A275" s="33" t="s">
        <v>225</v>
      </c>
      <c r="B275" s="24" t="s">
        <v>226</v>
      </c>
      <c r="C275" s="24" t="s">
        <v>167</v>
      </c>
      <c r="D275" s="86" t="s">
        <v>282</v>
      </c>
      <c r="E275" s="25">
        <v>2.0499999999999998</v>
      </c>
    </row>
    <row r="276" spans="1:5" ht="15">
      <c r="A276" s="99" t="s">
        <v>191</v>
      </c>
      <c r="B276" s="99" t="s">
        <v>106</v>
      </c>
      <c r="C276" s="100" t="s">
        <v>128</v>
      </c>
      <c r="D276" s="100" t="s">
        <v>181</v>
      </c>
      <c r="E276" s="101" t="s">
        <v>139</v>
      </c>
    </row>
    <row r="277" spans="1:5" ht="15">
      <c r="A277" s="33" t="s">
        <v>259</v>
      </c>
      <c r="B277" s="24" t="s">
        <v>226</v>
      </c>
      <c r="C277" s="24" t="s">
        <v>144</v>
      </c>
      <c r="D277" s="86" t="s">
        <v>283</v>
      </c>
      <c r="E277" s="25">
        <v>2.0499999999999998</v>
      </c>
    </row>
    <row r="278" spans="1:5" ht="15">
      <c r="A278" s="33" t="s">
        <v>259</v>
      </c>
      <c r="B278" s="24" t="s">
        <v>226</v>
      </c>
      <c r="C278" s="24" t="s">
        <v>227</v>
      </c>
      <c r="D278" s="86" t="s">
        <v>284</v>
      </c>
      <c r="E278" s="25">
        <v>2.0499999999999998</v>
      </c>
    </row>
    <row r="279" spans="1:5" ht="15">
      <c r="A279" s="99" t="s">
        <v>191</v>
      </c>
      <c r="B279" s="99" t="s">
        <v>106</v>
      </c>
      <c r="C279" s="100" t="s">
        <v>128</v>
      </c>
      <c r="D279" s="100" t="s">
        <v>181</v>
      </c>
      <c r="E279" s="101" t="s">
        <v>139</v>
      </c>
    </row>
    <row r="280" spans="1:5" ht="15">
      <c r="A280" s="33" t="s">
        <v>285</v>
      </c>
      <c r="B280" s="24" t="s">
        <v>226</v>
      </c>
      <c r="C280" s="24" t="s">
        <v>144</v>
      </c>
      <c r="D280" s="86" t="s">
        <v>286</v>
      </c>
      <c r="E280" s="25">
        <v>2.0499999999999998</v>
      </c>
    </row>
    <row r="281" spans="1:5" ht="15">
      <c r="A281" s="33" t="s">
        <v>285</v>
      </c>
      <c r="B281" s="24" t="s">
        <v>226</v>
      </c>
      <c r="C281" s="24" t="s">
        <v>227</v>
      </c>
      <c r="D281" s="86" t="s">
        <v>286</v>
      </c>
      <c r="E281" s="25">
        <v>2.0499999999999998</v>
      </c>
    </row>
    <row r="283" spans="1:5" ht="15">
      <c r="A283" s="99" t="s">
        <v>191</v>
      </c>
      <c r="B283" s="99" t="s">
        <v>106</v>
      </c>
      <c r="C283" s="100" t="s">
        <v>128</v>
      </c>
      <c r="D283" s="100" t="s">
        <v>181</v>
      </c>
      <c r="E283" s="101" t="s">
        <v>139</v>
      </c>
    </row>
    <row r="284" spans="1:5" ht="15">
      <c r="A284" s="6" t="s">
        <v>288</v>
      </c>
      <c r="B284" s="24" t="s">
        <v>93</v>
      </c>
      <c r="C284" s="24" t="s">
        <v>78</v>
      </c>
      <c r="D284" s="54">
        <v>70</v>
      </c>
      <c r="E284" s="25">
        <v>1.65</v>
      </c>
    </row>
    <row r="285" spans="1:5" ht="15">
      <c r="A285" s="6" t="s">
        <v>288</v>
      </c>
      <c r="B285" s="55"/>
      <c r="C285" s="55" t="s">
        <v>31</v>
      </c>
      <c r="D285" s="35"/>
      <c r="E285" s="40">
        <v>12</v>
      </c>
    </row>
    <row r="288" spans="1:5" ht="15">
      <c r="A288" s="99" t="s">
        <v>106</v>
      </c>
      <c r="B288" s="100" t="s">
        <v>128</v>
      </c>
      <c r="C288" s="100" t="s">
        <v>2</v>
      </c>
      <c r="D288" s="101" t="s">
        <v>139</v>
      </c>
      <c r="E288" s="135" t="s">
        <v>287</v>
      </c>
    </row>
    <row r="289" spans="1:5" ht="15">
      <c r="A289" s="24" t="s">
        <v>251</v>
      </c>
      <c r="B289" s="24" t="s">
        <v>78</v>
      </c>
      <c r="C289" s="54">
        <v>13.7</v>
      </c>
      <c r="D289" s="25">
        <v>2.72</v>
      </c>
      <c r="E289" s="136" t="s">
        <v>290</v>
      </c>
    </row>
    <row r="290" spans="1:5" ht="15">
      <c r="A290" s="24" t="s">
        <v>253</v>
      </c>
      <c r="B290" s="24" t="s">
        <v>78</v>
      </c>
      <c r="C290" s="54">
        <v>14</v>
      </c>
      <c r="D290" s="25">
        <v>1.59</v>
      </c>
      <c r="E290" s="136" t="s">
        <v>292</v>
      </c>
    </row>
    <row r="291" spans="1:5" ht="15">
      <c r="A291" s="24" t="s">
        <v>252</v>
      </c>
      <c r="B291" s="24" t="s">
        <v>78</v>
      </c>
      <c r="C291" s="54">
        <v>13.7</v>
      </c>
      <c r="D291" s="25">
        <v>2.44</v>
      </c>
      <c r="E291" s="136" t="s">
        <v>291</v>
      </c>
    </row>
    <row r="293" spans="1:5" ht="15">
      <c r="A293" s="99" t="s">
        <v>106</v>
      </c>
      <c r="B293" s="100" t="s">
        <v>128</v>
      </c>
      <c r="C293" s="100" t="s">
        <v>2</v>
      </c>
    </row>
    <row r="294" spans="1:5" ht="15">
      <c r="A294" s="24" t="s">
        <v>253</v>
      </c>
      <c r="B294" s="24" t="s">
        <v>78</v>
      </c>
      <c r="C294" s="54">
        <v>14</v>
      </c>
    </row>
    <row r="296" spans="1:5" ht="15">
      <c r="A296" s="99" t="s">
        <v>191</v>
      </c>
      <c r="B296" s="99" t="s">
        <v>106</v>
      </c>
      <c r="C296" s="99" t="s">
        <v>52</v>
      </c>
      <c r="D296" s="100" t="s">
        <v>182</v>
      </c>
      <c r="E296" s="100" t="s">
        <v>181</v>
      </c>
    </row>
    <row r="297" spans="1:5" ht="15">
      <c r="A297" s="33" t="s">
        <v>293</v>
      </c>
      <c r="B297" s="24">
        <v>12701</v>
      </c>
      <c r="C297" s="26">
        <v>24</v>
      </c>
      <c r="D297" s="68">
        <v>8</v>
      </c>
      <c r="E297" s="67">
        <v>80</v>
      </c>
    </row>
    <row r="298" spans="1:5" ht="15">
      <c r="A298" s="33" t="s">
        <v>293</v>
      </c>
      <c r="B298" s="55"/>
      <c r="C298" s="74"/>
      <c r="D298" s="37"/>
      <c r="E298" s="35"/>
    </row>
    <row r="304" spans="1:5" ht="15.75">
      <c r="A304" s="15"/>
      <c r="B304" s="99" t="s">
        <v>106</v>
      </c>
      <c r="C304" s="90" t="s">
        <v>128</v>
      </c>
    </row>
    <row r="305" spans="1:3" ht="15">
      <c r="A305" s="61" t="s">
        <v>298</v>
      </c>
      <c r="B305" s="24" t="s">
        <v>299</v>
      </c>
      <c r="C305" s="24" t="s">
        <v>78</v>
      </c>
    </row>
    <row r="306" spans="1:3" ht="15">
      <c r="A306" s="61" t="s">
        <v>298</v>
      </c>
      <c r="B306" s="24" t="s">
        <v>300</v>
      </c>
      <c r="C306" s="24" t="s">
        <v>78</v>
      </c>
    </row>
    <row r="307" spans="1:3" ht="15">
      <c r="A307" s="61" t="s">
        <v>298</v>
      </c>
      <c r="B307" s="24" t="s">
        <v>301</v>
      </c>
      <c r="C307" s="24" t="s">
        <v>78</v>
      </c>
    </row>
    <row r="308" spans="1:3" ht="15">
      <c r="A308" s="61" t="s">
        <v>298</v>
      </c>
      <c r="B308" s="24" t="s">
        <v>302</v>
      </c>
      <c r="C308" s="24" t="s">
        <v>78</v>
      </c>
    </row>
    <row r="309" spans="1:3" ht="15">
      <c r="A309" s="61" t="s">
        <v>298</v>
      </c>
      <c r="B309" s="24" t="s">
        <v>303</v>
      </c>
      <c r="C309" s="24" t="s">
        <v>78</v>
      </c>
    </row>
    <row r="311" spans="1:3" ht="15.75">
      <c r="A311" s="139" t="s">
        <v>191</v>
      </c>
      <c r="B311" s="139" t="s">
        <v>106</v>
      </c>
      <c r="C311" s="140" t="s">
        <v>128</v>
      </c>
    </row>
    <row r="312" spans="1:3" ht="15">
      <c r="A312" s="141" t="s">
        <v>297</v>
      </c>
      <c r="B312" s="12" t="s">
        <v>299</v>
      </c>
      <c r="C312" s="12" t="s">
        <v>78</v>
      </c>
    </row>
    <row r="313" spans="1:3" ht="15">
      <c r="A313" s="141" t="s">
        <v>297</v>
      </c>
      <c r="B313" s="12" t="s">
        <v>300</v>
      </c>
      <c r="C313" s="12" t="s">
        <v>78</v>
      </c>
    </row>
    <row r="314" spans="1:3" ht="15">
      <c r="A314" s="141" t="s">
        <v>297</v>
      </c>
      <c r="B314" s="12" t="s">
        <v>301</v>
      </c>
      <c r="C314" s="12" t="s">
        <v>78</v>
      </c>
    </row>
    <row r="315" spans="1:3" ht="15">
      <c r="A315" s="141" t="s">
        <v>297</v>
      </c>
      <c r="B315" s="12" t="s">
        <v>302</v>
      </c>
      <c r="C315" s="12" t="s">
        <v>78</v>
      </c>
    </row>
    <row r="316" spans="1:3" ht="15">
      <c r="A316" s="141" t="s">
        <v>297</v>
      </c>
      <c r="B316" s="12" t="s">
        <v>303</v>
      </c>
      <c r="C316" s="12" t="s">
        <v>78</v>
      </c>
    </row>
    <row r="317" spans="1:3" ht="15">
      <c r="A317" s="141" t="s">
        <v>297</v>
      </c>
      <c r="B317" s="28"/>
      <c r="C317" s="28" t="s">
        <v>31</v>
      </c>
    </row>
    <row r="319" spans="1:3" ht="15.75">
      <c r="A319" s="15"/>
      <c r="B319" s="99" t="s">
        <v>106</v>
      </c>
      <c r="C319" s="90" t="s">
        <v>128</v>
      </c>
    </row>
    <row r="320" spans="1:3" ht="15">
      <c r="A320" s="55" t="s">
        <v>203</v>
      </c>
      <c r="B320" s="24" t="s">
        <v>306</v>
      </c>
      <c r="C320" s="24" t="s">
        <v>78</v>
      </c>
    </row>
    <row r="321" spans="1:5" ht="15">
      <c r="A321" s="55" t="s">
        <v>203</v>
      </c>
      <c r="B321" s="24" t="s">
        <v>307</v>
      </c>
      <c r="C321" s="24" t="s">
        <v>78</v>
      </c>
    </row>
    <row r="324" spans="1:5" ht="15.75">
      <c r="A324" s="15"/>
      <c r="B324" s="99" t="s">
        <v>106</v>
      </c>
      <c r="C324" s="90" t="s">
        <v>128</v>
      </c>
    </row>
    <row r="325" spans="1:5" ht="15">
      <c r="A325" s="55" t="s">
        <v>203</v>
      </c>
      <c r="B325" s="24" t="s">
        <v>308</v>
      </c>
      <c r="C325" s="24" t="s">
        <v>78</v>
      </c>
    </row>
    <row r="326" spans="1:5" ht="15">
      <c r="A326" s="55" t="s">
        <v>203</v>
      </c>
      <c r="B326" s="24" t="s">
        <v>309</v>
      </c>
      <c r="C326" s="94" t="s">
        <v>310</v>
      </c>
    </row>
    <row r="330" spans="1:5" ht="15.75">
      <c r="A330" s="99" t="s">
        <v>106</v>
      </c>
      <c r="B330" s="99" t="s">
        <v>52</v>
      </c>
      <c r="C330" s="90" t="s">
        <v>128</v>
      </c>
      <c r="D330" s="100" t="s">
        <v>181</v>
      </c>
      <c r="E330" s="108" t="s">
        <v>245</v>
      </c>
    </row>
    <row r="331" spans="1:5" ht="15">
      <c r="A331" s="24" t="s">
        <v>174</v>
      </c>
      <c r="B331" s="26">
        <v>20</v>
      </c>
      <c r="C331" s="24" t="s">
        <v>175</v>
      </c>
      <c r="D331" s="67">
        <v>740</v>
      </c>
      <c r="E331" s="137">
        <v>100</v>
      </c>
    </row>
    <row r="332" spans="1:5" ht="15">
      <c r="A332" s="24" t="s">
        <v>176</v>
      </c>
      <c r="B332" s="26">
        <v>30</v>
      </c>
      <c r="C332" s="24" t="s">
        <v>175</v>
      </c>
      <c r="D332" s="67">
        <v>4100</v>
      </c>
      <c r="E332" s="137">
        <v>130</v>
      </c>
    </row>
    <row r="334" spans="1:5" ht="15.75">
      <c r="A334" s="99" t="s">
        <v>106</v>
      </c>
      <c r="B334" s="99" t="s">
        <v>52</v>
      </c>
      <c r="C334" s="90" t="s">
        <v>128</v>
      </c>
    </row>
    <row r="335" spans="1:5" ht="15">
      <c r="A335" s="24">
        <v>5311</v>
      </c>
      <c r="B335" s="26" t="s">
        <v>24</v>
      </c>
      <c r="C335" s="24" t="s">
        <v>103</v>
      </c>
    </row>
    <row r="336" spans="1:5" ht="15">
      <c r="A336" s="24">
        <v>5311</v>
      </c>
      <c r="B336" s="26" t="s">
        <v>24</v>
      </c>
      <c r="C336" s="24" t="s">
        <v>46</v>
      </c>
    </row>
    <row r="337" spans="1:3" ht="15">
      <c r="A337" s="24">
        <v>5311</v>
      </c>
      <c r="B337" s="26" t="s">
        <v>24</v>
      </c>
      <c r="C337" s="24" t="s">
        <v>305</v>
      </c>
    </row>
    <row r="338" spans="1:3" ht="15">
      <c r="A338" s="24"/>
      <c r="B338" s="138"/>
      <c r="C338" s="24" t="s">
        <v>31</v>
      </c>
    </row>
    <row r="341" spans="1:3" ht="15.75">
      <c r="A341" s="99" t="s">
        <v>106</v>
      </c>
      <c r="B341" s="99" t="s">
        <v>52</v>
      </c>
      <c r="C341" s="90" t="s">
        <v>128</v>
      </c>
    </row>
    <row r="342" spans="1:3" ht="15">
      <c r="A342" s="24">
        <v>5311</v>
      </c>
      <c r="B342" s="26" t="s">
        <v>25</v>
      </c>
      <c r="C342" s="24" t="s">
        <v>103</v>
      </c>
    </row>
    <row r="343" spans="1:3" ht="15">
      <c r="A343" s="24">
        <v>5311</v>
      </c>
      <c r="B343" s="26" t="s">
        <v>25</v>
      </c>
      <c r="C343" s="24" t="s">
        <v>46</v>
      </c>
    </row>
    <row r="344" spans="1:3" ht="15">
      <c r="A344" s="24">
        <v>5311</v>
      </c>
      <c r="B344" s="26" t="s">
        <v>25</v>
      </c>
      <c r="C344" s="24" t="s">
        <v>305</v>
      </c>
    </row>
    <row r="346" spans="1:3" ht="15.75">
      <c r="A346" s="99" t="s">
        <v>106</v>
      </c>
      <c r="B346" s="99" t="s">
        <v>52</v>
      </c>
      <c r="C346" s="90" t="s">
        <v>128</v>
      </c>
    </row>
    <row r="347" spans="1:3" ht="15">
      <c r="A347" s="24">
        <v>5311</v>
      </c>
      <c r="B347" s="26" t="s">
        <v>25</v>
      </c>
      <c r="C347" s="24" t="s">
        <v>103</v>
      </c>
    </row>
    <row r="348" spans="1:3" ht="15">
      <c r="A348" s="24">
        <v>5311</v>
      </c>
      <c r="B348" s="26" t="s">
        <v>25</v>
      </c>
      <c r="C348" s="24" t="s">
        <v>46</v>
      </c>
    </row>
    <row r="349" spans="1:3" ht="15">
      <c r="A349" s="24">
        <v>5311</v>
      </c>
      <c r="B349" s="26" t="s">
        <v>25</v>
      </c>
      <c r="C349" s="24" t="s">
        <v>305</v>
      </c>
    </row>
    <row r="350" spans="1:3" ht="15">
      <c r="A350" s="24"/>
      <c r="B350" s="138"/>
      <c r="C350" s="24" t="s">
        <v>31</v>
      </c>
    </row>
    <row r="354" spans="1:5" ht="15.75">
      <c r="A354" s="99" t="s">
        <v>191</v>
      </c>
      <c r="B354" s="99" t="s">
        <v>106</v>
      </c>
      <c r="C354" s="90" t="s">
        <v>128</v>
      </c>
      <c r="D354" s="100" t="s">
        <v>181</v>
      </c>
      <c r="E354" s="101" t="s">
        <v>139</v>
      </c>
    </row>
    <row r="355" spans="1:5" ht="15">
      <c r="A355" s="33" t="s">
        <v>311</v>
      </c>
      <c r="B355" s="24" t="s">
        <v>295</v>
      </c>
      <c r="C355" s="24" t="s">
        <v>296</v>
      </c>
      <c r="D355" s="67">
        <v>240</v>
      </c>
      <c r="E355" s="25">
        <v>0.46</v>
      </c>
    </row>
    <row r="356" spans="1:5" ht="15">
      <c r="A356" s="33" t="s">
        <v>311</v>
      </c>
      <c r="B356" s="55"/>
      <c r="C356" s="55" t="s">
        <v>31</v>
      </c>
      <c r="D356" s="35"/>
      <c r="E356" s="40">
        <v>12</v>
      </c>
    </row>
    <row r="359" spans="1:5" ht="15.75">
      <c r="A359" s="99" t="s">
        <v>191</v>
      </c>
      <c r="B359" s="99" t="s">
        <v>106</v>
      </c>
      <c r="C359" s="90" t="s">
        <v>128</v>
      </c>
      <c r="D359" s="100" t="s">
        <v>181</v>
      </c>
      <c r="E359" s="101" t="s">
        <v>139</v>
      </c>
    </row>
    <row r="360" spans="1:5" ht="15">
      <c r="A360" s="33" t="s">
        <v>261</v>
      </c>
      <c r="B360" s="24" t="s">
        <v>262</v>
      </c>
      <c r="C360" s="24" t="s">
        <v>143</v>
      </c>
      <c r="D360" s="54">
        <v>698.69999999999993</v>
      </c>
      <c r="E360" s="25">
        <v>2.67</v>
      </c>
    </row>
    <row r="362" spans="1:5" ht="15.75">
      <c r="A362" s="99" t="s">
        <v>314</v>
      </c>
      <c r="B362" s="99" t="s">
        <v>106</v>
      </c>
      <c r="C362" s="90" t="s">
        <v>128</v>
      </c>
      <c r="D362" s="100" t="s">
        <v>181</v>
      </c>
      <c r="E362" s="101" t="s">
        <v>139</v>
      </c>
    </row>
    <row r="363" spans="1:5" ht="15">
      <c r="A363" s="6" t="s">
        <v>312</v>
      </c>
      <c r="B363" s="24" t="s">
        <v>313</v>
      </c>
      <c r="C363" s="24" t="s">
        <v>78</v>
      </c>
      <c r="D363" s="143">
        <v>56</v>
      </c>
      <c r="E363" s="25">
        <v>1.59</v>
      </c>
    </row>
    <row r="364" spans="1:5" ht="15">
      <c r="A364" s="6" t="s">
        <v>312</v>
      </c>
      <c r="B364" s="55"/>
      <c r="C364" s="55" t="s">
        <v>31</v>
      </c>
      <c r="D364" s="35"/>
      <c r="E364" s="40">
        <v>12</v>
      </c>
    </row>
    <row r="368" spans="1:5" ht="15">
      <c r="A368" s="99" t="s">
        <v>191</v>
      </c>
      <c r="B368" s="99" t="s">
        <v>106</v>
      </c>
      <c r="C368" s="99" t="s">
        <v>52</v>
      </c>
      <c r="D368" s="100" t="s">
        <v>182</v>
      </c>
      <c r="E368" s="100" t="s">
        <v>181</v>
      </c>
    </row>
    <row r="369" spans="1:5" ht="15">
      <c r="A369" s="6" t="s">
        <v>315</v>
      </c>
      <c r="B369" s="24">
        <v>12701</v>
      </c>
      <c r="C369" s="26">
        <v>50</v>
      </c>
      <c r="D369" s="68">
        <v>5</v>
      </c>
      <c r="E369" s="67">
        <v>50</v>
      </c>
    </row>
    <row r="370" spans="1:5" ht="15">
      <c r="A370" s="6" t="s">
        <v>315</v>
      </c>
      <c r="B370" s="24">
        <v>12701</v>
      </c>
      <c r="C370" s="26">
        <v>50</v>
      </c>
      <c r="D370" s="68">
        <v>5</v>
      </c>
      <c r="E370" s="67">
        <v>50</v>
      </c>
    </row>
    <row r="371" spans="1:5" ht="15">
      <c r="A371" s="6" t="s">
        <v>315</v>
      </c>
      <c r="B371" s="24">
        <v>12701</v>
      </c>
      <c r="C371" s="26">
        <v>38</v>
      </c>
      <c r="D371" s="68">
        <v>5</v>
      </c>
      <c r="E371" s="67">
        <v>50</v>
      </c>
    </row>
    <row r="372" spans="1:5" ht="15">
      <c r="A372" s="6" t="s">
        <v>315</v>
      </c>
      <c r="B372" s="24">
        <v>12701</v>
      </c>
      <c r="C372" s="26">
        <v>38</v>
      </c>
      <c r="D372" s="68">
        <v>5</v>
      </c>
      <c r="E372" s="67">
        <v>50</v>
      </c>
    </row>
    <row r="373" spans="1:5" ht="15">
      <c r="A373" s="6" t="s">
        <v>315</v>
      </c>
      <c r="B373" s="55"/>
      <c r="C373" s="74"/>
      <c r="D373" s="37"/>
      <c r="E373" s="35"/>
    </row>
    <row r="376" spans="1:5" ht="15.75">
      <c r="A376" s="99" t="s">
        <v>106</v>
      </c>
      <c r="B376" s="90" t="s">
        <v>128</v>
      </c>
      <c r="C376" s="100" t="s">
        <v>2</v>
      </c>
      <c r="D376" s="101" t="s">
        <v>139</v>
      </c>
    </row>
    <row r="377" spans="1:5" ht="15">
      <c r="A377" s="55">
        <v>5609</v>
      </c>
      <c r="B377" s="71" t="s">
        <v>164</v>
      </c>
      <c r="C377" s="67">
        <v>50</v>
      </c>
      <c r="D377" s="40">
        <v>0.35</v>
      </c>
    </row>
    <row r="378" spans="1:5" ht="14.25">
      <c r="A378" s="55"/>
      <c r="B378" s="55" t="s">
        <v>31</v>
      </c>
      <c r="C378" s="35" t="s">
        <v>86</v>
      </c>
      <c r="D378" s="40">
        <v>12</v>
      </c>
    </row>
    <row r="380" spans="1:5" ht="15.75">
      <c r="A380" s="99" t="s">
        <v>106</v>
      </c>
      <c r="B380" s="90" t="s">
        <v>128</v>
      </c>
      <c r="C380" s="100" t="s">
        <v>2</v>
      </c>
      <c r="D380" s="101" t="s">
        <v>139</v>
      </c>
    </row>
    <row r="381" spans="1:5" ht="15">
      <c r="A381" s="24" t="s">
        <v>122</v>
      </c>
      <c r="B381" s="24" t="s">
        <v>78</v>
      </c>
      <c r="C381" s="54">
        <v>13.7</v>
      </c>
      <c r="D381" s="25">
        <v>3</v>
      </c>
    </row>
    <row r="382" spans="1:5" ht="15">
      <c r="A382" s="56"/>
      <c r="B382" s="24" t="s">
        <v>31</v>
      </c>
      <c r="C382" s="36">
        <v>1</v>
      </c>
      <c r="D382" s="25">
        <v>12</v>
      </c>
    </row>
    <row r="385" spans="1:3" ht="15.75">
      <c r="A385" s="99" t="s">
        <v>106</v>
      </c>
      <c r="B385" s="99" t="s">
        <v>52</v>
      </c>
      <c r="C385" s="90" t="s">
        <v>128</v>
      </c>
    </row>
    <row r="386" spans="1:3" ht="14.25">
      <c r="A386" s="55" t="s">
        <v>318</v>
      </c>
      <c r="B386" s="144">
        <v>152</v>
      </c>
      <c r="C386" s="55" t="s">
        <v>319</v>
      </c>
    </row>
    <row r="387" spans="1:3" ht="14.25">
      <c r="A387" s="55" t="s">
        <v>318</v>
      </c>
      <c r="B387" s="144">
        <v>152</v>
      </c>
      <c r="C387" s="55" t="s">
        <v>320</v>
      </c>
    </row>
    <row r="388" spans="1:3" ht="14.25">
      <c r="A388" s="55"/>
      <c r="B388" s="63"/>
      <c r="C388" s="55" t="s">
        <v>75</v>
      </c>
    </row>
    <row r="389" spans="1:3" ht="15">
      <c r="A389" s="24"/>
      <c r="B389" s="26"/>
      <c r="C389" s="24" t="s">
        <v>31</v>
      </c>
    </row>
    <row r="391" spans="1:3" ht="15.75">
      <c r="A391" s="90" t="s">
        <v>106</v>
      </c>
      <c r="B391" s="90" t="s">
        <v>52</v>
      </c>
      <c r="C391" s="145" t="s">
        <v>322</v>
      </c>
    </row>
    <row r="392" spans="1:3" ht="15">
      <c r="A392" s="147" t="s">
        <v>321</v>
      </c>
      <c r="B392" s="16">
        <v>9</v>
      </c>
      <c r="C392" s="148">
        <v>30</v>
      </c>
    </row>
    <row r="393" spans="1:3" ht="15">
      <c r="A393" s="147" t="s">
        <v>321</v>
      </c>
      <c r="B393" s="16">
        <v>12</v>
      </c>
      <c r="C393" s="148">
        <v>30</v>
      </c>
    </row>
    <row r="394" spans="1:3" ht="15">
      <c r="A394" s="147" t="s">
        <v>321</v>
      </c>
      <c r="B394" s="16">
        <v>15</v>
      </c>
      <c r="C394" s="148">
        <v>30</v>
      </c>
    </row>
    <row r="395" spans="1:3" ht="15">
      <c r="A395" s="147" t="s">
        <v>321</v>
      </c>
      <c r="B395" s="16">
        <v>18</v>
      </c>
      <c r="C395" s="148">
        <v>30</v>
      </c>
    </row>
    <row r="396" spans="1:3" ht="15">
      <c r="A396" s="147" t="s">
        <v>321</v>
      </c>
      <c r="B396" s="16">
        <v>24</v>
      </c>
      <c r="C396" s="148">
        <v>30</v>
      </c>
    </row>
    <row r="397" spans="1:3" ht="15">
      <c r="A397" s="147" t="s">
        <v>321</v>
      </c>
      <c r="B397" s="16">
        <v>36</v>
      </c>
      <c r="C397" s="148">
        <v>30</v>
      </c>
    </row>
    <row r="398" spans="1:3" ht="15">
      <c r="A398" s="147" t="s">
        <v>321</v>
      </c>
      <c r="B398" s="16">
        <v>50</v>
      </c>
      <c r="C398" s="148">
        <v>30</v>
      </c>
    </row>
    <row r="401" spans="1:5" ht="15.75">
      <c r="A401" s="99" t="s">
        <v>191</v>
      </c>
      <c r="B401" s="99" t="s">
        <v>106</v>
      </c>
      <c r="C401" s="90" t="s">
        <v>128</v>
      </c>
      <c r="D401" s="100" t="s">
        <v>181</v>
      </c>
      <c r="E401" s="101" t="s">
        <v>139</v>
      </c>
    </row>
    <row r="402" spans="1:5" ht="15">
      <c r="A402" s="6" t="s">
        <v>323</v>
      </c>
      <c r="B402" s="24" t="s">
        <v>226</v>
      </c>
      <c r="C402" s="24" t="s">
        <v>78</v>
      </c>
      <c r="D402" s="54">
        <v>54.8</v>
      </c>
      <c r="E402" s="25">
        <v>2.42</v>
      </c>
    </row>
    <row r="403" spans="1:5" ht="15">
      <c r="A403" s="6" t="s">
        <v>323</v>
      </c>
      <c r="B403" s="56"/>
      <c r="C403" s="24" t="s">
        <v>31</v>
      </c>
      <c r="D403" s="67"/>
      <c r="E403" s="25">
        <v>12</v>
      </c>
    </row>
    <row r="406" spans="1:5" ht="15.75">
      <c r="A406" s="99" t="s">
        <v>191</v>
      </c>
      <c r="B406" s="99" t="s">
        <v>106</v>
      </c>
      <c r="C406" s="90" t="s">
        <v>52</v>
      </c>
      <c r="D406" s="100" t="s">
        <v>2</v>
      </c>
      <c r="E406" s="100" t="s">
        <v>182</v>
      </c>
    </row>
    <row r="407" spans="1:5" ht="15">
      <c r="A407" s="6" t="s">
        <v>324</v>
      </c>
      <c r="B407" s="24">
        <v>3030</v>
      </c>
      <c r="C407" s="26">
        <v>4</v>
      </c>
      <c r="D407" s="54">
        <v>30</v>
      </c>
      <c r="E407" s="64">
        <v>1</v>
      </c>
    </row>
    <row r="408" spans="1:5" ht="15">
      <c r="A408" s="6" t="s">
        <v>324</v>
      </c>
      <c r="B408" s="24">
        <v>3030</v>
      </c>
      <c r="C408" s="26">
        <v>4</v>
      </c>
      <c r="D408" s="54">
        <v>30</v>
      </c>
      <c r="E408" s="64">
        <v>1</v>
      </c>
    </row>
    <row r="409" spans="1:5" ht="15">
      <c r="A409" s="6" t="s">
        <v>324</v>
      </c>
      <c r="B409" s="24">
        <v>3030</v>
      </c>
      <c r="C409" s="26">
        <v>4</v>
      </c>
      <c r="D409" s="54">
        <v>30</v>
      </c>
      <c r="E409" s="64">
        <v>1</v>
      </c>
    </row>
    <row r="410" spans="1:5" ht="15">
      <c r="A410" s="6" t="s">
        <v>324</v>
      </c>
      <c r="B410" s="24">
        <v>3030</v>
      </c>
      <c r="C410" s="26">
        <v>4</v>
      </c>
      <c r="D410" s="54">
        <v>30</v>
      </c>
      <c r="E410" s="64">
        <v>1</v>
      </c>
    </row>
    <row r="411" spans="1:5" ht="15">
      <c r="A411" s="6" t="s">
        <v>324</v>
      </c>
      <c r="B411" s="24">
        <v>3030</v>
      </c>
      <c r="C411" s="26">
        <v>4</v>
      </c>
      <c r="D411" s="54">
        <v>30</v>
      </c>
      <c r="E411" s="64">
        <v>1</v>
      </c>
    </row>
    <row r="412" spans="1:5" ht="15">
      <c r="A412" s="6" t="s">
        <v>324</v>
      </c>
      <c r="B412" s="24"/>
      <c r="C412" s="26"/>
      <c r="D412" s="36">
        <v>1</v>
      </c>
      <c r="E412" s="68"/>
    </row>
    <row r="414" spans="1:5" ht="15.75">
      <c r="A414" s="99" t="s">
        <v>106</v>
      </c>
      <c r="B414" s="90" t="s">
        <v>52</v>
      </c>
      <c r="C414" s="90" t="s">
        <v>128</v>
      </c>
    </row>
    <row r="415" spans="1:5" ht="15">
      <c r="A415" s="24">
        <v>5311</v>
      </c>
      <c r="B415" s="26" t="s">
        <v>25</v>
      </c>
      <c r="C415" s="24" t="s">
        <v>327</v>
      </c>
    </row>
    <row r="416" spans="1:5" ht="15">
      <c r="A416" s="24">
        <v>5311</v>
      </c>
      <c r="B416" s="26" t="s">
        <v>25</v>
      </c>
      <c r="C416" s="24" t="s">
        <v>100</v>
      </c>
    </row>
    <row r="419" spans="1:6" ht="15.75">
      <c r="A419" s="99" t="s">
        <v>191</v>
      </c>
      <c r="B419" s="99" t="s">
        <v>106</v>
      </c>
      <c r="C419" s="90" t="s">
        <v>52</v>
      </c>
      <c r="D419" s="101" t="s">
        <v>139</v>
      </c>
    </row>
    <row r="420" spans="1:6" ht="15">
      <c r="A420" s="6" t="s">
        <v>326</v>
      </c>
      <c r="B420" s="24">
        <v>5311</v>
      </c>
      <c r="C420" s="26" t="s">
        <v>25</v>
      </c>
      <c r="D420" s="25">
        <v>1.7</v>
      </c>
    </row>
    <row r="421" spans="1:6" ht="15">
      <c r="A421" s="6" t="s">
        <v>326</v>
      </c>
      <c r="B421" s="24">
        <v>5311</v>
      </c>
      <c r="C421" s="26" t="s">
        <v>25</v>
      </c>
      <c r="D421" s="25">
        <v>1.7</v>
      </c>
    </row>
    <row r="422" spans="1:6" ht="15">
      <c r="A422" s="6" t="s">
        <v>326</v>
      </c>
      <c r="B422" s="24"/>
      <c r="C422" s="138"/>
      <c r="D422" s="46">
        <v>12</v>
      </c>
    </row>
    <row r="424" spans="1:6" ht="15.75">
      <c r="A424" s="99" t="s">
        <v>191</v>
      </c>
      <c r="B424" s="99" t="s">
        <v>106</v>
      </c>
      <c r="C424" s="90" t="s">
        <v>52</v>
      </c>
      <c r="D424" s="100" t="s">
        <v>182</v>
      </c>
      <c r="E424" s="100" t="s">
        <v>181</v>
      </c>
    </row>
    <row r="425" spans="1:6" ht="15">
      <c r="A425" s="33" t="s">
        <v>339</v>
      </c>
      <c r="B425" s="24" t="s">
        <v>176</v>
      </c>
      <c r="C425" s="26">
        <v>30</v>
      </c>
      <c r="D425" s="68">
        <v>78</v>
      </c>
      <c r="E425" s="67">
        <v>1560</v>
      </c>
    </row>
    <row r="428" spans="1:6" ht="15.75">
      <c r="A428" s="99" t="s">
        <v>191</v>
      </c>
      <c r="B428" s="99" t="s">
        <v>106</v>
      </c>
      <c r="C428" s="90" t="s">
        <v>52</v>
      </c>
      <c r="D428" s="100" t="s">
        <v>182</v>
      </c>
      <c r="E428" s="100" t="s">
        <v>181</v>
      </c>
      <c r="F428" s="100" t="s">
        <v>151</v>
      </c>
    </row>
    <row r="429" spans="1:6" ht="15.75">
      <c r="A429" s="6" t="s">
        <v>340</v>
      </c>
      <c r="B429" s="24">
        <v>12701</v>
      </c>
      <c r="C429" s="26">
        <v>12</v>
      </c>
      <c r="D429" s="68">
        <v>79</v>
      </c>
      <c r="E429" s="67">
        <v>790</v>
      </c>
      <c r="F429" s="149" t="s">
        <v>343</v>
      </c>
    </row>
    <row r="430" spans="1:6" ht="15.75">
      <c r="A430" s="99" t="s">
        <v>191</v>
      </c>
      <c r="B430" s="99" t="s">
        <v>106</v>
      </c>
      <c r="C430" s="90" t="s">
        <v>52</v>
      </c>
      <c r="D430" s="100" t="s">
        <v>182</v>
      </c>
      <c r="E430" s="100" t="s">
        <v>181</v>
      </c>
      <c r="F430" s="100" t="s">
        <v>151</v>
      </c>
    </row>
    <row r="431" spans="1:6" ht="15.75">
      <c r="A431" s="6" t="s">
        <v>341</v>
      </c>
      <c r="B431" s="24">
        <v>12701</v>
      </c>
      <c r="C431" s="26">
        <v>24</v>
      </c>
      <c r="D431" s="68">
        <v>53</v>
      </c>
      <c r="E431" s="67">
        <v>530</v>
      </c>
      <c r="F431" s="149" t="s">
        <v>342</v>
      </c>
    </row>
    <row r="434" spans="1:5" ht="15.75">
      <c r="A434" s="99" t="s">
        <v>106</v>
      </c>
      <c r="B434" s="90" t="s">
        <v>128</v>
      </c>
      <c r="C434" s="100" t="s">
        <v>2</v>
      </c>
      <c r="D434" s="101" t="s">
        <v>139</v>
      </c>
    </row>
    <row r="435" spans="1:5" ht="15">
      <c r="A435" s="24" t="s">
        <v>242</v>
      </c>
      <c r="B435" s="24" t="s">
        <v>78</v>
      </c>
      <c r="C435" s="54">
        <v>13.7</v>
      </c>
      <c r="D435" s="25">
        <v>1.99</v>
      </c>
    </row>
    <row r="436" spans="1:5" ht="15">
      <c r="A436" s="24"/>
      <c r="B436" s="24" t="s">
        <v>31</v>
      </c>
      <c r="C436" s="36">
        <v>1</v>
      </c>
      <c r="D436" s="40">
        <v>12</v>
      </c>
    </row>
    <row r="439" spans="1:5" ht="15.75">
      <c r="A439" s="99" t="s">
        <v>106</v>
      </c>
      <c r="B439" s="90" t="s">
        <v>52</v>
      </c>
      <c r="C439" s="90" t="s">
        <v>128</v>
      </c>
      <c r="D439" s="100" t="s">
        <v>181</v>
      </c>
      <c r="E439" s="101" t="s">
        <v>139</v>
      </c>
    </row>
    <row r="440" spans="1:5" ht="15">
      <c r="A440" s="24">
        <v>14552</v>
      </c>
      <c r="B440" s="26">
        <v>25</v>
      </c>
      <c r="C440" s="24" t="s">
        <v>345</v>
      </c>
      <c r="D440" s="67">
        <v>390</v>
      </c>
      <c r="E440" s="25">
        <v>0.8</v>
      </c>
    </row>
    <row r="441" spans="1:5" ht="15">
      <c r="A441" s="24"/>
      <c r="B441" s="26"/>
      <c r="C441" s="24" t="s">
        <v>31</v>
      </c>
      <c r="D441" s="8"/>
      <c r="E441" s="40">
        <v>12</v>
      </c>
    </row>
    <row r="442" spans="1:5" ht="15">
      <c r="A442" s="24"/>
      <c r="B442" s="26"/>
      <c r="C442" s="24"/>
      <c r="D442" s="67"/>
      <c r="E442" s="25"/>
    </row>
    <row r="444" spans="1:5" ht="15.75">
      <c r="A444" s="99" t="s">
        <v>191</v>
      </c>
      <c r="B444" s="99" t="s">
        <v>106</v>
      </c>
      <c r="C444" s="90" t="s">
        <v>52</v>
      </c>
      <c r="D444" s="101" t="s">
        <v>139</v>
      </c>
    </row>
    <row r="445" spans="1:5" ht="15">
      <c r="A445" s="6" t="s">
        <v>346</v>
      </c>
      <c r="B445" s="24" t="s">
        <v>347</v>
      </c>
      <c r="C445" s="155" t="s">
        <v>348</v>
      </c>
      <c r="D445" s="46">
        <v>5.4</v>
      </c>
    </row>
    <row r="446" spans="1:5" ht="15">
      <c r="A446" s="6" t="s">
        <v>346</v>
      </c>
      <c r="B446" s="56"/>
      <c r="C446" s="138"/>
      <c r="D446" s="46">
        <v>5</v>
      </c>
    </row>
    <row r="447" spans="1:5" ht="15">
      <c r="A447" s="6" t="s">
        <v>346</v>
      </c>
      <c r="B447" s="24"/>
      <c r="C447" s="26"/>
      <c r="D447" s="46">
        <v>12</v>
      </c>
    </row>
    <row r="451" spans="1:3" ht="15.75">
      <c r="A451" s="99" t="s">
        <v>106</v>
      </c>
      <c r="B451" s="90" t="s">
        <v>128</v>
      </c>
      <c r="C451" s="90" t="s">
        <v>54</v>
      </c>
    </row>
    <row r="452" spans="1:3" ht="15">
      <c r="A452" s="24" t="s">
        <v>93</v>
      </c>
      <c r="B452" s="24" t="s">
        <v>78</v>
      </c>
      <c r="C452" s="75">
        <v>14</v>
      </c>
    </row>
    <row r="456" spans="1:3" ht="15.75">
      <c r="A456" s="99" t="s">
        <v>106</v>
      </c>
      <c r="B456" s="90" t="s">
        <v>52</v>
      </c>
      <c r="C456" s="90" t="s">
        <v>128</v>
      </c>
    </row>
    <row r="457" spans="1:3" ht="15">
      <c r="A457" s="24" t="s">
        <v>350</v>
      </c>
      <c r="B457" s="155">
        <v>110</v>
      </c>
      <c r="C457" s="24" t="s">
        <v>78</v>
      </c>
    </row>
    <row r="458" spans="1:3" ht="15">
      <c r="A458" s="24"/>
      <c r="B458" s="26"/>
      <c r="C458" s="157" t="s">
        <v>351</v>
      </c>
    </row>
    <row r="460" spans="1:3" ht="15.75">
      <c r="A460" s="99" t="s">
        <v>106</v>
      </c>
      <c r="B460" s="90" t="s">
        <v>52</v>
      </c>
      <c r="C460" s="90" t="s">
        <v>128</v>
      </c>
    </row>
    <row r="461" spans="1:3" ht="15">
      <c r="A461" s="24" t="s">
        <v>355</v>
      </c>
      <c r="B461" s="44" t="s">
        <v>356</v>
      </c>
      <c r="C461" s="44" t="s">
        <v>357</v>
      </c>
    </row>
    <row r="462" spans="1:3" ht="15">
      <c r="A462" s="24" t="s">
        <v>355</v>
      </c>
      <c r="B462" s="44" t="s">
        <v>356</v>
      </c>
      <c r="C462" s="44" t="s">
        <v>358</v>
      </c>
    </row>
    <row r="463" spans="1:3" ht="15">
      <c r="A463" s="24" t="s">
        <v>355</v>
      </c>
      <c r="B463" s="44" t="s">
        <v>356</v>
      </c>
      <c r="C463" s="44" t="s">
        <v>359</v>
      </c>
    </row>
    <row r="464" spans="1:3" ht="15">
      <c r="A464" s="24" t="s">
        <v>355</v>
      </c>
      <c r="B464" s="44" t="s">
        <v>356</v>
      </c>
      <c r="C464" s="44" t="s">
        <v>360</v>
      </c>
    </row>
    <row r="465" spans="1:3" ht="15">
      <c r="A465" s="56"/>
      <c r="B465" s="26"/>
      <c r="C465" s="24" t="s">
        <v>31</v>
      </c>
    </row>
    <row r="469" spans="1:3" ht="15.75">
      <c r="A469" s="99" t="s">
        <v>106</v>
      </c>
      <c r="B469" s="90" t="s">
        <v>128</v>
      </c>
      <c r="C469" s="100" t="s">
        <v>182</v>
      </c>
    </row>
    <row r="470" spans="1:3" ht="15">
      <c r="A470" s="24" t="s">
        <v>242</v>
      </c>
      <c r="B470" s="24" t="s">
        <v>78</v>
      </c>
      <c r="C470" s="37">
        <v>1</v>
      </c>
    </row>
    <row r="471" spans="1:3" ht="15">
      <c r="A471" s="55"/>
      <c r="B471" s="24" t="s">
        <v>31</v>
      </c>
      <c r="C471" s="41"/>
    </row>
    <row r="475" spans="1:3" ht="15.75">
      <c r="A475" s="99" t="s">
        <v>105</v>
      </c>
      <c r="B475" s="99" t="s">
        <v>106</v>
      </c>
      <c r="C475" s="90" t="s">
        <v>128</v>
      </c>
    </row>
    <row r="476" spans="1:3" ht="15">
      <c r="A476" s="6" t="s">
        <v>361</v>
      </c>
      <c r="B476" s="24" t="s">
        <v>362</v>
      </c>
      <c r="C476" s="24" t="s">
        <v>78</v>
      </c>
    </row>
    <row r="477" spans="1:3" ht="15">
      <c r="A477" s="6" t="s">
        <v>361</v>
      </c>
      <c r="B477" s="55"/>
      <c r="C477" s="24" t="s">
        <v>31</v>
      </c>
    </row>
    <row r="480" spans="1:3" ht="15.75">
      <c r="A480" s="99" t="s">
        <v>106</v>
      </c>
      <c r="B480" s="90" t="s">
        <v>128</v>
      </c>
      <c r="C480" s="90" t="s">
        <v>54</v>
      </c>
    </row>
    <row r="481" spans="1:3" ht="15">
      <c r="A481" s="24" t="s">
        <v>84</v>
      </c>
      <c r="B481" s="24" t="s">
        <v>56</v>
      </c>
      <c r="C481" s="54">
        <v>13.7</v>
      </c>
    </row>
    <row r="482" spans="1:3" ht="14.25">
      <c r="A482" s="55"/>
      <c r="B482" s="72" t="s">
        <v>31</v>
      </c>
      <c r="C482" s="111" t="s">
        <v>86</v>
      </c>
    </row>
    <row r="484" spans="1:3" ht="15.75">
      <c r="A484" s="99" t="s">
        <v>106</v>
      </c>
      <c r="B484" s="90" t="s">
        <v>52</v>
      </c>
      <c r="C484" s="90" t="s">
        <v>128</v>
      </c>
    </row>
    <row r="485" spans="1:3" ht="14.25">
      <c r="A485" s="55">
        <v>2440</v>
      </c>
      <c r="B485" s="63">
        <v>140</v>
      </c>
      <c r="C485" s="55" t="s">
        <v>114</v>
      </c>
    </row>
    <row r="486" spans="1:3" ht="14.25">
      <c r="A486" s="55"/>
      <c r="B486" s="74"/>
      <c r="C486" s="55" t="s">
        <v>75</v>
      </c>
    </row>
    <row r="487" spans="1:3" ht="14.25">
      <c r="A487" s="55"/>
      <c r="B487" s="74"/>
      <c r="C487" s="55" t="s">
        <v>31</v>
      </c>
    </row>
    <row r="490" spans="1:3" ht="15.75">
      <c r="A490" s="99" t="s">
        <v>106</v>
      </c>
      <c r="B490" s="90" t="s">
        <v>128</v>
      </c>
      <c r="C490" s="90" t="s">
        <v>54</v>
      </c>
    </row>
    <row r="491" spans="1:3" ht="15">
      <c r="A491" s="24" t="s">
        <v>91</v>
      </c>
      <c r="B491" s="24" t="s">
        <v>78</v>
      </c>
      <c r="C491" s="54">
        <v>13.7</v>
      </c>
    </row>
    <row r="492" spans="1:3" ht="15.75">
      <c r="A492" s="99" t="s">
        <v>106</v>
      </c>
      <c r="B492" s="90" t="s">
        <v>52</v>
      </c>
      <c r="C492" s="90" t="s">
        <v>128</v>
      </c>
    </row>
    <row r="493" spans="1:3" ht="15">
      <c r="A493" s="24">
        <v>12701</v>
      </c>
      <c r="B493" s="26">
        <v>12</v>
      </c>
      <c r="C493" s="24" t="s">
        <v>178</v>
      </c>
    </row>
    <row r="494" spans="1:3" ht="15">
      <c r="A494" s="24">
        <v>12701</v>
      </c>
      <c r="B494" s="26">
        <v>24</v>
      </c>
      <c r="C494" s="24" t="s">
        <v>178</v>
      </c>
    </row>
    <row r="502" spans="1:5" ht="15.75">
      <c r="A502" s="99" t="s">
        <v>106</v>
      </c>
      <c r="B502" s="90" t="s">
        <v>52</v>
      </c>
      <c r="C502" s="90" t="s">
        <v>128</v>
      </c>
      <c r="D502" s="101" t="s">
        <v>368</v>
      </c>
      <c r="E502" s="39"/>
    </row>
    <row r="503" spans="1:5" ht="15.75">
      <c r="A503" s="24">
        <v>4350</v>
      </c>
      <c r="B503" s="26"/>
      <c r="C503" s="24" t="s">
        <v>363</v>
      </c>
      <c r="D503" s="89" t="s">
        <v>370</v>
      </c>
      <c r="E503" s="11"/>
    </row>
    <row r="504" spans="1:5" ht="15.75">
      <c r="A504" s="24">
        <v>4350</v>
      </c>
      <c r="B504" s="26"/>
      <c r="C504" s="24" t="s">
        <v>364</v>
      </c>
      <c r="D504" s="89" t="s">
        <v>370</v>
      </c>
      <c r="E504" s="11"/>
    </row>
    <row r="505" spans="1:5" ht="15.75">
      <c r="A505" s="24">
        <v>4350</v>
      </c>
      <c r="B505" s="26"/>
      <c r="C505" s="24" t="s">
        <v>365</v>
      </c>
      <c r="D505" s="89" t="s">
        <v>370</v>
      </c>
      <c r="E505" s="11"/>
    </row>
    <row r="506" spans="1:5" ht="15.75">
      <c r="A506" s="24">
        <v>11700</v>
      </c>
      <c r="B506" s="26">
        <v>6</v>
      </c>
      <c r="C506" s="24" t="s">
        <v>366</v>
      </c>
      <c r="D506" s="89" t="s">
        <v>370</v>
      </c>
      <c r="E506" s="11"/>
    </row>
    <row r="507" spans="1:5" ht="15.75">
      <c r="A507" s="24">
        <v>11700</v>
      </c>
      <c r="B507" s="26">
        <v>24</v>
      </c>
      <c r="C507" s="24" t="s">
        <v>366</v>
      </c>
      <c r="D507" s="89" t="s">
        <v>370</v>
      </c>
      <c r="E507" s="11"/>
    </row>
    <row r="508" spans="1:5" ht="15.75">
      <c r="A508" s="24">
        <v>11700</v>
      </c>
      <c r="B508" s="26">
        <v>3</v>
      </c>
      <c r="C508" s="24" t="s">
        <v>207</v>
      </c>
      <c r="D508" s="89" t="s">
        <v>370</v>
      </c>
      <c r="E508" s="11"/>
    </row>
    <row r="509" spans="1:5" ht="15.75">
      <c r="A509" s="24">
        <v>11700</v>
      </c>
      <c r="B509" s="26">
        <v>6</v>
      </c>
      <c r="C509" s="24" t="s">
        <v>207</v>
      </c>
      <c r="D509" s="89" t="s">
        <v>370</v>
      </c>
      <c r="E509" s="11"/>
    </row>
    <row r="510" spans="1:5" ht="15.75">
      <c r="A510" s="24">
        <v>11700</v>
      </c>
      <c r="B510" s="26">
        <v>18</v>
      </c>
      <c r="C510" s="24" t="s">
        <v>207</v>
      </c>
      <c r="D510" s="159" t="s">
        <v>369</v>
      </c>
      <c r="E510" s="11"/>
    </row>
    <row r="511" spans="1:5" ht="15.75">
      <c r="A511" s="24">
        <v>11700</v>
      </c>
      <c r="B511" s="26">
        <v>6</v>
      </c>
      <c r="C511" s="24" t="s">
        <v>331</v>
      </c>
      <c r="D511" s="89" t="s">
        <v>370</v>
      </c>
      <c r="E511" s="11"/>
    </row>
    <row r="512" spans="1:5" ht="15.75">
      <c r="A512" s="24">
        <v>11700</v>
      </c>
      <c r="B512" s="26">
        <v>6</v>
      </c>
      <c r="C512" s="24" t="s">
        <v>367</v>
      </c>
      <c r="D512" s="89" t="s">
        <v>370</v>
      </c>
      <c r="E512" s="11"/>
    </row>
    <row r="513" spans="1:5" ht="15.75">
      <c r="A513" s="55"/>
      <c r="B513" s="110"/>
      <c r="C513" s="24" t="s">
        <v>31</v>
      </c>
      <c r="D513" s="21"/>
      <c r="E513" s="11"/>
    </row>
    <row r="516" spans="1:5" ht="15.75">
      <c r="A516" s="99" t="s">
        <v>105</v>
      </c>
      <c r="B516" s="99" t="s">
        <v>106</v>
      </c>
      <c r="C516" s="90" t="s">
        <v>128</v>
      </c>
      <c r="D516" s="100" t="s">
        <v>181</v>
      </c>
      <c r="E516" s="101" t="s">
        <v>139</v>
      </c>
    </row>
    <row r="517" spans="1:5" ht="15">
      <c r="A517" s="6" t="s">
        <v>371</v>
      </c>
      <c r="B517" s="24" t="s">
        <v>93</v>
      </c>
      <c r="C517" s="94" t="s">
        <v>372</v>
      </c>
      <c r="D517" s="75">
        <v>42</v>
      </c>
      <c r="E517" s="25">
        <v>1.65</v>
      </c>
    </row>
    <row r="518" spans="1:5" ht="15">
      <c r="A518" s="6" t="s">
        <v>371</v>
      </c>
      <c r="B518" s="24" t="s">
        <v>93</v>
      </c>
      <c r="C518" s="24" t="s">
        <v>373</v>
      </c>
      <c r="D518" s="75">
        <v>42</v>
      </c>
      <c r="E518" s="25">
        <v>1.65</v>
      </c>
    </row>
    <row r="519" spans="1:5" ht="15">
      <c r="A519" s="6" t="s">
        <v>371</v>
      </c>
      <c r="B519" s="56"/>
      <c r="C519" s="24" t="s">
        <v>374</v>
      </c>
      <c r="D519" s="8"/>
      <c r="E519" s="46">
        <v>100</v>
      </c>
    </row>
    <row r="520" spans="1:5" ht="15.75">
      <c r="A520" s="2817" t="s">
        <v>375</v>
      </c>
      <c r="B520" s="2818"/>
      <c r="C520" s="2818"/>
      <c r="D520" s="2818"/>
      <c r="E520" s="2819"/>
    </row>
    <row r="524" spans="1:5" ht="15.75">
      <c r="A524" s="99" t="s">
        <v>105</v>
      </c>
      <c r="B524" s="99" t="s">
        <v>106</v>
      </c>
      <c r="C524" s="90" t="s">
        <v>128</v>
      </c>
      <c r="D524" s="100" t="s">
        <v>181</v>
      </c>
      <c r="E524" s="101" t="s">
        <v>139</v>
      </c>
    </row>
    <row r="525" spans="1:5" ht="15">
      <c r="A525" s="33" t="s">
        <v>376</v>
      </c>
      <c r="B525" s="24" t="s">
        <v>121</v>
      </c>
      <c r="C525" s="94" t="s">
        <v>190</v>
      </c>
      <c r="D525" s="69">
        <v>54.8</v>
      </c>
      <c r="E525" s="25">
        <v>2.2400000000000002</v>
      </c>
    </row>
    <row r="526" spans="1:5" ht="15">
      <c r="A526" s="33" t="s">
        <v>376</v>
      </c>
      <c r="B526" s="73"/>
      <c r="C526" s="24" t="s">
        <v>31</v>
      </c>
      <c r="D526" s="8"/>
      <c r="E526" s="46">
        <v>12</v>
      </c>
    </row>
    <row r="530" spans="1:4" ht="15.75">
      <c r="A530" s="99" t="s">
        <v>106</v>
      </c>
      <c r="B530" s="99" t="s">
        <v>377</v>
      </c>
      <c r="C530" s="90" t="s">
        <v>128</v>
      </c>
    </row>
    <row r="531" spans="1:4" ht="15">
      <c r="A531" s="24">
        <v>2440</v>
      </c>
      <c r="B531" s="150">
        <v>140</v>
      </c>
      <c r="C531" s="24" t="s">
        <v>135</v>
      </c>
    </row>
    <row r="532" spans="1:4" ht="15">
      <c r="A532" s="56"/>
      <c r="B532" s="160"/>
      <c r="C532" s="24" t="s">
        <v>75</v>
      </c>
    </row>
    <row r="533" spans="1:4" ht="15">
      <c r="A533" s="56"/>
      <c r="B533" s="160"/>
      <c r="C533" s="24" t="s">
        <v>31</v>
      </c>
    </row>
    <row r="537" spans="1:4" ht="15.75">
      <c r="A537" s="99" t="s">
        <v>105</v>
      </c>
      <c r="B537" s="20" t="s">
        <v>55</v>
      </c>
      <c r="C537" s="90" t="s">
        <v>128</v>
      </c>
    </row>
    <row r="538" spans="1:4" ht="15">
      <c r="A538" s="6" t="s">
        <v>378</v>
      </c>
      <c r="B538" s="24" t="s">
        <v>313</v>
      </c>
      <c r="C538" s="24" t="s">
        <v>78</v>
      </c>
    </row>
    <row r="539" spans="1:4" ht="15">
      <c r="A539" s="6" t="s">
        <v>378</v>
      </c>
      <c r="B539" s="55"/>
      <c r="C539" s="55" t="s">
        <v>31</v>
      </c>
    </row>
    <row r="542" spans="1:4" ht="15.75">
      <c r="A542" s="99" t="s">
        <v>106</v>
      </c>
      <c r="B542" s="90" t="s">
        <v>128</v>
      </c>
      <c r="C542" s="100" t="s">
        <v>2</v>
      </c>
      <c r="D542" s="101" t="s">
        <v>139</v>
      </c>
    </row>
    <row r="543" spans="1:4" ht="15">
      <c r="A543" s="24" t="s">
        <v>242</v>
      </c>
      <c r="B543" s="24" t="s">
        <v>78</v>
      </c>
      <c r="C543" s="54">
        <v>13.7</v>
      </c>
      <c r="D543" s="25">
        <v>1.99</v>
      </c>
    </row>
    <row r="548" spans="1:5" ht="15.75">
      <c r="A548" s="99" t="s">
        <v>105</v>
      </c>
      <c r="B548" s="99" t="s">
        <v>106</v>
      </c>
      <c r="C548" s="90" t="s">
        <v>128</v>
      </c>
      <c r="D548" s="100" t="s">
        <v>181</v>
      </c>
      <c r="E548" s="101" t="s">
        <v>139</v>
      </c>
    </row>
    <row r="549" spans="1:5" ht="15">
      <c r="A549" s="6" t="s">
        <v>379</v>
      </c>
      <c r="B549" s="24" t="s">
        <v>313</v>
      </c>
      <c r="C549" s="24" t="s">
        <v>78</v>
      </c>
      <c r="D549" s="75">
        <v>14</v>
      </c>
      <c r="E549" s="25">
        <v>1.59</v>
      </c>
    </row>
    <row r="550" spans="1:5" ht="15">
      <c r="A550" s="6" t="s">
        <v>380</v>
      </c>
      <c r="B550" s="24" t="s">
        <v>242</v>
      </c>
      <c r="C550" s="24" t="s">
        <v>78</v>
      </c>
      <c r="D550" s="69">
        <v>27.4</v>
      </c>
      <c r="E550" s="25">
        <v>1.99</v>
      </c>
    </row>
    <row r="551" spans="1:5" ht="15">
      <c r="A551" s="6" t="s">
        <v>378</v>
      </c>
      <c r="B551" s="72"/>
      <c r="C551" s="55" t="s">
        <v>31</v>
      </c>
      <c r="D551" s="35"/>
      <c r="E551" s="40">
        <v>12</v>
      </c>
    </row>
    <row r="554" spans="1:5" ht="15.75">
      <c r="A554" s="99" t="s">
        <v>105</v>
      </c>
      <c r="B554" s="99" t="s">
        <v>106</v>
      </c>
      <c r="C554" s="90" t="s">
        <v>128</v>
      </c>
      <c r="D554" s="100" t="s">
        <v>181</v>
      </c>
      <c r="E554" s="101" t="s">
        <v>139</v>
      </c>
    </row>
    <row r="555" spans="1:5" ht="15">
      <c r="A555" s="33" t="s">
        <v>381</v>
      </c>
      <c r="B555" s="24" t="s">
        <v>382</v>
      </c>
      <c r="C555" s="24" t="s">
        <v>78</v>
      </c>
      <c r="D555" s="69">
        <v>13.7</v>
      </c>
      <c r="E555" s="25">
        <v>4.54</v>
      </c>
    </row>
    <row r="556" spans="1:5" ht="15">
      <c r="A556" s="33" t="s">
        <v>381</v>
      </c>
      <c r="B556" s="24" t="s">
        <v>383</v>
      </c>
      <c r="C556" s="24" t="s">
        <v>78</v>
      </c>
      <c r="D556" s="69">
        <v>13.7</v>
      </c>
      <c r="E556" s="25">
        <v>6.92</v>
      </c>
    </row>
    <row r="557" spans="1:5" ht="15">
      <c r="A557" s="33" t="s">
        <v>381</v>
      </c>
      <c r="B557" s="56"/>
      <c r="C557" s="24" t="s">
        <v>31</v>
      </c>
      <c r="D557" s="8"/>
      <c r="E557" s="46">
        <v>12</v>
      </c>
    </row>
    <row r="559" spans="1:5" ht="15.75">
      <c r="A559" s="99" t="s">
        <v>106</v>
      </c>
      <c r="B559" s="90" t="s">
        <v>128</v>
      </c>
      <c r="C559" s="100" t="s">
        <v>181</v>
      </c>
    </row>
    <row r="560" spans="1:5" ht="15">
      <c r="A560" s="24" t="s">
        <v>385</v>
      </c>
      <c r="B560" s="94" t="s">
        <v>78</v>
      </c>
      <c r="C560" s="54">
        <v>40</v>
      </c>
    </row>
    <row r="561" spans="1:4" ht="15">
      <c r="A561" s="24" t="s">
        <v>386</v>
      </c>
      <c r="B561" s="94" t="s">
        <v>78</v>
      </c>
      <c r="C561" s="54">
        <v>20</v>
      </c>
    </row>
    <row r="562" spans="1:4" ht="15">
      <c r="A562" s="24" t="s">
        <v>387</v>
      </c>
      <c r="B562" s="94" t="s">
        <v>78</v>
      </c>
      <c r="C562" s="54">
        <v>20</v>
      </c>
    </row>
    <row r="563" spans="1:4" ht="15">
      <c r="A563" s="24"/>
      <c r="B563" s="24" t="s">
        <v>31</v>
      </c>
      <c r="C563" s="36">
        <v>1</v>
      </c>
    </row>
    <row r="566" spans="1:4" ht="15.75">
      <c r="A566" s="99" t="s">
        <v>106</v>
      </c>
      <c r="B566" s="99" t="s">
        <v>389</v>
      </c>
      <c r="C566" s="90" t="s">
        <v>128</v>
      </c>
      <c r="D566" s="101" t="s">
        <v>368</v>
      </c>
    </row>
    <row r="567" spans="1:4" ht="15">
      <c r="A567" s="24">
        <v>11700</v>
      </c>
      <c r="B567" s="26">
        <v>6</v>
      </c>
      <c r="C567" s="24" t="s">
        <v>207</v>
      </c>
      <c r="D567" s="67" t="s">
        <v>390</v>
      </c>
    </row>
    <row r="568" spans="1:4" ht="15">
      <c r="A568" s="24">
        <v>11700</v>
      </c>
      <c r="B568" s="26">
        <v>6</v>
      </c>
      <c r="C568" s="24" t="s">
        <v>331</v>
      </c>
      <c r="D568" s="67" t="s">
        <v>390</v>
      </c>
    </row>
    <row r="569" spans="1:4" ht="15">
      <c r="A569" s="24">
        <v>11700</v>
      </c>
      <c r="B569" s="26">
        <v>6</v>
      </c>
      <c r="C569" s="24" t="s">
        <v>367</v>
      </c>
      <c r="D569" s="67" t="s">
        <v>390</v>
      </c>
    </row>
    <row r="570" spans="1:4" ht="15">
      <c r="A570" s="24">
        <v>11700</v>
      </c>
      <c r="B570" s="26">
        <v>6</v>
      </c>
      <c r="C570" s="24" t="s">
        <v>388</v>
      </c>
      <c r="D570" s="67" t="s">
        <v>390</v>
      </c>
    </row>
    <row r="571" spans="1:4" ht="15">
      <c r="A571" s="24">
        <v>11700</v>
      </c>
      <c r="B571" s="26">
        <v>6</v>
      </c>
      <c r="C571" s="24" t="s">
        <v>335</v>
      </c>
      <c r="D571" s="67" t="s">
        <v>390</v>
      </c>
    </row>
    <row r="572" spans="1:4" ht="15">
      <c r="A572" s="24">
        <v>11700</v>
      </c>
      <c r="B572" s="26">
        <v>6</v>
      </c>
      <c r="C572" s="24" t="s">
        <v>366</v>
      </c>
      <c r="D572" s="67" t="s">
        <v>390</v>
      </c>
    </row>
    <row r="573" spans="1:4" ht="15">
      <c r="A573" s="24">
        <v>11700</v>
      </c>
      <c r="B573" s="26">
        <v>18</v>
      </c>
      <c r="C573" s="24" t="s">
        <v>367</v>
      </c>
      <c r="D573" s="161" t="s">
        <v>391</v>
      </c>
    </row>
    <row r="574" spans="1:4" ht="15">
      <c r="A574" s="24">
        <v>11700</v>
      </c>
      <c r="B574" s="26">
        <v>18</v>
      </c>
      <c r="C574" s="24" t="s">
        <v>388</v>
      </c>
      <c r="D574" s="161" t="s">
        <v>391</v>
      </c>
    </row>
    <row r="575" spans="1:4" ht="15">
      <c r="A575" s="24">
        <v>11700</v>
      </c>
      <c r="B575" s="26">
        <v>18</v>
      </c>
      <c r="C575" s="24" t="s">
        <v>335</v>
      </c>
      <c r="D575" s="67" t="s">
        <v>390</v>
      </c>
    </row>
    <row r="577" spans="1:8" ht="15.75">
      <c r="A577" s="99" t="s">
        <v>106</v>
      </c>
      <c r="B577" s="99" t="s">
        <v>389</v>
      </c>
      <c r="C577" s="90" t="s">
        <v>128</v>
      </c>
      <c r="D577" s="101" t="s">
        <v>368</v>
      </c>
    </row>
    <row r="578" spans="1:8" ht="15">
      <c r="A578" s="24">
        <v>11700</v>
      </c>
      <c r="B578" s="26">
        <v>18</v>
      </c>
      <c r="C578" s="24" t="s">
        <v>367</v>
      </c>
      <c r="D578" s="161" t="s">
        <v>392</v>
      </c>
    </row>
    <row r="579" spans="1:8" ht="15">
      <c r="A579" s="24">
        <v>11700</v>
      </c>
      <c r="B579" s="26">
        <v>18</v>
      </c>
      <c r="C579" s="24" t="s">
        <v>388</v>
      </c>
      <c r="D579" s="161" t="s">
        <v>392</v>
      </c>
    </row>
    <row r="583" spans="1:8" ht="15.75">
      <c r="A583" s="99" t="s">
        <v>105</v>
      </c>
      <c r="B583" s="99" t="s">
        <v>106</v>
      </c>
      <c r="C583" s="90" t="s">
        <v>128</v>
      </c>
    </row>
    <row r="584" spans="1:8" ht="15">
      <c r="A584" s="6" t="s">
        <v>401</v>
      </c>
      <c r="B584" s="24" t="s">
        <v>93</v>
      </c>
      <c r="C584" s="94" t="s">
        <v>372</v>
      </c>
    </row>
    <row r="585" spans="1:8" ht="15">
      <c r="A585" s="6" t="s">
        <v>401</v>
      </c>
      <c r="B585" s="56"/>
      <c r="C585" s="24" t="s">
        <v>374</v>
      </c>
    </row>
    <row r="588" spans="1:8" ht="15.75">
      <c r="A588" s="99" t="s">
        <v>105</v>
      </c>
      <c r="B588" s="99" t="s">
        <v>389</v>
      </c>
      <c r="C588" s="90" t="s">
        <v>128</v>
      </c>
      <c r="D588" s="100" t="s">
        <v>181</v>
      </c>
      <c r="E588" s="101" t="s">
        <v>139</v>
      </c>
      <c r="F588" s="11"/>
      <c r="G588" s="13"/>
      <c r="H588" s="739"/>
    </row>
    <row r="589" spans="1:8" ht="15">
      <c r="A589" s="24">
        <v>2100</v>
      </c>
      <c r="B589" s="26">
        <v>50</v>
      </c>
      <c r="C589" s="24" t="s">
        <v>393</v>
      </c>
      <c r="D589" s="67">
        <v>180</v>
      </c>
      <c r="E589" s="25">
        <v>2.71</v>
      </c>
      <c r="F589" s="11">
        <v>43446</v>
      </c>
      <c r="G589" s="98"/>
      <c r="H589" s="740"/>
    </row>
    <row r="590" spans="1:8" ht="15">
      <c r="A590" s="24">
        <v>2100</v>
      </c>
      <c r="B590" s="26">
        <v>50</v>
      </c>
      <c r="C590" s="24" t="s">
        <v>394</v>
      </c>
      <c r="D590" s="67">
        <v>180</v>
      </c>
      <c r="E590" s="25">
        <v>2.71</v>
      </c>
      <c r="F590" s="11">
        <v>43446</v>
      </c>
      <c r="G590" s="98"/>
      <c r="H590" s="740"/>
    </row>
    <row r="591" spans="1:8" ht="15">
      <c r="A591" s="24">
        <v>2100</v>
      </c>
      <c r="B591" s="26">
        <v>50</v>
      </c>
      <c r="C591" s="24" t="s">
        <v>395</v>
      </c>
      <c r="D591" s="67">
        <v>270</v>
      </c>
      <c r="E591" s="25">
        <v>2.71</v>
      </c>
      <c r="F591" s="11">
        <v>43441</v>
      </c>
      <c r="G591" s="98"/>
      <c r="H591" s="740"/>
    </row>
    <row r="592" spans="1:8" ht="15">
      <c r="A592" s="24">
        <v>2100</v>
      </c>
      <c r="B592" s="26">
        <v>50</v>
      </c>
      <c r="C592" s="24" t="s">
        <v>396</v>
      </c>
      <c r="D592" s="67">
        <v>60</v>
      </c>
      <c r="E592" s="25">
        <v>2.71</v>
      </c>
      <c r="F592" s="11"/>
      <c r="G592" s="98"/>
      <c r="H592" s="740"/>
    </row>
    <row r="593" spans="1:8" ht="15">
      <c r="A593" s="24">
        <v>2100</v>
      </c>
      <c r="B593" s="26">
        <v>50</v>
      </c>
      <c r="C593" s="24" t="s">
        <v>397</v>
      </c>
      <c r="D593" s="67">
        <v>90</v>
      </c>
      <c r="E593" s="25">
        <v>2.71</v>
      </c>
      <c r="F593" s="11"/>
      <c r="G593" s="98"/>
      <c r="H593" s="740"/>
    </row>
    <row r="594" spans="1:8" ht="15">
      <c r="A594" s="24">
        <v>2100</v>
      </c>
      <c r="B594" s="26">
        <v>50</v>
      </c>
      <c r="C594" s="24" t="s">
        <v>398</v>
      </c>
      <c r="D594" s="67">
        <v>90</v>
      </c>
      <c r="E594" s="25">
        <v>2.71</v>
      </c>
      <c r="F594" s="11"/>
      <c r="G594" s="98"/>
      <c r="H594" s="740"/>
    </row>
    <row r="595" spans="1:8" ht="15">
      <c r="A595" s="24">
        <v>2100</v>
      </c>
      <c r="B595" s="26">
        <v>50</v>
      </c>
      <c r="C595" s="24" t="s">
        <v>399</v>
      </c>
      <c r="D595" s="67">
        <v>60</v>
      </c>
      <c r="E595" s="25">
        <v>2.71</v>
      </c>
      <c r="F595" s="11"/>
      <c r="G595" s="98"/>
      <c r="H595" s="740"/>
    </row>
    <row r="596" spans="1:8" ht="15">
      <c r="A596" s="24">
        <v>2100</v>
      </c>
      <c r="B596" s="26">
        <v>50</v>
      </c>
      <c r="C596" s="24" t="s">
        <v>400</v>
      </c>
      <c r="D596" s="67">
        <v>180</v>
      </c>
      <c r="E596" s="25">
        <v>2.71</v>
      </c>
      <c r="F596" s="11">
        <v>43441</v>
      </c>
      <c r="G596" s="98"/>
      <c r="H596" s="740"/>
    </row>
    <row r="600" spans="1:8" ht="15.75">
      <c r="A600" s="99" t="s">
        <v>106</v>
      </c>
      <c r="B600" s="99" t="s">
        <v>389</v>
      </c>
      <c r="C600" s="90" t="s">
        <v>128</v>
      </c>
    </row>
    <row r="601" spans="1:8" ht="15">
      <c r="A601" s="24">
        <v>3846</v>
      </c>
      <c r="B601" s="26">
        <v>15</v>
      </c>
      <c r="C601" s="24" t="s">
        <v>360</v>
      </c>
    </row>
    <row r="602" spans="1:8" ht="15">
      <c r="A602" s="24">
        <v>3846</v>
      </c>
      <c r="B602" s="26">
        <v>15</v>
      </c>
      <c r="C602" s="24" t="s">
        <v>404</v>
      </c>
    </row>
    <row r="603" spans="1:8" ht="15">
      <c r="A603" s="24">
        <v>3846</v>
      </c>
      <c r="B603" s="26">
        <v>15</v>
      </c>
      <c r="C603" s="24" t="s">
        <v>405</v>
      </c>
    </row>
    <row r="604" spans="1:8" ht="15">
      <c r="A604" s="24">
        <v>3846</v>
      </c>
      <c r="B604" s="26">
        <v>15</v>
      </c>
      <c r="C604" s="24" t="s">
        <v>365</v>
      </c>
    </row>
    <row r="605" spans="1:8" ht="15">
      <c r="A605" s="24">
        <v>3846</v>
      </c>
      <c r="B605" s="26">
        <v>20</v>
      </c>
      <c r="C605" s="24" t="s">
        <v>360</v>
      </c>
    </row>
    <row r="606" spans="1:8" ht="15">
      <c r="A606" s="24">
        <v>3846</v>
      </c>
      <c r="B606" s="26">
        <v>20</v>
      </c>
      <c r="C606" s="24" t="s">
        <v>404</v>
      </c>
    </row>
    <row r="607" spans="1:8" ht="15">
      <c r="A607" s="24">
        <v>3846</v>
      </c>
      <c r="B607" s="26">
        <v>20</v>
      </c>
      <c r="C607" s="24" t="s">
        <v>405</v>
      </c>
    </row>
    <row r="608" spans="1:8" ht="15">
      <c r="A608" s="24">
        <v>3846</v>
      </c>
      <c r="B608" s="26">
        <v>20</v>
      </c>
      <c r="C608" s="24" t="s">
        <v>365</v>
      </c>
    </row>
    <row r="611" spans="1:5" ht="15">
      <c r="A611" s="99" t="s">
        <v>105</v>
      </c>
      <c r="B611" s="99" t="s">
        <v>106</v>
      </c>
      <c r="C611" s="99" t="s">
        <v>389</v>
      </c>
      <c r="D611" s="101" t="s">
        <v>139</v>
      </c>
    </row>
    <row r="612" spans="1:5" ht="15">
      <c r="A612" s="33" t="s">
        <v>403</v>
      </c>
      <c r="B612" s="24">
        <v>3846</v>
      </c>
      <c r="C612" s="26">
        <v>15</v>
      </c>
      <c r="D612" s="25">
        <v>1.54</v>
      </c>
    </row>
    <row r="613" spans="1:5" ht="15">
      <c r="A613" s="33" t="s">
        <v>403</v>
      </c>
      <c r="B613" s="24">
        <v>3846</v>
      </c>
      <c r="C613" s="26">
        <v>15</v>
      </c>
      <c r="D613" s="25">
        <v>1.54</v>
      </c>
    </row>
    <row r="614" spans="1:5" ht="15">
      <c r="A614" s="33" t="s">
        <v>403</v>
      </c>
      <c r="B614" s="24">
        <v>3846</v>
      </c>
      <c r="C614" s="26">
        <v>15</v>
      </c>
      <c r="D614" s="25">
        <v>1.54</v>
      </c>
    </row>
    <row r="615" spans="1:5" ht="15">
      <c r="A615" s="33" t="s">
        <v>403</v>
      </c>
      <c r="B615" s="24">
        <v>3846</v>
      </c>
      <c r="C615" s="26">
        <v>15</v>
      </c>
      <c r="D615" s="25">
        <v>1.54</v>
      </c>
    </row>
    <row r="616" spans="1:5" ht="15">
      <c r="A616" s="33" t="s">
        <v>403</v>
      </c>
      <c r="B616" s="24">
        <v>3846</v>
      </c>
      <c r="C616" s="26">
        <v>20</v>
      </c>
      <c r="D616" s="25">
        <v>1.84</v>
      </c>
    </row>
    <row r="617" spans="1:5" ht="15">
      <c r="A617" s="33" t="s">
        <v>403</v>
      </c>
      <c r="B617" s="24">
        <v>3846</v>
      </c>
      <c r="C617" s="26">
        <v>20</v>
      </c>
      <c r="D617" s="25">
        <v>1.84</v>
      </c>
    </row>
    <row r="618" spans="1:5" ht="15">
      <c r="A618" s="33" t="s">
        <v>403</v>
      </c>
      <c r="B618" s="24">
        <v>3846</v>
      </c>
      <c r="C618" s="26">
        <v>20</v>
      </c>
      <c r="D618" s="25">
        <v>1.84</v>
      </c>
    </row>
    <row r="619" spans="1:5" ht="15">
      <c r="A619" s="33" t="s">
        <v>403</v>
      </c>
      <c r="B619" s="24">
        <v>3846</v>
      </c>
      <c r="C619" s="26">
        <v>20</v>
      </c>
      <c r="D619" s="25">
        <v>1.84</v>
      </c>
    </row>
    <row r="620" spans="1:5" ht="15">
      <c r="A620" s="33" t="s">
        <v>403</v>
      </c>
      <c r="B620" s="56"/>
      <c r="C620" s="138"/>
      <c r="D620" s="46">
        <v>12</v>
      </c>
    </row>
    <row r="623" spans="1:5" ht="15.75">
      <c r="A623" s="99" t="s">
        <v>106</v>
      </c>
      <c r="B623" s="99" t="s">
        <v>389</v>
      </c>
      <c r="C623" s="90" t="s">
        <v>128</v>
      </c>
      <c r="D623" s="100" t="s">
        <v>181</v>
      </c>
      <c r="E623" s="101" t="s">
        <v>139</v>
      </c>
    </row>
    <row r="624" spans="1:5" ht="15">
      <c r="A624" s="24">
        <v>5311</v>
      </c>
      <c r="B624" s="26" t="s">
        <v>25</v>
      </c>
      <c r="C624" s="24" t="s">
        <v>29</v>
      </c>
      <c r="D624" s="66">
        <v>2600</v>
      </c>
      <c r="E624" s="25">
        <v>0.85</v>
      </c>
    </row>
    <row r="626" spans="1:5" ht="15.75">
      <c r="A626" s="99" t="s">
        <v>106</v>
      </c>
      <c r="B626" s="99" t="s">
        <v>389</v>
      </c>
      <c r="C626" s="90" t="s">
        <v>128</v>
      </c>
      <c r="D626" s="100" t="s">
        <v>181</v>
      </c>
      <c r="E626" s="101" t="s">
        <v>139</v>
      </c>
    </row>
    <row r="627" spans="1:5" ht="15">
      <c r="A627" s="24">
        <v>3705</v>
      </c>
      <c r="B627" s="26">
        <v>25</v>
      </c>
      <c r="C627" s="24" t="s">
        <v>349</v>
      </c>
      <c r="D627" s="66">
        <v>60</v>
      </c>
      <c r="E627" s="25">
        <v>0.49</v>
      </c>
    </row>
    <row r="628" spans="1:5" ht="15">
      <c r="A628" s="56"/>
      <c r="B628" s="26"/>
      <c r="C628" s="24" t="s">
        <v>31</v>
      </c>
      <c r="D628" s="67"/>
      <c r="E628" s="25">
        <v>12</v>
      </c>
    </row>
    <row r="631" spans="1:5" s="7" customFormat="1" ht="15">
      <c r="A631" s="99" t="s">
        <v>105</v>
      </c>
      <c r="B631" s="99" t="s">
        <v>106</v>
      </c>
      <c r="C631" s="99" t="s">
        <v>389</v>
      </c>
      <c r="D631" s="101" t="s">
        <v>139</v>
      </c>
    </row>
    <row r="632" spans="1:5" s="7" customFormat="1" ht="15">
      <c r="A632" s="33" t="s">
        <v>406</v>
      </c>
      <c r="B632" s="24">
        <v>4255</v>
      </c>
      <c r="C632" s="26">
        <v>30</v>
      </c>
      <c r="D632" s="25">
        <v>2.42</v>
      </c>
    </row>
    <row r="633" spans="1:5" s="7" customFormat="1" ht="15">
      <c r="A633" s="33" t="s">
        <v>406</v>
      </c>
      <c r="B633" s="56"/>
      <c r="C633" s="26"/>
      <c r="D633" s="25">
        <v>12</v>
      </c>
    </row>
    <row r="635" spans="1:5" ht="15.75">
      <c r="A635" s="99" t="s">
        <v>106</v>
      </c>
      <c r="B635" s="99" t="s">
        <v>389</v>
      </c>
      <c r="C635" s="90" t="s">
        <v>128</v>
      </c>
      <c r="D635" s="100" t="s">
        <v>181</v>
      </c>
      <c r="E635" s="101" t="s">
        <v>139</v>
      </c>
    </row>
    <row r="636" spans="1:5" ht="15">
      <c r="A636" s="24" t="s">
        <v>409</v>
      </c>
      <c r="B636" s="26" t="s">
        <v>410</v>
      </c>
      <c r="C636" s="24" t="s">
        <v>411</v>
      </c>
      <c r="D636" s="67">
        <v>50</v>
      </c>
      <c r="E636" s="25">
        <v>0.24</v>
      </c>
    </row>
    <row r="637" spans="1:5" ht="15">
      <c r="A637" s="56"/>
      <c r="B637" s="26"/>
      <c r="C637" s="24" t="s">
        <v>31</v>
      </c>
      <c r="D637" s="67"/>
      <c r="E637" s="25">
        <v>12</v>
      </c>
    </row>
    <row r="638" spans="1:5" ht="15.75">
      <c r="A638" s="56"/>
      <c r="B638" s="26"/>
      <c r="C638" s="24"/>
      <c r="D638" s="67"/>
      <c r="E638" s="162" t="s">
        <v>412</v>
      </c>
    </row>
    <row r="640" spans="1:5" ht="15">
      <c r="A640" s="99" t="s">
        <v>105</v>
      </c>
      <c r="B640" s="99" t="s">
        <v>106</v>
      </c>
      <c r="C640" s="99" t="s">
        <v>389</v>
      </c>
      <c r="D640" s="100" t="s">
        <v>182</v>
      </c>
      <c r="E640" s="100" t="s">
        <v>181</v>
      </c>
    </row>
    <row r="641" spans="1:5" ht="15">
      <c r="A641" s="6" t="s">
        <v>413</v>
      </c>
      <c r="B641" s="24">
        <v>3709</v>
      </c>
      <c r="C641" s="26">
        <v>50</v>
      </c>
      <c r="D641" s="68">
        <v>1</v>
      </c>
      <c r="E641" s="67">
        <v>30</v>
      </c>
    </row>
    <row r="642" spans="1:5" ht="15">
      <c r="A642" s="6" t="s">
        <v>413</v>
      </c>
      <c r="B642" s="24">
        <v>3709</v>
      </c>
      <c r="C642" s="26">
        <v>25</v>
      </c>
      <c r="D642" s="68">
        <v>1</v>
      </c>
      <c r="E642" s="67">
        <v>30</v>
      </c>
    </row>
    <row r="643" spans="1:5" ht="15">
      <c r="A643" s="6" t="s">
        <v>413</v>
      </c>
      <c r="B643" s="55"/>
      <c r="C643" s="74"/>
      <c r="D643" s="37"/>
      <c r="E643" s="35"/>
    </row>
    <row r="645" spans="1:5" ht="15.75">
      <c r="A645" s="99" t="s">
        <v>105</v>
      </c>
      <c r="B645" s="99" t="s">
        <v>389</v>
      </c>
      <c r="C645" s="90" t="s">
        <v>128</v>
      </c>
      <c r="D645" s="100" t="s">
        <v>181</v>
      </c>
      <c r="E645" s="101" t="s">
        <v>139</v>
      </c>
    </row>
    <row r="646" spans="1:5" ht="15">
      <c r="A646" s="24">
        <v>3705</v>
      </c>
      <c r="B646" s="26">
        <v>15</v>
      </c>
      <c r="C646" s="24" t="s">
        <v>414</v>
      </c>
      <c r="D646" s="67">
        <v>60</v>
      </c>
      <c r="E646" s="25">
        <v>0.33</v>
      </c>
    </row>
    <row r="647" spans="1:5" ht="15">
      <c r="A647" s="24">
        <v>3705</v>
      </c>
      <c r="B647" s="26">
        <v>38</v>
      </c>
      <c r="C647" s="24" t="s">
        <v>414</v>
      </c>
      <c r="D647" s="67">
        <v>60</v>
      </c>
      <c r="E647" s="25">
        <v>0.73</v>
      </c>
    </row>
    <row r="648" spans="1:5" ht="15">
      <c r="A648" s="24">
        <v>3705</v>
      </c>
      <c r="B648" s="26">
        <v>50</v>
      </c>
      <c r="C648" s="24" t="s">
        <v>414</v>
      </c>
      <c r="D648" s="67">
        <v>60</v>
      </c>
      <c r="E648" s="25">
        <v>1.35</v>
      </c>
    </row>
    <row r="652" spans="1:5" ht="15.75">
      <c r="A652" s="99" t="s">
        <v>106</v>
      </c>
      <c r="B652" s="99" t="s">
        <v>389</v>
      </c>
      <c r="C652" s="90" t="s">
        <v>128</v>
      </c>
    </row>
    <row r="653" spans="1:5" ht="15">
      <c r="A653" s="24">
        <v>3846</v>
      </c>
      <c r="B653" s="26">
        <v>10</v>
      </c>
      <c r="C653" s="24" t="s">
        <v>416</v>
      </c>
    </row>
    <row r="654" spans="1:5" ht="15">
      <c r="A654" s="24">
        <v>3846</v>
      </c>
      <c r="B654" s="26">
        <v>25</v>
      </c>
      <c r="C654" s="24" t="s">
        <v>416</v>
      </c>
    </row>
    <row r="655" spans="1:5" ht="15">
      <c r="A655" s="24">
        <v>3846</v>
      </c>
      <c r="B655" s="26">
        <v>38</v>
      </c>
      <c r="C655" s="24" t="s">
        <v>416</v>
      </c>
    </row>
    <row r="658" spans="1:6" ht="15">
      <c r="A658" s="99" t="s">
        <v>105</v>
      </c>
      <c r="B658" s="99" t="s">
        <v>106</v>
      </c>
      <c r="C658" s="99" t="s">
        <v>389</v>
      </c>
      <c r="D658" s="100" t="s">
        <v>182</v>
      </c>
      <c r="E658" s="100" t="s">
        <v>181</v>
      </c>
      <c r="F658" s="101" t="s">
        <v>368</v>
      </c>
    </row>
    <row r="659" spans="1:6" ht="15">
      <c r="A659" s="6" t="s">
        <v>418</v>
      </c>
      <c r="B659" s="24" t="s">
        <v>419</v>
      </c>
      <c r="C659" s="26"/>
      <c r="D659" s="37">
        <v>8</v>
      </c>
      <c r="E659" s="75">
        <v>112</v>
      </c>
      <c r="F659" s="2834" t="s">
        <v>430</v>
      </c>
    </row>
    <row r="660" spans="1:6" ht="15">
      <c r="A660" s="6" t="s">
        <v>418</v>
      </c>
      <c r="B660" s="24" t="s">
        <v>420</v>
      </c>
      <c r="C660" s="26"/>
      <c r="D660" s="37">
        <v>7</v>
      </c>
      <c r="E660" s="75">
        <v>98</v>
      </c>
      <c r="F660" s="2835"/>
    </row>
    <row r="661" spans="1:6" ht="15">
      <c r="A661" s="6" t="s">
        <v>418</v>
      </c>
      <c r="B661" s="24" t="s">
        <v>421</v>
      </c>
      <c r="C661" s="26"/>
      <c r="D661" s="37">
        <v>8</v>
      </c>
      <c r="E661" s="75">
        <v>112</v>
      </c>
      <c r="F661" s="2835"/>
    </row>
    <row r="662" spans="1:6" ht="15">
      <c r="A662" s="6" t="s">
        <v>418</v>
      </c>
      <c r="B662" s="24" t="s">
        <v>422</v>
      </c>
      <c r="C662" s="26" t="s">
        <v>426</v>
      </c>
      <c r="D662" s="37">
        <v>1</v>
      </c>
      <c r="E662" s="75">
        <v>20</v>
      </c>
      <c r="F662" s="2835"/>
    </row>
    <row r="663" spans="1:6" ht="15">
      <c r="A663" s="6" t="s">
        <v>418</v>
      </c>
      <c r="B663" s="24" t="s">
        <v>423</v>
      </c>
      <c r="C663" s="26" t="s">
        <v>426</v>
      </c>
      <c r="D663" s="37">
        <v>1</v>
      </c>
      <c r="E663" s="75">
        <v>20</v>
      </c>
      <c r="F663" s="2835"/>
    </row>
    <row r="664" spans="1:6" ht="15">
      <c r="A664" s="6" t="s">
        <v>418</v>
      </c>
      <c r="B664" s="24" t="s">
        <v>424</v>
      </c>
      <c r="C664" s="26" t="s">
        <v>426</v>
      </c>
      <c r="D664" s="37">
        <v>1</v>
      </c>
      <c r="E664" s="75">
        <v>20</v>
      </c>
      <c r="F664" s="2835"/>
    </row>
    <row r="665" spans="1:6" ht="15">
      <c r="A665" s="6" t="s">
        <v>418</v>
      </c>
      <c r="B665" s="24" t="s">
        <v>425</v>
      </c>
      <c r="C665" s="26" t="s">
        <v>426</v>
      </c>
      <c r="D665" s="37">
        <v>1</v>
      </c>
      <c r="E665" s="75">
        <v>20</v>
      </c>
      <c r="F665" s="2836"/>
    </row>
    <row r="668" spans="1:6" ht="15.75">
      <c r="A668" s="99" t="s">
        <v>105</v>
      </c>
      <c r="B668" s="99" t="s">
        <v>106</v>
      </c>
      <c r="C668" s="90" t="s">
        <v>128</v>
      </c>
      <c r="D668" s="100" t="s">
        <v>181</v>
      </c>
      <c r="E668" s="119" t="s">
        <v>427</v>
      </c>
    </row>
    <row r="669" spans="1:6" ht="15">
      <c r="A669" s="6" t="s">
        <v>418</v>
      </c>
      <c r="B669" s="24" t="s">
        <v>420</v>
      </c>
      <c r="C669" s="24" t="s">
        <v>78</v>
      </c>
      <c r="D669" s="75">
        <v>70</v>
      </c>
      <c r="E669" s="165">
        <v>206</v>
      </c>
    </row>
    <row r="672" spans="1:6" ht="15.75">
      <c r="A672" s="99" t="s">
        <v>105</v>
      </c>
      <c r="B672" s="99" t="s">
        <v>106</v>
      </c>
      <c r="C672" s="90" t="s">
        <v>128</v>
      </c>
      <c r="D672" s="100" t="s">
        <v>181</v>
      </c>
      <c r="E672" s="101" t="s">
        <v>139</v>
      </c>
    </row>
    <row r="673" spans="1:5" ht="15">
      <c r="A673" s="6" t="s">
        <v>428</v>
      </c>
      <c r="B673" s="24" t="s">
        <v>239</v>
      </c>
      <c r="C673" s="24" t="s">
        <v>78</v>
      </c>
      <c r="D673" s="69">
        <v>246.6</v>
      </c>
      <c r="E673" s="25">
        <v>2.82</v>
      </c>
    </row>
    <row r="674" spans="1:5" ht="15">
      <c r="A674" s="6" t="s">
        <v>428</v>
      </c>
      <c r="B674" s="24" t="s">
        <v>429</v>
      </c>
      <c r="C674" s="24" t="s">
        <v>78</v>
      </c>
      <c r="D674" s="69">
        <v>246.6</v>
      </c>
      <c r="E674" s="25">
        <v>2.7</v>
      </c>
    </row>
    <row r="677" spans="1:5" ht="15">
      <c r="A677" s="99" t="s">
        <v>105</v>
      </c>
      <c r="B677" s="99" t="s">
        <v>106</v>
      </c>
      <c r="C677" s="99" t="s">
        <v>389</v>
      </c>
      <c r="D677" s="100" t="s">
        <v>182</v>
      </c>
      <c r="E677" s="100" t="s">
        <v>181</v>
      </c>
    </row>
    <row r="678" spans="1:5" ht="15">
      <c r="A678" s="6" t="s">
        <v>432</v>
      </c>
      <c r="B678" s="24">
        <v>3705</v>
      </c>
      <c r="C678" s="26">
        <v>15</v>
      </c>
      <c r="D678" s="68">
        <v>2</v>
      </c>
      <c r="E678" s="67">
        <v>60</v>
      </c>
    </row>
    <row r="679" spans="1:5" ht="15">
      <c r="A679" s="6" t="s">
        <v>432</v>
      </c>
      <c r="B679" s="24">
        <v>3705</v>
      </c>
      <c r="C679" s="26">
        <v>15</v>
      </c>
      <c r="D679" s="68">
        <v>2</v>
      </c>
      <c r="E679" s="67">
        <v>60</v>
      </c>
    </row>
    <row r="680" spans="1:5" ht="15">
      <c r="A680" s="6" t="s">
        <v>432</v>
      </c>
      <c r="B680" s="24"/>
      <c r="C680" s="138"/>
      <c r="D680" s="41"/>
      <c r="E680" s="8"/>
    </row>
    <row r="682" spans="1:5" ht="15">
      <c r="A682" s="99" t="s">
        <v>105</v>
      </c>
      <c r="B682" s="99" t="s">
        <v>106</v>
      </c>
      <c r="C682" s="99" t="s">
        <v>389</v>
      </c>
      <c r="D682" s="100" t="s">
        <v>182</v>
      </c>
      <c r="E682" s="100" t="s">
        <v>181</v>
      </c>
    </row>
    <row r="683" spans="1:5" ht="14.25">
      <c r="A683" s="65" t="s">
        <v>433</v>
      </c>
      <c r="B683" s="55" t="s">
        <v>246</v>
      </c>
      <c r="C683" s="71" t="s">
        <v>24</v>
      </c>
      <c r="D683" s="64">
        <v>18</v>
      </c>
      <c r="E683" s="35">
        <v>900</v>
      </c>
    </row>
    <row r="685" spans="1:5" ht="15.75">
      <c r="A685" s="99" t="s">
        <v>106</v>
      </c>
      <c r="B685" s="99" t="s">
        <v>389</v>
      </c>
      <c r="C685" s="90" t="s">
        <v>128</v>
      </c>
      <c r="D685" s="100" t="s">
        <v>181</v>
      </c>
      <c r="E685" s="101" t="s">
        <v>139</v>
      </c>
    </row>
    <row r="686" spans="1:5" ht="15">
      <c r="A686" s="24">
        <v>12720</v>
      </c>
      <c r="B686" s="26">
        <v>9</v>
      </c>
      <c r="C686" s="24" t="s">
        <v>45</v>
      </c>
      <c r="D686" s="67">
        <v>30</v>
      </c>
      <c r="E686" s="46">
        <v>0.79</v>
      </c>
    </row>
    <row r="687" spans="1:5" ht="15">
      <c r="A687" s="24">
        <v>12720</v>
      </c>
      <c r="B687" s="26">
        <v>9</v>
      </c>
      <c r="C687" s="24" t="s">
        <v>434</v>
      </c>
      <c r="D687" s="67">
        <v>30</v>
      </c>
      <c r="E687" s="46">
        <v>0.79</v>
      </c>
    </row>
    <row r="688" spans="1:5" ht="15">
      <c r="A688" s="24">
        <v>12720</v>
      </c>
      <c r="B688" s="26">
        <v>9</v>
      </c>
      <c r="C688" s="24" t="s">
        <v>435</v>
      </c>
      <c r="D688" s="67">
        <v>30</v>
      </c>
      <c r="E688" s="46">
        <v>0.79</v>
      </c>
    </row>
    <row r="689" spans="1:5" ht="15">
      <c r="A689" s="24">
        <v>12720</v>
      </c>
      <c r="B689" s="26">
        <v>9</v>
      </c>
      <c r="C689" s="24" t="s">
        <v>436</v>
      </c>
      <c r="D689" s="67">
        <v>20</v>
      </c>
      <c r="E689" s="46">
        <v>0.79</v>
      </c>
    </row>
    <row r="690" spans="1:5" ht="15">
      <c r="A690" s="24">
        <v>12720</v>
      </c>
      <c r="B690" s="26">
        <v>9</v>
      </c>
      <c r="C690" s="24" t="s">
        <v>206</v>
      </c>
      <c r="D690" s="67">
        <v>20</v>
      </c>
      <c r="E690" s="46">
        <v>0.79</v>
      </c>
    </row>
    <row r="691" spans="1:5" ht="15">
      <c r="A691" s="24">
        <v>12720</v>
      </c>
      <c r="B691" s="26">
        <v>9</v>
      </c>
      <c r="C691" s="24" t="s">
        <v>437</v>
      </c>
      <c r="D691" s="67">
        <v>20</v>
      </c>
      <c r="E691" s="46">
        <v>0.79</v>
      </c>
    </row>
    <row r="692" spans="1:5" ht="15">
      <c r="A692" s="24">
        <v>12720</v>
      </c>
      <c r="B692" s="26">
        <v>9</v>
      </c>
      <c r="C692" s="24" t="s">
        <v>207</v>
      </c>
      <c r="D692" s="67">
        <v>20</v>
      </c>
      <c r="E692" s="46">
        <v>0.79</v>
      </c>
    </row>
    <row r="693" spans="1:5" ht="15">
      <c r="A693" s="24">
        <v>12720</v>
      </c>
      <c r="B693" s="26">
        <v>9</v>
      </c>
      <c r="C693" s="24" t="s">
        <v>438</v>
      </c>
      <c r="D693" s="67">
        <v>20</v>
      </c>
      <c r="E693" s="46">
        <v>0.79</v>
      </c>
    </row>
    <row r="694" spans="1:5" ht="15">
      <c r="A694" s="24">
        <v>12720</v>
      </c>
      <c r="B694" s="26">
        <v>9</v>
      </c>
      <c r="C694" s="24" t="s">
        <v>104</v>
      </c>
      <c r="D694" s="67">
        <v>20</v>
      </c>
      <c r="E694" s="46">
        <v>0.79</v>
      </c>
    </row>
    <row r="695" spans="1:5" ht="15">
      <c r="A695" s="24"/>
      <c r="B695" s="138"/>
      <c r="C695" s="24" t="s">
        <v>31</v>
      </c>
      <c r="D695" s="8"/>
      <c r="E695" s="46">
        <v>12</v>
      </c>
    </row>
    <row r="696" spans="1:5" ht="15.75">
      <c r="A696" s="99" t="s">
        <v>106</v>
      </c>
      <c r="B696" s="99" t="s">
        <v>389</v>
      </c>
      <c r="C696" s="90" t="s">
        <v>128</v>
      </c>
    </row>
    <row r="697" spans="1:5" ht="15">
      <c r="A697" s="24">
        <v>4255</v>
      </c>
      <c r="B697" s="26">
        <v>40</v>
      </c>
      <c r="C697" s="24" t="s">
        <v>440</v>
      </c>
    </row>
    <row r="698" spans="1:5" ht="15">
      <c r="A698" s="24">
        <v>4255</v>
      </c>
      <c r="B698" s="26">
        <v>40</v>
      </c>
      <c r="C698" s="24" t="s">
        <v>441</v>
      </c>
    </row>
    <row r="699" spans="1:5" ht="15">
      <c r="A699" s="24">
        <v>3846</v>
      </c>
      <c r="B699" s="26">
        <v>20</v>
      </c>
      <c r="C699" s="24" t="s">
        <v>360</v>
      </c>
    </row>
    <row r="700" spans="1:5" ht="15">
      <c r="A700" s="24">
        <v>3846</v>
      </c>
      <c r="B700" s="26">
        <v>20</v>
      </c>
      <c r="C700" s="24" t="s">
        <v>442</v>
      </c>
    </row>
    <row r="701" spans="1:5" ht="15">
      <c r="A701" s="24">
        <v>3846</v>
      </c>
      <c r="B701" s="26">
        <v>20</v>
      </c>
      <c r="C701" s="24" t="s">
        <v>205</v>
      </c>
    </row>
    <row r="702" spans="1:5" ht="15">
      <c r="A702" s="24">
        <v>3846</v>
      </c>
      <c r="B702" s="26">
        <v>20</v>
      </c>
      <c r="C702" s="24" t="s">
        <v>443</v>
      </c>
    </row>
    <row r="703" spans="1:5" ht="15">
      <c r="A703" s="24">
        <v>3846</v>
      </c>
      <c r="B703" s="26">
        <v>30</v>
      </c>
      <c r="C703" s="24" t="s">
        <v>360</v>
      </c>
    </row>
    <row r="704" spans="1:5" ht="15">
      <c r="A704" s="24">
        <v>3846</v>
      </c>
      <c r="B704" s="26">
        <v>30</v>
      </c>
      <c r="C704" s="24" t="s">
        <v>442</v>
      </c>
    </row>
    <row r="705" spans="1:5" ht="15">
      <c r="A705" s="24">
        <v>3846</v>
      </c>
      <c r="B705" s="26">
        <v>30</v>
      </c>
      <c r="C705" s="24" t="s">
        <v>205</v>
      </c>
    </row>
    <row r="706" spans="1:5" ht="15">
      <c r="A706" s="24">
        <v>3846</v>
      </c>
      <c r="B706" s="26">
        <v>30</v>
      </c>
      <c r="C706" s="24" t="s">
        <v>443</v>
      </c>
    </row>
    <row r="707" spans="1:5" ht="15">
      <c r="A707" s="24">
        <v>3846</v>
      </c>
      <c r="B707" s="26">
        <v>50</v>
      </c>
      <c r="C707" s="24" t="s">
        <v>360</v>
      </c>
    </row>
    <row r="710" spans="1:5" ht="15.75">
      <c r="A710" s="99" t="s">
        <v>106</v>
      </c>
      <c r="B710" s="90" t="s">
        <v>128</v>
      </c>
      <c r="C710" s="100" t="s">
        <v>54</v>
      </c>
    </row>
    <row r="711" spans="1:5" ht="15">
      <c r="A711" s="24" t="s">
        <v>449</v>
      </c>
      <c r="B711" s="24" t="s">
        <v>353</v>
      </c>
      <c r="C711" s="67">
        <v>5</v>
      </c>
    </row>
    <row r="712" spans="1:5" ht="15">
      <c r="A712" s="24" t="s">
        <v>450</v>
      </c>
      <c r="B712" s="24" t="s">
        <v>353</v>
      </c>
      <c r="C712" s="67">
        <v>5</v>
      </c>
    </row>
    <row r="713" spans="1:5" ht="15">
      <c r="A713" s="24" t="s">
        <v>451</v>
      </c>
      <c r="B713" s="24" t="s">
        <v>353</v>
      </c>
      <c r="C713" s="67">
        <v>5</v>
      </c>
    </row>
    <row r="714" spans="1:5" ht="15">
      <c r="A714" s="24" t="s">
        <v>452</v>
      </c>
      <c r="B714" s="24" t="s">
        <v>353</v>
      </c>
      <c r="C714" s="67">
        <v>5</v>
      </c>
    </row>
    <row r="717" spans="1:5" ht="15.75">
      <c r="A717" s="99" t="s">
        <v>106</v>
      </c>
      <c r="B717" s="99" t="s">
        <v>389</v>
      </c>
      <c r="C717" s="90" t="s">
        <v>128</v>
      </c>
      <c r="D717" s="100" t="s">
        <v>181</v>
      </c>
      <c r="E717" s="101" t="s">
        <v>139</v>
      </c>
    </row>
    <row r="718" spans="1:5" ht="15">
      <c r="A718" s="24">
        <v>11700</v>
      </c>
      <c r="B718" s="26">
        <v>6</v>
      </c>
      <c r="C718" s="24" t="s">
        <v>335</v>
      </c>
      <c r="D718" s="67"/>
      <c r="E718" s="25">
        <v>1.05</v>
      </c>
    </row>
    <row r="719" spans="1:5" ht="15">
      <c r="A719" s="56"/>
      <c r="B719" s="26"/>
      <c r="C719" s="24" t="s">
        <v>31</v>
      </c>
      <c r="D719" s="67"/>
      <c r="E719" s="25">
        <v>12</v>
      </c>
    </row>
    <row r="722" spans="1:4" ht="15">
      <c r="A722" s="2837" t="s">
        <v>439</v>
      </c>
      <c r="B722" s="2837"/>
      <c r="C722" s="2837"/>
      <c r="D722" s="101" t="s">
        <v>287</v>
      </c>
    </row>
    <row r="723" spans="1:4" ht="15.75">
      <c r="A723" s="99" t="s">
        <v>106</v>
      </c>
      <c r="B723" s="99" t="s">
        <v>389</v>
      </c>
      <c r="C723" s="90" t="s">
        <v>128</v>
      </c>
      <c r="D723" s="166"/>
    </row>
    <row r="724" spans="1:4" ht="15.75">
      <c r="A724" s="24">
        <v>4255</v>
      </c>
      <c r="B724" s="26">
        <v>40</v>
      </c>
      <c r="C724" s="24" t="s">
        <v>440</v>
      </c>
      <c r="D724" s="166" t="s">
        <v>470</v>
      </c>
    </row>
    <row r="725" spans="1:4" ht="15.75">
      <c r="A725" s="24">
        <v>4255</v>
      </c>
      <c r="B725" s="26">
        <v>40</v>
      </c>
      <c r="C725" s="24" t="s">
        <v>441</v>
      </c>
      <c r="D725" s="166" t="s">
        <v>470</v>
      </c>
    </row>
    <row r="726" spans="1:4" ht="15.75" customHeight="1">
      <c r="A726" s="2838" t="s">
        <v>402</v>
      </c>
      <c r="B726" s="2839"/>
      <c r="C726" s="2839"/>
      <c r="D726" s="166"/>
    </row>
    <row r="727" spans="1:4" ht="15.75">
      <c r="A727" s="99" t="s">
        <v>106</v>
      </c>
      <c r="B727" s="99" t="s">
        <v>389</v>
      </c>
      <c r="C727" s="90" t="s">
        <v>128</v>
      </c>
      <c r="D727" s="101" t="s">
        <v>287</v>
      </c>
    </row>
    <row r="728" spans="1:4" ht="15.75">
      <c r="A728" s="24">
        <v>3846</v>
      </c>
      <c r="B728" s="26">
        <v>20</v>
      </c>
      <c r="C728" s="24" t="s">
        <v>360</v>
      </c>
      <c r="D728" s="166" t="s">
        <v>470</v>
      </c>
    </row>
    <row r="729" spans="1:4" ht="15.75">
      <c r="A729" s="24">
        <v>3846</v>
      </c>
      <c r="B729" s="26">
        <v>20</v>
      </c>
      <c r="C729" s="24" t="s">
        <v>442</v>
      </c>
      <c r="D729" s="172" t="s">
        <v>453</v>
      </c>
    </row>
    <row r="730" spans="1:4" ht="15.75">
      <c r="A730" s="24">
        <v>3846</v>
      </c>
      <c r="B730" s="26">
        <v>20</v>
      </c>
      <c r="C730" s="24" t="s">
        <v>205</v>
      </c>
      <c r="D730" s="166" t="s">
        <v>470</v>
      </c>
    </row>
    <row r="731" spans="1:4" ht="15.75">
      <c r="A731" s="24">
        <v>3846</v>
      </c>
      <c r="B731" s="26">
        <v>20</v>
      </c>
      <c r="C731" s="24" t="s">
        <v>443</v>
      </c>
      <c r="D731" s="166" t="s">
        <v>470</v>
      </c>
    </row>
    <row r="732" spans="1:4" ht="15.75">
      <c r="A732" s="24">
        <v>3846</v>
      </c>
      <c r="B732" s="26">
        <v>30</v>
      </c>
      <c r="C732" s="24" t="s">
        <v>360</v>
      </c>
      <c r="D732" s="166" t="s">
        <v>470</v>
      </c>
    </row>
    <row r="733" spans="1:4" ht="15.75">
      <c r="A733" s="24">
        <v>3846</v>
      </c>
      <c r="B733" s="26">
        <v>30</v>
      </c>
      <c r="C733" s="24" t="s">
        <v>442</v>
      </c>
      <c r="D733" s="166" t="s">
        <v>470</v>
      </c>
    </row>
    <row r="734" spans="1:4" ht="15.75">
      <c r="A734" s="24">
        <v>3846</v>
      </c>
      <c r="B734" s="26">
        <v>30</v>
      </c>
      <c r="C734" s="24" t="s">
        <v>205</v>
      </c>
      <c r="D734" s="166" t="s">
        <v>470</v>
      </c>
    </row>
    <row r="735" spans="1:4" ht="15.75">
      <c r="A735" s="24">
        <v>3846</v>
      </c>
      <c r="B735" s="26">
        <v>30</v>
      </c>
      <c r="C735" s="24" t="s">
        <v>443</v>
      </c>
      <c r="D735" s="166" t="s">
        <v>470</v>
      </c>
    </row>
    <row r="736" spans="1:4" ht="15.75">
      <c r="A736" s="24">
        <v>3846</v>
      </c>
      <c r="B736" s="26">
        <v>50</v>
      </c>
      <c r="C736" s="24" t="s">
        <v>360</v>
      </c>
      <c r="D736" s="166" t="s">
        <v>470</v>
      </c>
    </row>
    <row r="737" spans="1:4" ht="15.75" customHeight="1">
      <c r="A737" s="2838" t="s">
        <v>444</v>
      </c>
      <c r="B737" s="2839"/>
      <c r="C737" s="2839"/>
      <c r="D737" s="166"/>
    </row>
    <row r="738" spans="1:4" ht="15.75">
      <c r="A738" s="99" t="s">
        <v>106</v>
      </c>
      <c r="B738" s="99" t="s">
        <v>389</v>
      </c>
      <c r="C738" s="90" t="s">
        <v>128</v>
      </c>
      <c r="D738" s="101" t="s">
        <v>287</v>
      </c>
    </row>
    <row r="739" spans="1:4" ht="15.75">
      <c r="A739" s="24" t="s">
        <v>445</v>
      </c>
      <c r="B739" s="26"/>
      <c r="C739" s="24" t="s">
        <v>353</v>
      </c>
      <c r="D739" s="166" t="s">
        <v>469</v>
      </c>
    </row>
    <row r="740" spans="1:4" ht="15.75">
      <c r="A740" s="24" t="s">
        <v>446</v>
      </c>
      <c r="B740" s="26"/>
      <c r="C740" s="24" t="s">
        <v>353</v>
      </c>
      <c r="D740" s="166" t="s">
        <v>469</v>
      </c>
    </row>
    <row r="741" spans="1:4" ht="15.75">
      <c r="A741" s="24" t="s">
        <v>447</v>
      </c>
      <c r="B741" s="26"/>
      <c r="C741" s="24" t="s">
        <v>353</v>
      </c>
      <c r="D741" s="166" t="s">
        <v>469</v>
      </c>
    </row>
    <row r="742" spans="1:4" ht="15.75">
      <c r="A742" s="24" t="s">
        <v>448</v>
      </c>
      <c r="B742" s="26"/>
      <c r="C742" s="24" t="s">
        <v>353</v>
      </c>
      <c r="D742" s="166" t="s">
        <v>469</v>
      </c>
    </row>
    <row r="743" spans="1:4" ht="15.75">
      <c r="A743" s="24"/>
      <c r="B743" s="26"/>
      <c r="C743" s="24" t="s">
        <v>75</v>
      </c>
      <c r="D743" s="166" t="s">
        <v>454</v>
      </c>
    </row>
    <row r="744" spans="1:4" ht="15.75">
      <c r="A744" s="164" t="s">
        <v>445</v>
      </c>
      <c r="B744" s="26"/>
      <c r="C744" s="24" t="s">
        <v>353</v>
      </c>
      <c r="D744" s="166"/>
    </row>
    <row r="745" spans="1:4" ht="15.75">
      <c r="A745" s="164" t="s">
        <v>446</v>
      </c>
      <c r="B745" s="26"/>
      <c r="C745" s="24" t="s">
        <v>353</v>
      </c>
      <c r="D745" s="166"/>
    </row>
    <row r="746" spans="1:4" ht="15.75">
      <c r="A746" s="164" t="s">
        <v>447</v>
      </c>
      <c r="B746" s="26"/>
      <c r="C746" s="24" t="s">
        <v>353</v>
      </c>
      <c r="D746" s="166"/>
    </row>
    <row r="747" spans="1:4" ht="15.75">
      <c r="A747" s="164" t="s">
        <v>448</v>
      </c>
      <c r="B747" s="26"/>
      <c r="C747" s="24" t="s">
        <v>353</v>
      </c>
      <c r="D747" s="166"/>
    </row>
    <row r="748" spans="1:4" ht="15.75">
      <c r="A748" s="24"/>
      <c r="B748" s="26"/>
      <c r="C748" s="24" t="s">
        <v>31</v>
      </c>
      <c r="D748" s="166"/>
    </row>
    <row r="751" spans="1:4" ht="15.75">
      <c r="A751" s="99" t="s">
        <v>106</v>
      </c>
      <c r="B751" s="99" t="s">
        <v>389</v>
      </c>
      <c r="C751" s="90" t="s">
        <v>128</v>
      </c>
      <c r="D751" s="101" t="s">
        <v>287</v>
      </c>
    </row>
    <row r="752" spans="1:4" ht="15.75">
      <c r="A752" s="24">
        <v>3846</v>
      </c>
      <c r="B752" s="26">
        <v>20</v>
      </c>
      <c r="C752" s="24" t="s">
        <v>442</v>
      </c>
      <c r="D752" s="166" t="s">
        <v>453</v>
      </c>
    </row>
    <row r="754" spans="1:5" ht="14.25" thickBot="1"/>
    <row r="755" spans="1:5" ht="16.5" thickBot="1">
      <c r="A755" s="167" t="s">
        <v>455</v>
      </c>
      <c r="B755" s="168" t="s">
        <v>456</v>
      </c>
      <c r="C755" s="169" t="s">
        <v>457</v>
      </c>
    </row>
    <row r="756" spans="1:5" ht="15.75" thickBot="1">
      <c r="A756" s="170">
        <v>4255</v>
      </c>
      <c r="B756" s="171" t="s">
        <v>458</v>
      </c>
      <c r="C756" s="171" t="s">
        <v>459</v>
      </c>
    </row>
    <row r="757" spans="1:5" ht="15.75" thickBot="1">
      <c r="A757" s="170">
        <v>4255</v>
      </c>
      <c r="B757" s="171" t="s">
        <v>458</v>
      </c>
      <c r="C757" s="171" t="s">
        <v>460</v>
      </c>
    </row>
    <row r="758" spans="1:5" ht="15.75" thickBot="1">
      <c r="A758" s="170">
        <v>3846</v>
      </c>
      <c r="B758" s="171" t="s">
        <v>461</v>
      </c>
      <c r="C758" s="171" t="s">
        <v>462</v>
      </c>
    </row>
    <row r="759" spans="1:5" ht="15.75" thickBot="1">
      <c r="A759" s="170">
        <v>3846</v>
      </c>
      <c r="B759" s="171" t="s">
        <v>461</v>
      </c>
      <c r="C759" s="171" t="s">
        <v>464</v>
      </c>
    </row>
    <row r="760" spans="1:5" ht="15.75" thickBot="1">
      <c r="A760" s="170">
        <v>3846</v>
      </c>
      <c r="B760" s="171" t="s">
        <v>461</v>
      </c>
      <c r="C760" s="171" t="s">
        <v>465</v>
      </c>
    </row>
    <row r="761" spans="1:5" ht="15.75" thickBot="1">
      <c r="A761" s="170">
        <v>3846</v>
      </c>
      <c r="B761" s="171" t="s">
        <v>466</v>
      </c>
      <c r="C761" s="171" t="s">
        <v>462</v>
      </c>
    </row>
    <row r="762" spans="1:5" ht="15.75" thickBot="1">
      <c r="A762" s="170">
        <v>3846</v>
      </c>
      <c r="B762" s="171" t="s">
        <v>466</v>
      </c>
      <c r="C762" s="171" t="s">
        <v>463</v>
      </c>
    </row>
    <row r="763" spans="1:5" ht="15.75" thickBot="1">
      <c r="A763" s="170">
        <v>3846</v>
      </c>
      <c r="B763" s="171" t="s">
        <v>466</v>
      </c>
      <c r="C763" s="171" t="s">
        <v>464</v>
      </c>
    </row>
    <row r="764" spans="1:5" ht="15.75" thickBot="1">
      <c r="A764" s="170">
        <v>3846</v>
      </c>
      <c r="B764" s="171" t="s">
        <v>466</v>
      </c>
      <c r="C764" s="171" t="s">
        <v>465</v>
      </c>
    </row>
    <row r="765" spans="1:5" ht="15.75" thickBot="1">
      <c r="A765" s="170">
        <v>3846</v>
      </c>
      <c r="B765" s="171" t="s">
        <v>467</v>
      </c>
      <c r="C765" s="171" t="s">
        <v>462</v>
      </c>
    </row>
    <row r="768" spans="1:5" ht="15.75">
      <c r="A768" s="173" t="s">
        <v>105</v>
      </c>
      <c r="B768" s="173" t="s">
        <v>455</v>
      </c>
      <c r="C768" s="174" t="s">
        <v>457</v>
      </c>
      <c r="D768" s="100" t="s">
        <v>181</v>
      </c>
      <c r="E768" s="101" t="s">
        <v>139</v>
      </c>
    </row>
    <row r="769" spans="1:5" ht="15">
      <c r="A769" s="6" t="s">
        <v>401</v>
      </c>
      <c r="B769" s="24" t="s">
        <v>93</v>
      </c>
      <c r="C769" s="94" t="s">
        <v>372</v>
      </c>
      <c r="D769" s="75">
        <v>28</v>
      </c>
      <c r="E769" s="25">
        <v>1.65</v>
      </c>
    </row>
    <row r="770" spans="1:5" ht="15">
      <c r="A770" s="6" t="s">
        <v>468</v>
      </c>
      <c r="B770" s="24" t="s">
        <v>93</v>
      </c>
      <c r="C770" s="94" t="s">
        <v>372</v>
      </c>
      <c r="D770" s="75">
        <v>1022</v>
      </c>
      <c r="E770" s="25">
        <v>1.65</v>
      </c>
    </row>
    <row r="775" spans="1:5" ht="15.75">
      <c r="A775" s="173" t="s">
        <v>455</v>
      </c>
      <c r="B775" s="99" t="s">
        <v>389</v>
      </c>
      <c r="C775" s="174" t="s">
        <v>457</v>
      </c>
      <c r="D775" s="100" t="s">
        <v>181</v>
      </c>
    </row>
    <row r="776" spans="1:5" ht="15">
      <c r="A776" s="24">
        <v>4141</v>
      </c>
      <c r="B776" s="26" t="s">
        <v>485</v>
      </c>
      <c r="C776" s="24" t="s">
        <v>486</v>
      </c>
      <c r="D776" s="66">
        <v>1840</v>
      </c>
    </row>
    <row r="779" spans="1:5" ht="15.75">
      <c r="A779" s="173" t="s">
        <v>455</v>
      </c>
      <c r="B779" s="99" t="s">
        <v>389</v>
      </c>
      <c r="C779" s="174" t="s">
        <v>457</v>
      </c>
      <c r="D779" s="100" t="s">
        <v>181</v>
      </c>
    </row>
    <row r="780" spans="1:5" ht="14.25">
      <c r="A780" s="55" t="s">
        <v>471</v>
      </c>
      <c r="B780" s="71" t="s">
        <v>472</v>
      </c>
      <c r="C780" s="71" t="s">
        <v>488</v>
      </c>
      <c r="D780" s="35">
        <v>650</v>
      </c>
    </row>
    <row r="781" spans="1:5" ht="14.25">
      <c r="A781" s="55" t="s">
        <v>471</v>
      </c>
      <c r="B781" s="71" t="s">
        <v>472</v>
      </c>
      <c r="C781" s="71" t="s">
        <v>473</v>
      </c>
      <c r="D781" s="35">
        <v>1050</v>
      </c>
    </row>
    <row r="783" spans="1:5" ht="15.75">
      <c r="A783" s="173" t="s">
        <v>455</v>
      </c>
      <c r="B783" s="99" t="s">
        <v>389</v>
      </c>
      <c r="C783" s="174" t="s">
        <v>457</v>
      </c>
      <c r="D783" s="100" t="s">
        <v>181</v>
      </c>
      <c r="E783" s="101" t="s">
        <v>139</v>
      </c>
    </row>
    <row r="784" spans="1:5" ht="15">
      <c r="A784" s="24">
        <v>4141</v>
      </c>
      <c r="B784" s="26" t="s">
        <v>485</v>
      </c>
      <c r="C784" s="24" t="s">
        <v>486</v>
      </c>
      <c r="D784" s="66">
        <v>1840</v>
      </c>
      <c r="E784" s="25">
        <v>1.34</v>
      </c>
    </row>
    <row r="788" spans="1:5" ht="15.75">
      <c r="A788" s="173" t="s">
        <v>105</v>
      </c>
      <c r="B788" s="173" t="s">
        <v>455</v>
      </c>
      <c r="C788" s="174" t="s">
        <v>457</v>
      </c>
      <c r="D788" s="100" t="s">
        <v>181</v>
      </c>
      <c r="E788" s="101" t="s">
        <v>139</v>
      </c>
    </row>
    <row r="789" spans="1:5" ht="15">
      <c r="A789" s="33" t="s">
        <v>493</v>
      </c>
      <c r="B789" s="24" t="s">
        <v>494</v>
      </c>
      <c r="C789" s="24" t="s">
        <v>495</v>
      </c>
      <c r="D789" s="54">
        <v>1096</v>
      </c>
      <c r="E789" s="25">
        <v>1.99</v>
      </c>
    </row>
    <row r="791" spans="1:5" ht="15">
      <c r="A791" s="173" t="s">
        <v>105</v>
      </c>
      <c r="B791" s="173" t="s">
        <v>455</v>
      </c>
      <c r="C791" s="99" t="s">
        <v>389</v>
      </c>
      <c r="D791" s="100" t="s">
        <v>182</v>
      </c>
      <c r="E791" s="100" t="s">
        <v>181</v>
      </c>
    </row>
    <row r="792" spans="1:5" ht="15">
      <c r="A792" s="33" t="s">
        <v>496</v>
      </c>
      <c r="B792" s="24">
        <v>14552</v>
      </c>
      <c r="C792" s="26">
        <v>25</v>
      </c>
      <c r="D792" s="68">
        <v>4</v>
      </c>
      <c r="E792" s="67">
        <v>120</v>
      </c>
    </row>
    <row r="793" spans="1:5" ht="15">
      <c r="A793" s="33" t="s">
        <v>490</v>
      </c>
      <c r="B793" s="24"/>
      <c r="C793" s="138"/>
      <c r="D793" s="41"/>
      <c r="E793" s="8"/>
    </row>
    <row r="797" spans="1:5" ht="15">
      <c r="A797" s="173" t="s">
        <v>497</v>
      </c>
      <c r="B797" s="173" t="s">
        <v>455</v>
      </c>
      <c r="C797" s="99" t="s">
        <v>389</v>
      </c>
      <c r="D797" s="100" t="s">
        <v>182</v>
      </c>
      <c r="E797" s="100" t="s">
        <v>181</v>
      </c>
    </row>
    <row r="798" spans="1:5" ht="14.25">
      <c r="A798" s="65" t="s">
        <v>487</v>
      </c>
      <c r="B798" s="55" t="s">
        <v>471</v>
      </c>
      <c r="C798" s="71" t="s">
        <v>472</v>
      </c>
      <c r="D798" s="64">
        <v>1</v>
      </c>
      <c r="E798" s="35">
        <v>50</v>
      </c>
    </row>
    <row r="799" spans="1:5" ht="14.25">
      <c r="A799" s="65" t="s">
        <v>487</v>
      </c>
      <c r="B799" s="55" t="s">
        <v>471</v>
      </c>
      <c r="C799" s="71" t="s">
        <v>472</v>
      </c>
      <c r="D799" s="64">
        <v>1</v>
      </c>
      <c r="E799" s="35">
        <v>50</v>
      </c>
    </row>
    <row r="800" spans="1:5" ht="14.25">
      <c r="A800" s="65" t="s">
        <v>489</v>
      </c>
      <c r="B800" s="55" t="s">
        <v>471</v>
      </c>
      <c r="C800" s="71" t="s">
        <v>472</v>
      </c>
      <c r="D800" s="64">
        <v>12</v>
      </c>
      <c r="E800" s="35">
        <v>600</v>
      </c>
    </row>
    <row r="801" spans="1:5" ht="14.25">
      <c r="A801" s="65" t="s">
        <v>489</v>
      </c>
      <c r="B801" s="55" t="s">
        <v>471</v>
      </c>
      <c r="C801" s="71" t="s">
        <v>472</v>
      </c>
      <c r="D801" s="64">
        <v>20</v>
      </c>
      <c r="E801" s="35">
        <v>1000</v>
      </c>
    </row>
    <row r="803" spans="1:5" ht="15.75">
      <c r="A803" s="173" t="s">
        <v>455</v>
      </c>
      <c r="B803" s="99" t="s">
        <v>389</v>
      </c>
      <c r="C803" s="174" t="s">
        <v>457</v>
      </c>
      <c r="D803" s="100" t="s">
        <v>181</v>
      </c>
      <c r="E803" s="101" t="s">
        <v>139</v>
      </c>
    </row>
    <row r="804" spans="1:5" ht="15">
      <c r="A804" s="24">
        <v>12720</v>
      </c>
      <c r="B804" s="26">
        <v>9</v>
      </c>
      <c r="C804" s="24" t="s">
        <v>329</v>
      </c>
      <c r="D804" s="67">
        <v>10</v>
      </c>
      <c r="E804" s="46">
        <v>0.79</v>
      </c>
    </row>
    <row r="805" spans="1:5" ht="15">
      <c r="A805" s="24">
        <v>12720</v>
      </c>
      <c r="B805" s="26">
        <v>9</v>
      </c>
      <c r="C805" s="24" t="s">
        <v>474</v>
      </c>
      <c r="D805" s="67">
        <v>10</v>
      </c>
      <c r="E805" s="46">
        <v>0.79</v>
      </c>
    </row>
    <row r="806" spans="1:5" ht="15">
      <c r="A806" s="24">
        <v>12720</v>
      </c>
      <c r="B806" s="26">
        <v>9</v>
      </c>
      <c r="C806" s="24" t="s">
        <v>475</v>
      </c>
      <c r="D806" s="67">
        <v>10</v>
      </c>
      <c r="E806" s="46">
        <v>0.79</v>
      </c>
    </row>
    <row r="807" spans="1:5" ht="15">
      <c r="A807" s="24">
        <v>12720</v>
      </c>
      <c r="B807" s="26">
        <v>9</v>
      </c>
      <c r="C807" s="24" t="s">
        <v>476</v>
      </c>
      <c r="D807" s="67">
        <v>10</v>
      </c>
      <c r="E807" s="46">
        <v>0.79</v>
      </c>
    </row>
    <row r="808" spans="1:5" ht="15">
      <c r="A808" s="24">
        <v>12720</v>
      </c>
      <c r="B808" s="26">
        <v>9</v>
      </c>
      <c r="C808" s="24" t="s">
        <v>477</v>
      </c>
      <c r="D808" s="67">
        <v>10</v>
      </c>
      <c r="E808" s="46">
        <v>0.79</v>
      </c>
    </row>
    <row r="809" spans="1:5" ht="15">
      <c r="A809" s="24">
        <v>12720</v>
      </c>
      <c r="B809" s="26">
        <v>9</v>
      </c>
      <c r="C809" s="24" t="s">
        <v>478</v>
      </c>
      <c r="D809" s="67">
        <v>10</v>
      </c>
      <c r="E809" s="46">
        <v>0.79</v>
      </c>
    </row>
    <row r="810" spans="1:5" ht="15">
      <c r="A810" s="24">
        <v>12720</v>
      </c>
      <c r="B810" s="26">
        <v>9</v>
      </c>
      <c r="C810" s="24" t="s">
        <v>328</v>
      </c>
      <c r="D810" s="67">
        <v>10</v>
      </c>
      <c r="E810" s="46">
        <v>0.79</v>
      </c>
    </row>
    <row r="811" spans="1:5" ht="15">
      <c r="A811" s="24">
        <v>12720</v>
      </c>
      <c r="B811" s="26">
        <v>9</v>
      </c>
      <c r="C811" s="24" t="s">
        <v>479</v>
      </c>
      <c r="D811" s="67">
        <v>10</v>
      </c>
      <c r="E811" s="46">
        <v>0.79</v>
      </c>
    </row>
    <row r="812" spans="1:5" ht="15">
      <c r="A812" s="24">
        <v>12720</v>
      </c>
      <c r="B812" s="26">
        <v>9</v>
      </c>
      <c r="C812" s="24" t="s">
        <v>480</v>
      </c>
      <c r="D812" s="67">
        <v>10</v>
      </c>
      <c r="E812" s="46">
        <v>0.79</v>
      </c>
    </row>
    <row r="813" spans="1:5" ht="15">
      <c r="A813" s="33"/>
      <c r="B813" s="24"/>
      <c r="C813" s="138"/>
      <c r="D813" s="41"/>
      <c r="E813" s="46">
        <v>12</v>
      </c>
    </row>
    <row r="815" spans="1:5" ht="15">
      <c r="A815" s="173" t="s">
        <v>105</v>
      </c>
      <c r="B815" s="173" t="s">
        <v>455</v>
      </c>
      <c r="C815" s="99" t="s">
        <v>389</v>
      </c>
      <c r="D815" s="100" t="s">
        <v>182</v>
      </c>
      <c r="E815" s="100" t="s">
        <v>181</v>
      </c>
    </row>
    <row r="816" spans="1:5" ht="15">
      <c r="A816" s="6" t="s">
        <v>501</v>
      </c>
      <c r="B816" s="24">
        <v>11700</v>
      </c>
      <c r="C816" s="26">
        <v>24</v>
      </c>
      <c r="D816" s="68">
        <v>460</v>
      </c>
      <c r="E816" s="67">
        <v>4600</v>
      </c>
    </row>
    <row r="818" spans="1:5" ht="15.75">
      <c r="A818" s="173" t="s">
        <v>105</v>
      </c>
      <c r="B818" s="173" t="s">
        <v>455</v>
      </c>
      <c r="C818" s="174" t="s">
        <v>457</v>
      </c>
      <c r="D818" s="100" t="s">
        <v>181</v>
      </c>
      <c r="E818" s="101" t="s">
        <v>139</v>
      </c>
    </row>
    <row r="819" spans="1:5" ht="15">
      <c r="A819" s="6" t="s">
        <v>505</v>
      </c>
      <c r="B819" s="24" t="s">
        <v>239</v>
      </c>
      <c r="C819" s="44" t="s">
        <v>506</v>
      </c>
      <c r="D819" s="151">
        <v>68.5</v>
      </c>
      <c r="E819" s="46">
        <v>2.82</v>
      </c>
    </row>
    <row r="820" spans="1:5" ht="15">
      <c r="A820" s="6" t="s">
        <v>505</v>
      </c>
      <c r="B820" s="56"/>
      <c r="C820" s="24" t="s">
        <v>31</v>
      </c>
      <c r="D820" s="8"/>
      <c r="E820" s="46">
        <v>12</v>
      </c>
    </row>
    <row r="823" spans="1:5" ht="15">
      <c r="A823" s="99" t="s">
        <v>105</v>
      </c>
      <c r="B823" s="99" t="s">
        <v>455</v>
      </c>
      <c r="C823" s="99" t="s">
        <v>389</v>
      </c>
      <c r="D823" s="100" t="s">
        <v>182</v>
      </c>
      <c r="E823" s="100" t="s">
        <v>181</v>
      </c>
    </row>
    <row r="824" spans="1:5" ht="15">
      <c r="A824" s="33" t="s">
        <v>507</v>
      </c>
      <c r="B824" s="24" t="s">
        <v>354</v>
      </c>
      <c r="C824" s="44"/>
      <c r="D824" s="152">
        <v>1</v>
      </c>
      <c r="E824" s="8">
        <v>50</v>
      </c>
    </row>
    <row r="825" spans="1:5" ht="15">
      <c r="A825" s="33" t="s">
        <v>507</v>
      </c>
      <c r="B825" s="24">
        <v>3846</v>
      </c>
      <c r="C825" s="26">
        <v>50</v>
      </c>
      <c r="D825" s="152">
        <v>1</v>
      </c>
      <c r="E825" s="8">
        <v>50</v>
      </c>
    </row>
    <row r="826" spans="1:5" ht="15">
      <c r="A826" s="33" t="s">
        <v>507</v>
      </c>
      <c r="B826" s="24"/>
      <c r="C826" s="138"/>
      <c r="D826" s="41"/>
      <c r="E826" s="8"/>
    </row>
    <row r="829" spans="1:5" ht="15.75">
      <c r="A829" s="99" t="s">
        <v>455</v>
      </c>
      <c r="B829" s="99" t="s">
        <v>389</v>
      </c>
      <c r="C829" s="90" t="s">
        <v>457</v>
      </c>
    </row>
    <row r="830" spans="1:5" ht="15">
      <c r="A830" s="24">
        <v>4141</v>
      </c>
      <c r="B830" s="26">
        <v>9</v>
      </c>
      <c r="C830" s="24" t="s">
        <v>509</v>
      </c>
    </row>
    <row r="831" spans="1:5" ht="15">
      <c r="A831" s="24">
        <v>4141</v>
      </c>
      <c r="B831" s="26">
        <v>9</v>
      </c>
      <c r="C831" s="24" t="s">
        <v>207</v>
      </c>
    </row>
    <row r="832" spans="1:5" ht="15">
      <c r="A832" s="24">
        <v>4141</v>
      </c>
      <c r="B832" s="26">
        <v>9</v>
      </c>
      <c r="C832" s="24" t="s">
        <v>332</v>
      </c>
    </row>
    <row r="833" spans="1:3" ht="15">
      <c r="A833" s="24">
        <v>4141</v>
      </c>
      <c r="B833" s="26">
        <v>9</v>
      </c>
      <c r="C833" s="24" t="s">
        <v>510</v>
      </c>
    </row>
    <row r="834" spans="1:3" ht="15">
      <c r="A834" s="24">
        <v>4141</v>
      </c>
      <c r="B834" s="26">
        <v>9</v>
      </c>
      <c r="C834" s="24" t="s">
        <v>103</v>
      </c>
    </row>
    <row r="837" spans="1:3" ht="15.75">
      <c r="A837" s="99" t="s">
        <v>455</v>
      </c>
      <c r="B837" s="90" t="s">
        <v>457</v>
      </c>
      <c r="C837" s="100" t="s">
        <v>2</v>
      </c>
    </row>
    <row r="838" spans="1:3" ht="15">
      <c r="A838" s="24" t="s">
        <v>511</v>
      </c>
      <c r="B838" s="24" t="s">
        <v>512</v>
      </c>
      <c r="C838" s="54">
        <v>50</v>
      </c>
    </row>
    <row r="839" spans="1:3" ht="15">
      <c r="A839" s="24" t="s">
        <v>511</v>
      </c>
      <c r="B839" s="24" t="s">
        <v>513</v>
      </c>
      <c r="C839" s="54">
        <v>50</v>
      </c>
    </row>
    <row r="840" spans="1:3" ht="15">
      <c r="A840" s="24"/>
      <c r="B840" s="24"/>
      <c r="C840" s="54"/>
    </row>
    <row r="841" spans="1:3" ht="15.75">
      <c r="A841" s="99" t="s">
        <v>455</v>
      </c>
      <c r="B841" s="90" t="s">
        <v>457</v>
      </c>
      <c r="C841" s="100" t="s">
        <v>2</v>
      </c>
    </row>
    <row r="842" spans="1:3" ht="15">
      <c r="A842" s="24" t="s">
        <v>514</v>
      </c>
      <c r="B842" s="44" t="s">
        <v>506</v>
      </c>
      <c r="C842" s="151">
        <v>13.7</v>
      </c>
    </row>
    <row r="843" spans="1:3" ht="15.75">
      <c r="A843" s="99" t="s">
        <v>455</v>
      </c>
      <c r="B843" s="90" t="s">
        <v>457</v>
      </c>
      <c r="C843" s="100" t="s">
        <v>2</v>
      </c>
    </row>
    <row r="844" spans="1:3" ht="15">
      <c r="A844" s="24" t="s">
        <v>241</v>
      </c>
      <c r="B844" s="44" t="s">
        <v>506</v>
      </c>
      <c r="C844" s="151">
        <v>13.7</v>
      </c>
    </row>
    <row r="845" spans="1:3" ht="15">
      <c r="A845" s="24" t="s">
        <v>515</v>
      </c>
      <c r="B845" s="44" t="s">
        <v>506</v>
      </c>
      <c r="C845" s="151">
        <v>14</v>
      </c>
    </row>
    <row r="846" spans="1:3" ht="15">
      <c r="A846" s="24" t="s">
        <v>516</v>
      </c>
      <c r="B846" s="44" t="s">
        <v>506</v>
      </c>
      <c r="C846" s="151">
        <v>13.7</v>
      </c>
    </row>
    <row r="847" spans="1:3" ht="15">
      <c r="A847" s="24" t="s">
        <v>517</v>
      </c>
      <c r="B847" s="44" t="s">
        <v>56</v>
      </c>
      <c r="C847" s="151">
        <v>13.7</v>
      </c>
    </row>
    <row r="848" spans="1:3" ht="15">
      <c r="A848" s="24" t="s">
        <v>518</v>
      </c>
      <c r="B848" s="44" t="s">
        <v>506</v>
      </c>
      <c r="C848" s="151">
        <v>13.7</v>
      </c>
    </row>
    <row r="849" spans="1:3" ht="15">
      <c r="A849" s="24" t="s">
        <v>519</v>
      </c>
      <c r="B849" s="44" t="s">
        <v>506</v>
      </c>
      <c r="C849" s="151">
        <v>13.7</v>
      </c>
    </row>
    <row r="850" spans="1:3" ht="15">
      <c r="A850" s="24" t="s">
        <v>520</v>
      </c>
      <c r="B850" s="44" t="s">
        <v>506</v>
      </c>
      <c r="C850" s="151">
        <v>14</v>
      </c>
    </row>
    <row r="851" spans="1:3" ht="15">
      <c r="A851" s="24" t="s">
        <v>521</v>
      </c>
      <c r="B851" s="44" t="s">
        <v>506</v>
      </c>
      <c r="C851" s="151">
        <v>14</v>
      </c>
    </row>
    <row r="852" spans="1:3" ht="15">
      <c r="A852" s="24" t="s">
        <v>522</v>
      </c>
      <c r="B852" s="44" t="s">
        <v>209</v>
      </c>
      <c r="C852" s="151">
        <v>13.7</v>
      </c>
    </row>
    <row r="853" spans="1:3" ht="15">
      <c r="A853" s="24" t="s">
        <v>523</v>
      </c>
      <c r="B853" s="44" t="s">
        <v>524</v>
      </c>
      <c r="C853" s="151">
        <v>13.7</v>
      </c>
    </row>
    <row r="854" spans="1:3" ht="15">
      <c r="A854" s="24" t="s">
        <v>525</v>
      </c>
      <c r="B854" s="44" t="s">
        <v>209</v>
      </c>
      <c r="C854" s="151">
        <v>13.7</v>
      </c>
    </row>
    <row r="855" spans="1:3" ht="15">
      <c r="A855" s="24" t="s">
        <v>526</v>
      </c>
      <c r="B855" s="44" t="s">
        <v>524</v>
      </c>
      <c r="C855" s="151">
        <v>13.7</v>
      </c>
    </row>
    <row r="856" spans="1:3" ht="15">
      <c r="A856" s="24" t="s">
        <v>529</v>
      </c>
      <c r="B856" s="44" t="s">
        <v>209</v>
      </c>
      <c r="C856" s="151">
        <v>13.7</v>
      </c>
    </row>
    <row r="857" spans="1:3" ht="15">
      <c r="A857" s="24" t="s">
        <v>530</v>
      </c>
      <c r="B857" s="44" t="s">
        <v>524</v>
      </c>
      <c r="C857" s="151">
        <v>13.7</v>
      </c>
    </row>
    <row r="858" spans="1:3" ht="15">
      <c r="A858" s="24" t="s">
        <v>531</v>
      </c>
      <c r="B858" s="44" t="s">
        <v>527</v>
      </c>
      <c r="C858" s="151">
        <v>13.7</v>
      </c>
    </row>
    <row r="862" spans="1:3" ht="15.75">
      <c r="A862" s="99" t="s">
        <v>455</v>
      </c>
      <c r="B862" s="90" t="s">
        <v>457</v>
      </c>
      <c r="C862" s="100" t="s">
        <v>2</v>
      </c>
    </row>
    <row r="863" spans="1:3" ht="15">
      <c r="A863" s="24" t="s">
        <v>121</v>
      </c>
      <c r="B863" s="94" t="s">
        <v>532</v>
      </c>
      <c r="C863" s="54">
        <v>13.7</v>
      </c>
    </row>
    <row r="864" spans="1:3" ht="15">
      <c r="A864" s="24" t="s">
        <v>121</v>
      </c>
      <c r="B864" s="94" t="s">
        <v>384</v>
      </c>
      <c r="C864" s="54">
        <v>13.7</v>
      </c>
    </row>
    <row r="868" spans="1:5" ht="15.75">
      <c r="A868" s="99" t="s">
        <v>455</v>
      </c>
      <c r="B868" s="99" t="s">
        <v>389</v>
      </c>
      <c r="C868" s="90" t="s">
        <v>457</v>
      </c>
      <c r="D868" s="100" t="s">
        <v>181</v>
      </c>
      <c r="E868" s="101" t="s">
        <v>139</v>
      </c>
    </row>
    <row r="869" spans="1:5" ht="15">
      <c r="A869" s="24">
        <v>4141</v>
      </c>
      <c r="B869" s="26">
        <v>9</v>
      </c>
      <c r="C869" s="24" t="s">
        <v>509</v>
      </c>
      <c r="D869" s="66">
        <v>20</v>
      </c>
      <c r="E869" s="25">
        <v>1.27</v>
      </c>
    </row>
    <row r="870" spans="1:5" ht="15">
      <c r="A870" s="24">
        <v>4141</v>
      </c>
      <c r="B870" s="26">
        <v>9</v>
      </c>
      <c r="C870" s="24" t="s">
        <v>207</v>
      </c>
      <c r="D870" s="66">
        <v>20</v>
      </c>
      <c r="E870" s="25">
        <v>1.27</v>
      </c>
    </row>
    <row r="871" spans="1:5" ht="15">
      <c r="A871" s="24">
        <v>4141</v>
      </c>
      <c r="B871" s="26">
        <v>9</v>
      </c>
      <c r="C871" s="24" t="s">
        <v>332</v>
      </c>
      <c r="D871" s="66">
        <v>20</v>
      </c>
      <c r="E871" s="25">
        <v>1.27</v>
      </c>
    </row>
    <row r="872" spans="1:5" ht="15">
      <c r="A872" s="24">
        <v>4141</v>
      </c>
      <c r="B872" s="26">
        <v>9</v>
      </c>
      <c r="C872" s="24" t="s">
        <v>510</v>
      </c>
      <c r="D872" s="66">
        <v>20</v>
      </c>
      <c r="E872" s="25">
        <v>1.27</v>
      </c>
    </row>
    <row r="873" spans="1:5" ht="15">
      <c r="A873" s="24">
        <v>4141</v>
      </c>
      <c r="B873" s="26">
        <v>9</v>
      </c>
      <c r="C873" s="24" t="s">
        <v>103</v>
      </c>
      <c r="D873" s="66">
        <v>20</v>
      </c>
      <c r="E873" s="25">
        <v>1.27</v>
      </c>
    </row>
    <row r="874" spans="1:5" ht="15">
      <c r="A874" s="24" t="s">
        <v>511</v>
      </c>
      <c r="B874" s="26"/>
      <c r="C874" s="24" t="s">
        <v>512</v>
      </c>
      <c r="D874" s="66">
        <v>50</v>
      </c>
      <c r="E874" s="25">
        <v>3.34</v>
      </c>
    </row>
    <row r="875" spans="1:5" ht="15">
      <c r="A875" s="24" t="s">
        <v>511</v>
      </c>
      <c r="B875" s="26"/>
      <c r="C875" s="24" t="s">
        <v>513</v>
      </c>
      <c r="D875" s="66">
        <v>50</v>
      </c>
      <c r="E875" s="25">
        <v>3.34</v>
      </c>
    </row>
    <row r="876" spans="1:5" ht="15">
      <c r="A876" s="20" t="s">
        <v>85</v>
      </c>
      <c r="B876" s="150"/>
      <c r="C876" s="24"/>
      <c r="D876" s="151"/>
      <c r="E876" s="153" t="s">
        <v>10</v>
      </c>
    </row>
    <row r="877" spans="1:5" ht="15">
      <c r="A877" s="24" t="s">
        <v>514</v>
      </c>
      <c r="B877" s="44"/>
      <c r="C877" s="44" t="s">
        <v>506</v>
      </c>
      <c r="D877" s="151">
        <v>13.7</v>
      </c>
      <c r="E877" s="46">
        <v>7.34</v>
      </c>
    </row>
    <row r="878" spans="1:5" ht="15">
      <c r="A878" s="24" t="s">
        <v>241</v>
      </c>
      <c r="B878" s="44"/>
      <c r="C878" s="44" t="s">
        <v>506</v>
      </c>
      <c r="D878" s="151">
        <v>13.7</v>
      </c>
      <c r="E878" s="46">
        <v>2.37</v>
      </c>
    </row>
    <row r="879" spans="1:5" ht="15">
      <c r="A879" s="95" t="s">
        <v>515</v>
      </c>
      <c r="B879" s="44"/>
      <c r="C879" s="44" t="s">
        <v>506</v>
      </c>
      <c r="D879" s="181">
        <v>14</v>
      </c>
      <c r="E879" s="46">
        <v>1.62</v>
      </c>
    </row>
    <row r="880" spans="1:5" ht="15">
      <c r="A880" s="24" t="s">
        <v>516</v>
      </c>
      <c r="B880" s="44"/>
      <c r="C880" s="44" t="s">
        <v>506</v>
      </c>
      <c r="D880" s="151">
        <v>13.7</v>
      </c>
      <c r="E880" s="46">
        <v>2.75</v>
      </c>
    </row>
    <row r="881" spans="1:5" ht="15">
      <c r="A881" s="24" t="s">
        <v>517</v>
      </c>
      <c r="B881" s="44"/>
      <c r="C881" s="44" t="s">
        <v>56</v>
      </c>
      <c r="D881" s="151">
        <v>13.7</v>
      </c>
      <c r="E881" s="46">
        <v>2.27</v>
      </c>
    </row>
    <row r="882" spans="1:5" ht="15">
      <c r="A882" s="24" t="s">
        <v>518</v>
      </c>
      <c r="B882" s="44"/>
      <c r="C882" s="44" t="s">
        <v>506</v>
      </c>
      <c r="D882" s="151">
        <v>13.7</v>
      </c>
      <c r="E882" s="46">
        <v>2.94</v>
      </c>
    </row>
    <row r="883" spans="1:5" ht="15">
      <c r="A883" s="24" t="s">
        <v>519</v>
      </c>
      <c r="B883" s="44"/>
      <c r="C883" s="44" t="s">
        <v>506</v>
      </c>
      <c r="D883" s="151">
        <v>13.7</v>
      </c>
      <c r="E883" s="46">
        <v>2.2400000000000002</v>
      </c>
    </row>
    <row r="884" spans="1:5" ht="15">
      <c r="A884" s="24" t="s">
        <v>520</v>
      </c>
      <c r="B884" s="44"/>
      <c r="C884" s="44" t="s">
        <v>506</v>
      </c>
      <c r="D884" s="151">
        <v>14</v>
      </c>
      <c r="E884" s="46">
        <v>1.27</v>
      </c>
    </row>
    <row r="885" spans="1:5" ht="15">
      <c r="A885" s="24" t="s">
        <v>521</v>
      </c>
      <c r="B885" s="44"/>
      <c r="C885" s="44" t="s">
        <v>506</v>
      </c>
      <c r="D885" s="151">
        <v>14</v>
      </c>
      <c r="E885" s="46">
        <v>1.1499999999999999</v>
      </c>
    </row>
    <row r="886" spans="1:5" ht="15">
      <c r="A886" s="24" t="s">
        <v>522</v>
      </c>
      <c r="B886" s="44"/>
      <c r="C886" s="44" t="s">
        <v>209</v>
      </c>
      <c r="D886" s="151">
        <v>13.7</v>
      </c>
      <c r="E886" s="46">
        <v>2.52</v>
      </c>
    </row>
    <row r="887" spans="1:5" ht="15">
      <c r="A887" s="24" t="s">
        <v>523</v>
      </c>
      <c r="B887" s="44"/>
      <c r="C887" s="44" t="s">
        <v>524</v>
      </c>
      <c r="D887" s="151">
        <v>13.7</v>
      </c>
      <c r="E887" s="46">
        <v>2.6</v>
      </c>
    </row>
    <row r="888" spans="1:5" ht="15">
      <c r="A888" s="24" t="s">
        <v>525</v>
      </c>
      <c r="B888" s="44"/>
      <c r="C888" s="44" t="s">
        <v>209</v>
      </c>
      <c r="D888" s="151">
        <v>13.7</v>
      </c>
      <c r="E888" s="46">
        <v>2.5499999999999998</v>
      </c>
    </row>
    <row r="889" spans="1:5" ht="15">
      <c r="A889" s="24" t="s">
        <v>526</v>
      </c>
      <c r="B889" s="44"/>
      <c r="C889" s="44" t="s">
        <v>524</v>
      </c>
      <c r="D889" s="151">
        <v>13.7</v>
      </c>
      <c r="E889" s="46">
        <v>2.64</v>
      </c>
    </row>
    <row r="890" spans="1:5" ht="15">
      <c r="A890" s="24" t="s">
        <v>529</v>
      </c>
      <c r="B890" s="44"/>
      <c r="C890" s="44" t="s">
        <v>209</v>
      </c>
      <c r="D890" s="151">
        <v>13.7</v>
      </c>
      <c r="E890" s="46">
        <v>2.69</v>
      </c>
    </row>
    <row r="891" spans="1:5" ht="15">
      <c r="A891" s="24" t="s">
        <v>530</v>
      </c>
      <c r="B891" s="44"/>
      <c r="C891" s="44" t="s">
        <v>524</v>
      </c>
      <c r="D891" s="151">
        <v>13.7</v>
      </c>
      <c r="E891" s="46">
        <v>2.77</v>
      </c>
    </row>
    <row r="892" spans="1:5" ht="15">
      <c r="A892" s="24" t="s">
        <v>531</v>
      </c>
      <c r="B892" s="44"/>
      <c r="C892" s="44" t="s">
        <v>527</v>
      </c>
      <c r="D892" s="151">
        <v>13.7</v>
      </c>
      <c r="E892" s="46">
        <v>2.77</v>
      </c>
    </row>
    <row r="893" spans="1:5" ht="15">
      <c r="A893" s="56"/>
      <c r="B893" s="138"/>
      <c r="C893" s="24" t="s">
        <v>31</v>
      </c>
      <c r="D893" s="8"/>
      <c r="E893" s="46">
        <v>48</v>
      </c>
    </row>
    <row r="895" spans="1:5" ht="15.75">
      <c r="A895" s="99" t="s">
        <v>455</v>
      </c>
      <c r="B895" s="99" t="s">
        <v>389</v>
      </c>
      <c r="C895" s="90" t="s">
        <v>457</v>
      </c>
    </row>
    <row r="896" spans="1:5" ht="15">
      <c r="A896" s="24">
        <v>2100</v>
      </c>
      <c r="B896" s="26">
        <v>18</v>
      </c>
      <c r="C896" s="24" t="s">
        <v>185</v>
      </c>
    </row>
    <row r="897" spans="1:5" ht="15">
      <c r="A897" s="24">
        <v>2100</v>
      </c>
      <c r="B897" s="26">
        <v>18</v>
      </c>
      <c r="C897" s="24" t="s">
        <v>417</v>
      </c>
    </row>
    <row r="899" spans="1:5" ht="15.75">
      <c r="A899" s="99" t="s">
        <v>455</v>
      </c>
      <c r="B899" s="90" t="s">
        <v>457</v>
      </c>
      <c r="C899" s="100" t="s">
        <v>2</v>
      </c>
    </row>
    <row r="900" spans="1:5" ht="15">
      <c r="A900" s="24" t="s">
        <v>242</v>
      </c>
      <c r="B900" s="24" t="s">
        <v>384</v>
      </c>
      <c r="C900" s="54">
        <v>13.7</v>
      </c>
    </row>
    <row r="903" spans="1:5" ht="15.75">
      <c r="A903" s="99" t="s">
        <v>455</v>
      </c>
      <c r="B903" s="99" t="s">
        <v>389</v>
      </c>
      <c r="C903" s="90" t="s">
        <v>457</v>
      </c>
      <c r="D903" s="100" t="s">
        <v>181</v>
      </c>
      <c r="E903" s="101" t="s">
        <v>139</v>
      </c>
    </row>
    <row r="904" spans="1:5" ht="15">
      <c r="A904" s="24">
        <v>2100</v>
      </c>
      <c r="B904" s="26">
        <v>18</v>
      </c>
      <c r="C904" s="24" t="s">
        <v>185</v>
      </c>
      <c r="D904" s="67">
        <v>420</v>
      </c>
      <c r="E904" s="25">
        <v>0.98</v>
      </c>
    </row>
    <row r="905" spans="1:5" ht="15">
      <c r="A905" s="24">
        <v>2100</v>
      </c>
      <c r="B905" s="26">
        <v>18</v>
      </c>
      <c r="C905" s="24" t="s">
        <v>417</v>
      </c>
      <c r="D905" s="67">
        <v>780</v>
      </c>
      <c r="E905" s="25">
        <v>0.98</v>
      </c>
    </row>
    <row r="907" spans="1:5" ht="15.75">
      <c r="A907" s="99" t="s">
        <v>455</v>
      </c>
      <c r="B907" s="99" t="s">
        <v>389</v>
      </c>
      <c r="C907" s="90" t="s">
        <v>457</v>
      </c>
      <c r="D907" s="100" t="s">
        <v>181</v>
      </c>
      <c r="E907" s="101" t="s">
        <v>139</v>
      </c>
    </row>
    <row r="908" spans="1:5" ht="15">
      <c r="A908" s="24">
        <v>3705</v>
      </c>
      <c r="B908" s="26">
        <v>25</v>
      </c>
      <c r="C908" s="24" t="s">
        <v>534</v>
      </c>
      <c r="D908" s="67">
        <v>60</v>
      </c>
      <c r="E908" s="25">
        <v>0.54</v>
      </c>
    </row>
    <row r="909" spans="1:5" ht="15">
      <c r="A909" s="24"/>
      <c r="B909" s="138"/>
      <c r="C909" s="24" t="s">
        <v>31</v>
      </c>
      <c r="D909" s="8"/>
      <c r="E909" s="46">
        <v>12</v>
      </c>
    </row>
    <row r="911" spans="1:5" ht="15.75">
      <c r="A911" s="99" t="s">
        <v>455</v>
      </c>
      <c r="B911" s="99" t="s">
        <v>389</v>
      </c>
      <c r="C911" s="90" t="s">
        <v>457</v>
      </c>
    </row>
    <row r="912" spans="1:5" ht="15">
      <c r="A912" s="24" t="s">
        <v>12</v>
      </c>
      <c r="B912" s="150">
        <v>160</v>
      </c>
      <c r="C912" s="24" t="s">
        <v>535</v>
      </c>
    </row>
    <row r="913" spans="1:11" ht="15">
      <c r="A913" s="24"/>
      <c r="B913" s="138"/>
      <c r="C913" s="24" t="s">
        <v>75</v>
      </c>
    </row>
    <row r="914" spans="1:11" ht="15">
      <c r="A914" s="56"/>
      <c r="B914" s="138"/>
      <c r="C914" s="24" t="s">
        <v>31</v>
      </c>
    </row>
    <row r="917" spans="1:11" ht="15.75">
      <c r="A917" s="99" t="s">
        <v>455</v>
      </c>
      <c r="B917" s="90" t="s">
        <v>457</v>
      </c>
      <c r="C917" s="100" t="s">
        <v>2</v>
      </c>
      <c r="D917" s="101" t="s">
        <v>139</v>
      </c>
    </row>
    <row r="918" spans="1:11" ht="14.25">
      <c r="A918" s="55" t="s">
        <v>538</v>
      </c>
      <c r="B918" s="158" t="s">
        <v>539</v>
      </c>
      <c r="C918" s="54">
        <v>50</v>
      </c>
      <c r="D918" s="40">
        <v>0.49</v>
      </c>
    </row>
    <row r="919" spans="1:11" ht="15">
      <c r="A919" s="24"/>
      <c r="B919" s="24" t="s">
        <v>540</v>
      </c>
      <c r="C919" s="36"/>
      <c r="D919" s="40">
        <v>25</v>
      </c>
    </row>
    <row r="920" spans="1:11" ht="15">
      <c r="A920" s="24"/>
      <c r="B920" s="24" t="s">
        <v>31</v>
      </c>
      <c r="C920" s="36"/>
      <c r="D920" s="40">
        <v>12</v>
      </c>
    </row>
    <row r="924" spans="1:11" ht="15.75">
      <c r="A924" s="99" t="s">
        <v>105</v>
      </c>
      <c r="B924" s="99" t="s">
        <v>455</v>
      </c>
      <c r="C924" s="90" t="s">
        <v>457</v>
      </c>
      <c r="D924" s="15"/>
      <c r="E924" s="11"/>
      <c r="F924" s="6" t="s">
        <v>3</v>
      </c>
      <c r="G924" s="175"/>
      <c r="H924" s="175"/>
      <c r="I924" s="175"/>
      <c r="J924" s="7"/>
      <c r="K924" s="7"/>
    </row>
    <row r="925" spans="1:11" ht="15">
      <c r="A925" s="33" t="s">
        <v>541</v>
      </c>
      <c r="B925" s="24" t="s">
        <v>542</v>
      </c>
      <c r="C925" s="24" t="s">
        <v>543</v>
      </c>
      <c r="D925" s="38"/>
      <c r="E925" s="39"/>
      <c r="F925" s="6"/>
      <c r="G925" s="46">
        <v>2.14</v>
      </c>
      <c r="H925" s="46"/>
      <c r="I925" s="15">
        <v>160</v>
      </c>
      <c r="J925" s="7">
        <v>80</v>
      </c>
      <c r="K925" s="12" t="s">
        <v>95</v>
      </c>
    </row>
    <row r="926" spans="1:11" ht="15">
      <c r="A926" s="33" t="s">
        <v>541</v>
      </c>
      <c r="B926" s="24" t="s">
        <v>542</v>
      </c>
      <c r="C926" s="24" t="s">
        <v>544</v>
      </c>
      <c r="D926" s="38"/>
      <c r="E926" s="39"/>
      <c r="F926" s="6"/>
      <c r="G926" s="46">
        <v>2.14</v>
      </c>
      <c r="H926" s="46"/>
      <c r="I926" s="15">
        <v>160</v>
      </c>
      <c r="J926" s="7">
        <v>80</v>
      </c>
      <c r="K926" s="12" t="s">
        <v>95</v>
      </c>
    </row>
    <row r="927" spans="1:11" ht="15">
      <c r="A927" s="33" t="s">
        <v>541</v>
      </c>
      <c r="B927" s="24" t="s">
        <v>542</v>
      </c>
      <c r="C927" s="95" t="s">
        <v>554</v>
      </c>
      <c r="D927" s="38"/>
      <c r="E927" s="39"/>
      <c r="F927" s="6"/>
      <c r="G927" s="46">
        <v>2.14</v>
      </c>
      <c r="H927" s="46"/>
      <c r="I927" s="15">
        <v>160</v>
      </c>
      <c r="J927" s="7">
        <v>80</v>
      </c>
      <c r="K927" s="12" t="s">
        <v>95</v>
      </c>
    </row>
    <row r="928" spans="1:11" ht="15">
      <c r="A928" s="33" t="s">
        <v>541</v>
      </c>
      <c r="B928" s="24" t="s">
        <v>542</v>
      </c>
      <c r="C928" s="24" t="s">
        <v>545</v>
      </c>
      <c r="D928" s="38"/>
      <c r="E928" s="39"/>
      <c r="F928" s="6"/>
      <c r="G928" s="46">
        <v>2.14</v>
      </c>
      <c r="H928" s="46"/>
      <c r="I928" s="15">
        <v>160</v>
      </c>
      <c r="J928" s="7">
        <v>80</v>
      </c>
      <c r="K928" s="12" t="s">
        <v>95</v>
      </c>
    </row>
    <row r="929" spans="1:11" ht="15">
      <c r="A929" s="33" t="s">
        <v>541</v>
      </c>
      <c r="B929" s="24" t="s">
        <v>542</v>
      </c>
      <c r="C929" s="24" t="s">
        <v>546</v>
      </c>
      <c r="D929" s="38"/>
      <c r="E929" s="39"/>
      <c r="F929" s="6"/>
      <c r="G929" s="46">
        <v>2.14</v>
      </c>
      <c r="H929" s="46"/>
      <c r="I929" s="15">
        <v>160</v>
      </c>
      <c r="J929" s="7">
        <v>80</v>
      </c>
      <c r="K929" s="12" t="s">
        <v>95</v>
      </c>
    </row>
    <row r="930" spans="1:11" ht="15">
      <c r="A930" s="33" t="s">
        <v>541</v>
      </c>
      <c r="B930" s="24" t="s">
        <v>542</v>
      </c>
      <c r="C930" s="24" t="s">
        <v>547</v>
      </c>
      <c r="D930" s="38"/>
      <c r="E930" s="39"/>
      <c r="F930" s="6"/>
      <c r="G930" s="46">
        <v>2.14</v>
      </c>
      <c r="H930" s="46"/>
      <c r="I930" s="15">
        <v>160</v>
      </c>
      <c r="J930" s="7">
        <v>80</v>
      </c>
      <c r="K930" s="12" t="s">
        <v>95</v>
      </c>
    </row>
    <row r="931" spans="1:11" ht="15">
      <c r="A931" s="33" t="s">
        <v>541</v>
      </c>
      <c r="B931" s="24" t="s">
        <v>542</v>
      </c>
      <c r="C931" s="24" t="s">
        <v>548</v>
      </c>
      <c r="D931" s="38"/>
      <c r="E931" s="39"/>
      <c r="F931" s="6"/>
      <c r="G931" s="46">
        <v>2.14</v>
      </c>
      <c r="H931" s="46"/>
      <c r="I931" s="15">
        <v>160</v>
      </c>
      <c r="J931" s="7">
        <v>80</v>
      </c>
      <c r="K931" s="12" t="s">
        <v>95</v>
      </c>
    </row>
    <row r="932" spans="1:11" ht="15">
      <c r="A932" s="33" t="s">
        <v>541</v>
      </c>
      <c r="B932" s="24" t="s">
        <v>542</v>
      </c>
      <c r="C932" s="24" t="s">
        <v>129</v>
      </c>
      <c r="D932" s="38"/>
      <c r="E932" s="39"/>
      <c r="F932" s="6"/>
      <c r="G932" s="46">
        <v>2.14</v>
      </c>
      <c r="H932" s="46"/>
      <c r="I932" s="15">
        <v>160</v>
      </c>
      <c r="J932" s="7">
        <v>80</v>
      </c>
      <c r="K932" s="12" t="s">
        <v>95</v>
      </c>
    </row>
    <row r="933" spans="1:11" ht="15">
      <c r="A933" s="33" t="s">
        <v>541</v>
      </c>
      <c r="B933" s="24"/>
      <c r="C933" s="184" t="s">
        <v>557</v>
      </c>
      <c r="D933" s="38"/>
      <c r="E933" s="39"/>
      <c r="F933" s="6"/>
      <c r="G933" s="46">
        <v>90</v>
      </c>
      <c r="H933" s="46"/>
      <c r="I933" s="46"/>
      <c r="J933" s="7">
        <v>8000</v>
      </c>
      <c r="K933" s="7"/>
    </row>
    <row r="937" spans="1:11" ht="15.75">
      <c r="A937" s="99" t="s">
        <v>455</v>
      </c>
      <c r="B937" s="90" t="s">
        <v>457</v>
      </c>
      <c r="C937" s="100" t="s">
        <v>2</v>
      </c>
      <c r="D937" s="101" t="s">
        <v>555</v>
      </c>
    </row>
    <row r="938" spans="1:11" ht="15">
      <c r="A938" s="24" t="s">
        <v>558</v>
      </c>
      <c r="B938" s="24" t="s">
        <v>543</v>
      </c>
      <c r="C938" s="54">
        <v>13.7</v>
      </c>
      <c r="D938" s="183" t="s">
        <v>559</v>
      </c>
    </row>
    <row r="939" spans="1:11" ht="15">
      <c r="A939" s="24" t="s">
        <v>558</v>
      </c>
      <c r="B939" s="24" t="s">
        <v>544</v>
      </c>
      <c r="C939" s="54">
        <v>13.7</v>
      </c>
      <c r="D939" s="183" t="s">
        <v>559</v>
      </c>
    </row>
    <row r="940" spans="1:11" ht="15">
      <c r="A940" s="24" t="s">
        <v>558</v>
      </c>
      <c r="B940" s="24" t="s">
        <v>546</v>
      </c>
      <c r="C940" s="54">
        <v>13.7</v>
      </c>
      <c r="D940" s="183" t="s">
        <v>559</v>
      </c>
    </row>
    <row r="941" spans="1:11" ht="15">
      <c r="A941" s="24" t="s">
        <v>558</v>
      </c>
      <c r="B941" s="24" t="s">
        <v>547</v>
      </c>
      <c r="C941" s="54">
        <v>13.7</v>
      </c>
      <c r="D941" s="183" t="s">
        <v>559</v>
      </c>
    </row>
    <row r="942" spans="1:11" ht="15">
      <c r="A942" s="24" t="s">
        <v>558</v>
      </c>
      <c r="B942" s="24" t="s">
        <v>129</v>
      </c>
      <c r="C942" s="54">
        <v>13.7</v>
      </c>
      <c r="D942" s="183" t="s">
        <v>559</v>
      </c>
    </row>
    <row r="943" spans="1:11" ht="15">
      <c r="A943" s="24"/>
      <c r="B943" s="44" t="s">
        <v>551</v>
      </c>
      <c r="C943" s="182"/>
      <c r="D943" s="183" t="s">
        <v>560</v>
      </c>
    </row>
    <row r="945" spans="1:5" ht="15.75">
      <c r="A945" s="99" t="s">
        <v>455</v>
      </c>
      <c r="B945" s="90" t="s">
        <v>457</v>
      </c>
      <c r="C945" s="100" t="s">
        <v>2</v>
      </c>
      <c r="D945" s="101" t="s">
        <v>555</v>
      </c>
      <c r="E945" s="68"/>
    </row>
    <row r="946" spans="1:5" ht="15">
      <c r="A946" s="24" t="s">
        <v>552</v>
      </c>
      <c r="B946" s="24" t="s">
        <v>543</v>
      </c>
      <c r="C946" s="54">
        <v>50</v>
      </c>
      <c r="D946" s="183" t="s">
        <v>561</v>
      </c>
    </row>
    <row r="947" spans="1:5" ht="15">
      <c r="A947" s="24" t="s">
        <v>552</v>
      </c>
      <c r="B947" s="24" t="s">
        <v>544</v>
      </c>
      <c r="C947" s="54">
        <v>50</v>
      </c>
      <c r="D947" s="183" t="s">
        <v>561</v>
      </c>
    </row>
    <row r="948" spans="1:5" ht="15">
      <c r="A948" s="24" t="s">
        <v>552</v>
      </c>
      <c r="B948" s="95" t="s">
        <v>554</v>
      </c>
      <c r="C948" s="54">
        <v>50</v>
      </c>
      <c r="D948" s="183" t="s">
        <v>561</v>
      </c>
    </row>
    <row r="949" spans="1:5" ht="15">
      <c r="A949" s="24" t="s">
        <v>552</v>
      </c>
      <c r="B949" s="24" t="s">
        <v>545</v>
      </c>
      <c r="C949" s="54">
        <v>50</v>
      </c>
      <c r="D949" s="183" t="s">
        <v>561</v>
      </c>
    </row>
    <row r="950" spans="1:5" ht="15">
      <c r="A950" s="24" t="s">
        <v>552</v>
      </c>
      <c r="B950" s="24" t="s">
        <v>546</v>
      </c>
      <c r="C950" s="54">
        <v>50</v>
      </c>
      <c r="D950" s="183" t="s">
        <v>561</v>
      </c>
    </row>
    <row r="951" spans="1:5" ht="15">
      <c r="A951" s="24" t="s">
        <v>552</v>
      </c>
      <c r="B951" s="24" t="s">
        <v>547</v>
      </c>
      <c r="C951" s="54">
        <v>50</v>
      </c>
      <c r="D951" s="183" t="s">
        <v>561</v>
      </c>
    </row>
    <row r="952" spans="1:5" ht="15">
      <c r="A952" s="24" t="s">
        <v>552</v>
      </c>
      <c r="B952" s="24" t="s">
        <v>548</v>
      </c>
      <c r="C952" s="54">
        <v>50</v>
      </c>
      <c r="D952" s="183" t="s">
        <v>561</v>
      </c>
    </row>
    <row r="953" spans="1:5" ht="15">
      <c r="A953" s="24" t="s">
        <v>552</v>
      </c>
      <c r="B953" s="24" t="s">
        <v>129</v>
      </c>
      <c r="C953" s="54">
        <v>50</v>
      </c>
      <c r="D953" s="183" t="s">
        <v>561</v>
      </c>
    </row>
    <row r="954" spans="1:5" ht="15">
      <c r="A954" s="24"/>
      <c r="B954" s="184" t="s">
        <v>557</v>
      </c>
      <c r="C954" s="182"/>
      <c r="D954" s="183" t="s">
        <v>556</v>
      </c>
    </row>
    <row r="956" spans="1:5" ht="15.75">
      <c r="A956" s="99" t="s">
        <v>455</v>
      </c>
      <c r="B956" s="90" t="s">
        <v>457</v>
      </c>
      <c r="C956" s="100" t="s">
        <v>2</v>
      </c>
      <c r="D956" s="101" t="s">
        <v>139</v>
      </c>
    </row>
    <row r="957" spans="1:5" ht="15">
      <c r="A957" s="24" t="s">
        <v>542</v>
      </c>
      <c r="B957" s="24" t="s">
        <v>543</v>
      </c>
      <c r="C957" s="67"/>
      <c r="D957" s="46">
        <v>2.67</v>
      </c>
      <c r="E957" s="46" t="e">
        <f>D957*#REF!</f>
        <v>#REF!</v>
      </c>
    </row>
    <row r="958" spans="1:5" ht="15">
      <c r="A958" s="24" t="s">
        <v>542</v>
      </c>
      <c r="B958" s="24" t="s">
        <v>544</v>
      </c>
      <c r="C958" s="67"/>
      <c r="D958" s="46">
        <v>2.67</v>
      </c>
      <c r="E958" s="46" t="e">
        <f>D958*#REF!</f>
        <v>#REF!</v>
      </c>
    </row>
    <row r="959" spans="1:5" ht="15">
      <c r="A959" s="24" t="s">
        <v>542</v>
      </c>
      <c r="B959" s="95" t="s">
        <v>554</v>
      </c>
      <c r="C959" s="67"/>
      <c r="D959" s="46">
        <v>2.67</v>
      </c>
      <c r="E959" s="46" t="e">
        <f>D959*#REF!</f>
        <v>#REF!</v>
      </c>
    </row>
    <row r="960" spans="1:5" ht="15">
      <c r="A960" s="24" t="s">
        <v>542</v>
      </c>
      <c r="B960" s="24" t="s">
        <v>545</v>
      </c>
      <c r="C960" s="67"/>
      <c r="D960" s="46">
        <v>2.67</v>
      </c>
      <c r="E960" s="46" t="e">
        <f>D960*#REF!</f>
        <v>#REF!</v>
      </c>
    </row>
    <row r="961" spans="1:5" ht="15">
      <c r="A961" s="24" t="s">
        <v>542</v>
      </c>
      <c r="B961" s="24" t="s">
        <v>546</v>
      </c>
      <c r="C961" s="67"/>
      <c r="D961" s="46">
        <v>2.67</v>
      </c>
      <c r="E961" s="46" t="e">
        <f>D961*#REF!</f>
        <v>#REF!</v>
      </c>
    </row>
    <row r="962" spans="1:5" ht="15">
      <c r="A962" s="24" t="s">
        <v>542</v>
      </c>
      <c r="B962" s="24" t="s">
        <v>547</v>
      </c>
      <c r="C962" s="67"/>
      <c r="D962" s="46">
        <v>2.67</v>
      </c>
      <c r="E962" s="46" t="e">
        <f>D962*#REF!</f>
        <v>#REF!</v>
      </c>
    </row>
    <row r="963" spans="1:5" ht="15">
      <c r="A963" s="24" t="s">
        <v>542</v>
      </c>
      <c r="B963" s="24" t="s">
        <v>548</v>
      </c>
      <c r="C963" s="67"/>
      <c r="D963" s="46">
        <v>2.67</v>
      </c>
      <c r="E963" s="46" t="e">
        <f>D963*#REF!</f>
        <v>#REF!</v>
      </c>
    </row>
    <row r="964" spans="1:5" ht="15">
      <c r="A964" s="24" t="s">
        <v>542</v>
      </c>
      <c r="B964" s="24" t="s">
        <v>129</v>
      </c>
      <c r="C964" s="67"/>
      <c r="D964" s="46">
        <v>2.67</v>
      </c>
      <c r="E964" s="46" t="e">
        <f>D964*#REF!</f>
        <v>#REF!</v>
      </c>
    </row>
    <row r="965" spans="1:5" ht="15">
      <c r="A965" s="24"/>
      <c r="B965" s="185" t="s">
        <v>549</v>
      </c>
      <c r="C965" s="182"/>
      <c r="D965" s="46">
        <v>100</v>
      </c>
      <c r="E965" s="46">
        <v>700</v>
      </c>
    </row>
    <row r="966" spans="1:5" ht="15.75">
      <c r="A966" s="99" t="s">
        <v>455</v>
      </c>
      <c r="B966" s="90" t="s">
        <v>457</v>
      </c>
      <c r="C966" s="100" t="s">
        <v>2</v>
      </c>
      <c r="D966" s="101" t="s">
        <v>139</v>
      </c>
    </row>
    <row r="967" spans="1:5" ht="15">
      <c r="A967" s="24" t="s">
        <v>550</v>
      </c>
      <c r="B967" s="24" t="s">
        <v>543</v>
      </c>
      <c r="C967" s="54">
        <v>13.7</v>
      </c>
      <c r="D967" s="46">
        <v>1.95</v>
      </c>
      <c r="E967" s="46" t="e">
        <f>D967*#REF!</f>
        <v>#REF!</v>
      </c>
    </row>
    <row r="968" spans="1:5" ht="15">
      <c r="A968" s="24" t="s">
        <v>550</v>
      </c>
      <c r="B968" s="24" t="s">
        <v>544</v>
      </c>
      <c r="C968" s="54">
        <v>13.7</v>
      </c>
      <c r="D968" s="46">
        <v>1.95</v>
      </c>
      <c r="E968" s="46" t="e">
        <f>D968*#REF!</f>
        <v>#REF!</v>
      </c>
    </row>
    <row r="969" spans="1:5" ht="15">
      <c r="A969" s="24" t="s">
        <v>550</v>
      </c>
      <c r="B969" s="24" t="s">
        <v>546</v>
      </c>
      <c r="C969" s="54">
        <v>13.7</v>
      </c>
      <c r="D969" s="46">
        <v>1.95</v>
      </c>
      <c r="E969" s="46" t="e">
        <f>D969*#REF!</f>
        <v>#REF!</v>
      </c>
    </row>
    <row r="970" spans="1:5" ht="15">
      <c r="A970" s="24" t="s">
        <v>550</v>
      </c>
      <c r="B970" s="24" t="s">
        <v>547</v>
      </c>
      <c r="C970" s="54">
        <v>13.7</v>
      </c>
      <c r="D970" s="46">
        <v>1.95</v>
      </c>
      <c r="E970" s="46" t="e">
        <f>D970*#REF!</f>
        <v>#REF!</v>
      </c>
    </row>
    <row r="971" spans="1:5" ht="15">
      <c r="A971" s="24" t="s">
        <v>550</v>
      </c>
      <c r="B971" s="24" t="s">
        <v>129</v>
      </c>
      <c r="C971" s="54">
        <v>13.7</v>
      </c>
      <c r="D971" s="46">
        <v>1.95</v>
      </c>
      <c r="E971" s="46" t="e">
        <f>D971*#REF!</f>
        <v>#REF!</v>
      </c>
    </row>
    <row r="972" spans="1:5" ht="15">
      <c r="A972" s="24"/>
      <c r="B972" s="185" t="s">
        <v>551</v>
      </c>
      <c r="C972" s="182"/>
      <c r="D972" s="46">
        <v>115</v>
      </c>
      <c r="E972" s="46">
        <v>460</v>
      </c>
    </row>
    <row r="973" spans="1:5" ht="15.75">
      <c r="A973" s="99" t="s">
        <v>455</v>
      </c>
      <c r="B973" s="90" t="s">
        <v>457</v>
      </c>
      <c r="C973" s="100" t="s">
        <v>2</v>
      </c>
      <c r="D973" s="101" t="s">
        <v>139</v>
      </c>
    </row>
    <row r="974" spans="1:5" ht="15">
      <c r="A974" s="24" t="s">
        <v>552</v>
      </c>
      <c r="B974" s="24" t="s">
        <v>543</v>
      </c>
      <c r="C974" s="35"/>
      <c r="D974" s="46">
        <v>1.04</v>
      </c>
      <c r="E974" s="46" t="e">
        <f>D974*#REF!</f>
        <v>#REF!</v>
      </c>
    </row>
    <row r="975" spans="1:5" ht="15">
      <c r="A975" s="24" t="s">
        <v>552</v>
      </c>
      <c r="B975" s="24" t="s">
        <v>544</v>
      </c>
      <c r="C975" s="35"/>
      <c r="D975" s="46">
        <v>1.04</v>
      </c>
      <c r="E975" s="46" t="e">
        <f>D975*#REF!</f>
        <v>#REF!</v>
      </c>
    </row>
    <row r="976" spans="1:5" ht="15">
      <c r="A976" s="24" t="s">
        <v>552</v>
      </c>
      <c r="B976" s="95" t="s">
        <v>554</v>
      </c>
      <c r="C976" s="35"/>
      <c r="D976" s="46">
        <v>1.04</v>
      </c>
      <c r="E976" s="46" t="e">
        <f>D976*#REF!</f>
        <v>#REF!</v>
      </c>
    </row>
    <row r="977" spans="1:5" ht="15">
      <c r="A977" s="24" t="s">
        <v>552</v>
      </c>
      <c r="B977" s="24" t="s">
        <v>545</v>
      </c>
      <c r="C977" s="35"/>
      <c r="D977" s="46">
        <v>1.04</v>
      </c>
      <c r="E977" s="46" t="e">
        <f>D977*#REF!</f>
        <v>#REF!</v>
      </c>
    </row>
    <row r="978" spans="1:5" ht="15">
      <c r="A978" s="24" t="s">
        <v>552</v>
      </c>
      <c r="B978" s="24" t="s">
        <v>546</v>
      </c>
      <c r="C978" s="35"/>
      <c r="D978" s="46">
        <v>1.04</v>
      </c>
      <c r="E978" s="46" t="e">
        <f>D978*#REF!</f>
        <v>#REF!</v>
      </c>
    </row>
    <row r="979" spans="1:5" ht="15">
      <c r="A979" s="24" t="s">
        <v>552</v>
      </c>
      <c r="B979" s="24" t="s">
        <v>547</v>
      </c>
      <c r="C979" s="35"/>
      <c r="D979" s="46">
        <v>1.04</v>
      </c>
      <c r="E979" s="46" t="e">
        <f>D979*#REF!</f>
        <v>#REF!</v>
      </c>
    </row>
    <row r="980" spans="1:5" ht="15">
      <c r="A980" s="24" t="s">
        <v>552</v>
      </c>
      <c r="B980" s="24" t="s">
        <v>548</v>
      </c>
      <c r="C980" s="35"/>
      <c r="D980" s="46">
        <v>1.04</v>
      </c>
      <c r="E980" s="46" t="e">
        <f>D980*#REF!</f>
        <v>#REF!</v>
      </c>
    </row>
    <row r="981" spans="1:5" ht="15">
      <c r="A981" s="24" t="s">
        <v>552</v>
      </c>
      <c r="B981" s="24" t="s">
        <v>129</v>
      </c>
      <c r="C981" s="35"/>
      <c r="D981" s="46">
        <v>1.04</v>
      </c>
      <c r="E981" s="46" t="e">
        <f>D981*#REF!</f>
        <v>#REF!</v>
      </c>
    </row>
    <row r="982" spans="1:5" ht="15">
      <c r="A982" s="24"/>
      <c r="B982" s="185" t="s">
        <v>553</v>
      </c>
      <c r="C982" s="182"/>
      <c r="D982" s="46">
        <v>100</v>
      </c>
      <c r="E982" s="46">
        <v>700</v>
      </c>
    </row>
    <row r="985" spans="1:5" ht="15.75">
      <c r="A985" s="99" t="s">
        <v>455</v>
      </c>
      <c r="B985" s="90" t="s">
        <v>389</v>
      </c>
      <c r="C985" s="90" t="s">
        <v>457</v>
      </c>
      <c r="D985" s="100" t="s">
        <v>181</v>
      </c>
      <c r="E985" s="101" t="s">
        <v>139</v>
      </c>
    </row>
    <row r="986" spans="1:5" ht="15">
      <c r="A986" s="24">
        <v>4141</v>
      </c>
      <c r="B986" s="26">
        <v>18</v>
      </c>
      <c r="C986" s="24" t="s">
        <v>486</v>
      </c>
      <c r="D986" s="35">
        <v>1840</v>
      </c>
      <c r="E986" s="46">
        <v>1.64</v>
      </c>
    </row>
    <row r="989" spans="1:5" ht="15.75">
      <c r="A989" s="99" t="s">
        <v>455</v>
      </c>
      <c r="B989" s="90" t="s">
        <v>389</v>
      </c>
      <c r="C989" s="90" t="s">
        <v>457</v>
      </c>
      <c r="D989" s="100" t="s">
        <v>181</v>
      </c>
      <c r="E989" s="101" t="s">
        <v>139</v>
      </c>
    </row>
    <row r="990" spans="1:5" ht="15">
      <c r="A990" s="24">
        <v>4141</v>
      </c>
      <c r="B990" s="26">
        <v>18</v>
      </c>
      <c r="C990" s="24" t="s">
        <v>486</v>
      </c>
      <c r="D990" s="67">
        <v>80</v>
      </c>
      <c r="E990" s="25">
        <v>1.64</v>
      </c>
    </row>
    <row r="991" spans="1:5" ht="15">
      <c r="A991" s="24">
        <v>4141</v>
      </c>
      <c r="B991" s="26">
        <v>18</v>
      </c>
      <c r="C991" s="95" t="s">
        <v>562</v>
      </c>
      <c r="D991" s="67">
        <v>80</v>
      </c>
      <c r="E991" s="25">
        <v>1.64</v>
      </c>
    </row>
    <row r="992" spans="1:5" ht="15">
      <c r="A992" s="24"/>
      <c r="B992" s="26"/>
      <c r="C992" s="24" t="s">
        <v>31</v>
      </c>
      <c r="D992" s="8"/>
      <c r="E992" s="40">
        <v>12</v>
      </c>
    </row>
    <row r="995" spans="1:4" ht="15.75">
      <c r="A995" s="99" t="s">
        <v>455</v>
      </c>
      <c r="B995" s="90" t="s">
        <v>457</v>
      </c>
      <c r="C995" s="100" t="s">
        <v>2</v>
      </c>
      <c r="D995" s="101" t="s">
        <v>139</v>
      </c>
    </row>
    <row r="996" spans="1:4" ht="15">
      <c r="A996" s="24" t="s">
        <v>542</v>
      </c>
      <c r="B996" s="24" t="s">
        <v>543</v>
      </c>
      <c r="C996" s="19"/>
      <c r="D996" s="46">
        <v>2.67</v>
      </c>
    </row>
    <row r="997" spans="1:4" ht="15">
      <c r="A997" s="24" t="s">
        <v>542</v>
      </c>
      <c r="B997" s="24" t="s">
        <v>544</v>
      </c>
      <c r="C997" s="19"/>
      <c r="D997" s="46">
        <v>2.67</v>
      </c>
    </row>
    <row r="998" spans="1:4" ht="15">
      <c r="A998" s="24" t="s">
        <v>542</v>
      </c>
      <c r="B998" s="27" t="s">
        <v>569</v>
      </c>
      <c r="C998" s="19"/>
      <c r="D998" s="46">
        <v>2.67</v>
      </c>
    </row>
    <row r="999" spans="1:4" ht="15">
      <c r="A999" s="24" t="s">
        <v>542</v>
      </c>
      <c r="B999" s="24" t="s">
        <v>546</v>
      </c>
      <c r="C999" s="19"/>
      <c r="D999" s="46">
        <v>2.67</v>
      </c>
    </row>
    <row r="1000" spans="1:4" ht="15">
      <c r="A1000" s="24" t="s">
        <v>542</v>
      </c>
      <c r="B1000" s="24" t="s">
        <v>547</v>
      </c>
      <c r="C1000" s="19"/>
      <c r="D1000" s="46">
        <v>2.67</v>
      </c>
    </row>
    <row r="1001" spans="1:4" ht="15">
      <c r="A1001" s="24" t="s">
        <v>542</v>
      </c>
      <c r="B1001" s="24" t="s">
        <v>548</v>
      </c>
      <c r="C1001" s="19"/>
      <c r="D1001" s="46">
        <v>2.67</v>
      </c>
    </row>
    <row r="1002" spans="1:4" ht="15">
      <c r="A1002" s="24" t="s">
        <v>542</v>
      </c>
      <c r="B1002" s="24" t="s">
        <v>129</v>
      </c>
      <c r="C1002" s="19"/>
      <c r="D1002" s="46">
        <v>2.67</v>
      </c>
    </row>
    <row r="1003" spans="1:4" ht="15">
      <c r="A1003" s="24"/>
      <c r="B1003" s="44" t="s">
        <v>571</v>
      </c>
      <c r="C1003" s="182"/>
      <c r="D1003" s="46">
        <v>100</v>
      </c>
    </row>
    <row r="1004" spans="1:4" ht="15.75">
      <c r="A1004" s="99" t="s">
        <v>455</v>
      </c>
      <c r="B1004" s="90" t="s">
        <v>457</v>
      </c>
      <c r="C1004" s="100" t="s">
        <v>2</v>
      </c>
      <c r="D1004" s="101" t="s">
        <v>139</v>
      </c>
    </row>
    <row r="1005" spans="1:4" ht="15">
      <c r="A1005" s="24" t="s">
        <v>550</v>
      </c>
      <c r="B1005" s="24" t="s">
        <v>543</v>
      </c>
      <c r="C1005" s="54">
        <v>13.7</v>
      </c>
      <c r="D1005" s="46">
        <v>1.95</v>
      </c>
    </row>
    <row r="1006" spans="1:4" ht="15">
      <c r="A1006" s="24" t="s">
        <v>550</v>
      </c>
      <c r="B1006" s="24" t="s">
        <v>544</v>
      </c>
      <c r="C1006" s="54">
        <v>13.7</v>
      </c>
      <c r="D1006" s="46">
        <v>1.95</v>
      </c>
    </row>
    <row r="1007" spans="1:4" ht="15">
      <c r="A1007" s="24" t="s">
        <v>550</v>
      </c>
      <c r="B1007" s="24" t="s">
        <v>546</v>
      </c>
      <c r="C1007" s="54">
        <v>13.7</v>
      </c>
      <c r="D1007" s="46">
        <v>1.95</v>
      </c>
    </row>
    <row r="1008" spans="1:4" ht="15">
      <c r="A1008" s="24" t="s">
        <v>550</v>
      </c>
      <c r="B1008" s="24" t="s">
        <v>547</v>
      </c>
      <c r="C1008" s="54">
        <v>13.7</v>
      </c>
      <c r="D1008" s="46">
        <v>1.95</v>
      </c>
    </row>
    <row r="1009" spans="1:4" ht="15">
      <c r="A1009" s="24" t="s">
        <v>550</v>
      </c>
      <c r="B1009" s="24" t="s">
        <v>129</v>
      </c>
      <c r="C1009" s="54">
        <v>13.7</v>
      </c>
      <c r="D1009" s="46">
        <v>1.95</v>
      </c>
    </row>
    <row r="1010" spans="1:4" ht="15">
      <c r="A1010" s="24"/>
      <c r="B1010" s="44" t="s">
        <v>572</v>
      </c>
      <c r="C1010" s="182"/>
      <c r="D1010" s="46">
        <v>115</v>
      </c>
    </row>
    <row r="1011" spans="1:4" ht="15.75">
      <c r="A1011" s="99" t="s">
        <v>455</v>
      </c>
      <c r="B1011" s="90" t="s">
        <v>457</v>
      </c>
      <c r="C1011" s="100" t="s">
        <v>2</v>
      </c>
      <c r="D1011" s="101" t="s">
        <v>139</v>
      </c>
    </row>
    <row r="1012" spans="1:4" ht="15">
      <c r="A1012" s="24" t="s">
        <v>552</v>
      </c>
      <c r="B1012" s="24" t="s">
        <v>543</v>
      </c>
      <c r="C1012" s="35"/>
      <c r="D1012" s="46">
        <v>1.04</v>
      </c>
    </row>
    <row r="1013" spans="1:4" ht="15">
      <c r="A1013" s="24" t="s">
        <v>552</v>
      </c>
      <c r="B1013" s="24" t="s">
        <v>544</v>
      </c>
      <c r="C1013" s="35"/>
      <c r="D1013" s="46">
        <v>1.04</v>
      </c>
    </row>
    <row r="1014" spans="1:4" ht="15">
      <c r="A1014" s="24" t="s">
        <v>552</v>
      </c>
      <c r="B1014" s="27" t="s">
        <v>569</v>
      </c>
      <c r="C1014" s="35"/>
      <c r="D1014" s="46">
        <v>1.04</v>
      </c>
    </row>
    <row r="1015" spans="1:4" ht="15">
      <c r="A1015" s="24" t="s">
        <v>552</v>
      </c>
      <c r="B1015" s="24" t="s">
        <v>546</v>
      </c>
      <c r="C1015" s="35"/>
      <c r="D1015" s="46">
        <v>1.04</v>
      </c>
    </row>
    <row r="1016" spans="1:4" ht="15">
      <c r="A1016" s="24" t="s">
        <v>552</v>
      </c>
      <c r="B1016" s="24" t="s">
        <v>547</v>
      </c>
      <c r="C1016" s="35"/>
      <c r="D1016" s="46">
        <v>1.04</v>
      </c>
    </row>
    <row r="1017" spans="1:4" ht="15">
      <c r="A1017" s="24" t="s">
        <v>552</v>
      </c>
      <c r="B1017" s="24" t="s">
        <v>548</v>
      </c>
      <c r="C1017" s="35"/>
      <c r="D1017" s="46">
        <v>1.04</v>
      </c>
    </row>
    <row r="1018" spans="1:4" ht="15">
      <c r="A1018" s="24" t="s">
        <v>552</v>
      </c>
      <c r="B1018" s="24" t="s">
        <v>129</v>
      </c>
      <c r="C1018" s="35"/>
      <c r="D1018" s="46">
        <v>1.04</v>
      </c>
    </row>
    <row r="1019" spans="1:4" ht="15">
      <c r="A1019" s="24"/>
      <c r="B1019" s="44" t="s">
        <v>573</v>
      </c>
      <c r="C1019" s="182"/>
      <c r="D1019" s="46">
        <v>100</v>
      </c>
    </row>
    <row r="1020" spans="1:4" ht="15.75">
      <c r="A1020" s="99" t="s">
        <v>455</v>
      </c>
      <c r="B1020" s="90" t="s">
        <v>457</v>
      </c>
      <c r="C1020" s="100" t="s">
        <v>2</v>
      </c>
      <c r="D1020" s="101" t="s">
        <v>139</v>
      </c>
    </row>
    <row r="1021" spans="1:4" ht="15">
      <c r="A1021" s="24" t="s">
        <v>564</v>
      </c>
      <c r="B1021" s="27" t="s">
        <v>567</v>
      </c>
      <c r="C1021" s="35"/>
      <c r="D1021" s="46">
        <v>2.04</v>
      </c>
    </row>
    <row r="1022" spans="1:4" ht="15">
      <c r="A1022" s="24" t="s">
        <v>564</v>
      </c>
      <c r="B1022" s="24" t="s">
        <v>565</v>
      </c>
      <c r="C1022" s="35"/>
      <c r="D1022" s="46">
        <v>2.04</v>
      </c>
    </row>
    <row r="1023" spans="1:4" ht="15">
      <c r="A1023" s="24" t="s">
        <v>564</v>
      </c>
      <c r="B1023" s="24" t="s">
        <v>566</v>
      </c>
      <c r="C1023" s="35"/>
      <c r="D1023" s="46">
        <v>2.04</v>
      </c>
    </row>
    <row r="1024" spans="1:4" ht="15">
      <c r="A1024" s="24" t="s">
        <v>564</v>
      </c>
      <c r="B1024" s="24" t="s">
        <v>547</v>
      </c>
      <c r="C1024" s="35"/>
      <c r="D1024" s="46">
        <v>2.04</v>
      </c>
    </row>
    <row r="1025" spans="1:4" ht="15">
      <c r="A1025" s="24" t="s">
        <v>564</v>
      </c>
      <c r="B1025" s="24" t="s">
        <v>532</v>
      </c>
      <c r="C1025" s="35"/>
      <c r="D1025" s="46">
        <v>2.04</v>
      </c>
    </row>
    <row r="1026" spans="1:4" ht="15">
      <c r="A1026" s="24" t="s">
        <v>564</v>
      </c>
      <c r="B1026" s="27" t="s">
        <v>568</v>
      </c>
      <c r="C1026" s="35"/>
      <c r="D1026" s="46">
        <v>2.04</v>
      </c>
    </row>
    <row r="1027" spans="1:4" ht="15">
      <c r="A1027" s="24"/>
      <c r="B1027" s="44" t="s">
        <v>574</v>
      </c>
      <c r="C1027" s="182"/>
      <c r="D1027" s="46">
        <v>100</v>
      </c>
    </row>
    <row r="1028" spans="1:4" ht="15.75">
      <c r="A1028" s="99" t="s">
        <v>455</v>
      </c>
      <c r="B1028" s="90" t="s">
        <v>457</v>
      </c>
      <c r="C1028" s="100" t="s">
        <v>2</v>
      </c>
      <c r="D1028" s="101" t="s">
        <v>139</v>
      </c>
    </row>
    <row r="1029" spans="1:4" ht="15">
      <c r="A1029" s="24" t="s">
        <v>570</v>
      </c>
      <c r="B1029" s="27" t="s">
        <v>567</v>
      </c>
      <c r="C1029" s="35"/>
      <c r="D1029" s="46">
        <v>3.3</v>
      </c>
    </row>
    <row r="1030" spans="1:4" ht="15">
      <c r="A1030" s="24" t="s">
        <v>570</v>
      </c>
      <c r="B1030" s="24" t="s">
        <v>565</v>
      </c>
      <c r="C1030" s="35"/>
      <c r="D1030" s="46">
        <v>3.3</v>
      </c>
    </row>
    <row r="1031" spans="1:4" ht="15">
      <c r="A1031" s="24" t="s">
        <v>570</v>
      </c>
      <c r="B1031" s="24" t="s">
        <v>566</v>
      </c>
      <c r="C1031" s="35"/>
      <c r="D1031" s="46">
        <v>3.3</v>
      </c>
    </row>
    <row r="1032" spans="1:4" ht="15">
      <c r="A1032" s="24" t="s">
        <v>570</v>
      </c>
      <c r="B1032" s="24" t="s">
        <v>547</v>
      </c>
      <c r="C1032" s="35"/>
      <c r="D1032" s="46">
        <v>3.3</v>
      </c>
    </row>
    <row r="1033" spans="1:4" ht="15">
      <c r="A1033" s="24" t="s">
        <v>570</v>
      </c>
      <c r="B1033" s="24" t="s">
        <v>532</v>
      </c>
      <c r="C1033" s="35"/>
      <c r="D1033" s="46">
        <v>3.3</v>
      </c>
    </row>
    <row r="1034" spans="1:4" ht="15">
      <c r="A1034" s="24" t="s">
        <v>570</v>
      </c>
      <c r="B1034" s="27" t="s">
        <v>568</v>
      </c>
      <c r="C1034" s="35"/>
      <c r="D1034" s="46">
        <v>3.3</v>
      </c>
    </row>
    <row r="1035" spans="1:4" ht="15">
      <c r="A1035" s="24"/>
      <c r="B1035" s="44" t="s">
        <v>575</v>
      </c>
      <c r="C1035" s="182"/>
      <c r="D1035" s="46">
        <v>100</v>
      </c>
    </row>
    <row r="1036" spans="1:4" ht="15.75">
      <c r="A1036" s="99" t="s">
        <v>455</v>
      </c>
      <c r="B1036" s="90" t="s">
        <v>457</v>
      </c>
      <c r="C1036" s="100" t="s">
        <v>2</v>
      </c>
      <c r="D1036" s="101" t="s">
        <v>139</v>
      </c>
    </row>
    <row r="1037" spans="1:4" ht="15">
      <c r="A1037" s="24" t="s">
        <v>576</v>
      </c>
      <c r="B1037" s="27" t="s">
        <v>567</v>
      </c>
      <c r="C1037" s="35"/>
      <c r="D1037" s="46">
        <v>2.57</v>
      </c>
    </row>
    <row r="1038" spans="1:4" ht="15">
      <c r="A1038" s="24" t="s">
        <v>576</v>
      </c>
      <c r="B1038" s="24" t="s">
        <v>565</v>
      </c>
      <c r="C1038" s="35"/>
      <c r="D1038" s="46">
        <v>2.57</v>
      </c>
    </row>
    <row r="1039" spans="1:4" ht="15">
      <c r="A1039" s="24" t="s">
        <v>576</v>
      </c>
      <c r="B1039" s="24" t="s">
        <v>566</v>
      </c>
      <c r="C1039" s="35"/>
      <c r="D1039" s="46">
        <v>2.57</v>
      </c>
    </row>
    <row r="1040" spans="1:4" ht="15">
      <c r="A1040" s="24" t="s">
        <v>576</v>
      </c>
      <c r="B1040" s="24" t="s">
        <v>547</v>
      </c>
      <c r="C1040" s="35"/>
      <c r="D1040" s="46">
        <v>2.57</v>
      </c>
    </row>
    <row r="1041" spans="1:5" ht="15">
      <c r="A1041" s="24" t="s">
        <v>576</v>
      </c>
      <c r="B1041" s="24" t="s">
        <v>532</v>
      </c>
      <c r="C1041" s="35"/>
      <c r="D1041" s="46">
        <v>2.57</v>
      </c>
    </row>
    <row r="1042" spans="1:5" ht="15">
      <c r="A1042" s="24" t="s">
        <v>576</v>
      </c>
      <c r="B1042" s="27" t="s">
        <v>568</v>
      </c>
      <c r="C1042" s="35"/>
      <c r="D1042" s="46">
        <v>2.57</v>
      </c>
    </row>
    <row r="1043" spans="1:5" ht="15">
      <c r="A1043" s="24"/>
      <c r="B1043" s="44" t="s">
        <v>577</v>
      </c>
      <c r="C1043" s="182"/>
      <c r="D1043" s="46">
        <v>100</v>
      </c>
    </row>
    <row r="1044" spans="1:5" ht="15.75">
      <c r="A1044" s="99" t="s">
        <v>455</v>
      </c>
      <c r="B1044" s="90" t="s">
        <v>457</v>
      </c>
      <c r="C1044" s="100" t="s">
        <v>2</v>
      </c>
      <c r="D1044" s="101" t="s">
        <v>139</v>
      </c>
    </row>
    <row r="1045" spans="1:5" ht="15">
      <c r="A1045" s="24" t="s">
        <v>578</v>
      </c>
      <c r="B1045" s="27" t="s">
        <v>567</v>
      </c>
      <c r="C1045" s="54">
        <v>13.7</v>
      </c>
      <c r="D1045" s="46">
        <v>2.42</v>
      </c>
    </row>
    <row r="1046" spans="1:5" ht="15">
      <c r="A1046" s="24" t="s">
        <v>578</v>
      </c>
      <c r="B1046" s="24" t="s">
        <v>565</v>
      </c>
      <c r="C1046" s="54">
        <v>13.7</v>
      </c>
      <c r="D1046" s="46">
        <v>2.42</v>
      </c>
    </row>
    <row r="1047" spans="1:5" ht="15">
      <c r="A1047" s="24" t="s">
        <v>578</v>
      </c>
      <c r="B1047" s="24" t="s">
        <v>566</v>
      </c>
      <c r="C1047" s="54">
        <v>13.7</v>
      </c>
      <c r="D1047" s="46">
        <v>2.42</v>
      </c>
    </row>
    <row r="1048" spans="1:5" ht="15">
      <c r="A1048" s="24" t="s">
        <v>578</v>
      </c>
      <c r="B1048" s="24" t="s">
        <v>547</v>
      </c>
      <c r="C1048" s="54">
        <v>13.7</v>
      </c>
      <c r="D1048" s="46">
        <v>2.42</v>
      </c>
    </row>
    <row r="1049" spans="1:5" ht="15">
      <c r="A1049" s="24" t="s">
        <v>578</v>
      </c>
      <c r="B1049" s="24" t="s">
        <v>532</v>
      </c>
      <c r="C1049" s="54">
        <v>13.7</v>
      </c>
      <c r="D1049" s="46">
        <v>2.42</v>
      </c>
    </row>
    <row r="1050" spans="1:5" ht="15">
      <c r="A1050" s="24" t="s">
        <v>578</v>
      </c>
      <c r="B1050" s="27" t="s">
        <v>568</v>
      </c>
      <c r="C1050" s="54">
        <v>13.7</v>
      </c>
      <c r="D1050" s="46">
        <v>2.42</v>
      </c>
    </row>
    <row r="1051" spans="1:5" ht="15">
      <c r="A1051" s="24"/>
      <c r="B1051" s="44" t="s">
        <v>580</v>
      </c>
      <c r="C1051" s="182"/>
      <c r="D1051" s="46">
        <v>100</v>
      </c>
    </row>
    <row r="1055" spans="1:5" ht="15.75">
      <c r="A1055" s="99" t="s">
        <v>455</v>
      </c>
      <c r="B1055" s="90" t="s">
        <v>389</v>
      </c>
      <c r="C1055" s="90" t="s">
        <v>457</v>
      </c>
      <c r="D1055" s="100" t="s">
        <v>181</v>
      </c>
      <c r="E1055" s="101" t="s">
        <v>139</v>
      </c>
    </row>
    <row r="1056" spans="1:5" ht="15">
      <c r="A1056" s="24">
        <v>4141</v>
      </c>
      <c r="B1056" s="26">
        <v>18</v>
      </c>
      <c r="C1056" s="24" t="s">
        <v>486</v>
      </c>
      <c r="D1056" s="67">
        <v>80</v>
      </c>
      <c r="E1056" s="25">
        <v>1.64</v>
      </c>
    </row>
    <row r="1057" spans="1:5" ht="15">
      <c r="A1057" s="24">
        <v>4141</v>
      </c>
      <c r="B1057" s="26">
        <v>18</v>
      </c>
      <c r="C1057" s="24" t="s">
        <v>29</v>
      </c>
      <c r="D1057" s="67">
        <v>80</v>
      </c>
      <c r="E1057" s="25">
        <v>1.64</v>
      </c>
    </row>
    <row r="1058" spans="1:5" ht="15">
      <c r="A1058" s="24">
        <v>4141</v>
      </c>
      <c r="B1058" s="26">
        <v>9</v>
      </c>
      <c r="C1058" s="24" t="s">
        <v>486</v>
      </c>
      <c r="D1058" s="67">
        <v>120</v>
      </c>
      <c r="E1058" s="25">
        <v>1.27</v>
      </c>
    </row>
    <row r="1059" spans="1:5" ht="15">
      <c r="A1059" s="24">
        <v>4141</v>
      </c>
      <c r="B1059" s="26">
        <v>9</v>
      </c>
      <c r="C1059" s="24" t="s">
        <v>29</v>
      </c>
      <c r="D1059" s="67">
        <v>120</v>
      </c>
      <c r="E1059" s="25">
        <v>1.27</v>
      </c>
    </row>
    <row r="1060" spans="1:5" ht="15">
      <c r="A1060" s="24"/>
      <c r="B1060" s="26"/>
      <c r="C1060" s="24" t="s">
        <v>31</v>
      </c>
      <c r="D1060" s="8"/>
      <c r="E1060" s="40">
        <v>12</v>
      </c>
    </row>
    <row r="1063" spans="1:5" ht="15.75">
      <c r="A1063" s="99" t="s">
        <v>455</v>
      </c>
      <c r="B1063" s="90" t="s">
        <v>457</v>
      </c>
      <c r="C1063" s="100" t="s">
        <v>2</v>
      </c>
      <c r="D1063" s="101" t="s">
        <v>139</v>
      </c>
    </row>
    <row r="1064" spans="1:5" ht="15">
      <c r="A1064" s="24" t="s">
        <v>542</v>
      </c>
      <c r="B1064" s="24" t="s">
        <v>543</v>
      </c>
      <c r="C1064" s="67"/>
      <c r="D1064" s="46">
        <v>2.67</v>
      </c>
    </row>
    <row r="1065" spans="1:5" ht="15">
      <c r="A1065" s="24" t="s">
        <v>542</v>
      </c>
      <c r="B1065" s="24" t="s">
        <v>544</v>
      </c>
      <c r="C1065" s="67"/>
      <c r="D1065" s="46">
        <v>2.67</v>
      </c>
    </row>
    <row r="1066" spans="1:5" ht="15">
      <c r="A1066" s="24" t="s">
        <v>542</v>
      </c>
      <c r="B1066" s="94" t="s">
        <v>569</v>
      </c>
      <c r="C1066" s="67"/>
      <c r="D1066" s="46">
        <v>2.67</v>
      </c>
    </row>
    <row r="1067" spans="1:5" ht="15">
      <c r="A1067" s="24" t="s">
        <v>542</v>
      </c>
      <c r="B1067" s="24" t="s">
        <v>546</v>
      </c>
      <c r="C1067" s="67"/>
      <c r="D1067" s="46">
        <v>2.67</v>
      </c>
    </row>
    <row r="1068" spans="1:5" ht="15">
      <c r="A1068" s="24" t="s">
        <v>542</v>
      </c>
      <c r="B1068" s="24" t="s">
        <v>547</v>
      </c>
      <c r="C1068" s="67"/>
      <c r="D1068" s="46">
        <v>2.67</v>
      </c>
    </row>
    <row r="1069" spans="1:5" ht="15">
      <c r="A1069" s="24" t="s">
        <v>542</v>
      </c>
      <c r="B1069" s="24" t="s">
        <v>548</v>
      </c>
      <c r="C1069" s="67"/>
      <c r="D1069" s="46">
        <v>2.67</v>
      </c>
    </row>
    <row r="1070" spans="1:5" ht="15">
      <c r="A1070" s="24" t="s">
        <v>542</v>
      </c>
      <c r="B1070" s="24" t="s">
        <v>129</v>
      </c>
      <c r="C1070" s="67"/>
      <c r="D1070" s="46">
        <v>2.67</v>
      </c>
    </row>
    <row r="1071" spans="1:5" ht="15">
      <c r="A1071" s="24"/>
      <c r="B1071" s="44" t="s">
        <v>571</v>
      </c>
      <c r="C1071" s="182"/>
      <c r="D1071" s="46">
        <v>100</v>
      </c>
    </row>
    <row r="1072" spans="1:5" ht="15">
      <c r="A1072" s="24"/>
      <c r="B1072" s="185" t="s">
        <v>585</v>
      </c>
      <c r="C1072" s="151"/>
      <c r="D1072" s="46">
        <v>50</v>
      </c>
    </row>
    <row r="1073" spans="1:4" ht="15.75">
      <c r="A1073" s="99" t="s">
        <v>455</v>
      </c>
      <c r="B1073" s="90" t="s">
        <v>457</v>
      </c>
      <c r="C1073" s="100" t="s">
        <v>2</v>
      </c>
      <c r="D1073" s="101" t="s">
        <v>139</v>
      </c>
    </row>
    <row r="1074" spans="1:4" ht="15">
      <c r="A1074" s="24" t="s">
        <v>550</v>
      </c>
      <c r="B1074" s="24" t="s">
        <v>543</v>
      </c>
      <c r="C1074" s="54">
        <v>13.7</v>
      </c>
      <c r="D1074" s="46">
        <v>1.95</v>
      </c>
    </row>
    <row r="1075" spans="1:4" ht="15">
      <c r="A1075" s="24" t="s">
        <v>550</v>
      </c>
      <c r="B1075" s="24" t="s">
        <v>544</v>
      </c>
      <c r="C1075" s="54">
        <v>13.7</v>
      </c>
      <c r="D1075" s="46">
        <v>1.95</v>
      </c>
    </row>
    <row r="1076" spans="1:4" ht="15">
      <c r="A1076" s="24" t="s">
        <v>550</v>
      </c>
      <c r="B1076" s="24" t="s">
        <v>546</v>
      </c>
      <c r="C1076" s="54">
        <v>13.7</v>
      </c>
      <c r="D1076" s="46">
        <v>1.95</v>
      </c>
    </row>
    <row r="1077" spans="1:4" ht="15">
      <c r="A1077" s="24" t="s">
        <v>550</v>
      </c>
      <c r="B1077" s="24" t="s">
        <v>547</v>
      </c>
      <c r="C1077" s="54">
        <v>13.7</v>
      </c>
      <c r="D1077" s="46">
        <v>1.95</v>
      </c>
    </row>
    <row r="1078" spans="1:4" ht="15">
      <c r="A1078" s="24" t="s">
        <v>550</v>
      </c>
      <c r="B1078" s="24" t="s">
        <v>129</v>
      </c>
      <c r="C1078" s="54">
        <v>13.7</v>
      </c>
      <c r="D1078" s="46">
        <v>1.95</v>
      </c>
    </row>
    <row r="1079" spans="1:4" ht="15">
      <c r="A1079" s="24"/>
      <c r="B1079" s="44" t="s">
        <v>572</v>
      </c>
      <c r="C1079" s="182"/>
      <c r="D1079" s="46">
        <v>115</v>
      </c>
    </row>
    <row r="1080" spans="1:4" ht="15.75">
      <c r="A1080" s="99" t="s">
        <v>455</v>
      </c>
      <c r="B1080" s="90" t="s">
        <v>457</v>
      </c>
      <c r="C1080" s="100" t="s">
        <v>2</v>
      </c>
      <c r="D1080" s="101" t="s">
        <v>139</v>
      </c>
    </row>
    <row r="1081" spans="1:4" ht="15">
      <c r="A1081" s="24" t="s">
        <v>552</v>
      </c>
      <c r="B1081" s="24" t="s">
        <v>543</v>
      </c>
      <c r="C1081" s="35"/>
      <c r="D1081" s="46">
        <v>1.04</v>
      </c>
    </row>
    <row r="1082" spans="1:4" ht="15">
      <c r="A1082" s="24" t="s">
        <v>552</v>
      </c>
      <c r="B1082" s="24" t="s">
        <v>544</v>
      </c>
      <c r="C1082" s="35"/>
      <c r="D1082" s="46">
        <v>1.04</v>
      </c>
    </row>
    <row r="1083" spans="1:4" ht="15">
      <c r="A1083" s="24" t="s">
        <v>552</v>
      </c>
      <c r="B1083" s="94" t="s">
        <v>569</v>
      </c>
      <c r="C1083" s="35"/>
      <c r="D1083" s="46">
        <v>1.04</v>
      </c>
    </row>
    <row r="1084" spans="1:4" ht="15">
      <c r="A1084" s="24" t="s">
        <v>552</v>
      </c>
      <c r="B1084" s="24" t="s">
        <v>546</v>
      </c>
      <c r="C1084" s="35"/>
      <c r="D1084" s="46">
        <v>1.04</v>
      </c>
    </row>
    <row r="1085" spans="1:4" ht="15">
      <c r="A1085" s="24" t="s">
        <v>552</v>
      </c>
      <c r="B1085" s="24" t="s">
        <v>547</v>
      </c>
      <c r="C1085" s="35"/>
      <c r="D1085" s="46">
        <v>1.04</v>
      </c>
    </row>
    <row r="1086" spans="1:4" ht="15">
      <c r="A1086" s="24" t="s">
        <v>552</v>
      </c>
      <c r="B1086" s="24" t="s">
        <v>548</v>
      </c>
      <c r="C1086" s="35"/>
      <c r="D1086" s="46">
        <v>1.04</v>
      </c>
    </row>
    <row r="1087" spans="1:4" ht="15">
      <c r="A1087" s="24" t="s">
        <v>552</v>
      </c>
      <c r="B1087" s="24" t="s">
        <v>129</v>
      </c>
      <c r="C1087" s="35"/>
      <c r="D1087" s="46">
        <v>1.04</v>
      </c>
    </row>
    <row r="1088" spans="1:4" ht="15">
      <c r="A1088" s="24"/>
      <c r="B1088" s="44" t="s">
        <v>573</v>
      </c>
      <c r="C1088" s="182"/>
      <c r="D1088" s="46">
        <v>100</v>
      </c>
    </row>
    <row r="1089" spans="1:4" ht="15.75">
      <c r="A1089" s="189" t="s">
        <v>455</v>
      </c>
      <c r="B1089" s="190" t="s">
        <v>457</v>
      </c>
      <c r="C1089" s="191" t="s">
        <v>2</v>
      </c>
      <c r="D1089" s="192" t="s">
        <v>139</v>
      </c>
    </row>
    <row r="1090" spans="1:4" ht="15">
      <c r="A1090" s="177" t="s">
        <v>564</v>
      </c>
      <c r="B1090" s="177" t="s">
        <v>567</v>
      </c>
      <c r="C1090" s="186">
        <v>27</v>
      </c>
      <c r="D1090" s="2846" t="s">
        <v>581</v>
      </c>
    </row>
    <row r="1091" spans="1:4" ht="15">
      <c r="A1091" s="177" t="s">
        <v>564</v>
      </c>
      <c r="B1091" s="177" t="s">
        <v>565</v>
      </c>
      <c r="C1091" s="186">
        <v>27</v>
      </c>
      <c r="D1091" s="2847"/>
    </row>
    <row r="1092" spans="1:4" ht="15">
      <c r="A1092" s="177" t="s">
        <v>564</v>
      </c>
      <c r="B1092" s="177" t="s">
        <v>566</v>
      </c>
      <c r="C1092" s="186">
        <v>27</v>
      </c>
      <c r="D1092" s="2847"/>
    </row>
    <row r="1093" spans="1:4" ht="15">
      <c r="A1093" s="177" t="s">
        <v>564</v>
      </c>
      <c r="B1093" s="177" t="s">
        <v>547</v>
      </c>
      <c r="C1093" s="186">
        <v>27</v>
      </c>
      <c r="D1093" s="2847"/>
    </row>
    <row r="1094" spans="1:4" ht="15">
      <c r="A1094" s="177" t="s">
        <v>564</v>
      </c>
      <c r="B1094" s="177" t="s">
        <v>532</v>
      </c>
      <c r="C1094" s="186">
        <v>27</v>
      </c>
      <c r="D1094" s="2847"/>
    </row>
    <row r="1095" spans="1:4" ht="15">
      <c r="A1095" s="177" t="s">
        <v>564</v>
      </c>
      <c r="B1095" s="177" t="s">
        <v>568</v>
      </c>
      <c r="C1095" s="186">
        <v>27</v>
      </c>
      <c r="D1095" s="2847"/>
    </row>
    <row r="1096" spans="1:4" ht="15">
      <c r="A1096" s="177"/>
      <c r="B1096" s="187" t="s">
        <v>574</v>
      </c>
      <c r="C1096" s="188"/>
      <c r="D1096" s="2848"/>
    </row>
    <row r="1097" spans="1:4" ht="15.75">
      <c r="A1097" s="99" t="s">
        <v>455</v>
      </c>
      <c r="B1097" s="90" t="s">
        <v>457</v>
      </c>
      <c r="C1097" s="100" t="s">
        <v>2</v>
      </c>
      <c r="D1097" s="101" t="s">
        <v>139</v>
      </c>
    </row>
    <row r="1098" spans="1:4" ht="15">
      <c r="A1098" s="24" t="s">
        <v>570</v>
      </c>
      <c r="B1098" s="24" t="s">
        <v>567</v>
      </c>
      <c r="C1098" s="35"/>
      <c r="D1098" s="46">
        <v>3.3</v>
      </c>
    </row>
    <row r="1099" spans="1:4" ht="15">
      <c r="A1099" s="24" t="s">
        <v>570</v>
      </c>
      <c r="B1099" s="24" t="s">
        <v>565</v>
      </c>
      <c r="C1099" s="35"/>
      <c r="D1099" s="46">
        <v>3.3</v>
      </c>
    </row>
    <row r="1100" spans="1:4" ht="15">
      <c r="A1100" s="24" t="s">
        <v>570</v>
      </c>
      <c r="B1100" s="24" t="s">
        <v>566</v>
      </c>
      <c r="C1100" s="35"/>
      <c r="D1100" s="46">
        <v>3.3</v>
      </c>
    </row>
    <row r="1101" spans="1:4" ht="15">
      <c r="A1101" s="24" t="s">
        <v>570</v>
      </c>
      <c r="B1101" s="24" t="s">
        <v>547</v>
      </c>
      <c r="C1101" s="35"/>
      <c r="D1101" s="46">
        <v>3.3</v>
      </c>
    </row>
    <row r="1102" spans="1:4" ht="15">
      <c r="A1102" s="24" t="s">
        <v>570</v>
      </c>
      <c r="B1102" s="24" t="s">
        <v>532</v>
      </c>
      <c r="C1102" s="35"/>
      <c r="D1102" s="46">
        <v>3.3</v>
      </c>
    </row>
    <row r="1103" spans="1:4" ht="15">
      <c r="A1103" s="24" t="s">
        <v>570</v>
      </c>
      <c r="B1103" s="24" t="s">
        <v>568</v>
      </c>
      <c r="C1103" s="35"/>
      <c r="D1103" s="46">
        <v>3.3</v>
      </c>
    </row>
    <row r="1104" spans="1:4" ht="15">
      <c r="A1104" s="24"/>
      <c r="B1104" s="44" t="s">
        <v>575</v>
      </c>
      <c r="C1104" s="182"/>
      <c r="D1104" s="46">
        <v>50</v>
      </c>
    </row>
    <row r="1105" spans="1:4" ht="15.75">
      <c r="A1105" s="99" t="s">
        <v>455</v>
      </c>
      <c r="B1105" s="90" t="s">
        <v>457</v>
      </c>
      <c r="C1105" s="100" t="s">
        <v>2</v>
      </c>
      <c r="D1105" s="101" t="s">
        <v>139</v>
      </c>
    </row>
    <row r="1106" spans="1:4" ht="15">
      <c r="A1106" s="24" t="s">
        <v>576</v>
      </c>
      <c r="B1106" s="24" t="s">
        <v>567</v>
      </c>
      <c r="C1106" s="35"/>
      <c r="D1106" s="46">
        <v>2.57</v>
      </c>
    </row>
    <row r="1107" spans="1:4" ht="15">
      <c r="A1107" s="24" t="s">
        <v>576</v>
      </c>
      <c r="B1107" s="24" t="s">
        <v>582</v>
      </c>
      <c r="C1107" s="35"/>
      <c r="D1107" s="46">
        <v>2.57</v>
      </c>
    </row>
    <row r="1108" spans="1:4" ht="15">
      <c r="A1108" s="24" t="s">
        <v>576</v>
      </c>
      <c r="B1108" s="24" t="s">
        <v>566</v>
      </c>
      <c r="C1108" s="35"/>
      <c r="D1108" s="46">
        <v>2.57</v>
      </c>
    </row>
    <row r="1109" spans="1:4" ht="15">
      <c r="A1109" s="24" t="s">
        <v>576</v>
      </c>
      <c r="B1109" s="24" t="s">
        <v>583</v>
      </c>
      <c r="C1109" s="35"/>
      <c r="D1109" s="46">
        <v>2.57</v>
      </c>
    </row>
    <row r="1110" spans="1:4" ht="15">
      <c r="A1110" s="24" t="s">
        <v>576</v>
      </c>
      <c r="B1110" s="24" t="s">
        <v>532</v>
      </c>
      <c r="C1110" s="35"/>
      <c r="D1110" s="46">
        <v>2.57</v>
      </c>
    </row>
    <row r="1111" spans="1:4" ht="15">
      <c r="A1111" s="24" t="s">
        <v>576</v>
      </c>
      <c r="B1111" s="24" t="s">
        <v>568</v>
      </c>
      <c r="C1111" s="35"/>
      <c r="D1111" s="46">
        <v>2.57</v>
      </c>
    </row>
    <row r="1112" spans="1:4" ht="15">
      <c r="A1112" s="24"/>
      <c r="B1112" s="44" t="s">
        <v>584</v>
      </c>
      <c r="C1112" s="182"/>
      <c r="D1112" s="46">
        <v>50</v>
      </c>
    </row>
    <row r="1113" spans="1:4" ht="15.75">
      <c r="A1113" s="99" t="s">
        <v>455</v>
      </c>
      <c r="B1113" s="90" t="s">
        <v>457</v>
      </c>
      <c r="C1113" s="100" t="s">
        <v>2</v>
      </c>
      <c r="D1113" s="101" t="s">
        <v>139</v>
      </c>
    </row>
    <row r="1114" spans="1:4" ht="15">
      <c r="A1114" s="24" t="s">
        <v>578</v>
      </c>
      <c r="B1114" s="24" t="s">
        <v>567</v>
      </c>
      <c r="C1114" s="54">
        <v>13.7</v>
      </c>
      <c r="D1114" s="46">
        <v>2.42</v>
      </c>
    </row>
    <row r="1115" spans="1:4" ht="15">
      <c r="A1115" s="24" t="s">
        <v>578</v>
      </c>
      <c r="B1115" s="24" t="s">
        <v>565</v>
      </c>
      <c r="C1115" s="54">
        <v>13.7</v>
      </c>
      <c r="D1115" s="46">
        <v>2.42</v>
      </c>
    </row>
    <row r="1116" spans="1:4" ht="15">
      <c r="A1116" s="24" t="s">
        <v>578</v>
      </c>
      <c r="B1116" s="24" t="s">
        <v>566</v>
      </c>
      <c r="C1116" s="54">
        <v>13.7</v>
      </c>
      <c r="D1116" s="46">
        <v>2.42</v>
      </c>
    </row>
    <row r="1117" spans="1:4" ht="15">
      <c r="A1117" s="24" t="s">
        <v>578</v>
      </c>
      <c r="B1117" s="24" t="s">
        <v>547</v>
      </c>
      <c r="C1117" s="54">
        <v>13.7</v>
      </c>
      <c r="D1117" s="46">
        <v>2.42</v>
      </c>
    </row>
    <row r="1118" spans="1:4" ht="15">
      <c r="A1118" s="24" t="s">
        <v>578</v>
      </c>
      <c r="B1118" s="24" t="s">
        <v>532</v>
      </c>
      <c r="C1118" s="54">
        <v>13.7</v>
      </c>
      <c r="D1118" s="46">
        <v>2.42</v>
      </c>
    </row>
    <row r="1119" spans="1:4" ht="15">
      <c r="A1119" s="24" t="s">
        <v>578</v>
      </c>
      <c r="B1119" s="24" t="s">
        <v>568</v>
      </c>
      <c r="C1119" s="54">
        <v>13.7</v>
      </c>
      <c r="D1119" s="46">
        <v>2.42</v>
      </c>
    </row>
    <row r="1120" spans="1:4" ht="15">
      <c r="A1120" s="24"/>
      <c r="B1120" s="44" t="s">
        <v>580</v>
      </c>
      <c r="C1120" s="182"/>
      <c r="D1120" s="46">
        <v>100</v>
      </c>
    </row>
    <row r="1122" spans="1:4" ht="15.75">
      <c r="A1122" s="99" t="s">
        <v>455</v>
      </c>
      <c r="B1122" s="90" t="s">
        <v>457</v>
      </c>
      <c r="C1122" s="100" t="s">
        <v>2</v>
      </c>
      <c r="D1122" s="101" t="s">
        <v>139</v>
      </c>
    </row>
    <row r="1123" spans="1:4" ht="15">
      <c r="A1123" s="24" t="s">
        <v>587</v>
      </c>
      <c r="B1123" s="24" t="s">
        <v>78</v>
      </c>
      <c r="C1123" s="54">
        <v>14</v>
      </c>
      <c r="D1123" s="46">
        <v>2.04</v>
      </c>
    </row>
    <row r="1124" spans="1:4" ht="15">
      <c r="A1124" s="24" t="s">
        <v>588</v>
      </c>
      <c r="B1124" s="24" t="s">
        <v>78</v>
      </c>
      <c r="C1124" s="54">
        <v>14</v>
      </c>
      <c r="D1124" s="46">
        <v>1.99</v>
      </c>
    </row>
    <row r="1125" spans="1:4" ht="15">
      <c r="A1125" s="24" t="s">
        <v>589</v>
      </c>
      <c r="B1125" s="24" t="s">
        <v>78</v>
      </c>
      <c r="C1125" s="75">
        <v>10</v>
      </c>
      <c r="D1125" s="46">
        <v>4.1399999999999997</v>
      </c>
    </row>
    <row r="1126" spans="1:4" ht="15">
      <c r="A1126" s="24"/>
      <c r="B1126" s="24" t="s">
        <v>31</v>
      </c>
      <c r="C1126" s="45"/>
      <c r="D1126" s="46">
        <v>24</v>
      </c>
    </row>
    <row r="1128" spans="1:4" ht="15.75">
      <c r="A1128" s="99" t="s">
        <v>455</v>
      </c>
      <c r="B1128" s="90" t="s">
        <v>457</v>
      </c>
      <c r="C1128" s="100" t="s">
        <v>2</v>
      </c>
      <c r="D1128" s="101" t="s">
        <v>555</v>
      </c>
    </row>
    <row r="1129" spans="1:4" ht="15">
      <c r="A1129" s="24" t="s">
        <v>587</v>
      </c>
      <c r="B1129" s="24" t="s">
        <v>78</v>
      </c>
      <c r="C1129" s="54">
        <v>14</v>
      </c>
      <c r="D1129" s="183" t="s">
        <v>590</v>
      </c>
    </row>
    <row r="1130" spans="1:4" ht="15">
      <c r="A1130" s="24" t="s">
        <v>588</v>
      </c>
      <c r="B1130" s="24" t="s">
        <v>78</v>
      </c>
      <c r="C1130" s="54">
        <v>14</v>
      </c>
      <c r="D1130" s="183" t="s">
        <v>591</v>
      </c>
    </row>
    <row r="1131" spans="1:4" ht="15.75">
      <c r="A1131" s="99" t="s">
        <v>455</v>
      </c>
      <c r="B1131" s="90" t="s">
        <v>457</v>
      </c>
      <c r="C1131" s="100" t="s">
        <v>2</v>
      </c>
      <c r="D1131" s="101" t="s">
        <v>555</v>
      </c>
    </row>
    <row r="1132" spans="1:4" ht="15">
      <c r="A1132" s="24" t="s">
        <v>589</v>
      </c>
      <c r="B1132" s="24" t="s">
        <v>78</v>
      </c>
      <c r="C1132" s="75">
        <v>10</v>
      </c>
      <c r="D1132" s="183" t="s">
        <v>592</v>
      </c>
    </row>
    <row r="1135" spans="1:4" ht="15.75">
      <c r="A1135" s="99" t="s">
        <v>455</v>
      </c>
      <c r="B1135" s="90" t="s">
        <v>457</v>
      </c>
      <c r="C1135" s="100" t="s">
        <v>2</v>
      </c>
      <c r="D1135" s="101" t="s">
        <v>595</v>
      </c>
    </row>
    <row r="1136" spans="1:4" ht="15">
      <c r="A1136" s="24">
        <v>5610</v>
      </c>
      <c r="B1136" s="24" t="s">
        <v>594</v>
      </c>
      <c r="C1136" s="67">
        <v>50</v>
      </c>
      <c r="D1136" s="25">
        <v>0.33</v>
      </c>
    </row>
    <row r="1137" spans="1:5" ht="15">
      <c r="A1137" s="24"/>
      <c r="B1137" s="24" t="s">
        <v>31</v>
      </c>
      <c r="C1137" s="36"/>
      <c r="D1137" s="40">
        <v>12</v>
      </c>
    </row>
    <row r="1139" spans="1:5" ht="15.75">
      <c r="A1139" s="99" t="s">
        <v>455</v>
      </c>
      <c r="B1139" s="99" t="s">
        <v>389</v>
      </c>
      <c r="C1139" s="90" t="s">
        <v>457</v>
      </c>
      <c r="D1139" s="100" t="s">
        <v>181</v>
      </c>
      <c r="E1139" s="101" t="s">
        <v>595</v>
      </c>
    </row>
    <row r="1140" spans="1:5" ht="15">
      <c r="A1140" s="24" t="s">
        <v>421</v>
      </c>
      <c r="B1140" s="99"/>
      <c r="C1140" s="24" t="s">
        <v>78</v>
      </c>
      <c r="D1140" s="67">
        <v>112</v>
      </c>
      <c r="E1140" s="25">
        <v>9.64</v>
      </c>
    </row>
    <row r="1141" spans="1:5" ht="15">
      <c r="A1141" s="24" t="s">
        <v>596</v>
      </c>
      <c r="B1141" s="26" t="s">
        <v>426</v>
      </c>
      <c r="C1141" s="24" t="s">
        <v>78</v>
      </c>
      <c r="D1141" s="67">
        <v>40</v>
      </c>
      <c r="E1141" s="25">
        <v>9.1300000000000008</v>
      </c>
    </row>
    <row r="1142" spans="1:5" ht="15">
      <c r="A1142" s="24" t="s">
        <v>425</v>
      </c>
      <c r="B1142" s="26" t="s">
        <v>426</v>
      </c>
      <c r="C1142" s="24" t="s">
        <v>78</v>
      </c>
      <c r="D1142" s="67">
        <v>260</v>
      </c>
      <c r="E1142" s="25">
        <v>15</v>
      </c>
    </row>
    <row r="1144" spans="1:5" ht="15">
      <c r="A1144" s="20" t="s">
        <v>593</v>
      </c>
      <c r="B1144" s="26"/>
      <c r="C1144" s="24"/>
      <c r="D1144" s="68"/>
      <c r="E1144" s="17" t="s">
        <v>134</v>
      </c>
    </row>
    <row r="1145" spans="1:5" ht="15">
      <c r="A1145" s="95">
        <v>5612</v>
      </c>
      <c r="B1145" s="26"/>
      <c r="C1145" s="24" t="s">
        <v>594</v>
      </c>
      <c r="D1145" s="68">
        <v>1</v>
      </c>
      <c r="E1145" s="25">
        <v>0.44</v>
      </c>
    </row>
    <row r="1146" spans="1:5" ht="15">
      <c r="A1146" s="24"/>
      <c r="B1146" s="26"/>
      <c r="C1146" s="24" t="s">
        <v>31</v>
      </c>
      <c r="D1146" s="41"/>
      <c r="E1146" s="40">
        <v>12</v>
      </c>
    </row>
    <row r="1149" spans="1:5" ht="15.75">
      <c r="A1149" s="99" t="s">
        <v>455</v>
      </c>
      <c r="B1149" s="90" t="s">
        <v>457</v>
      </c>
      <c r="C1149" s="100" t="s">
        <v>2</v>
      </c>
      <c r="D1149" s="101" t="s">
        <v>595</v>
      </c>
    </row>
    <row r="1150" spans="1:5" ht="15">
      <c r="A1150" s="24">
        <v>5612</v>
      </c>
      <c r="B1150" s="24" t="s">
        <v>594</v>
      </c>
      <c r="C1150" s="67">
        <v>50</v>
      </c>
      <c r="D1150" s="25">
        <v>0.44</v>
      </c>
    </row>
    <row r="1151" spans="1:5" ht="15">
      <c r="A1151" s="24"/>
      <c r="B1151" s="24" t="s">
        <v>31</v>
      </c>
      <c r="C1151" s="36"/>
      <c r="D1151" s="40">
        <v>12</v>
      </c>
    </row>
    <row r="1154" spans="1:5" ht="15">
      <c r="A1154" s="107" t="s">
        <v>64</v>
      </c>
      <c r="B1154" s="99" t="s">
        <v>455</v>
      </c>
      <c r="C1154" s="99" t="s">
        <v>455</v>
      </c>
      <c r="D1154" s="99" t="s">
        <v>455</v>
      </c>
      <c r="E1154" s="99" t="s">
        <v>455</v>
      </c>
    </row>
    <row r="1155" spans="1:5" ht="15">
      <c r="A1155" s="95">
        <v>1598</v>
      </c>
      <c r="B1155" s="26" t="s">
        <v>19</v>
      </c>
      <c r="C1155" s="24" t="s">
        <v>602</v>
      </c>
      <c r="D1155" s="68">
        <v>313</v>
      </c>
      <c r="E1155" s="25">
        <v>1.88</v>
      </c>
    </row>
    <row r="1156" spans="1:5" ht="14.25" thickBot="1"/>
    <row r="1157" spans="1:5" s="194" customFormat="1" ht="15" thickBot="1">
      <c r="A1157" s="193" t="s">
        <v>608</v>
      </c>
      <c r="B1157" s="1604" t="s">
        <v>603</v>
      </c>
      <c r="C1157" s="1605" t="s">
        <v>604</v>
      </c>
      <c r="D1157" s="1605" t="s">
        <v>605</v>
      </c>
    </row>
    <row r="1158" spans="1:5" s="194" customFormat="1" ht="15" thickBot="1">
      <c r="A1158" s="195" t="s">
        <v>606</v>
      </c>
      <c r="B1158" s="196">
        <v>1598</v>
      </c>
      <c r="C1158" s="197" t="s">
        <v>607</v>
      </c>
      <c r="D1158" s="196" t="s">
        <v>609</v>
      </c>
    </row>
    <row r="1159" spans="1:5" s="194" customFormat="1" ht="14.25"/>
    <row r="1160" spans="1:5" s="194" customFormat="1" ht="14.25"/>
    <row r="1161" spans="1:5" ht="15.75">
      <c r="A1161" s="99" t="s">
        <v>105</v>
      </c>
      <c r="B1161" s="99" t="s">
        <v>455</v>
      </c>
      <c r="C1161" s="90" t="s">
        <v>457</v>
      </c>
      <c r="D1161" s="100" t="s">
        <v>181</v>
      </c>
      <c r="E1161" s="101" t="s">
        <v>595</v>
      </c>
    </row>
    <row r="1162" spans="1:5" ht="15">
      <c r="A1162" s="33" t="s">
        <v>612</v>
      </c>
      <c r="B1162" s="24" t="s">
        <v>121</v>
      </c>
      <c r="C1162" s="24" t="s">
        <v>613</v>
      </c>
      <c r="D1162" s="69">
        <v>27.4</v>
      </c>
      <c r="E1162" s="25">
        <v>2.2400000000000002</v>
      </c>
    </row>
    <row r="1163" spans="1:5" ht="15">
      <c r="A1163" s="33" t="s">
        <v>612</v>
      </c>
      <c r="B1163" s="24"/>
      <c r="C1163" s="44" t="s">
        <v>256</v>
      </c>
      <c r="D1163" s="151"/>
      <c r="E1163" s="46">
        <v>100</v>
      </c>
    </row>
    <row r="1164" spans="1:5" ht="15">
      <c r="A1164" s="24"/>
      <c r="B1164" s="24"/>
      <c r="C1164" s="24" t="s">
        <v>31</v>
      </c>
      <c r="D1164" s="40"/>
      <c r="E1164" s="40">
        <v>12</v>
      </c>
    </row>
    <row r="1166" spans="1:5" ht="15.75">
      <c r="A1166" s="99" t="s">
        <v>105</v>
      </c>
      <c r="B1166" s="99" t="s">
        <v>455</v>
      </c>
      <c r="C1166" s="90" t="s">
        <v>389</v>
      </c>
      <c r="D1166" s="101" t="s">
        <v>595</v>
      </c>
    </row>
    <row r="1167" spans="1:5" ht="15">
      <c r="A1167" s="33" t="s">
        <v>615</v>
      </c>
      <c r="B1167" s="24" t="s">
        <v>616</v>
      </c>
      <c r="C1167" s="155">
        <v>112</v>
      </c>
      <c r="D1167" s="46">
        <v>11.88</v>
      </c>
    </row>
    <row r="1168" spans="1:5" ht="15">
      <c r="A1168" s="33" t="s">
        <v>615</v>
      </c>
      <c r="B1168" s="24"/>
      <c r="C1168" s="138"/>
      <c r="D1168" s="46">
        <v>20</v>
      </c>
    </row>
    <row r="1170" spans="1:8" ht="15.75">
      <c r="A1170" s="99" t="s">
        <v>455</v>
      </c>
      <c r="B1170" s="99" t="s">
        <v>389</v>
      </c>
      <c r="C1170" s="90" t="s">
        <v>457</v>
      </c>
      <c r="D1170" s="100" t="s">
        <v>181</v>
      </c>
      <c r="E1170" s="101" t="s">
        <v>595</v>
      </c>
    </row>
    <row r="1171" spans="1:8" ht="15">
      <c r="A1171" s="24">
        <v>5356</v>
      </c>
      <c r="B1171" s="26">
        <v>3</v>
      </c>
      <c r="C1171" s="24" t="s">
        <v>504</v>
      </c>
      <c r="D1171" s="8">
        <v>120</v>
      </c>
      <c r="E1171" s="46">
        <v>0.5</v>
      </c>
    </row>
    <row r="1172" spans="1:8" ht="15">
      <c r="A1172" s="24"/>
      <c r="B1172" s="138"/>
      <c r="C1172" s="24" t="s">
        <v>481</v>
      </c>
      <c r="D1172" s="8"/>
      <c r="E1172" s="46">
        <v>12</v>
      </c>
    </row>
    <row r="1174" spans="1:8" ht="15.75">
      <c r="A1174" s="99" t="s">
        <v>455</v>
      </c>
      <c r="B1174" s="99" t="s">
        <v>389</v>
      </c>
      <c r="C1174" s="90" t="s">
        <v>457</v>
      </c>
      <c r="D1174" s="100" t="s">
        <v>181</v>
      </c>
      <c r="E1174" s="101" t="s">
        <v>595</v>
      </c>
    </row>
    <row r="1175" spans="1:8" ht="15">
      <c r="A1175" s="24">
        <v>4141</v>
      </c>
      <c r="B1175" s="26" t="s">
        <v>485</v>
      </c>
      <c r="C1175" s="24" t="s">
        <v>486</v>
      </c>
      <c r="D1175" s="67">
        <v>160</v>
      </c>
      <c r="E1175" s="25">
        <v>1.47</v>
      </c>
    </row>
    <row r="1176" spans="1:8" ht="15">
      <c r="A1176" s="24"/>
      <c r="B1176" s="138"/>
      <c r="C1176" s="24" t="s">
        <v>31</v>
      </c>
      <c r="D1176" s="8"/>
      <c r="E1176" s="46">
        <v>12</v>
      </c>
    </row>
    <row r="1179" spans="1:8" ht="15.75">
      <c r="A1179" s="99" t="s">
        <v>105</v>
      </c>
      <c r="B1179" s="99" t="s">
        <v>455</v>
      </c>
      <c r="C1179" s="90" t="s">
        <v>389</v>
      </c>
      <c r="D1179" s="100" t="s">
        <v>624</v>
      </c>
      <c r="E1179" s="100" t="s">
        <v>182</v>
      </c>
      <c r="F1179" s="101" t="s">
        <v>595</v>
      </c>
      <c r="G1179" s="101" t="s">
        <v>622</v>
      </c>
      <c r="H1179" s="741"/>
    </row>
    <row r="1180" spans="1:8" ht="15">
      <c r="A1180" s="33" t="s">
        <v>610</v>
      </c>
      <c r="B1180" s="24" t="s">
        <v>421</v>
      </c>
      <c r="C1180" s="26"/>
      <c r="D1180" s="54">
        <v>14</v>
      </c>
      <c r="E1180" s="37">
        <v>8</v>
      </c>
      <c r="F1180" s="25">
        <v>9.64</v>
      </c>
      <c r="G1180" s="67"/>
      <c r="H1180" s="679"/>
    </row>
    <row r="1181" spans="1:8" ht="15">
      <c r="A1181" s="33" t="s">
        <v>610</v>
      </c>
      <c r="B1181" s="24" t="s">
        <v>423</v>
      </c>
      <c r="C1181" s="26" t="s">
        <v>426</v>
      </c>
      <c r="D1181" s="54">
        <v>19.2</v>
      </c>
      <c r="E1181" s="37">
        <v>1</v>
      </c>
      <c r="F1181" s="25">
        <v>9.1300000000000008</v>
      </c>
      <c r="G1181" s="67"/>
      <c r="H1181" s="679"/>
    </row>
    <row r="1182" spans="1:8" ht="15">
      <c r="A1182" s="33" t="s">
        <v>610</v>
      </c>
      <c r="B1182" s="24" t="s">
        <v>423</v>
      </c>
      <c r="C1182" s="26" t="s">
        <v>426</v>
      </c>
      <c r="D1182" s="54">
        <v>20</v>
      </c>
      <c r="E1182" s="37">
        <v>1</v>
      </c>
      <c r="F1182" s="25">
        <v>9.1300000000000008</v>
      </c>
      <c r="G1182" s="67"/>
      <c r="H1182" s="679"/>
    </row>
    <row r="1183" spans="1:8" ht="15">
      <c r="A1183" s="33" t="s">
        <v>610</v>
      </c>
      <c r="B1183" s="24" t="s">
        <v>425</v>
      </c>
      <c r="C1183" s="26" t="s">
        <v>426</v>
      </c>
      <c r="D1183" s="54">
        <v>19.2</v>
      </c>
      <c r="E1183" s="37">
        <v>1</v>
      </c>
      <c r="F1183" s="25">
        <v>15</v>
      </c>
      <c r="G1183" s="67"/>
      <c r="H1183" s="679"/>
    </row>
    <row r="1184" spans="1:8" ht="15">
      <c r="A1184" s="33" t="s">
        <v>610</v>
      </c>
      <c r="B1184" s="24" t="s">
        <v>425</v>
      </c>
      <c r="C1184" s="26" t="s">
        <v>426</v>
      </c>
      <c r="D1184" s="54">
        <v>19.8</v>
      </c>
      <c r="E1184" s="37">
        <v>3</v>
      </c>
      <c r="F1184" s="25">
        <v>15</v>
      </c>
      <c r="G1184" s="67" t="s">
        <v>623</v>
      </c>
      <c r="H1184" s="679"/>
    </row>
    <row r="1185" spans="1:8" ht="15">
      <c r="A1185" s="33" t="s">
        <v>610</v>
      </c>
      <c r="B1185" s="24" t="s">
        <v>425</v>
      </c>
      <c r="C1185" s="26" t="s">
        <v>426</v>
      </c>
      <c r="D1185" s="54">
        <v>19.399999999999999</v>
      </c>
      <c r="E1185" s="37">
        <v>1</v>
      </c>
      <c r="F1185" s="25">
        <v>15</v>
      </c>
      <c r="G1185" s="67" t="s">
        <v>625</v>
      </c>
      <c r="H1185" s="679"/>
    </row>
    <row r="1186" spans="1:8" ht="15">
      <c r="A1186" s="33" t="s">
        <v>610</v>
      </c>
      <c r="B1186" s="24" t="s">
        <v>425</v>
      </c>
      <c r="C1186" s="26" t="s">
        <v>426</v>
      </c>
      <c r="D1186" s="54">
        <v>20</v>
      </c>
      <c r="E1186" s="37">
        <v>8</v>
      </c>
      <c r="F1186" s="25">
        <v>15</v>
      </c>
      <c r="G1186" s="67"/>
      <c r="H1186" s="679"/>
    </row>
    <row r="1188" spans="1:8" ht="15.75">
      <c r="A1188" s="99" t="s">
        <v>455</v>
      </c>
      <c r="B1188" s="90" t="s">
        <v>389</v>
      </c>
      <c r="C1188" s="90" t="s">
        <v>457</v>
      </c>
    </row>
    <row r="1189" spans="1:8" ht="15">
      <c r="A1189" s="24" t="s">
        <v>536</v>
      </c>
      <c r="B1189" s="155">
        <v>160</v>
      </c>
      <c r="C1189" s="24" t="s">
        <v>597</v>
      </c>
    </row>
    <row r="1190" spans="1:8" ht="15">
      <c r="A1190" s="24"/>
      <c r="B1190" s="138"/>
      <c r="C1190" s="24" t="s">
        <v>75</v>
      </c>
    </row>
    <row r="1191" spans="1:8" ht="15">
      <c r="A1191" s="56"/>
      <c r="B1191" s="138"/>
      <c r="C1191" s="24" t="s">
        <v>31</v>
      </c>
    </row>
    <row r="1193" spans="1:8" ht="15.75">
      <c r="A1193" s="99" t="s">
        <v>105</v>
      </c>
      <c r="B1193" s="99" t="s">
        <v>455</v>
      </c>
      <c r="C1193" s="90" t="s">
        <v>389</v>
      </c>
      <c r="D1193" s="100" t="s">
        <v>182</v>
      </c>
      <c r="E1193" s="100" t="s">
        <v>181</v>
      </c>
    </row>
    <row r="1194" spans="1:8" ht="15">
      <c r="A1194" s="6" t="s">
        <v>626</v>
      </c>
      <c r="B1194" s="24">
        <v>4141</v>
      </c>
      <c r="C1194" s="26">
        <v>9</v>
      </c>
      <c r="D1194" s="68">
        <v>1</v>
      </c>
      <c r="E1194" s="67">
        <v>20</v>
      </c>
    </row>
    <row r="1195" spans="1:8" ht="15">
      <c r="A1195" s="6" t="s">
        <v>626</v>
      </c>
      <c r="B1195" s="24"/>
      <c r="C1195" s="26"/>
      <c r="D1195" s="36">
        <v>1</v>
      </c>
      <c r="E1195" s="8"/>
    </row>
    <row r="1198" spans="1:8" ht="15.75">
      <c r="A1198" s="99" t="s">
        <v>455</v>
      </c>
      <c r="B1198" s="90" t="s">
        <v>389</v>
      </c>
      <c r="C1198" s="90" t="s">
        <v>457</v>
      </c>
      <c r="D1198" s="100" t="s">
        <v>181</v>
      </c>
      <c r="E1198" s="101" t="s">
        <v>595</v>
      </c>
    </row>
    <row r="1199" spans="1:8" ht="15">
      <c r="A1199" s="24">
        <v>3709</v>
      </c>
      <c r="B1199" s="26">
        <v>25</v>
      </c>
      <c r="C1199" s="24" t="s">
        <v>304</v>
      </c>
      <c r="D1199" s="67">
        <v>60</v>
      </c>
      <c r="E1199" s="25">
        <v>0.8</v>
      </c>
    </row>
    <row r="1200" spans="1:8" ht="14.25">
      <c r="A1200" s="55"/>
      <c r="B1200" s="74"/>
      <c r="C1200" s="55" t="s">
        <v>31</v>
      </c>
      <c r="D1200" s="35"/>
      <c r="E1200" s="40">
        <v>12</v>
      </c>
    </row>
    <row r="1202" spans="1:5" ht="15.75">
      <c r="A1202" s="99" t="s">
        <v>455</v>
      </c>
      <c r="B1202" s="90" t="s">
        <v>389</v>
      </c>
      <c r="C1202" s="90" t="s">
        <v>457</v>
      </c>
      <c r="D1202" s="100" t="s">
        <v>181</v>
      </c>
      <c r="E1202" s="101" t="s">
        <v>595</v>
      </c>
    </row>
    <row r="1203" spans="1:5" ht="15">
      <c r="A1203" s="24">
        <v>3741</v>
      </c>
      <c r="B1203" s="26">
        <v>12</v>
      </c>
      <c r="C1203" s="24" t="s">
        <v>633</v>
      </c>
      <c r="D1203" s="67">
        <v>180</v>
      </c>
      <c r="E1203" s="25">
        <v>0.57999999999999996</v>
      </c>
    </row>
    <row r="1204" spans="1:5" ht="15">
      <c r="A1204" s="24">
        <v>3741</v>
      </c>
      <c r="B1204" s="26">
        <v>12</v>
      </c>
      <c r="C1204" s="24" t="s">
        <v>634</v>
      </c>
      <c r="D1204" s="67">
        <v>140</v>
      </c>
      <c r="E1204" s="25">
        <v>0.57999999999999996</v>
      </c>
    </row>
    <row r="1205" spans="1:5" ht="15">
      <c r="A1205" s="24">
        <v>3741</v>
      </c>
      <c r="B1205" s="26">
        <v>12</v>
      </c>
      <c r="C1205" s="24" t="s">
        <v>635</v>
      </c>
      <c r="D1205" s="67">
        <v>60</v>
      </c>
      <c r="E1205" s="25">
        <v>0.57999999999999996</v>
      </c>
    </row>
    <row r="1206" spans="1:5" ht="14.25">
      <c r="A1206" s="55"/>
      <c r="B1206" s="74"/>
      <c r="C1206" s="55" t="s">
        <v>31</v>
      </c>
      <c r="D1206" s="35"/>
      <c r="E1206" s="40">
        <v>12</v>
      </c>
    </row>
    <row r="1209" spans="1:5" ht="15.75">
      <c r="A1209" s="99" t="s">
        <v>455</v>
      </c>
      <c r="B1209" s="90" t="s">
        <v>389</v>
      </c>
      <c r="C1209" s="90" t="s">
        <v>457</v>
      </c>
      <c r="D1209" s="101" t="s">
        <v>636</v>
      </c>
    </row>
    <row r="1210" spans="1:5" ht="15">
      <c r="A1210" s="24" t="s">
        <v>536</v>
      </c>
      <c r="B1210" s="150">
        <v>160</v>
      </c>
      <c r="C1210" s="24" t="s">
        <v>597</v>
      </c>
      <c r="D1210" s="46" t="e">
        <f>#REF!*#REF!</f>
        <v>#REF!</v>
      </c>
    </row>
    <row r="1211" spans="1:5" ht="15">
      <c r="A1211" s="24"/>
      <c r="B1211" s="138"/>
      <c r="C1211" s="24" t="s">
        <v>75</v>
      </c>
      <c r="D1211" s="46">
        <v>12</v>
      </c>
    </row>
    <row r="1212" spans="1:5" ht="15">
      <c r="A1212" s="56"/>
      <c r="B1212" s="138"/>
      <c r="C1212" s="24" t="s">
        <v>31</v>
      </c>
      <c r="D1212" s="46">
        <v>20</v>
      </c>
    </row>
    <row r="1213" spans="1:5" ht="15.75">
      <c r="A1213" s="56"/>
      <c r="B1213" s="138"/>
      <c r="C1213" s="90" t="s">
        <v>375</v>
      </c>
      <c r="D1213" s="163" t="e">
        <f>SUM(D1210:D1212)</f>
        <v>#REF!</v>
      </c>
    </row>
    <row r="1215" spans="1:5" ht="15.75">
      <c r="A1215" s="99" t="s">
        <v>455</v>
      </c>
      <c r="B1215" s="90" t="s">
        <v>389</v>
      </c>
      <c r="C1215" s="90" t="s">
        <v>457</v>
      </c>
      <c r="D1215" s="100" t="s">
        <v>181</v>
      </c>
      <c r="E1215" s="101" t="s">
        <v>595</v>
      </c>
    </row>
    <row r="1216" spans="1:5" ht="15">
      <c r="A1216" s="24">
        <v>5603</v>
      </c>
      <c r="B1216" s="44"/>
      <c r="C1216" s="44" t="s">
        <v>499</v>
      </c>
      <c r="D1216" s="8">
        <v>50</v>
      </c>
      <c r="E1216" s="46">
        <v>0.26</v>
      </c>
    </row>
    <row r="1217" spans="1:5" ht="15">
      <c r="A1217" s="24">
        <v>5291</v>
      </c>
      <c r="B1217" s="44">
        <v>6</v>
      </c>
      <c r="C1217" s="44" t="s">
        <v>499</v>
      </c>
      <c r="D1217" s="8">
        <v>50</v>
      </c>
      <c r="E1217" s="46">
        <v>0.2</v>
      </c>
    </row>
    <row r="1218" spans="1:5" ht="15">
      <c r="A1218" s="24" t="s">
        <v>637</v>
      </c>
      <c r="B1218" s="44"/>
      <c r="C1218" s="44" t="s">
        <v>353</v>
      </c>
      <c r="D1218" s="8">
        <v>50</v>
      </c>
      <c r="E1218" s="46">
        <v>0.18</v>
      </c>
    </row>
    <row r="1219" spans="1:5" ht="15">
      <c r="A1219" s="24"/>
      <c r="B1219" s="138"/>
      <c r="C1219" s="24" t="s">
        <v>31</v>
      </c>
      <c r="D1219" s="8"/>
      <c r="E1219" s="46">
        <v>24</v>
      </c>
    </row>
    <row r="1222" spans="1:5" ht="15.75">
      <c r="A1222" s="99" t="s">
        <v>455</v>
      </c>
      <c r="B1222" s="90" t="s">
        <v>389</v>
      </c>
      <c r="C1222" s="90" t="s">
        <v>457</v>
      </c>
      <c r="D1222" s="100" t="s">
        <v>181</v>
      </c>
      <c r="E1222" s="101" t="s">
        <v>595</v>
      </c>
    </row>
    <row r="1223" spans="1:5" ht="15">
      <c r="A1223" s="95">
        <v>5356</v>
      </c>
      <c r="B1223" s="26">
        <v>3</v>
      </c>
      <c r="C1223" s="24" t="s">
        <v>638</v>
      </c>
      <c r="D1223" s="67">
        <v>240</v>
      </c>
      <c r="E1223" s="46">
        <v>0.44</v>
      </c>
    </row>
    <row r="1224" spans="1:5" ht="15">
      <c r="A1224" s="56"/>
      <c r="B1224" s="138"/>
      <c r="C1224" s="24" t="s">
        <v>481</v>
      </c>
      <c r="D1224" s="8"/>
      <c r="E1224" s="46">
        <v>12</v>
      </c>
    </row>
    <row r="1226" spans="1:5" ht="15.75">
      <c r="A1226" s="99" t="s">
        <v>455</v>
      </c>
      <c r="B1226" s="90" t="s">
        <v>457</v>
      </c>
      <c r="C1226" s="100" t="s">
        <v>2</v>
      </c>
      <c r="D1226" s="101" t="s">
        <v>595</v>
      </c>
    </row>
    <row r="1227" spans="1:5" ht="15">
      <c r="A1227" s="24" t="s">
        <v>238</v>
      </c>
      <c r="B1227" s="24" t="s">
        <v>78</v>
      </c>
      <c r="C1227" s="54">
        <v>13.7</v>
      </c>
      <c r="D1227" s="25">
        <v>2.19</v>
      </c>
    </row>
    <row r="1228" spans="1:5" ht="15">
      <c r="A1228" s="56"/>
      <c r="B1228" s="24" t="s">
        <v>481</v>
      </c>
      <c r="C1228" s="8"/>
      <c r="D1228" s="46">
        <v>12</v>
      </c>
    </row>
    <row r="1230" spans="1:5" ht="15.75">
      <c r="A1230" s="99" t="s">
        <v>455</v>
      </c>
      <c r="B1230" s="90" t="s">
        <v>457</v>
      </c>
      <c r="C1230" s="100" t="s">
        <v>2</v>
      </c>
      <c r="D1230" s="101" t="s">
        <v>595</v>
      </c>
    </row>
    <row r="1231" spans="1:5" ht="15">
      <c r="A1231" s="24" t="s">
        <v>241</v>
      </c>
      <c r="B1231" s="24" t="s">
        <v>78</v>
      </c>
      <c r="C1231" s="54">
        <v>13.7</v>
      </c>
      <c r="D1231" s="25">
        <v>2.37</v>
      </c>
      <c r="E1231" s="25" t="e">
        <f>D1231*#REF!</f>
        <v>#REF!</v>
      </c>
    </row>
    <row r="1232" spans="1:5" ht="15">
      <c r="A1232" s="24" t="s">
        <v>515</v>
      </c>
      <c r="B1232" s="24" t="s">
        <v>639</v>
      </c>
      <c r="C1232" s="54">
        <v>13.7</v>
      </c>
      <c r="D1232" s="25">
        <v>1.62</v>
      </c>
      <c r="E1232" s="25" t="e">
        <f>D1232*#REF!</f>
        <v>#REF!</v>
      </c>
    </row>
    <row r="1233" spans="1:6" ht="15">
      <c r="A1233" s="56"/>
      <c r="B1233" s="24" t="s">
        <v>481</v>
      </c>
      <c r="C1233" s="8" t="s">
        <v>482</v>
      </c>
      <c r="D1233" s="46">
        <v>12</v>
      </c>
      <c r="E1233" s="25">
        <v>12</v>
      </c>
    </row>
    <row r="1236" spans="1:6" ht="15.75">
      <c r="A1236" s="99" t="s">
        <v>455</v>
      </c>
      <c r="B1236" s="90" t="s">
        <v>457</v>
      </c>
      <c r="C1236" s="100" t="s">
        <v>2</v>
      </c>
      <c r="D1236" s="119" t="s">
        <v>640</v>
      </c>
    </row>
    <row r="1237" spans="1:6" ht="15">
      <c r="A1237" s="24" t="s">
        <v>241</v>
      </c>
      <c r="B1237" s="24" t="s">
        <v>78</v>
      </c>
      <c r="C1237" s="54">
        <v>13.7</v>
      </c>
      <c r="D1237" s="121" t="s">
        <v>641</v>
      </c>
      <c r="E1237" s="200"/>
    </row>
    <row r="1238" spans="1:6" ht="15">
      <c r="A1238" s="24" t="s">
        <v>515</v>
      </c>
      <c r="B1238" s="24" t="s">
        <v>639</v>
      </c>
      <c r="C1238" s="54">
        <v>13.7</v>
      </c>
      <c r="D1238" s="121" t="s">
        <v>642</v>
      </c>
      <c r="E1238" s="200"/>
    </row>
    <row r="1240" spans="1:6" ht="15.75">
      <c r="A1240" s="99" t="s">
        <v>455</v>
      </c>
      <c r="B1240" s="90" t="s">
        <v>389</v>
      </c>
      <c r="C1240" s="90" t="s">
        <v>457</v>
      </c>
      <c r="D1240" s="100" t="s">
        <v>181</v>
      </c>
      <c r="E1240" s="101" t="s">
        <v>595</v>
      </c>
    </row>
    <row r="1241" spans="1:6" ht="15">
      <c r="A1241" s="24">
        <v>5356</v>
      </c>
      <c r="B1241" s="26">
        <v>4</v>
      </c>
      <c r="C1241" s="24" t="s">
        <v>638</v>
      </c>
      <c r="D1241" s="67">
        <v>120</v>
      </c>
      <c r="E1241" s="46">
        <v>0.72</v>
      </c>
    </row>
    <row r="1242" spans="1:6" ht="15">
      <c r="A1242" s="24"/>
      <c r="B1242" s="138"/>
      <c r="C1242" s="24" t="s">
        <v>481</v>
      </c>
      <c r="D1242" s="8"/>
      <c r="E1242" s="46">
        <v>12</v>
      </c>
    </row>
    <row r="1244" spans="1:6" ht="15.75">
      <c r="A1244" s="99" t="s">
        <v>105</v>
      </c>
      <c r="B1244" s="99" t="s">
        <v>455</v>
      </c>
      <c r="C1244" s="90" t="s">
        <v>389</v>
      </c>
      <c r="D1244" s="100" t="s">
        <v>182</v>
      </c>
      <c r="E1244" s="100" t="s">
        <v>181</v>
      </c>
      <c r="F1244" s="101" t="s">
        <v>287</v>
      </c>
    </row>
    <row r="1245" spans="1:6" ht="15">
      <c r="A1245" s="33" t="s">
        <v>645</v>
      </c>
      <c r="B1245" s="95">
        <v>5356</v>
      </c>
      <c r="C1245" s="26">
        <v>3</v>
      </c>
      <c r="D1245" s="68">
        <v>6</v>
      </c>
      <c r="E1245" s="67">
        <v>180</v>
      </c>
      <c r="F1245" s="2849" t="s">
        <v>646</v>
      </c>
    </row>
    <row r="1246" spans="1:6" ht="15">
      <c r="A1246" s="33" t="s">
        <v>645</v>
      </c>
      <c r="B1246" s="95">
        <v>5356</v>
      </c>
      <c r="C1246" s="26">
        <v>4</v>
      </c>
      <c r="D1246" s="68">
        <v>4</v>
      </c>
      <c r="E1246" s="67">
        <v>120</v>
      </c>
      <c r="F1246" s="2849"/>
    </row>
    <row r="1247" spans="1:6" ht="15">
      <c r="A1247" s="33" t="s">
        <v>645</v>
      </c>
      <c r="B1247" s="24"/>
      <c r="C1247" s="138"/>
      <c r="D1247" s="41"/>
      <c r="E1247" s="8"/>
      <c r="F1247" s="2849"/>
    </row>
    <row r="1250" spans="1:6" ht="15.75">
      <c r="A1250" s="99" t="s">
        <v>455</v>
      </c>
      <c r="B1250" s="90" t="s">
        <v>389</v>
      </c>
      <c r="C1250" s="90" t="s">
        <v>457</v>
      </c>
      <c r="D1250" s="100" t="s">
        <v>181</v>
      </c>
      <c r="E1250" s="101" t="s">
        <v>595</v>
      </c>
    </row>
    <row r="1251" spans="1:6" ht="15">
      <c r="A1251" s="24">
        <v>5356</v>
      </c>
      <c r="B1251" s="26">
        <v>3</v>
      </c>
      <c r="C1251" s="24" t="s">
        <v>638</v>
      </c>
      <c r="D1251" s="67">
        <v>240</v>
      </c>
      <c r="E1251" s="46">
        <v>0.44</v>
      </c>
    </row>
    <row r="1252" spans="1:6" ht="15">
      <c r="A1252" s="56"/>
      <c r="B1252" s="138"/>
      <c r="C1252" s="24" t="s">
        <v>481</v>
      </c>
      <c r="D1252" s="8"/>
      <c r="E1252" s="46">
        <v>12</v>
      </c>
    </row>
    <row r="1256" spans="1:6" ht="15.75">
      <c r="A1256" s="99" t="s">
        <v>105</v>
      </c>
      <c r="B1256" s="99" t="s">
        <v>455</v>
      </c>
      <c r="C1256" s="90" t="s">
        <v>389</v>
      </c>
      <c r="D1256" s="100" t="s">
        <v>182</v>
      </c>
      <c r="E1256" s="100" t="s">
        <v>181</v>
      </c>
      <c r="F1256" s="101" t="s">
        <v>287</v>
      </c>
    </row>
    <row r="1257" spans="1:6" ht="15">
      <c r="A1257" s="33" t="s">
        <v>643</v>
      </c>
      <c r="B1257" s="24">
        <v>5356</v>
      </c>
      <c r="C1257" s="26">
        <v>4</v>
      </c>
      <c r="D1257" s="68">
        <v>4</v>
      </c>
      <c r="E1257" s="67">
        <v>120</v>
      </c>
      <c r="F1257" s="2850" t="s">
        <v>647</v>
      </c>
    </row>
    <row r="1258" spans="1:6" ht="15">
      <c r="A1258" s="33" t="s">
        <v>643</v>
      </c>
      <c r="B1258" s="24"/>
      <c r="C1258" s="138"/>
      <c r="D1258" s="41"/>
      <c r="E1258" s="8"/>
      <c r="F1258" s="2850"/>
    </row>
    <row r="1260" spans="1:6" ht="15.75">
      <c r="A1260" s="99" t="s">
        <v>105</v>
      </c>
      <c r="B1260" s="99" t="s">
        <v>455</v>
      </c>
      <c r="C1260" s="90" t="s">
        <v>457</v>
      </c>
      <c r="D1260" s="100" t="s">
        <v>181</v>
      </c>
      <c r="E1260" s="101" t="s">
        <v>595</v>
      </c>
    </row>
    <row r="1261" spans="1:6" ht="15">
      <c r="A1261" s="6" t="s">
        <v>644</v>
      </c>
      <c r="B1261" s="24" t="s">
        <v>484</v>
      </c>
      <c r="C1261" s="24" t="s">
        <v>483</v>
      </c>
      <c r="D1261" s="8">
        <v>1500</v>
      </c>
      <c r="E1261" s="46">
        <v>0.21</v>
      </c>
    </row>
    <row r="1262" spans="1:6" ht="15">
      <c r="A1262" s="6" t="s">
        <v>644</v>
      </c>
      <c r="B1262" s="24"/>
      <c r="C1262" s="24" t="s">
        <v>481</v>
      </c>
      <c r="D1262" s="8"/>
      <c r="E1262" s="46">
        <v>12</v>
      </c>
    </row>
    <row r="1266" spans="1:5" ht="15.75">
      <c r="A1266" s="99" t="s">
        <v>455</v>
      </c>
      <c r="B1266" s="90" t="s">
        <v>457</v>
      </c>
      <c r="C1266" s="100" t="s">
        <v>2</v>
      </c>
      <c r="D1266" s="101" t="s">
        <v>595</v>
      </c>
    </row>
    <row r="1267" spans="1:5" ht="15">
      <c r="A1267" s="24">
        <v>5612</v>
      </c>
      <c r="B1267" s="24" t="s">
        <v>649</v>
      </c>
      <c r="C1267" s="67">
        <v>50</v>
      </c>
      <c r="D1267" s="46">
        <v>0.44</v>
      </c>
    </row>
    <row r="1268" spans="1:5" ht="15">
      <c r="A1268" s="24"/>
      <c r="B1268" s="24" t="s">
        <v>481</v>
      </c>
      <c r="C1268" s="8"/>
      <c r="D1268" s="46">
        <v>12</v>
      </c>
    </row>
    <row r="1271" spans="1:5" ht="15">
      <c r="A1271" s="20" t="s">
        <v>654</v>
      </c>
      <c r="B1271" s="150"/>
      <c r="C1271" s="24"/>
      <c r="D1271" s="152"/>
      <c r="E1271" s="153" t="s">
        <v>10</v>
      </c>
    </row>
    <row r="1272" spans="1:5" ht="15">
      <c r="A1272" s="95" t="s">
        <v>651</v>
      </c>
      <c r="B1272" s="202" t="s">
        <v>652</v>
      </c>
      <c r="C1272" s="24" t="s">
        <v>653</v>
      </c>
      <c r="D1272" s="151">
        <v>8.4</v>
      </c>
      <c r="E1272" s="46">
        <v>14.5</v>
      </c>
    </row>
    <row r="1273" spans="1:5" ht="15">
      <c r="A1273" s="20" t="s">
        <v>650</v>
      </c>
      <c r="B1273" s="150"/>
      <c r="C1273" s="24"/>
      <c r="D1273" s="152"/>
      <c r="E1273" s="153" t="s">
        <v>10</v>
      </c>
    </row>
    <row r="1274" spans="1:5" ht="15">
      <c r="A1274" s="95" t="s">
        <v>655</v>
      </c>
      <c r="B1274" s="202" t="s">
        <v>656</v>
      </c>
      <c r="C1274" s="24" t="s">
        <v>653</v>
      </c>
      <c r="D1274" s="151">
        <v>2.6</v>
      </c>
      <c r="E1274" s="46">
        <v>15</v>
      </c>
    </row>
    <row r="1275" spans="1:5" ht="15">
      <c r="A1275" s="24"/>
      <c r="B1275" s="138"/>
      <c r="C1275" s="24" t="s">
        <v>481</v>
      </c>
      <c r="D1275" s="41"/>
      <c r="E1275" s="46">
        <v>12</v>
      </c>
    </row>
    <row r="1277" spans="1:5" ht="15.75">
      <c r="A1277" s="99" t="s">
        <v>455</v>
      </c>
      <c r="B1277" s="90" t="s">
        <v>389</v>
      </c>
      <c r="C1277" s="90" t="s">
        <v>457</v>
      </c>
    </row>
    <row r="1278" spans="1:5" ht="15">
      <c r="A1278" s="24" t="s">
        <v>655</v>
      </c>
      <c r="B1278" s="202" t="s">
        <v>656</v>
      </c>
      <c r="C1278" s="24" t="s">
        <v>653</v>
      </c>
    </row>
    <row r="1279" spans="1:5" ht="15">
      <c r="A1279" s="24" t="s">
        <v>651</v>
      </c>
      <c r="B1279" s="202" t="s">
        <v>652</v>
      </c>
      <c r="C1279" s="24" t="s">
        <v>653</v>
      </c>
    </row>
    <row r="1280" spans="1:5" ht="15">
      <c r="A1280" s="24"/>
      <c r="B1280" s="138"/>
      <c r="C1280" s="157" t="s">
        <v>657</v>
      </c>
    </row>
    <row r="1283" spans="1:3" ht="15.75">
      <c r="A1283" s="99" t="s">
        <v>455</v>
      </c>
      <c r="B1283" s="90" t="s">
        <v>389</v>
      </c>
      <c r="C1283" s="90" t="s">
        <v>457</v>
      </c>
    </row>
    <row r="1284" spans="1:3" ht="15">
      <c r="A1284" s="24" t="s">
        <v>655</v>
      </c>
      <c r="B1284" s="202" t="s">
        <v>656</v>
      </c>
      <c r="C1284" s="24" t="s">
        <v>653</v>
      </c>
    </row>
    <row r="1285" spans="1:3" ht="15">
      <c r="A1285" s="24" t="s">
        <v>651</v>
      </c>
      <c r="B1285" s="202" t="s">
        <v>652</v>
      </c>
      <c r="C1285" s="24" t="s">
        <v>653</v>
      </c>
    </row>
    <row r="1286" spans="1:3" ht="15">
      <c r="A1286" s="24"/>
      <c r="B1286" s="138"/>
      <c r="C1286" s="24" t="s">
        <v>481</v>
      </c>
    </row>
    <row r="1290" spans="1:3" ht="15.75">
      <c r="A1290" s="99" t="s">
        <v>455</v>
      </c>
      <c r="B1290" s="90" t="s">
        <v>389</v>
      </c>
      <c r="C1290" s="90" t="s">
        <v>457</v>
      </c>
    </row>
    <row r="1291" spans="1:3" ht="15">
      <c r="A1291" s="24" t="s">
        <v>655</v>
      </c>
      <c r="B1291" s="202" t="s">
        <v>656</v>
      </c>
      <c r="C1291" s="24" t="s">
        <v>653</v>
      </c>
    </row>
    <row r="1292" spans="1:3" ht="15">
      <c r="A1292" s="95"/>
      <c r="B1292" s="202"/>
      <c r="C1292" s="24" t="s">
        <v>75</v>
      </c>
    </row>
    <row r="1293" spans="1:3" ht="15">
      <c r="A1293" s="24"/>
      <c r="B1293" s="138"/>
      <c r="C1293" s="24" t="s">
        <v>481</v>
      </c>
    </row>
    <row r="1295" spans="1:3" ht="15.75">
      <c r="A1295" s="99" t="s">
        <v>455</v>
      </c>
      <c r="B1295" s="90" t="s">
        <v>389</v>
      </c>
      <c r="C1295" s="90" t="s">
        <v>457</v>
      </c>
    </row>
    <row r="1296" spans="1:3" ht="15">
      <c r="A1296" s="24" t="s">
        <v>655</v>
      </c>
      <c r="B1296" s="202" t="s">
        <v>656</v>
      </c>
      <c r="C1296" s="24" t="s">
        <v>653</v>
      </c>
    </row>
    <row r="1297" spans="1:12" ht="15">
      <c r="A1297" s="24"/>
      <c r="B1297" s="138"/>
      <c r="C1297" s="157" t="s">
        <v>658</v>
      </c>
    </row>
    <row r="1300" spans="1:12" ht="15.75">
      <c r="A1300" s="99" t="s">
        <v>455</v>
      </c>
      <c r="B1300" s="90" t="s">
        <v>389</v>
      </c>
      <c r="C1300" s="90" t="s">
        <v>457</v>
      </c>
      <c r="D1300" s="100" t="s">
        <v>181</v>
      </c>
      <c r="E1300" s="101" t="s">
        <v>595</v>
      </c>
    </row>
    <row r="1301" spans="1:12" ht="15">
      <c r="A1301" s="24">
        <v>5356</v>
      </c>
      <c r="B1301" s="26">
        <v>4</v>
      </c>
      <c r="C1301" s="24" t="s">
        <v>638</v>
      </c>
      <c r="D1301" s="67">
        <v>120</v>
      </c>
      <c r="E1301" s="46">
        <v>0.72</v>
      </c>
    </row>
    <row r="1302" spans="1:12" ht="15">
      <c r="A1302" s="24"/>
      <c r="B1302" s="138"/>
      <c r="C1302" s="24" t="s">
        <v>481</v>
      </c>
      <c r="D1302" s="8"/>
      <c r="E1302" s="46">
        <v>12</v>
      </c>
    </row>
    <row r="1305" spans="1:12" ht="15.75">
      <c r="A1305" s="99" t="s">
        <v>455</v>
      </c>
      <c r="B1305" s="90" t="s">
        <v>457</v>
      </c>
      <c r="C1305" s="100" t="s">
        <v>2</v>
      </c>
      <c r="D1305" s="119" t="s">
        <v>640</v>
      </c>
      <c r="E1305" s="23"/>
      <c r="F1305" s="7"/>
      <c r="G1305" s="6"/>
      <c r="H1305" s="6"/>
      <c r="I1305" s="112"/>
      <c r="J1305" s="23"/>
      <c r="K1305" s="7"/>
      <c r="L1305" s="7"/>
    </row>
    <row r="1306" spans="1:12" ht="15">
      <c r="A1306" s="24" t="s">
        <v>239</v>
      </c>
      <c r="B1306" s="205" t="s">
        <v>702</v>
      </c>
      <c r="C1306" s="151">
        <v>13.7</v>
      </c>
      <c r="D1306" s="207" t="s">
        <v>694</v>
      </c>
      <c r="E1306" s="15">
        <v>169</v>
      </c>
      <c r="F1306" s="12" t="s">
        <v>124</v>
      </c>
      <c r="G1306" s="6"/>
      <c r="H1306" s="6"/>
      <c r="I1306" s="46">
        <v>2.2599999999999998</v>
      </c>
      <c r="J1306" s="15">
        <v>169</v>
      </c>
      <c r="K1306" s="7">
        <v>139</v>
      </c>
      <c r="L1306" s="12" t="s">
        <v>124</v>
      </c>
    </row>
    <row r="1307" spans="1:12" ht="15">
      <c r="A1307" s="24" t="s">
        <v>239</v>
      </c>
      <c r="B1307" s="44" t="s">
        <v>660</v>
      </c>
      <c r="C1307" s="151">
        <v>13.7</v>
      </c>
      <c r="D1307" s="207" t="s">
        <v>694</v>
      </c>
      <c r="E1307" s="15">
        <v>169</v>
      </c>
      <c r="F1307" s="12" t="s">
        <v>124</v>
      </c>
      <c r="G1307" s="6"/>
      <c r="H1307" s="6"/>
      <c r="I1307" s="46">
        <v>2.2599999999999998</v>
      </c>
      <c r="J1307" s="15">
        <v>169</v>
      </c>
      <c r="K1307" s="7">
        <v>139</v>
      </c>
      <c r="L1307" s="12" t="s">
        <v>124</v>
      </c>
    </row>
    <row r="1308" spans="1:12" ht="15">
      <c r="A1308" s="24" t="s">
        <v>239</v>
      </c>
      <c r="B1308" s="44" t="s">
        <v>661</v>
      </c>
      <c r="C1308" s="151">
        <v>13.7</v>
      </c>
      <c r="D1308" s="207" t="s">
        <v>694</v>
      </c>
      <c r="E1308" s="15">
        <v>169</v>
      </c>
      <c r="F1308" s="12" t="s">
        <v>124</v>
      </c>
      <c r="G1308" s="6"/>
      <c r="H1308" s="6"/>
      <c r="I1308" s="46">
        <v>2.2599999999999998</v>
      </c>
      <c r="J1308" s="15">
        <v>169</v>
      </c>
      <c r="K1308" s="7">
        <v>139</v>
      </c>
      <c r="L1308" s="12" t="s">
        <v>124</v>
      </c>
    </row>
    <row r="1309" spans="1:12" ht="15">
      <c r="A1309" s="24" t="s">
        <v>239</v>
      </c>
      <c r="B1309" s="44" t="s">
        <v>662</v>
      </c>
      <c r="C1309" s="151">
        <v>13.7</v>
      </c>
      <c r="D1309" s="207" t="s">
        <v>694</v>
      </c>
      <c r="E1309" s="15">
        <v>169</v>
      </c>
      <c r="F1309" s="12" t="s">
        <v>124</v>
      </c>
      <c r="G1309" s="6"/>
      <c r="H1309" s="6"/>
      <c r="I1309" s="46">
        <v>2.2599999999999998</v>
      </c>
      <c r="J1309" s="15">
        <v>169</v>
      </c>
      <c r="K1309" s="7">
        <v>139</v>
      </c>
      <c r="L1309" s="12" t="s">
        <v>124</v>
      </c>
    </row>
    <row r="1310" spans="1:12" ht="15">
      <c r="A1310" s="24" t="s">
        <v>239</v>
      </c>
      <c r="B1310" s="44" t="s">
        <v>663</v>
      </c>
      <c r="C1310" s="151">
        <v>13.7</v>
      </c>
      <c r="D1310" s="207" t="s">
        <v>694</v>
      </c>
      <c r="E1310" s="15">
        <v>169</v>
      </c>
      <c r="F1310" s="12" t="s">
        <v>124</v>
      </c>
      <c r="G1310" s="6"/>
      <c r="H1310" s="6"/>
      <c r="I1310" s="46">
        <v>2.2599999999999998</v>
      </c>
      <c r="J1310" s="15">
        <v>169</v>
      </c>
      <c r="K1310" s="7">
        <v>139</v>
      </c>
      <c r="L1310" s="12" t="s">
        <v>124</v>
      </c>
    </row>
    <row r="1311" spans="1:12" ht="15">
      <c r="A1311" s="24" t="s">
        <v>239</v>
      </c>
      <c r="B1311" s="44" t="s">
        <v>664</v>
      </c>
      <c r="C1311" s="151">
        <v>13.7</v>
      </c>
      <c r="D1311" s="207" t="s">
        <v>694</v>
      </c>
      <c r="E1311" s="15">
        <v>169</v>
      </c>
      <c r="F1311" s="12" t="s">
        <v>124</v>
      </c>
      <c r="G1311" s="6"/>
      <c r="H1311" s="6"/>
      <c r="I1311" s="46">
        <v>2.2599999999999998</v>
      </c>
      <c r="J1311" s="15">
        <v>169</v>
      </c>
      <c r="K1311" s="7">
        <v>139</v>
      </c>
      <c r="L1311" s="12" t="s">
        <v>124</v>
      </c>
    </row>
    <row r="1312" spans="1:12" ht="15">
      <c r="A1312" s="24" t="s">
        <v>239</v>
      </c>
      <c r="B1312" s="44" t="s">
        <v>547</v>
      </c>
      <c r="C1312" s="151">
        <v>13.7</v>
      </c>
      <c r="D1312" s="207" t="s">
        <v>694</v>
      </c>
      <c r="E1312" s="15">
        <v>169</v>
      </c>
      <c r="F1312" s="12" t="s">
        <v>124</v>
      </c>
      <c r="G1312" s="6"/>
      <c r="H1312" s="6"/>
      <c r="I1312" s="46">
        <v>2.2599999999999998</v>
      </c>
      <c r="J1312" s="15">
        <v>169</v>
      </c>
      <c r="K1312" s="7">
        <v>139</v>
      </c>
      <c r="L1312" s="12" t="s">
        <v>124</v>
      </c>
    </row>
    <row r="1313" spans="1:12" ht="15">
      <c r="A1313" s="24" t="s">
        <v>239</v>
      </c>
      <c r="B1313" s="44" t="s">
        <v>543</v>
      </c>
      <c r="C1313" s="151">
        <v>13.7</v>
      </c>
      <c r="D1313" s="207" t="s">
        <v>694</v>
      </c>
      <c r="E1313" s="15">
        <v>169</v>
      </c>
      <c r="F1313" s="12" t="s">
        <v>124</v>
      </c>
      <c r="G1313" s="6"/>
      <c r="H1313" s="6"/>
      <c r="I1313" s="46">
        <v>2.2599999999999998</v>
      </c>
      <c r="J1313" s="15">
        <v>169</v>
      </c>
      <c r="K1313" s="7">
        <v>139</v>
      </c>
      <c r="L1313" s="12" t="s">
        <v>124</v>
      </c>
    </row>
    <row r="1314" spans="1:12" ht="15">
      <c r="A1314" s="24"/>
      <c r="B1314" s="185" t="s">
        <v>665</v>
      </c>
      <c r="C1314" s="206" t="s">
        <v>666</v>
      </c>
      <c r="D1314" s="207" t="s">
        <v>695</v>
      </c>
      <c r="E1314" s="46"/>
      <c r="F1314" s="7"/>
      <c r="G1314" s="6"/>
      <c r="H1314" s="6"/>
      <c r="I1314" s="46">
        <v>90</v>
      </c>
      <c r="J1314" s="46"/>
      <c r="K1314" s="7">
        <v>8000</v>
      </c>
      <c r="L1314" s="7"/>
    </row>
    <row r="1315" spans="1:12" ht="15">
      <c r="A1315" s="24" t="s">
        <v>578</v>
      </c>
      <c r="B1315" s="44" t="s">
        <v>661</v>
      </c>
      <c r="C1315" s="151">
        <v>13.7</v>
      </c>
      <c r="D1315" s="207" t="s">
        <v>696</v>
      </c>
      <c r="E1315" s="94" t="s">
        <v>579</v>
      </c>
      <c r="F1315" s="12" t="s">
        <v>124</v>
      </c>
      <c r="G1315" s="6"/>
      <c r="H1315" s="6"/>
      <c r="I1315" s="46">
        <v>1.94</v>
      </c>
      <c r="J1315" s="94" t="s">
        <v>579</v>
      </c>
      <c r="K1315" s="7">
        <v>108</v>
      </c>
      <c r="L1315" s="12" t="s">
        <v>124</v>
      </c>
    </row>
    <row r="1316" spans="1:12" ht="15">
      <c r="A1316" s="24" t="s">
        <v>578</v>
      </c>
      <c r="B1316" s="44" t="s">
        <v>547</v>
      </c>
      <c r="C1316" s="151">
        <v>13.7</v>
      </c>
      <c r="D1316" s="207" t="s">
        <v>696</v>
      </c>
      <c r="E1316" s="94" t="s">
        <v>579</v>
      </c>
      <c r="F1316" s="12" t="s">
        <v>124</v>
      </c>
      <c r="G1316" s="6"/>
      <c r="H1316" s="6"/>
      <c r="I1316" s="46">
        <v>1.94</v>
      </c>
      <c r="J1316" s="94" t="s">
        <v>579</v>
      </c>
      <c r="K1316" s="7">
        <v>108</v>
      </c>
      <c r="L1316" s="12" t="s">
        <v>124</v>
      </c>
    </row>
    <row r="1317" spans="1:12" ht="15">
      <c r="A1317" s="24" t="s">
        <v>578</v>
      </c>
      <c r="B1317" s="44" t="s">
        <v>664</v>
      </c>
      <c r="C1317" s="151">
        <v>13.7</v>
      </c>
      <c r="D1317" s="207" t="s">
        <v>696</v>
      </c>
      <c r="E1317" s="94" t="s">
        <v>579</v>
      </c>
      <c r="F1317" s="12" t="s">
        <v>124</v>
      </c>
      <c r="G1317" s="6"/>
      <c r="H1317" s="6"/>
      <c r="I1317" s="46">
        <v>1.94</v>
      </c>
      <c r="J1317" s="94" t="s">
        <v>579</v>
      </c>
      <c r="K1317" s="7">
        <v>108</v>
      </c>
      <c r="L1317" s="12" t="s">
        <v>124</v>
      </c>
    </row>
    <row r="1318" spans="1:12" ht="15">
      <c r="A1318" s="24"/>
      <c r="B1318" s="185" t="s">
        <v>580</v>
      </c>
      <c r="C1318" s="182" t="s">
        <v>208</v>
      </c>
      <c r="D1318" s="207" t="s">
        <v>695</v>
      </c>
      <c r="E1318" s="46"/>
      <c r="F1318" s="7"/>
      <c r="G1318" s="6"/>
      <c r="H1318" s="6"/>
      <c r="I1318" s="46">
        <v>90</v>
      </c>
      <c r="J1318" s="46"/>
      <c r="K1318" s="7">
        <v>8000</v>
      </c>
      <c r="L1318" s="7"/>
    </row>
    <row r="1319" spans="1:12" ht="15">
      <c r="A1319" s="24" t="s">
        <v>516</v>
      </c>
      <c r="B1319" s="44" t="s">
        <v>667</v>
      </c>
      <c r="C1319" s="151">
        <v>13.7</v>
      </c>
      <c r="D1319" s="207" t="s">
        <v>697</v>
      </c>
      <c r="E1319" s="94">
        <v>165</v>
      </c>
      <c r="F1319" s="12" t="s">
        <v>124</v>
      </c>
      <c r="G1319" s="6"/>
      <c r="H1319" s="6"/>
      <c r="I1319" s="46">
        <v>2.2000000000000002</v>
      </c>
      <c r="J1319" s="94">
        <v>165</v>
      </c>
      <c r="K1319" s="7">
        <v>135</v>
      </c>
      <c r="L1319" s="12" t="s">
        <v>124</v>
      </c>
    </row>
    <row r="1320" spans="1:12" ht="15">
      <c r="A1320" s="24" t="s">
        <v>516</v>
      </c>
      <c r="B1320" s="44" t="s">
        <v>668</v>
      </c>
      <c r="C1320" s="151">
        <v>13.7</v>
      </c>
      <c r="D1320" s="207" t="s">
        <v>697</v>
      </c>
      <c r="E1320" s="94">
        <v>165</v>
      </c>
      <c r="F1320" s="12" t="s">
        <v>124</v>
      </c>
      <c r="G1320" s="6"/>
      <c r="H1320" s="6"/>
      <c r="I1320" s="46">
        <v>2.2000000000000002</v>
      </c>
      <c r="J1320" s="94">
        <v>165</v>
      </c>
      <c r="K1320" s="7">
        <v>135</v>
      </c>
      <c r="L1320" s="12" t="s">
        <v>124</v>
      </c>
    </row>
    <row r="1321" spans="1:12" ht="15">
      <c r="A1321" s="24" t="s">
        <v>516</v>
      </c>
      <c r="B1321" s="205" t="s">
        <v>702</v>
      </c>
      <c r="C1321" s="151">
        <v>13.7</v>
      </c>
      <c r="D1321" s="207" t="s">
        <v>697</v>
      </c>
      <c r="E1321" s="94">
        <v>165</v>
      </c>
      <c r="F1321" s="12" t="s">
        <v>124</v>
      </c>
      <c r="G1321" s="6"/>
      <c r="H1321" s="6"/>
      <c r="I1321" s="46">
        <v>2.2000000000000002</v>
      </c>
      <c r="J1321" s="94">
        <v>165</v>
      </c>
      <c r="K1321" s="7">
        <v>135</v>
      </c>
      <c r="L1321" s="12" t="s">
        <v>124</v>
      </c>
    </row>
    <row r="1322" spans="1:12" ht="15">
      <c r="A1322" s="24" t="s">
        <v>516</v>
      </c>
      <c r="B1322" s="44" t="s">
        <v>669</v>
      </c>
      <c r="C1322" s="151">
        <v>13.7</v>
      </c>
      <c r="D1322" s="207" t="s">
        <v>697</v>
      </c>
      <c r="E1322" s="94">
        <v>165</v>
      </c>
      <c r="F1322" s="12" t="s">
        <v>124</v>
      </c>
      <c r="G1322" s="6"/>
      <c r="H1322" s="6"/>
      <c r="I1322" s="46">
        <v>2.2000000000000002</v>
      </c>
      <c r="J1322" s="94">
        <v>165</v>
      </c>
      <c r="K1322" s="7">
        <v>135</v>
      </c>
      <c r="L1322" s="12" t="s">
        <v>124</v>
      </c>
    </row>
    <row r="1323" spans="1:12" ht="15">
      <c r="A1323" s="24" t="s">
        <v>516</v>
      </c>
      <c r="B1323" s="44" t="s">
        <v>670</v>
      </c>
      <c r="C1323" s="151">
        <v>13.7</v>
      </c>
      <c r="D1323" s="207" t="s">
        <v>697</v>
      </c>
      <c r="E1323" s="94">
        <v>165</v>
      </c>
      <c r="F1323" s="12" t="s">
        <v>124</v>
      </c>
      <c r="G1323" s="6"/>
      <c r="H1323" s="6"/>
      <c r="I1323" s="46">
        <v>2.2000000000000002</v>
      </c>
      <c r="J1323" s="94">
        <v>165</v>
      </c>
      <c r="K1323" s="7">
        <v>135</v>
      </c>
      <c r="L1323" s="12" t="s">
        <v>124</v>
      </c>
    </row>
    <row r="1324" spans="1:12" ht="15">
      <c r="A1324" s="24" t="s">
        <v>516</v>
      </c>
      <c r="B1324" s="44" t="s">
        <v>671</v>
      </c>
      <c r="C1324" s="151">
        <v>13.7</v>
      </c>
      <c r="D1324" s="207" t="s">
        <v>697</v>
      </c>
      <c r="E1324" s="94">
        <v>165</v>
      </c>
      <c r="F1324" s="12" t="s">
        <v>124</v>
      </c>
      <c r="G1324" s="6"/>
      <c r="H1324" s="6"/>
      <c r="I1324" s="46">
        <v>2.2000000000000002</v>
      </c>
      <c r="J1324" s="94">
        <v>165</v>
      </c>
      <c r="K1324" s="7">
        <v>135</v>
      </c>
      <c r="L1324" s="12" t="s">
        <v>124</v>
      </c>
    </row>
    <row r="1325" spans="1:12" ht="15">
      <c r="A1325" s="24"/>
      <c r="B1325" s="185" t="s">
        <v>672</v>
      </c>
      <c r="C1325" s="206" t="s">
        <v>673</v>
      </c>
      <c r="D1325" s="207" t="s">
        <v>695</v>
      </c>
      <c r="E1325" s="46"/>
      <c r="F1325" s="7"/>
      <c r="G1325" s="6"/>
      <c r="H1325" s="6"/>
      <c r="I1325" s="46">
        <v>90</v>
      </c>
      <c r="J1325" s="46"/>
      <c r="K1325" s="7">
        <v>8000</v>
      </c>
      <c r="L1325" s="7"/>
    </row>
    <row r="1326" spans="1:12" ht="15">
      <c r="A1326" s="24"/>
      <c r="B1326" s="185"/>
      <c r="C1326" s="206"/>
      <c r="D1326" s="207"/>
      <c r="E1326" s="46"/>
      <c r="F1326" s="7"/>
      <c r="G1326" s="6"/>
      <c r="H1326" s="6"/>
      <c r="I1326" s="46"/>
      <c r="J1326" s="46"/>
      <c r="K1326" s="7"/>
      <c r="L1326" s="7"/>
    </row>
    <row r="1327" spans="1:12" ht="15">
      <c r="A1327" s="24"/>
      <c r="B1327" s="185"/>
      <c r="C1327" s="206"/>
      <c r="D1327" s="207"/>
      <c r="E1327" s="46"/>
      <c r="F1327" s="7"/>
      <c r="G1327" s="6"/>
      <c r="H1327" s="6"/>
      <c r="I1327" s="46"/>
      <c r="J1327" s="46"/>
      <c r="K1327" s="7"/>
      <c r="L1327" s="7"/>
    </row>
    <row r="1328" spans="1:12" ht="15">
      <c r="A1328" s="24"/>
      <c r="B1328" s="185"/>
      <c r="C1328" s="206"/>
      <c r="D1328" s="207"/>
      <c r="E1328" s="46"/>
      <c r="F1328" s="7"/>
      <c r="G1328" s="6"/>
      <c r="H1328" s="6"/>
      <c r="I1328" s="46"/>
      <c r="J1328" s="46"/>
      <c r="K1328" s="7"/>
      <c r="L1328" s="7"/>
    </row>
    <row r="1329" spans="1:12" ht="15">
      <c r="A1329" s="24"/>
      <c r="B1329" s="185"/>
      <c r="C1329" s="206"/>
      <c r="D1329" s="207"/>
      <c r="E1329" s="46"/>
      <c r="F1329" s="7"/>
      <c r="G1329" s="6"/>
      <c r="H1329" s="6"/>
      <c r="I1329" s="46"/>
      <c r="J1329" s="46"/>
      <c r="K1329" s="7"/>
      <c r="L1329" s="7"/>
    </row>
    <row r="1330" spans="1:12" ht="15">
      <c r="A1330" s="24"/>
      <c r="B1330" s="185"/>
      <c r="C1330" s="206"/>
      <c r="D1330" s="207"/>
      <c r="E1330" s="46"/>
      <c r="F1330" s="7"/>
      <c r="G1330" s="6"/>
      <c r="H1330" s="6"/>
      <c r="I1330" s="46"/>
      <c r="J1330" s="46"/>
      <c r="K1330" s="7"/>
      <c r="L1330" s="7"/>
    </row>
    <row r="1331" spans="1:12" ht="15">
      <c r="A1331" s="24"/>
      <c r="B1331" s="185"/>
      <c r="C1331" s="206"/>
      <c r="D1331" s="207"/>
      <c r="E1331" s="46"/>
      <c r="F1331" s="7"/>
      <c r="G1331" s="6"/>
      <c r="H1331" s="6"/>
      <c r="I1331" s="46"/>
      <c r="J1331" s="46"/>
      <c r="K1331" s="7"/>
      <c r="L1331" s="7"/>
    </row>
    <row r="1332" spans="1:12" ht="15">
      <c r="A1332" s="24"/>
      <c r="B1332" s="185"/>
      <c r="C1332" s="206"/>
      <c r="D1332" s="207"/>
      <c r="E1332" s="46"/>
      <c r="F1332" s="7"/>
      <c r="G1332" s="6"/>
      <c r="H1332" s="6"/>
      <c r="I1332" s="46"/>
      <c r="J1332" s="46"/>
      <c r="K1332" s="7"/>
      <c r="L1332" s="7"/>
    </row>
    <row r="1333" spans="1:12" ht="15">
      <c r="A1333" s="24"/>
      <c r="B1333" s="185"/>
      <c r="C1333" s="206"/>
      <c r="D1333" s="207"/>
      <c r="E1333" s="46"/>
      <c r="F1333" s="7"/>
      <c r="G1333" s="6"/>
      <c r="H1333" s="6"/>
      <c r="I1333" s="46"/>
      <c r="J1333" s="46"/>
      <c r="K1333" s="7"/>
      <c r="L1333" s="7"/>
    </row>
    <row r="1334" spans="1:12" ht="15">
      <c r="A1334" s="24"/>
      <c r="B1334" s="185"/>
      <c r="C1334" s="206"/>
      <c r="D1334" s="207"/>
      <c r="E1334" s="46"/>
      <c r="F1334" s="7"/>
      <c r="G1334" s="6"/>
      <c r="H1334" s="6"/>
      <c r="I1334" s="46"/>
      <c r="J1334" s="46"/>
      <c r="K1334" s="7"/>
      <c r="L1334" s="7"/>
    </row>
    <row r="1335" spans="1:12" ht="15">
      <c r="A1335" s="24"/>
      <c r="B1335" s="185"/>
      <c r="C1335" s="206"/>
      <c r="D1335" s="207"/>
      <c r="E1335" s="46"/>
      <c r="F1335" s="7"/>
      <c r="G1335" s="6"/>
      <c r="H1335" s="6"/>
      <c r="I1335" s="46"/>
      <c r="J1335" s="46"/>
      <c r="K1335" s="7"/>
      <c r="L1335" s="7"/>
    </row>
    <row r="1336" spans="1:12" ht="15.75">
      <c r="A1336" s="99" t="s">
        <v>455</v>
      </c>
      <c r="B1336" s="90" t="s">
        <v>457</v>
      </c>
      <c r="C1336" s="100" t="s">
        <v>2</v>
      </c>
      <c r="D1336" s="119" t="s">
        <v>640</v>
      </c>
      <c r="E1336" s="23"/>
      <c r="F1336" s="7"/>
      <c r="G1336" s="6"/>
      <c r="H1336" s="6"/>
      <c r="I1336" s="112"/>
      <c r="J1336" s="23"/>
      <c r="K1336" s="7"/>
      <c r="L1336" s="7"/>
    </row>
    <row r="1337" spans="1:12" ht="15">
      <c r="A1337" s="24" t="s">
        <v>674</v>
      </c>
      <c r="B1337" s="44" t="s">
        <v>675</v>
      </c>
      <c r="C1337" s="151">
        <v>25</v>
      </c>
      <c r="D1337" s="207" t="s">
        <v>698</v>
      </c>
      <c r="E1337" s="94">
        <v>158</v>
      </c>
      <c r="F1337" s="12" t="s">
        <v>95</v>
      </c>
      <c r="G1337" s="6"/>
      <c r="H1337" s="6"/>
      <c r="I1337" s="46">
        <v>2.11</v>
      </c>
      <c r="J1337" s="94">
        <v>158</v>
      </c>
      <c r="K1337" s="7">
        <v>78</v>
      </c>
      <c r="L1337" s="12" t="s">
        <v>95</v>
      </c>
    </row>
    <row r="1338" spans="1:12" ht="15">
      <c r="A1338" s="24" t="s">
        <v>674</v>
      </c>
      <c r="B1338" s="44" t="s">
        <v>676</v>
      </c>
      <c r="C1338" s="151">
        <v>25</v>
      </c>
      <c r="D1338" s="207" t="s">
        <v>698</v>
      </c>
      <c r="E1338" s="94">
        <v>158</v>
      </c>
      <c r="F1338" s="12" t="s">
        <v>95</v>
      </c>
      <c r="G1338" s="6"/>
      <c r="H1338" s="6"/>
      <c r="I1338" s="46">
        <v>2.11</v>
      </c>
      <c r="J1338" s="94">
        <v>158</v>
      </c>
      <c r="K1338" s="7">
        <v>78</v>
      </c>
      <c r="L1338" s="12" t="s">
        <v>95</v>
      </c>
    </row>
    <row r="1339" spans="1:12" ht="15">
      <c r="A1339" s="24" t="s">
        <v>674</v>
      </c>
      <c r="B1339" s="44" t="s">
        <v>547</v>
      </c>
      <c r="C1339" s="151">
        <v>25</v>
      </c>
      <c r="D1339" s="207" t="s">
        <v>698</v>
      </c>
      <c r="E1339" s="94">
        <v>158</v>
      </c>
      <c r="F1339" s="12" t="s">
        <v>95</v>
      </c>
      <c r="G1339" s="6"/>
      <c r="H1339" s="6"/>
      <c r="I1339" s="46">
        <v>2.11</v>
      </c>
      <c r="J1339" s="94">
        <v>158</v>
      </c>
      <c r="K1339" s="7">
        <v>78</v>
      </c>
      <c r="L1339" s="12" t="s">
        <v>95</v>
      </c>
    </row>
    <row r="1340" spans="1:12" ht="15">
      <c r="A1340" s="24" t="s">
        <v>674</v>
      </c>
      <c r="B1340" s="44" t="s">
        <v>668</v>
      </c>
      <c r="C1340" s="151">
        <v>25</v>
      </c>
      <c r="D1340" s="207" t="s">
        <v>698</v>
      </c>
      <c r="E1340" s="94">
        <v>158</v>
      </c>
      <c r="F1340" s="12" t="s">
        <v>95</v>
      </c>
      <c r="G1340" s="6"/>
      <c r="H1340" s="6"/>
      <c r="I1340" s="46">
        <v>2.11</v>
      </c>
      <c r="J1340" s="94">
        <v>158</v>
      </c>
      <c r="K1340" s="7">
        <v>78</v>
      </c>
      <c r="L1340" s="12" t="s">
        <v>95</v>
      </c>
    </row>
    <row r="1341" spans="1:12" ht="15">
      <c r="A1341" s="24" t="s">
        <v>674</v>
      </c>
      <c r="B1341" s="44" t="s">
        <v>670</v>
      </c>
      <c r="C1341" s="151">
        <v>25</v>
      </c>
      <c r="D1341" s="207" t="s">
        <v>698</v>
      </c>
      <c r="E1341" s="94">
        <v>158</v>
      </c>
      <c r="F1341" s="12" t="s">
        <v>95</v>
      </c>
      <c r="G1341" s="6"/>
      <c r="H1341" s="6"/>
      <c r="I1341" s="46">
        <v>2.11</v>
      </c>
      <c r="J1341" s="94">
        <v>158</v>
      </c>
      <c r="K1341" s="7">
        <v>78</v>
      </c>
      <c r="L1341" s="12" t="s">
        <v>95</v>
      </c>
    </row>
    <row r="1342" spans="1:12" ht="15">
      <c r="A1342" s="24"/>
      <c r="B1342" s="185" t="s">
        <v>677</v>
      </c>
      <c r="C1342" s="182" t="s">
        <v>678</v>
      </c>
      <c r="D1342" s="207" t="s">
        <v>695</v>
      </c>
      <c r="E1342" s="46"/>
      <c r="F1342" s="7"/>
      <c r="G1342" s="6"/>
      <c r="H1342" s="6"/>
      <c r="I1342" s="46">
        <v>90</v>
      </c>
      <c r="J1342" s="46"/>
      <c r="K1342" s="7">
        <v>8000</v>
      </c>
      <c r="L1342" s="7"/>
    </row>
    <row r="1343" spans="1:12" ht="15.75">
      <c r="A1343" s="99" t="s">
        <v>455</v>
      </c>
      <c r="B1343" s="90" t="s">
        <v>457</v>
      </c>
      <c r="C1343" s="100" t="s">
        <v>2</v>
      </c>
      <c r="D1343" s="119" t="s">
        <v>640</v>
      </c>
      <c r="E1343" s="94">
        <v>135</v>
      </c>
      <c r="F1343" s="12" t="s">
        <v>124</v>
      </c>
      <c r="G1343" s="6"/>
      <c r="H1343" s="6"/>
      <c r="I1343" s="46">
        <v>1.8</v>
      </c>
      <c r="J1343" s="94">
        <v>135</v>
      </c>
      <c r="K1343" s="7">
        <v>105</v>
      </c>
      <c r="L1343" s="12" t="s">
        <v>124</v>
      </c>
    </row>
    <row r="1344" spans="1:12" ht="15">
      <c r="A1344" s="24" t="s">
        <v>679</v>
      </c>
      <c r="B1344" s="44" t="s">
        <v>667</v>
      </c>
      <c r="C1344" s="151">
        <v>13.7</v>
      </c>
      <c r="D1344" s="207" t="s">
        <v>699</v>
      </c>
      <c r="E1344" s="94">
        <v>135</v>
      </c>
      <c r="F1344" s="12" t="s">
        <v>124</v>
      </c>
      <c r="G1344" s="6"/>
      <c r="H1344" s="6"/>
      <c r="I1344" s="46">
        <v>1.8</v>
      </c>
      <c r="J1344" s="94">
        <v>135</v>
      </c>
      <c r="K1344" s="7">
        <v>105</v>
      </c>
      <c r="L1344" s="12" t="s">
        <v>124</v>
      </c>
    </row>
    <row r="1345" spans="1:12" ht="15">
      <c r="A1345" s="24" t="s">
        <v>679</v>
      </c>
      <c r="B1345" s="44" t="s">
        <v>680</v>
      </c>
      <c r="C1345" s="151">
        <v>13.7</v>
      </c>
      <c r="D1345" s="207" t="s">
        <v>699</v>
      </c>
      <c r="E1345" s="94">
        <v>135</v>
      </c>
      <c r="F1345" s="12" t="s">
        <v>124</v>
      </c>
      <c r="G1345" s="6"/>
      <c r="H1345" s="6"/>
      <c r="I1345" s="46">
        <v>1.8</v>
      </c>
      <c r="J1345" s="94">
        <v>135</v>
      </c>
      <c r="K1345" s="7">
        <v>105</v>
      </c>
      <c r="L1345" s="12" t="s">
        <v>124</v>
      </c>
    </row>
    <row r="1346" spans="1:12" ht="15">
      <c r="A1346" s="24" t="s">
        <v>679</v>
      </c>
      <c r="B1346" s="44" t="s">
        <v>547</v>
      </c>
      <c r="C1346" s="151">
        <v>13.7</v>
      </c>
      <c r="D1346" s="207" t="s">
        <v>699</v>
      </c>
      <c r="E1346" s="94">
        <v>135</v>
      </c>
      <c r="F1346" s="12" t="s">
        <v>124</v>
      </c>
      <c r="G1346" s="6"/>
      <c r="H1346" s="6"/>
      <c r="I1346" s="46">
        <v>1.8</v>
      </c>
      <c r="J1346" s="94">
        <v>135</v>
      </c>
      <c r="K1346" s="7">
        <v>105</v>
      </c>
      <c r="L1346" s="12" t="s">
        <v>124</v>
      </c>
    </row>
    <row r="1347" spans="1:12" ht="15">
      <c r="A1347" s="24" t="s">
        <v>679</v>
      </c>
      <c r="B1347" s="205" t="s">
        <v>702</v>
      </c>
      <c r="C1347" s="151">
        <v>13.7</v>
      </c>
      <c r="D1347" s="207" t="s">
        <v>699</v>
      </c>
      <c r="E1347" s="94">
        <v>135</v>
      </c>
      <c r="F1347" s="12" t="s">
        <v>124</v>
      </c>
      <c r="G1347" s="6"/>
      <c r="H1347" s="6"/>
      <c r="I1347" s="46">
        <v>1.8</v>
      </c>
      <c r="J1347" s="94">
        <v>135</v>
      </c>
      <c r="K1347" s="7">
        <v>105</v>
      </c>
      <c r="L1347" s="12" t="s">
        <v>124</v>
      </c>
    </row>
    <row r="1348" spans="1:12" ht="15">
      <c r="A1348" s="24" t="s">
        <v>679</v>
      </c>
      <c r="B1348" s="44" t="s">
        <v>670</v>
      </c>
      <c r="C1348" s="151">
        <v>13.7</v>
      </c>
      <c r="D1348" s="207" t="s">
        <v>699</v>
      </c>
      <c r="E1348" s="94">
        <v>135</v>
      </c>
      <c r="F1348" s="12" t="s">
        <v>124</v>
      </c>
      <c r="G1348" s="6"/>
      <c r="H1348" s="6"/>
      <c r="I1348" s="46">
        <v>1.8</v>
      </c>
      <c r="J1348" s="94">
        <v>135</v>
      </c>
      <c r="K1348" s="7">
        <v>105</v>
      </c>
      <c r="L1348" s="12" t="s">
        <v>124</v>
      </c>
    </row>
    <row r="1349" spans="1:12" ht="15">
      <c r="A1349" s="24" t="s">
        <v>679</v>
      </c>
      <c r="B1349" s="44" t="s">
        <v>681</v>
      </c>
      <c r="C1349" s="151">
        <v>13.7</v>
      </c>
      <c r="D1349" s="207" t="s">
        <v>699</v>
      </c>
      <c r="E1349" s="94">
        <v>135</v>
      </c>
      <c r="F1349" s="12" t="s">
        <v>124</v>
      </c>
      <c r="G1349" s="6"/>
      <c r="H1349" s="6"/>
      <c r="I1349" s="46">
        <v>1.8</v>
      </c>
      <c r="J1349" s="94">
        <v>135</v>
      </c>
      <c r="K1349" s="7">
        <v>105</v>
      </c>
      <c r="L1349" s="12" t="s">
        <v>124</v>
      </c>
    </row>
    <row r="1350" spans="1:12" ht="15">
      <c r="A1350" s="24" t="s">
        <v>679</v>
      </c>
      <c r="B1350" s="44" t="s">
        <v>671</v>
      </c>
      <c r="C1350" s="151">
        <v>13.7</v>
      </c>
      <c r="D1350" s="207" t="s">
        <v>699</v>
      </c>
      <c r="E1350" s="46"/>
      <c r="F1350" s="7"/>
      <c r="G1350" s="6"/>
      <c r="H1350" s="6"/>
      <c r="I1350" s="46">
        <v>90</v>
      </c>
      <c r="J1350" s="46"/>
      <c r="K1350" s="7">
        <v>8000</v>
      </c>
      <c r="L1350" s="7"/>
    </row>
    <row r="1351" spans="1:12" ht="15">
      <c r="A1351" s="24"/>
      <c r="B1351" s="185" t="s">
        <v>682</v>
      </c>
      <c r="C1351" s="206" t="s">
        <v>683</v>
      </c>
      <c r="D1351" s="207" t="s">
        <v>695</v>
      </c>
      <c r="E1351" s="94">
        <v>137</v>
      </c>
      <c r="F1351" s="12" t="s">
        <v>533</v>
      </c>
      <c r="G1351" s="6"/>
      <c r="H1351" s="6"/>
      <c r="I1351" s="46">
        <v>1.83</v>
      </c>
      <c r="J1351" s="94">
        <v>137</v>
      </c>
      <c r="K1351" s="7">
        <v>67</v>
      </c>
      <c r="L1351" s="12" t="s">
        <v>533</v>
      </c>
    </row>
    <row r="1352" spans="1:12" ht="15">
      <c r="A1352" s="24" t="s">
        <v>684</v>
      </c>
      <c r="B1352" s="205" t="s">
        <v>702</v>
      </c>
      <c r="C1352" s="151">
        <v>25</v>
      </c>
      <c r="D1352" s="207" t="s">
        <v>700</v>
      </c>
      <c r="E1352" s="94">
        <v>137</v>
      </c>
      <c r="F1352" s="12" t="s">
        <v>533</v>
      </c>
      <c r="G1352" s="6"/>
      <c r="H1352" s="6"/>
      <c r="I1352" s="46">
        <v>1.83</v>
      </c>
      <c r="J1352" s="94">
        <v>137</v>
      </c>
      <c r="K1352" s="7">
        <v>67</v>
      </c>
      <c r="L1352" s="12" t="s">
        <v>533</v>
      </c>
    </row>
    <row r="1353" spans="1:12" ht="15">
      <c r="A1353" s="24" t="s">
        <v>684</v>
      </c>
      <c r="B1353" s="44" t="s">
        <v>670</v>
      </c>
      <c r="C1353" s="151">
        <v>25</v>
      </c>
      <c r="D1353" s="207" t="s">
        <v>700</v>
      </c>
      <c r="E1353" s="94">
        <v>137</v>
      </c>
      <c r="F1353" s="12" t="s">
        <v>533</v>
      </c>
      <c r="G1353" s="6"/>
      <c r="H1353" s="6"/>
      <c r="I1353" s="46">
        <v>1.83</v>
      </c>
      <c r="J1353" s="94">
        <v>137</v>
      </c>
      <c r="K1353" s="7">
        <v>67</v>
      </c>
      <c r="L1353" s="12" t="s">
        <v>533</v>
      </c>
    </row>
    <row r="1354" spans="1:12" ht="15">
      <c r="A1354" s="24" t="s">
        <v>684</v>
      </c>
      <c r="B1354" s="44" t="s">
        <v>681</v>
      </c>
      <c r="C1354" s="151">
        <v>25</v>
      </c>
      <c r="D1354" s="207" t="s">
        <v>700</v>
      </c>
      <c r="E1354" s="94">
        <v>137</v>
      </c>
      <c r="F1354" s="12" t="s">
        <v>533</v>
      </c>
      <c r="G1354" s="6"/>
      <c r="H1354" s="6"/>
      <c r="I1354" s="46">
        <v>1.83</v>
      </c>
      <c r="J1354" s="94">
        <v>137</v>
      </c>
      <c r="K1354" s="7">
        <v>67</v>
      </c>
      <c r="L1354" s="12" t="s">
        <v>533</v>
      </c>
    </row>
    <row r="1355" spans="1:12" ht="15">
      <c r="A1355" s="24" t="s">
        <v>684</v>
      </c>
      <c r="B1355" s="44" t="s">
        <v>671</v>
      </c>
      <c r="C1355" s="151">
        <v>25</v>
      </c>
      <c r="D1355" s="207" t="s">
        <v>700</v>
      </c>
      <c r="E1355" s="46"/>
      <c r="F1355" s="7"/>
      <c r="G1355" s="6"/>
      <c r="H1355" s="6"/>
      <c r="I1355" s="46">
        <v>90</v>
      </c>
      <c r="J1355" s="46"/>
      <c r="K1355" s="7">
        <v>7000</v>
      </c>
      <c r="L1355" s="7"/>
    </row>
    <row r="1356" spans="1:12" ht="15">
      <c r="A1356" s="24"/>
      <c r="B1356" s="185" t="s">
        <v>685</v>
      </c>
      <c r="C1356" s="206" t="s">
        <v>528</v>
      </c>
      <c r="D1356" s="207" t="s">
        <v>701</v>
      </c>
    </row>
    <row r="1360" spans="1:12" ht="15.75">
      <c r="A1360" s="99" t="s">
        <v>455</v>
      </c>
      <c r="B1360" s="90" t="s">
        <v>457</v>
      </c>
      <c r="C1360" s="100" t="s">
        <v>2</v>
      </c>
      <c r="D1360" s="119" t="s">
        <v>640</v>
      </c>
    </row>
    <row r="1361" spans="1:5" ht="15">
      <c r="A1361" s="24" t="s">
        <v>674</v>
      </c>
      <c r="B1361" s="44" t="s">
        <v>675</v>
      </c>
      <c r="C1361" s="151">
        <v>25</v>
      </c>
      <c r="D1361" s="207" t="s">
        <v>698</v>
      </c>
    </row>
    <row r="1362" spans="1:5" ht="15">
      <c r="A1362" s="24" t="s">
        <v>674</v>
      </c>
      <c r="B1362" s="44" t="s">
        <v>676</v>
      </c>
      <c r="C1362" s="151">
        <v>25</v>
      </c>
      <c r="D1362" s="207" t="s">
        <v>698</v>
      </c>
    </row>
    <row r="1363" spans="1:5" ht="15">
      <c r="A1363" s="24" t="s">
        <v>674</v>
      </c>
      <c r="B1363" s="44" t="s">
        <v>547</v>
      </c>
      <c r="C1363" s="151">
        <v>25</v>
      </c>
      <c r="D1363" s="207" t="s">
        <v>698</v>
      </c>
    </row>
    <row r="1364" spans="1:5" ht="15">
      <c r="A1364" s="24" t="s">
        <v>674</v>
      </c>
      <c r="B1364" s="44" t="s">
        <v>668</v>
      </c>
      <c r="C1364" s="151">
        <v>25</v>
      </c>
      <c r="D1364" s="207" t="s">
        <v>698</v>
      </c>
    </row>
    <row r="1365" spans="1:5" ht="15">
      <c r="A1365" s="24" t="s">
        <v>674</v>
      </c>
      <c r="B1365" s="44" t="s">
        <v>670</v>
      </c>
      <c r="C1365" s="151">
        <v>25</v>
      </c>
      <c r="D1365" s="207" t="s">
        <v>698</v>
      </c>
    </row>
    <row r="1366" spans="1:5" ht="15">
      <c r="A1366" s="24"/>
      <c r="B1366" s="185" t="s">
        <v>677</v>
      </c>
      <c r="C1366" s="182" t="s">
        <v>678</v>
      </c>
      <c r="D1366" s="207" t="s">
        <v>695</v>
      </c>
    </row>
    <row r="1367" spans="1:5" ht="15">
      <c r="A1367" s="24" t="s">
        <v>684</v>
      </c>
      <c r="B1367" s="205" t="s">
        <v>702</v>
      </c>
      <c r="C1367" s="151">
        <v>25</v>
      </c>
      <c r="D1367" s="207" t="s">
        <v>700</v>
      </c>
    </row>
    <row r="1368" spans="1:5" ht="15">
      <c r="A1368" s="24" t="s">
        <v>684</v>
      </c>
      <c r="B1368" s="44" t="s">
        <v>670</v>
      </c>
      <c r="C1368" s="151">
        <v>25</v>
      </c>
      <c r="D1368" s="207" t="s">
        <v>700</v>
      </c>
    </row>
    <row r="1369" spans="1:5" ht="15">
      <c r="A1369" s="24" t="s">
        <v>684</v>
      </c>
      <c r="B1369" s="44" t="s">
        <v>681</v>
      </c>
      <c r="C1369" s="151">
        <v>25</v>
      </c>
      <c r="D1369" s="207" t="s">
        <v>700</v>
      </c>
    </row>
    <row r="1370" spans="1:5" ht="15">
      <c r="A1370" s="24" t="s">
        <v>684</v>
      </c>
      <c r="B1370" s="44" t="s">
        <v>671</v>
      </c>
      <c r="C1370" s="151">
        <v>25</v>
      </c>
      <c r="D1370" s="207" t="s">
        <v>700</v>
      </c>
    </row>
    <row r="1371" spans="1:5" ht="15">
      <c r="A1371" s="24"/>
      <c r="B1371" s="185" t="s">
        <v>685</v>
      </c>
      <c r="C1371" s="206" t="s">
        <v>528</v>
      </c>
      <c r="D1371" s="207" t="s">
        <v>701</v>
      </c>
    </row>
    <row r="1373" spans="1:5" ht="15.75">
      <c r="A1373" s="99" t="s">
        <v>105</v>
      </c>
      <c r="B1373" s="99" t="s">
        <v>455</v>
      </c>
      <c r="C1373" s="90" t="s">
        <v>457</v>
      </c>
      <c r="D1373" s="100" t="s">
        <v>181</v>
      </c>
      <c r="E1373" s="101" t="s">
        <v>595</v>
      </c>
    </row>
    <row r="1374" spans="1:5" ht="15">
      <c r="A1374" s="6" t="s">
        <v>659</v>
      </c>
      <c r="B1374" s="24" t="s">
        <v>239</v>
      </c>
      <c r="C1374" s="205" t="s">
        <v>702</v>
      </c>
      <c r="D1374" s="151">
        <v>27.4</v>
      </c>
      <c r="E1374" s="46">
        <v>2.82</v>
      </c>
    </row>
    <row r="1375" spans="1:5" ht="15">
      <c r="A1375" s="6" t="s">
        <v>659</v>
      </c>
      <c r="B1375" s="24" t="s">
        <v>239</v>
      </c>
      <c r="C1375" s="44" t="s">
        <v>660</v>
      </c>
      <c r="D1375" s="151">
        <v>27.4</v>
      </c>
      <c r="E1375" s="46">
        <v>2.82</v>
      </c>
    </row>
    <row r="1376" spans="1:5" ht="15">
      <c r="A1376" s="6" t="s">
        <v>659</v>
      </c>
      <c r="B1376" s="24" t="s">
        <v>239</v>
      </c>
      <c r="C1376" s="44" t="s">
        <v>661</v>
      </c>
      <c r="D1376" s="151">
        <v>27.4</v>
      </c>
      <c r="E1376" s="46">
        <v>2.82</v>
      </c>
    </row>
    <row r="1377" spans="1:5" ht="15">
      <c r="A1377" s="6" t="s">
        <v>659</v>
      </c>
      <c r="B1377" s="24" t="s">
        <v>239</v>
      </c>
      <c r="C1377" s="44" t="s">
        <v>662</v>
      </c>
      <c r="D1377" s="151">
        <v>27.4</v>
      </c>
      <c r="E1377" s="46">
        <v>2.82</v>
      </c>
    </row>
    <row r="1378" spans="1:5" ht="15">
      <c r="A1378" s="6" t="s">
        <v>659</v>
      </c>
      <c r="B1378" s="24" t="s">
        <v>239</v>
      </c>
      <c r="C1378" s="44" t="s">
        <v>663</v>
      </c>
      <c r="D1378" s="151">
        <v>27.4</v>
      </c>
      <c r="E1378" s="46">
        <v>2.82</v>
      </c>
    </row>
    <row r="1379" spans="1:5" ht="15">
      <c r="A1379" s="6" t="s">
        <v>659</v>
      </c>
      <c r="B1379" s="24" t="s">
        <v>239</v>
      </c>
      <c r="C1379" s="44" t="s">
        <v>664</v>
      </c>
      <c r="D1379" s="151">
        <v>27.4</v>
      </c>
      <c r="E1379" s="46">
        <v>2.82</v>
      </c>
    </row>
    <row r="1380" spans="1:5" ht="15">
      <c r="A1380" s="6" t="s">
        <v>659</v>
      </c>
      <c r="B1380" s="24" t="s">
        <v>239</v>
      </c>
      <c r="C1380" s="44" t="s">
        <v>547</v>
      </c>
      <c r="D1380" s="151">
        <v>27.4</v>
      </c>
      <c r="E1380" s="46">
        <v>2.82</v>
      </c>
    </row>
    <row r="1381" spans="1:5" ht="15">
      <c r="A1381" s="6" t="s">
        <v>659</v>
      </c>
      <c r="B1381" s="24" t="s">
        <v>239</v>
      </c>
      <c r="C1381" s="44" t="s">
        <v>543</v>
      </c>
      <c r="D1381" s="151">
        <v>27.4</v>
      </c>
      <c r="E1381" s="46">
        <v>2.82</v>
      </c>
    </row>
    <row r="1382" spans="1:5" ht="15">
      <c r="A1382" s="6" t="s">
        <v>659</v>
      </c>
      <c r="B1382" s="24"/>
      <c r="C1382" s="185" t="s">
        <v>665</v>
      </c>
      <c r="D1382" s="151"/>
      <c r="E1382" s="46">
        <v>100</v>
      </c>
    </row>
    <row r="1383" spans="1:5" ht="15">
      <c r="A1383" s="6" t="s">
        <v>659</v>
      </c>
      <c r="B1383" s="24" t="s">
        <v>578</v>
      </c>
      <c r="C1383" s="44" t="s">
        <v>661</v>
      </c>
      <c r="D1383" s="151">
        <v>27.4</v>
      </c>
      <c r="E1383" s="46">
        <v>2.42</v>
      </c>
    </row>
    <row r="1384" spans="1:5" ht="15">
      <c r="A1384" s="6" t="s">
        <v>659</v>
      </c>
      <c r="B1384" s="24" t="s">
        <v>578</v>
      </c>
      <c r="C1384" s="44" t="s">
        <v>547</v>
      </c>
      <c r="D1384" s="151">
        <v>27.4</v>
      </c>
      <c r="E1384" s="46">
        <v>2.42</v>
      </c>
    </row>
    <row r="1385" spans="1:5" ht="15">
      <c r="A1385" s="6" t="s">
        <v>659</v>
      </c>
      <c r="B1385" s="24" t="s">
        <v>578</v>
      </c>
      <c r="C1385" s="44" t="s">
        <v>664</v>
      </c>
      <c r="D1385" s="151">
        <v>27.4</v>
      </c>
      <c r="E1385" s="46">
        <v>2.42</v>
      </c>
    </row>
    <row r="1386" spans="1:5" ht="15">
      <c r="A1386" s="6" t="s">
        <v>659</v>
      </c>
      <c r="B1386" s="24"/>
      <c r="C1386" s="185" t="s">
        <v>580</v>
      </c>
      <c r="D1386" s="151"/>
      <c r="E1386" s="46">
        <v>100</v>
      </c>
    </row>
    <row r="1387" spans="1:5" ht="15">
      <c r="A1387" s="6" t="s">
        <v>659</v>
      </c>
      <c r="B1387" s="24" t="s">
        <v>516</v>
      </c>
      <c r="C1387" s="44" t="s">
        <v>667</v>
      </c>
      <c r="D1387" s="151">
        <v>27.4</v>
      </c>
      <c r="E1387" s="46">
        <v>2.75</v>
      </c>
    </row>
    <row r="1388" spans="1:5" ht="15">
      <c r="A1388" s="6" t="s">
        <v>659</v>
      </c>
      <c r="B1388" s="24" t="s">
        <v>516</v>
      </c>
      <c r="C1388" s="44" t="s">
        <v>668</v>
      </c>
      <c r="D1388" s="151">
        <v>27.4</v>
      </c>
      <c r="E1388" s="46">
        <v>2.75</v>
      </c>
    </row>
    <row r="1389" spans="1:5" ht="15">
      <c r="A1389" s="6" t="s">
        <v>659</v>
      </c>
      <c r="B1389" s="24" t="s">
        <v>516</v>
      </c>
      <c r="C1389" s="205" t="s">
        <v>702</v>
      </c>
      <c r="D1389" s="151">
        <v>27.4</v>
      </c>
      <c r="E1389" s="46">
        <v>2.75</v>
      </c>
    </row>
    <row r="1390" spans="1:5" ht="15">
      <c r="A1390" s="6" t="s">
        <v>659</v>
      </c>
      <c r="B1390" s="24" t="s">
        <v>516</v>
      </c>
      <c r="C1390" s="44" t="s">
        <v>669</v>
      </c>
      <c r="D1390" s="151">
        <v>27.4</v>
      </c>
      <c r="E1390" s="46">
        <v>2.75</v>
      </c>
    </row>
    <row r="1391" spans="1:5" ht="15">
      <c r="A1391" s="6" t="s">
        <v>659</v>
      </c>
      <c r="B1391" s="24" t="s">
        <v>516</v>
      </c>
      <c r="C1391" s="44" t="s">
        <v>670</v>
      </c>
      <c r="D1391" s="151">
        <v>27.4</v>
      </c>
      <c r="E1391" s="46">
        <v>2.75</v>
      </c>
    </row>
    <row r="1392" spans="1:5" ht="15">
      <c r="A1392" s="6" t="s">
        <v>659</v>
      </c>
      <c r="B1392" s="24" t="s">
        <v>516</v>
      </c>
      <c r="C1392" s="44" t="s">
        <v>671</v>
      </c>
      <c r="D1392" s="151">
        <v>27.4</v>
      </c>
      <c r="E1392" s="46">
        <v>2.75</v>
      </c>
    </row>
    <row r="1393" spans="1:5" ht="15">
      <c r="A1393" s="6" t="s">
        <v>659</v>
      </c>
      <c r="B1393" s="24"/>
      <c r="C1393" s="185" t="s">
        <v>672</v>
      </c>
      <c r="D1393" s="151"/>
      <c r="E1393" s="46">
        <v>100</v>
      </c>
    </row>
    <row r="1394" spans="1:5" ht="15">
      <c r="A1394" s="6" t="s">
        <v>659</v>
      </c>
      <c r="B1394" s="24" t="s">
        <v>674</v>
      </c>
      <c r="C1394" s="44" t="s">
        <v>675</v>
      </c>
      <c r="D1394" s="151">
        <v>25</v>
      </c>
      <c r="E1394" s="46">
        <v>2.64</v>
      </c>
    </row>
    <row r="1395" spans="1:5" ht="15">
      <c r="A1395" s="6" t="s">
        <v>659</v>
      </c>
      <c r="B1395" s="24" t="s">
        <v>674</v>
      </c>
      <c r="C1395" s="44" t="s">
        <v>676</v>
      </c>
      <c r="D1395" s="151">
        <v>25</v>
      </c>
      <c r="E1395" s="46">
        <v>2.64</v>
      </c>
    </row>
    <row r="1396" spans="1:5" ht="15">
      <c r="A1396" s="6" t="s">
        <v>659</v>
      </c>
      <c r="B1396" s="24" t="s">
        <v>674</v>
      </c>
      <c r="C1396" s="44" t="s">
        <v>547</v>
      </c>
      <c r="D1396" s="151">
        <v>25</v>
      </c>
      <c r="E1396" s="46">
        <v>2.64</v>
      </c>
    </row>
    <row r="1397" spans="1:5" ht="15">
      <c r="A1397" s="6" t="s">
        <v>659</v>
      </c>
      <c r="B1397" s="24" t="s">
        <v>674</v>
      </c>
      <c r="C1397" s="44" t="s">
        <v>668</v>
      </c>
      <c r="D1397" s="151">
        <v>25</v>
      </c>
      <c r="E1397" s="46">
        <v>2.64</v>
      </c>
    </row>
    <row r="1398" spans="1:5" ht="15">
      <c r="A1398" s="6" t="s">
        <v>659</v>
      </c>
      <c r="B1398" s="24" t="s">
        <v>674</v>
      </c>
      <c r="C1398" s="44" t="s">
        <v>670</v>
      </c>
      <c r="D1398" s="151">
        <v>25</v>
      </c>
      <c r="E1398" s="46">
        <v>2.64</v>
      </c>
    </row>
    <row r="1399" spans="1:5" ht="15">
      <c r="A1399" s="6" t="s">
        <v>659</v>
      </c>
      <c r="B1399" s="24"/>
      <c r="C1399" s="185" t="s">
        <v>677</v>
      </c>
      <c r="D1399" s="151"/>
      <c r="E1399" s="46">
        <v>100</v>
      </c>
    </row>
    <row r="1400" spans="1:5" ht="15">
      <c r="A1400" s="6" t="s">
        <v>659</v>
      </c>
      <c r="B1400" s="24" t="s">
        <v>679</v>
      </c>
      <c r="C1400" s="44" t="s">
        <v>667</v>
      </c>
      <c r="D1400" s="151">
        <v>27.4</v>
      </c>
      <c r="E1400" s="46">
        <v>2.25</v>
      </c>
    </row>
    <row r="1401" spans="1:5" ht="15">
      <c r="A1401" s="6" t="s">
        <v>659</v>
      </c>
      <c r="B1401" s="24" t="s">
        <v>679</v>
      </c>
      <c r="C1401" s="44" t="s">
        <v>680</v>
      </c>
      <c r="D1401" s="151">
        <v>27.4</v>
      </c>
      <c r="E1401" s="46">
        <v>2.25</v>
      </c>
    </row>
    <row r="1402" spans="1:5" ht="15">
      <c r="A1402" s="6" t="s">
        <v>659</v>
      </c>
      <c r="B1402" s="24" t="s">
        <v>679</v>
      </c>
      <c r="C1402" s="44" t="s">
        <v>547</v>
      </c>
      <c r="D1402" s="151">
        <v>27.4</v>
      </c>
      <c r="E1402" s="46">
        <v>2.25</v>
      </c>
    </row>
    <row r="1403" spans="1:5" ht="15">
      <c r="A1403" s="6" t="s">
        <v>659</v>
      </c>
      <c r="B1403" s="24" t="s">
        <v>679</v>
      </c>
      <c r="C1403" s="205" t="s">
        <v>702</v>
      </c>
      <c r="D1403" s="151">
        <v>27.4</v>
      </c>
      <c r="E1403" s="46">
        <v>2.25</v>
      </c>
    </row>
    <row r="1404" spans="1:5" ht="15">
      <c r="A1404" s="6" t="s">
        <v>659</v>
      </c>
      <c r="B1404" s="24" t="s">
        <v>679</v>
      </c>
      <c r="C1404" s="44" t="s">
        <v>670</v>
      </c>
      <c r="D1404" s="151">
        <v>27.4</v>
      </c>
      <c r="E1404" s="46">
        <v>2.25</v>
      </c>
    </row>
    <row r="1405" spans="1:5" ht="15">
      <c r="A1405" s="6" t="s">
        <v>659</v>
      </c>
      <c r="B1405" s="24" t="s">
        <v>679</v>
      </c>
      <c r="C1405" s="44" t="s">
        <v>681</v>
      </c>
      <c r="D1405" s="151">
        <v>27.4</v>
      </c>
      <c r="E1405" s="46">
        <v>2.25</v>
      </c>
    </row>
    <row r="1406" spans="1:5" ht="15">
      <c r="A1406" s="6" t="s">
        <v>659</v>
      </c>
      <c r="B1406" s="24" t="s">
        <v>679</v>
      </c>
      <c r="C1406" s="44" t="s">
        <v>671</v>
      </c>
      <c r="D1406" s="151">
        <v>27.4</v>
      </c>
      <c r="E1406" s="46">
        <v>2.25</v>
      </c>
    </row>
    <row r="1407" spans="1:5" ht="15">
      <c r="A1407" s="6" t="s">
        <v>659</v>
      </c>
      <c r="B1407" s="24"/>
      <c r="C1407" s="185" t="s">
        <v>682</v>
      </c>
      <c r="D1407" s="151"/>
      <c r="E1407" s="46">
        <v>100</v>
      </c>
    </row>
    <row r="1408" spans="1:5" ht="15">
      <c r="A1408" s="6" t="s">
        <v>659</v>
      </c>
      <c r="B1408" s="24" t="s">
        <v>684</v>
      </c>
      <c r="C1408" s="205" t="s">
        <v>78</v>
      </c>
      <c r="D1408" s="151">
        <v>25</v>
      </c>
      <c r="E1408" s="46">
        <v>2.29</v>
      </c>
    </row>
    <row r="1409" spans="1:5" ht="15">
      <c r="A1409" s="6" t="s">
        <v>659</v>
      </c>
      <c r="B1409" s="24" t="s">
        <v>684</v>
      </c>
      <c r="C1409" s="44" t="s">
        <v>670</v>
      </c>
      <c r="D1409" s="151">
        <v>25</v>
      </c>
      <c r="E1409" s="46">
        <v>2.29</v>
      </c>
    </row>
    <row r="1410" spans="1:5" ht="15">
      <c r="A1410" s="6" t="s">
        <v>659</v>
      </c>
      <c r="B1410" s="24" t="s">
        <v>684</v>
      </c>
      <c r="C1410" s="44" t="s">
        <v>681</v>
      </c>
      <c r="D1410" s="151">
        <v>25</v>
      </c>
      <c r="E1410" s="46">
        <v>2.29</v>
      </c>
    </row>
    <row r="1411" spans="1:5" ht="15">
      <c r="A1411" s="6" t="s">
        <v>659</v>
      </c>
      <c r="B1411" s="24" t="s">
        <v>684</v>
      </c>
      <c r="C1411" s="44" t="s">
        <v>671</v>
      </c>
      <c r="D1411" s="151">
        <v>25</v>
      </c>
      <c r="E1411" s="46">
        <v>2.29</v>
      </c>
    </row>
    <row r="1412" spans="1:5" ht="15">
      <c r="A1412" s="6" t="s">
        <v>659</v>
      </c>
      <c r="B1412" s="24"/>
      <c r="C1412" s="185" t="s">
        <v>685</v>
      </c>
      <c r="D1412" s="151"/>
      <c r="E1412" s="46">
        <v>100</v>
      </c>
    </row>
    <row r="1418" spans="1:5" ht="15">
      <c r="A1418" s="99" t="s">
        <v>455</v>
      </c>
      <c r="B1418" s="100" t="s">
        <v>181</v>
      </c>
      <c r="C1418" s="101" t="s">
        <v>595</v>
      </c>
    </row>
    <row r="1419" spans="1:5" ht="15">
      <c r="A1419" s="24" t="s">
        <v>686</v>
      </c>
      <c r="B1419" s="8">
        <v>50</v>
      </c>
      <c r="C1419" s="46">
        <v>0.42</v>
      </c>
    </row>
    <row r="1420" spans="1:5" ht="15">
      <c r="A1420" s="24" t="s">
        <v>687</v>
      </c>
      <c r="B1420" s="8">
        <v>50</v>
      </c>
      <c r="C1420" s="46">
        <v>0.22</v>
      </c>
    </row>
    <row r="1421" spans="1:5" ht="15">
      <c r="A1421" s="24" t="s">
        <v>688</v>
      </c>
      <c r="B1421" s="8">
        <v>50</v>
      </c>
      <c r="C1421" s="46">
        <v>0.31</v>
      </c>
    </row>
    <row r="1422" spans="1:5" ht="15">
      <c r="A1422" s="24" t="s">
        <v>689</v>
      </c>
      <c r="B1422" s="8">
        <v>50</v>
      </c>
      <c r="C1422" s="46">
        <v>0.36</v>
      </c>
    </row>
    <row r="1423" spans="1:5" ht="15">
      <c r="A1423" s="24" t="s">
        <v>690</v>
      </c>
      <c r="B1423" s="8">
        <v>50</v>
      </c>
      <c r="C1423" s="46">
        <v>0.33</v>
      </c>
    </row>
    <row r="1424" spans="1:5" ht="15">
      <c r="A1424" s="24"/>
      <c r="B1424" s="8" t="s">
        <v>703</v>
      </c>
      <c r="C1424" s="46">
        <v>12</v>
      </c>
    </row>
    <row r="1427" spans="1:5" ht="15.75">
      <c r="A1427" s="99" t="s">
        <v>455</v>
      </c>
      <c r="B1427" s="90" t="s">
        <v>389</v>
      </c>
      <c r="C1427" s="90" t="s">
        <v>457</v>
      </c>
      <c r="D1427" s="100" t="s">
        <v>181</v>
      </c>
      <c r="E1427" s="101" t="s">
        <v>595</v>
      </c>
    </row>
    <row r="1428" spans="1:5" ht="15">
      <c r="A1428" s="24" t="s">
        <v>691</v>
      </c>
      <c r="B1428" s="26" t="s">
        <v>426</v>
      </c>
      <c r="C1428" s="24" t="s">
        <v>692</v>
      </c>
      <c r="D1428" s="67">
        <v>40</v>
      </c>
      <c r="E1428" s="25">
        <v>17.5</v>
      </c>
    </row>
    <row r="1429" spans="1:5" ht="15">
      <c r="A1429" s="24" t="s">
        <v>693</v>
      </c>
      <c r="B1429" s="44"/>
      <c r="C1429" s="24" t="s">
        <v>692</v>
      </c>
      <c r="D1429" s="67">
        <v>28</v>
      </c>
      <c r="E1429" s="46">
        <v>5.92</v>
      </c>
    </row>
    <row r="1430" spans="1:5" ht="15">
      <c r="A1430" s="24"/>
      <c r="B1430" s="138"/>
      <c r="C1430" s="24" t="s">
        <v>704</v>
      </c>
      <c r="D1430" s="8"/>
      <c r="E1430" s="46">
        <v>100</v>
      </c>
    </row>
    <row r="1431" spans="1:5" ht="15">
      <c r="A1431" s="24"/>
      <c r="B1431" s="138"/>
      <c r="C1431" s="24" t="s">
        <v>31</v>
      </c>
      <c r="D1431" s="8"/>
      <c r="E1431" s="46">
        <v>12</v>
      </c>
    </row>
    <row r="1435" spans="1:5" ht="15.75">
      <c r="A1435" s="99" t="s">
        <v>105</v>
      </c>
      <c r="B1435" s="99" t="s">
        <v>455</v>
      </c>
      <c r="C1435" s="90" t="s">
        <v>457</v>
      </c>
      <c r="D1435" s="100" t="s">
        <v>181</v>
      </c>
      <c r="E1435" s="101" t="s">
        <v>595</v>
      </c>
    </row>
    <row r="1436" spans="1:5" ht="15">
      <c r="A1436" s="6" t="s">
        <v>659</v>
      </c>
      <c r="B1436" s="24" t="s">
        <v>239</v>
      </c>
      <c r="C1436" s="44" t="s">
        <v>78</v>
      </c>
      <c r="D1436" s="151">
        <v>27.4</v>
      </c>
      <c r="E1436" s="46">
        <v>2.82</v>
      </c>
    </row>
    <row r="1437" spans="1:5" ht="15">
      <c r="A1437" s="6" t="s">
        <v>659</v>
      </c>
      <c r="B1437" s="24" t="s">
        <v>239</v>
      </c>
      <c r="C1437" s="44" t="s">
        <v>660</v>
      </c>
      <c r="D1437" s="151">
        <v>27.4</v>
      </c>
      <c r="E1437" s="46">
        <v>2.82</v>
      </c>
    </row>
    <row r="1438" spans="1:5" ht="15">
      <c r="A1438" s="6" t="s">
        <v>659</v>
      </c>
      <c r="B1438" s="24" t="s">
        <v>239</v>
      </c>
      <c r="C1438" s="44" t="s">
        <v>661</v>
      </c>
      <c r="D1438" s="151">
        <v>27.4</v>
      </c>
      <c r="E1438" s="46">
        <v>2.82</v>
      </c>
    </row>
    <row r="1439" spans="1:5" ht="15">
      <c r="A1439" s="6" t="s">
        <v>659</v>
      </c>
      <c r="B1439" s="24" t="s">
        <v>239</v>
      </c>
      <c r="C1439" s="44" t="s">
        <v>662</v>
      </c>
      <c r="D1439" s="151">
        <v>27.4</v>
      </c>
      <c r="E1439" s="46">
        <v>2.82</v>
      </c>
    </row>
    <row r="1440" spans="1:5" ht="15">
      <c r="A1440" s="6" t="s">
        <v>659</v>
      </c>
      <c r="B1440" s="24" t="s">
        <v>239</v>
      </c>
      <c r="C1440" s="44" t="s">
        <v>663</v>
      </c>
      <c r="D1440" s="151">
        <v>27.4</v>
      </c>
      <c r="E1440" s="46">
        <v>2.82</v>
      </c>
    </row>
    <row r="1441" spans="1:5" ht="15">
      <c r="A1441" s="6" t="s">
        <v>659</v>
      </c>
      <c r="B1441" s="24" t="s">
        <v>239</v>
      </c>
      <c r="C1441" s="44" t="s">
        <v>664</v>
      </c>
      <c r="D1441" s="151">
        <v>27.4</v>
      </c>
      <c r="E1441" s="46">
        <v>2.82</v>
      </c>
    </row>
    <row r="1442" spans="1:5" ht="15">
      <c r="A1442" s="6" t="s">
        <v>659</v>
      </c>
      <c r="B1442" s="24" t="s">
        <v>239</v>
      </c>
      <c r="C1442" s="44" t="s">
        <v>547</v>
      </c>
      <c r="D1442" s="151">
        <v>27.4</v>
      </c>
      <c r="E1442" s="46">
        <v>2.82</v>
      </c>
    </row>
    <row r="1443" spans="1:5" ht="15">
      <c r="A1443" s="6" t="s">
        <v>659</v>
      </c>
      <c r="B1443" s="24" t="s">
        <v>239</v>
      </c>
      <c r="C1443" s="44" t="s">
        <v>543</v>
      </c>
      <c r="D1443" s="151">
        <v>27.4</v>
      </c>
      <c r="E1443" s="46">
        <v>2.82</v>
      </c>
    </row>
    <row r="1444" spans="1:5" ht="15">
      <c r="A1444" s="6" t="s">
        <v>659</v>
      </c>
      <c r="B1444" s="24"/>
      <c r="C1444" s="185" t="s">
        <v>665</v>
      </c>
      <c r="D1444" s="151"/>
      <c r="E1444" s="46">
        <v>100</v>
      </c>
    </row>
    <row r="1445" spans="1:5" ht="15">
      <c r="A1445" s="6" t="s">
        <v>659</v>
      </c>
      <c r="B1445" s="24" t="s">
        <v>578</v>
      </c>
      <c r="C1445" s="44" t="s">
        <v>661</v>
      </c>
      <c r="D1445" s="151">
        <v>27.4</v>
      </c>
      <c r="E1445" s="46">
        <v>2.42</v>
      </c>
    </row>
    <row r="1446" spans="1:5" ht="15">
      <c r="A1446" s="6" t="s">
        <v>659</v>
      </c>
      <c r="B1446" s="24" t="s">
        <v>578</v>
      </c>
      <c r="C1446" s="44" t="s">
        <v>547</v>
      </c>
      <c r="D1446" s="151">
        <v>27.4</v>
      </c>
      <c r="E1446" s="46">
        <v>2.42</v>
      </c>
    </row>
    <row r="1447" spans="1:5" ht="15">
      <c r="A1447" s="6" t="s">
        <v>659</v>
      </c>
      <c r="B1447" s="24" t="s">
        <v>578</v>
      </c>
      <c r="C1447" s="44" t="s">
        <v>664</v>
      </c>
      <c r="D1447" s="151">
        <v>27.4</v>
      </c>
      <c r="E1447" s="46">
        <v>2.42</v>
      </c>
    </row>
    <row r="1448" spans="1:5" ht="15">
      <c r="A1448" s="6" t="s">
        <v>659</v>
      </c>
      <c r="B1448" s="24"/>
      <c r="C1448" s="185" t="s">
        <v>580</v>
      </c>
      <c r="D1448" s="151"/>
      <c r="E1448" s="46">
        <v>100</v>
      </c>
    </row>
    <row r="1449" spans="1:5" ht="15">
      <c r="A1449" s="6" t="s">
        <v>659</v>
      </c>
      <c r="B1449" s="24" t="s">
        <v>516</v>
      </c>
      <c r="C1449" s="44" t="s">
        <v>667</v>
      </c>
      <c r="D1449" s="151">
        <v>27.4</v>
      </c>
      <c r="E1449" s="46">
        <v>2.75</v>
      </c>
    </row>
    <row r="1450" spans="1:5" ht="15">
      <c r="A1450" s="6" t="s">
        <v>659</v>
      </c>
      <c r="B1450" s="24" t="s">
        <v>516</v>
      </c>
      <c r="C1450" s="44" t="s">
        <v>668</v>
      </c>
      <c r="D1450" s="151">
        <v>27.4</v>
      </c>
      <c r="E1450" s="46">
        <v>2.75</v>
      </c>
    </row>
    <row r="1451" spans="1:5" ht="15">
      <c r="A1451" s="6" t="s">
        <v>659</v>
      </c>
      <c r="B1451" s="24" t="s">
        <v>516</v>
      </c>
      <c r="C1451" s="44" t="s">
        <v>78</v>
      </c>
      <c r="D1451" s="151">
        <v>27.4</v>
      </c>
      <c r="E1451" s="46">
        <v>2.75</v>
      </c>
    </row>
    <row r="1452" spans="1:5" ht="15">
      <c r="A1452" s="6" t="s">
        <v>659</v>
      </c>
      <c r="B1452" s="24" t="s">
        <v>516</v>
      </c>
      <c r="C1452" s="44" t="s">
        <v>669</v>
      </c>
      <c r="D1452" s="151">
        <v>27.4</v>
      </c>
      <c r="E1452" s="46">
        <v>2.75</v>
      </c>
    </row>
    <row r="1453" spans="1:5" ht="15">
      <c r="A1453" s="6" t="s">
        <v>659</v>
      </c>
      <c r="B1453" s="24" t="s">
        <v>516</v>
      </c>
      <c r="C1453" s="44" t="s">
        <v>670</v>
      </c>
      <c r="D1453" s="151">
        <v>27.4</v>
      </c>
      <c r="E1453" s="46">
        <v>2.75</v>
      </c>
    </row>
    <row r="1454" spans="1:5" ht="15">
      <c r="A1454" s="6" t="s">
        <v>659</v>
      </c>
      <c r="B1454" s="24" t="s">
        <v>516</v>
      </c>
      <c r="C1454" s="185" t="s">
        <v>707</v>
      </c>
      <c r="D1454" s="151">
        <v>27.4</v>
      </c>
      <c r="E1454" s="46">
        <v>2.75</v>
      </c>
    </row>
    <row r="1455" spans="1:5" ht="15">
      <c r="A1455" s="6" t="s">
        <v>659</v>
      </c>
      <c r="B1455" s="24"/>
      <c r="C1455" s="185" t="s">
        <v>672</v>
      </c>
      <c r="D1455" s="151"/>
      <c r="E1455" s="46">
        <v>100</v>
      </c>
    </row>
    <row r="1456" spans="1:5" ht="15">
      <c r="A1456" s="6" t="s">
        <v>659</v>
      </c>
      <c r="B1456" s="24" t="s">
        <v>674</v>
      </c>
      <c r="C1456" s="44" t="s">
        <v>675</v>
      </c>
      <c r="D1456" s="151">
        <v>25</v>
      </c>
      <c r="E1456" s="46">
        <v>2.64</v>
      </c>
    </row>
    <row r="1457" spans="1:5" ht="15">
      <c r="A1457" s="6" t="s">
        <v>659</v>
      </c>
      <c r="B1457" s="24" t="s">
        <v>674</v>
      </c>
      <c r="C1457" s="44" t="s">
        <v>676</v>
      </c>
      <c r="D1457" s="151">
        <v>25</v>
      </c>
      <c r="E1457" s="46">
        <v>2.64</v>
      </c>
    </row>
    <row r="1458" spans="1:5" ht="15">
      <c r="A1458" s="6" t="s">
        <v>659</v>
      </c>
      <c r="B1458" s="24" t="s">
        <v>674</v>
      </c>
      <c r="C1458" s="44" t="s">
        <v>547</v>
      </c>
      <c r="D1458" s="151">
        <v>25</v>
      </c>
      <c r="E1458" s="46">
        <v>2.64</v>
      </c>
    </row>
    <row r="1459" spans="1:5" ht="15">
      <c r="A1459" s="6" t="s">
        <v>659</v>
      </c>
      <c r="B1459" s="24" t="s">
        <v>674</v>
      </c>
      <c r="C1459" s="44" t="s">
        <v>668</v>
      </c>
      <c r="D1459" s="151">
        <v>25</v>
      </c>
      <c r="E1459" s="46">
        <v>2.64</v>
      </c>
    </row>
    <row r="1460" spans="1:5" ht="15">
      <c r="A1460" s="6" t="s">
        <v>659</v>
      </c>
      <c r="B1460" s="24" t="s">
        <v>674</v>
      </c>
      <c r="C1460" s="44" t="s">
        <v>670</v>
      </c>
      <c r="D1460" s="151">
        <v>25</v>
      </c>
      <c r="E1460" s="46">
        <v>2.64</v>
      </c>
    </row>
    <row r="1461" spans="1:5" ht="15">
      <c r="A1461" s="6" t="s">
        <v>659</v>
      </c>
      <c r="B1461" s="24"/>
      <c r="C1461" s="185" t="s">
        <v>677</v>
      </c>
      <c r="D1461" s="151"/>
      <c r="E1461" s="46">
        <v>100</v>
      </c>
    </row>
    <row r="1462" spans="1:5" ht="15">
      <c r="A1462" s="6" t="s">
        <v>659</v>
      </c>
      <c r="B1462" s="95" t="s">
        <v>679</v>
      </c>
      <c r="C1462" s="44" t="s">
        <v>667</v>
      </c>
      <c r="D1462" s="151">
        <v>27.4</v>
      </c>
      <c r="E1462" s="46">
        <v>2.25</v>
      </c>
    </row>
    <row r="1463" spans="1:5" ht="15">
      <c r="A1463" s="6" t="s">
        <v>659</v>
      </c>
      <c r="B1463" s="95" t="s">
        <v>679</v>
      </c>
      <c r="C1463" s="44" t="s">
        <v>680</v>
      </c>
      <c r="D1463" s="151">
        <v>27.4</v>
      </c>
      <c r="E1463" s="46">
        <v>2.25</v>
      </c>
    </row>
    <row r="1464" spans="1:5" ht="15">
      <c r="A1464" s="6" t="s">
        <v>659</v>
      </c>
      <c r="B1464" s="95" t="s">
        <v>679</v>
      </c>
      <c r="C1464" s="44" t="s">
        <v>547</v>
      </c>
      <c r="D1464" s="151">
        <v>27.4</v>
      </c>
      <c r="E1464" s="46">
        <v>2.25</v>
      </c>
    </row>
    <row r="1465" spans="1:5" ht="15">
      <c r="A1465" s="6" t="s">
        <v>659</v>
      </c>
      <c r="B1465" s="95" t="s">
        <v>679</v>
      </c>
      <c r="C1465" s="44" t="s">
        <v>78</v>
      </c>
      <c r="D1465" s="151">
        <v>27.4</v>
      </c>
      <c r="E1465" s="46">
        <v>2.25</v>
      </c>
    </row>
    <row r="1466" spans="1:5" ht="15">
      <c r="A1466" s="6" t="s">
        <v>659</v>
      </c>
      <c r="B1466" s="95" t="s">
        <v>679</v>
      </c>
      <c r="C1466" s="44" t="s">
        <v>670</v>
      </c>
      <c r="D1466" s="151">
        <v>27.4</v>
      </c>
      <c r="E1466" s="46">
        <v>2.25</v>
      </c>
    </row>
    <row r="1467" spans="1:5" ht="15">
      <c r="A1467" s="6" t="s">
        <v>659</v>
      </c>
      <c r="B1467" s="95" t="s">
        <v>679</v>
      </c>
      <c r="C1467" s="44" t="s">
        <v>681</v>
      </c>
      <c r="D1467" s="151">
        <v>27.4</v>
      </c>
      <c r="E1467" s="46">
        <v>2.25</v>
      </c>
    </row>
    <row r="1468" spans="1:5" ht="15">
      <c r="A1468" s="6" t="s">
        <v>659</v>
      </c>
      <c r="B1468" s="95" t="s">
        <v>679</v>
      </c>
      <c r="C1468" s="185" t="s">
        <v>707</v>
      </c>
      <c r="D1468" s="151">
        <v>27.4</v>
      </c>
      <c r="E1468" s="46">
        <v>2.25</v>
      </c>
    </row>
    <row r="1469" spans="1:5" ht="15">
      <c r="A1469" s="6" t="s">
        <v>659</v>
      </c>
      <c r="B1469" s="24"/>
      <c r="C1469" s="185" t="s">
        <v>682</v>
      </c>
      <c r="D1469" s="151"/>
      <c r="E1469" s="46">
        <v>100</v>
      </c>
    </row>
    <row r="1470" spans="1:5" ht="15">
      <c r="A1470" s="6" t="s">
        <v>659</v>
      </c>
      <c r="B1470" s="24" t="s">
        <v>684</v>
      </c>
      <c r="C1470" s="44" t="s">
        <v>78</v>
      </c>
      <c r="D1470" s="151">
        <v>25</v>
      </c>
      <c r="E1470" s="46">
        <v>2.29</v>
      </c>
    </row>
    <row r="1471" spans="1:5" ht="15">
      <c r="A1471" s="6" t="s">
        <v>659</v>
      </c>
      <c r="B1471" s="24" t="s">
        <v>684</v>
      </c>
      <c r="C1471" s="44" t="s">
        <v>670</v>
      </c>
      <c r="D1471" s="151">
        <v>25</v>
      </c>
      <c r="E1471" s="46">
        <v>2.29</v>
      </c>
    </row>
    <row r="1472" spans="1:5" ht="15">
      <c r="A1472" s="6" t="s">
        <v>659</v>
      </c>
      <c r="B1472" s="24" t="s">
        <v>684</v>
      </c>
      <c r="C1472" s="44" t="s">
        <v>681</v>
      </c>
      <c r="D1472" s="151">
        <v>25</v>
      </c>
      <c r="E1472" s="46">
        <v>2.29</v>
      </c>
    </row>
    <row r="1473" spans="1:5" ht="15">
      <c r="A1473" s="6" t="s">
        <v>659</v>
      </c>
      <c r="B1473" s="24" t="s">
        <v>684</v>
      </c>
      <c r="C1473" s="185" t="s">
        <v>707</v>
      </c>
      <c r="D1473" s="151">
        <v>25</v>
      </c>
      <c r="E1473" s="46">
        <v>2.29</v>
      </c>
    </row>
    <row r="1474" spans="1:5" ht="15">
      <c r="A1474" s="6" t="s">
        <v>659</v>
      </c>
      <c r="B1474" s="24"/>
      <c r="C1474" s="185" t="s">
        <v>685</v>
      </c>
      <c r="D1474" s="151"/>
      <c r="E1474" s="46">
        <v>100</v>
      </c>
    </row>
    <row r="1475" spans="1:5" ht="15">
      <c r="A1475" s="6" t="s">
        <v>659</v>
      </c>
      <c r="B1475" s="24" t="s">
        <v>429</v>
      </c>
      <c r="C1475" s="44" t="s">
        <v>78</v>
      </c>
      <c r="D1475" s="151">
        <v>27.4</v>
      </c>
      <c r="E1475" s="46">
        <v>2.7</v>
      </c>
    </row>
    <row r="1476" spans="1:5" ht="15">
      <c r="A1476" s="6" t="s">
        <v>659</v>
      </c>
      <c r="B1476" s="24" t="s">
        <v>429</v>
      </c>
      <c r="C1476" s="44" t="s">
        <v>667</v>
      </c>
      <c r="D1476" s="151">
        <v>27.4</v>
      </c>
      <c r="E1476" s="46">
        <v>2.7</v>
      </c>
    </row>
    <row r="1477" spans="1:5" ht="15">
      <c r="A1477" s="6" t="s">
        <v>659</v>
      </c>
      <c r="B1477" s="24" t="s">
        <v>429</v>
      </c>
      <c r="C1477" s="44" t="s">
        <v>680</v>
      </c>
      <c r="D1477" s="151">
        <v>27.4</v>
      </c>
      <c r="E1477" s="46">
        <v>2.7</v>
      </c>
    </row>
    <row r="1478" spans="1:5" ht="15">
      <c r="A1478" s="6" t="s">
        <v>659</v>
      </c>
      <c r="B1478" s="24" t="s">
        <v>429</v>
      </c>
      <c r="C1478" s="44" t="s">
        <v>547</v>
      </c>
      <c r="D1478" s="151">
        <v>27.4</v>
      </c>
      <c r="E1478" s="46">
        <v>2.7</v>
      </c>
    </row>
    <row r="1479" spans="1:5" ht="15">
      <c r="A1479" s="6" t="s">
        <v>659</v>
      </c>
      <c r="B1479" s="24" t="s">
        <v>429</v>
      </c>
      <c r="C1479" s="44" t="s">
        <v>668</v>
      </c>
      <c r="D1479" s="151">
        <v>27.4</v>
      </c>
      <c r="E1479" s="46">
        <v>2.7</v>
      </c>
    </row>
    <row r="1480" spans="1:5" ht="15">
      <c r="A1480" s="6" t="s">
        <v>659</v>
      </c>
      <c r="B1480" s="24" t="s">
        <v>429</v>
      </c>
      <c r="C1480" s="44" t="s">
        <v>669</v>
      </c>
      <c r="D1480" s="151">
        <v>27.4</v>
      </c>
      <c r="E1480" s="46">
        <v>2.7</v>
      </c>
    </row>
    <row r="1481" spans="1:5" ht="15">
      <c r="A1481" s="6" t="s">
        <v>659</v>
      </c>
      <c r="B1481" s="24" t="s">
        <v>429</v>
      </c>
      <c r="C1481" s="44" t="s">
        <v>670</v>
      </c>
      <c r="D1481" s="151">
        <v>27.4</v>
      </c>
      <c r="E1481" s="46">
        <v>2.7</v>
      </c>
    </row>
    <row r="1482" spans="1:5" ht="15">
      <c r="A1482" s="6" t="s">
        <v>659</v>
      </c>
      <c r="B1482" s="24" t="s">
        <v>429</v>
      </c>
      <c r="C1482" s="44" t="s">
        <v>681</v>
      </c>
      <c r="D1482" s="151">
        <v>27.4</v>
      </c>
      <c r="E1482" s="46">
        <v>2.7</v>
      </c>
    </row>
    <row r="1483" spans="1:5" ht="15">
      <c r="A1483" s="6" t="s">
        <v>659</v>
      </c>
      <c r="B1483" s="24"/>
      <c r="C1483" s="185" t="s">
        <v>706</v>
      </c>
      <c r="D1483" s="151"/>
      <c r="E1483" s="46">
        <v>100</v>
      </c>
    </row>
    <row r="1486" spans="1:5" ht="15.75">
      <c r="A1486" s="99" t="s">
        <v>455</v>
      </c>
      <c r="B1486" s="90" t="s">
        <v>389</v>
      </c>
      <c r="C1486" s="90" t="s">
        <v>457</v>
      </c>
      <c r="D1486" s="100" t="s">
        <v>181</v>
      </c>
      <c r="E1486" s="101" t="s">
        <v>595</v>
      </c>
    </row>
    <row r="1487" spans="1:5" ht="15">
      <c r="A1487" s="24">
        <v>2250</v>
      </c>
      <c r="B1487" s="44">
        <v>6</v>
      </c>
      <c r="C1487" s="44" t="s">
        <v>100</v>
      </c>
      <c r="D1487" s="8">
        <v>30</v>
      </c>
      <c r="E1487" s="46">
        <v>0.19</v>
      </c>
    </row>
    <row r="1488" spans="1:5" ht="15">
      <c r="A1488" s="24">
        <v>2250</v>
      </c>
      <c r="B1488" s="44">
        <v>6</v>
      </c>
      <c r="C1488" s="44" t="s">
        <v>708</v>
      </c>
      <c r="D1488" s="8">
        <v>30</v>
      </c>
      <c r="E1488" s="46">
        <v>0.19</v>
      </c>
    </row>
    <row r="1489" spans="1:5" ht="22.5">
      <c r="A1489" s="56"/>
      <c r="B1489" s="44"/>
      <c r="C1489" s="44" t="s">
        <v>31</v>
      </c>
      <c r="D1489" s="151" ph="1"/>
      <c r="E1489" s="46">
        <v>12</v>
      </c>
    </row>
    <row r="1491" spans="1:5" ht="15.75">
      <c r="A1491" s="99" t="s">
        <v>105</v>
      </c>
      <c r="B1491" s="99" t="s">
        <v>455</v>
      </c>
      <c r="C1491" s="90" t="s">
        <v>457</v>
      </c>
      <c r="D1491" s="100" t="s">
        <v>181</v>
      </c>
      <c r="E1491" s="101" t="s">
        <v>595</v>
      </c>
    </row>
    <row r="1492" spans="1:5" ht="15">
      <c r="A1492" s="6" t="s">
        <v>659</v>
      </c>
      <c r="B1492" s="24" t="s">
        <v>239</v>
      </c>
      <c r="C1492" s="44" t="s">
        <v>78</v>
      </c>
      <c r="D1492" s="151">
        <v>27.4</v>
      </c>
      <c r="E1492" s="46">
        <v>2.82</v>
      </c>
    </row>
    <row r="1493" spans="1:5" ht="15">
      <c r="A1493" s="6" t="s">
        <v>659</v>
      </c>
      <c r="B1493" s="24" t="s">
        <v>239</v>
      </c>
      <c r="C1493" s="44" t="s">
        <v>660</v>
      </c>
      <c r="D1493" s="151">
        <v>27.4</v>
      </c>
      <c r="E1493" s="46">
        <v>2.82</v>
      </c>
    </row>
    <row r="1494" spans="1:5" ht="15">
      <c r="A1494" s="6" t="s">
        <v>659</v>
      </c>
      <c r="B1494" s="24" t="s">
        <v>239</v>
      </c>
      <c r="C1494" s="44" t="s">
        <v>661</v>
      </c>
      <c r="D1494" s="151">
        <v>27.4</v>
      </c>
      <c r="E1494" s="46">
        <v>2.82</v>
      </c>
    </row>
    <row r="1495" spans="1:5" ht="15">
      <c r="A1495" s="6" t="s">
        <v>659</v>
      </c>
      <c r="B1495" s="24" t="s">
        <v>239</v>
      </c>
      <c r="C1495" s="44" t="s">
        <v>662</v>
      </c>
      <c r="D1495" s="151">
        <v>27.4</v>
      </c>
      <c r="E1495" s="46">
        <v>2.82</v>
      </c>
    </row>
    <row r="1496" spans="1:5" ht="15">
      <c r="A1496" s="6" t="s">
        <v>659</v>
      </c>
      <c r="B1496" s="24" t="s">
        <v>239</v>
      </c>
      <c r="C1496" s="44" t="s">
        <v>663</v>
      </c>
      <c r="D1496" s="151">
        <v>27.4</v>
      </c>
      <c r="E1496" s="46">
        <v>2.82</v>
      </c>
    </row>
    <row r="1497" spans="1:5" ht="15">
      <c r="A1497" s="6" t="s">
        <v>659</v>
      </c>
      <c r="B1497" s="24" t="s">
        <v>239</v>
      </c>
      <c r="C1497" s="44" t="s">
        <v>664</v>
      </c>
      <c r="D1497" s="151">
        <v>27.4</v>
      </c>
      <c r="E1497" s="46">
        <v>2.82</v>
      </c>
    </row>
    <row r="1498" spans="1:5" ht="15">
      <c r="A1498" s="6" t="s">
        <v>659</v>
      </c>
      <c r="B1498" s="24" t="s">
        <v>239</v>
      </c>
      <c r="C1498" s="44" t="s">
        <v>547</v>
      </c>
      <c r="D1498" s="151">
        <v>27.4</v>
      </c>
      <c r="E1498" s="46">
        <v>2.82</v>
      </c>
    </row>
    <row r="1499" spans="1:5" ht="15">
      <c r="A1499" s="6" t="s">
        <v>659</v>
      </c>
      <c r="B1499" s="24" t="s">
        <v>239</v>
      </c>
      <c r="C1499" s="44" t="s">
        <v>543</v>
      </c>
      <c r="D1499" s="151">
        <v>27.4</v>
      </c>
      <c r="E1499" s="46">
        <v>2.82</v>
      </c>
    </row>
    <row r="1500" spans="1:5" ht="15">
      <c r="A1500" s="6" t="s">
        <v>659</v>
      </c>
      <c r="B1500" s="24"/>
      <c r="C1500" s="185" t="s">
        <v>665</v>
      </c>
      <c r="D1500" s="151"/>
      <c r="E1500" s="46">
        <v>100</v>
      </c>
    </row>
    <row r="1501" spans="1:5" ht="15">
      <c r="A1501" s="6" t="s">
        <v>659</v>
      </c>
      <c r="B1501" s="24" t="s">
        <v>578</v>
      </c>
      <c r="C1501" s="44" t="s">
        <v>661</v>
      </c>
      <c r="D1501" s="151">
        <v>27.4</v>
      </c>
      <c r="E1501" s="46">
        <v>2.42</v>
      </c>
    </row>
    <row r="1502" spans="1:5" ht="15">
      <c r="A1502" s="6" t="s">
        <v>659</v>
      </c>
      <c r="B1502" s="24" t="s">
        <v>578</v>
      </c>
      <c r="C1502" s="44" t="s">
        <v>547</v>
      </c>
      <c r="D1502" s="151">
        <v>27.4</v>
      </c>
      <c r="E1502" s="46">
        <v>2.42</v>
      </c>
    </row>
    <row r="1503" spans="1:5" ht="15">
      <c r="A1503" s="6" t="s">
        <v>659</v>
      </c>
      <c r="B1503" s="24" t="s">
        <v>578</v>
      </c>
      <c r="C1503" s="44" t="s">
        <v>664</v>
      </c>
      <c r="D1503" s="151">
        <v>27.4</v>
      </c>
      <c r="E1503" s="46">
        <v>2.42</v>
      </c>
    </row>
    <row r="1504" spans="1:5" ht="15">
      <c r="A1504" s="6" t="s">
        <v>659</v>
      </c>
      <c r="B1504" s="24"/>
      <c r="C1504" s="185" t="s">
        <v>580</v>
      </c>
      <c r="D1504" s="151"/>
      <c r="E1504" s="46">
        <v>100</v>
      </c>
    </row>
    <row r="1505" spans="1:5" ht="15">
      <c r="A1505" s="6" t="s">
        <v>659</v>
      </c>
      <c r="B1505" s="24" t="s">
        <v>516</v>
      </c>
      <c r="C1505" s="44" t="s">
        <v>667</v>
      </c>
      <c r="D1505" s="151">
        <v>27.4</v>
      </c>
      <c r="E1505" s="46">
        <v>2.75</v>
      </c>
    </row>
    <row r="1506" spans="1:5" ht="15">
      <c r="A1506" s="6" t="s">
        <v>659</v>
      </c>
      <c r="B1506" s="24" t="s">
        <v>516</v>
      </c>
      <c r="C1506" s="44" t="s">
        <v>668</v>
      </c>
      <c r="D1506" s="151">
        <v>27.4</v>
      </c>
      <c r="E1506" s="46">
        <v>2.75</v>
      </c>
    </row>
    <row r="1507" spans="1:5" ht="15">
      <c r="A1507" s="6" t="s">
        <v>659</v>
      </c>
      <c r="B1507" s="24" t="s">
        <v>516</v>
      </c>
      <c r="C1507" s="44" t="s">
        <v>78</v>
      </c>
      <c r="D1507" s="151">
        <v>27.4</v>
      </c>
      <c r="E1507" s="46">
        <v>2.75</v>
      </c>
    </row>
    <row r="1508" spans="1:5" ht="15">
      <c r="A1508" s="6" t="s">
        <v>659</v>
      </c>
      <c r="B1508" s="24" t="s">
        <v>516</v>
      </c>
      <c r="C1508" s="44" t="s">
        <v>669</v>
      </c>
      <c r="D1508" s="151">
        <v>27.4</v>
      </c>
      <c r="E1508" s="46">
        <v>2.75</v>
      </c>
    </row>
    <row r="1509" spans="1:5" ht="15">
      <c r="A1509" s="6" t="s">
        <v>659</v>
      </c>
      <c r="B1509" s="24" t="s">
        <v>516</v>
      </c>
      <c r="C1509" s="44" t="s">
        <v>670</v>
      </c>
      <c r="D1509" s="151">
        <v>27.4</v>
      </c>
      <c r="E1509" s="46">
        <v>2.75</v>
      </c>
    </row>
    <row r="1510" spans="1:5" ht="15">
      <c r="A1510" s="6" t="s">
        <v>659</v>
      </c>
      <c r="B1510" s="24" t="s">
        <v>516</v>
      </c>
      <c r="C1510" s="185" t="s">
        <v>707</v>
      </c>
      <c r="D1510" s="151">
        <v>27.4</v>
      </c>
      <c r="E1510" s="46">
        <v>2.75</v>
      </c>
    </row>
    <row r="1511" spans="1:5" ht="15">
      <c r="A1511" s="6" t="s">
        <v>659</v>
      </c>
      <c r="B1511" s="24"/>
      <c r="C1511" s="185" t="s">
        <v>672</v>
      </c>
      <c r="D1511" s="151"/>
      <c r="E1511" s="46">
        <v>100</v>
      </c>
    </row>
    <row r="1512" spans="1:5" ht="15">
      <c r="A1512" s="6" t="s">
        <v>659</v>
      </c>
      <c r="B1512" s="24" t="s">
        <v>674</v>
      </c>
      <c r="C1512" s="44" t="s">
        <v>675</v>
      </c>
      <c r="D1512" s="151">
        <v>25</v>
      </c>
      <c r="E1512" s="46">
        <v>2.64</v>
      </c>
    </row>
    <row r="1513" spans="1:5" ht="15">
      <c r="A1513" s="6" t="s">
        <v>659</v>
      </c>
      <c r="B1513" s="24" t="s">
        <v>674</v>
      </c>
      <c r="C1513" s="44" t="s">
        <v>676</v>
      </c>
      <c r="D1513" s="151">
        <v>25</v>
      </c>
      <c r="E1513" s="46">
        <v>2.64</v>
      </c>
    </row>
    <row r="1514" spans="1:5" ht="15">
      <c r="A1514" s="6" t="s">
        <v>659</v>
      </c>
      <c r="B1514" s="24" t="s">
        <v>674</v>
      </c>
      <c r="C1514" s="44" t="s">
        <v>547</v>
      </c>
      <c r="D1514" s="151">
        <v>25</v>
      </c>
      <c r="E1514" s="46">
        <v>2.64</v>
      </c>
    </row>
    <row r="1515" spans="1:5" ht="15">
      <c r="A1515" s="6" t="s">
        <v>659</v>
      </c>
      <c r="B1515" s="24" t="s">
        <v>674</v>
      </c>
      <c r="C1515" s="44" t="s">
        <v>668</v>
      </c>
      <c r="D1515" s="151">
        <v>25</v>
      </c>
      <c r="E1515" s="46">
        <v>2.64</v>
      </c>
    </row>
    <row r="1516" spans="1:5" ht="15">
      <c r="A1516" s="6" t="s">
        <v>659</v>
      </c>
      <c r="B1516" s="24" t="s">
        <v>674</v>
      </c>
      <c r="C1516" s="44" t="s">
        <v>670</v>
      </c>
      <c r="D1516" s="151">
        <v>25</v>
      </c>
      <c r="E1516" s="46">
        <v>2.64</v>
      </c>
    </row>
    <row r="1517" spans="1:5" ht="15">
      <c r="A1517" s="6" t="s">
        <v>659</v>
      </c>
      <c r="B1517" s="24"/>
      <c r="C1517" s="185" t="s">
        <v>677</v>
      </c>
      <c r="D1517" s="151"/>
      <c r="E1517" s="46">
        <v>100</v>
      </c>
    </row>
    <row r="1518" spans="1:5" ht="15">
      <c r="A1518" s="6" t="s">
        <v>659</v>
      </c>
      <c r="B1518" s="24" t="s">
        <v>709</v>
      </c>
      <c r="C1518" s="44" t="s">
        <v>667</v>
      </c>
      <c r="D1518" s="151">
        <v>27.4</v>
      </c>
      <c r="E1518" s="46">
        <v>2.5</v>
      </c>
    </row>
    <row r="1519" spans="1:5" ht="15">
      <c r="A1519" s="6" t="s">
        <v>659</v>
      </c>
      <c r="B1519" s="24" t="s">
        <v>709</v>
      </c>
      <c r="C1519" s="44" t="s">
        <v>680</v>
      </c>
      <c r="D1519" s="151">
        <v>27.4</v>
      </c>
      <c r="E1519" s="46">
        <v>2.5</v>
      </c>
    </row>
    <row r="1520" spans="1:5" ht="15">
      <c r="A1520" s="6" t="s">
        <v>659</v>
      </c>
      <c r="B1520" s="24" t="s">
        <v>709</v>
      </c>
      <c r="C1520" s="44" t="s">
        <v>547</v>
      </c>
      <c r="D1520" s="151">
        <v>27.4</v>
      </c>
      <c r="E1520" s="46">
        <v>2.5</v>
      </c>
    </row>
    <row r="1521" spans="1:5" ht="15">
      <c r="A1521" s="6" t="s">
        <v>659</v>
      </c>
      <c r="B1521" s="24" t="s">
        <v>709</v>
      </c>
      <c r="C1521" s="44" t="s">
        <v>78</v>
      </c>
      <c r="D1521" s="151">
        <v>27.4</v>
      </c>
      <c r="E1521" s="46">
        <v>2.5</v>
      </c>
    </row>
    <row r="1522" spans="1:5" ht="15">
      <c r="A1522" s="6" t="s">
        <v>659</v>
      </c>
      <c r="B1522" s="24" t="s">
        <v>709</v>
      </c>
      <c r="C1522" s="44" t="s">
        <v>670</v>
      </c>
      <c r="D1522" s="151">
        <v>27.4</v>
      </c>
      <c r="E1522" s="46">
        <v>2.5</v>
      </c>
    </row>
    <row r="1523" spans="1:5" ht="15">
      <c r="A1523" s="6" t="s">
        <v>659</v>
      </c>
      <c r="B1523" s="24" t="s">
        <v>709</v>
      </c>
      <c r="C1523" s="44" t="s">
        <v>681</v>
      </c>
      <c r="D1523" s="151">
        <v>27.4</v>
      </c>
      <c r="E1523" s="46">
        <v>2.5</v>
      </c>
    </row>
    <row r="1524" spans="1:5" ht="15">
      <c r="A1524" s="6" t="s">
        <v>659</v>
      </c>
      <c r="B1524" s="24" t="s">
        <v>709</v>
      </c>
      <c r="C1524" s="185" t="s">
        <v>707</v>
      </c>
      <c r="D1524" s="151">
        <v>27.4</v>
      </c>
      <c r="E1524" s="46">
        <v>2.5</v>
      </c>
    </row>
    <row r="1525" spans="1:5" ht="15">
      <c r="A1525" s="6" t="s">
        <v>659</v>
      </c>
      <c r="B1525" s="24"/>
      <c r="C1525" s="185" t="s">
        <v>710</v>
      </c>
      <c r="D1525" s="151"/>
      <c r="E1525" s="46">
        <v>100</v>
      </c>
    </row>
    <row r="1526" spans="1:5" ht="15">
      <c r="A1526" s="6" t="s">
        <v>659</v>
      </c>
      <c r="B1526" s="24" t="s">
        <v>684</v>
      </c>
      <c r="C1526" s="44" t="s">
        <v>78</v>
      </c>
      <c r="D1526" s="151">
        <v>25</v>
      </c>
      <c r="E1526" s="46">
        <v>2.29</v>
      </c>
    </row>
    <row r="1527" spans="1:5" ht="15">
      <c r="A1527" s="6" t="s">
        <v>659</v>
      </c>
      <c r="B1527" s="24" t="s">
        <v>684</v>
      </c>
      <c r="C1527" s="44" t="s">
        <v>670</v>
      </c>
      <c r="D1527" s="151">
        <v>25</v>
      </c>
      <c r="E1527" s="46">
        <v>2.29</v>
      </c>
    </row>
    <row r="1528" spans="1:5" ht="15">
      <c r="A1528" s="6" t="s">
        <v>659</v>
      </c>
      <c r="B1528" s="24" t="s">
        <v>684</v>
      </c>
      <c r="C1528" s="44" t="s">
        <v>681</v>
      </c>
      <c r="D1528" s="151">
        <v>25</v>
      </c>
      <c r="E1528" s="46">
        <v>2.29</v>
      </c>
    </row>
    <row r="1529" spans="1:5" ht="15">
      <c r="A1529" s="6" t="s">
        <v>659</v>
      </c>
      <c r="B1529" s="24" t="s">
        <v>684</v>
      </c>
      <c r="C1529" s="185" t="s">
        <v>707</v>
      </c>
      <c r="D1529" s="151">
        <v>25</v>
      </c>
      <c r="E1529" s="46">
        <v>2.29</v>
      </c>
    </row>
    <row r="1530" spans="1:5" ht="15">
      <c r="A1530" s="6" t="s">
        <v>659</v>
      </c>
      <c r="B1530" s="24"/>
      <c r="C1530" s="185" t="s">
        <v>685</v>
      </c>
      <c r="D1530" s="151"/>
      <c r="E1530" s="46">
        <v>100</v>
      </c>
    </row>
    <row r="1531" spans="1:5" ht="15">
      <c r="A1531" s="6" t="s">
        <v>659</v>
      </c>
      <c r="B1531" s="24" t="s">
        <v>429</v>
      </c>
      <c r="C1531" s="44" t="s">
        <v>78</v>
      </c>
      <c r="D1531" s="151">
        <v>27.4</v>
      </c>
      <c r="E1531" s="46">
        <v>2.7</v>
      </c>
    </row>
    <row r="1532" spans="1:5" ht="15">
      <c r="A1532" s="6" t="s">
        <v>659</v>
      </c>
      <c r="B1532" s="24" t="s">
        <v>429</v>
      </c>
      <c r="C1532" s="44" t="s">
        <v>667</v>
      </c>
      <c r="D1532" s="151">
        <v>27.4</v>
      </c>
      <c r="E1532" s="46">
        <v>2.7</v>
      </c>
    </row>
    <row r="1533" spans="1:5" ht="15">
      <c r="A1533" s="6" t="s">
        <v>659</v>
      </c>
      <c r="B1533" s="24" t="s">
        <v>429</v>
      </c>
      <c r="C1533" s="44" t="s">
        <v>680</v>
      </c>
      <c r="D1533" s="151">
        <v>27.4</v>
      </c>
      <c r="E1533" s="46">
        <v>2.7</v>
      </c>
    </row>
    <row r="1534" spans="1:5" ht="15">
      <c r="A1534" s="6" t="s">
        <v>659</v>
      </c>
      <c r="B1534" s="24" t="s">
        <v>429</v>
      </c>
      <c r="C1534" s="44" t="s">
        <v>547</v>
      </c>
      <c r="D1534" s="151">
        <v>27.4</v>
      </c>
      <c r="E1534" s="46">
        <v>2.7</v>
      </c>
    </row>
    <row r="1535" spans="1:5" ht="15">
      <c r="A1535" s="6" t="s">
        <v>659</v>
      </c>
      <c r="B1535" s="24" t="s">
        <v>429</v>
      </c>
      <c r="C1535" s="44" t="s">
        <v>668</v>
      </c>
      <c r="D1535" s="151">
        <v>27.4</v>
      </c>
      <c r="E1535" s="46">
        <v>2.7</v>
      </c>
    </row>
    <row r="1536" spans="1:5" ht="15">
      <c r="A1536" s="6" t="s">
        <v>659</v>
      </c>
      <c r="B1536" s="24" t="s">
        <v>429</v>
      </c>
      <c r="C1536" s="44" t="s">
        <v>669</v>
      </c>
      <c r="D1536" s="151">
        <v>27.4</v>
      </c>
      <c r="E1536" s="46">
        <v>2.7</v>
      </c>
    </row>
    <row r="1537" spans="1:8" ht="15">
      <c r="A1537" s="6" t="s">
        <v>659</v>
      </c>
      <c r="B1537" s="24" t="s">
        <v>429</v>
      </c>
      <c r="C1537" s="44" t="s">
        <v>670</v>
      </c>
      <c r="D1537" s="151">
        <v>27.4</v>
      </c>
      <c r="E1537" s="46">
        <v>2.7</v>
      </c>
    </row>
    <row r="1538" spans="1:8" ht="15">
      <c r="A1538" s="6" t="s">
        <v>659</v>
      </c>
      <c r="B1538" s="24" t="s">
        <v>429</v>
      </c>
      <c r="C1538" s="44" t="s">
        <v>681</v>
      </c>
      <c r="D1538" s="151">
        <v>27.4</v>
      </c>
      <c r="E1538" s="46">
        <v>2.7</v>
      </c>
    </row>
    <row r="1539" spans="1:8" ht="15">
      <c r="A1539" s="6" t="s">
        <v>659</v>
      </c>
      <c r="B1539" s="24"/>
      <c r="C1539" s="185" t="s">
        <v>706</v>
      </c>
      <c r="D1539" s="151"/>
      <c r="E1539" s="46">
        <v>100</v>
      </c>
    </row>
    <row r="1542" spans="1:8" ht="15.75">
      <c r="A1542" s="99" t="s">
        <v>455</v>
      </c>
      <c r="B1542" s="90" t="s">
        <v>389</v>
      </c>
      <c r="C1542" s="90" t="s">
        <v>457</v>
      </c>
      <c r="D1542" s="100" t="s">
        <v>181</v>
      </c>
      <c r="E1542" s="101" t="s">
        <v>595</v>
      </c>
      <c r="F1542" s="101" t="s">
        <v>151</v>
      </c>
    </row>
    <row r="1543" spans="1:8" ht="15">
      <c r="A1543" s="24" t="s">
        <v>536</v>
      </c>
      <c r="B1543" s="150">
        <v>160</v>
      </c>
      <c r="C1543" s="24" t="s">
        <v>597</v>
      </c>
      <c r="D1543" s="8">
        <v>400</v>
      </c>
      <c r="E1543" s="46">
        <v>4.08</v>
      </c>
      <c r="F1543" s="208" t="s">
        <v>712</v>
      </c>
    </row>
    <row r="1544" spans="1:8" ht="15">
      <c r="A1544" s="24" t="s">
        <v>536</v>
      </c>
      <c r="B1544" s="150">
        <v>160</v>
      </c>
      <c r="C1544" s="24" t="s">
        <v>598</v>
      </c>
      <c r="D1544" s="8">
        <v>200</v>
      </c>
      <c r="E1544" s="46">
        <v>4.2</v>
      </c>
      <c r="F1544" s="208" t="s">
        <v>152</v>
      </c>
    </row>
    <row r="1545" spans="1:8" ht="15">
      <c r="A1545" s="24" t="s">
        <v>536</v>
      </c>
      <c r="B1545" s="150">
        <v>160</v>
      </c>
      <c r="C1545" s="24" t="s">
        <v>114</v>
      </c>
      <c r="D1545" s="8">
        <v>350</v>
      </c>
      <c r="E1545" s="46">
        <v>4.08</v>
      </c>
      <c r="F1545" s="208" t="s">
        <v>711</v>
      </c>
    </row>
    <row r="1547" spans="1:8" ht="15.75">
      <c r="A1547" s="99" t="s">
        <v>105</v>
      </c>
      <c r="B1547" s="99" t="s">
        <v>455</v>
      </c>
      <c r="C1547" s="90" t="s">
        <v>389</v>
      </c>
      <c r="D1547" s="100" t="s">
        <v>182</v>
      </c>
      <c r="E1547" s="100" t="s">
        <v>181</v>
      </c>
      <c r="F1547" s="101" t="s">
        <v>595</v>
      </c>
      <c r="G1547" s="34" t="s">
        <v>134</v>
      </c>
      <c r="H1547" s="31"/>
    </row>
    <row r="1548" spans="1:8" ht="15">
      <c r="A1548" s="6" t="s">
        <v>713</v>
      </c>
      <c r="B1548" s="24">
        <v>5262</v>
      </c>
      <c r="C1548" s="44">
        <v>8</v>
      </c>
      <c r="D1548" s="152">
        <v>1</v>
      </c>
      <c r="E1548" s="67">
        <v>50</v>
      </c>
      <c r="F1548" s="46">
        <v>0.34</v>
      </c>
    </row>
    <row r="1549" spans="1:8" ht="15">
      <c r="A1549" s="6" t="s">
        <v>713</v>
      </c>
      <c r="B1549" s="24"/>
      <c r="C1549" s="138"/>
      <c r="D1549" s="41"/>
      <c r="E1549" s="8"/>
      <c r="F1549" s="46">
        <v>12</v>
      </c>
    </row>
    <row r="1551" spans="1:8" ht="15.75">
      <c r="A1551" s="99" t="s">
        <v>455</v>
      </c>
      <c r="B1551" s="90" t="s">
        <v>457</v>
      </c>
      <c r="C1551" s="100" t="s">
        <v>181</v>
      </c>
    </row>
    <row r="1552" spans="1:8" ht="15">
      <c r="A1552" s="24" t="s">
        <v>239</v>
      </c>
      <c r="B1552" s="44" t="s">
        <v>715</v>
      </c>
      <c r="C1552" s="151">
        <v>27.4</v>
      </c>
    </row>
    <row r="1553" spans="1:4" ht="15">
      <c r="A1553" s="56"/>
      <c r="B1553" s="16"/>
      <c r="C1553" s="185" t="s">
        <v>665</v>
      </c>
      <c r="D1553" s="152"/>
    </row>
    <row r="1555" spans="1:4" ht="15.75">
      <c r="A1555" s="99" t="s">
        <v>455</v>
      </c>
      <c r="B1555" s="90" t="s">
        <v>457</v>
      </c>
      <c r="C1555" s="100" t="s">
        <v>181</v>
      </c>
    </row>
    <row r="1556" spans="1:4" ht="15">
      <c r="A1556" s="24" t="s">
        <v>239</v>
      </c>
      <c r="B1556" s="209" t="s">
        <v>78</v>
      </c>
      <c r="C1556" s="211">
        <v>27.4</v>
      </c>
    </row>
    <row r="1557" spans="1:4" ht="15">
      <c r="A1557" s="24" t="s">
        <v>239</v>
      </c>
      <c r="B1557" s="209" t="s">
        <v>660</v>
      </c>
      <c r="C1557" s="211">
        <v>27.4</v>
      </c>
    </row>
    <row r="1558" spans="1:4" ht="15">
      <c r="A1558" s="24" t="s">
        <v>239</v>
      </c>
      <c r="B1558" s="209" t="s">
        <v>661</v>
      </c>
      <c r="C1558" s="211">
        <v>27.4</v>
      </c>
    </row>
    <row r="1559" spans="1:4" ht="15">
      <c r="A1559" s="24" t="s">
        <v>239</v>
      </c>
      <c r="B1559" s="209" t="s">
        <v>662</v>
      </c>
      <c r="C1559" s="211">
        <v>27.4</v>
      </c>
    </row>
    <row r="1560" spans="1:4" ht="15">
      <c r="A1560" s="24" t="s">
        <v>239</v>
      </c>
      <c r="B1560" s="209" t="s">
        <v>663</v>
      </c>
      <c r="C1560" s="211">
        <v>27.4</v>
      </c>
    </row>
    <row r="1561" spans="1:4" ht="15">
      <c r="A1561" s="24" t="s">
        <v>239</v>
      </c>
      <c r="B1561" s="209" t="s">
        <v>664</v>
      </c>
      <c r="C1561" s="211">
        <v>27.4</v>
      </c>
    </row>
    <row r="1562" spans="1:4" ht="15">
      <c r="A1562" s="24" t="s">
        <v>239</v>
      </c>
      <c r="B1562" s="209" t="s">
        <v>547</v>
      </c>
      <c r="C1562" s="211">
        <v>27.4</v>
      </c>
    </row>
    <row r="1563" spans="1:4" ht="15">
      <c r="A1563" s="24" t="s">
        <v>239</v>
      </c>
      <c r="B1563" s="209" t="s">
        <v>543</v>
      </c>
      <c r="C1563" s="211">
        <v>27.4</v>
      </c>
    </row>
    <row r="1564" spans="1:4" ht="15">
      <c r="A1564" s="24"/>
      <c r="B1564" s="185"/>
      <c r="C1564" s="151"/>
    </row>
    <row r="1565" spans="1:4" ht="15">
      <c r="A1565" s="24" t="s">
        <v>578</v>
      </c>
      <c r="B1565" s="209" t="s">
        <v>661</v>
      </c>
      <c r="C1565" s="211">
        <v>27.4</v>
      </c>
    </row>
    <row r="1566" spans="1:4" ht="15">
      <c r="A1566" s="24" t="s">
        <v>578</v>
      </c>
      <c r="B1566" s="209" t="s">
        <v>547</v>
      </c>
      <c r="C1566" s="211">
        <v>27.4</v>
      </c>
    </row>
    <row r="1567" spans="1:4" ht="15">
      <c r="A1567" s="24" t="s">
        <v>578</v>
      </c>
      <c r="B1567" s="209" t="s">
        <v>664</v>
      </c>
      <c r="C1567" s="211">
        <v>27.4</v>
      </c>
    </row>
    <row r="1568" spans="1:4" ht="15">
      <c r="A1568" s="24"/>
      <c r="B1568" s="185"/>
      <c r="C1568" s="151"/>
    </row>
    <row r="1569" spans="1:3" ht="15">
      <c r="A1569" s="24" t="s">
        <v>516</v>
      </c>
      <c r="B1569" s="209" t="s">
        <v>667</v>
      </c>
      <c r="C1569" s="211">
        <v>27.4</v>
      </c>
    </row>
    <row r="1570" spans="1:3" ht="15">
      <c r="A1570" s="24" t="s">
        <v>516</v>
      </c>
      <c r="B1570" s="209" t="s">
        <v>668</v>
      </c>
      <c r="C1570" s="211">
        <v>27.4</v>
      </c>
    </row>
    <row r="1571" spans="1:3" ht="15">
      <c r="A1571" s="24" t="s">
        <v>516</v>
      </c>
      <c r="B1571" s="209" t="s">
        <v>78</v>
      </c>
      <c r="C1571" s="211">
        <v>27.4</v>
      </c>
    </row>
    <row r="1572" spans="1:3" ht="15">
      <c r="A1572" s="24" t="s">
        <v>516</v>
      </c>
      <c r="B1572" s="209" t="s">
        <v>669</v>
      </c>
      <c r="C1572" s="211">
        <v>27.4</v>
      </c>
    </row>
    <row r="1573" spans="1:3" ht="15">
      <c r="A1573" s="24" t="s">
        <v>516</v>
      </c>
      <c r="B1573" s="209" t="s">
        <v>670</v>
      </c>
      <c r="C1573" s="211">
        <v>27.4</v>
      </c>
    </row>
    <row r="1574" spans="1:3" ht="15">
      <c r="A1574" s="24" t="s">
        <v>516</v>
      </c>
      <c r="B1574" s="210" t="s">
        <v>707</v>
      </c>
      <c r="C1574" s="211">
        <v>27.4</v>
      </c>
    </row>
    <row r="1575" spans="1:3" ht="15">
      <c r="A1575" s="24"/>
      <c r="B1575" s="185"/>
      <c r="C1575" s="151"/>
    </row>
    <row r="1576" spans="1:3" ht="15">
      <c r="A1576" s="24" t="s">
        <v>674</v>
      </c>
      <c r="B1576" s="233" t="s">
        <v>675</v>
      </c>
      <c r="C1576" s="151">
        <v>25</v>
      </c>
    </row>
    <row r="1577" spans="1:3" ht="15">
      <c r="A1577" s="24" t="s">
        <v>674</v>
      </c>
      <c r="B1577" s="233" t="s">
        <v>676</v>
      </c>
      <c r="C1577" s="151">
        <v>25</v>
      </c>
    </row>
    <row r="1578" spans="1:3" ht="15">
      <c r="A1578" s="24" t="s">
        <v>674</v>
      </c>
      <c r="B1578" s="233" t="s">
        <v>547</v>
      </c>
      <c r="C1578" s="151">
        <v>25</v>
      </c>
    </row>
    <row r="1579" spans="1:3" ht="15">
      <c r="A1579" s="24" t="s">
        <v>674</v>
      </c>
      <c r="B1579" s="233" t="s">
        <v>668</v>
      </c>
      <c r="C1579" s="151">
        <v>25</v>
      </c>
    </row>
    <row r="1580" spans="1:3" ht="15">
      <c r="A1580" s="24" t="s">
        <v>674</v>
      </c>
      <c r="B1580" s="233" t="s">
        <v>670</v>
      </c>
      <c r="C1580" s="151">
        <v>25</v>
      </c>
    </row>
    <row r="1581" spans="1:3" ht="15">
      <c r="A1581" s="24"/>
      <c r="B1581" s="185"/>
      <c r="C1581" s="151"/>
    </row>
    <row r="1582" spans="1:3" ht="15">
      <c r="A1582" s="24" t="s">
        <v>709</v>
      </c>
      <c r="B1582" s="209" t="s">
        <v>667</v>
      </c>
      <c r="C1582" s="211">
        <v>27.4</v>
      </c>
    </row>
    <row r="1583" spans="1:3" ht="15">
      <c r="A1583" s="24" t="s">
        <v>709</v>
      </c>
      <c r="B1583" s="209" t="s">
        <v>680</v>
      </c>
      <c r="C1583" s="211">
        <v>27.4</v>
      </c>
    </row>
    <row r="1584" spans="1:3" ht="15">
      <c r="A1584" s="24" t="s">
        <v>709</v>
      </c>
      <c r="B1584" s="209" t="s">
        <v>547</v>
      </c>
      <c r="C1584" s="211">
        <v>27.4</v>
      </c>
    </row>
    <row r="1585" spans="1:3" ht="15">
      <c r="A1585" s="24" t="s">
        <v>709</v>
      </c>
      <c r="B1585" s="235" t="s">
        <v>78</v>
      </c>
      <c r="C1585" s="211">
        <v>27.4</v>
      </c>
    </row>
    <row r="1586" spans="1:3" ht="15">
      <c r="A1586" s="24" t="s">
        <v>709</v>
      </c>
      <c r="B1586" s="209" t="s">
        <v>670</v>
      </c>
      <c r="C1586" s="211">
        <v>27.4</v>
      </c>
    </row>
    <row r="1587" spans="1:3" ht="15">
      <c r="A1587" s="24" t="s">
        <v>709</v>
      </c>
      <c r="B1587" s="209" t="s">
        <v>681</v>
      </c>
      <c r="C1587" s="211">
        <v>27.4</v>
      </c>
    </row>
    <row r="1588" spans="1:3" ht="15">
      <c r="A1588" s="24" t="s">
        <v>709</v>
      </c>
      <c r="B1588" s="210" t="s">
        <v>707</v>
      </c>
      <c r="C1588" s="211">
        <v>27.4</v>
      </c>
    </row>
    <row r="1589" spans="1:3" ht="15">
      <c r="A1589" s="24"/>
      <c r="B1589" s="185"/>
      <c r="C1589" s="151"/>
    </row>
    <row r="1590" spans="1:3" ht="15">
      <c r="A1590" s="24" t="s">
        <v>684</v>
      </c>
      <c r="B1590" s="233" t="s">
        <v>78</v>
      </c>
      <c r="C1590" s="151">
        <v>25</v>
      </c>
    </row>
    <row r="1591" spans="1:3" ht="15">
      <c r="A1591" s="24" t="s">
        <v>684</v>
      </c>
      <c r="B1591" s="233" t="s">
        <v>670</v>
      </c>
      <c r="C1591" s="151">
        <v>25</v>
      </c>
    </row>
    <row r="1592" spans="1:3" ht="15">
      <c r="A1592" s="24" t="s">
        <v>684</v>
      </c>
      <c r="B1592" s="233" t="s">
        <v>681</v>
      </c>
      <c r="C1592" s="151">
        <v>25</v>
      </c>
    </row>
    <row r="1593" spans="1:3" ht="15">
      <c r="A1593" s="24" t="s">
        <v>684</v>
      </c>
      <c r="B1593" s="234" t="s">
        <v>707</v>
      </c>
      <c r="C1593" s="151">
        <v>25</v>
      </c>
    </row>
    <row r="1594" spans="1:3" ht="15">
      <c r="A1594" s="24"/>
      <c r="B1594" s="185"/>
      <c r="C1594" s="151"/>
    </row>
    <row r="1595" spans="1:3" ht="15">
      <c r="A1595" s="24" t="s">
        <v>429</v>
      </c>
      <c r="B1595" s="209" t="s">
        <v>78</v>
      </c>
      <c r="C1595" s="211">
        <v>27.4</v>
      </c>
    </row>
    <row r="1596" spans="1:3" ht="15">
      <c r="A1596" s="24" t="s">
        <v>429</v>
      </c>
      <c r="B1596" s="209" t="s">
        <v>667</v>
      </c>
      <c r="C1596" s="211">
        <v>27.4</v>
      </c>
    </row>
    <row r="1597" spans="1:3" ht="15">
      <c r="A1597" s="24" t="s">
        <v>429</v>
      </c>
      <c r="B1597" s="209" t="s">
        <v>680</v>
      </c>
      <c r="C1597" s="211">
        <v>27.4</v>
      </c>
    </row>
    <row r="1598" spans="1:3" ht="15">
      <c r="A1598" s="24" t="s">
        <v>429</v>
      </c>
      <c r="B1598" s="209" t="s">
        <v>547</v>
      </c>
      <c r="C1598" s="211">
        <v>27.4</v>
      </c>
    </row>
    <row r="1599" spans="1:3" ht="15">
      <c r="A1599" s="24" t="s">
        <v>429</v>
      </c>
      <c r="B1599" s="209" t="s">
        <v>668</v>
      </c>
      <c r="C1599" s="211">
        <v>27.4</v>
      </c>
    </row>
    <row r="1600" spans="1:3" ht="15">
      <c r="A1600" s="24" t="s">
        <v>429</v>
      </c>
      <c r="B1600" s="209" t="s">
        <v>669</v>
      </c>
      <c r="C1600" s="211">
        <v>27.4</v>
      </c>
    </row>
    <row r="1601" spans="1:13" ht="15">
      <c r="A1601" s="24" t="s">
        <v>429</v>
      </c>
      <c r="B1601" s="209" t="s">
        <v>670</v>
      </c>
      <c r="C1601" s="211">
        <v>27.4</v>
      </c>
    </row>
    <row r="1602" spans="1:13" ht="15">
      <c r="A1602" s="24" t="s">
        <v>429</v>
      </c>
      <c r="B1602" s="209" t="s">
        <v>681</v>
      </c>
      <c r="C1602" s="211">
        <v>27.4</v>
      </c>
    </row>
    <row r="1603" spans="1:13" ht="15">
      <c r="A1603" s="24" t="s">
        <v>429</v>
      </c>
      <c r="B1603" s="210" t="s">
        <v>707</v>
      </c>
      <c r="C1603" s="211">
        <v>27.4</v>
      </c>
    </row>
    <row r="1606" spans="1:13" ht="15.75">
      <c r="A1606" s="99" t="s">
        <v>455</v>
      </c>
      <c r="B1606" s="90" t="s">
        <v>457</v>
      </c>
      <c r="C1606" s="100" t="s">
        <v>2</v>
      </c>
      <c r="D1606" s="34" t="s">
        <v>720</v>
      </c>
      <c r="E1606" s="154"/>
      <c r="F1606" s="11"/>
      <c r="G1606" s="11"/>
      <c r="H1606" s="11"/>
      <c r="I1606" s="6"/>
      <c r="J1606" s="112"/>
      <c r="K1606" s="23"/>
      <c r="L1606" s="7"/>
      <c r="M1606" s="7"/>
    </row>
    <row r="1607" spans="1:13" ht="15">
      <c r="A1607" s="24" t="s">
        <v>239</v>
      </c>
      <c r="B1607" s="44" t="s">
        <v>715</v>
      </c>
      <c r="C1607" s="151">
        <v>13.7</v>
      </c>
      <c r="D1607" s="112" t="s">
        <v>694</v>
      </c>
      <c r="E1607" s="38"/>
      <c r="F1607" s="39"/>
      <c r="G1607" s="213"/>
      <c r="H1607" s="213"/>
      <c r="I1607" s="6"/>
      <c r="J1607" s="46">
        <v>2.2599999999999998</v>
      </c>
      <c r="K1607" s="15">
        <v>169</v>
      </c>
      <c r="L1607" s="7">
        <v>139</v>
      </c>
      <c r="M1607" s="12" t="s">
        <v>124</v>
      </c>
    </row>
    <row r="1608" spans="1:13" ht="15">
      <c r="A1608" s="56"/>
      <c r="B1608" s="184" t="s">
        <v>557</v>
      </c>
      <c r="C1608" s="182" t="s">
        <v>86</v>
      </c>
      <c r="D1608" s="112" t="s">
        <v>695</v>
      </c>
      <c r="E1608" s="38"/>
      <c r="F1608" s="39"/>
      <c r="G1608" s="213"/>
      <c r="H1608" s="213"/>
      <c r="I1608" s="6"/>
      <c r="J1608" s="46">
        <v>90</v>
      </c>
      <c r="K1608" s="46"/>
      <c r="L1608" s="7">
        <v>8000</v>
      </c>
      <c r="M1608" s="7"/>
    </row>
    <row r="1612" spans="1:13" ht="15.75">
      <c r="A1612" s="99" t="s">
        <v>455</v>
      </c>
      <c r="B1612" s="90" t="s">
        <v>457</v>
      </c>
      <c r="C1612" s="100" t="s">
        <v>2</v>
      </c>
    </row>
    <row r="1613" spans="1:13" ht="15">
      <c r="A1613" s="24" t="s">
        <v>536</v>
      </c>
      <c r="B1613" s="24" t="s">
        <v>598</v>
      </c>
      <c r="C1613" s="151">
        <v>50</v>
      </c>
    </row>
    <row r="1614" spans="1:13" ht="15">
      <c r="A1614" s="24" t="s">
        <v>536</v>
      </c>
      <c r="B1614" s="24" t="s">
        <v>597</v>
      </c>
      <c r="C1614" s="151">
        <v>47</v>
      </c>
    </row>
    <row r="1615" spans="1:13" ht="15">
      <c r="A1615" s="24" t="s">
        <v>536</v>
      </c>
      <c r="B1615" s="24" t="s">
        <v>597</v>
      </c>
      <c r="C1615" s="151">
        <v>50</v>
      </c>
    </row>
    <row r="1616" spans="1:13" ht="15">
      <c r="A1616" s="24" t="s">
        <v>536</v>
      </c>
      <c r="B1616" s="24" t="s">
        <v>597</v>
      </c>
      <c r="C1616" s="151">
        <v>77</v>
      </c>
    </row>
    <row r="1617" spans="1:6" ht="15">
      <c r="A1617" s="24" t="s">
        <v>536</v>
      </c>
      <c r="B1617" s="24" t="s">
        <v>114</v>
      </c>
      <c r="C1617" s="151">
        <v>50</v>
      </c>
    </row>
    <row r="1618" spans="1:6" ht="15.75">
      <c r="A1618" s="99" t="s">
        <v>455</v>
      </c>
      <c r="B1618" s="90" t="s">
        <v>457</v>
      </c>
      <c r="C1618" s="100" t="s">
        <v>181</v>
      </c>
    </row>
    <row r="1619" spans="1:6" ht="15">
      <c r="A1619" s="24" t="s">
        <v>536</v>
      </c>
      <c r="B1619" s="24" t="s">
        <v>716</v>
      </c>
      <c r="C1619" s="8">
        <v>25</v>
      </c>
    </row>
    <row r="1620" spans="1:6" ht="15">
      <c r="A1620" s="24" t="s">
        <v>536</v>
      </c>
      <c r="B1620" s="24" t="s">
        <v>717</v>
      </c>
      <c r="C1620" s="8">
        <v>25</v>
      </c>
    </row>
    <row r="1621" spans="1:6" ht="15">
      <c r="A1621" s="24" t="s">
        <v>536</v>
      </c>
      <c r="B1621" s="24" t="s">
        <v>718</v>
      </c>
      <c r="C1621" s="8">
        <v>25</v>
      </c>
    </row>
    <row r="1624" spans="1:6" ht="15.75">
      <c r="A1624" s="99" t="s">
        <v>455</v>
      </c>
      <c r="B1624" s="90" t="s">
        <v>389</v>
      </c>
      <c r="C1624" s="90" t="s">
        <v>457</v>
      </c>
      <c r="D1624" s="100" t="s">
        <v>181</v>
      </c>
      <c r="E1624" s="101" t="s">
        <v>595</v>
      </c>
    </row>
    <row r="1625" spans="1:6" ht="15">
      <c r="A1625" s="24">
        <v>3705</v>
      </c>
      <c r="B1625" s="26">
        <v>25</v>
      </c>
      <c r="C1625" s="24" t="s">
        <v>414</v>
      </c>
      <c r="D1625" s="66">
        <v>300</v>
      </c>
      <c r="E1625" s="25">
        <v>0.54</v>
      </c>
    </row>
    <row r="1626" spans="1:6" ht="15">
      <c r="A1626" s="24">
        <v>3705</v>
      </c>
      <c r="B1626" s="26">
        <v>32</v>
      </c>
      <c r="C1626" s="24" t="s">
        <v>414</v>
      </c>
      <c r="D1626" s="66">
        <v>120</v>
      </c>
      <c r="E1626" s="25">
        <v>0.7</v>
      </c>
    </row>
    <row r="1627" spans="1:6" ht="15">
      <c r="A1627" s="24"/>
      <c r="B1627" s="26"/>
      <c r="C1627" s="24" t="s">
        <v>31</v>
      </c>
      <c r="D1627" s="67"/>
      <c r="E1627" s="25">
        <v>12</v>
      </c>
    </row>
    <row r="1630" spans="1:6" ht="15.75">
      <c r="A1630" s="99" t="s">
        <v>105</v>
      </c>
      <c r="B1630" s="99" t="s">
        <v>455</v>
      </c>
      <c r="C1630" s="90" t="s">
        <v>389</v>
      </c>
      <c r="D1630" s="100" t="s">
        <v>182</v>
      </c>
      <c r="E1630" s="100" t="s">
        <v>181</v>
      </c>
      <c r="F1630" s="101" t="s">
        <v>595</v>
      </c>
    </row>
    <row r="1631" spans="1:6" ht="15">
      <c r="A1631" s="6" t="s">
        <v>714</v>
      </c>
      <c r="B1631" s="24" t="s">
        <v>705</v>
      </c>
      <c r="C1631" s="26" t="s">
        <v>426</v>
      </c>
      <c r="D1631" s="37">
        <v>2</v>
      </c>
      <c r="E1631" s="67">
        <v>40</v>
      </c>
      <c r="F1631" s="25">
        <v>11.25</v>
      </c>
    </row>
    <row r="1632" spans="1:6" ht="15">
      <c r="A1632" s="6" t="s">
        <v>714</v>
      </c>
      <c r="B1632" s="24" t="s">
        <v>693</v>
      </c>
      <c r="C1632" s="44"/>
      <c r="D1632" s="37">
        <v>2</v>
      </c>
      <c r="E1632" s="67">
        <v>28</v>
      </c>
      <c r="F1632" s="46">
        <v>5.92</v>
      </c>
    </row>
    <row r="1633" spans="1:6" ht="15">
      <c r="A1633" s="6" t="s">
        <v>714</v>
      </c>
      <c r="B1633" s="24"/>
      <c r="C1633" s="138"/>
      <c r="D1633" s="8" t="s">
        <v>86</v>
      </c>
      <c r="E1633" s="8"/>
      <c r="F1633" s="46">
        <v>100</v>
      </c>
    </row>
    <row r="1634" spans="1:6" ht="15">
      <c r="A1634" s="6" t="s">
        <v>714</v>
      </c>
      <c r="B1634" s="24"/>
      <c r="C1634" s="138"/>
      <c r="D1634" s="8" t="s">
        <v>86</v>
      </c>
      <c r="E1634" s="8"/>
      <c r="F1634" s="46">
        <v>12</v>
      </c>
    </row>
    <row r="1635" spans="1:6" ht="15.75">
      <c r="A1635" s="99" t="s">
        <v>455</v>
      </c>
      <c r="B1635" s="90" t="s">
        <v>457</v>
      </c>
      <c r="C1635" s="100" t="s">
        <v>181</v>
      </c>
    </row>
    <row r="1636" spans="1:6" ht="14.25">
      <c r="A1636" s="136" t="s">
        <v>724</v>
      </c>
      <c r="B1636" s="136" t="s">
        <v>725</v>
      </c>
      <c r="C1636" s="237">
        <v>164.39999999999998</v>
      </c>
    </row>
    <row r="1637" spans="1:6" ht="14.25">
      <c r="A1637" s="136" t="s">
        <v>724</v>
      </c>
      <c r="B1637" s="136" t="s">
        <v>495</v>
      </c>
      <c r="C1637" s="237">
        <v>54.8</v>
      </c>
    </row>
    <row r="1638" spans="1:6" ht="14.25">
      <c r="A1638" s="136" t="s">
        <v>724</v>
      </c>
      <c r="B1638" s="136" t="s">
        <v>723</v>
      </c>
      <c r="C1638" s="237">
        <v>41.099999999999994</v>
      </c>
    </row>
    <row r="1642" spans="1:6" ht="15.75">
      <c r="A1642" s="99" t="s">
        <v>105</v>
      </c>
      <c r="B1642" s="99" t="s">
        <v>455</v>
      </c>
      <c r="C1642" s="90" t="s">
        <v>389</v>
      </c>
      <c r="D1642" s="100" t="s">
        <v>182</v>
      </c>
      <c r="E1642" s="100" t="s">
        <v>181</v>
      </c>
      <c r="F1642" s="101" t="s">
        <v>595</v>
      </c>
    </row>
    <row r="1643" spans="1:6" ht="15">
      <c r="A1643" s="6" t="s">
        <v>727</v>
      </c>
      <c r="B1643" s="24">
        <v>5356</v>
      </c>
      <c r="C1643" s="26">
        <v>4</v>
      </c>
      <c r="D1643" s="68">
        <v>3</v>
      </c>
      <c r="E1643" s="66">
        <v>90</v>
      </c>
      <c r="F1643" s="46">
        <v>0.84</v>
      </c>
    </row>
    <row r="1644" spans="1:6" ht="15">
      <c r="A1644" s="6" t="s">
        <v>727</v>
      </c>
      <c r="B1644" s="24"/>
      <c r="C1644" s="138"/>
      <c r="D1644" s="8" t="s">
        <v>482</v>
      </c>
      <c r="E1644" s="8"/>
      <c r="F1644" s="46">
        <v>12</v>
      </c>
    </row>
    <row r="1646" spans="1:6" ht="15.75">
      <c r="A1646" s="99" t="s">
        <v>105</v>
      </c>
      <c r="B1646" s="99" t="s">
        <v>455</v>
      </c>
      <c r="C1646" s="90" t="s">
        <v>457</v>
      </c>
      <c r="D1646" s="100" t="s">
        <v>181</v>
      </c>
      <c r="E1646" s="101" t="s">
        <v>595</v>
      </c>
    </row>
    <row r="1647" spans="1:6" ht="15">
      <c r="A1647" s="6" t="s">
        <v>728</v>
      </c>
      <c r="B1647" s="24" t="s">
        <v>729</v>
      </c>
      <c r="C1647" s="24" t="s">
        <v>129</v>
      </c>
      <c r="D1647" s="66">
        <v>182</v>
      </c>
      <c r="E1647" s="46">
        <v>2.39</v>
      </c>
    </row>
    <row r="1648" spans="1:6" ht="15">
      <c r="A1648" s="6" t="s">
        <v>728</v>
      </c>
      <c r="B1648" s="24"/>
      <c r="C1648" s="24" t="s">
        <v>481</v>
      </c>
      <c r="D1648" s="8"/>
      <c r="E1648" s="46">
        <v>12</v>
      </c>
    </row>
    <row r="1650" spans="1:5" ht="15.75">
      <c r="A1650" s="99" t="s">
        <v>105</v>
      </c>
      <c r="B1650" s="99" t="s">
        <v>455</v>
      </c>
      <c r="C1650" s="90" t="s">
        <v>457</v>
      </c>
      <c r="D1650" s="100" t="s">
        <v>181</v>
      </c>
      <c r="E1650" s="101" t="s">
        <v>595</v>
      </c>
    </row>
    <row r="1651" spans="1:5" ht="15">
      <c r="A1651" s="6" t="s">
        <v>730</v>
      </c>
      <c r="B1651" s="24" t="s">
        <v>313</v>
      </c>
      <c r="C1651" s="94" t="s">
        <v>190</v>
      </c>
      <c r="D1651" s="75" t="e">
        <f>#REF!*#REF!</f>
        <v>#REF!</v>
      </c>
      <c r="E1651" s="25">
        <v>1.59</v>
      </c>
    </row>
    <row r="1652" spans="1:5" ht="15">
      <c r="A1652" s="6" t="s">
        <v>730</v>
      </c>
      <c r="B1652" s="24" t="s">
        <v>313</v>
      </c>
      <c r="C1652" s="24" t="s">
        <v>721</v>
      </c>
      <c r="D1652" s="75" t="e">
        <f>#REF!*#REF!</f>
        <v>#REF!</v>
      </c>
      <c r="E1652" s="25">
        <v>1.59</v>
      </c>
    </row>
    <row r="1653" spans="1:5" ht="15">
      <c r="A1653" s="6" t="s">
        <v>730</v>
      </c>
      <c r="B1653" s="24"/>
      <c r="C1653" s="185" t="s">
        <v>719</v>
      </c>
      <c r="D1653" s="151"/>
      <c r="E1653" s="46">
        <v>100</v>
      </c>
    </row>
    <row r="1654" spans="1:5" ht="15">
      <c r="A1654" s="6" t="s">
        <v>730</v>
      </c>
      <c r="B1654" s="24"/>
      <c r="C1654" s="24" t="s">
        <v>31</v>
      </c>
      <c r="D1654" s="8"/>
      <c r="E1654" s="46">
        <v>12</v>
      </c>
    </row>
    <row r="1657" spans="1:5" ht="15.75">
      <c r="A1657" s="99" t="s">
        <v>455</v>
      </c>
      <c r="B1657" s="90" t="s">
        <v>457</v>
      </c>
      <c r="C1657" s="100" t="s">
        <v>2</v>
      </c>
      <c r="D1657" s="101" t="s">
        <v>595</v>
      </c>
    </row>
    <row r="1658" spans="1:5" ht="15">
      <c r="A1658" s="24" t="s">
        <v>354</v>
      </c>
      <c r="B1658" s="44" t="s">
        <v>353</v>
      </c>
      <c r="C1658" s="151">
        <v>50</v>
      </c>
      <c r="D1658" s="46">
        <v>0.25</v>
      </c>
    </row>
    <row r="1659" spans="1:5" ht="15">
      <c r="A1659" s="24"/>
      <c r="B1659" s="24" t="s">
        <v>481</v>
      </c>
      <c r="C1659" s="8"/>
      <c r="D1659" s="46">
        <v>12</v>
      </c>
    </row>
    <row r="1661" spans="1:5" ht="15.75">
      <c r="A1661" s="99" t="s">
        <v>455</v>
      </c>
      <c r="B1661" s="90" t="s">
        <v>457</v>
      </c>
      <c r="C1661" s="100" t="s">
        <v>2</v>
      </c>
      <c r="D1661" s="101" t="s">
        <v>595</v>
      </c>
    </row>
    <row r="1662" spans="1:5" ht="15">
      <c r="A1662" s="24" t="s">
        <v>313</v>
      </c>
      <c r="B1662" s="94" t="s">
        <v>190</v>
      </c>
      <c r="C1662" s="54">
        <v>14</v>
      </c>
      <c r="D1662" s="25">
        <v>1.59</v>
      </c>
    </row>
    <row r="1663" spans="1:5" ht="15">
      <c r="A1663" s="24"/>
      <c r="B1663" s="24" t="s">
        <v>31</v>
      </c>
      <c r="C1663" s="8"/>
      <c r="D1663" s="46">
        <v>12</v>
      </c>
    </row>
    <row r="1666" spans="1:6" ht="15">
      <c r="A1666" s="99" t="s">
        <v>105</v>
      </c>
      <c r="B1666" s="99" t="s">
        <v>455</v>
      </c>
      <c r="C1666" s="99" t="s">
        <v>389</v>
      </c>
      <c r="D1666" s="100" t="s">
        <v>182</v>
      </c>
      <c r="E1666" s="100" t="s">
        <v>181</v>
      </c>
      <c r="F1666" s="101" t="s">
        <v>595</v>
      </c>
    </row>
    <row r="1667" spans="1:6" ht="15">
      <c r="A1667" s="6" t="s">
        <v>732</v>
      </c>
      <c r="B1667" s="24">
        <v>5356</v>
      </c>
      <c r="C1667" s="26">
        <v>3</v>
      </c>
      <c r="D1667" s="68">
        <v>1</v>
      </c>
      <c r="E1667" s="67">
        <v>30</v>
      </c>
      <c r="F1667" s="46">
        <v>0.5</v>
      </c>
    </row>
    <row r="1668" spans="1:6" ht="15">
      <c r="A1668" s="6" t="s">
        <v>732</v>
      </c>
      <c r="B1668" s="56"/>
      <c r="C1668" s="138"/>
      <c r="D1668" s="8" t="s">
        <v>482</v>
      </c>
      <c r="E1668" s="8"/>
      <c r="F1668" s="46">
        <v>12</v>
      </c>
    </row>
    <row r="1671" spans="1:6" ht="15.75">
      <c r="A1671" s="99" t="s">
        <v>455</v>
      </c>
      <c r="B1671" s="99" t="s">
        <v>389</v>
      </c>
      <c r="C1671" s="90" t="s">
        <v>457</v>
      </c>
    </row>
    <row r="1672" spans="1:6" ht="15">
      <c r="A1672" s="24" t="s">
        <v>736</v>
      </c>
      <c r="B1672" s="150">
        <v>162</v>
      </c>
      <c r="C1672" s="24" t="s">
        <v>737</v>
      </c>
    </row>
    <row r="1673" spans="1:6" ht="15">
      <c r="A1673" s="24" t="s">
        <v>736</v>
      </c>
      <c r="B1673" s="150">
        <v>162</v>
      </c>
      <c r="C1673" s="24" t="s">
        <v>338</v>
      </c>
    </row>
    <row r="1674" spans="1:6" ht="15">
      <c r="A1674" s="24" t="s">
        <v>738</v>
      </c>
      <c r="B1674" s="150">
        <v>152</v>
      </c>
      <c r="C1674" s="24" t="s">
        <v>739</v>
      </c>
    </row>
    <row r="1675" spans="1:6" ht="15">
      <c r="A1675" s="24" t="s">
        <v>80</v>
      </c>
      <c r="B1675" s="150">
        <v>160</v>
      </c>
      <c r="C1675" s="24" t="s">
        <v>205</v>
      </c>
    </row>
    <row r="1676" spans="1:6" ht="15">
      <c r="A1676" s="15"/>
      <c r="B1676" s="44"/>
      <c r="C1676" s="44" t="s">
        <v>740</v>
      </c>
    </row>
    <row r="1677" spans="1:6" ht="15">
      <c r="A1677" s="15"/>
      <c r="B1677" s="44"/>
      <c r="C1677" s="44" t="s">
        <v>31</v>
      </c>
    </row>
    <row r="1679" spans="1:6" ht="15">
      <c r="A1679" s="99" t="s">
        <v>105</v>
      </c>
      <c r="B1679" s="99" t="s">
        <v>455</v>
      </c>
      <c r="C1679" s="99" t="s">
        <v>389</v>
      </c>
      <c r="D1679" s="100" t="s">
        <v>182</v>
      </c>
      <c r="E1679" s="100" t="s">
        <v>181</v>
      </c>
      <c r="F1679" s="101" t="s">
        <v>595</v>
      </c>
    </row>
    <row r="1680" spans="1:6" ht="15">
      <c r="A1680" s="6" t="s">
        <v>741</v>
      </c>
      <c r="B1680" s="24">
        <v>5356</v>
      </c>
      <c r="C1680" s="26">
        <v>4</v>
      </c>
      <c r="D1680" s="68">
        <v>1</v>
      </c>
      <c r="E1680" s="66">
        <v>30</v>
      </c>
      <c r="F1680" s="46">
        <v>0.84</v>
      </c>
    </row>
    <row r="1681" spans="1:6" ht="15">
      <c r="A1681" s="6" t="s">
        <v>741</v>
      </c>
      <c r="B1681" s="24">
        <v>5356</v>
      </c>
      <c r="C1681" s="26">
        <v>4</v>
      </c>
      <c r="D1681" s="68">
        <v>1</v>
      </c>
      <c r="E1681" s="66">
        <v>30</v>
      </c>
      <c r="F1681" s="46">
        <v>0.84</v>
      </c>
    </row>
    <row r="1682" spans="1:6" ht="15">
      <c r="A1682" s="6" t="s">
        <v>741</v>
      </c>
      <c r="B1682" s="24"/>
      <c r="C1682" s="138"/>
      <c r="D1682" s="8" t="s">
        <v>482</v>
      </c>
      <c r="E1682" s="8"/>
      <c r="F1682" s="46">
        <v>12</v>
      </c>
    </row>
    <row r="1684" spans="1:6" ht="15.75">
      <c r="A1684" s="99" t="s">
        <v>105</v>
      </c>
      <c r="B1684" s="99" t="s">
        <v>455</v>
      </c>
      <c r="C1684" s="90" t="s">
        <v>457</v>
      </c>
      <c r="D1684" s="100" t="s">
        <v>181</v>
      </c>
      <c r="E1684" s="101" t="s">
        <v>745</v>
      </c>
    </row>
    <row r="1685" spans="1:6" ht="15">
      <c r="A1685" s="6" t="s">
        <v>742</v>
      </c>
      <c r="B1685" s="24" t="s">
        <v>550</v>
      </c>
      <c r="C1685" s="24" t="s">
        <v>543</v>
      </c>
      <c r="D1685" s="69">
        <v>123.3</v>
      </c>
      <c r="E1685" s="46">
        <v>2.1800000000000002</v>
      </c>
    </row>
    <row r="1686" spans="1:6" ht="15">
      <c r="A1686" s="6" t="s">
        <v>742</v>
      </c>
      <c r="B1686" s="24" t="s">
        <v>550</v>
      </c>
      <c r="C1686" s="24" t="s">
        <v>547</v>
      </c>
      <c r="D1686" s="69">
        <v>41.099999999999994</v>
      </c>
      <c r="E1686" s="46">
        <v>2.1800000000000002</v>
      </c>
    </row>
    <row r="1687" spans="1:6" ht="15">
      <c r="A1687" s="6" t="s">
        <v>742</v>
      </c>
      <c r="B1687" s="24" t="s">
        <v>550</v>
      </c>
      <c r="C1687" s="24" t="s">
        <v>78</v>
      </c>
      <c r="D1687" s="69">
        <v>54.8</v>
      </c>
      <c r="E1687" s="46">
        <v>2.1800000000000002</v>
      </c>
    </row>
    <row r="1688" spans="1:6" ht="15">
      <c r="A1688" s="6" t="s">
        <v>742</v>
      </c>
      <c r="B1688" s="24"/>
      <c r="C1688" s="44" t="s">
        <v>572</v>
      </c>
      <c r="D1688" s="151"/>
      <c r="E1688" s="46">
        <v>230</v>
      </c>
    </row>
    <row r="1693" spans="1:6" ht="15.75">
      <c r="B1693" s="99" t="s">
        <v>455</v>
      </c>
      <c r="C1693" s="90" t="s">
        <v>457</v>
      </c>
    </row>
    <row r="1694" spans="1:6" ht="15">
      <c r="B1694" s="24" t="s">
        <v>550</v>
      </c>
      <c r="C1694" s="24" t="s">
        <v>543</v>
      </c>
    </row>
    <row r="1695" spans="1:6" ht="15">
      <c r="B1695" s="24" t="s">
        <v>550</v>
      </c>
      <c r="C1695" s="24" t="s">
        <v>547</v>
      </c>
    </row>
    <row r="1696" spans="1:6" ht="15">
      <c r="B1696" s="24" t="s">
        <v>550</v>
      </c>
      <c r="C1696" s="24" t="s">
        <v>78</v>
      </c>
    </row>
    <row r="1698" spans="1:5" ht="15.75">
      <c r="A1698" s="99" t="s">
        <v>455</v>
      </c>
      <c r="B1698" s="99" t="s">
        <v>389</v>
      </c>
      <c r="C1698" s="90" t="s">
        <v>457</v>
      </c>
    </row>
    <row r="1699" spans="1:5" ht="15">
      <c r="A1699" s="24" t="s">
        <v>536</v>
      </c>
      <c r="B1699" s="150">
        <v>160</v>
      </c>
      <c r="C1699" s="24" t="s">
        <v>114</v>
      </c>
    </row>
    <row r="1700" spans="1:5" ht="15">
      <c r="A1700" s="24" t="s">
        <v>536</v>
      </c>
      <c r="B1700" s="150">
        <v>160</v>
      </c>
      <c r="C1700" s="24" t="s">
        <v>114</v>
      </c>
    </row>
    <row r="1701" spans="1:5" ht="15">
      <c r="A1701" s="24" t="s">
        <v>536</v>
      </c>
      <c r="B1701" s="150">
        <v>160</v>
      </c>
      <c r="C1701" s="24" t="s">
        <v>747</v>
      </c>
    </row>
    <row r="1702" spans="1:5" ht="15">
      <c r="A1702" s="24"/>
      <c r="B1702" s="138"/>
      <c r="C1702" s="24" t="s">
        <v>75</v>
      </c>
    </row>
    <row r="1703" spans="1:5" ht="15">
      <c r="A1703" s="24"/>
      <c r="B1703" s="138"/>
      <c r="C1703" s="24" t="s">
        <v>481</v>
      </c>
    </row>
    <row r="1705" spans="1:5" ht="15">
      <c r="A1705" s="99" t="s">
        <v>105</v>
      </c>
      <c r="B1705" s="99" t="s">
        <v>455</v>
      </c>
      <c r="C1705" s="99" t="s">
        <v>389</v>
      </c>
      <c r="D1705" s="101" t="s">
        <v>595</v>
      </c>
    </row>
    <row r="1706" spans="1:5" ht="15">
      <c r="A1706" s="6" t="s">
        <v>746</v>
      </c>
      <c r="B1706" s="24" t="s">
        <v>743</v>
      </c>
      <c r="C1706" s="150">
        <v>130</v>
      </c>
      <c r="D1706" s="46">
        <v>12.25</v>
      </c>
    </row>
    <row r="1707" spans="1:5" ht="15">
      <c r="A1707" s="6" t="s">
        <v>746</v>
      </c>
      <c r="B1707" s="238"/>
      <c r="C1707" s="44"/>
      <c r="D1707" s="46">
        <v>12</v>
      </c>
    </row>
    <row r="1708" spans="1:5" ht="15">
      <c r="A1708" s="6" t="s">
        <v>746</v>
      </c>
      <c r="B1708" s="238"/>
      <c r="C1708" s="44"/>
      <c r="D1708" s="46">
        <v>20</v>
      </c>
    </row>
    <row r="1712" spans="1:5" ht="15.75">
      <c r="A1712" s="99" t="s">
        <v>105</v>
      </c>
      <c r="B1712" s="99" t="s">
        <v>455</v>
      </c>
      <c r="C1712" s="90" t="s">
        <v>457</v>
      </c>
      <c r="D1712" s="100" t="s">
        <v>181</v>
      </c>
      <c r="E1712" s="108" t="s">
        <v>754</v>
      </c>
    </row>
    <row r="1713" spans="1:5" ht="15">
      <c r="A1713" s="33" t="s">
        <v>748</v>
      </c>
      <c r="B1713" s="24">
        <v>2440</v>
      </c>
      <c r="C1713" s="24" t="s">
        <v>30</v>
      </c>
      <c r="D1713" s="67">
        <v>174</v>
      </c>
      <c r="E1713" s="67"/>
    </row>
    <row r="1714" spans="1:5" ht="15">
      <c r="A1714" s="33" t="s">
        <v>748</v>
      </c>
      <c r="B1714" s="24">
        <v>2440</v>
      </c>
      <c r="C1714" s="24" t="s">
        <v>621</v>
      </c>
      <c r="D1714" s="67">
        <v>232</v>
      </c>
      <c r="E1714" s="67"/>
    </row>
    <row r="1715" spans="1:5" ht="15">
      <c r="A1715" s="33" t="s">
        <v>748</v>
      </c>
      <c r="B1715" s="24">
        <v>2440</v>
      </c>
      <c r="C1715" s="24" t="s">
        <v>627</v>
      </c>
      <c r="D1715" s="67">
        <v>464</v>
      </c>
      <c r="E1715" s="67"/>
    </row>
    <row r="1716" spans="1:5" ht="15">
      <c r="A1716" s="33" t="s">
        <v>748</v>
      </c>
      <c r="B1716" s="24">
        <v>2440</v>
      </c>
      <c r="C1716" s="24" t="s">
        <v>620</v>
      </c>
      <c r="D1716" s="67">
        <v>348</v>
      </c>
      <c r="E1716" s="67"/>
    </row>
    <row r="1717" spans="1:5" ht="15">
      <c r="A1717" s="33" t="s">
        <v>748</v>
      </c>
      <c r="B1717" s="24">
        <v>2440</v>
      </c>
      <c r="C1717" s="24" t="s">
        <v>632</v>
      </c>
      <c r="D1717" s="67">
        <v>116</v>
      </c>
      <c r="E1717" s="67"/>
    </row>
    <row r="1718" spans="1:5" ht="15">
      <c r="A1718" s="33" t="s">
        <v>748</v>
      </c>
      <c r="B1718" s="24">
        <v>2440</v>
      </c>
      <c r="C1718" s="24" t="s">
        <v>750</v>
      </c>
      <c r="D1718" s="67">
        <v>58</v>
      </c>
      <c r="E1718" s="67"/>
    </row>
    <row r="1719" spans="1:5" ht="15">
      <c r="A1719" s="33" t="s">
        <v>748</v>
      </c>
      <c r="B1719" s="24">
        <v>2440</v>
      </c>
      <c r="C1719" s="24" t="s">
        <v>749</v>
      </c>
      <c r="D1719" s="67">
        <v>116</v>
      </c>
      <c r="E1719" s="67"/>
    </row>
    <row r="1720" spans="1:5" ht="15">
      <c r="A1720" s="33" t="s">
        <v>748</v>
      </c>
      <c r="B1720" s="24">
        <v>2440</v>
      </c>
      <c r="C1720" s="24" t="s">
        <v>631</v>
      </c>
      <c r="D1720" s="67">
        <v>58</v>
      </c>
      <c r="E1720" s="67"/>
    </row>
    <row r="1722" spans="1:5" ht="15.75">
      <c r="A1722" s="99" t="s">
        <v>753</v>
      </c>
      <c r="B1722" s="99" t="s">
        <v>455</v>
      </c>
      <c r="C1722" s="90" t="s">
        <v>457</v>
      </c>
      <c r="D1722" s="100" t="s">
        <v>181</v>
      </c>
      <c r="E1722" s="108" t="s">
        <v>754</v>
      </c>
    </row>
    <row r="1723" spans="1:5" ht="15">
      <c r="A1723" s="6" t="s">
        <v>751</v>
      </c>
      <c r="B1723" s="24" t="s">
        <v>536</v>
      </c>
      <c r="C1723" s="24" t="s">
        <v>618</v>
      </c>
      <c r="D1723" s="8">
        <v>50</v>
      </c>
      <c r="E1723" s="8"/>
    </row>
    <row r="1724" spans="1:5" ht="15">
      <c r="A1724" s="6" t="s">
        <v>751</v>
      </c>
      <c r="B1724" s="24" t="s">
        <v>536</v>
      </c>
      <c r="C1724" s="24" t="s">
        <v>752</v>
      </c>
      <c r="D1724" s="8">
        <v>100</v>
      </c>
      <c r="E1724" s="8"/>
    </row>
    <row r="1725" spans="1:5" ht="21">
      <c r="E1725" ph="1"/>
    </row>
    <row r="1726" spans="1:5" ht="15.75">
      <c r="A1726" s="99" t="s">
        <v>105</v>
      </c>
      <c r="B1726" s="99" t="s">
        <v>455</v>
      </c>
      <c r="C1726" s="90" t="s">
        <v>457</v>
      </c>
      <c r="D1726" s="100" t="s">
        <v>181</v>
      </c>
      <c r="E1726" s="101" t="s">
        <v>595</v>
      </c>
    </row>
    <row r="1727" spans="1:5" ht="15">
      <c r="A1727" s="33" t="s">
        <v>748</v>
      </c>
      <c r="B1727" s="24">
        <v>2440</v>
      </c>
      <c r="C1727" s="24" t="s">
        <v>30</v>
      </c>
      <c r="D1727" s="67">
        <v>174</v>
      </c>
      <c r="E1727" s="46">
        <v>3.1</v>
      </c>
    </row>
    <row r="1728" spans="1:5" ht="15">
      <c r="A1728" s="33" t="s">
        <v>748</v>
      </c>
      <c r="B1728" s="24">
        <v>2440</v>
      </c>
      <c r="C1728" s="24" t="s">
        <v>621</v>
      </c>
      <c r="D1728" s="67">
        <v>232</v>
      </c>
      <c r="E1728" s="46">
        <v>3.1</v>
      </c>
    </row>
    <row r="1729" spans="1:5" ht="15">
      <c r="A1729" s="33" t="s">
        <v>748</v>
      </c>
      <c r="B1729" s="24">
        <v>2440</v>
      </c>
      <c r="C1729" s="24" t="s">
        <v>627</v>
      </c>
      <c r="D1729" s="67">
        <v>464</v>
      </c>
      <c r="E1729" s="46">
        <v>3.1</v>
      </c>
    </row>
    <row r="1730" spans="1:5" ht="15">
      <c r="A1730" s="33" t="s">
        <v>748</v>
      </c>
      <c r="B1730" s="24">
        <v>2440</v>
      </c>
      <c r="C1730" s="24" t="s">
        <v>620</v>
      </c>
      <c r="D1730" s="67">
        <v>348</v>
      </c>
      <c r="E1730" s="46">
        <v>3.1</v>
      </c>
    </row>
    <row r="1731" spans="1:5" ht="15">
      <c r="A1731" s="33" t="s">
        <v>748</v>
      </c>
      <c r="B1731" s="24">
        <v>2440</v>
      </c>
      <c r="C1731" s="24" t="s">
        <v>632</v>
      </c>
      <c r="D1731" s="67">
        <v>116</v>
      </c>
      <c r="E1731" s="46">
        <v>3.1</v>
      </c>
    </row>
    <row r="1732" spans="1:5" ht="15">
      <c r="A1732" s="33" t="s">
        <v>748</v>
      </c>
      <c r="B1732" s="24">
        <v>2440</v>
      </c>
      <c r="C1732" s="24" t="s">
        <v>750</v>
      </c>
      <c r="D1732" s="67">
        <v>58</v>
      </c>
      <c r="E1732" s="46">
        <v>3.1</v>
      </c>
    </row>
    <row r="1733" spans="1:5" ht="15">
      <c r="A1733" s="33" t="s">
        <v>748</v>
      </c>
      <c r="B1733" s="24">
        <v>2440</v>
      </c>
      <c r="C1733" s="24" t="s">
        <v>749</v>
      </c>
      <c r="D1733" s="67">
        <v>116</v>
      </c>
      <c r="E1733" s="46">
        <v>3.1</v>
      </c>
    </row>
    <row r="1734" spans="1:5" ht="15">
      <c r="A1734" s="33" t="s">
        <v>748</v>
      </c>
      <c r="B1734" s="24">
        <v>2440</v>
      </c>
      <c r="C1734" s="24" t="s">
        <v>631</v>
      </c>
      <c r="D1734" s="67">
        <v>58</v>
      </c>
      <c r="E1734" s="46">
        <v>3.1</v>
      </c>
    </row>
    <row r="1735" spans="1:5" ht="15">
      <c r="A1735" s="33"/>
      <c r="B1735" s="24"/>
      <c r="C1735" s="24"/>
      <c r="D1735" s="67"/>
      <c r="E1735" s="46"/>
    </row>
    <row r="1736" spans="1:5" ht="15.75">
      <c r="A1736" s="99" t="s">
        <v>105</v>
      </c>
      <c r="B1736" s="99" t="s">
        <v>455</v>
      </c>
      <c r="C1736" s="90" t="s">
        <v>457</v>
      </c>
      <c r="D1736" s="100" t="s">
        <v>181</v>
      </c>
      <c r="E1736" s="101" t="s">
        <v>595</v>
      </c>
    </row>
    <row r="1737" spans="1:5" ht="15">
      <c r="A1737" s="33" t="s">
        <v>751</v>
      </c>
      <c r="B1737" s="24" t="s">
        <v>536</v>
      </c>
      <c r="C1737" s="24" t="s">
        <v>618</v>
      </c>
      <c r="D1737" s="8">
        <v>50</v>
      </c>
      <c r="E1737" s="25">
        <v>4.2</v>
      </c>
    </row>
    <row r="1738" spans="1:5" ht="15">
      <c r="A1738" s="33" t="s">
        <v>751</v>
      </c>
      <c r="B1738" s="24" t="s">
        <v>536</v>
      </c>
      <c r="C1738" s="24" t="s">
        <v>752</v>
      </c>
      <c r="D1738" s="8">
        <v>100</v>
      </c>
      <c r="E1738" s="25">
        <v>4.2</v>
      </c>
    </row>
    <row r="1739" spans="1:5" ht="22.5">
      <c r="A1739" s="33" t="s">
        <v>751</v>
      </c>
      <c r="B1739" s="238"/>
      <c r="C1739" s="44" t="s">
        <v>31</v>
      </c>
      <c r="D1739" s="151" ph="1"/>
      <c r="E1739" s="46">
        <v>20</v>
      </c>
    </row>
    <row r="1743" spans="1:5" ht="15.75">
      <c r="A1743" s="99" t="s">
        <v>105</v>
      </c>
      <c r="B1743" s="99" t="s">
        <v>455</v>
      </c>
      <c r="C1743" s="90" t="s">
        <v>457</v>
      </c>
    </row>
    <row r="1744" spans="1:5" ht="15">
      <c r="A1744" s="6" t="s">
        <v>756</v>
      </c>
      <c r="B1744" s="24" t="s">
        <v>743</v>
      </c>
      <c r="C1744" s="24" t="s">
        <v>755</v>
      </c>
    </row>
    <row r="1745" spans="1:6" ht="15">
      <c r="A1745" s="6" t="s">
        <v>756</v>
      </c>
      <c r="B1745" s="238"/>
      <c r="C1745" s="44" t="s">
        <v>31</v>
      </c>
    </row>
    <row r="1748" spans="1:6" ht="15.75">
      <c r="A1748" s="99" t="s">
        <v>455</v>
      </c>
      <c r="B1748" s="90" t="s">
        <v>457</v>
      </c>
      <c r="C1748" s="100" t="s">
        <v>181</v>
      </c>
    </row>
    <row r="1749" spans="1:6" ht="15">
      <c r="A1749" s="24" t="s">
        <v>536</v>
      </c>
      <c r="B1749" s="24" t="s">
        <v>757</v>
      </c>
      <c r="C1749" s="8">
        <v>3</v>
      </c>
    </row>
    <row r="1750" spans="1:6" ht="15">
      <c r="A1750" s="24"/>
      <c r="B1750" s="24" t="s">
        <v>75</v>
      </c>
      <c r="C1750" s="8" t="s">
        <v>86</v>
      </c>
    </row>
    <row r="1751" spans="1:6" ht="15">
      <c r="A1751" s="56"/>
      <c r="B1751" s="24" t="s">
        <v>31</v>
      </c>
      <c r="C1751" s="8" t="s">
        <v>86</v>
      </c>
    </row>
    <row r="1754" spans="1:6" ht="15.75">
      <c r="A1754" s="99" t="s">
        <v>105</v>
      </c>
      <c r="B1754" s="99" t="s">
        <v>455</v>
      </c>
      <c r="C1754" s="90" t="s">
        <v>389</v>
      </c>
      <c r="D1754" s="100" t="s">
        <v>182</v>
      </c>
      <c r="E1754" s="100" t="s">
        <v>181</v>
      </c>
      <c r="F1754" s="101" t="s">
        <v>595</v>
      </c>
    </row>
    <row r="1755" spans="1:6" ht="15">
      <c r="A1755" s="6" t="s">
        <v>758</v>
      </c>
      <c r="B1755" s="24" t="s">
        <v>21</v>
      </c>
      <c r="C1755" s="150">
        <v>120</v>
      </c>
      <c r="D1755" s="68">
        <v>1</v>
      </c>
      <c r="E1755" s="67">
        <v>25</v>
      </c>
      <c r="F1755" s="46">
        <v>13.75</v>
      </c>
    </row>
    <row r="1756" spans="1:6" ht="15">
      <c r="A1756" s="6" t="s">
        <v>758</v>
      </c>
      <c r="B1756" s="24" t="s">
        <v>21</v>
      </c>
      <c r="C1756" s="150">
        <v>120</v>
      </c>
      <c r="D1756" s="68">
        <v>1</v>
      </c>
      <c r="E1756" s="67">
        <v>25</v>
      </c>
      <c r="F1756" s="46">
        <v>13.75</v>
      </c>
    </row>
    <row r="1757" spans="1:6" ht="22.5">
      <c r="A1757" s="6" t="s">
        <v>758</v>
      </c>
      <c r="B1757" s="238"/>
      <c r="C1757" s="44"/>
      <c r="D1757" s="8" t="s">
        <v>86</v>
      </c>
      <c r="E1757" s="151" ph="1"/>
      <c r="F1757" s="46">
        <v>20</v>
      </c>
    </row>
    <row r="1760" spans="1:6" ht="15.75">
      <c r="A1760" s="99" t="s">
        <v>455</v>
      </c>
      <c r="B1760" s="90" t="s">
        <v>457</v>
      </c>
      <c r="C1760" s="100" t="s">
        <v>2</v>
      </c>
      <c r="D1760" s="101" t="s">
        <v>595</v>
      </c>
    </row>
    <row r="1761" spans="1:6" ht="15">
      <c r="A1761" s="95" t="s">
        <v>760</v>
      </c>
      <c r="B1761" s="24" t="s">
        <v>761</v>
      </c>
      <c r="C1761" s="67">
        <v>14</v>
      </c>
      <c r="D1761" s="46">
        <v>1.89</v>
      </c>
    </row>
    <row r="1762" spans="1:6" ht="15">
      <c r="A1762" s="95" t="s">
        <v>760</v>
      </c>
      <c r="B1762" s="24" t="s">
        <v>762</v>
      </c>
      <c r="C1762" s="67">
        <v>14</v>
      </c>
      <c r="D1762" s="46">
        <v>1.89</v>
      </c>
    </row>
    <row r="1763" spans="1:6" ht="15">
      <c r="A1763" s="95" t="s">
        <v>760</v>
      </c>
      <c r="B1763" s="24" t="s">
        <v>763</v>
      </c>
      <c r="C1763" s="67">
        <v>14</v>
      </c>
      <c r="D1763" s="46">
        <v>1.89</v>
      </c>
    </row>
    <row r="1764" spans="1:6" ht="15">
      <c r="A1764" s="95" t="s">
        <v>760</v>
      </c>
      <c r="B1764" s="95" t="s">
        <v>764</v>
      </c>
      <c r="C1764" s="67">
        <v>14</v>
      </c>
      <c r="D1764" s="46">
        <v>1.89</v>
      </c>
    </row>
    <row r="1765" spans="1:6" ht="15">
      <c r="A1765" s="95"/>
      <c r="B1765" s="95" t="s">
        <v>374</v>
      </c>
      <c r="C1765" s="161"/>
      <c r="D1765" s="46">
        <v>100</v>
      </c>
    </row>
    <row r="1768" spans="1:6" ht="15.75">
      <c r="A1768" s="99" t="s">
        <v>105</v>
      </c>
      <c r="B1768" s="99" t="s">
        <v>455</v>
      </c>
      <c r="C1768" s="90" t="s">
        <v>457</v>
      </c>
      <c r="D1768" s="100" t="s">
        <v>181</v>
      </c>
      <c r="E1768" s="101" t="s">
        <v>595</v>
      </c>
      <c r="F1768" s="17" t="s">
        <v>10</v>
      </c>
    </row>
    <row r="1769" spans="1:6" ht="15">
      <c r="A1769" s="6" t="s">
        <v>759</v>
      </c>
      <c r="B1769" s="24" t="s">
        <v>760</v>
      </c>
      <c r="C1769" s="24" t="s">
        <v>761</v>
      </c>
      <c r="D1769" s="67">
        <v>28</v>
      </c>
      <c r="E1769" s="46">
        <v>1.89</v>
      </c>
    </row>
    <row r="1770" spans="1:6" ht="15">
      <c r="A1770" s="6" t="s">
        <v>759</v>
      </c>
      <c r="B1770" s="24" t="s">
        <v>760</v>
      </c>
      <c r="C1770" s="24" t="s">
        <v>762</v>
      </c>
      <c r="D1770" s="67">
        <v>28</v>
      </c>
      <c r="E1770" s="46">
        <v>1.89</v>
      </c>
    </row>
    <row r="1771" spans="1:6" ht="15">
      <c r="A1771" s="6" t="s">
        <v>759</v>
      </c>
      <c r="B1771" s="24" t="s">
        <v>760</v>
      </c>
      <c r="C1771" s="24" t="s">
        <v>763</v>
      </c>
      <c r="D1771" s="67">
        <v>28</v>
      </c>
      <c r="E1771" s="46">
        <v>1.89</v>
      </c>
    </row>
    <row r="1772" spans="1:6" ht="15">
      <c r="A1772" s="6" t="s">
        <v>759</v>
      </c>
      <c r="B1772" s="24" t="s">
        <v>760</v>
      </c>
      <c r="C1772" s="24" t="s">
        <v>78</v>
      </c>
      <c r="D1772" s="67">
        <v>28</v>
      </c>
      <c r="E1772" s="46">
        <v>1.89</v>
      </c>
    </row>
    <row r="1773" spans="1:6" ht="15">
      <c r="A1773" s="6" t="s">
        <v>759</v>
      </c>
      <c r="B1773" s="24"/>
      <c r="C1773" s="24" t="s">
        <v>374</v>
      </c>
      <c r="D1773" s="8"/>
      <c r="E1773" s="46">
        <v>300</v>
      </c>
    </row>
    <row r="1774" spans="1:6" ht="15.75">
      <c r="A1774" s="99" t="s">
        <v>105</v>
      </c>
      <c r="B1774" s="99" t="s">
        <v>455</v>
      </c>
      <c r="C1774" s="90" t="s">
        <v>457</v>
      </c>
      <c r="D1774" s="100" t="s">
        <v>181</v>
      </c>
      <c r="E1774" s="101" t="s">
        <v>595</v>
      </c>
    </row>
    <row r="1775" spans="1:6" ht="15">
      <c r="A1775" s="6" t="s">
        <v>759</v>
      </c>
      <c r="B1775" s="24" t="s">
        <v>226</v>
      </c>
      <c r="C1775" s="24" t="s">
        <v>761</v>
      </c>
      <c r="D1775" s="19">
        <v>27.4</v>
      </c>
      <c r="E1775" s="46">
        <v>2.42</v>
      </c>
    </row>
    <row r="1776" spans="1:6" ht="15">
      <c r="A1776" s="6" t="s">
        <v>759</v>
      </c>
      <c r="B1776" s="24" t="s">
        <v>226</v>
      </c>
      <c r="C1776" s="24" t="s">
        <v>762</v>
      </c>
      <c r="D1776" s="19">
        <v>27.4</v>
      </c>
      <c r="E1776" s="46">
        <v>2.42</v>
      </c>
    </row>
    <row r="1777" spans="1:10" ht="15">
      <c r="A1777" s="6" t="s">
        <v>759</v>
      </c>
      <c r="B1777" s="24" t="s">
        <v>226</v>
      </c>
      <c r="C1777" s="24" t="s">
        <v>763</v>
      </c>
      <c r="D1777" s="19">
        <v>27.4</v>
      </c>
      <c r="E1777" s="46">
        <v>2.42</v>
      </c>
    </row>
    <row r="1778" spans="1:10" ht="15">
      <c r="A1778" s="6" t="s">
        <v>759</v>
      </c>
      <c r="B1778" s="24" t="s">
        <v>226</v>
      </c>
      <c r="C1778" s="24" t="s">
        <v>78</v>
      </c>
      <c r="D1778" s="19">
        <v>27.4</v>
      </c>
      <c r="E1778" s="46">
        <v>2.42</v>
      </c>
    </row>
    <row r="1779" spans="1:10" ht="15">
      <c r="A1779" s="6" t="s">
        <v>759</v>
      </c>
      <c r="B1779" s="95"/>
      <c r="C1779" s="24" t="s">
        <v>374</v>
      </c>
      <c r="D1779" s="8"/>
      <c r="E1779" s="46">
        <v>300</v>
      </c>
    </row>
    <row r="1782" spans="1:10" ht="15.75">
      <c r="A1782" s="99" t="s">
        <v>455</v>
      </c>
      <c r="B1782" s="90" t="s">
        <v>457</v>
      </c>
      <c r="C1782" s="100" t="s">
        <v>54</v>
      </c>
      <c r="D1782" s="11"/>
      <c r="E1782" s="15"/>
      <c r="F1782" s="6" t="s">
        <v>3</v>
      </c>
      <c r="G1782" s="175"/>
      <c r="H1782" s="175"/>
      <c r="I1782" s="175"/>
      <c r="J1782" s="7"/>
    </row>
    <row r="1783" spans="1:10" ht="15">
      <c r="A1783" s="24">
        <v>13217</v>
      </c>
      <c r="B1783" s="157" t="s">
        <v>769</v>
      </c>
      <c r="C1783" s="67">
        <v>3</v>
      </c>
      <c r="D1783" s="39"/>
      <c r="E1783" s="39"/>
      <c r="F1783" s="46"/>
      <c r="G1783" s="46">
        <v>3.54</v>
      </c>
      <c r="H1783" s="46"/>
      <c r="I1783" s="15">
        <v>265</v>
      </c>
      <c r="J1783" s="7">
        <v>175</v>
      </c>
    </row>
    <row r="1784" spans="1:10" ht="15">
      <c r="A1784" s="24">
        <v>13229</v>
      </c>
      <c r="B1784" s="157" t="s">
        <v>769</v>
      </c>
      <c r="C1784" s="67">
        <v>3</v>
      </c>
      <c r="D1784" s="39"/>
      <c r="E1784" s="39"/>
      <c r="F1784" s="46"/>
      <c r="G1784" s="46">
        <v>4.3</v>
      </c>
      <c r="H1784" s="46"/>
      <c r="I1784" s="15">
        <v>322</v>
      </c>
      <c r="J1784" s="7">
        <v>232</v>
      </c>
    </row>
    <row r="1785" spans="1:10" ht="15">
      <c r="A1785" s="24">
        <v>13230</v>
      </c>
      <c r="B1785" s="157" t="s">
        <v>769</v>
      </c>
      <c r="C1785" s="67">
        <v>3</v>
      </c>
      <c r="D1785" s="39"/>
      <c r="E1785" s="39"/>
      <c r="F1785" s="46"/>
      <c r="G1785" s="46">
        <v>4.46</v>
      </c>
      <c r="H1785" s="46"/>
      <c r="I1785" s="15">
        <v>334</v>
      </c>
      <c r="J1785" s="7">
        <v>244</v>
      </c>
    </row>
    <row r="1786" spans="1:10" ht="15">
      <c r="A1786" s="24">
        <v>13231</v>
      </c>
      <c r="B1786" s="157" t="s">
        <v>769</v>
      </c>
      <c r="C1786" s="67">
        <v>3</v>
      </c>
      <c r="D1786" s="39"/>
      <c r="E1786" s="39"/>
      <c r="F1786" s="46"/>
      <c r="G1786" s="46">
        <v>4.7</v>
      </c>
      <c r="H1786" s="46"/>
      <c r="I1786" s="15">
        <v>352</v>
      </c>
      <c r="J1786" s="7">
        <v>262</v>
      </c>
    </row>
    <row r="1787" spans="1:10" ht="15">
      <c r="A1787" s="24">
        <v>13595</v>
      </c>
      <c r="B1787" s="157" t="s">
        <v>769</v>
      </c>
      <c r="C1787" s="67">
        <v>3</v>
      </c>
      <c r="D1787" s="39"/>
      <c r="E1787" s="39"/>
      <c r="F1787" s="46"/>
      <c r="G1787" s="46">
        <v>3.14</v>
      </c>
      <c r="H1787" s="46"/>
      <c r="I1787" s="15">
        <v>235</v>
      </c>
      <c r="J1787" s="7">
        <v>145</v>
      </c>
    </row>
    <row r="1788" spans="1:10" ht="15">
      <c r="A1788" s="24">
        <v>13666</v>
      </c>
      <c r="B1788" s="157" t="s">
        <v>769</v>
      </c>
      <c r="C1788" s="67">
        <v>3</v>
      </c>
      <c r="D1788" s="39"/>
      <c r="E1788" s="39"/>
      <c r="F1788" s="46"/>
      <c r="G1788" s="46">
        <v>3.47</v>
      </c>
      <c r="H1788" s="46"/>
      <c r="I1788" s="15">
        <v>260</v>
      </c>
      <c r="J1788" s="7">
        <v>170</v>
      </c>
    </row>
    <row r="1790" spans="1:10" ht="15.75">
      <c r="A1790" s="99" t="s">
        <v>455</v>
      </c>
      <c r="B1790" s="90" t="s">
        <v>457</v>
      </c>
      <c r="C1790" s="100" t="s">
        <v>54</v>
      </c>
    </row>
    <row r="1791" spans="1:10" ht="15">
      <c r="A1791" s="24">
        <v>2440</v>
      </c>
      <c r="B1791" s="24" t="s">
        <v>733</v>
      </c>
      <c r="C1791" s="67">
        <v>58</v>
      </c>
    </row>
    <row r="1792" spans="1:10" ht="15">
      <c r="A1792" s="24" t="s">
        <v>731</v>
      </c>
      <c r="B1792" s="24" t="s">
        <v>734</v>
      </c>
      <c r="C1792" s="67">
        <v>58</v>
      </c>
    </row>
    <row r="1794" spans="1:8" ht="15.75">
      <c r="A1794" s="99" t="s">
        <v>105</v>
      </c>
      <c r="B1794" s="99" t="s">
        <v>455</v>
      </c>
      <c r="C1794" s="90" t="s">
        <v>389</v>
      </c>
      <c r="D1794" s="101" t="s">
        <v>595</v>
      </c>
      <c r="E1794" s="101" t="s">
        <v>287</v>
      </c>
    </row>
    <row r="1795" spans="1:8" ht="15.75">
      <c r="A1795" s="33" t="s">
        <v>770</v>
      </c>
      <c r="B1795" s="24">
        <v>2440</v>
      </c>
      <c r="C1795" s="150">
        <v>140</v>
      </c>
      <c r="D1795" s="46">
        <v>3.1</v>
      </c>
      <c r="E1795" s="240" t="s">
        <v>771</v>
      </c>
    </row>
    <row r="1796" spans="1:8" ht="15.75">
      <c r="A1796" s="33" t="s">
        <v>770</v>
      </c>
      <c r="B1796" s="24" t="s">
        <v>731</v>
      </c>
      <c r="C1796" s="150">
        <v>140</v>
      </c>
      <c r="D1796" s="46">
        <v>8.3800000000000008</v>
      </c>
      <c r="E1796" s="240" t="s">
        <v>772</v>
      </c>
    </row>
    <row r="1797" spans="1:8" ht="15.75">
      <c r="A1797" s="33" t="s">
        <v>770</v>
      </c>
      <c r="B1797" s="24"/>
      <c r="C1797" s="56"/>
      <c r="D1797" s="46">
        <v>20</v>
      </c>
      <c r="E1797" s="240"/>
      <c r="F1797" s="68"/>
      <c r="G1797" s="25">
        <v>20</v>
      </c>
      <c r="H1797" s="142"/>
    </row>
    <row r="1802" spans="1:8" ht="15.75">
      <c r="A1802" s="99" t="s">
        <v>105</v>
      </c>
      <c r="B1802" s="99" t="s">
        <v>455</v>
      </c>
      <c r="C1802" s="90" t="s">
        <v>457</v>
      </c>
      <c r="D1802" s="101" t="s">
        <v>287</v>
      </c>
      <c r="E1802" s="11"/>
    </row>
    <row r="1803" spans="1:8" ht="15.75">
      <c r="A1803" s="6" t="s">
        <v>773</v>
      </c>
      <c r="B1803" s="24" t="s">
        <v>774</v>
      </c>
      <c r="C1803" s="24" t="s">
        <v>775</v>
      </c>
      <c r="D1803" s="240" t="s">
        <v>789</v>
      </c>
      <c r="E1803" s="39"/>
    </row>
    <row r="1804" spans="1:8" ht="15.75">
      <c r="A1804" s="6" t="s">
        <v>773</v>
      </c>
      <c r="B1804" s="24" t="s">
        <v>776</v>
      </c>
      <c r="C1804" s="24" t="s">
        <v>777</v>
      </c>
      <c r="D1804" s="240" t="s">
        <v>788</v>
      </c>
      <c r="E1804" s="239">
        <v>43733</v>
      </c>
    </row>
    <row r="1805" spans="1:8" ht="15.75">
      <c r="A1805" s="6" t="s">
        <v>773</v>
      </c>
      <c r="B1805" s="24" t="s">
        <v>778</v>
      </c>
      <c r="C1805" s="24" t="s">
        <v>779</v>
      </c>
      <c r="D1805" s="240" t="s">
        <v>789</v>
      </c>
      <c r="E1805" s="39"/>
    </row>
    <row r="1806" spans="1:8" ht="15.75">
      <c r="A1806" s="6" t="s">
        <v>773</v>
      </c>
      <c r="B1806" s="24" t="s">
        <v>780</v>
      </c>
      <c r="C1806" s="24" t="s">
        <v>781</v>
      </c>
      <c r="D1806" s="240" t="s">
        <v>789</v>
      </c>
      <c r="E1806" s="39"/>
    </row>
    <row r="1807" spans="1:8" ht="15.75">
      <c r="A1807" s="6" t="s">
        <v>773</v>
      </c>
      <c r="B1807" s="24" t="s">
        <v>782</v>
      </c>
      <c r="C1807" s="24" t="s">
        <v>785</v>
      </c>
      <c r="D1807" s="240" t="s">
        <v>789</v>
      </c>
      <c r="E1807" s="39"/>
    </row>
    <row r="1808" spans="1:8" ht="15.75">
      <c r="A1808" s="6" t="s">
        <v>773</v>
      </c>
      <c r="B1808" s="24" t="s">
        <v>783</v>
      </c>
      <c r="C1808" s="24" t="s">
        <v>786</v>
      </c>
      <c r="D1808" s="240" t="s">
        <v>789</v>
      </c>
      <c r="E1808" s="39"/>
    </row>
    <row r="1809" spans="1:6" ht="15.75">
      <c r="A1809" s="6" t="s">
        <v>773</v>
      </c>
      <c r="B1809" s="24" t="s">
        <v>784</v>
      </c>
      <c r="C1809" s="24" t="s">
        <v>787</v>
      </c>
      <c r="D1809" s="240" t="s">
        <v>789</v>
      </c>
      <c r="E1809" s="39"/>
    </row>
    <row r="1810" spans="1:6" ht="15.75">
      <c r="A1810" s="6" t="s">
        <v>773</v>
      </c>
      <c r="B1810" s="56"/>
      <c r="C1810" s="24" t="s">
        <v>481</v>
      </c>
      <c r="D1810" s="240" t="s">
        <v>789</v>
      </c>
      <c r="E1810" s="39"/>
    </row>
    <row r="1812" spans="1:6" ht="15.75">
      <c r="A1812" s="99" t="s">
        <v>105</v>
      </c>
      <c r="B1812" s="99" t="s">
        <v>455</v>
      </c>
      <c r="C1812" s="90" t="s">
        <v>389</v>
      </c>
      <c r="D1812" s="101" t="s">
        <v>595</v>
      </c>
    </row>
    <row r="1813" spans="1:6" ht="15">
      <c r="A1813" s="6" t="s">
        <v>790</v>
      </c>
      <c r="B1813" s="24" t="s">
        <v>536</v>
      </c>
      <c r="C1813" s="150">
        <v>160</v>
      </c>
      <c r="D1813" s="25">
        <v>4.2</v>
      </c>
    </row>
    <row r="1814" spans="1:6" ht="15">
      <c r="A1814" s="6" t="s">
        <v>790</v>
      </c>
      <c r="B1814" s="24">
        <v>5049</v>
      </c>
      <c r="C1814" s="150">
        <v>148</v>
      </c>
      <c r="D1814" s="25">
        <v>5.13</v>
      </c>
    </row>
    <row r="1815" spans="1:6" ht="15">
      <c r="A1815" s="6" t="s">
        <v>790</v>
      </c>
      <c r="B1815" s="238"/>
      <c r="C1815" s="44"/>
      <c r="D1815" s="46">
        <v>20</v>
      </c>
    </row>
    <row r="1820" spans="1:6" ht="15.75">
      <c r="A1820" s="99" t="s">
        <v>105</v>
      </c>
      <c r="B1820" s="99" t="s">
        <v>455</v>
      </c>
      <c r="C1820" s="90" t="s">
        <v>389</v>
      </c>
      <c r="D1820" s="100" t="s">
        <v>182</v>
      </c>
      <c r="E1820" s="100" t="s">
        <v>181</v>
      </c>
      <c r="F1820" s="101" t="s">
        <v>595</v>
      </c>
    </row>
    <row r="1821" spans="1:6" ht="15">
      <c r="A1821" s="6" t="s">
        <v>791</v>
      </c>
      <c r="B1821" s="56" t="s">
        <v>176</v>
      </c>
      <c r="C1821" s="26">
        <v>30</v>
      </c>
      <c r="D1821" s="68">
        <v>60</v>
      </c>
      <c r="E1821" s="67" t="e">
        <f>#REF!*D1821</f>
        <v>#REF!</v>
      </c>
      <c r="F1821" s="25">
        <v>2.4500000000000002</v>
      </c>
    </row>
    <row r="1825" spans="1:8" ht="15">
      <c r="D1825" s="24"/>
      <c r="E1825" s="67"/>
      <c r="F1825" s="67"/>
      <c r="G1825" s="68"/>
      <c r="H1825" s="680"/>
    </row>
    <row r="1826" spans="1:8" ht="15">
      <c r="A1826" s="24" t="s">
        <v>793</v>
      </c>
      <c r="B1826" s="24" t="s">
        <v>795</v>
      </c>
      <c r="C1826" s="151">
        <v>33</v>
      </c>
      <c r="D1826" s="95" t="s">
        <v>816</v>
      </c>
      <c r="E1826" s="69">
        <f>F1826*G1826</f>
        <v>328.79999999999995</v>
      </c>
      <c r="F1826" s="54">
        <v>13.7</v>
      </c>
      <c r="G1826" s="37">
        <v>24</v>
      </c>
      <c r="H1826" s="742"/>
    </row>
    <row r="1827" spans="1:8" ht="15">
      <c r="A1827" s="24" t="s">
        <v>797</v>
      </c>
      <c r="B1827" s="24" t="s">
        <v>799</v>
      </c>
      <c r="C1827" s="151">
        <v>45</v>
      </c>
      <c r="D1827" s="95" t="s">
        <v>816</v>
      </c>
      <c r="E1827" s="69">
        <f>F1827*G1827</f>
        <v>322</v>
      </c>
      <c r="F1827" s="54">
        <v>14</v>
      </c>
      <c r="G1827" s="37">
        <v>23</v>
      </c>
      <c r="H1827" s="742"/>
    </row>
    <row r="1828" spans="1:8" ht="15">
      <c r="A1828" s="24" t="s">
        <v>797</v>
      </c>
      <c r="B1828" s="24" t="s">
        <v>801</v>
      </c>
      <c r="C1828" s="151">
        <v>55</v>
      </c>
    </row>
    <row r="1829" spans="1:8" ht="15">
      <c r="A1829" s="24">
        <v>5049</v>
      </c>
      <c r="B1829" s="24" t="s">
        <v>803</v>
      </c>
      <c r="C1829" s="151">
        <v>32</v>
      </c>
    </row>
    <row r="1830" spans="1:8" ht="15">
      <c r="A1830" s="24" t="s">
        <v>536</v>
      </c>
      <c r="B1830" s="24" t="s">
        <v>803</v>
      </c>
      <c r="C1830" s="151">
        <v>86</v>
      </c>
    </row>
    <row r="1831" spans="1:8" ht="15">
      <c r="A1831" s="24" t="s">
        <v>738</v>
      </c>
      <c r="B1831" s="24" t="s">
        <v>803</v>
      </c>
      <c r="C1831" s="151">
        <v>54</v>
      </c>
    </row>
    <row r="1833" spans="1:8" ht="15.75">
      <c r="A1833" s="99" t="s">
        <v>455</v>
      </c>
      <c r="B1833" s="90" t="s">
        <v>457</v>
      </c>
      <c r="C1833" s="100" t="s">
        <v>806</v>
      </c>
    </row>
    <row r="1834" spans="1:8" ht="15">
      <c r="A1834" s="241" t="s">
        <v>792</v>
      </c>
      <c r="B1834" s="241" t="s">
        <v>794</v>
      </c>
      <c r="C1834" s="241" t="s">
        <v>807</v>
      </c>
    </row>
    <row r="1835" spans="1:8" ht="15">
      <c r="A1835" s="241" t="s">
        <v>796</v>
      </c>
      <c r="B1835" s="241" t="s">
        <v>798</v>
      </c>
      <c r="C1835" s="241" t="s">
        <v>808</v>
      </c>
    </row>
    <row r="1836" spans="1:8" ht="15">
      <c r="A1836" s="241" t="s">
        <v>796</v>
      </c>
      <c r="B1836" s="241" t="s">
        <v>800</v>
      </c>
      <c r="C1836" s="241" t="s">
        <v>809</v>
      </c>
    </row>
    <row r="1837" spans="1:8" ht="15">
      <c r="A1837" s="241">
        <v>5049</v>
      </c>
      <c r="B1837" s="241" t="s">
        <v>802</v>
      </c>
      <c r="C1837" s="241" t="s">
        <v>810</v>
      </c>
    </row>
    <row r="1838" spans="1:8" ht="15">
      <c r="A1838" s="241" t="s">
        <v>804</v>
      </c>
      <c r="B1838" s="241" t="s">
        <v>802</v>
      </c>
      <c r="C1838" s="241" t="s">
        <v>811</v>
      </c>
    </row>
    <row r="1839" spans="1:8" ht="15">
      <c r="A1839" s="241" t="s">
        <v>805</v>
      </c>
      <c r="B1839" s="241" t="s">
        <v>802</v>
      </c>
      <c r="C1839" s="241" t="s">
        <v>812</v>
      </c>
    </row>
    <row r="1842" spans="1:6" ht="15.75">
      <c r="A1842" s="99" t="s">
        <v>105</v>
      </c>
      <c r="B1842" s="99" t="s">
        <v>455</v>
      </c>
      <c r="C1842" s="90" t="s">
        <v>389</v>
      </c>
      <c r="D1842" s="100" t="s">
        <v>182</v>
      </c>
      <c r="E1842" s="100" t="s">
        <v>181</v>
      </c>
      <c r="F1842" s="101" t="s">
        <v>595</v>
      </c>
    </row>
    <row r="1843" spans="1:6" ht="15">
      <c r="A1843" s="6" t="s">
        <v>813</v>
      </c>
      <c r="B1843" s="24">
        <v>12701</v>
      </c>
      <c r="C1843" s="26">
        <v>12</v>
      </c>
      <c r="D1843" s="68">
        <v>4</v>
      </c>
      <c r="E1843" s="67">
        <v>40</v>
      </c>
      <c r="F1843" s="25">
        <v>0.79</v>
      </c>
    </row>
    <row r="1844" spans="1:6" ht="15">
      <c r="A1844" s="6" t="s">
        <v>813</v>
      </c>
      <c r="B1844" s="24">
        <v>12701</v>
      </c>
      <c r="C1844" s="26">
        <v>18</v>
      </c>
      <c r="D1844" s="68">
        <v>5</v>
      </c>
      <c r="E1844" s="67">
        <v>50</v>
      </c>
      <c r="F1844" s="25">
        <v>1.02</v>
      </c>
    </row>
    <row r="1845" spans="1:6" ht="15">
      <c r="A1845" s="6" t="s">
        <v>813</v>
      </c>
      <c r="B1845" s="24">
        <v>11700</v>
      </c>
      <c r="C1845" s="26">
        <v>12</v>
      </c>
      <c r="D1845" s="68">
        <v>3</v>
      </c>
      <c r="E1845" s="67">
        <v>30</v>
      </c>
      <c r="F1845" s="46">
        <v>1.32</v>
      </c>
    </row>
    <row r="1846" spans="1:6" ht="15">
      <c r="A1846" s="6" t="s">
        <v>813</v>
      </c>
      <c r="B1846" s="24"/>
      <c r="C1846" s="26"/>
      <c r="D1846" s="41"/>
      <c r="E1846" s="8"/>
      <c r="F1846" s="40">
        <v>12</v>
      </c>
    </row>
    <row r="1849" spans="1:6" ht="15.75">
      <c r="A1849" s="99" t="s">
        <v>455</v>
      </c>
      <c r="B1849" s="90" t="s">
        <v>457</v>
      </c>
      <c r="C1849" s="100" t="s">
        <v>2</v>
      </c>
    </row>
    <row r="1850" spans="1:6" ht="15">
      <c r="A1850" s="24" t="s">
        <v>241</v>
      </c>
      <c r="B1850" s="24" t="s">
        <v>816</v>
      </c>
      <c r="C1850" s="54">
        <v>13.7</v>
      </c>
    </row>
    <row r="1851" spans="1:6" ht="15">
      <c r="A1851" s="24" t="s">
        <v>515</v>
      </c>
      <c r="B1851" s="24" t="s">
        <v>816</v>
      </c>
      <c r="C1851" s="54">
        <v>14</v>
      </c>
    </row>
    <row r="1854" spans="1:6" ht="15.75">
      <c r="A1854" s="99" t="s">
        <v>105</v>
      </c>
      <c r="B1854" s="99" t="s">
        <v>455</v>
      </c>
      <c r="C1854" s="90" t="s">
        <v>457</v>
      </c>
      <c r="D1854" s="100" t="s">
        <v>181</v>
      </c>
      <c r="E1854" s="101" t="s">
        <v>595</v>
      </c>
      <c r="F1854" s="100" t="s">
        <v>151</v>
      </c>
    </row>
    <row r="1855" spans="1:6" ht="15">
      <c r="A1855" s="6" t="s">
        <v>815</v>
      </c>
      <c r="B1855" s="24" t="s">
        <v>241</v>
      </c>
      <c r="C1855" s="24" t="s">
        <v>817</v>
      </c>
      <c r="D1855" s="69">
        <v>328.79999999999995</v>
      </c>
      <c r="E1855" s="25">
        <v>2.37</v>
      </c>
      <c r="F1855" s="242" t="s">
        <v>818</v>
      </c>
    </row>
    <row r="1856" spans="1:6" ht="15">
      <c r="A1856" s="6" t="s">
        <v>815</v>
      </c>
      <c r="B1856" s="24" t="s">
        <v>515</v>
      </c>
      <c r="C1856" s="24" t="s">
        <v>817</v>
      </c>
      <c r="D1856" s="69">
        <v>322</v>
      </c>
      <c r="E1856" s="25">
        <v>1.62</v>
      </c>
      <c r="F1856" s="27" t="s">
        <v>153</v>
      </c>
    </row>
    <row r="1858" spans="1:3" ht="15.75">
      <c r="A1858" s="99" t="s">
        <v>105</v>
      </c>
      <c r="B1858" s="99" t="s">
        <v>455</v>
      </c>
      <c r="C1858" s="90" t="s">
        <v>457</v>
      </c>
    </row>
    <row r="1859" spans="1:3" ht="15">
      <c r="A1859" s="6" t="s">
        <v>819</v>
      </c>
      <c r="B1859" s="24" t="s">
        <v>820</v>
      </c>
      <c r="C1859" s="24" t="s">
        <v>129</v>
      </c>
    </row>
    <row r="1860" spans="1:3" ht="15">
      <c r="A1860" s="6" t="s">
        <v>819</v>
      </c>
      <c r="B1860" s="24" t="s">
        <v>821</v>
      </c>
      <c r="C1860" s="24" t="s">
        <v>129</v>
      </c>
    </row>
    <row r="1861" spans="1:3" ht="15">
      <c r="A1861" s="6" t="s">
        <v>819</v>
      </c>
      <c r="B1861" s="24" t="s">
        <v>822</v>
      </c>
      <c r="C1861" s="24" t="s">
        <v>129</v>
      </c>
    </row>
    <row r="1862" spans="1:3" ht="15">
      <c r="A1862" s="6" t="s">
        <v>819</v>
      </c>
      <c r="B1862" s="24"/>
      <c r="C1862" s="24" t="s">
        <v>31</v>
      </c>
    </row>
    <row r="1865" spans="1:3" ht="15.75">
      <c r="A1865" s="99" t="s">
        <v>455</v>
      </c>
      <c r="B1865" s="99" t="s">
        <v>377</v>
      </c>
      <c r="C1865" s="90" t="s">
        <v>457</v>
      </c>
    </row>
    <row r="1866" spans="1:3" ht="15">
      <c r="A1866" s="24" t="s">
        <v>536</v>
      </c>
      <c r="B1866" s="150">
        <v>160</v>
      </c>
      <c r="C1866" s="24" t="s">
        <v>824</v>
      </c>
    </row>
    <row r="1867" spans="1:3" ht="15">
      <c r="A1867" s="24"/>
      <c r="B1867" s="26"/>
      <c r="C1867" s="24" t="s">
        <v>75</v>
      </c>
    </row>
    <row r="1868" spans="1:3" ht="15">
      <c r="A1868" s="24"/>
      <c r="B1868" s="26"/>
      <c r="C1868" s="24" t="s">
        <v>31</v>
      </c>
    </row>
    <row r="1871" spans="1:3" ht="15.75">
      <c r="A1871" s="99" t="s">
        <v>455</v>
      </c>
      <c r="B1871" s="90" t="s">
        <v>457</v>
      </c>
      <c r="C1871" s="90" t="s">
        <v>54</v>
      </c>
    </row>
    <row r="1872" spans="1:3" ht="15">
      <c r="A1872" s="24" t="s">
        <v>826</v>
      </c>
      <c r="B1872" s="24" t="s">
        <v>129</v>
      </c>
      <c r="C1872" s="67">
        <v>25</v>
      </c>
    </row>
    <row r="1873" spans="1:3" ht="15">
      <c r="A1873" s="24" t="s">
        <v>826</v>
      </c>
      <c r="B1873" s="24" t="s">
        <v>56</v>
      </c>
      <c r="C1873" s="67">
        <v>25</v>
      </c>
    </row>
    <row r="1874" spans="1:3" ht="15">
      <c r="A1874" s="24" t="s">
        <v>826</v>
      </c>
      <c r="B1874" s="24" t="s">
        <v>827</v>
      </c>
      <c r="C1874" s="67">
        <v>25</v>
      </c>
    </row>
    <row r="1875" spans="1:3" ht="15">
      <c r="A1875" s="24" t="s">
        <v>826</v>
      </c>
      <c r="B1875" s="24" t="s">
        <v>762</v>
      </c>
      <c r="C1875" s="67">
        <v>25</v>
      </c>
    </row>
    <row r="1876" spans="1:3" ht="15">
      <c r="A1876" s="24" t="s">
        <v>826</v>
      </c>
      <c r="B1876" s="24" t="s">
        <v>828</v>
      </c>
      <c r="C1876" s="67">
        <v>25</v>
      </c>
    </row>
    <row r="1877" spans="1:3" ht="15">
      <c r="A1877" s="24"/>
      <c r="B1877" s="24"/>
      <c r="C1877" s="67"/>
    </row>
    <row r="1878" spans="1:3" ht="15">
      <c r="A1878" s="24" t="s">
        <v>829</v>
      </c>
      <c r="B1878" s="24" t="s">
        <v>129</v>
      </c>
      <c r="C1878" s="67">
        <v>25</v>
      </c>
    </row>
    <row r="1879" spans="1:3" ht="15">
      <c r="A1879" s="24" t="s">
        <v>829</v>
      </c>
      <c r="B1879" s="24" t="s">
        <v>56</v>
      </c>
      <c r="C1879" s="67">
        <v>25</v>
      </c>
    </row>
    <row r="1880" spans="1:3" ht="15">
      <c r="A1880" s="24" t="s">
        <v>829</v>
      </c>
      <c r="B1880" s="24" t="s">
        <v>827</v>
      </c>
      <c r="C1880" s="67">
        <v>25</v>
      </c>
    </row>
    <row r="1881" spans="1:3" ht="15">
      <c r="A1881" s="24" t="s">
        <v>829</v>
      </c>
      <c r="B1881" s="24" t="s">
        <v>762</v>
      </c>
      <c r="C1881" s="67">
        <v>25</v>
      </c>
    </row>
    <row r="1882" spans="1:3" ht="15">
      <c r="A1882" s="24" t="s">
        <v>829</v>
      </c>
      <c r="B1882" s="24" t="s">
        <v>828</v>
      </c>
      <c r="C1882" s="67">
        <v>25</v>
      </c>
    </row>
    <row r="1883" spans="1:3" ht="15">
      <c r="A1883" s="24"/>
      <c r="B1883" s="24"/>
      <c r="C1883" s="67"/>
    </row>
    <row r="1884" spans="1:3" ht="15">
      <c r="A1884" s="24" t="s">
        <v>830</v>
      </c>
      <c r="B1884" s="24" t="s">
        <v>129</v>
      </c>
      <c r="C1884" s="67">
        <v>25</v>
      </c>
    </row>
    <row r="1885" spans="1:3" ht="15">
      <c r="A1885" s="24" t="s">
        <v>830</v>
      </c>
      <c r="B1885" s="24" t="s">
        <v>56</v>
      </c>
      <c r="C1885" s="67">
        <v>25</v>
      </c>
    </row>
    <row r="1886" spans="1:3" ht="15">
      <c r="A1886" s="24" t="s">
        <v>830</v>
      </c>
      <c r="B1886" s="24" t="s">
        <v>827</v>
      </c>
      <c r="C1886" s="67">
        <v>25</v>
      </c>
    </row>
    <row r="1887" spans="1:3" ht="15">
      <c r="A1887" s="24" t="s">
        <v>830</v>
      </c>
      <c r="B1887" s="24" t="s">
        <v>762</v>
      </c>
      <c r="C1887" s="67">
        <v>25</v>
      </c>
    </row>
    <row r="1888" spans="1:3" ht="15">
      <c r="A1888" s="24" t="s">
        <v>830</v>
      </c>
      <c r="B1888" s="24" t="s">
        <v>828</v>
      </c>
      <c r="C1888" s="67">
        <v>25</v>
      </c>
    </row>
    <row r="1889" spans="1:3" ht="15">
      <c r="A1889" s="24"/>
      <c r="B1889" s="24"/>
      <c r="C1889" s="67"/>
    </row>
    <row r="1890" spans="1:3" ht="15">
      <c r="A1890" s="24" t="s">
        <v>820</v>
      </c>
      <c r="B1890" s="24" t="s">
        <v>831</v>
      </c>
      <c r="C1890" s="67">
        <v>25</v>
      </c>
    </row>
    <row r="1891" spans="1:3" ht="15">
      <c r="A1891" s="24" t="s">
        <v>820</v>
      </c>
      <c r="B1891" s="24" t="s">
        <v>832</v>
      </c>
      <c r="C1891" s="67">
        <v>25</v>
      </c>
    </row>
    <row r="1892" spans="1:3" ht="15">
      <c r="A1892" s="24" t="s">
        <v>820</v>
      </c>
      <c r="B1892" s="24" t="s">
        <v>833</v>
      </c>
      <c r="C1892" s="67">
        <v>25</v>
      </c>
    </row>
    <row r="1893" spans="1:3" ht="15">
      <c r="A1893" s="24" t="s">
        <v>820</v>
      </c>
      <c r="B1893" s="24" t="s">
        <v>834</v>
      </c>
      <c r="C1893" s="67">
        <v>25</v>
      </c>
    </row>
    <row r="1894" spans="1:3" ht="15">
      <c r="A1894" s="24"/>
      <c r="B1894" s="24"/>
      <c r="C1894" s="67"/>
    </row>
    <row r="1895" spans="1:3" ht="15">
      <c r="A1895" s="24" t="s">
        <v>821</v>
      </c>
      <c r="B1895" s="24" t="s">
        <v>831</v>
      </c>
      <c r="C1895" s="67">
        <v>25</v>
      </c>
    </row>
    <row r="1896" spans="1:3" ht="15">
      <c r="A1896" s="24" t="s">
        <v>821</v>
      </c>
      <c r="B1896" s="24" t="s">
        <v>832</v>
      </c>
      <c r="C1896" s="67">
        <v>25</v>
      </c>
    </row>
    <row r="1897" spans="1:3" ht="15">
      <c r="A1897" s="24" t="s">
        <v>821</v>
      </c>
      <c r="B1897" s="24" t="s">
        <v>833</v>
      </c>
      <c r="C1897" s="67">
        <v>25</v>
      </c>
    </row>
    <row r="1898" spans="1:3" ht="15">
      <c r="A1898" s="24" t="s">
        <v>821</v>
      </c>
      <c r="B1898" s="24" t="s">
        <v>834</v>
      </c>
      <c r="C1898" s="67">
        <v>25</v>
      </c>
    </row>
    <row r="1899" spans="1:3" ht="15">
      <c r="A1899" s="24"/>
      <c r="B1899" s="24"/>
      <c r="C1899" s="67"/>
    </row>
    <row r="1900" spans="1:3" ht="15">
      <c r="A1900" s="24" t="s">
        <v>822</v>
      </c>
      <c r="B1900" s="24" t="s">
        <v>831</v>
      </c>
      <c r="C1900" s="67">
        <v>25</v>
      </c>
    </row>
    <row r="1901" spans="1:3" ht="15">
      <c r="A1901" s="24" t="s">
        <v>822</v>
      </c>
      <c r="B1901" s="24" t="s">
        <v>832</v>
      </c>
      <c r="C1901" s="67">
        <v>25</v>
      </c>
    </row>
    <row r="1902" spans="1:3" ht="15">
      <c r="A1902" s="24" t="s">
        <v>822</v>
      </c>
      <c r="B1902" s="24" t="s">
        <v>833</v>
      </c>
      <c r="C1902" s="67">
        <v>25</v>
      </c>
    </row>
    <row r="1903" spans="1:3" ht="15">
      <c r="A1903" s="24" t="s">
        <v>822</v>
      </c>
      <c r="B1903" s="24" t="s">
        <v>834</v>
      </c>
      <c r="C1903" s="67">
        <v>25</v>
      </c>
    </row>
    <row r="1904" spans="1:3" ht="15">
      <c r="A1904" s="24"/>
      <c r="B1904" s="24"/>
      <c r="C1904" s="67"/>
    </row>
    <row r="1905" spans="1:4" ht="15">
      <c r="A1905" s="24" t="s">
        <v>576</v>
      </c>
      <c r="B1905" s="24" t="s">
        <v>129</v>
      </c>
      <c r="C1905" s="35">
        <v>25</v>
      </c>
    </row>
    <row r="1906" spans="1:4" ht="15">
      <c r="A1906" s="24" t="s">
        <v>576</v>
      </c>
      <c r="B1906" s="24" t="s">
        <v>56</v>
      </c>
      <c r="C1906" s="35">
        <v>25</v>
      </c>
    </row>
    <row r="1907" spans="1:4" ht="15">
      <c r="A1907" s="24" t="s">
        <v>576</v>
      </c>
      <c r="B1907" s="24" t="s">
        <v>835</v>
      </c>
      <c r="C1907" s="35">
        <v>25</v>
      </c>
    </row>
    <row r="1908" spans="1:4" ht="15">
      <c r="A1908" s="24" t="s">
        <v>576</v>
      </c>
      <c r="B1908" s="24" t="s">
        <v>836</v>
      </c>
      <c r="C1908" s="35">
        <v>25</v>
      </c>
    </row>
    <row r="1911" spans="1:4" ht="15.75">
      <c r="A1911" s="99" t="s">
        <v>845</v>
      </c>
      <c r="B1911" s="99" t="s">
        <v>455</v>
      </c>
      <c r="C1911" s="90" t="s">
        <v>457</v>
      </c>
      <c r="D1911" s="101" t="s">
        <v>846</v>
      </c>
    </row>
    <row r="1912" spans="1:4" ht="15">
      <c r="A1912" s="6" t="s">
        <v>825</v>
      </c>
      <c r="B1912" s="24" t="s">
        <v>826</v>
      </c>
      <c r="C1912" s="24" t="s">
        <v>129</v>
      </c>
      <c r="D1912" s="46" t="e">
        <f>#REF!*#REF!</f>
        <v>#REF!</v>
      </c>
    </row>
    <row r="1913" spans="1:4" ht="15">
      <c r="A1913" s="6" t="s">
        <v>825</v>
      </c>
      <c r="B1913" s="24" t="s">
        <v>826</v>
      </c>
      <c r="C1913" s="24" t="s">
        <v>838</v>
      </c>
      <c r="D1913" s="46" t="e">
        <f>#REF!*#REF!</f>
        <v>#REF!</v>
      </c>
    </row>
    <row r="1914" spans="1:4" ht="15">
      <c r="A1914" s="6" t="s">
        <v>825</v>
      </c>
      <c r="B1914" s="24" t="s">
        <v>826</v>
      </c>
      <c r="C1914" s="24" t="s">
        <v>827</v>
      </c>
      <c r="D1914" s="46" t="e">
        <f>#REF!*#REF!</f>
        <v>#REF!</v>
      </c>
    </row>
    <row r="1915" spans="1:4" ht="15">
      <c r="A1915" s="6" t="s">
        <v>825</v>
      </c>
      <c r="B1915" s="24" t="s">
        <v>826</v>
      </c>
      <c r="C1915" s="24" t="s">
        <v>762</v>
      </c>
      <c r="D1915" s="46" t="e">
        <f>#REF!*#REF!</f>
        <v>#REF!</v>
      </c>
    </row>
    <row r="1916" spans="1:4" ht="15">
      <c r="A1916" s="6" t="s">
        <v>825</v>
      </c>
      <c r="B1916" s="24" t="s">
        <v>826</v>
      </c>
      <c r="C1916" s="24" t="s">
        <v>853</v>
      </c>
      <c r="D1916" s="46" t="e">
        <f>#REF!*#REF!</f>
        <v>#REF!</v>
      </c>
    </row>
    <row r="1917" spans="1:4" ht="15">
      <c r="A1917" s="6" t="s">
        <v>825</v>
      </c>
      <c r="B1917" s="24"/>
      <c r="C1917" s="24" t="s">
        <v>839</v>
      </c>
      <c r="D1917" s="46">
        <v>400</v>
      </c>
    </row>
    <row r="1918" spans="1:4" ht="15">
      <c r="A1918" s="6" t="s">
        <v>825</v>
      </c>
      <c r="B1918" s="24" t="s">
        <v>829</v>
      </c>
      <c r="C1918" s="24" t="s">
        <v>129</v>
      </c>
      <c r="D1918" s="46" t="e">
        <f>#REF!*#REF!</f>
        <v>#REF!</v>
      </c>
    </row>
    <row r="1919" spans="1:4" ht="15">
      <c r="A1919" s="6" t="s">
        <v>825</v>
      </c>
      <c r="B1919" s="24" t="s">
        <v>829</v>
      </c>
      <c r="C1919" s="24" t="s">
        <v>838</v>
      </c>
      <c r="D1919" s="46" t="e">
        <f>#REF!*#REF!</f>
        <v>#REF!</v>
      </c>
    </row>
    <row r="1920" spans="1:4" ht="15">
      <c r="A1920" s="6" t="s">
        <v>825</v>
      </c>
      <c r="B1920" s="24" t="s">
        <v>829</v>
      </c>
      <c r="C1920" s="24" t="s">
        <v>827</v>
      </c>
      <c r="D1920" s="46" t="e">
        <f>#REF!*#REF!</f>
        <v>#REF!</v>
      </c>
    </row>
    <row r="1921" spans="1:4" ht="15">
      <c r="A1921" s="6" t="s">
        <v>825</v>
      </c>
      <c r="B1921" s="24" t="s">
        <v>829</v>
      </c>
      <c r="C1921" s="24" t="s">
        <v>762</v>
      </c>
      <c r="D1921" s="46" t="e">
        <f>#REF!*#REF!</f>
        <v>#REF!</v>
      </c>
    </row>
    <row r="1922" spans="1:4" ht="15">
      <c r="A1922" s="6" t="s">
        <v>825</v>
      </c>
      <c r="B1922" s="24" t="s">
        <v>829</v>
      </c>
      <c r="C1922" s="24" t="s">
        <v>828</v>
      </c>
      <c r="D1922" s="46" t="e">
        <f>#REF!*#REF!</f>
        <v>#REF!</v>
      </c>
    </row>
    <row r="1923" spans="1:4" ht="15">
      <c r="A1923" s="6" t="s">
        <v>825</v>
      </c>
      <c r="B1923" s="24" t="s">
        <v>830</v>
      </c>
      <c r="C1923" s="24" t="s">
        <v>129</v>
      </c>
      <c r="D1923" s="46" t="e">
        <f>#REF!*#REF!</f>
        <v>#REF!</v>
      </c>
    </row>
    <row r="1924" spans="1:4" ht="15">
      <c r="A1924" s="6" t="s">
        <v>825</v>
      </c>
      <c r="B1924" s="24" t="s">
        <v>830</v>
      </c>
      <c r="C1924" s="24" t="s">
        <v>838</v>
      </c>
      <c r="D1924" s="46" t="e">
        <f>#REF!*#REF!</f>
        <v>#REF!</v>
      </c>
    </row>
    <row r="1925" spans="1:4" ht="15">
      <c r="A1925" s="6" t="s">
        <v>825</v>
      </c>
      <c r="B1925" s="24" t="s">
        <v>830</v>
      </c>
      <c r="C1925" s="24" t="s">
        <v>827</v>
      </c>
      <c r="D1925" s="46" t="e">
        <f>#REF!*#REF!</f>
        <v>#REF!</v>
      </c>
    </row>
    <row r="1926" spans="1:4" ht="15">
      <c r="A1926" s="6" t="s">
        <v>825</v>
      </c>
      <c r="B1926" s="24" t="s">
        <v>830</v>
      </c>
      <c r="C1926" s="24" t="s">
        <v>762</v>
      </c>
      <c r="D1926" s="46" t="e">
        <f>#REF!*#REF!</f>
        <v>#REF!</v>
      </c>
    </row>
    <row r="1927" spans="1:4" ht="15">
      <c r="A1927" s="6" t="s">
        <v>825</v>
      </c>
      <c r="B1927" s="24" t="s">
        <v>830</v>
      </c>
      <c r="C1927" s="24" t="s">
        <v>828</v>
      </c>
      <c r="D1927" s="46" t="e">
        <f>#REF!*#REF!</f>
        <v>#REF!</v>
      </c>
    </row>
    <row r="1928" spans="1:4" ht="15">
      <c r="A1928" s="6" t="s">
        <v>825</v>
      </c>
      <c r="B1928" s="24"/>
      <c r="C1928" s="24" t="s">
        <v>840</v>
      </c>
      <c r="D1928" s="46">
        <v>500</v>
      </c>
    </row>
    <row r="1929" spans="1:4" ht="15">
      <c r="A1929" s="6" t="s">
        <v>825</v>
      </c>
      <c r="B1929" s="24" t="s">
        <v>821</v>
      </c>
      <c r="C1929" s="24" t="s">
        <v>831</v>
      </c>
      <c r="D1929" s="46" t="e">
        <f>#REF!*#REF!</f>
        <v>#REF!</v>
      </c>
    </row>
    <row r="1930" spans="1:4" ht="15">
      <c r="A1930" s="6" t="s">
        <v>825</v>
      </c>
      <c r="B1930" s="24" t="s">
        <v>821</v>
      </c>
      <c r="C1930" s="24" t="s">
        <v>832</v>
      </c>
      <c r="D1930" s="46" t="e">
        <f>#REF!*#REF!</f>
        <v>#REF!</v>
      </c>
    </row>
    <row r="1931" spans="1:4" ht="15">
      <c r="A1931" s="6" t="s">
        <v>825</v>
      </c>
      <c r="B1931" s="24" t="s">
        <v>821</v>
      </c>
      <c r="C1931" s="24" t="s">
        <v>833</v>
      </c>
      <c r="D1931" s="46" t="e">
        <f>#REF!*#REF!</f>
        <v>#REF!</v>
      </c>
    </row>
    <row r="1932" spans="1:4" ht="15">
      <c r="A1932" s="6" t="s">
        <v>825</v>
      </c>
      <c r="B1932" s="24" t="s">
        <v>821</v>
      </c>
      <c r="C1932" s="24" t="s">
        <v>834</v>
      </c>
      <c r="D1932" s="46" t="e">
        <f>#REF!*#REF!</f>
        <v>#REF!</v>
      </c>
    </row>
    <row r="1933" spans="1:4" ht="15">
      <c r="A1933" s="6" t="s">
        <v>825</v>
      </c>
      <c r="B1933" s="24"/>
      <c r="C1933" s="24" t="s">
        <v>842</v>
      </c>
      <c r="D1933" s="46">
        <v>400</v>
      </c>
    </row>
    <row r="1934" spans="1:4" ht="15">
      <c r="A1934" s="6" t="s">
        <v>825</v>
      </c>
      <c r="B1934" s="24" t="s">
        <v>822</v>
      </c>
      <c r="C1934" s="24" t="s">
        <v>831</v>
      </c>
      <c r="D1934" s="46" t="e">
        <f>#REF!*#REF!</f>
        <v>#REF!</v>
      </c>
    </row>
    <row r="1935" spans="1:4" ht="15">
      <c r="A1935" s="6" t="s">
        <v>825</v>
      </c>
      <c r="B1935" s="24" t="s">
        <v>822</v>
      </c>
      <c r="C1935" s="24" t="s">
        <v>832</v>
      </c>
      <c r="D1935" s="46" t="e">
        <f>#REF!*#REF!</f>
        <v>#REF!</v>
      </c>
    </row>
    <row r="1936" spans="1:4" ht="15">
      <c r="A1936" s="6" t="s">
        <v>825</v>
      </c>
      <c r="B1936" s="24" t="s">
        <v>822</v>
      </c>
      <c r="C1936" s="24" t="s">
        <v>833</v>
      </c>
      <c r="D1936" s="46" t="e">
        <f>#REF!*#REF!</f>
        <v>#REF!</v>
      </c>
    </row>
    <row r="1937" spans="1:4" ht="15">
      <c r="A1937" s="6" t="s">
        <v>825</v>
      </c>
      <c r="B1937" s="24" t="s">
        <v>822</v>
      </c>
      <c r="C1937" s="24" t="s">
        <v>834</v>
      </c>
      <c r="D1937" s="46" t="e">
        <f>#REF!*#REF!</f>
        <v>#REF!</v>
      </c>
    </row>
    <row r="1938" spans="1:4" ht="15">
      <c r="A1938" s="6" t="s">
        <v>825</v>
      </c>
      <c r="B1938" s="24"/>
      <c r="C1938" s="24" t="s">
        <v>843</v>
      </c>
      <c r="D1938" s="46">
        <v>400</v>
      </c>
    </row>
    <row r="1939" spans="1:4" ht="15">
      <c r="A1939" s="6" t="s">
        <v>825</v>
      </c>
      <c r="B1939" s="24" t="s">
        <v>576</v>
      </c>
      <c r="C1939" s="24" t="s">
        <v>129</v>
      </c>
      <c r="D1939" s="46" t="e">
        <f>#REF!*#REF!</f>
        <v>#REF!</v>
      </c>
    </row>
    <row r="1940" spans="1:4" ht="15">
      <c r="A1940" s="6" t="s">
        <v>825</v>
      </c>
      <c r="B1940" s="24" t="s">
        <v>576</v>
      </c>
      <c r="C1940" s="24" t="s">
        <v>838</v>
      </c>
      <c r="D1940" s="46" t="e">
        <f>#REF!*#REF!</f>
        <v>#REF!</v>
      </c>
    </row>
    <row r="1941" spans="1:4" ht="15">
      <c r="A1941" s="6" t="s">
        <v>825</v>
      </c>
      <c r="B1941" s="24" t="s">
        <v>576</v>
      </c>
      <c r="C1941" s="24" t="s">
        <v>835</v>
      </c>
      <c r="D1941" s="46" t="e">
        <f>#REF!*#REF!</f>
        <v>#REF!</v>
      </c>
    </row>
    <row r="1942" spans="1:4" ht="13.15" customHeight="1">
      <c r="A1942" s="6" t="s">
        <v>825</v>
      </c>
      <c r="B1942" s="24" t="s">
        <v>576</v>
      </c>
      <c r="C1942" s="24" t="s">
        <v>836</v>
      </c>
      <c r="D1942" s="46" t="e">
        <f>#REF!*#REF!</f>
        <v>#REF!</v>
      </c>
    </row>
    <row r="1943" spans="1:4" ht="15">
      <c r="A1943" s="6" t="s">
        <v>825</v>
      </c>
      <c r="B1943" s="24"/>
      <c r="C1943" s="24" t="s">
        <v>844</v>
      </c>
      <c r="D1943" s="46">
        <v>300</v>
      </c>
    </row>
    <row r="1944" spans="1:4" ht="15">
      <c r="A1944" s="6" t="s">
        <v>825</v>
      </c>
      <c r="B1944" s="24" t="s">
        <v>837</v>
      </c>
      <c r="C1944" s="24" t="s">
        <v>831</v>
      </c>
      <c r="D1944" s="46" t="e">
        <f>#REF!*#REF!</f>
        <v>#REF!</v>
      </c>
    </row>
    <row r="1945" spans="1:4" ht="15">
      <c r="A1945" s="6" t="s">
        <v>825</v>
      </c>
      <c r="B1945" s="24" t="s">
        <v>837</v>
      </c>
      <c r="C1945" s="24" t="s">
        <v>832</v>
      </c>
      <c r="D1945" s="46" t="e">
        <f>#REF!*#REF!</f>
        <v>#REF!</v>
      </c>
    </row>
    <row r="1946" spans="1:4" ht="15">
      <c r="A1946" s="6" t="s">
        <v>825</v>
      </c>
      <c r="B1946" s="24" t="s">
        <v>837</v>
      </c>
      <c r="C1946" s="24" t="s">
        <v>833</v>
      </c>
      <c r="D1946" s="46" t="e">
        <f>#REF!*#REF!</f>
        <v>#REF!</v>
      </c>
    </row>
    <row r="1947" spans="1:4" ht="15">
      <c r="A1947" s="6" t="s">
        <v>825</v>
      </c>
      <c r="B1947" s="24" t="s">
        <v>837</v>
      </c>
      <c r="C1947" s="24" t="s">
        <v>834</v>
      </c>
      <c r="D1947" s="46" t="e">
        <f>#REF!*#REF!</f>
        <v>#REF!</v>
      </c>
    </row>
    <row r="1948" spans="1:4" ht="15">
      <c r="A1948" s="6" t="s">
        <v>825</v>
      </c>
      <c r="B1948" s="24"/>
      <c r="C1948" s="24" t="s">
        <v>841</v>
      </c>
      <c r="D1948" s="46">
        <v>500</v>
      </c>
    </row>
    <row r="1949" spans="1:4" ht="15">
      <c r="A1949" s="6" t="s">
        <v>825</v>
      </c>
      <c r="B1949" s="24" t="s">
        <v>847</v>
      </c>
      <c r="C1949" s="24" t="s">
        <v>78</v>
      </c>
      <c r="D1949" s="46" t="e">
        <f>#REF!*#REF!</f>
        <v>#REF!</v>
      </c>
    </row>
    <row r="1950" spans="1:4" ht="15">
      <c r="A1950" s="6" t="s">
        <v>825</v>
      </c>
      <c r="B1950" s="24" t="s">
        <v>847</v>
      </c>
      <c r="C1950" s="24" t="s">
        <v>848</v>
      </c>
      <c r="D1950" s="46" t="e">
        <f>#REF!*#REF!</f>
        <v>#REF!</v>
      </c>
    </row>
    <row r="1951" spans="1:4" ht="15">
      <c r="A1951" s="6" t="s">
        <v>825</v>
      </c>
      <c r="B1951" s="24" t="s">
        <v>847</v>
      </c>
      <c r="C1951" s="24" t="s">
        <v>849</v>
      </c>
      <c r="D1951" s="46" t="e">
        <f>#REF!*#REF!</f>
        <v>#REF!</v>
      </c>
    </row>
    <row r="1952" spans="1:4" ht="15">
      <c r="A1952" s="6" t="s">
        <v>825</v>
      </c>
      <c r="B1952" s="24" t="s">
        <v>847</v>
      </c>
      <c r="C1952" s="24" t="s">
        <v>850</v>
      </c>
      <c r="D1952" s="46" t="e">
        <f>#REF!*#REF!</f>
        <v>#REF!</v>
      </c>
    </row>
    <row r="1953" spans="1:4" ht="15">
      <c r="A1953" s="6" t="s">
        <v>825</v>
      </c>
      <c r="B1953" s="24" t="s">
        <v>847</v>
      </c>
      <c r="C1953" s="24" t="s">
        <v>831</v>
      </c>
      <c r="D1953" s="46" t="e">
        <f>#REF!*#REF!</f>
        <v>#REF!</v>
      </c>
    </row>
    <row r="1954" spans="1:4" ht="15">
      <c r="A1954" s="6" t="s">
        <v>825</v>
      </c>
      <c r="B1954" s="24" t="s">
        <v>847</v>
      </c>
      <c r="C1954" s="24" t="s">
        <v>828</v>
      </c>
      <c r="D1954" s="46" t="e">
        <f>#REF!*#REF!</f>
        <v>#REF!</v>
      </c>
    </row>
    <row r="1955" spans="1:4" ht="15">
      <c r="A1955" s="6" t="s">
        <v>825</v>
      </c>
      <c r="B1955" s="24" t="s">
        <v>847</v>
      </c>
      <c r="C1955" s="24" t="s">
        <v>833</v>
      </c>
      <c r="D1955" s="46" t="e">
        <f>#REF!*#REF!</f>
        <v>#REF!</v>
      </c>
    </row>
    <row r="1956" spans="1:4" ht="15">
      <c r="A1956" s="243"/>
      <c r="B1956" s="95"/>
      <c r="C1956" s="24" t="s">
        <v>851</v>
      </c>
      <c r="D1956" s="46">
        <v>600</v>
      </c>
    </row>
    <row r="1957" spans="1:4" ht="15.75">
      <c r="A1957" s="2817" t="s">
        <v>412</v>
      </c>
      <c r="B1957" s="2818"/>
      <c r="C1957" s="2818"/>
      <c r="D1957" s="163" t="e">
        <f>SUM(D1912:D1956)</f>
        <v>#REF!</v>
      </c>
    </row>
    <row r="1961" spans="1:4" ht="15.75">
      <c r="A1961" s="99" t="s">
        <v>455</v>
      </c>
      <c r="B1961" s="90" t="s">
        <v>457</v>
      </c>
      <c r="C1961" s="90" t="s">
        <v>54</v>
      </c>
    </row>
    <row r="1962" spans="1:4" ht="15">
      <c r="A1962" s="24" t="s">
        <v>847</v>
      </c>
      <c r="B1962" s="24" t="s">
        <v>78</v>
      </c>
      <c r="C1962" s="35">
        <v>25</v>
      </c>
    </row>
    <row r="1963" spans="1:4" ht="15">
      <c r="A1963" s="24" t="s">
        <v>847</v>
      </c>
      <c r="B1963" s="24" t="s">
        <v>848</v>
      </c>
      <c r="C1963" s="35">
        <v>25</v>
      </c>
    </row>
    <row r="1964" spans="1:4" ht="15">
      <c r="A1964" s="24" t="s">
        <v>847</v>
      </c>
      <c r="B1964" s="24" t="s">
        <v>849</v>
      </c>
      <c r="C1964" s="35">
        <v>25</v>
      </c>
    </row>
    <row r="1965" spans="1:4" ht="15">
      <c r="A1965" s="24" t="s">
        <v>847</v>
      </c>
      <c r="B1965" s="24" t="s">
        <v>850</v>
      </c>
      <c r="C1965" s="35">
        <v>25</v>
      </c>
    </row>
    <row r="1966" spans="1:4" ht="15">
      <c r="A1966" s="24" t="s">
        <v>847</v>
      </c>
      <c r="B1966" s="24" t="s">
        <v>831</v>
      </c>
      <c r="C1966" s="35">
        <v>25</v>
      </c>
    </row>
    <row r="1967" spans="1:4" ht="15">
      <c r="A1967" s="24" t="s">
        <v>847</v>
      </c>
      <c r="B1967" s="24" t="s">
        <v>828</v>
      </c>
      <c r="C1967" s="35">
        <v>25</v>
      </c>
    </row>
    <row r="1968" spans="1:4" ht="15">
      <c r="A1968" s="24" t="s">
        <v>847</v>
      </c>
      <c r="B1968" s="24" t="s">
        <v>833</v>
      </c>
      <c r="C1968" s="35">
        <v>25</v>
      </c>
    </row>
    <row r="1969" spans="1:4" ht="15">
      <c r="A1969" s="24"/>
      <c r="B1969" s="157" t="s">
        <v>557</v>
      </c>
      <c r="C1969" s="35" t="s">
        <v>852</v>
      </c>
    </row>
    <row r="1971" spans="1:4" ht="15.75">
      <c r="A1971" s="99" t="s">
        <v>845</v>
      </c>
      <c r="B1971" s="99" t="s">
        <v>455</v>
      </c>
      <c r="C1971" s="90" t="s">
        <v>457</v>
      </c>
      <c r="D1971" s="101" t="s">
        <v>846</v>
      </c>
    </row>
    <row r="1972" spans="1:4" ht="15">
      <c r="A1972" s="6" t="s">
        <v>825</v>
      </c>
      <c r="B1972" s="24" t="s">
        <v>826</v>
      </c>
      <c r="C1972" s="24" t="s">
        <v>129</v>
      </c>
      <c r="D1972" s="46" t="e">
        <f>#REF!*#REF!</f>
        <v>#REF!</v>
      </c>
    </row>
    <row r="1973" spans="1:4" ht="15">
      <c r="A1973" s="6" t="s">
        <v>825</v>
      </c>
      <c r="B1973" s="24" t="s">
        <v>826</v>
      </c>
      <c r="C1973" s="24" t="s">
        <v>838</v>
      </c>
      <c r="D1973" s="46" t="e">
        <f>#REF!*#REF!</f>
        <v>#REF!</v>
      </c>
    </row>
    <row r="1974" spans="1:4" ht="15">
      <c r="A1974" s="6" t="s">
        <v>825</v>
      </c>
      <c r="B1974" s="24" t="s">
        <v>826</v>
      </c>
      <c r="C1974" s="24" t="s">
        <v>827</v>
      </c>
      <c r="D1974" s="46" t="e">
        <f>#REF!*#REF!</f>
        <v>#REF!</v>
      </c>
    </row>
    <row r="1975" spans="1:4" ht="15">
      <c r="A1975" s="6" t="s">
        <v>825</v>
      </c>
      <c r="B1975" s="24" t="s">
        <v>826</v>
      </c>
      <c r="C1975" s="24" t="s">
        <v>762</v>
      </c>
      <c r="D1975" s="46" t="e">
        <f>#REF!*#REF!</f>
        <v>#REF!</v>
      </c>
    </row>
    <row r="1976" spans="1:4" ht="15">
      <c r="A1976" s="6" t="s">
        <v>825</v>
      </c>
      <c r="B1976" s="24" t="s">
        <v>826</v>
      </c>
      <c r="C1976" s="24" t="s">
        <v>828</v>
      </c>
      <c r="D1976" s="46" t="e">
        <f>#REF!*#REF!</f>
        <v>#REF!</v>
      </c>
    </row>
    <row r="1977" spans="1:4" ht="15">
      <c r="A1977" s="6" t="s">
        <v>825</v>
      </c>
      <c r="B1977" s="24"/>
      <c r="C1977" s="24" t="s">
        <v>839</v>
      </c>
      <c r="D1977" s="46">
        <v>400</v>
      </c>
    </row>
    <row r="1978" spans="1:4" ht="15">
      <c r="A1978" s="6" t="s">
        <v>825</v>
      </c>
      <c r="B1978" s="24" t="s">
        <v>829</v>
      </c>
      <c r="C1978" s="24" t="s">
        <v>129</v>
      </c>
      <c r="D1978" s="46" t="e">
        <f>#REF!*#REF!</f>
        <v>#REF!</v>
      </c>
    </row>
    <row r="1979" spans="1:4" ht="15">
      <c r="A1979" s="6" t="s">
        <v>825</v>
      </c>
      <c r="B1979" s="24" t="s">
        <v>829</v>
      </c>
      <c r="C1979" s="24" t="s">
        <v>838</v>
      </c>
      <c r="D1979" s="46" t="e">
        <f>#REF!*#REF!</f>
        <v>#REF!</v>
      </c>
    </row>
    <row r="1980" spans="1:4" ht="15">
      <c r="A1980" s="6" t="s">
        <v>825</v>
      </c>
      <c r="B1980" s="24" t="s">
        <v>829</v>
      </c>
      <c r="C1980" s="24" t="s">
        <v>827</v>
      </c>
      <c r="D1980" s="46" t="e">
        <f>#REF!*#REF!</f>
        <v>#REF!</v>
      </c>
    </row>
    <row r="1981" spans="1:4" ht="15">
      <c r="A1981" s="6" t="s">
        <v>825</v>
      </c>
      <c r="B1981" s="24" t="s">
        <v>829</v>
      </c>
      <c r="C1981" s="24" t="s">
        <v>762</v>
      </c>
      <c r="D1981" s="46" t="e">
        <f>#REF!*#REF!</f>
        <v>#REF!</v>
      </c>
    </row>
    <row r="1982" spans="1:4" ht="15">
      <c r="A1982" s="6" t="s">
        <v>825</v>
      </c>
      <c r="B1982" s="24" t="s">
        <v>829</v>
      </c>
      <c r="C1982" s="24" t="s">
        <v>828</v>
      </c>
      <c r="D1982" s="46" t="e">
        <f>#REF!*#REF!</f>
        <v>#REF!</v>
      </c>
    </row>
    <row r="1983" spans="1:4" ht="15">
      <c r="A1983" s="6" t="s">
        <v>825</v>
      </c>
      <c r="B1983" s="24" t="s">
        <v>830</v>
      </c>
      <c r="C1983" s="24" t="s">
        <v>129</v>
      </c>
      <c r="D1983" s="46" t="e">
        <f>#REF!*#REF!</f>
        <v>#REF!</v>
      </c>
    </row>
    <row r="1984" spans="1:4" ht="15">
      <c r="A1984" s="6" t="s">
        <v>825</v>
      </c>
      <c r="B1984" s="24" t="s">
        <v>830</v>
      </c>
      <c r="C1984" s="24" t="s">
        <v>838</v>
      </c>
      <c r="D1984" s="46" t="e">
        <f>#REF!*#REF!</f>
        <v>#REF!</v>
      </c>
    </row>
    <row r="1985" spans="1:4" ht="15">
      <c r="A1985" s="6" t="s">
        <v>825</v>
      </c>
      <c r="B1985" s="24" t="s">
        <v>830</v>
      </c>
      <c r="C1985" s="24" t="s">
        <v>827</v>
      </c>
      <c r="D1985" s="46" t="e">
        <f>#REF!*#REF!</f>
        <v>#REF!</v>
      </c>
    </row>
    <row r="1986" spans="1:4" ht="15">
      <c r="A1986" s="6" t="s">
        <v>825</v>
      </c>
      <c r="B1986" s="24" t="s">
        <v>830</v>
      </c>
      <c r="C1986" s="24" t="s">
        <v>762</v>
      </c>
      <c r="D1986" s="46" t="e">
        <f>#REF!*#REF!</f>
        <v>#REF!</v>
      </c>
    </row>
    <row r="1987" spans="1:4" ht="15">
      <c r="A1987" s="6" t="s">
        <v>825</v>
      </c>
      <c r="B1987" s="24" t="s">
        <v>830</v>
      </c>
      <c r="C1987" s="24" t="s">
        <v>828</v>
      </c>
      <c r="D1987" s="46" t="e">
        <f>#REF!*#REF!</f>
        <v>#REF!</v>
      </c>
    </row>
    <row r="1988" spans="1:4" ht="15">
      <c r="A1988" s="6" t="s">
        <v>825</v>
      </c>
      <c r="B1988" s="24"/>
      <c r="C1988" s="24" t="s">
        <v>840</v>
      </c>
      <c r="D1988" s="46">
        <v>500</v>
      </c>
    </row>
    <row r="1989" spans="1:4" ht="15">
      <c r="A1989" s="6" t="s">
        <v>825</v>
      </c>
      <c r="B1989" s="24" t="s">
        <v>821</v>
      </c>
      <c r="C1989" s="24" t="s">
        <v>831</v>
      </c>
      <c r="D1989" s="46" t="e">
        <f>#REF!*#REF!</f>
        <v>#REF!</v>
      </c>
    </row>
    <row r="1990" spans="1:4" ht="15">
      <c r="A1990" s="6" t="s">
        <v>825</v>
      </c>
      <c r="B1990" s="24" t="s">
        <v>821</v>
      </c>
      <c r="C1990" s="24" t="s">
        <v>832</v>
      </c>
      <c r="D1990" s="46" t="e">
        <f>#REF!*#REF!</f>
        <v>#REF!</v>
      </c>
    </row>
    <row r="1991" spans="1:4" ht="15">
      <c r="A1991" s="6" t="s">
        <v>825</v>
      </c>
      <c r="B1991" s="24" t="s">
        <v>821</v>
      </c>
      <c r="C1991" s="24" t="s">
        <v>833</v>
      </c>
      <c r="D1991" s="46" t="e">
        <f>#REF!*#REF!</f>
        <v>#REF!</v>
      </c>
    </row>
    <row r="1992" spans="1:4" ht="15">
      <c r="A1992" s="6" t="s">
        <v>825</v>
      </c>
      <c r="B1992" s="24" t="s">
        <v>821</v>
      </c>
      <c r="C1992" s="24" t="s">
        <v>834</v>
      </c>
      <c r="D1992" s="46" t="e">
        <f>#REF!*#REF!</f>
        <v>#REF!</v>
      </c>
    </row>
    <row r="1993" spans="1:4" ht="15">
      <c r="A1993" s="6" t="s">
        <v>825</v>
      </c>
      <c r="B1993" s="24"/>
      <c r="C1993" s="24" t="s">
        <v>842</v>
      </c>
      <c r="D1993" s="46">
        <v>400</v>
      </c>
    </row>
    <row r="1994" spans="1:4" ht="15">
      <c r="A1994" s="6" t="s">
        <v>825</v>
      </c>
      <c r="B1994" s="24" t="s">
        <v>822</v>
      </c>
      <c r="C1994" s="24" t="s">
        <v>831</v>
      </c>
      <c r="D1994" s="46" t="e">
        <f>#REF!*#REF!</f>
        <v>#REF!</v>
      </c>
    </row>
    <row r="1995" spans="1:4" ht="15">
      <c r="A1995" s="6" t="s">
        <v>825</v>
      </c>
      <c r="B1995" s="24" t="s">
        <v>822</v>
      </c>
      <c r="C1995" s="24" t="s">
        <v>832</v>
      </c>
      <c r="D1995" s="46" t="e">
        <f>#REF!*#REF!</f>
        <v>#REF!</v>
      </c>
    </row>
    <row r="1996" spans="1:4" ht="15">
      <c r="A1996" s="6" t="s">
        <v>825</v>
      </c>
      <c r="B1996" s="24" t="s">
        <v>822</v>
      </c>
      <c r="C1996" s="24" t="s">
        <v>833</v>
      </c>
      <c r="D1996" s="46" t="e">
        <f>#REF!*#REF!</f>
        <v>#REF!</v>
      </c>
    </row>
    <row r="1997" spans="1:4" ht="15">
      <c r="A1997" s="6" t="s">
        <v>825</v>
      </c>
      <c r="B1997" s="24" t="s">
        <v>822</v>
      </c>
      <c r="C1997" s="24" t="s">
        <v>834</v>
      </c>
      <c r="D1997" s="46" t="e">
        <f>#REF!*#REF!</f>
        <v>#REF!</v>
      </c>
    </row>
    <row r="1998" spans="1:4" ht="15">
      <c r="A1998" s="6" t="s">
        <v>825</v>
      </c>
      <c r="B1998" s="24"/>
      <c r="C1998" s="24" t="s">
        <v>843</v>
      </c>
      <c r="D1998" s="46">
        <v>400</v>
      </c>
    </row>
    <row r="1999" spans="1:4" ht="15">
      <c r="A1999" s="6" t="s">
        <v>825</v>
      </c>
      <c r="B1999" s="24" t="s">
        <v>576</v>
      </c>
      <c r="C1999" s="24" t="s">
        <v>129</v>
      </c>
      <c r="D1999" s="46" t="e">
        <f>#REF!*#REF!</f>
        <v>#REF!</v>
      </c>
    </row>
    <row r="2000" spans="1:4" ht="15">
      <c r="A2000" s="6" t="s">
        <v>825</v>
      </c>
      <c r="B2000" s="24" t="s">
        <v>576</v>
      </c>
      <c r="C2000" s="24" t="s">
        <v>838</v>
      </c>
      <c r="D2000" s="46" t="e">
        <f>#REF!*#REF!</f>
        <v>#REF!</v>
      </c>
    </row>
    <row r="2001" spans="1:4" ht="15">
      <c r="A2001" s="6" t="s">
        <v>825</v>
      </c>
      <c r="B2001" s="24" t="s">
        <v>576</v>
      </c>
      <c r="C2001" s="24" t="s">
        <v>835</v>
      </c>
      <c r="D2001" s="46" t="e">
        <f>#REF!*#REF!</f>
        <v>#REF!</v>
      </c>
    </row>
    <row r="2002" spans="1:4" ht="15">
      <c r="A2002" s="6" t="s">
        <v>825</v>
      </c>
      <c r="B2002" s="24" t="s">
        <v>576</v>
      </c>
      <c r="C2002" s="24" t="s">
        <v>836</v>
      </c>
      <c r="D2002" s="46" t="e">
        <f>#REF!*#REF!</f>
        <v>#REF!</v>
      </c>
    </row>
    <row r="2003" spans="1:4" ht="15">
      <c r="A2003" s="6" t="s">
        <v>825</v>
      </c>
      <c r="B2003" s="24"/>
      <c r="C2003" s="24" t="s">
        <v>844</v>
      </c>
      <c r="D2003" s="46">
        <v>300</v>
      </c>
    </row>
    <row r="2004" spans="1:4" ht="15">
      <c r="A2004" s="6" t="s">
        <v>825</v>
      </c>
      <c r="B2004" s="24" t="s">
        <v>837</v>
      </c>
      <c r="C2004" s="24" t="s">
        <v>831</v>
      </c>
      <c r="D2004" s="46" t="e">
        <f>#REF!*#REF!</f>
        <v>#REF!</v>
      </c>
    </row>
    <row r="2005" spans="1:4" ht="15">
      <c r="A2005" s="6" t="s">
        <v>825</v>
      </c>
      <c r="B2005" s="24" t="s">
        <v>837</v>
      </c>
      <c r="C2005" s="24" t="s">
        <v>832</v>
      </c>
      <c r="D2005" s="46" t="e">
        <f>#REF!*#REF!</f>
        <v>#REF!</v>
      </c>
    </row>
    <row r="2006" spans="1:4" ht="15">
      <c r="A2006" s="6" t="s">
        <v>825</v>
      </c>
      <c r="B2006" s="24" t="s">
        <v>837</v>
      </c>
      <c r="C2006" s="24" t="s">
        <v>833</v>
      </c>
      <c r="D2006" s="46" t="e">
        <f>#REF!*#REF!</f>
        <v>#REF!</v>
      </c>
    </row>
    <row r="2007" spans="1:4" ht="15">
      <c r="A2007" s="6" t="s">
        <v>825</v>
      </c>
      <c r="B2007" s="24" t="s">
        <v>837</v>
      </c>
      <c r="C2007" s="24" t="s">
        <v>834</v>
      </c>
      <c r="D2007" s="46" t="e">
        <f>#REF!*#REF!</f>
        <v>#REF!</v>
      </c>
    </row>
    <row r="2008" spans="1:4" ht="15">
      <c r="A2008" s="6" t="s">
        <v>825</v>
      </c>
      <c r="B2008" s="24"/>
      <c r="C2008" s="24" t="s">
        <v>841</v>
      </c>
      <c r="D2008" s="46">
        <v>500</v>
      </c>
    </row>
    <row r="2009" spans="1:4" ht="15">
      <c r="A2009" s="6" t="s">
        <v>825</v>
      </c>
      <c r="B2009" s="24" t="s">
        <v>847</v>
      </c>
      <c r="C2009" s="24" t="s">
        <v>78</v>
      </c>
      <c r="D2009" s="46" t="e">
        <f>#REF!*#REF!</f>
        <v>#REF!</v>
      </c>
    </row>
    <row r="2010" spans="1:4" ht="15">
      <c r="A2010" s="6" t="s">
        <v>825</v>
      </c>
      <c r="B2010" s="24" t="s">
        <v>847</v>
      </c>
      <c r="C2010" s="24" t="s">
        <v>848</v>
      </c>
      <c r="D2010" s="46" t="e">
        <f>#REF!*#REF!</f>
        <v>#REF!</v>
      </c>
    </row>
    <row r="2011" spans="1:4" ht="15">
      <c r="A2011" s="6" t="s">
        <v>825</v>
      </c>
      <c r="B2011" s="24" t="s">
        <v>847</v>
      </c>
      <c r="C2011" s="24" t="s">
        <v>849</v>
      </c>
      <c r="D2011" s="46" t="e">
        <f>#REF!*#REF!</f>
        <v>#REF!</v>
      </c>
    </row>
    <row r="2012" spans="1:4" ht="15">
      <c r="A2012" s="6" t="s">
        <v>825</v>
      </c>
      <c r="B2012" s="24" t="s">
        <v>847</v>
      </c>
      <c r="C2012" s="24" t="s">
        <v>850</v>
      </c>
      <c r="D2012" s="46" t="e">
        <f>#REF!*#REF!</f>
        <v>#REF!</v>
      </c>
    </row>
    <row r="2013" spans="1:4" ht="15">
      <c r="A2013" s="6" t="s">
        <v>825</v>
      </c>
      <c r="B2013" s="24" t="s">
        <v>847</v>
      </c>
      <c r="C2013" s="24" t="s">
        <v>831</v>
      </c>
      <c r="D2013" s="46" t="e">
        <f>#REF!*#REF!</f>
        <v>#REF!</v>
      </c>
    </row>
    <row r="2014" spans="1:4" ht="15">
      <c r="A2014" s="6" t="s">
        <v>825</v>
      </c>
      <c r="B2014" s="24" t="s">
        <v>847</v>
      </c>
      <c r="C2014" s="24" t="s">
        <v>828</v>
      </c>
      <c r="D2014" s="46" t="e">
        <f>#REF!*#REF!</f>
        <v>#REF!</v>
      </c>
    </row>
    <row r="2015" spans="1:4" ht="15">
      <c r="A2015" s="6" t="s">
        <v>825</v>
      </c>
      <c r="B2015" s="24" t="s">
        <v>847</v>
      </c>
      <c r="C2015" s="24" t="s">
        <v>833</v>
      </c>
      <c r="D2015" s="46" t="e">
        <f>#REF!*#REF!</f>
        <v>#REF!</v>
      </c>
    </row>
    <row r="2016" spans="1:4" ht="15">
      <c r="A2016" s="6" t="s">
        <v>825</v>
      </c>
      <c r="B2016" s="24"/>
      <c r="C2016" s="24" t="s">
        <v>851</v>
      </c>
      <c r="D2016" s="46">
        <v>600</v>
      </c>
    </row>
    <row r="2017" spans="1:4" ht="15.75">
      <c r="A2017" s="2817" t="s">
        <v>412</v>
      </c>
      <c r="B2017" s="2818"/>
      <c r="C2017" s="2818"/>
      <c r="D2017" s="163" t="e">
        <f>SUM(D1972:D2016)</f>
        <v>#REF!</v>
      </c>
    </row>
    <row r="2020" spans="1:4" ht="15.75">
      <c r="A2020" s="99" t="s">
        <v>455</v>
      </c>
      <c r="B2020" s="90" t="s">
        <v>457</v>
      </c>
      <c r="C2020" s="90" t="s">
        <v>54</v>
      </c>
    </row>
    <row r="2021" spans="1:4" ht="15">
      <c r="A2021" s="24">
        <v>13666</v>
      </c>
      <c r="B2021" s="24" t="s">
        <v>78</v>
      </c>
      <c r="C2021" s="67">
        <v>30</v>
      </c>
    </row>
    <row r="2022" spans="1:4" ht="15">
      <c r="A2022" s="24">
        <v>13666</v>
      </c>
      <c r="B2022" s="24" t="s">
        <v>832</v>
      </c>
      <c r="C2022" s="67">
        <v>30</v>
      </c>
    </row>
    <row r="2023" spans="1:4" ht="15">
      <c r="A2023" s="24">
        <v>13666</v>
      </c>
      <c r="B2023" s="24" t="s">
        <v>834</v>
      </c>
      <c r="C2023" s="67">
        <v>30</v>
      </c>
    </row>
    <row r="2024" spans="1:4" ht="15">
      <c r="A2024" s="24">
        <v>13666</v>
      </c>
      <c r="B2024" s="24" t="s">
        <v>831</v>
      </c>
      <c r="C2024" s="67">
        <v>30</v>
      </c>
    </row>
    <row r="2025" spans="1:4" ht="15">
      <c r="A2025" s="24">
        <v>13666</v>
      </c>
      <c r="B2025" s="24" t="s">
        <v>833</v>
      </c>
      <c r="C2025" s="67">
        <v>30</v>
      </c>
    </row>
    <row r="2026" spans="1:4" ht="15">
      <c r="A2026" s="24"/>
      <c r="B2026" s="24"/>
      <c r="C2026" s="67"/>
    </row>
    <row r="2027" spans="1:4" ht="15">
      <c r="A2027" s="24">
        <v>13229</v>
      </c>
      <c r="B2027" s="24" t="s">
        <v>78</v>
      </c>
      <c r="C2027" s="67">
        <v>30</v>
      </c>
    </row>
    <row r="2028" spans="1:4" ht="15">
      <c r="A2028" s="24">
        <v>13229</v>
      </c>
      <c r="B2028" s="24" t="s">
        <v>832</v>
      </c>
      <c r="C2028" s="67">
        <v>30</v>
      </c>
    </row>
    <row r="2029" spans="1:4" ht="15">
      <c r="A2029" s="24">
        <v>13229</v>
      </c>
      <c r="B2029" s="24" t="s">
        <v>834</v>
      </c>
      <c r="C2029" s="67">
        <v>30</v>
      </c>
    </row>
    <row r="2030" spans="1:4" ht="15">
      <c r="A2030" s="24">
        <v>13229</v>
      </c>
      <c r="B2030" s="24" t="s">
        <v>831</v>
      </c>
      <c r="C2030" s="67">
        <v>30</v>
      </c>
    </row>
    <row r="2031" spans="1:4" ht="15">
      <c r="A2031" s="24">
        <v>13229</v>
      </c>
      <c r="B2031" s="24" t="s">
        <v>833</v>
      </c>
      <c r="C2031" s="67">
        <v>30</v>
      </c>
    </row>
    <row r="2032" spans="1:4" ht="15">
      <c r="A2032" s="24"/>
      <c r="B2032" s="24"/>
      <c r="C2032" s="67"/>
    </row>
    <row r="2033" spans="1:4" ht="15">
      <c r="A2033" s="24">
        <v>13230</v>
      </c>
      <c r="B2033" s="24" t="s">
        <v>78</v>
      </c>
      <c r="C2033" s="67">
        <v>30</v>
      </c>
    </row>
    <row r="2034" spans="1:4" ht="15">
      <c r="A2034" s="24">
        <v>13230</v>
      </c>
      <c r="B2034" s="24" t="s">
        <v>832</v>
      </c>
      <c r="C2034" s="67">
        <v>30</v>
      </c>
    </row>
    <row r="2035" spans="1:4" ht="15">
      <c r="A2035" s="24">
        <v>13230</v>
      </c>
      <c r="B2035" s="24" t="s">
        <v>834</v>
      </c>
      <c r="C2035" s="67">
        <v>30</v>
      </c>
    </row>
    <row r="2036" spans="1:4" ht="15">
      <c r="A2036" s="24">
        <v>13230</v>
      </c>
      <c r="B2036" s="24" t="s">
        <v>831</v>
      </c>
      <c r="C2036" s="67">
        <v>30</v>
      </c>
    </row>
    <row r="2037" spans="1:4" ht="15">
      <c r="A2037" s="24">
        <v>13230</v>
      </c>
      <c r="B2037" s="24" t="s">
        <v>833</v>
      </c>
      <c r="C2037" s="67">
        <v>30</v>
      </c>
    </row>
    <row r="2038" spans="1:4" ht="15">
      <c r="A2038" s="24"/>
      <c r="B2038" s="157" t="s">
        <v>557</v>
      </c>
      <c r="C2038" s="35"/>
    </row>
    <row r="2040" spans="1:4" ht="15.75">
      <c r="A2040" s="99" t="s">
        <v>845</v>
      </c>
      <c r="B2040" s="99" t="s">
        <v>455</v>
      </c>
      <c r="C2040" s="90" t="s">
        <v>457</v>
      </c>
      <c r="D2040" s="101" t="s">
        <v>846</v>
      </c>
    </row>
    <row r="2041" spans="1:4" ht="15">
      <c r="A2041" s="6" t="s">
        <v>854</v>
      </c>
      <c r="B2041" s="24" t="s">
        <v>768</v>
      </c>
      <c r="C2041" s="24" t="s">
        <v>78</v>
      </c>
      <c r="D2041" s="46" t="e">
        <f>#REF!*#REF!</f>
        <v>#REF!</v>
      </c>
    </row>
    <row r="2042" spans="1:4" ht="15">
      <c r="A2042" s="6" t="s">
        <v>854</v>
      </c>
      <c r="B2042" s="24" t="s">
        <v>768</v>
      </c>
      <c r="C2042" s="24" t="s">
        <v>832</v>
      </c>
      <c r="D2042" s="46" t="e">
        <f>#REF!*#REF!</f>
        <v>#REF!</v>
      </c>
    </row>
    <row r="2043" spans="1:4" ht="15">
      <c r="A2043" s="6" t="s">
        <v>854</v>
      </c>
      <c r="B2043" s="24" t="s">
        <v>768</v>
      </c>
      <c r="C2043" s="24" t="s">
        <v>834</v>
      </c>
      <c r="D2043" s="46" t="e">
        <f>#REF!*#REF!</f>
        <v>#REF!</v>
      </c>
    </row>
    <row r="2044" spans="1:4" ht="15">
      <c r="A2044" s="6" t="s">
        <v>854</v>
      </c>
      <c r="B2044" s="24" t="s">
        <v>768</v>
      </c>
      <c r="C2044" s="24" t="s">
        <v>831</v>
      </c>
      <c r="D2044" s="46" t="e">
        <f>#REF!*#REF!</f>
        <v>#REF!</v>
      </c>
    </row>
    <row r="2045" spans="1:4" ht="15">
      <c r="A2045" s="6" t="s">
        <v>854</v>
      </c>
      <c r="B2045" s="24" t="s">
        <v>768</v>
      </c>
      <c r="C2045" s="24" t="s">
        <v>833</v>
      </c>
      <c r="D2045" s="46" t="e">
        <f>#REF!*#REF!</f>
        <v>#REF!</v>
      </c>
    </row>
    <row r="2046" spans="1:4" ht="15">
      <c r="A2046" s="6" t="s">
        <v>854</v>
      </c>
      <c r="B2046" s="24"/>
      <c r="C2046" s="24" t="s">
        <v>856</v>
      </c>
      <c r="D2046" s="46">
        <v>400</v>
      </c>
    </row>
    <row r="2047" spans="1:4" ht="15">
      <c r="A2047" s="6" t="s">
        <v>854</v>
      </c>
      <c r="B2047" s="24" t="s">
        <v>766</v>
      </c>
      <c r="C2047" s="24" t="s">
        <v>78</v>
      </c>
      <c r="D2047" s="46" t="e">
        <f>#REF!*#REF!</f>
        <v>#REF!</v>
      </c>
    </row>
    <row r="2048" spans="1:4" ht="15">
      <c r="A2048" s="6" t="s">
        <v>854</v>
      </c>
      <c r="B2048" s="24" t="s">
        <v>766</v>
      </c>
      <c r="C2048" s="24" t="s">
        <v>832</v>
      </c>
      <c r="D2048" s="46" t="e">
        <f>#REF!*#REF!</f>
        <v>#REF!</v>
      </c>
    </row>
    <row r="2049" spans="1:6" ht="15">
      <c r="A2049" s="6" t="s">
        <v>854</v>
      </c>
      <c r="B2049" s="24" t="s">
        <v>766</v>
      </c>
      <c r="C2049" s="24" t="s">
        <v>834</v>
      </c>
      <c r="D2049" s="46" t="e">
        <f>#REF!*#REF!</f>
        <v>#REF!</v>
      </c>
    </row>
    <row r="2050" spans="1:6" ht="15">
      <c r="A2050" s="6" t="s">
        <v>854</v>
      </c>
      <c r="B2050" s="24" t="s">
        <v>766</v>
      </c>
      <c r="C2050" s="24" t="s">
        <v>831</v>
      </c>
      <c r="D2050" s="46" t="e">
        <f>#REF!*#REF!</f>
        <v>#REF!</v>
      </c>
    </row>
    <row r="2051" spans="1:6" ht="15">
      <c r="A2051" s="6" t="s">
        <v>854</v>
      </c>
      <c r="B2051" s="24" t="s">
        <v>766</v>
      </c>
      <c r="C2051" s="24" t="s">
        <v>833</v>
      </c>
      <c r="D2051" s="46" t="e">
        <f>#REF!*#REF!</f>
        <v>#REF!</v>
      </c>
    </row>
    <row r="2052" spans="1:6" ht="15">
      <c r="A2052" s="6" t="s">
        <v>854</v>
      </c>
      <c r="B2052" s="24" t="s">
        <v>767</v>
      </c>
      <c r="C2052" s="24" t="s">
        <v>78</v>
      </c>
      <c r="D2052" s="46" t="e">
        <f>#REF!*#REF!</f>
        <v>#REF!</v>
      </c>
    </row>
    <row r="2053" spans="1:6" ht="15">
      <c r="A2053" s="6" t="s">
        <v>854</v>
      </c>
      <c r="B2053" s="24" t="s">
        <v>767</v>
      </c>
      <c r="C2053" s="24" t="s">
        <v>832</v>
      </c>
      <c r="D2053" s="46" t="e">
        <f>#REF!*#REF!</f>
        <v>#REF!</v>
      </c>
    </row>
    <row r="2054" spans="1:6" ht="15">
      <c r="A2054" s="6" t="s">
        <v>854</v>
      </c>
      <c r="B2054" s="24" t="s">
        <v>767</v>
      </c>
      <c r="C2054" s="24" t="s">
        <v>834</v>
      </c>
      <c r="D2054" s="46" t="e">
        <f>#REF!*#REF!</f>
        <v>#REF!</v>
      </c>
    </row>
    <row r="2055" spans="1:6" ht="15">
      <c r="A2055" s="6" t="s">
        <v>854</v>
      </c>
      <c r="B2055" s="24" t="s">
        <v>767</v>
      </c>
      <c r="C2055" s="24" t="s">
        <v>831</v>
      </c>
      <c r="D2055" s="46" t="e">
        <f>#REF!*#REF!</f>
        <v>#REF!</v>
      </c>
    </row>
    <row r="2056" spans="1:6" ht="15">
      <c r="A2056" s="6" t="s">
        <v>854</v>
      </c>
      <c r="B2056" s="24" t="s">
        <v>767</v>
      </c>
      <c r="C2056" s="24" t="s">
        <v>833</v>
      </c>
      <c r="D2056" s="46" t="e">
        <f>#REF!*#REF!</f>
        <v>#REF!</v>
      </c>
    </row>
    <row r="2057" spans="1:6" ht="15">
      <c r="A2057" s="6" t="s">
        <v>854</v>
      </c>
      <c r="B2057" s="24"/>
      <c r="C2057" s="24" t="s">
        <v>857</v>
      </c>
      <c r="D2057" s="46">
        <v>400</v>
      </c>
    </row>
    <row r="2058" spans="1:6" ht="15.75">
      <c r="A2058" s="2817" t="s">
        <v>412</v>
      </c>
      <c r="B2058" s="2818"/>
      <c r="C2058" s="2818"/>
      <c r="D2058" s="163" t="e">
        <f>SUM(D2041:D2057)</f>
        <v>#REF!</v>
      </c>
    </row>
    <row r="2059" spans="1:6">
      <c r="D2059" t="s">
        <v>858</v>
      </c>
    </row>
    <row r="2061" spans="1:6" ht="15">
      <c r="A2061" s="99" t="s">
        <v>845</v>
      </c>
      <c r="B2061" s="99" t="s">
        <v>455</v>
      </c>
      <c r="C2061" s="99" t="s">
        <v>377</v>
      </c>
      <c r="D2061" s="100" t="s">
        <v>182</v>
      </c>
      <c r="E2061" s="100" t="s">
        <v>181</v>
      </c>
      <c r="F2061" s="101" t="s">
        <v>595</v>
      </c>
    </row>
    <row r="2062" spans="1:6" ht="15">
      <c r="A2062" s="6" t="s">
        <v>866</v>
      </c>
      <c r="B2062" s="24">
        <v>2440</v>
      </c>
      <c r="C2062" s="150">
        <v>140</v>
      </c>
      <c r="D2062" s="41">
        <v>2</v>
      </c>
      <c r="E2062" s="8">
        <v>116</v>
      </c>
      <c r="F2062" s="46">
        <v>3.1</v>
      </c>
    </row>
    <row r="2063" spans="1:6" ht="15">
      <c r="A2063" s="6" t="s">
        <v>866</v>
      </c>
      <c r="B2063" s="24">
        <v>2440</v>
      </c>
      <c r="C2063" s="150">
        <v>140</v>
      </c>
      <c r="D2063" s="41">
        <v>3</v>
      </c>
      <c r="E2063" s="8">
        <v>183</v>
      </c>
      <c r="F2063" s="46">
        <v>3.1</v>
      </c>
    </row>
    <row r="2066" spans="1:5" ht="15">
      <c r="A2066" s="99" t="s">
        <v>455</v>
      </c>
      <c r="B2066" s="99" t="s">
        <v>128</v>
      </c>
      <c r="C2066" s="100" t="s">
        <v>181</v>
      </c>
    </row>
    <row r="2067" spans="1:5" ht="15">
      <c r="A2067" s="24" t="s">
        <v>317</v>
      </c>
      <c r="B2067" s="24" t="s">
        <v>863</v>
      </c>
      <c r="C2067" s="8">
        <v>51</v>
      </c>
    </row>
    <row r="2068" spans="1:5" ht="15">
      <c r="A2068" s="24" t="s">
        <v>793</v>
      </c>
      <c r="B2068" s="24" t="s">
        <v>45</v>
      </c>
      <c r="C2068" s="151">
        <v>25.5</v>
      </c>
    </row>
    <row r="2069" spans="1:5" ht="15">
      <c r="A2069" s="24" t="s">
        <v>793</v>
      </c>
      <c r="B2069" s="24" t="s">
        <v>863</v>
      </c>
      <c r="C2069" s="151">
        <v>20</v>
      </c>
    </row>
    <row r="2070" spans="1:5" ht="15">
      <c r="A2070" s="24"/>
      <c r="B2070" s="24" t="s">
        <v>75</v>
      </c>
      <c r="C2070" s="36" t="s">
        <v>86</v>
      </c>
    </row>
    <row r="2071" spans="1:5" ht="15">
      <c r="A2071" s="24"/>
      <c r="B2071" s="24" t="s">
        <v>31</v>
      </c>
      <c r="C2071" s="36">
        <v>1</v>
      </c>
    </row>
    <row r="2073" spans="1:5" ht="15">
      <c r="A2073" s="99" t="s">
        <v>455</v>
      </c>
      <c r="B2073" s="99" t="s">
        <v>107</v>
      </c>
      <c r="C2073" s="99" t="s">
        <v>128</v>
      </c>
      <c r="D2073" s="100" t="s">
        <v>181</v>
      </c>
      <c r="E2073" s="101" t="s">
        <v>595</v>
      </c>
    </row>
    <row r="2074" spans="1:5" ht="15">
      <c r="A2074" s="24" t="s">
        <v>536</v>
      </c>
      <c r="B2074" s="150">
        <v>160</v>
      </c>
      <c r="C2074" s="24" t="s">
        <v>803</v>
      </c>
      <c r="D2074" s="8" t="e">
        <f>#REF!*#REF!</f>
        <v>#REF!</v>
      </c>
      <c r="E2074" s="25">
        <v>4.2</v>
      </c>
    </row>
    <row r="2075" spans="1:5" ht="15">
      <c r="A2075" s="24" t="s">
        <v>536</v>
      </c>
      <c r="B2075" s="150">
        <v>160</v>
      </c>
      <c r="C2075" s="24" t="s">
        <v>803</v>
      </c>
      <c r="D2075" s="8" t="e">
        <f>#REF!*#REF!</f>
        <v>#REF!</v>
      </c>
      <c r="E2075" s="25">
        <v>4.2</v>
      </c>
    </row>
    <row r="2076" spans="1:5" ht="15">
      <c r="A2076" s="24" t="s">
        <v>738</v>
      </c>
      <c r="B2076" s="150">
        <v>152</v>
      </c>
      <c r="C2076" s="24" t="s">
        <v>803</v>
      </c>
      <c r="D2076" s="151" t="e">
        <f>#REF!*#REF!</f>
        <v>#REF!</v>
      </c>
      <c r="E2076" s="46">
        <v>3.75</v>
      </c>
    </row>
    <row r="2077" spans="1:5" ht="15">
      <c r="A2077" s="24" t="s">
        <v>738</v>
      </c>
      <c r="B2077" s="150">
        <v>152</v>
      </c>
      <c r="C2077" s="24" t="s">
        <v>803</v>
      </c>
      <c r="D2077" s="151" t="e">
        <f>#REF!*#REF!</f>
        <v>#REF!</v>
      </c>
      <c r="E2077" s="46">
        <v>3.75</v>
      </c>
    </row>
    <row r="2078" spans="1:5" ht="15">
      <c r="A2078" s="24"/>
      <c r="B2078" s="26"/>
      <c r="C2078" s="24" t="s">
        <v>31</v>
      </c>
      <c r="D2078" s="8"/>
      <c r="E2078" s="46">
        <v>20</v>
      </c>
    </row>
    <row r="2080" spans="1:5" ht="15">
      <c r="A2080" s="99" t="s">
        <v>883</v>
      </c>
      <c r="B2080" s="99" t="s">
        <v>455</v>
      </c>
      <c r="C2080" s="99" t="s">
        <v>128</v>
      </c>
      <c r="D2080" s="100" t="s">
        <v>181</v>
      </c>
      <c r="E2080" s="100" t="s">
        <v>878</v>
      </c>
    </row>
    <row r="2081" spans="1:5" ht="15">
      <c r="A2081" s="6" t="s">
        <v>871</v>
      </c>
      <c r="B2081" s="24" t="s">
        <v>536</v>
      </c>
      <c r="C2081" s="24" t="s">
        <v>735</v>
      </c>
      <c r="D2081" s="8">
        <v>50</v>
      </c>
      <c r="E2081" s="244" t="s">
        <v>879</v>
      </c>
    </row>
    <row r="2082" spans="1:5" ht="15">
      <c r="A2082" s="6" t="s">
        <v>871</v>
      </c>
      <c r="B2082" s="24" t="s">
        <v>731</v>
      </c>
      <c r="C2082" s="24" t="s">
        <v>734</v>
      </c>
      <c r="D2082" s="8">
        <v>58</v>
      </c>
      <c r="E2082" s="244" t="s">
        <v>879</v>
      </c>
    </row>
    <row r="2083" spans="1:5" ht="15">
      <c r="A2083" s="6" t="s">
        <v>871</v>
      </c>
      <c r="B2083" s="24" t="s">
        <v>731</v>
      </c>
      <c r="C2083" s="24" t="s">
        <v>874</v>
      </c>
      <c r="D2083" s="8">
        <v>58</v>
      </c>
      <c r="E2083" s="244" t="s">
        <v>880</v>
      </c>
    </row>
    <row r="2084" spans="1:5" ht="15">
      <c r="A2084" s="6" t="s">
        <v>871</v>
      </c>
      <c r="B2084" s="24">
        <v>2440</v>
      </c>
      <c r="C2084" s="24" t="s">
        <v>733</v>
      </c>
      <c r="D2084" s="67">
        <v>58</v>
      </c>
      <c r="E2084" s="244" t="s">
        <v>879</v>
      </c>
    </row>
    <row r="2085" spans="1:5">
      <c r="E2085" s="245"/>
    </row>
    <row r="2086" spans="1:5">
      <c r="E2086" s="245"/>
    </row>
    <row r="2087" spans="1:5">
      <c r="E2087" s="245"/>
    </row>
    <row r="2088" spans="1:5" ht="15">
      <c r="A2088" s="99" t="s">
        <v>883</v>
      </c>
      <c r="B2088" s="99" t="s">
        <v>455</v>
      </c>
      <c r="C2088" s="99" t="s">
        <v>128</v>
      </c>
      <c r="D2088" s="100" t="s">
        <v>181</v>
      </c>
      <c r="E2088" s="100" t="s">
        <v>878</v>
      </c>
    </row>
    <row r="2089" spans="1:5" ht="15">
      <c r="A2089" s="33" t="s">
        <v>872</v>
      </c>
      <c r="B2089" s="24" t="s">
        <v>536</v>
      </c>
      <c r="C2089" s="24" t="s">
        <v>735</v>
      </c>
      <c r="D2089" s="8">
        <v>50</v>
      </c>
      <c r="E2089" s="244" t="s">
        <v>879</v>
      </c>
    </row>
    <row r="2090" spans="1:5" ht="15">
      <c r="A2090" s="33" t="s">
        <v>872</v>
      </c>
      <c r="B2090" s="24" t="s">
        <v>536</v>
      </c>
      <c r="C2090" s="24" t="s">
        <v>873</v>
      </c>
      <c r="D2090" s="8">
        <v>100</v>
      </c>
      <c r="E2090" s="244" t="s">
        <v>879</v>
      </c>
    </row>
    <row r="2091" spans="1:5" ht="15">
      <c r="A2091" s="33" t="s">
        <v>872</v>
      </c>
      <c r="B2091" s="24" t="s">
        <v>731</v>
      </c>
      <c r="C2091" s="24" t="s">
        <v>734</v>
      </c>
      <c r="D2091" s="8">
        <v>174</v>
      </c>
      <c r="E2091" s="244" t="s">
        <v>879</v>
      </c>
    </row>
    <row r="2092" spans="1:5" ht="15">
      <c r="A2092" s="33" t="s">
        <v>872</v>
      </c>
      <c r="B2092" s="24" t="s">
        <v>731</v>
      </c>
      <c r="C2092" s="24" t="s">
        <v>874</v>
      </c>
      <c r="D2092" s="8">
        <v>290</v>
      </c>
      <c r="E2092" s="244" t="s">
        <v>880</v>
      </c>
    </row>
    <row r="2093" spans="1:5" ht="15">
      <c r="A2093" s="33" t="s">
        <v>872</v>
      </c>
      <c r="B2093" s="24">
        <v>2440</v>
      </c>
      <c r="C2093" s="24" t="s">
        <v>733</v>
      </c>
      <c r="D2093" s="2840" t="s">
        <v>881</v>
      </c>
      <c r="E2093" s="2843" t="s">
        <v>879</v>
      </c>
    </row>
    <row r="2094" spans="1:5" ht="15">
      <c r="A2094" s="33" t="s">
        <v>872</v>
      </c>
      <c r="B2094" s="24">
        <v>2440</v>
      </c>
      <c r="C2094" s="24" t="s">
        <v>733</v>
      </c>
      <c r="D2094" s="2841"/>
      <c r="E2094" s="2844"/>
    </row>
    <row r="2095" spans="1:5" ht="15">
      <c r="A2095" s="33" t="s">
        <v>872</v>
      </c>
      <c r="B2095" s="24">
        <v>2440</v>
      </c>
      <c r="C2095" s="24" t="s">
        <v>733</v>
      </c>
      <c r="D2095" s="2842"/>
      <c r="E2095" s="2845"/>
    </row>
    <row r="2096" spans="1:5" ht="15">
      <c r="A2096" s="33" t="s">
        <v>872</v>
      </c>
      <c r="B2096" s="24">
        <v>2440</v>
      </c>
      <c r="C2096" s="24" t="s">
        <v>862</v>
      </c>
      <c r="D2096" s="2840" t="s">
        <v>882</v>
      </c>
      <c r="E2096" s="2854" t="s">
        <v>879</v>
      </c>
    </row>
    <row r="2097" spans="1:6" ht="15">
      <c r="A2097" s="33" t="s">
        <v>872</v>
      </c>
      <c r="B2097" s="24">
        <v>2440</v>
      </c>
      <c r="C2097" s="24" t="s">
        <v>862</v>
      </c>
      <c r="D2097" s="2842"/>
      <c r="E2097" s="2855"/>
    </row>
    <row r="2099" spans="1:6" ht="15">
      <c r="A2099" s="99" t="s">
        <v>455</v>
      </c>
      <c r="B2099" s="99" t="s">
        <v>389</v>
      </c>
      <c r="C2099" s="99" t="s">
        <v>128</v>
      </c>
      <c r="D2099" s="100" t="s">
        <v>181</v>
      </c>
      <c r="E2099" s="101" t="s">
        <v>595</v>
      </c>
    </row>
    <row r="2100" spans="1:6" ht="15">
      <c r="A2100" s="24" t="s">
        <v>176</v>
      </c>
      <c r="B2100" s="26">
        <v>30</v>
      </c>
      <c r="C2100" s="24" t="s">
        <v>175</v>
      </c>
      <c r="D2100" s="67">
        <v>100</v>
      </c>
      <c r="E2100" s="25">
        <v>2.4500000000000002</v>
      </c>
    </row>
    <row r="2101" spans="1:6" ht="15">
      <c r="A2101" s="24"/>
      <c r="B2101" s="26"/>
      <c r="C2101" s="24" t="s">
        <v>31</v>
      </c>
      <c r="D2101" s="67"/>
      <c r="E2101" s="25">
        <v>12</v>
      </c>
    </row>
    <row r="2103" spans="1:6" ht="15">
      <c r="A2103" s="99" t="s">
        <v>455</v>
      </c>
      <c r="B2103" s="99" t="s">
        <v>389</v>
      </c>
      <c r="C2103" s="99" t="s">
        <v>128</v>
      </c>
    </row>
    <row r="2104" spans="1:6" ht="15">
      <c r="A2104" s="24" t="s">
        <v>536</v>
      </c>
      <c r="B2104" s="150">
        <v>160</v>
      </c>
      <c r="C2104" s="24" t="s">
        <v>597</v>
      </c>
    </row>
    <row r="2105" spans="1:6" ht="15">
      <c r="A2105" s="24" t="s">
        <v>536</v>
      </c>
      <c r="B2105" s="150">
        <v>160</v>
      </c>
      <c r="C2105" s="24" t="s">
        <v>886</v>
      </c>
    </row>
    <row r="2106" spans="1:6" ht="15">
      <c r="A2106" s="24"/>
      <c r="B2106" s="138"/>
      <c r="C2106" s="94" t="s">
        <v>887</v>
      </c>
    </row>
    <row r="2107" spans="1:6" ht="15">
      <c r="A2107" s="24"/>
      <c r="B2107" s="138"/>
      <c r="C2107" s="24" t="s">
        <v>481</v>
      </c>
    </row>
    <row r="2109" spans="1:6" ht="15.75">
      <c r="A2109" s="89" t="s">
        <v>105</v>
      </c>
      <c r="B2109" s="99" t="s">
        <v>455</v>
      </c>
      <c r="C2109" s="99" t="s">
        <v>389</v>
      </c>
      <c r="D2109" s="100" t="s">
        <v>182</v>
      </c>
      <c r="E2109" s="100" t="s">
        <v>181</v>
      </c>
      <c r="F2109" s="101" t="s">
        <v>595</v>
      </c>
    </row>
    <row r="2110" spans="1:6" ht="15">
      <c r="A2110" s="6" t="s">
        <v>888</v>
      </c>
      <c r="B2110" s="24">
        <v>5356</v>
      </c>
      <c r="C2110" s="26">
        <v>3</v>
      </c>
      <c r="D2110" s="68">
        <v>9</v>
      </c>
      <c r="E2110" s="67">
        <v>270</v>
      </c>
      <c r="F2110" s="46">
        <v>0.5</v>
      </c>
    </row>
    <row r="2111" spans="1:6" ht="15">
      <c r="A2111" s="6" t="s">
        <v>888</v>
      </c>
      <c r="B2111" s="24"/>
      <c r="C2111" s="138"/>
      <c r="D2111" s="8" t="s">
        <v>482</v>
      </c>
      <c r="E2111" s="8"/>
      <c r="F2111" s="46">
        <v>12</v>
      </c>
    </row>
    <row r="2113" spans="1:5" ht="15">
      <c r="A2113" s="99" t="s">
        <v>455</v>
      </c>
      <c r="B2113" s="99" t="s">
        <v>128</v>
      </c>
      <c r="C2113" s="100" t="s">
        <v>181</v>
      </c>
    </row>
    <row r="2114" spans="1:5" ht="15">
      <c r="A2114" s="24" t="s">
        <v>821</v>
      </c>
      <c r="B2114" s="24" t="s">
        <v>129</v>
      </c>
      <c r="C2114" s="67">
        <v>25</v>
      </c>
    </row>
    <row r="2115" spans="1:5" ht="15">
      <c r="A2115" s="24" t="s">
        <v>822</v>
      </c>
      <c r="B2115" s="24" t="s">
        <v>129</v>
      </c>
      <c r="C2115" s="67">
        <v>25</v>
      </c>
    </row>
    <row r="2119" spans="1:5" ht="15">
      <c r="A2119" s="99" t="s">
        <v>455</v>
      </c>
      <c r="B2119" s="99" t="s">
        <v>389</v>
      </c>
      <c r="C2119" s="99" t="s">
        <v>128</v>
      </c>
      <c r="D2119" s="100" t="s">
        <v>181</v>
      </c>
      <c r="E2119" s="101" t="s">
        <v>595</v>
      </c>
    </row>
    <row r="2120" spans="1:5" ht="15">
      <c r="A2120" s="24">
        <v>4143</v>
      </c>
      <c r="B2120" s="246" t="s">
        <v>889</v>
      </c>
      <c r="C2120" s="24" t="s">
        <v>890</v>
      </c>
      <c r="D2120" s="67" t="e">
        <f>#REF!*#REF!</f>
        <v>#REF!</v>
      </c>
      <c r="E2120" s="25">
        <v>1.57</v>
      </c>
    </row>
    <row r="2121" spans="1:5" ht="15">
      <c r="A2121" s="24"/>
      <c r="B2121" s="138"/>
      <c r="C2121" s="24" t="s">
        <v>481</v>
      </c>
      <c r="D2121" s="8"/>
      <c r="E2121" s="46">
        <v>12</v>
      </c>
    </row>
    <row r="2124" spans="1:5" ht="15">
      <c r="A2124" s="99" t="s">
        <v>455</v>
      </c>
      <c r="B2124" s="99" t="s">
        <v>128</v>
      </c>
      <c r="C2124" s="100" t="s">
        <v>2</v>
      </c>
    </row>
    <row r="2125" spans="1:5" ht="15">
      <c r="A2125" s="24" t="s">
        <v>536</v>
      </c>
      <c r="B2125" s="24" t="s">
        <v>875</v>
      </c>
      <c r="C2125" s="67">
        <v>12</v>
      </c>
    </row>
    <row r="2126" spans="1:5" ht="15">
      <c r="A2126" s="24" t="s">
        <v>536</v>
      </c>
      <c r="B2126" s="24" t="s">
        <v>876</v>
      </c>
      <c r="C2126" s="67">
        <v>5</v>
      </c>
    </row>
    <row r="2127" spans="1:5" ht="15">
      <c r="A2127" s="24" t="s">
        <v>536</v>
      </c>
      <c r="B2127" s="24" t="s">
        <v>877</v>
      </c>
      <c r="C2127" s="67">
        <v>20</v>
      </c>
    </row>
    <row r="2128" spans="1:5" ht="15">
      <c r="A2128" s="24" t="s">
        <v>536</v>
      </c>
      <c r="B2128" s="24" t="s">
        <v>824</v>
      </c>
      <c r="C2128" s="67">
        <v>50</v>
      </c>
    </row>
    <row r="2129" spans="1:6" ht="15">
      <c r="A2129" s="24" t="s">
        <v>536</v>
      </c>
      <c r="B2129" s="24" t="s">
        <v>891</v>
      </c>
      <c r="C2129" s="67">
        <v>50</v>
      </c>
    </row>
    <row r="2130" spans="1:6" ht="15">
      <c r="A2130" s="24" t="s">
        <v>536</v>
      </c>
      <c r="B2130" s="24" t="s">
        <v>891</v>
      </c>
      <c r="C2130" s="67">
        <v>25</v>
      </c>
    </row>
    <row r="2132" spans="1:6" ht="15">
      <c r="A2132" s="99" t="s">
        <v>455</v>
      </c>
      <c r="B2132" s="99" t="s">
        <v>389</v>
      </c>
      <c r="C2132" s="99" t="s">
        <v>128</v>
      </c>
      <c r="D2132" s="100" t="s">
        <v>181</v>
      </c>
      <c r="E2132" s="101" t="s">
        <v>595</v>
      </c>
    </row>
    <row r="2133" spans="1:6" ht="15">
      <c r="A2133" s="24">
        <v>5291</v>
      </c>
      <c r="B2133" s="26">
        <v>8</v>
      </c>
      <c r="C2133" s="24" t="s">
        <v>29</v>
      </c>
      <c r="D2133" s="67">
        <v>50</v>
      </c>
      <c r="E2133" s="46">
        <v>0.4</v>
      </c>
    </row>
    <row r="2134" spans="1:6" ht="15">
      <c r="A2134" s="24">
        <v>5291</v>
      </c>
      <c r="B2134" s="26">
        <v>8</v>
      </c>
      <c r="C2134" s="24" t="s">
        <v>499</v>
      </c>
      <c r="D2134" s="67">
        <v>50</v>
      </c>
      <c r="E2134" s="46">
        <v>0.4</v>
      </c>
    </row>
    <row r="2135" spans="1:6" ht="15">
      <c r="A2135" s="24"/>
      <c r="B2135" s="138"/>
      <c r="C2135" s="24" t="s">
        <v>481</v>
      </c>
      <c r="D2135" s="8"/>
      <c r="E2135" s="46">
        <v>12</v>
      </c>
    </row>
    <row r="2140" spans="1:6" ht="15">
      <c r="A2140" s="99" t="s">
        <v>455</v>
      </c>
      <c r="B2140" s="99" t="s">
        <v>389</v>
      </c>
      <c r="C2140" s="99" t="s">
        <v>128</v>
      </c>
      <c r="D2140" s="100" t="s">
        <v>181</v>
      </c>
      <c r="E2140" s="101" t="s">
        <v>595</v>
      </c>
      <c r="F2140" s="101" t="s">
        <v>899</v>
      </c>
    </row>
    <row r="2141" spans="1:6" ht="15.75">
      <c r="A2141" s="24">
        <v>3705</v>
      </c>
      <c r="B2141" s="26">
        <v>12</v>
      </c>
      <c r="C2141" s="24" t="s">
        <v>893</v>
      </c>
      <c r="D2141" s="67">
        <v>90</v>
      </c>
      <c r="E2141" s="25">
        <v>0.31</v>
      </c>
      <c r="F2141" s="240" t="s">
        <v>900</v>
      </c>
    </row>
    <row r="2142" spans="1:6" ht="15.75">
      <c r="A2142" s="24">
        <v>3705</v>
      </c>
      <c r="B2142" s="26">
        <v>12</v>
      </c>
      <c r="C2142" s="24" t="s">
        <v>894</v>
      </c>
      <c r="D2142" s="67">
        <v>90</v>
      </c>
      <c r="E2142" s="25">
        <v>0.31</v>
      </c>
      <c r="F2142" s="240" t="s">
        <v>901</v>
      </c>
    </row>
    <row r="2143" spans="1:6" ht="15.75">
      <c r="A2143" s="24">
        <v>3705</v>
      </c>
      <c r="B2143" s="26">
        <v>12</v>
      </c>
      <c r="C2143" s="24" t="s">
        <v>895</v>
      </c>
      <c r="D2143" s="67">
        <v>60</v>
      </c>
      <c r="E2143" s="25">
        <v>0.31</v>
      </c>
      <c r="F2143" s="240" t="s">
        <v>900</v>
      </c>
    </row>
    <row r="2144" spans="1:6" ht="15.75">
      <c r="A2144" s="24">
        <v>3705</v>
      </c>
      <c r="B2144" s="26">
        <v>12</v>
      </c>
      <c r="C2144" s="24" t="s">
        <v>896</v>
      </c>
      <c r="D2144" s="67">
        <v>60</v>
      </c>
      <c r="E2144" s="25">
        <v>0.31</v>
      </c>
      <c r="F2144" s="240" t="s">
        <v>900</v>
      </c>
    </row>
    <row r="2145" spans="1:6" ht="15.75">
      <c r="A2145" s="24">
        <v>3705</v>
      </c>
      <c r="B2145" s="26">
        <v>38</v>
      </c>
      <c r="C2145" s="24" t="s">
        <v>897</v>
      </c>
      <c r="D2145" s="67">
        <v>30</v>
      </c>
      <c r="E2145" s="25">
        <v>0.8</v>
      </c>
      <c r="F2145" s="240" t="s">
        <v>900</v>
      </c>
    </row>
    <row r="2146" spans="1:6" ht="15.75">
      <c r="A2146" s="24">
        <v>3705</v>
      </c>
      <c r="B2146" s="26">
        <v>38</v>
      </c>
      <c r="C2146" s="24" t="s">
        <v>893</v>
      </c>
      <c r="D2146" s="67">
        <v>90</v>
      </c>
      <c r="E2146" s="25">
        <v>0.8</v>
      </c>
      <c r="F2146" s="240" t="s">
        <v>900</v>
      </c>
    </row>
    <row r="2147" spans="1:6" ht="15.75">
      <c r="A2147" s="24">
        <v>3705</v>
      </c>
      <c r="B2147" s="26">
        <v>38</v>
      </c>
      <c r="C2147" s="24" t="s">
        <v>898</v>
      </c>
      <c r="D2147" s="67">
        <v>30</v>
      </c>
      <c r="E2147" s="25">
        <v>0.8</v>
      </c>
      <c r="F2147" s="240" t="s">
        <v>900</v>
      </c>
    </row>
    <row r="2148" spans="1:6" ht="15.75">
      <c r="A2148" s="24"/>
      <c r="B2148" s="138"/>
      <c r="C2148" s="24" t="s">
        <v>481</v>
      </c>
      <c r="D2148" s="8"/>
      <c r="E2148" s="46">
        <v>12</v>
      </c>
      <c r="F2148" s="240" t="s">
        <v>900</v>
      </c>
    </row>
    <row r="2151" spans="1:6" ht="15">
      <c r="A2151" s="99" t="s">
        <v>455</v>
      </c>
      <c r="B2151" s="99" t="s">
        <v>128</v>
      </c>
      <c r="C2151" s="100" t="s">
        <v>2</v>
      </c>
      <c r="D2151" s="101" t="s">
        <v>595</v>
      </c>
    </row>
    <row r="2152" spans="1:6" ht="15">
      <c r="A2152" s="24" t="s">
        <v>536</v>
      </c>
      <c r="B2152" s="24" t="s">
        <v>629</v>
      </c>
      <c r="C2152" s="151">
        <v>21</v>
      </c>
      <c r="D2152" s="25">
        <v>4.2</v>
      </c>
    </row>
    <row r="2153" spans="1:6" ht="15">
      <c r="A2153" s="24" t="s">
        <v>738</v>
      </c>
      <c r="B2153" s="24" t="s">
        <v>629</v>
      </c>
      <c r="C2153" s="151">
        <v>23</v>
      </c>
      <c r="D2153" s="46">
        <v>3.75</v>
      </c>
    </row>
    <row r="2154" spans="1:6" ht="15">
      <c r="A2154" s="24" t="s">
        <v>738</v>
      </c>
      <c r="B2154" s="24" t="s">
        <v>629</v>
      </c>
      <c r="C2154" s="151">
        <v>31</v>
      </c>
      <c r="D2154" s="46">
        <v>3.75</v>
      </c>
    </row>
    <row r="2155" spans="1:6" ht="15">
      <c r="A2155" s="24"/>
      <c r="B2155" s="24" t="s">
        <v>31</v>
      </c>
      <c r="C2155" s="45"/>
      <c r="D2155" s="46">
        <v>20</v>
      </c>
    </row>
    <row r="2158" spans="1:6" ht="15">
      <c r="A2158" s="99" t="s">
        <v>455</v>
      </c>
      <c r="B2158" s="99" t="s">
        <v>389</v>
      </c>
      <c r="C2158" s="99" t="s">
        <v>128</v>
      </c>
      <c r="D2158" s="100" t="s">
        <v>181</v>
      </c>
      <c r="E2158" s="101" t="s">
        <v>595</v>
      </c>
    </row>
    <row r="2159" spans="1:6" ht="15">
      <c r="A2159" s="24">
        <v>11700</v>
      </c>
      <c r="B2159" s="26">
        <v>6</v>
      </c>
      <c r="C2159" s="24" t="s">
        <v>903</v>
      </c>
      <c r="D2159" s="67">
        <v>20</v>
      </c>
      <c r="E2159" s="46">
        <v>1.1000000000000001</v>
      </c>
    </row>
    <row r="2160" spans="1:6" ht="15">
      <c r="A2160" s="24">
        <v>11700</v>
      </c>
      <c r="B2160" s="26">
        <v>24</v>
      </c>
      <c r="C2160" s="24" t="s">
        <v>904</v>
      </c>
      <c r="D2160" s="67">
        <v>10</v>
      </c>
      <c r="E2160" s="46">
        <v>2.12</v>
      </c>
    </row>
    <row r="2161" spans="1:5" ht="15">
      <c r="A2161" s="24">
        <v>11700</v>
      </c>
      <c r="B2161" s="26">
        <v>24</v>
      </c>
      <c r="C2161" s="24" t="s">
        <v>905</v>
      </c>
      <c r="D2161" s="67">
        <v>10</v>
      </c>
      <c r="E2161" s="46">
        <v>2.12</v>
      </c>
    </row>
    <row r="2162" spans="1:5" ht="15">
      <c r="A2162" s="24"/>
      <c r="B2162" s="26"/>
      <c r="C2162" s="24" t="s">
        <v>31</v>
      </c>
      <c r="D2162" s="67"/>
      <c r="E2162" s="25">
        <v>12</v>
      </c>
    </row>
    <row r="2165" spans="1:5" ht="15">
      <c r="A2165" s="99" t="s">
        <v>105</v>
      </c>
      <c r="B2165" s="99" t="s">
        <v>455</v>
      </c>
      <c r="C2165" s="99" t="s">
        <v>128</v>
      </c>
      <c r="D2165" s="100" t="s">
        <v>181</v>
      </c>
      <c r="E2165" s="101" t="s">
        <v>595</v>
      </c>
    </row>
    <row r="2166" spans="1:5" ht="15">
      <c r="A2166" s="6" t="s">
        <v>906</v>
      </c>
      <c r="B2166" s="24" t="s">
        <v>313</v>
      </c>
      <c r="C2166" s="94" t="s">
        <v>190</v>
      </c>
      <c r="D2166" s="75">
        <v>840</v>
      </c>
      <c r="E2166" s="25">
        <v>1.59</v>
      </c>
    </row>
    <row r="2169" spans="1:5" ht="15">
      <c r="A2169" s="99" t="s">
        <v>455</v>
      </c>
      <c r="B2169" s="99" t="s">
        <v>389</v>
      </c>
      <c r="C2169" s="99" t="s">
        <v>128</v>
      </c>
      <c r="D2169" s="100" t="s">
        <v>181</v>
      </c>
      <c r="E2169" s="101" t="s">
        <v>595</v>
      </c>
    </row>
    <row r="2170" spans="1:5" ht="15">
      <c r="A2170" s="24">
        <v>3705</v>
      </c>
      <c r="B2170" s="26">
        <v>19</v>
      </c>
      <c r="C2170" s="24" t="s">
        <v>910</v>
      </c>
      <c r="D2170" s="67">
        <v>30</v>
      </c>
      <c r="E2170" s="25">
        <v>0.42</v>
      </c>
    </row>
    <row r="2171" spans="1:5" ht="15">
      <c r="A2171" s="24">
        <v>3705</v>
      </c>
      <c r="B2171" s="26">
        <v>19</v>
      </c>
      <c r="C2171" s="24" t="s">
        <v>911</v>
      </c>
      <c r="D2171" s="67">
        <v>30</v>
      </c>
      <c r="E2171" s="25">
        <v>0.42</v>
      </c>
    </row>
    <row r="2172" spans="1:5" ht="15">
      <c r="A2172" s="24">
        <v>3705</v>
      </c>
      <c r="B2172" s="26">
        <v>19</v>
      </c>
      <c r="C2172" s="24" t="s">
        <v>912</v>
      </c>
      <c r="D2172" s="67">
        <v>30</v>
      </c>
      <c r="E2172" s="25">
        <v>0.42</v>
      </c>
    </row>
    <row r="2173" spans="1:5" ht="15">
      <c r="A2173" s="24">
        <v>3705</v>
      </c>
      <c r="B2173" s="26">
        <v>19</v>
      </c>
      <c r="C2173" s="24" t="s">
        <v>913</v>
      </c>
      <c r="D2173" s="67">
        <v>30</v>
      </c>
      <c r="E2173" s="25">
        <v>0.42</v>
      </c>
    </row>
    <row r="2174" spans="1:5" ht="15">
      <c r="A2174" s="24"/>
      <c r="B2174" s="138"/>
      <c r="C2174" s="24" t="s">
        <v>481</v>
      </c>
      <c r="D2174" s="8"/>
      <c r="E2174" s="46">
        <v>12</v>
      </c>
    </row>
    <row r="2178" spans="1:5" ht="15">
      <c r="A2178" s="99" t="s">
        <v>455</v>
      </c>
      <c r="B2178" s="99" t="s">
        <v>389</v>
      </c>
      <c r="C2178" s="99" t="s">
        <v>128</v>
      </c>
      <c r="D2178" s="100" t="s">
        <v>181</v>
      </c>
      <c r="E2178" s="101" t="s">
        <v>595</v>
      </c>
    </row>
    <row r="2179" spans="1:5" ht="15">
      <c r="A2179" s="24">
        <v>1598</v>
      </c>
      <c r="B2179" s="26" t="s">
        <v>19</v>
      </c>
      <c r="C2179" s="24" t="s">
        <v>602</v>
      </c>
      <c r="D2179" s="67" t="e">
        <f>#REF!*#REF!</f>
        <v>#REF!</v>
      </c>
      <c r="E2179" s="25">
        <v>1.88</v>
      </c>
    </row>
    <row r="2180" spans="1:5" ht="15">
      <c r="A2180" s="24"/>
      <c r="B2180" s="26"/>
      <c r="C2180" s="24" t="s">
        <v>31</v>
      </c>
      <c r="D2180" s="67"/>
      <c r="E2180" s="25">
        <v>12</v>
      </c>
    </row>
    <row r="2182" spans="1:5" ht="15">
      <c r="A2182" s="99" t="s">
        <v>455</v>
      </c>
      <c r="B2182" s="99" t="s">
        <v>389</v>
      </c>
      <c r="C2182" s="99" t="s">
        <v>128</v>
      </c>
      <c r="D2182" s="100" t="s">
        <v>181</v>
      </c>
      <c r="E2182" s="101" t="s">
        <v>595</v>
      </c>
    </row>
    <row r="2183" spans="1:5" ht="15">
      <c r="A2183" s="24">
        <v>1598</v>
      </c>
      <c r="B2183" s="26" t="s">
        <v>19</v>
      </c>
      <c r="C2183" s="24" t="s">
        <v>917</v>
      </c>
      <c r="D2183" s="67">
        <v>25</v>
      </c>
      <c r="E2183" s="25">
        <v>1.95</v>
      </c>
    </row>
    <row r="2184" spans="1:5" ht="15">
      <c r="A2184" s="24"/>
      <c r="B2184" s="26"/>
      <c r="C2184" s="24" t="s">
        <v>31</v>
      </c>
      <c r="D2184" s="67"/>
      <c r="E2184" s="25">
        <v>12</v>
      </c>
    </row>
    <row r="2187" spans="1:5" ht="15">
      <c r="A2187" s="99" t="s">
        <v>455</v>
      </c>
      <c r="B2187" s="99" t="s">
        <v>389</v>
      </c>
      <c r="C2187" s="99" t="s">
        <v>128</v>
      </c>
      <c r="D2187" s="100" t="s">
        <v>181</v>
      </c>
      <c r="E2187" s="101" t="s">
        <v>595</v>
      </c>
    </row>
    <row r="2188" spans="1:5" ht="15">
      <c r="A2188" s="24">
        <v>3705</v>
      </c>
      <c r="B2188" s="26">
        <v>19</v>
      </c>
      <c r="C2188" s="24" t="s">
        <v>910</v>
      </c>
      <c r="D2188" s="67">
        <v>30</v>
      </c>
      <c r="E2188" s="25">
        <v>0.3</v>
      </c>
    </row>
    <row r="2189" spans="1:5" ht="15">
      <c r="A2189" s="24">
        <v>3705</v>
      </c>
      <c r="B2189" s="26">
        <v>19</v>
      </c>
      <c r="C2189" s="24" t="s">
        <v>911</v>
      </c>
      <c r="D2189" s="67">
        <v>30</v>
      </c>
      <c r="E2189" s="25">
        <v>0.3</v>
      </c>
    </row>
    <row r="2190" spans="1:5" ht="15">
      <c r="A2190" s="24">
        <v>3705</v>
      </c>
      <c r="B2190" s="26">
        <v>19</v>
      </c>
      <c r="C2190" s="24" t="s">
        <v>912</v>
      </c>
      <c r="D2190" s="67">
        <v>30</v>
      </c>
      <c r="E2190" s="25">
        <v>0.3</v>
      </c>
    </row>
    <row r="2191" spans="1:5" ht="15">
      <c r="A2191" s="24">
        <v>3705</v>
      </c>
      <c r="B2191" s="26">
        <v>19</v>
      </c>
      <c r="C2191" s="24" t="s">
        <v>913</v>
      </c>
      <c r="D2191" s="67">
        <v>30</v>
      </c>
      <c r="E2191" s="25">
        <v>0.3</v>
      </c>
    </row>
    <row r="2192" spans="1:5" ht="15">
      <c r="A2192" s="24"/>
      <c r="B2192" s="138"/>
      <c r="C2192" s="24" t="s">
        <v>481</v>
      </c>
      <c r="D2192" s="8"/>
      <c r="E2192" s="46">
        <v>12</v>
      </c>
    </row>
    <row r="2194" spans="1:6" ht="15">
      <c r="A2194" s="99" t="s">
        <v>105</v>
      </c>
      <c r="B2194" s="99" t="s">
        <v>455</v>
      </c>
      <c r="C2194" s="99" t="s">
        <v>128</v>
      </c>
      <c r="D2194" s="100" t="s">
        <v>181</v>
      </c>
      <c r="E2194" s="101" t="s">
        <v>595</v>
      </c>
    </row>
    <row r="2195" spans="1:6" ht="15">
      <c r="A2195" s="6" t="s">
        <v>919</v>
      </c>
      <c r="B2195" s="24" t="s">
        <v>536</v>
      </c>
      <c r="C2195" s="24" t="s">
        <v>920</v>
      </c>
      <c r="D2195" s="8">
        <v>52</v>
      </c>
      <c r="E2195" s="25">
        <v>4.2</v>
      </c>
    </row>
    <row r="2196" spans="1:6" ht="15">
      <c r="A2196" s="6" t="s">
        <v>919</v>
      </c>
      <c r="B2196" s="24" t="s">
        <v>536</v>
      </c>
      <c r="C2196" s="24" t="s">
        <v>920</v>
      </c>
      <c r="D2196" s="8">
        <v>53</v>
      </c>
      <c r="E2196" s="25">
        <v>4.2</v>
      </c>
    </row>
    <row r="2197" spans="1:6" ht="15">
      <c r="A2197" s="6"/>
      <c r="B2197" s="24"/>
      <c r="C2197" s="24"/>
      <c r="D2197" s="8"/>
      <c r="E2197" s="25"/>
    </row>
    <row r="2198" spans="1:6" ht="15">
      <c r="A2198" s="6" t="s">
        <v>919</v>
      </c>
      <c r="B2198" s="24"/>
      <c r="C2198" s="24" t="s">
        <v>31</v>
      </c>
      <c r="D2198" s="8"/>
      <c r="E2198" s="46">
        <v>20</v>
      </c>
    </row>
    <row r="2201" spans="1:6" ht="15">
      <c r="A2201" s="99" t="s">
        <v>105</v>
      </c>
      <c r="B2201" s="99" t="s">
        <v>455</v>
      </c>
      <c r="C2201" s="99" t="s">
        <v>128</v>
      </c>
      <c r="D2201" s="100" t="s">
        <v>181</v>
      </c>
      <c r="E2201" s="101" t="s">
        <v>595</v>
      </c>
    </row>
    <row r="2202" spans="1:6" ht="15">
      <c r="A2202" s="6" t="s">
        <v>919</v>
      </c>
      <c r="B2202" s="24" t="s">
        <v>536</v>
      </c>
      <c r="C2202" s="24" t="s">
        <v>920</v>
      </c>
      <c r="D2202" s="8">
        <v>52</v>
      </c>
      <c r="E2202" s="46">
        <v>4.2</v>
      </c>
    </row>
    <row r="2203" spans="1:6" ht="15">
      <c r="A2203" s="6" t="s">
        <v>919</v>
      </c>
      <c r="B2203" s="24" t="s">
        <v>536</v>
      </c>
      <c r="C2203" s="24" t="s">
        <v>920</v>
      </c>
      <c r="D2203" s="8">
        <v>53</v>
      </c>
      <c r="E2203" s="46">
        <v>4.2</v>
      </c>
    </row>
    <row r="2204" spans="1:6" ht="15">
      <c r="A2204" s="6" t="s">
        <v>919</v>
      </c>
      <c r="B2204" s="24" t="s">
        <v>536</v>
      </c>
      <c r="C2204" s="24" t="s">
        <v>920</v>
      </c>
      <c r="D2204" s="8">
        <v>7</v>
      </c>
      <c r="E2204" s="46">
        <v>4.2</v>
      </c>
    </row>
    <row r="2205" spans="1:6" ht="15">
      <c r="A2205" s="6" t="s">
        <v>919</v>
      </c>
      <c r="B2205" s="24"/>
      <c r="C2205" s="24" t="s">
        <v>75</v>
      </c>
      <c r="D2205" s="8"/>
      <c r="E2205" s="46">
        <v>12</v>
      </c>
    </row>
    <row r="2206" spans="1:6" ht="15">
      <c r="A2206" s="6" t="s">
        <v>919</v>
      </c>
      <c r="B2206" s="24"/>
      <c r="C2206" s="24" t="s">
        <v>31</v>
      </c>
      <c r="D2206" s="8"/>
      <c r="E2206" s="46">
        <v>20</v>
      </c>
    </row>
    <row r="2208" spans="1:6" ht="15">
      <c r="A2208" s="99" t="s">
        <v>105</v>
      </c>
      <c r="B2208" s="99" t="s">
        <v>455</v>
      </c>
      <c r="C2208" s="99" t="s">
        <v>389</v>
      </c>
      <c r="D2208" s="100" t="s">
        <v>182</v>
      </c>
      <c r="E2208" s="100" t="s">
        <v>181</v>
      </c>
      <c r="F2208" s="101" t="s">
        <v>595</v>
      </c>
    </row>
    <row r="2209" spans="1:6" ht="15">
      <c r="A2209" s="6" t="s">
        <v>923</v>
      </c>
      <c r="B2209" s="24">
        <v>14552</v>
      </c>
      <c r="C2209" s="26">
        <v>25</v>
      </c>
      <c r="D2209" s="68">
        <v>10</v>
      </c>
      <c r="E2209" s="67">
        <v>300</v>
      </c>
      <c r="F2209" s="25">
        <v>0.92</v>
      </c>
    </row>
    <row r="2210" spans="1:6" ht="15">
      <c r="A2210" s="6" t="s">
        <v>923</v>
      </c>
      <c r="B2210" s="24"/>
      <c r="C2210" s="138"/>
      <c r="D2210" s="8" t="s">
        <v>482</v>
      </c>
      <c r="E2210" s="8"/>
      <c r="F2210" s="46">
        <v>12</v>
      </c>
    </row>
    <row r="2215" spans="1:6" ht="15">
      <c r="A2215" s="99" t="s">
        <v>105</v>
      </c>
      <c r="B2215" s="99" t="s">
        <v>455</v>
      </c>
      <c r="C2215" s="99" t="s">
        <v>389</v>
      </c>
      <c r="D2215" s="100" t="s">
        <v>182</v>
      </c>
      <c r="E2215" s="100" t="s">
        <v>181</v>
      </c>
      <c r="F2215" s="101" t="s">
        <v>595</v>
      </c>
    </row>
    <row r="2216" spans="1:6" ht="15">
      <c r="A2216" s="6" t="s">
        <v>924</v>
      </c>
      <c r="B2216" s="24">
        <v>1598</v>
      </c>
      <c r="C2216" s="26" t="s">
        <v>19</v>
      </c>
      <c r="D2216" s="68">
        <v>1</v>
      </c>
      <c r="E2216" s="67">
        <v>25</v>
      </c>
      <c r="F2216" s="25">
        <v>1.95</v>
      </c>
    </row>
    <row r="2217" spans="1:6" ht="15">
      <c r="A2217" s="6" t="s">
        <v>924</v>
      </c>
      <c r="B2217" s="24"/>
      <c r="C2217" s="26"/>
      <c r="D2217" s="36">
        <v>1</v>
      </c>
      <c r="E2217" s="67"/>
      <c r="F2217" s="25">
        <v>12</v>
      </c>
    </row>
    <row r="2221" spans="1:6" ht="15">
      <c r="A2221" s="99" t="s">
        <v>105</v>
      </c>
      <c r="B2221" s="99" t="s">
        <v>455</v>
      </c>
      <c r="C2221" s="99" t="s">
        <v>128</v>
      </c>
      <c r="D2221" s="101" t="s">
        <v>846</v>
      </c>
    </row>
    <row r="2222" spans="1:6" ht="15">
      <c r="A2222" s="6" t="s">
        <v>926</v>
      </c>
      <c r="B2222" s="24" t="s">
        <v>847</v>
      </c>
      <c r="C2222" s="24" t="s">
        <v>543</v>
      </c>
      <c r="D2222" s="46" t="e">
        <f>#REF!*#REF!</f>
        <v>#REF!</v>
      </c>
    </row>
    <row r="2223" spans="1:6" ht="15">
      <c r="A2223" s="6" t="s">
        <v>926</v>
      </c>
      <c r="B2223" s="24" t="s">
        <v>847</v>
      </c>
      <c r="C2223" s="24" t="s">
        <v>927</v>
      </c>
      <c r="D2223" s="46" t="e">
        <f>#REF!*#REF!</f>
        <v>#REF!</v>
      </c>
    </row>
    <row r="2224" spans="1:6" ht="15">
      <c r="A2224" s="6" t="s">
        <v>926</v>
      </c>
      <c r="B2224" s="24" t="s">
        <v>847</v>
      </c>
      <c r="C2224" s="24" t="s">
        <v>928</v>
      </c>
      <c r="D2224" s="46" t="e">
        <f>#REF!*#REF!</f>
        <v>#REF!</v>
      </c>
    </row>
    <row r="2225" spans="1:4" ht="15">
      <c r="A2225" s="6" t="s">
        <v>926</v>
      </c>
      <c r="B2225" s="24" t="s">
        <v>847</v>
      </c>
      <c r="C2225" s="24" t="s">
        <v>566</v>
      </c>
      <c r="D2225" s="46" t="e">
        <f>#REF!*#REF!</f>
        <v>#REF!</v>
      </c>
    </row>
    <row r="2226" spans="1:4" ht="15">
      <c r="A2226" s="6" t="s">
        <v>926</v>
      </c>
      <c r="B2226" s="24" t="s">
        <v>847</v>
      </c>
      <c r="C2226" s="24" t="s">
        <v>929</v>
      </c>
      <c r="D2226" s="46" t="e">
        <f>#REF!*#REF!</f>
        <v>#REF!</v>
      </c>
    </row>
    <row r="2227" spans="1:4" ht="15">
      <c r="A2227" s="6" t="s">
        <v>926</v>
      </c>
      <c r="B2227" s="24" t="s">
        <v>847</v>
      </c>
      <c r="C2227" s="24" t="s">
        <v>930</v>
      </c>
      <c r="D2227" s="46" t="e">
        <f>#REF!*#REF!</f>
        <v>#REF!</v>
      </c>
    </row>
    <row r="2228" spans="1:4" ht="15">
      <c r="A2228" s="6" t="s">
        <v>926</v>
      </c>
      <c r="B2228" s="24"/>
      <c r="C2228" s="24" t="s">
        <v>851</v>
      </c>
      <c r="D2228" s="46">
        <v>600</v>
      </c>
    </row>
    <row r="2229" spans="1:4" ht="15">
      <c r="A2229" s="6"/>
      <c r="B2229" s="20"/>
      <c r="C2229" s="44"/>
      <c r="D2229" s="46"/>
    </row>
    <row r="2230" spans="1:4" ht="15">
      <c r="A2230" s="6" t="s">
        <v>926</v>
      </c>
      <c r="B2230" s="24" t="s">
        <v>239</v>
      </c>
      <c r="C2230" s="44" t="s">
        <v>129</v>
      </c>
      <c r="D2230" s="46" t="e">
        <f>#REF!*#REF!</f>
        <v>#REF!</v>
      </c>
    </row>
    <row r="2231" spans="1:4" ht="15">
      <c r="A2231" s="6" t="s">
        <v>926</v>
      </c>
      <c r="B2231" s="24" t="s">
        <v>239</v>
      </c>
      <c r="C2231" s="44" t="s">
        <v>200</v>
      </c>
      <c r="D2231" s="46" t="e">
        <f>#REF!*#REF!</f>
        <v>#REF!</v>
      </c>
    </row>
    <row r="2232" spans="1:4" ht="15">
      <c r="A2232" s="6" t="s">
        <v>926</v>
      </c>
      <c r="B2232" s="24"/>
      <c r="C2232" s="185" t="s">
        <v>665</v>
      </c>
      <c r="D2232" s="46">
        <v>100</v>
      </c>
    </row>
    <row r="2233" spans="1:4" ht="15">
      <c r="A2233" s="6"/>
      <c r="B2233" s="24"/>
      <c r="C2233" s="185"/>
      <c r="D2233" s="46"/>
    </row>
    <row r="2234" spans="1:4" ht="15">
      <c r="A2234" s="6" t="s">
        <v>926</v>
      </c>
      <c r="B2234" s="24" t="s">
        <v>684</v>
      </c>
      <c r="C2234" s="44" t="s">
        <v>129</v>
      </c>
      <c r="D2234" s="46" t="e">
        <f>#REF!*#REF!</f>
        <v>#REF!</v>
      </c>
    </row>
    <row r="2235" spans="1:4" ht="15">
      <c r="A2235" s="6" t="s">
        <v>926</v>
      </c>
      <c r="B2235" s="24" t="s">
        <v>684</v>
      </c>
      <c r="C2235" s="44" t="s">
        <v>200</v>
      </c>
      <c r="D2235" s="46" t="e">
        <f>#REF!*#REF!</f>
        <v>#REF!</v>
      </c>
    </row>
    <row r="2236" spans="1:4" ht="15">
      <c r="A2236" s="6" t="s">
        <v>926</v>
      </c>
      <c r="B2236" s="24"/>
      <c r="C2236" s="185" t="s">
        <v>685</v>
      </c>
      <c r="D2236" s="46">
        <v>100</v>
      </c>
    </row>
    <row r="2237" spans="1:4" ht="15">
      <c r="A2237" s="6"/>
      <c r="B2237" s="24"/>
      <c r="C2237" s="185"/>
      <c r="D2237" s="46"/>
    </row>
    <row r="2238" spans="1:4" ht="15">
      <c r="A2238" s="6" t="s">
        <v>926</v>
      </c>
      <c r="B2238" s="24" t="s">
        <v>822</v>
      </c>
      <c r="C2238" s="44" t="s">
        <v>129</v>
      </c>
      <c r="D2238" s="46" t="e">
        <f>#REF!*#REF!</f>
        <v>#REF!</v>
      </c>
    </row>
    <row r="2239" spans="1:4" ht="15">
      <c r="A2239" s="6" t="s">
        <v>926</v>
      </c>
      <c r="B2239" s="24" t="s">
        <v>822</v>
      </c>
      <c r="C2239" s="44" t="s">
        <v>200</v>
      </c>
      <c r="D2239" s="46" t="e">
        <f>#REF!*#REF!</f>
        <v>#REF!</v>
      </c>
    </row>
    <row r="2240" spans="1:4" ht="15">
      <c r="A2240" s="6" t="s">
        <v>926</v>
      </c>
      <c r="B2240" s="24"/>
      <c r="C2240" s="24" t="s">
        <v>843</v>
      </c>
      <c r="D2240" s="46">
        <v>100</v>
      </c>
    </row>
    <row r="2241" spans="1:5" ht="15.75">
      <c r="A2241" s="2817" t="s">
        <v>412</v>
      </c>
      <c r="B2241" s="2818"/>
      <c r="C2241" s="2818"/>
      <c r="D2241" s="163" t="e">
        <f>SUM(D2222:D2240)</f>
        <v>#REF!</v>
      </c>
    </row>
    <row r="2245" spans="1:5" ht="15">
      <c r="A2245" s="99" t="s">
        <v>455</v>
      </c>
      <c r="B2245" s="99" t="s">
        <v>128</v>
      </c>
      <c r="C2245" s="100" t="s">
        <v>181</v>
      </c>
    </row>
    <row r="2246" spans="1:5" ht="15">
      <c r="A2246" s="24" t="s">
        <v>536</v>
      </c>
      <c r="B2246" s="24" t="s">
        <v>920</v>
      </c>
      <c r="C2246" s="151">
        <v>52</v>
      </c>
    </row>
    <row r="2247" spans="1:5" ht="15">
      <c r="A2247" s="24" t="s">
        <v>536</v>
      </c>
      <c r="B2247" s="24" t="s">
        <v>920</v>
      </c>
      <c r="C2247" s="151">
        <v>53</v>
      </c>
    </row>
    <row r="2248" spans="1:5" ht="15">
      <c r="A2248" s="24" t="s">
        <v>536</v>
      </c>
      <c r="B2248" s="24" t="s">
        <v>920</v>
      </c>
      <c r="C2248" s="8">
        <v>10</v>
      </c>
    </row>
    <row r="2252" spans="1:5" ht="15">
      <c r="A2252" s="99" t="s">
        <v>105</v>
      </c>
      <c r="B2252" s="99" t="s">
        <v>455</v>
      </c>
      <c r="C2252" s="99" t="s">
        <v>128</v>
      </c>
      <c r="D2252" s="100" t="s">
        <v>181</v>
      </c>
      <c r="E2252" s="101" t="s">
        <v>595</v>
      </c>
    </row>
    <row r="2253" spans="1:5" ht="15">
      <c r="A2253" s="33" t="s">
        <v>932</v>
      </c>
      <c r="B2253" s="24">
        <v>2440</v>
      </c>
      <c r="C2253" s="24" t="s">
        <v>933</v>
      </c>
      <c r="D2253" s="67">
        <v>116</v>
      </c>
      <c r="E2253" s="46">
        <v>3.1</v>
      </c>
    </row>
    <row r="2254" spans="1:5" ht="15">
      <c r="A2254" s="33" t="s">
        <v>932</v>
      </c>
      <c r="B2254" s="24"/>
      <c r="C2254" s="24" t="s">
        <v>31</v>
      </c>
      <c r="D2254" s="8"/>
      <c r="E2254" s="46">
        <v>20</v>
      </c>
    </row>
    <row r="2256" spans="1:5" ht="15">
      <c r="A2256" s="99" t="s">
        <v>455</v>
      </c>
      <c r="B2256" s="99" t="s">
        <v>128</v>
      </c>
      <c r="C2256" s="100" t="s">
        <v>2</v>
      </c>
      <c r="D2256" s="101" t="s">
        <v>595</v>
      </c>
    </row>
    <row r="2257" spans="1:6" ht="15">
      <c r="A2257" s="24" t="s">
        <v>936</v>
      </c>
      <c r="B2257" s="44" t="s">
        <v>200</v>
      </c>
      <c r="C2257" s="151">
        <v>13.3</v>
      </c>
      <c r="D2257" s="46">
        <v>2.4500000000000002</v>
      </c>
    </row>
    <row r="2258" spans="1:6" ht="15">
      <c r="A2258" s="24" t="s">
        <v>936</v>
      </c>
      <c r="B2258" s="44" t="s">
        <v>200</v>
      </c>
      <c r="C2258" s="151">
        <v>14</v>
      </c>
      <c r="D2258" s="46">
        <v>2.4500000000000002</v>
      </c>
    </row>
    <row r="2259" spans="1:6" ht="15">
      <c r="A2259" s="24"/>
      <c r="B2259" s="24" t="s">
        <v>31</v>
      </c>
      <c r="C2259" s="45"/>
      <c r="D2259" s="46">
        <v>12</v>
      </c>
    </row>
    <row r="2263" spans="1:6" ht="15">
      <c r="A2263" s="99" t="s">
        <v>105</v>
      </c>
      <c r="B2263" s="99" t="s">
        <v>455</v>
      </c>
      <c r="C2263" s="99" t="s">
        <v>128</v>
      </c>
    </row>
    <row r="2264" spans="1:6" ht="15">
      <c r="A2264" s="6" t="s">
        <v>934</v>
      </c>
      <c r="B2264" s="24">
        <v>5607</v>
      </c>
      <c r="C2264" s="44" t="s">
        <v>935</v>
      </c>
    </row>
    <row r="2265" spans="1:6" ht="15">
      <c r="A2265" s="6" t="s">
        <v>934</v>
      </c>
      <c r="B2265" s="24">
        <v>5607</v>
      </c>
      <c r="C2265" s="44" t="s">
        <v>937</v>
      </c>
    </row>
    <row r="2266" spans="1:6" ht="15">
      <c r="A2266" s="6" t="s">
        <v>934</v>
      </c>
      <c r="B2266" s="24"/>
      <c r="C2266" s="24" t="s">
        <v>31</v>
      </c>
    </row>
    <row r="2268" spans="1:6" ht="15">
      <c r="A2268" s="99" t="s">
        <v>105</v>
      </c>
      <c r="B2268" s="99" t="s">
        <v>455</v>
      </c>
      <c r="C2268" s="99" t="s">
        <v>389</v>
      </c>
      <c r="D2268" s="100" t="s">
        <v>182</v>
      </c>
      <c r="E2268" s="100" t="s">
        <v>181</v>
      </c>
      <c r="F2268" s="101" t="s">
        <v>595</v>
      </c>
    </row>
    <row r="2269" spans="1:6" ht="15">
      <c r="A2269" s="6" t="s">
        <v>940</v>
      </c>
      <c r="B2269" s="24">
        <v>3705</v>
      </c>
      <c r="C2269" s="26">
        <v>19</v>
      </c>
      <c r="D2269" s="152">
        <v>9</v>
      </c>
      <c r="E2269" s="67">
        <v>270</v>
      </c>
      <c r="F2269" s="46">
        <v>0.42</v>
      </c>
    </row>
    <row r="2270" spans="1:6" ht="15">
      <c r="A2270" s="6" t="s">
        <v>940</v>
      </c>
      <c r="B2270" s="24">
        <v>3705</v>
      </c>
      <c r="C2270" s="26">
        <v>19</v>
      </c>
      <c r="D2270" s="152">
        <v>9</v>
      </c>
      <c r="E2270" s="67">
        <v>270</v>
      </c>
      <c r="F2270" s="46">
        <v>0.42</v>
      </c>
    </row>
    <row r="2271" spans="1:6" ht="15">
      <c r="A2271" s="6" t="s">
        <v>940</v>
      </c>
      <c r="B2271" s="24">
        <v>3705</v>
      </c>
      <c r="C2271" s="26">
        <v>19</v>
      </c>
      <c r="D2271" s="152">
        <v>10</v>
      </c>
      <c r="E2271" s="67">
        <v>300</v>
      </c>
      <c r="F2271" s="46">
        <v>0.42</v>
      </c>
    </row>
    <row r="2272" spans="1:6" ht="15">
      <c r="A2272" s="6" t="s">
        <v>940</v>
      </c>
      <c r="B2272" s="24">
        <v>3705</v>
      </c>
      <c r="C2272" s="26">
        <v>19</v>
      </c>
      <c r="D2272" s="152">
        <v>10</v>
      </c>
      <c r="E2272" s="67">
        <v>300</v>
      </c>
      <c r="F2272" s="46">
        <v>0.42</v>
      </c>
    </row>
    <row r="2273" spans="1:6" ht="15">
      <c r="A2273" s="6" t="s">
        <v>940</v>
      </c>
      <c r="B2273" s="24"/>
      <c r="C2273" s="138"/>
      <c r="D2273" s="8" t="s">
        <v>482</v>
      </c>
      <c r="E2273" s="8"/>
      <c r="F2273" s="46">
        <v>12</v>
      </c>
    </row>
    <row r="2276" spans="1:6" ht="15">
      <c r="A2276" s="99" t="s">
        <v>455</v>
      </c>
      <c r="B2276" s="99" t="s">
        <v>128</v>
      </c>
      <c r="C2276" s="100" t="s">
        <v>54</v>
      </c>
    </row>
    <row r="2277" spans="1:6" ht="15">
      <c r="A2277" s="24" t="s">
        <v>942</v>
      </c>
      <c r="B2277" s="44" t="s">
        <v>543</v>
      </c>
      <c r="C2277" s="151">
        <v>25</v>
      </c>
    </row>
    <row r="2278" spans="1:6" ht="15">
      <c r="A2278" s="24" t="s">
        <v>942</v>
      </c>
      <c r="B2278" s="44" t="s">
        <v>943</v>
      </c>
      <c r="C2278" s="151">
        <v>25</v>
      </c>
    </row>
    <row r="2279" spans="1:6" ht="15">
      <c r="A2279" s="24" t="s">
        <v>942</v>
      </c>
      <c r="B2279" s="44" t="s">
        <v>944</v>
      </c>
      <c r="C2279" s="151">
        <v>25</v>
      </c>
    </row>
    <row r="2280" spans="1:6" ht="15">
      <c r="A2280" s="24" t="s">
        <v>942</v>
      </c>
      <c r="B2280" s="44" t="s">
        <v>945</v>
      </c>
      <c r="C2280" s="151">
        <v>25</v>
      </c>
    </row>
    <row r="2281" spans="1:6" ht="15">
      <c r="A2281" s="24" t="s">
        <v>942</v>
      </c>
      <c r="B2281" s="44" t="s">
        <v>946</v>
      </c>
      <c r="C2281" s="151">
        <v>25</v>
      </c>
    </row>
    <row r="2282" spans="1:6" ht="15">
      <c r="A2282" s="24"/>
      <c r="B2282" s="184" t="s">
        <v>557</v>
      </c>
      <c r="C2282" s="182" t="s">
        <v>948</v>
      </c>
    </row>
    <row r="2285" spans="1:6" ht="15">
      <c r="A2285" s="99" t="s">
        <v>105</v>
      </c>
      <c r="B2285" s="99" t="s">
        <v>455</v>
      </c>
      <c r="C2285" s="99" t="s">
        <v>128</v>
      </c>
      <c r="D2285" s="101" t="s">
        <v>846</v>
      </c>
    </row>
    <row r="2286" spans="1:6" ht="15">
      <c r="A2286" s="6" t="s">
        <v>941</v>
      </c>
      <c r="B2286" s="24" t="s">
        <v>942</v>
      </c>
      <c r="C2286" s="44" t="s">
        <v>543</v>
      </c>
      <c r="D2286" s="46" t="e">
        <f>#REF!*#REF!</f>
        <v>#REF!</v>
      </c>
    </row>
    <row r="2287" spans="1:6" ht="15">
      <c r="A2287" s="6" t="s">
        <v>941</v>
      </c>
      <c r="B2287" s="24" t="s">
        <v>942</v>
      </c>
      <c r="C2287" s="185" t="s">
        <v>949</v>
      </c>
      <c r="D2287" s="46" t="e">
        <f>#REF!*#REF!</f>
        <v>#REF!</v>
      </c>
    </row>
    <row r="2288" spans="1:6" ht="15">
      <c r="A2288" s="6" t="s">
        <v>941</v>
      </c>
      <c r="B2288" s="24" t="s">
        <v>942</v>
      </c>
      <c r="C2288" s="44" t="s">
        <v>945</v>
      </c>
      <c r="D2288" s="46" t="e">
        <f>#REF!*#REF!</f>
        <v>#REF!</v>
      </c>
    </row>
    <row r="2289" spans="1:6" ht="15">
      <c r="A2289" s="6" t="s">
        <v>941</v>
      </c>
      <c r="B2289" s="24" t="s">
        <v>942</v>
      </c>
      <c r="C2289" s="44" t="s">
        <v>946</v>
      </c>
      <c r="D2289" s="46" t="e">
        <f>#REF!*#REF!</f>
        <v>#REF!</v>
      </c>
    </row>
    <row r="2290" spans="1:6" ht="15">
      <c r="A2290" s="6" t="s">
        <v>941</v>
      </c>
      <c r="B2290" s="24" t="s">
        <v>942</v>
      </c>
      <c r="C2290" s="44" t="s">
        <v>129</v>
      </c>
      <c r="D2290" s="46" t="e">
        <f>#REF!*#REF!</f>
        <v>#REF!</v>
      </c>
    </row>
    <row r="2291" spans="1:6" ht="15">
      <c r="A2291" s="6" t="s">
        <v>941</v>
      </c>
      <c r="B2291" s="24"/>
      <c r="C2291" s="24" t="s">
        <v>947</v>
      </c>
      <c r="D2291" s="46">
        <v>500</v>
      </c>
    </row>
    <row r="2292" spans="1:6" ht="15.75">
      <c r="A2292" s="2817" t="s">
        <v>412</v>
      </c>
      <c r="B2292" s="2818"/>
      <c r="C2292" s="2818"/>
      <c r="D2292" s="163" t="e">
        <f>SUM(D2273:D2291)</f>
        <v>#REF!</v>
      </c>
    </row>
    <row r="2296" spans="1:6" ht="15">
      <c r="A2296" s="99" t="s">
        <v>455</v>
      </c>
      <c r="B2296" s="99" t="s">
        <v>389</v>
      </c>
      <c r="C2296" s="99" t="s">
        <v>128</v>
      </c>
      <c r="D2296" s="100" t="s">
        <v>181</v>
      </c>
      <c r="E2296" s="101" t="s">
        <v>595</v>
      </c>
    </row>
    <row r="2297" spans="1:6" ht="15">
      <c r="A2297" s="24">
        <v>1598</v>
      </c>
      <c r="B2297" s="26" t="s">
        <v>19</v>
      </c>
      <c r="C2297" s="24" t="s">
        <v>952</v>
      </c>
      <c r="D2297" s="67">
        <v>25</v>
      </c>
      <c r="E2297" s="25">
        <v>1.95</v>
      </c>
    </row>
    <row r="2298" spans="1:6" ht="15">
      <c r="A2298" s="24"/>
      <c r="B2298" s="26"/>
      <c r="C2298" s="24" t="s">
        <v>31</v>
      </c>
      <c r="D2298" s="67"/>
      <c r="E2298" s="25">
        <v>12</v>
      </c>
    </row>
    <row r="2300" spans="1:6" ht="15">
      <c r="A2300" s="99" t="s">
        <v>105</v>
      </c>
      <c r="B2300" s="99" t="s">
        <v>455</v>
      </c>
      <c r="C2300" s="99" t="s">
        <v>389</v>
      </c>
      <c r="D2300" s="100" t="s">
        <v>182</v>
      </c>
      <c r="E2300" s="100" t="s">
        <v>181</v>
      </c>
      <c r="F2300" s="101" t="s">
        <v>595</v>
      </c>
    </row>
    <row r="2301" spans="1:6" ht="15">
      <c r="A2301" s="6" t="s">
        <v>953</v>
      </c>
      <c r="B2301" s="24">
        <v>3709</v>
      </c>
      <c r="C2301" s="26">
        <v>25</v>
      </c>
      <c r="D2301" s="41">
        <v>4</v>
      </c>
      <c r="E2301" s="8">
        <v>120</v>
      </c>
      <c r="F2301" s="25">
        <v>0.8</v>
      </c>
    </row>
    <row r="2302" spans="1:6" ht="15">
      <c r="A2302" s="6" t="s">
        <v>953</v>
      </c>
      <c r="B2302" s="24"/>
      <c r="C2302" s="26"/>
      <c r="D2302" s="36">
        <v>1</v>
      </c>
      <c r="E2302" s="67"/>
      <c r="F2302" s="25">
        <v>12</v>
      </c>
    </row>
    <row r="2305" spans="1:5" ht="15">
      <c r="A2305" s="99" t="s">
        <v>105</v>
      </c>
      <c r="B2305" s="99" t="s">
        <v>455</v>
      </c>
      <c r="C2305" s="99" t="s">
        <v>107</v>
      </c>
      <c r="D2305" s="101" t="s">
        <v>595</v>
      </c>
    </row>
    <row r="2306" spans="1:5" ht="15">
      <c r="A2306" s="6" t="s">
        <v>955</v>
      </c>
      <c r="B2306" s="24" t="s">
        <v>536</v>
      </c>
      <c r="C2306" s="150">
        <v>160</v>
      </c>
      <c r="D2306" s="25">
        <v>4.2</v>
      </c>
    </row>
    <row r="2307" spans="1:5" ht="15">
      <c r="A2307" s="6" t="s">
        <v>955</v>
      </c>
      <c r="B2307" s="24" t="s">
        <v>736</v>
      </c>
      <c r="C2307" s="150">
        <v>162</v>
      </c>
      <c r="D2307" s="46">
        <v>3.75</v>
      </c>
    </row>
    <row r="2308" spans="1:5" ht="15">
      <c r="A2308" s="6" t="s">
        <v>955</v>
      </c>
      <c r="B2308" s="24"/>
      <c r="C2308" s="26"/>
      <c r="D2308" s="25">
        <v>20</v>
      </c>
    </row>
    <row r="2311" spans="1:5" ht="15">
      <c r="A2311" s="99" t="s">
        <v>455</v>
      </c>
      <c r="B2311" s="99" t="s">
        <v>107</v>
      </c>
      <c r="C2311" s="99" t="s">
        <v>128</v>
      </c>
      <c r="D2311" s="100" t="s">
        <v>181</v>
      </c>
      <c r="E2311" s="101" t="s">
        <v>595</v>
      </c>
    </row>
    <row r="2312" spans="1:5" ht="15">
      <c r="A2312" s="24" t="s">
        <v>536</v>
      </c>
      <c r="B2312" s="150">
        <v>160</v>
      </c>
      <c r="C2312" s="24" t="s">
        <v>114</v>
      </c>
      <c r="D2312" s="8">
        <v>150</v>
      </c>
      <c r="E2312" s="25">
        <v>4.2</v>
      </c>
    </row>
    <row r="2313" spans="1:5" ht="15">
      <c r="A2313" s="24" t="s">
        <v>536</v>
      </c>
      <c r="B2313" s="150">
        <v>160</v>
      </c>
      <c r="C2313" s="24" t="s">
        <v>597</v>
      </c>
      <c r="D2313" s="8">
        <v>200</v>
      </c>
      <c r="E2313" s="25">
        <v>4.2</v>
      </c>
    </row>
    <row r="2315" spans="1:5" s="7" customFormat="1" ht="18" customHeight="1">
      <c r="A2315" s="99" t="s">
        <v>455</v>
      </c>
      <c r="B2315" s="99" t="s">
        <v>128</v>
      </c>
      <c r="C2315" s="100" t="s">
        <v>2</v>
      </c>
      <c r="D2315" s="101" t="s">
        <v>956</v>
      </c>
    </row>
    <row r="2316" spans="1:5" s="7" customFormat="1" ht="15.95" customHeight="1">
      <c r="A2316" s="24" t="s">
        <v>429</v>
      </c>
      <c r="B2316" s="44" t="s">
        <v>129</v>
      </c>
      <c r="C2316" s="151">
        <v>13.7</v>
      </c>
      <c r="D2316" s="8" t="s">
        <v>957</v>
      </c>
    </row>
    <row r="2319" spans="1:5" ht="15">
      <c r="A2319" s="99" t="s">
        <v>455</v>
      </c>
      <c r="B2319" s="99" t="s">
        <v>128</v>
      </c>
      <c r="C2319" s="100" t="s">
        <v>2</v>
      </c>
    </row>
    <row r="2320" spans="1:5" ht="15">
      <c r="A2320" s="24" t="s">
        <v>536</v>
      </c>
      <c r="B2320" s="24" t="s">
        <v>735</v>
      </c>
      <c r="C2320" s="151">
        <v>50</v>
      </c>
    </row>
    <row r="2321" spans="1:6" ht="15">
      <c r="A2321" s="24" t="s">
        <v>536</v>
      </c>
      <c r="B2321" s="24" t="s">
        <v>860</v>
      </c>
      <c r="C2321" s="151">
        <v>50</v>
      </c>
    </row>
    <row r="2322" spans="1:6" ht="15">
      <c r="A2322" s="24" t="s">
        <v>731</v>
      </c>
      <c r="B2322" s="24" t="s">
        <v>734</v>
      </c>
      <c r="C2322" s="67">
        <v>58</v>
      </c>
    </row>
    <row r="2323" spans="1:6" ht="15">
      <c r="A2323" s="24">
        <v>2440</v>
      </c>
      <c r="B2323" s="24" t="s">
        <v>861</v>
      </c>
      <c r="C2323" s="67">
        <v>58</v>
      </c>
    </row>
    <row r="2324" spans="1:6" ht="15">
      <c r="A2324" s="24">
        <v>2440</v>
      </c>
      <c r="B2324" s="24" t="s">
        <v>864</v>
      </c>
      <c r="C2324" s="67">
        <v>58</v>
      </c>
    </row>
    <row r="2325" spans="1:6" ht="15">
      <c r="A2325" s="24">
        <v>2440</v>
      </c>
      <c r="B2325" s="24" t="s">
        <v>733</v>
      </c>
      <c r="C2325" s="67">
        <v>58</v>
      </c>
    </row>
    <row r="2327" spans="1:6" ht="15">
      <c r="A2327" s="99" t="s">
        <v>455</v>
      </c>
      <c r="B2327" s="99" t="s">
        <v>128</v>
      </c>
      <c r="C2327" s="100" t="s">
        <v>2</v>
      </c>
      <c r="D2327" s="101" t="s">
        <v>595</v>
      </c>
    </row>
    <row r="2328" spans="1:6" ht="15">
      <c r="A2328" s="24" t="s">
        <v>960</v>
      </c>
      <c r="B2328" s="24" t="s">
        <v>78</v>
      </c>
      <c r="C2328" s="151">
        <v>13.7</v>
      </c>
      <c r="D2328" s="25">
        <v>2.17</v>
      </c>
    </row>
    <row r="2329" spans="1:6" ht="15">
      <c r="A2329" s="56"/>
      <c r="B2329" s="24" t="s">
        <v>481</v>
      </c>
      <c r="C2329" s="8"/>
      <c r="D2329" s="46">
        <v>12</v>
      </c>
    </row>
    <row r="2331" spans="1:6" ht="15">
      <c r="A2331" s="99" t="s">
        <v>191</v>
      </c>
      <c r="B2331" s="99" t="s">
        <v>455</v>
      </c>
      <c r="C2331" s="99" t="s">
        <v>389</v>
      </c>
      <c r="D2331" s="100" t="s">
        <v>182</v>
      </c>
      <c r="E2331" s="100" t="s">
        <v>181</v>
      </c>
      <c r="F2331" s="101" t="s">
        <v>595</v>
      </c>
    </row>
    <row r="2332" spans="1:6" ht="15">
      <c r="A2332" s="6" t="s">
        <v>908</v>
      </c>
      <c r="B2332" s="24">
        <v>3705</v>
      </c>
      <c r="C2332" s="26">
        <v>19</v>
      </c>
      <c r="D2332" s="152">
        <v>7</v>
      </c>
      <c r="E2332" s="8">
        <v>210</v>
      </c>
      <c r="F2332" s="46">
        <v>0.42</v>
      </c>
    </row>
    <row r="2333" spans="1:6" ht="15">
      <c r="A2333" s="6" t="s">
        <v>908</v>
      </c>
      <c r="B2333" s="24"/>
      <c r="C2333" s="138"/>
      <c r="D2333" s="8" t="s">
        <v>482</v>
      </c>
      <c r="E2333" s="8"/>
      <c r="F2333" s="46">
        <v>12</v>
      </c>
    </row>
    <row r="2335" spans="1:6" ht="15">
      <c r="A2335" s="99" t="s">
        <v>191</v>
      </c>
      <c r="B2335" s="99" t="s">
        <v>455</v>
      </c>
      <c r="C2335" s="99" t="s">
        <v>128</v>
      </c>
      <c r="D2335" s="100" t="s">
        <v>181</v>
      </c>
      <c r="E2335" s="101" t="s">
        <v>595</v>
      </c>
    </row>
    <row r="2336" spans="1:6" ht="15">
      <c r="A2336" s="6" t="s">
        <v>961</v>
      </c>
      <c r="B2336" s="24" t="s">
        <v>536</v>
      </c>
      <c r="C2336" s="24" t="s">
        <v>735</v>
      </c>
      <c r="D2336" s="8">
        <v>50</v>
      </c>
      <c r="E2336" s="25">
        <v>4.2</v>
      </c>
    </row>
    <row r="2337" spans="1:8" ht="15">
      <c r="A2337" s="6" t="s">
        <v>961</v>
      </c>
      <c r="B2337" s="24" t="s">
        <v>536</v>
      </c>
      <c r="C2337" s="24" t="s">
        <v>860</v>
      </c>
      <c r="D2337" s="8">
        <v>50</v>
      </c>
      <c r="E2337" s="25">
        <v>4.2</v>
      </c>
    </row>
    <row r="2338" spans="1:8" ht="15">
      <c r="A2338" s="6" t="s">
        <v>961</v>
      </c>
      <c r="B2338" s="24" t="s">
        <v>731</v>
      </c>
      <c r="C2338" s="24" t="s">
        <v>734</v>
      </c>
      <c r="D2338" s="8">
        <v>174</v>
      </c>
      <c r="E2338" s="46">
        <v>8.3800000000000008</v>
      </c>
    </row>
    <row r="2339" spans="1:8" ht="15">
      <c r="A2339" s="6" t="s">
        <v>961</v>
      </c>
      <c r="B2339" s="24">
        <v>2440</v>
      </c>
      <c r="C2339" s="24" t="s">
        <v>861</v>
      </c>
      <c r="D2339" s="8">
        <v>116</v>
      </c>
      <c r="E2339" s="46">
        <v>3.1</v>
      </c>
    </row>
    <row r="2340" spans="1:8" ht="15">
      <c r="A2340" s="6" t="s">
        <v>961</v>
      </c>
      <c r="B2340" s="24">
        <v>2440</v>
      </c>
      <c r="C2340" s="24" t="s">
        <v>864</v>
      </c>
      <c r="D2340" s="8">
        <v>116</v>
      </c>
      <c r="E2340" s="46">
        <v>3.1</v>
      </c>
    </row>
    <row r="2341" spans="1:8" ht="15">
      <c r="A2341" s="6" t="s">
        <v>961</v>
      </c>
      <c r="B2341" s="24">
        <v>2440</v>
      </c>
      <c r="C2341" s="24" t="s">
        <v>733</v>
      </c>
      <c r="D2341" s="8">
        <v>174</v>
      </c>
      <c r="E2341" s="46">
        <v>3.1</v>
      </c>
    </row>
    <row r="2344" spans="1:8" ht="15.75">
      <c r="A2344" s="99" t="s">
        <v>455</v>
      </c>
      <c r="B2344" s="99" t="s">
        <v>128</v>
      </c>
      <c r="C2344" s="100" t="s">
        <v>2</v>
      </c>
      <c r="D2344" s="101" t="s">
        <v>595</v>
      </c>
      <c r="E2344" s="90" t="s">
        <v>963</v>
      </c>
    </row>
    <row r="2345" spans="1:8" ht="15.75">
      <c r="A2345" s="24" t="s">
        <v>962</v>
      </c>
      <c r="B2345" s="24" t="s">
        <v>863</v>
      </c>
      <c r="C2345" s="67">
        <v>50</v>
      </c>
      <c r="D2345" s="46">
        <v>13.13</v>
      </c>
      <c r="E2345" s="96" t="s">
        <v>964</v>
      </c>
    </row>
    <row r="2346" spans="1:8" ht="15.75">
      <c r="A2346" s="24" t="s">
        <v>962</v>
      </c>
      <c r="B2346" s="24" t="s">
        <v>512</v>
      </c>
      <c r="C2346" s="67">
        <v>50</v>
      </c>
      <c r="D2346" s="46">
        <v>13.13</v>
      </c>
      <c r="E2346" s="96" t="s">
        <v>771</v>
      </c>
    </row>
    <row r="2347" spans="1:8" ht="15.75">
      <c r="A2347" s="24" t="s">
        <v>962</v>
      </c>
      <c r="B2347" s="24" t="s">
        <v>45</v>
      </c>
      <c r="C2347" s="67">
        <v>50</v>
      </c>
      <c r="D2347" s="46">
        <v>13.13</v>
      </c>
      <c r="E2347" s="96" t="s">
        <v>771</v>
      </c>
    </row>
    <row r="2348" spans="1:8" ht="15.75">
      <c r="A2348" s="24">
        <v>4446</v>
      </c>
      <c r="B2348" s="24" t="s">
        <v>83</v>
      </c>
      <c r="C2348" s="67">
        <v>46</v>
      </c>
      <c r="D2348" s="46">
        <v>10</v>
      </c>
      <c r="E2348" s="96" t="s">
        <v>771</v>
      </c>
    </row>
    <row r="2349" spans="1:8" ht="15.75">
      <c r="A2349" s="24">
        <v>4446</v>
      </c>
      <c r="B2349" s="24" t="s">
        <v>46</v>
      </c>
      <c r="C2349" s="67">
        <v>46</v>
      </c>
      <c r="D2349" s="46">
        <v>10</v>
      </c>
      <c r="E2349" s="96" t="s">
        <v>965</v>
      </c>
    </row>
    <row r="2352" spans="1:8" ht="15.75">
      <c r="A2352" s="99" t="s">
        <v>105</v>
      </c>
      <c r="B2352" s="99" t="s">
        <v>455</v>
      </c>
      <c r="C2352" s="99" t="s">
        <v>52</v>
      </c>
      <c r="D2352" s="100" t="s">
        <v>182</v>
      </c>
      <c r="E2352" s="100" t="s">
        <v>181</v>
      </c>
      <c r="F2352" s="101" t="s">
        <v>595</v>
      </c>
      <c r="G2352" s="17" t="s">
        <v>10</v>
      </c>
      <c r="H2352" s="271"/>
    </row>
    <row r="2353" spans="1:6" ht="15">
      <c r="A2353" s="6" t="s">
        <v>966</v>
      </c>
      <c r="B2353" s="24">
        <v>5311</v>
      </c>
      <c r="C2353" s="26" t="s">
        <v>24</v>
      </c>
      <c r="D2353" s="68">
        <v>7</v>
      </c>
      <c r="E2353" s="67">
        <v>350</v>
      </c>
      <c r="F2353" s="25">
        <v>1.02</v>
      </c>
    </row>
    <row r="2354" spans="1:6" ht="15">
      <c r="A2354" s="6" t="s">
        <v>966</v>
      </c>
      <c r="B2354" s="24">
        <v>5311</v>
      </c>
      <c r="C2354" s="26" t="s">
        <v>24</v>
      </c>
      <c r="D2354" s="68">
        <v>11</v>
      </c>
      <c r="E2354" s="67">
        <v>550</v>
      </c>
      <c r="F2354" s="25">
        <v>1.02</v>
      </c>
    </row>
    <row r="2357" spans="1:6" ht="15">
      <c r="A2357" s="99" t="s">
        <v>105</v>
      </c>
      <c r="B2357" s="99" t="s">
        <v>455</v>
      </c>
      <c r="C2357" s="99" t="s">
        <v>52</v>
      </c>
      <c r="D2357" s="100" t="s">
        <v>182</v>
      </c>
      <c r="E2357" s="100" t="s">
        <v>181</v>
      </c>
      <c r="F2357" s="101" t="s">
        <v>595</v>
      </c>
    </row>
    <row r="2358" spans="1:6" ht="15">
      <c r="A2358" s="33" t="s">
        <v>967</v>
      </c>
      <c r="B2358" s="24">
        <v>5311</v>
      </c>
      <c r="C2358" s="26" t="s">
        <v>24</v>
      </c>
      <c r="D2358" s="68">
        <v>8</v>
      </c>
      <c r="E2358" s="67">
        <v>400</v>
      </c>
      <c r="F2358" s="25">
        <v>1.02</v>
      </c>
    </row>
    <row r="2359" spans="1:6" ht="15">
      <c r="A2359" s="33" t="s">
        <v>967</v>
      </c>
      <c r="B2359" s="24">
        <v>5311</v>
      </c>
      <c r="C2359" s="26" t="s">
        <v>24</v>
      </c>
      <c r="D2359" s="68">
        <v>6</v>
      </c>
      <c r="E2359" s="67">
        <v>300</v>
      </c>
      <c r="F2359" s="25">
        <v>1.02</v>
      </c>
    </row>
    <row r="2362" spans="1:6" ht="15">
      <c r="A2362" s="99" t="s">
        <v>455</v>
      </c>
      <c r="B2362" s="99" t="s">
        <v>128</v>
      </c>
      <c r="C2362" s="100" t="s">
        <v>181</v>
      </c>
    </row>
    <row r="2363" spans="1:6" ht="15">
      <c r="A2363" s="24" t="s">
        <v>962</v>
      </c>
      <c r="B2363" s="24" t="s">
        <v>863</v>
      </c>
      <c r="C2363" s="19">
        <v>12</v>
      </c>
    </row>
    <row r="2364" spans="1:6" ht="15">
      <c r="A2364" s="24" t="s">
        <v>962</v>
      </c>
      <c r="B2364" s="24" t="s">
        <v>512</v>
      </c>
      <c r="C2364" s="251">
        <v>25</v>
      </c>
    </row>
    <row r="2365" spans="1:6" ht="15">
      <c r="A2365" s="24" t="s">
        <v>962</v>
      </c>
      <c r="B2365" s="24" t="s">
        <v>45</v>
      </c>
      <c r="C2365" s="251">
        <v>25</v>
      </c>
    </row>
    <row r="2366" spans="1:6" ht="15">
      <c r="A2366" s="24">
        <v>4446</v>
      </c>
      <c r="B2366" s="24" t="s">
        <v>83</v>
      </c>
      <c r="C2366" s="19">
        <v>47</v>
      </c>
    </row>
    <row r="2367" spans="1:6" ht="15">
      <c r="A2367" s="24"/>
      <c r="B2367" s="24" t="s">
        <v>75</v>
      </c>
      <c r="C2367" s="8" t="s">
        <v>968</v>
      </c>
    </row>
    <row r="2368" spans="1:6" ht="15">
      <c r="A2368" s="24"/>
      <c r="B2368" s="24" t="s">
        <v>31</v>
      </c>
      <c r="C2368" s="8" t="s">
        <v>969</v>
      </c>
    </row>
    <row r="2369" spans="1:3" ht="15">
      <c r="A2369" s="24" t="s">
        <v>962</v>
      </c>
      <c r="B2369" s="24" t="s">
        <v>863</v>
      </c>
      <c r="C2369" s="67">
        <v>50</v>
      </c>
    </row>
    <row r="2370" spans="1:3" ht="15">
      <c r="A2370" s="24">
        <v>4446</v>
      </c>
      <c r="B2370" s="24" t="s">
        <v>46</v>
      </c>
      <c r="C2370" s="67">
        <v>46</v>
      </c>
    </row>
    <row r="2375" spans="1:3" ht="15">
      <c r="A2375" s="99" t="s">
        <v>455</v>
      </c>
      <c r="B2375" s="99" t="s">
        <v>128</v>
      </c>
      <c r="C2375" s="100" t="s">
        <v>181</v>
      </c>
    </row>
    <row r="2376" spans="1:3" ht="15">
      <c r="A2376" s="24" t="s">
        <v>829</v>
      </c>
      <c r="B2376" s="24" t="s">
        <v>838</v>
      </c>
      <c r="C2376" s="67">
        <v>790</v>
      </c>
    </row>
    <row r="2377" spans="1:3" ht="15">
      <c r="A2377" s="24" t="s">
        <v>829</v>
      </c>
      <c r="B2377" s="24" t="s">
        <v>762</v>
      </c>
      <c r="C2377" s="67">
        <v>75</v>
      </c>
    </row>
    <row r="2378" spans="1:3" ht="15">
      <c r="A2378" s="24" t="s">
        <v>829</v>
      </c>
      <c r="B2378" s="95" t="s">
        <v>547</v>
      </c>
      <c r="C2378" s="67">
        <v>85</v>
      </c>
    </row>
    <row r="2379" spans="1:3" ht="15">
      <c r="A2379" s="24" t="s">
        <v>829</v>
      </c>
      <c r="B2379" s="24" t="s">
        <v>828</v>
      </c>
      <c r="C2379" s="67">
        <v>60</v>
      </c>
    </row>
    <row r="2380" spans="1:3" ht="15">
      <c r="A2380" s="24" t="s">
        <v>829</v>
      </c>
      <c r="B2380" s="24" t="s">
        <v>129</v>
      </c>
      <c r="C2380" s="67">
        <v>92</v>
      </c>
    </row>
    <row r="2381" spans="1:3" ht="15">
      <c r="A2381" s="24" t="s">
        <v>830</v>
      </c>
      <c r="B2381" s="24" t="s">
        <v>838</v>
      </c>
      <c r="C2381" s="67">
        <v>1015</v>
      </c>
    </row>
    <row r="2382" spans="1:3" ht="15">
      <c r="A2382" s="24" t="s">
        <v>830</v>
      </c>
      <c r="B2382" s="95" t="s">
        <v>547</v>
      </c>
      <c r="C2382" s="67">
        <v>110</v>
      </c>
    </row>
    <row r="2383" spans="1:3" ht="15">
      <c r="A2383" s="24" t="s">
        <v>830</v>
      </c>
      <c r="B2383" s="24" t="s">
        <v>828</v>
      </c>
      <c r="C2383" s="67">
        <v>51</v>
      </c>
    </row>
    <row r="2384" spans="1:3" ht="15">
      <c r="A2384" s="24" t="s">
        <v>830</v>
      </c>
      <c r="B2384" s="24" t="s">
        <v>129</v>
      </c>
      <c r="C2384" s="67">
        <v>46</v>
      </c>
    </row>
    <row r="2385" spans="1:3" ht="15">
      <c r="A2385" s="24"/>
      <c r="B2385" s="24" t="s">
        <v>971</v>
      </c>
      <c r="C2385" s="8" t="s">
        <v>86</v>
      </c>
    </row>
    <row r="2386" spans="1:3" ht="15">
      <c r="A2386" s="56"/>
      <c r="B2386" s="24" t="s">
        <v>972</v>
      </c>
      <c r="C2386" s="8" t="s">
        <v>146</v>
      </c>
    </row>
    <row r="2389" spans="1:3" ht="15">
      <c r="A2389" s="99" t="s">
        <v>105</v>
      </c>
      <c r="B2389" s="99" t="s">
        <v>455</v>
      </c>
      <c r="C2389" s="99" t="s">
        <v>128</v>
      </c>
    </row>
    <row r="2390" spans="1:3" ht="15">
      <c r="A2390" s="6" t="s">
        <v>970</v>
      </c>
      <c r="B2390" s="24" t="s">
        <v>829</v>
      </c>
      <c r="C2390" s="24" t="s">
        <v>838</v>
      </c>
    </row>
    <row r="2391" spans="1:3" ht="15">
      <c r="A2391" s="6" t="s">
        <v>970</v>
      </c>
      <c r="B2391" s="24" t="s">
        <v>829</v>
      </c>
      <c r="C2391" s="24" t="s">
        <v>762</v>
      </c>
    </row>
    <row r="2392" spans="1:3" ht="15">
      <c r="A2392" s="6" t="s">
        <v>970</v>
      </c>
      <c r="B2392" s="24" t="s">
        <v>829</v>
      </c>
      <c r="C2392" s="24" t="s">
        <v>547</v>
      </c>
    </row>
    <row r="2393" spans="1:3" ht="15">
      <c r="A2393" s="6" t="s">
        <v>970</v>
      </c>
      <c r="B2393" s="24" t="s">
        <v>829</v>
      </c>
      <c r="C2393" s="24" t="s">
        <v>828</v>
      </c>
    </row>
    <row r="2394" spans="1:3" ht="15">
      <c r="A2394" s="6" t="s">
        <v>970</v>
      </c>
      <c r="B2394" s="24" t="s">
        <v>829</v>
      </c>
      <c r="C2394" s="24" t="s">
        <v>129</v>
      </c>
    </row>
    <row r="2395" spans="1:3" ht="15">
      <c r="A2395" s="6" t="s">
        <v>970</v>
      </c>
      <c r="B2395" s="24" t="s">
        <v>830</v>
      </c>
      <c r="C2395" s="24" t="s">
        <v>838</v>
      </c>
    </row>
    <row r="2396" spans="1:3" ht="15">
      <c r="A2396" s="6" t="s">
        <v>970</v>
      </c>
      <c r="B2396" s="24" t="s">
        <v>830</v>
      </c>
      <c r="C2396" s="24" t="s">
        <v>547</v>
      </c>
    </row>
    <row r="2397" spans="1:3" ht="15">
      <c r="A2397" s="6" t="s">
        <v>970</v>
      </c>
      <c r="B2397" s="24" t="s">
        <v>830</v>
      </c>
      <c r="C2397" s="24" t="s">
        <v>828</v>
      </c>
    </row>
    <row r="2398" spans="1:3" ht="15">
      <c r="A2398" s="6" t="s">
        <v>970</v>
      </c>
      <c r="B2398" s="24" t="s">
        <v>830</v>
      </c>
      <c r="C2398" s="24" t="s">
        <v>129</v>
      </c>
    </row>
    <row r="2401" spans="1:5" ht="15">
      <c r="A2401" s="99" t="s">
        <v>455</v>
      </c>
      <c r="B2401" s="99" t="s">
        <v>389</v>
      </c>
      <c r="C2401" s="99" t="s">
        <v>128</v>
      </c>
      <c r="D2401" s="100" t="s">
        <v>181</v>
      </c>
      <c r="E2401" s="101" t="s">
        <v>595</v>
      </c>
    </row>
    <row r="2402" spans="1:5" ht="15">
      <c r="A2402" s="95">
        <v>12710</v>
      </c>
      <c r="B2402" s="26">
        <v>24</v>
      </c>
      <c r="C2402" s="24" t="s">
        <v>611</v>
      </c>
      <c r="D2402" s="67">
        <v>10</v>
      </c>
      <c r="E2402" s="25">
        <v>3.21</v>
      </c>
    </row>
    <row r="2403" spans="1:5" ht="15">
      <c r="A2403" s="24"/>
      <c r="B2403" s="138"/>
      <c r="C2403" s="24" t="s">
        <v>31</v>
      </c>
      <c r="D2403" s="8"/>
      <c r="E2403" s="46">
        <v>12</v>
      </c>
    </row>
    <row r="2405" spans="1:5" ht="15">
      <c r="A2405" s="99" t="s">
        <v>455</v>
      </c>
      <c r="B2405" s="99" t="s">
        <v>389</v>
      </c>
      <c r="C2405" s="100" t="s">
        <v>980</v>
      </c>
    </row>
    <row r="2406" spans="1:5" ht="15">
      <c r="A2406" s="24">
        <v>3705</v>
      </c>
      <c r="B2406" s="26">
        <v>25</v>
      </c>
      <c r="C2406" s="258" t="s">
        <v>981</v>
      </c>
    </row>
    <row r="2408" spans="1:5" ht="15">
      <c r="A2408" s="99" t="s">
        <v>105</v>
      </c>
      <c r="B2408" s="99" t="s">
        <v>455</v>
      </c>
      <c r="C2408" s="99" t="s">
        <v>128</v>
      </c>
      <c r="D2408" s="100" t="s">
        <v>181</v>
      </c>
      <c r="E2408" s="101" t="s">
        <v>595</v>
      </c>
    </row>
    <row r="2409" spans="1:5" ht="15">
      <c r="A2409" s="33" t="s">
        <v>978</v>
      </c>
      <c r="B2409" s="56" t="s">
        <v>979</v>
      </c>
      <c r="C2409" s="24" t="s">
        <v>982</v>
      </c>
      <c r="D2409" s="67">
        <v>58</v>
      </c>
      <c r="E2409" s="25">
        <v>10.98</v>
      </c>
    </row>
    <row r="2410" spans="1:5" ht="15">
      <c r="A2410" s="33" t="s">
        <v>978</v>
      </c>
      <c r="B2410" s="24"/>
      <c r="C2410" s="24" t="s">
        <v>31</v>
      </c>
      <c r="D2410" s="67"/>
      <c r="E2410" s="25">
        <v>20</v>
      </c>
    </row>
    <row r="2413" spans="1:5" ht="15">
      <c r="A2413" s="99" t="s">
        <v>455</v>
      </c>
      <c r="B2413" s="99" t="s">
        <v>128</v>
      </c>
      <c r="C2413" s="100" t="s">
        <v>2</v>
      </c>
      <c r="D2413" s="101" t="s">
        <v>595</v>
      </c>
    </row>
    <row r="2414" spans="1:5" ht="15">
      <c r="A2414" s="24" t="s">
        <v>765</v>
      </c>
      <c r="B2414" s="44" t="s">
        <v>353</v>
      </c>
      <c r="C2414" s="151">
        <v>50</v>
      </c>
      <c r="D2414" s="46">
        <v>0.24</v>
      </c>
    </row>
    <row r="2415" spans="1:5" ht="15">
      <c r="A2415" s="56"/>
      <c r="B2415" s="24" t="s">
        <v>481</v>
      </c>
      <c r="C2415" s="36"/>
      <c r="D2415" s="25">
        <v>12</v>
      </c>
    </row>
    <row r="2418" spans="1:6" ht="15">
      <c r="A2418" s="99" t="s">
        <v>455</v>
      </c>
      <c r="B2418" s="99" t="s">
        <v>389</v>
      </c>
      <c r="C2418" s="99" t="s">
        <v>128</v>
      </c>
      <c r="D2418" s="100" t="s">
        <v>181</v>
      </c>
      <c r="E2418" s="101" t="s">
        <v>595</v>
      </c>
    </row>
    <row r="2419" spans="1:6" ht="15">
      <c r="A2419" s="24">
        <v>14552</v>
      </c>
      <c r="B2419" s="26">
        <v>10</v>
      </c>
      <c r="C2419" s="24" t="s">
        <v>614</v>
      </c>
      <c r="D2419" s="67">
        <v>30</v>
      </c>
      <c r="E2419" s="25">
        <v>0.52</v>
      </c>
    </row>
    <row r="2420" spans="1:6" ht="15">
      <c r="A2420" s="24"/>
      <c r="B2420" s="138"/>
      <c r="C2420" s="24" t="s">
        <v>481</v>
      </c>
      <c r="D2420" s="8"/>
      <c r="E2420" s="46">
        <v>12</v>
      </c>
    </row>
    <row r="2423" spans="1:6" ht="15">
      <c r="A2423" s="99" t="s">
        <v>455</v>
      </c>
      <c r="B2423" s="99" t="s">
        <v>389</v>
      </c>
      <c r="C2423" s="99" t="s">
        <v>128</v>
      </c>
      <c r="D2423" s="100" t="s">
        <v>181</v>
      </c>
      <c r="E2423" s="101" t="s">
        <v>595</v>
      </c>
      <c r="F2423" s="101" t="s">
        <v>986</v>
      </c>
    </row>
    <row r="2424" spans="1:6" ht="15.75">
      <c r="A2424" s="24">
        <v>3705</v>
      </c>
      <c r="B2424" s="26">
        <v>19</v>
      </c>
      <c r="C2424" s="24" t="s">
        <v>911</v>
      </c>
      <c r="D2424" s="8">
        <v>90</v>
      </c>
      <c r="E2424" s="46">
        <v>0.42</v>
      </c>
      <c r="F2424" s="96" t="s">
        <v>879</v>
      </c>
    </row>
    <row r="2425" spans="1:6" ht="15.75">
      <c r="A2425" s="24">
        <v>3705</v>
      </c>
      <c r="B2425" s="26">
        <v>19</v>
      </c>
      <c r="C2425" s="24" t="s">
        <v>912</v>
      </c>
      <c r="D2425" s="8">
        <v>90</v>
      </c>
      <c r="E2425" s="46">
        <v>0.42</v>
      </c>
      <c r="F2425" s="96" t="s">
        <v>879</v>
      </c>
    </row>
    <row r="2426" spans="1:6" ht="15.75">
      <c r="A2426" s="24">
        <v>3705</v>
      </c>
      <c r="B2426" s="26">
        <v>19</v>
      </c>
      <c r="C2426" s="24" t="s">
        <v>913</v>
      </c>
      <c r="D2426" s="8">
        <v>210</v>
      </c>
      <c r="E2426" s="46">
        <v>0.42</v>
      </c>
      <c r="F2426" s="96" t="s">
        <v>987</v>
      </c>
    </row>
    <row r="2427" spans="1:6" ht="15.75">
      <c r="A2427" s="24"/>
      <c r="B2427" s="138"/>
      <c r="C2427" s="24" t="s">
        <v>481</v>
      </c>
      <c r="D2427" s="8"/>
      <c r="E2427" s="46">
        <v>12</v>
      </c>
      <c r="F2427" s="96"/>
    </row>
    <row r="2431" spans="1:6" ht="15">
      <c r="A2431" s="99" t="s">
        <v>455</v>
      </c>
      <c r="B2431" s="99" t="s">
        <v>389</v>
      </c>
      <c r="C2431" s="99" t="s">
        <v>128</v>
      </c>
    </row>
    <row r="2432" spans="1:6" ht="15">
      <c r="A2432" s="24">
        <v>4144</v>
      </c>
      <c r="B2432" s="44">
        <v>9</v>
      </c>
      <c r="C2432" s="24" t="s">
        <v>991</v>
      </c>
    </row>
    <row r="2433" spans="1:5" ht="15">
      <c r="A2433" s="24">
        <v>4144</v>
      </c>
      <c r="B2433" s="44">
        <v>12</v>
      </c>
      <c r="C2433" s="24" t="s">
        <v>991</v>
      </c>
    </row>
    <row r="2434" spans="1:5" ht="15">
      <c r="A2434" s="24">
        <v>4144</v>
      </c>
      <c r="B2434" s="44">
        <v>9</v>
      </c>
      <c r="C2434" s="24" t="s">
        <v>992</v>
      </c>
    </row>
    <row r="2435" spans="1:5" ht="15">
      <c r="A2435" s="24">
        <v>4144</v>
      </c>
      <c r="B2435" s="44">
        <v>12</v>
      </c>
      <c r="C2435" s="24" t="s">
        <v>992</v>
      </c>
    </row>
    <row r="2436" spans="1:5" ht="15">
      <c r="A2436" s="24">
        <v>5311</v>
      </c>
      <c r="B2436" s="26" t="s">
        <v>25</v>
      </c>
      <c r="C2436" s="24" t="s">
        <v>993</v>
      </c>
    </row>
    <row r="2437" spans="1:5" ht="15">
      <c r="A2437" s="24">
        <v>5311</v>
      </c>
      <c r="B2437" s="26" t="s">
        <v>24</v>
      </c>
      <c r="C2437" s="24" t="s">
        <v>994</v>
      </c>
    </row>
    <row r="2438" spans="1:5" ht="15">
      <c r="A2438" s="24">
        <v>5311</v>
      </c>
      <c r="B2438" s="26" t="s">
        <v>356</v>
      </c>
      <c r="C2438" s="24" t="s">
        <v>995</v>
      </c>
    </row>
    <row r="2442" spans="1:5" ht="15">
      <c r="A2442" s="99" t="s">
        <v>455</v>
      </c>
      <c r="B2442" s="99" t="s">
        <v>389</v>
      </c>
      <c r="C2442" s="99" t="s">
        <v>128</v>
      </c>
      <c r="D2442" s="100" t="s">
        <v>181</v>
      </c>
      <c r="E2442" s="101" t="s">
        <v>595</v>
      </c>
    </row>
    <row r="2443" spans="1:5" ht="15">
      <c r="A2443" s="24" t="s">
        <v>988</v>
      </c>
      <c r="B2443" s="44">
        <v>24</v>
      </c>
      <c r="C2443" s="24" t="s">
        <v>989</v>
      </c>
      <c r="D2443" s="67">
        <v>28</v>
      </c>
      <c r="E2443" s="46">
        <v>1.1399999999999999</v>
      </c>
    </row>
    <row r="2444" spans="1:5" ht="15">
      <c r="A2444" s="20"/>
      <c r="B2444" s="44"/>
      <c r="C2444" s="24"/>
      <c r="D2444" s="151"/>
      <c r="E2444" s="153"/>
    </row>
    <row r="2445" spans="1:5" ht="15">
      <c r="A2445" s="24">
        <v>4144</v>
      </c>
      <c r="B2445" s="44">
        <v>9</v>
      </c>
      <c r="C2445" s="24" t="s">
        <v>991</v>
      </c>
      <c r="D2445" s="67">
        <v>20</v>
      </c>
      <c r="E2445" s="46">
        <v>1.4</v>
      </c>
    </row>
    <row r="2446" spans="1:5" ht="15">
      <c r="A2446" s="24">
        <v>4144</v>
      </c>
      <c r="B2446" s="44">
        <v>12</v>
      </c>
      <c r="C2446" s="24" t="s">
        <v>991</v>
      </c>
      <c r="D2446" s="67">
        <v>20</v>
      </c>
      <c r="E2446" s="46">
        <v>1.5</v>
      </c>
    </row>
    <row r="2447" spans="1:5" ht="15">
      <c r="A2447" s="24">
        <v>4144</v>
      </c>
      <c r="B2447" s="44">
        <v>9</v>
      </c>
      <c r="C2447" s="24" t="s">
        <v>992</v>
      </c>
      <c r="D2447" s="67">
        <v>20</v>
      </c>
      <c r="E2447" s="46">
        <v>1.4</v>
      </c>
    </row>
    <row r="2448" spans="1:5" ht="15">
      <c r="A2448" s="24">
        <v>4144</v>
      </c>
      <c r="B2448" s="44">
        <v>12</v>
      </c>
      <c r="C2448" s="24" t="s">
        <v>992</v>
      </c>
      <c r="D2448" s="67">
        <v>20</v>
      </c>
      <c r="E2448" s="46">
        <v>1.5</v>
      </c>
    </row>
    <row r="2449" spans="1:5" ht="15">
      <c r="A2449" s="20"/>
      <c r="B2449" s="26"/>
      <c r="C2449" s="24"/>
      <c r="D2449" s="67"/>
      <c r="E2449" s="17"/>
    </row>
    <row r="2450" spans="1:5" ht="15">
      <c r="A2450" s="24">
        <v>5311</v>
      </c>
      <c r="B2450" s="26" t="s">
        <v>25</v>
      </c>
      <c r="C2450" s="24" t="s">
        <v>993</v>
      </c>
      <c r="D2450" s="67">
        <v>50</v>
      </c>
      <c r="E2450" s="46">
        <v>0.9</v>
      </c>
    </row>
    <row r="2451" spans="1:5" ht="15">
      <c r="A2451" s="24">
        <v>5311</v>
      </c>
      <c r="B2451" s="26" t="s">
        <v>24</v>
      </c>
      <c r="C2451" s="24" t="s">
        <v>994</v>
      </c>
      <c r="D2451" s="67">
        <v>50</v>
      </c>
      <c r="E2451" s="46">
        <v>1.02</v>
      </c>
    </row>
    <row r="2452" spans="1:5" ht="15">
      <c r="A2452" s="24">
        <v>5311</v>
      </c>
      <c r="B2452" s="26" t="s">
        <v>356</v>
      </c>
      <c r="C2452" s="24" t="s">
        <v>995</v>
      </c>
      <c r="D2452" s="67">
        <v>50</v>
      </c>
      <c r="E2452" s="46">
        <v>1.55</v>
      </c>
    </row>
    <row r="2453" spans="1:5" ht="15">
      <c r="A2453" s="20"/>
      <c r="B2453" s="26"/>
      <c r="C2453" s="24"/>
      <c r="D2453" s="67"/>
      <c r="E2453" s="17"/>
    </row>
    <row r="2454" spans="1:5" ht="15">
      <c r="A2454" s="24">
        <v>8003</v>
      </c>
      <c r="B2454" s="26"/>
      <c r="C2454" s="24" t="s">
        <v>997</v>
      </c>
      <c r="D2454" s="67">
        <v>20</v>
      </c>
      <c r="E2454" s="46">
        <v>0.92</v>
      </c>
    </row>
    <row r="2455" spans="1:5" ht="15">
      <c r="A2455" s="24">
        <v>8003</v>
      </c>
      <c r="B2455" s="26"/>
      <c r="C2455" s="24" t="s">
        <v>998</v>
      </c>
      <c r="D2455" s="67">
        <v>20</v>
      </c>
      <c r="E2455" s="46">
        <v>0.92</v>
      </c>
    </row>
    <row r="2456" spans="1:5" ht="15">
      <c r="A2456" s="24">
        <v>8003</v>
      </c>
      <c r="B2456" s="26"/>
      <c r="C2456" s="24" t="s">
        <v>999</v>
      </c>
      <c r="D2456" s="67">
        <v>20</v>
      </c>
      <c r="E2456" s="46">
        <v>0.92</v>
      </c>
    </row>
    <row r="2457" spans="1:5" ht="15">
      <c r="A2457" s="24">
        <v>8003</v>
      </c>
      <c r="B2457" s="26"/>
      <c r="C2457" s="24" t="s">
        <v>1000</v>
      </c>
      <c r="D2457" s="67">
        <v>20</v>
      </c>
      <c r="E2457" s="46">
        <v>0.92</v>
      </c>
    </row>
    <row r="2458" spans="1:5" ht="15">
      <c r="A2458" s="20"/>
      <c r="B2458" s="26"/>
      <c r="C2458" s="24"/>
      <c r="D2458" s="67"/>
      <c r="E2458" s="17"/>
    </row>
    <row r="2459" spans="1:5" ht="15">
      <c r="A2459" s="24">
        <v>8032</v>
      </c>
      <c r="B2459" s="26">
        <v>15</v>
      </c>
      <c r="C2459" s="24" t="s">
        <v>1001</v>
      </c>
      <c r="D2459" s="67">
        <v>20</v>
      </c>
      <c r="E2459" s="46">
        <v>1.34</v>
      </c>
    </row>
    <row r="2460" spans="1:5" ht="15">
      <c r="A2460" s="24">
        <v>8032</v>
      </c>
      <c r="B2460" s="26">
        <v>15</v>
      </c>
      <c r="C2460" s="24" t="s">
        <v>1002</v>
      </c>
      <c r="D2460" s="67">
        <v>20</v>
      </c>
      <c r="E2460" s="46">
        <v>1.34</v>
      </c>
    </row>
    <row r="2461" spans="1:5" ht="15">
      <c r="A2461" s="24">
        <v>8032</v>
      </c>
      <c r="B2461" s="26">
        <v>15</v>
      </c>
      <c r="C2461" s="24" t="s">
        <v>993</v>
      </c>
      <c r="D2461" s="67">
        <v>20</v>
      </c>
      <c r="E2461" s="46">
        <v>1.34</v>
      </c>
    </row>
    <row r="2462" spans="1:5" ht="15">
      <c r="A2462" s="20"/>
      <c r="B2462" s="24"/>
      <c r="C2462" s="44"/>
      <c r="D2462" s="151"/>
      <c r="E2462" s="153"/>
    </row>
    <row r="2463" spans="1:5" ht="15">
      <c r="A2463" s="24" t="s">
        <v>1004</v>
      </c>
      <c r="B2463" s="44"/>
      <c r="C2463" s="44" t="s">
        <v>129</v>
      </c>
      <c r="D2463" s="67">
        <v>14</v>
      </c>
      <c r="E2463" s="46">
        <v>1.35</v>
      </c>
    </row>
    <row r="2464" spans="1:5" ht="15">
      <c r="A2464" s="24" t="s">
        <v>1005</v>
      </c>
      <c r="B2464" s="44"/>
      <c r="C2464" s="44" t="s">
        <v>129</v>
      </c>
      <c r="D2464" s="67">
        <v>14</v>
      </c>
      <c r="E2464" s="46">
        <v>1.39</v>
      </c>
    </row>
    <row r="2465" spans="1:5" ht="15">
      <c r="A2465" s="24" t="s">
        <v>1006</v>
      </c>
      <c r="B2465" s="44"/>
      <c r="C2465" s="44" t="s">
        <v>129</v>
      </c>
      <c r="D2465" s="67">
        <v>14</v>
      </c>
      <c r="E2465" s="46">
        <v>3.1</v>
      </c>
    </row>
    <row r="2466" spans="1:5" ht="15">
      <c r="A2466" s="24"/>
      <c r="B2466" s="138"/>
      <c r="C2466" s="24" t="s">
        <v>31</v>
      </c>
      <c r="D2466" s="8"/>
      <c r="E2466" s="46">
        <v>48</v>
      </c>
    </row>
    <row r="2470" spans="1:5" ht="15">
      <c r="A2470" s="99" t="s">
        <v>455</v>
      </c>
      <c r="B2470" s="99" t="s">
        <v>128</v>
      </c>
      <c r="C2470" s="100" t="s">
        <v>2</v>
      </c>
      <c r="D2470" s="108" t="s">
        <v>754</v>
      </c>
    </row>
    <row r="2471" spans="1:5" ht="15">
      <c r="A2471" s="24">
        <v>2440</v>
      </c>
      <c r="B2471" s="24" t="s">
        <v>114</v>
      </c>
      <c r="C2471" s="67">
        <v>58</v>
      </c>
      <c r="D2471" s="67"/>
    </row>
    <row r="2472" spans="1:5" ht="15">
      <c r="A2472" s="24">
        <v>2440</v>
      </c>
      <c r="B2472" s="24" t="s">
        <v>864</v>
      </c>
      <c r="C2472" s="67">
        <v>58</v>
      </c>
      <c r="D2472" s="67"/>
    </row>
    <row r="2473" spans="1:5" ht="15">
      <c r="A2473" s="24">
        <v>2440</v>
      </c>
      <c r="B2473" s="24" t="s">
        <v>884</v>
      </c>
      <c r="C2473" s="67">
        <v>58</v>
      </c>
      <c r="D2473" s="67"/>
    </row>
    <row r="2474" spans="1:5" ht="15">
      <c r="A2474" s="24">
        <v>2440</v>
      </c>
      <c r="B2474" s="24" t="s">
        <v>631</v>
      </c>
      <c r="C2474" s="67">
        <v>58</v>
      </c>
      <c r="D2474" s="67"/>
    </row>
    <row r="2475" spans="1:5" ht="15">
      <c r="A2475" s="24">
        <v>2440</v>
      </c>
      <c r="B2475" s="24" t="s">
        <v>1007</v>
      </c>
      <c r="C2475" s="67">
        <v>58</v>
      </c>
      <c r="D2475" s="67"/>
    </row>
    <row r="2476" spans="1:5" ht="15">
      <c r="A2476" s="24">
        <v>2440</v>
      </c>
      <c r="B2476" s="24" t="s">
        <v>1008</v>
      </c>
      <c r="C2476" s="67">
        <v>58</v>
      </c>
      <c r="D2476" s="67"/>
    </row>
    <row r="2477" spans="1:5" ht="15">
      <c r="A2477" s="24">
        <v>2440</v>
      </c>
      <c r="B2477" s="24" t="s">
        <v>1009</v>
      </c>
      <c r="C2477" s="67">
        <v>58</v>
      </c>
      <c r="D2477" s="67"/>
    </row>
    <row r="2478" spans="1:5" ht="15">
      <c r="A2478" s="24">
        <v>2440</v>
      </c>
      <c r="B2478" s="24" t="s">
        <v>885</v>
      </c>
      <c r="C2478" s="67">
        <v>58</v>
      </c>
      <c r="D2478" s="67"/>
    </row>
    <row r="2479" spans="1:5" ht="15">
      <c r="A2479" s="20"/>
      <c r="B2479" s="24"/>
      <c r="C2479" s="151"/>
      <c r="D2479" s="67"/>
    </row>
    <row r="2480" spans="1:5" ht="15">
      <c r="A2480" s="24" t="s">
        <v>536</v>
      </c>
      <c r="B2480" s="24" t="s">
        <v>752</v>
      </c>
      <c r="C2480" s="151">
        <v>50</v>
      </c>
      <c r="D2480" s="67"/>
    </row>
    <row r="2481" spans="1:4" ht="15">
      <c r="A2481" s="24" t="s">
        <v>536</v>
      </c>
      <c r="B2481" s="24" t="s">
        <v>619</v>
      </c>
      <c r="C2481" s="151">
        <v>50</v>
      </c>
      <c r="D2481" s="67"/>
    </row>
    <row r="2485" spans="1:4" ht="15">
      <c r="A2485" s="99" t="s">
        <v>455</v>
      </c>
      <c r="B2485" s="99" t="s">
        <v>128</v>
      </c>
      <c r="C2485" s="100" t="s">
        <v>2</v>
      </c>
      <c r="D2485" s="108" t="s">
        <v>754</v>
      </c>
    </row>
    <row r="2486" spans="1:4" ht="15">
      <c r="A2486" s="95" t="s">
        <v>536</v>
      </c>
      <c r="B2486" s="24" t="s">
        <v>873</v>
      </c>
      <c r="C2486" s="151">
        <v>50</v>
      </c>
      <c r="D2486" s="236"/>
    </row>
    <row r="2487" spans="1:4" ht="15">
      <c r="A2487" s="95" t="s">
        <v>731</v>
      </c>
      <c r="B2487" s="24" t="s">
        <v>874</v>
      </c>
      <c r="C2487" s="67">
        <v>58</v>
      </c>
      <c r="D2487" s="259" t="s">
        <v>1012</v>
      </c>
    </row>
    <row r="2488" spans="1:4" ht="15">
      <c r="A2488" s="95">
        <v>2440</v>
      </c>
      <c r="B2488" s="24" t="s">
        <v>859</v>
      </c>
      <c r="C2488" s="67">
        <v>58</v>
      </c>
      <c r="D2488" s="259" t="s">
        <v>1012</v>
      </c>
    </row>
    <row r="2492" spans="1:4" ht="15">
      <c r="A2492" s="99" t="s">
        <v>105</v>
      </c>
      <c r="B2492" s="99" t="s">
        <v>455</v>
      </c>
      <c r="C2492" s="99" t="s">
        <v>128</v>
      </c>
    </row>
    <row r="2493" spans="1:4" ht="15">
      <c r="A2493" s="6" t="s">
        <v>1013</v>
      </c>
      <c r="B2493" s="24" t="s">
        <v>536</v>
      </c>
      <c r="C2493" s="24" t="s">
        <v>873</v>
      </c>
    </row>
    <row r="2494" spans="1:4" ht="15">
      <c r="A2494" s="6" t="s">
        <v>1013</v>
      </c>
      <c r="B2494" s="24" t="s">
        <v>731</v>
      </c>
      <c r="C2494" s="24" t="s">
        <v>874</v>
      </c>
    </row>
    <row r="2495" spans="1:4" ht="15">
      <c r="A2495" s="6" t="s">
        <v>1013</v>
      </c>
      <c r="B2495" s="24">
        <v>2440</v>
      </c>
      <c r="C2495" s="24" t="s">
        <v>859</v>
      </c>
    </row>
    <row r="2498" spans="1:4" ht="15">
      <c r="A2498" s="99" t="s">
        <v>455</v>
      </c>
      <c r="B2498" s="99" t="s">
        <v>128</v>
      </c>
      <c r="C2498" s="100" t="s">
        <v>2</v>
      </c>
      <c r="D2498" s="101" t="s">
        <v>595</v>
      </c>
    </row>
    <row r="2499" spans="1:4" ht="15">
      <c r="A2499" s="24">
        <v>5358</v>
      </c>
      <c r="B2499" s="24" t="s">
        <v>1010</v>
      </c>
      <c r="C2499" s="67">
        <v>30</v>
      </c>
      <c r="D2499" s="46">
        <v>1.05</v>
      </c>
    </row>
    <row r="2500" spans="1:4" ht="15">
      <c r="A2500" s="24">
        <v>5358</v>
      </c>
      <c r="B2500" s="24" t="s">
        <v>101</v>
      </c>
      <c r="C2500" s="67">
        <v>30</v>
      </c>
      <c r="D2500" s="46">
        <v>1.05</v>
      </c>
    </row>
    <row r="2501" spans="1:4" ht="15">
      <c r="A2501" s="24">
        <v>5358</v>
      </c>
      <c r="B2501" s="24" t="s">
        <v>1011</v>
      </c>
      <c r="C2501" s="67">
        <v>30</v>
      </c>
      <c r="D2501" s="46">
        <v>1.05</v>
      </c>
    </row>
    <row r="2502" spans="1:4" ht="15">
      <c r="A2502" s="24">
        <v>5358</v>
      </c>
      <c r="B2502" s="24" t="s">
        <v>171</v>
      </c>
      <c r="C2502" s="67">
        <v>30</v>
      </c>
      <c r="D2502" s="46">
        <v>1.05</v>
      </c>
    </row>
    <row r="2503" spans="1:4" ht="15">
      <c r="A2503" s="24">
        <v>5358</v>
      </c>
      <c r="B2503" s="24" t="s">
        <v>103</v>
      </c>
      <c r="C2503" s="67">
        <v>30</v>
      </c>
      <c r="D2503" s="46">
        <v>1.05</v>
      </c>
    </row>
    <row r="2504" spans="1:4" ht="15">
      <c r="A2504" s="24"/>
      <c r="B2504" s="24" t="s">
        <v>481</v>
      </c>
      <c r="C2504" s="8"/>
      <c r="D2504" s="46">
        <v>12</v>
      </c>
    </row>
    <row r="2508" spans="1:4" ht="15">
      <c r="A2508" s="99" t="s">
        <v>455</v>
      </c>
      <c r="B2508" s="99" t="s">
        <v>128</v>
      </c>
      <c r="C2508" s="100" t="s">
        <v>2</v>
      </c>
      <c r="D2508" s="100" t="s">
        <v>956</v>
      </c>
    </row>
    <row r="2509" spans="1:4" ht="15">
      <c r="A2509" s="24" t="s">
        <v>984</v>
      </c>
      <c r="B2509" s="24" t="s">
        <v>1014</v>
      </c>
      <c r="C2509" s="151">
        <v>58</v>
      </c>
      <c r="D2509" s="94" t="s">
        <v>1016</v>
      </c>
    </row>
    <row r="2510" spans="1:4" ht="15">
      <c r="A2510" s="24" t="s">
        <v>984</v>
      </c>
      <c r="B2510" s="24" t="s">
        <v>200</v>
      </c>
      <c r="C2510" s="151">
        <v>15</v>
      </c>
      <c r="D2510" s="94" t="s">
        <v>1017</v>
      </c>
    </row>
    <row r="2511" spans="1:4" ht="15">
      <c r="A2511" s="24" t="s">
        <v>984</v>
      </c>
      <c r="B2511" s="24" t="s">
        <v>1015</v>
      </c>
      <c r="C2511" s="151">
        <v>15</v>
      </c>
      <c r="D2511" s="94" t="s">
        <v>1017</v>
      </c>
    </row>
    <row r="2515" spans="1:4" ht="15">
      <c r="A2515" s="99" t="s">
        <v>105</v>
      </c>
      <c r="B2515" s="99" t="s">
        <v>455</v>
      </c>
      <c r="C2515" s="99" t="s">
        <v>128</v>
      </c>
    </row>
    <row r="2516" spans="1:4" ht="15">
      <c r="A2516" s="33" t="s">
        <v>978</v>
      </c>
      <c r="B2516" s="24" t="s">
        <v>984</v>
      </c>
      <c r="C2516" s="24" t="s">
        <v>1014</v>
      </c>
    </row>
    <row r="2517" spans="1:4" ht="15">
      <c r="A2517" s="33" t="s">
        <v>978</v>
      </c>
      <c r="B2517" s="24" t="s">
        <v>984</v>
      </c>
      <c r="C2517" s="24" t="s">
        <v>200</v>
      </c>
    </row>
    <row r="2518" spans="1:4" ht="15">
      <c r="A2518" s="33" t="s">
        <v>978</v>
      </c>
      <c r="B2518" s="24" t="s">
        <v>984</v>
      </c>
      <c r="C2518" s="24" t="s">
        <v>1015</v>
      </c>
    </row>
    <row r="2519" spans="1:4" ht="15">
      <c r="A2519" s="33" t="s">
        <v>978</v>
      </c>
      <c r="B2519" s="24"/>
      <c r="C2519" s="24" t="s">
        <v>31</v>
      </c>
    </row>
    <row r="2522" spans="1:4" ht="15">
      <c r="A2522" s="99" t="s">
        <v>105</v>
      </c>
      <c r="B2522" s="99" t="s">
        <v>455</v>
      </c>
      <c r="C2522" s="99" t="s">
        <v>389</v>
      </c>
      <c r="D2522" s="101" t="s">
        <v>595</v>
      </c>
    </row>
    <row r="2523" spans="1:4" ht="15">
      <c r="A2523" s="6" t="s">
        <v>1020</v>
      </c>
      <c r="B2523" s="24">
        <v>5291</v>
      </c>
      <c r="C2523" s="26">
        <v>6</v>
      </c>
      <c r="D2523" s="25">
        <v>0.2</v>
      </c>
    </row>
    <row r="2524" spans="1:4" ht="15">
      <c r="A2524" s="6" t="s">
        <v>1021</v>
      </c>
      <c r="B2524" s="24">
        <v>5291</v>
      </c>
      <c r="C2524" s="26">
        <v>6</v>
      </c>
      <c r="D2524" s="25">
        <v>0.2</v>
      </c>
    </row>
    <row r="2525" spans="1:4" ht="15">
      <c r="A2525" s="6" t="s">
        <v>1022</v>
      </c>
      <c r="B2525" s="24">
        <v>1962</v>
      </c>
      <c r="C2525" s="26" t="s">
        <v>1019</v>
      </c>
      <c r="D2525" s="46">
        <v>0.97</v>
      </c>
    </row>
    <row r="2526" spans="1:4" ht="15">
      <c r="A2526" s="6" t="s">
        <v>1021</v>
      </c>
      <c r="B2526" s="24">
        <v>1962</v>
      </c>
      <c r="C2526" s="26" t="s">
        <v>1019</v>
      </c>
      <c r="D2526" s="46">
        <v>0.97</v>
      </c>
    </row>
    <row r="2527" spans="1:4" ht="15">
      <c r="A2527" s="6" t="s">
        <v>1021</v>
      </c>
      <c r="B2527" s="24"/>
      <c r="C2527" s="24" t="s">
        <v>31</v>
      </c>
      <c r="D2527" s="25">
        <v>20</v>
      </c>
    </row>
    <row r="2529" spans="1:6" ht="15">
      <c r="A2529" s="99" t="s">
        <v>105</v>
      </c>
      <c r="B2529" s="99" t="s">
        <v>455</v>
      </c>
      <c r="C2529" s="99" t="s">
        <v>128</v>
      </c>
    </row>
    <row r="2530" spans="1:6" ht="15">
      <c r="A2530" s="33" t="s">
        <v>1023</v>
      </c>
      <c r="B2530" s="24">
        <v>2440</v>
      </c>
      <c r="C2530" s="24" t="s">
        <v>859</v>
      </c>
    </row>
    <row r="2532" spans="1:6" ht="15">
      <c r="A2532" s="99" t="s">
        <v>455</v>
      </c>
      <c r="B2532" s="99" t="s">
        <v>389</v>
      </c>
      <c r="C2532" s="99" t="s">
        <v>980</v>
      </c>
    </row>
    <row r="2533" spans="1:6" ht="15">
      <c r="A2533" s="24">
        <v>1962</v>
      </c>
      <c r="B2533" s="26" t="s">
        <v>1019</v>
      </c>
      <c r="C2533" s="24" t="s">
        <v>1024</v>
      </c>
    </row>
    <row r="2536" spans="1:6" ht="15">
      <c r="A2536" s="99" t="s">
        <v>105</v>
      </c>
      <c r="B2536" s="99" t="s">
        <v>455</v>
      </c>
      <c r="C2536" s="99" t="s">
        <v>389</v>
      </c>
      <c r="D2536" s="100" t="s">
        <v>182</v>
      </c>
      <c r="E2536" s="100" t="s">
        <v>181</v>
      </c>
      <c r="F2536" s="101" t="s">
        <v>595</v>
      </c>
    </row>
    <row r="2537" spans="1:6" ht="15">
      <c r="A2537" s="6" t="s">
        <v>985</v>
      </c>
      <c r="B2537" s="24">
        <v>3705</v>
      </c>
      <c r="C2537" s="26">
        <v>19</v>
      </c>
      <c r="D2537" s="152">
        <v>7</v>
      </c>
      <c r="E2537" s="8">
        <v>210</v>
      </c>
      <c r="F2537" s="46">
        <v>0.42</v>
      </c>
    </row>
    <row r="2539" spans="1:6" ht="15">
      <c r="A2539" s="99" t="s">
        <v>105</v>
      </c>
      <c r="B2539" s="99" t="s">
        <v>455</v>
      </c>
      <c r="C2539" s="99" t="s">
        <v>389</v>
      </c>
      <c r="D2539" s="100" t="s">
        <v>182</v>
      </c>
      <c r="E2539" s="100" t="s">
        <v>181</v>
      </c>
      <c r="F2539" s="101" t="s">
        <v>595</v>
      </c>
    </row>
    <row r="2540" spans="1:6" ht="15">
      <c r="A2540" s="6" t="s">
        <v>1025</v>
      </c>
      <c r="B2540" s="24">
        <v>3705</v>
      </c>
      <c r="C2540" s="26">
        <v>19</v>
      </c>
      <c r="D2540" s="152">
        <v>10</v>
      </c>
      <c r="E2540" s="8">
        <v>300</v>
      </c>
      <c r="F2540" s="46">
        <v>0.42</v>
      </c>
    </row>
    <row r="2541" spans="1:6" ht="15">
      <c r="A2541" s="6" t="s">
        <v>1025</v>
      </c>
      <c r="B2541" s="24">
        <v>3705</v>
      </c>
      <c r="C2541" s="26">
        <v>19</v>
      </c>
      <c r="D2541" s="152">
        <v>10</v>
      </c>
      <c r="E2541" s="8">
        <v>300</v>
      </c>
      <c r="F2541" s="46">
        <v>0.42</v>
      </c>
    </row>
    <row r="2542" spans="1:6" ht="15">
      <c r="A2542" s="6" t="s">
        <v>1025</v>
      </c>
      <c r="B2542" s="24">
        <v>3705</v>
      </c>
      <c r="C2542" s="26">
        <v>19</v>
      </c>
      <c r="D2542" s="152">
        <v>10</v>
      </c>
      <c r="E2542" s="8">
        <v>300</v>
      </c>
      <c r="F2542" s="46">
        <v>0.42</v>
      </c>
    </row>
    <row r="2543" spans="1:6" ht="15">
      <c r="A2543" s="6" t="s">
        <v>1025</v>
      </c>
      <c r="B2543" s="24"/>
      <c r="C2543" s="138"/>
      <c r="D2543" s="8" t="s">
        <v>482</v>
      </c>
      <c r="E2543" s="8"/>
      <c r="F2543" s="46">
        <v>12</v>
      </c>
    </row>
    <row r="2544" spans="1:6" ht="15">
      <c r="A2544" s="6"/>
      <c r="B2544" s="24"/>
      <c r="C2544" s="138"/>
      <c r="D2544" s="8"/>
      <c r="E2544" s="41"/>
      <c r="F2544" s="46"/>
    </row>
    <row r="2545" spans="1:6" ht="15">
      <c r="A2545" s="6"/>
      <c r="B2545" s="24"/>
      <c r="C2545" s="138"/>
      <c r="D2545" s="8"/>
      <c r="E2545" s="41"/>
      <c r="F2545" s="46"/>
    </row>
    <row r="2546" spans="1:6" ht="15">
      <c r="A2546" s="99" t="s">
        <v>105</v>
      </c>
      <c r="B2546" s="99" t="s">
        <v>455</v>
      </c>
      <c r="C2546" s="99" t="s">
        <v>1035</v>
      </c>
      <c r="D2546" s="101" t="s">
        <v>1038</v>
      </c>
    </row>
    <row r="2547" spans="1:6" ht="15">
      <c r="A2547" s="6" t="s">
        <v>1028</v>
      </c>
      <c r="B2547" s="24" t="s">
        <v>1029</v>
      </c>
      <c r="C2547" s="44" t="s">
        <v>1030</v>
      </c>
      <c r="D2547" s="46" t="s">
        <v>1037</v>
      </c>
    </row>
    <row r="2548" spans="1:6" ht="15">
      <c r="A2548" s="6" t="s">
        <v>1028</v>
      </c>
      <c r="B2548" s="24" t="s">
        <v>1029</v>
      </c>
      <c r="C2548" s="44" t="s">
        <v>1032</v>
      </c>
      <c r="D2548" s="46" t="s">
        <v>1037</v>
      </c>
    </row>
    <row r="2549" spans="1:6" ht="15">
      <c r="A2549" s="6" t="s">
        <v>1028</v>
      </c>
      <c r="B2549" s="24" t="s">
        <v>1029</v>
      </c>
      <c r="C2549" s="44" t="s">
        <v>1033</v>
      </c>
      <c r="D2549" s="46" t="s">
        <v>1037</v>
      </c>
    </row>
    <row r="2550" spans="1:6" ht="15">
      <c r="A2550" s="6" t="s">
        <v>1028</v>
      </c>
      <c r="B2550" s="24" t="s">
        <v>1029</v>
      </c>
      <c r="C2550" s="44" t="s">
        <v>1034</v>
      </c>
      <c r="D2550" s="46" t="s">
        <v>1037</v>
      </c>
    </row>
    <row r="2551" spans="1:6" ht="15">
      <c r="A2551" s="6" t="s">
        <v>1028</v>
      </c>
      <c r="B2551" s="24" t="s">
        <v>1029</v>
      </c>
      <c r="C2551" s="44" t="s">
        <v>1030</v>
      </c>
      <c r="D2551" s="46" t="s">
        <v>1037</v>
      </c>
    </row>
    <row r="2552" spans="1:6" ht="15">
      <c r="A2552" s="6" t="s">
        <v>1028</v>
      </c>
      <c r="B2552" s="24" t="s">
        <v>1029</v>
      </c>
      <c r="C2552" s="44" t="s">
        <v>1032</v>
      </c>
      <c r="D2552" s="46" t="s">
        <v>1037</v>
      </c>
    </row>
    <row r="2553" spans="1:6" ht="15">
      <c r="A2553" s="6" t="s">
        <v>1028</v>
      </c>
      <c r="B2553" s="24" t="s">
        <v>1029</v>
      </c>
      <c r="C2553" s="44" t="s">
        <v>1033</v>
      </c>
      <c r="D2553" s="46" t="s">
        <v>1037</v>
      </c>
    </row>
    <row r="2554" spans="1:6" ht="15">
      <c r="A2554" s="6" t="s">
        <v>1028</v>
      </c>
      <c r="B2554" s="24" t="s">
        <v>1029</v>
      </c>
      <c r="C2554" s="44" t="s">
        <v>1034</v>
      </c>
      <c r="D2554" s="46" t="s">
        <v>1037</v>
      </c>
    </row>
    <row r="2557" spans="1:6" ht="15">
      <c r="A2557" s="99" t="s">
        <v>105</v>
      </c>
      <c r="B2557" s="99" t="s">
        <v>455</v>
      </c>
      <c r="C2557" s="99" t="s">
        <v>1035</v>
      </c>
      <c r="D2557" s="101" t="s">
        <v>1038</v>
      </c>
      <c r="E2557" s="101" t="s">
        <v>636</v>
      </c>
    </row>
    <row r="2558" spans="1:6" ht="14.25">
      <c r="A2558" s="1606" t="s">
        <v>1039</v>
      </c>
      <c r="B2558" s="103" t="s">
        <v>1040</v>
      </c>
      <c r="C2558" s="262" t="s">
        <v>1041</v>
      </c>
      <c r="D2558" s="263">
        <v>0.48</v>
      </c>
      <c r="E2558" s="263" t="e">
        <f>D2558*#REF!</f>
        <v>#REF!</v>
      </c>
    </row>
    <row r="2559" spans="1:6" ht="14.25">
      <c r="A2559" s="1606" t="s">
        <v>1039</v>
      </c>
      <c r="B2559" s="103" t="s">
        <v>1040</v>
      </c>
      <c r="C2559" s="262" t="s">
        <v>1042</v>
      </c>
      <c r="D2559" s="263">
        <v>0.5</v>
      </c>
      <c r="E2559" s="263" t="e">
        <f>D2559*#REF!</f>
        <v>#REF!</v>
      </c>
    </row>
    <row r="2560" spans="1:6" ht="14.25">
      <c r="A2560" s="1606" t="s">
        <v>1039</v>
      </c>
      <c r="B2560" s="103" t="s">
        <v>1040</v>
      </c>
      <c r="C2560" s="262" t="s">
        <v>1043</v>
      </c>
      <c r="D2560" s="263">
        <v>0.51</v>
      </c>
      <c r="E2560" s="263" t="e">
        <f>D2560*#REF!</f>
        <v>#REF!</v>
      </c>
    </row>
    <row r="2561" spans="1:6" ht="14.25">
      <c r="A2561" s="1606" t="s">
        <v>1039</v>
      </c>
      <c r="B2561" s="103" t="s">
        <v>1040</v>
      </c>
      <c r="C2561" s="262" t="s">
        <v>1044</v>
      </c>
      <c r="D2561" s="263">
        <v>0.53</v>
      </c>
      <c r="E2561" s="263" t="e">
        <f>D2561*#REF!</f>
        <v>#REF!</v>
      </c>
    </row>
    <row r="2562" spans="1:6" ht="14.25">
      <c r="A2562" s="1606" t="s">
        <v>1039</v>
      </c>
      <c r="B2562" s="103" t="s">
        <v>1040</v>
      </c>
      <c r="C2562" s="262" t="s">
        <v>1041</v>
      </c>
      <c r="D2562" s="263">
        <v>0.48</v>
      </c>
      <c r="E2562" s="263" t="e">
        <f>D2562*#REF!</f>
        <v>#REF!</v>
      </c>
    </row>
    <row r="2563" spans="1:6" ht="14.25">
      <c r="A2563" s="1606" t="s">
        <v>1039</v>
      </c>
      <c r="B2563" s="103" t="s">
        <v>1040</v>
      </c>
      <c r="C2563" s="262" t="s">
        <v>1042</v>
      </c>
      <c r="D2563" s="263">
        <v>0.5</v>
      </c>
      <c r="E2563" s="263" t="e">
        <f>D2563*#REF!</f>
        <v>#REF!</v>
      </c>
    </row>
    <row r="2564" spans="1:6" ht="14.25">
      <c r="A2564" s="1606" t="s">
        <v>1039</v>
      </c>
      <c r="B2564" s="103" t="s">
        <v>1040</v>
      </c>
      <c r="C2564" s="262" t="s">
        <v>1043</v>
      </c>
      <c r="D2564" s="263">
        <v>0.51</v>
      </c>
      <c r="E2564" s="263" t="e">
        <f>D2564*#REF!</f>
        <v>#REF!</v>
      </c>
    </row>
    <row r="2565" spans="1:6" ht="14.25">
      <c r="A2565" s="1606" t="s">
        <v>1039</v>
      </c>
      <c r="B2565" s="103" t="s">
        <v>1040</v>
      </c>
      <c r="C2565" s="262" t="s">
        <v>1044</v>
      </c>
      <c r="D2565" s="263">
        <v>0.53</v>
      </c>
      <c r="E2565" s="263" t="e">
        <f>D2565*#REF!</f>
        <v>#REF!</v>
      </c>
    </row>
    <row r="2566" spans="1:6" ht="14.25">
      <c r="A2566" s="1606" t="s">
        <v>1039</v>
      </c>
      <c r="B2566" s="136"/>
      <c r="C2566" s="262"/>
      <c r="D2566" s="265" t="s">
        <v>482</v>
      </c>
      <c r="E2566" s="263">
        <v>12</v>
      </c>
    </row>
    <row r="2567" spans="1:6" ht="15">
      <c r="A2567" s="1606"/>
      <c r="B2567" s="136"/>
      <c r="C2567" s="262"/>
      <c r="D2567" s="1607" t="s">
        <v>375</v>
      </c>
      <c r="E2567" s="263" t="e">
        <f>SUM(E2558:E2566)</f>
        <v>#REF!</v>
      </c>
    </row>
    <row r="2569" spans="1:6" ht="15">
      <c r="A2569" s="99" t="s">
        <v>105</v>
      </c>
      <c r="B2569" s="99" t="s">
        <v>455</v>
      </c>
      <c r="C2569" s="99" t="s">
        <v>389</v>
      </c>
      <c r="D2569" s="100" t="s">
        <v>182</v>
      </c>
      <c r="E2569" s="100" t="s">
        <v>181</v>
      </c>
      <c r="F2569" s="101" t="s">
        <v>1048</v>
      </c>
    </row>
    <row r="2570" spans="1:6" ht="15">
      <c r="A2570" s="6" t="s">
        <v>1047</v>
      </c>
      <c r="B2570" s="24">
        <v>5291</v>
      </c>
      <c r="C2570" s="26">
        <v>8</v>
      </c>
      <c r="D2570" s="68">
        <v>10</v>
      </c>
      <c r="E2570" s="67">
        <v>500</v>
      </c>
      <c r="F2570" s="46">
        <v>0.63</v>
      </c>
    </row>
    <row r="2573" spans="1:6" ht="15">
      <c r="A2573" s="99" t="s">
        <v>455</v>
      </c>
      <c r="B2573" s="99" t="s">
        <v>1035</v>
      </c>
      <c r="C2573" s="99" t="s">
        <v>1052</v>
      </c>
    </row>
    <row r="2574" spans="1:6" ht="14.25">
      <c r="A2574" s="136" t="s">
        <v>1050</v>
      </c>
      <c r="B2574" s="264" t="s">
        <v>1041</v>
      </c>
      <c r="C2574" s="262" t="s">
        <v>1051</v>
      </c>
    </row>
    <row r="2575" spans="1:6" ht="14.25">
      <c r="A2575" s="136" t="s">
        <v>1050</v>
      </c>
      <c r="B2575" s="264" t="s">
        <v>1042</v>
      </c>
      <c r="C2575" s="262" t="s">
        <v>1051</v>
      </c>
    </row>
    <row r="2576" spans="1:6" ht="14.25">
      <c r="A2576" s="136" t="s">
        <v>1050</v>
      </c>
      <c r="B2576" s="264" t="s">
        <v>1043</v>
      </c>
      <c r="C2576" s="262" t="s">
        <v>1051</v>
      </c>
    </row>
    <row r="2577" spans="1:6" ht="14.25">
      <c r="A2577" s="136" t="s">
        <v>1050</v>
      </c>
      <c r="B2577" s="264" t="s">
        <v>1044</v>
      </c>
      <c r="C2577" s="262" t="s">
        <v>1051</v>
      </c>
    </row>
    <row r="2579" spans="1:6" ht="15">
      <c r="A2579" s="99" t="s">
        <v>105</v>
      </c>
      <c r="B2579" s="99" t="s">
        <v>455</v>
      </c>
      <c r="C2579" s="99" t="s">
        <v>389</v>
      </c>
      <c r="D2579" s="100" t="s">
        <v>182</v>
      </c>
      <c r="E2579" s="100" t="s">
        <v>181</v>
      </c>
      <c r="F2579" s="101" t="s">
        <v>1055</v>
      </c>
    </row>
    <row r="2580" spans="1:6" ht="15">
      <c r="A2580" s="6" t="s">
        <v>1049</v>
      </c>
      <c r="B2580" s="24">
        <v>3705</v>
      </c>
      <c r="C2580" s="26">
        <v>19</v>
      </c>
      <c r="D2580" s="152">
        <v>17</v>
      </c>
      <c r="E2580" s="8">
        <v>510</v>
      </c>
      <c r="F2580" s="46">
        <v>0.42</v>
      </c>
    </row>
    <row r="2581" spans="1:6" ht="15">
      <c r="A2581" s="6" t="s">
        <v>1049</v>
      </c>
      <c r="B2581" s="24"/>
      <c r="C2581" s="138"/>
      <c r="D2581" s="8" t="s">
        <v>482</v>
      </c>
      <c r="E2581" s="8"/>
      <c r="F2581" s="46">
        <v>12</v>
      </c>
    </row>
    <row r="2585" spans="1:6" ht="15">
      <c r="A2585" s="99" t="s">
        <v>455</v>
      </c>
      <c r="B2585" s="99" t="s">
        <v>1035</v>
      </c>
      <c r="C2585" s="99" t="s">
        <v>1052</v>
      </c>
    </row>
    <row r="2586" spans="1:6" ht="14.25">
      <c r="A2586" s="103" t="s">
        <v>1040</v>
      </c>
      <c r="B2586" s="264" t="s">
        <v>1041</v>
      </c>
      <c r="C2586" s="262" t="s">
        <v>1051</v>
      </c>
    </row>
    <row r="2587" spans="1:6" ht="14.25">
      <c r="A2587" s="103" t="s">
        <v>1040</v>
      </c>
      <c r="B2587" s="264" t="s">
        <v>1042</v>
      </c>
      <c r="C2587" s="262" t="s">
        <v>1051</v>
      </c>
    </row>
    <row r="2588" spans="1:6" ht="14.25">
      <c r="A2588" s="103" t="s">
        <v>1040</v>
      </c>
      <c r="B2588" s="264" t="s">
        <v>1043</v>
      </c>
      <c r="C2588" s="262" t="s">
        <v>1051</v>
      </c>
    </row>
    <row r="2589" spans="1:6" ht="14.25">
      <c r="A2589" s="103" t="s">
        <v>1040</v>
      </c>
      <c r="B2589" s="264" t="s">
        <v>1044</v>
      </c>
      <c r="C2589" s="262" t="s">
        <v>1051</v>
      </c>
    </row>
    <row r="2592" spans="1:6" ht="15">
      <c r="A2592" s="20" t="s">
        <v>599</v>
      </c>
      <c r="B2592" s="26"/>
      <c r="C2592" s="24"/>
      <c r="D2592" s="68"/>
    </row>
    <row r="2593" spans="1:4" ht="15">
      <c r="A2593" s="99" t="s">
        <v>455</v>
      </c>
      <c r="B2593" s="99" t="s">
        <v>389</v>
      </c>
      <c r="C2593" s="99" t="s">
        <v>128</v>
      </c>
      <c r="D2593" s="100" t="s">
        <v>181</v>
      </c>
    </row>
    <row r="2594" spans="1:4" ht="15">
      <c r="A2594" s="24">
        <v>1598</v>
      </c>
      <c r="B2594" s="26" t="s">
        <v>19</v>
      </c>
      <c r="C2594" s="24" t="s">
        <v>602</v>
      </c>
      <c r="D2594" s="67">
        <v>3300</v>
      </c>
    </row>
    <row r="2595" spans="1:4" ht="15">
      <c r="A2595" s="99" t="s">
        <v>455</v>
      </c>
      <c r="B2595" s="99" t="s">
        <v>389</v>
      </c>
      <c r="C2595" s="99" t="s">
        <v>128</v>
      </c>
      <c r="D2595" s="100" t="s">
        <v>181</v>
      </c>
    </row>
    <row r="2596" spans="1:4" ht="15">
      <c r="A2596" s="24">
        <v>5291</v>
      </c>
      <c r="B2596" s="26">
        <v>8</v>
      </c>
      <c r="C2596" s="24" t="s">
        <v>499</v>
      </c>
      <c r="D2596" s="67">
        <v>500</v>
      </c>
    </row>
    <row r="2597" spans="1:4">
      <c r="A2597" s="107" t="s">
        <v>64</v>
      </c>
      <c r="B2597" s="107" t="s">
        <v>1061</v>
      </c>
      <c r="C2597" s="107" t="s">
        <v>980</v>
      </c>
    </row>
    <row r="2598" spans="1:4" ht="15">
      <c r="A2598" s="24">
        <v>5634</v>
      </c>
      <c r="B2598" s="44" t="s">
        <v>1030</v>
      </c>
      <c r="C2598" s="267"/>
      <c r="D2598" s="268">
        <v>100</v>
      </c>
    </row>
    <row r="2599" spans="1:4" ht="15">
      <c r="A2599" s="24">
        <v>5634</v>
      </c>
      <c r="B2599" s="44" t="s">
        <v>1032</v>
      </c>
      <c r="C2599" s="267"/>
      <c r="D2599" s="268">
        <v>100</v>
      </c>
    </row>
    <row r="2602" spans="1:4" ht="15">
      <c r="A2602" s="99" t="s">
        <v>455</v>
      </c>
      <c r="B2602" s="99" t="s">
        <v>1035</v>
      </c>
      <c r="C2602" s="99" t="s">
        <v>980</v>
      </c>
    </row>
    <row r="2603" spans="1:4" ht="15">
      <c r="A2603" s="24" t="s">
        <v>1062</v>
      </c>
      <c r="B2603" s="44" t="s">
        <v>1030</v>
      </c>
      <c r="C2603" s="266" t="s">
        <v>1054</v>
      </c>
    </row>
    <row r="2604" spans="1:4" ht="15">
      <c r="A2604" s="24" t="s">
        <v>1062</v>
      </c>
      <c r="B2604" s="44" t="s">
        <v>1032</v>
      </c>
      <c r="C2604" s="266" t="s">
        <v>1054</v>
      </c>
    </row>
    <row r="2607" spans="1:4" ht="14.25">
      <c r="A2607" s="156" t="s">
        <v>64</v>
      </c>
      <c r="B2607" s="107" t="s">
        <v>1066</v>
      </c>
      <c r="C2607" s="107" t="s">
        <v>1067</v>
      </c>
    </row>
    <row r="2608" spans="1:4" ht="15">
      <c r="A2608" s="24" t="s">
        <v>1029</v>
      </c>
      <c r="B2608" s="44" t="s">
        <v>1032</v>
      </c>
      <c r="C2608" s="267" t="s">
        <v>1058</v>
      </c>
    </row>
    <row r="2609" spans="1:6" ht="15">
      <c r="A2609" s="24" t="s">
        <v>1029</v>
      </c>
      <c r="B2609" s="44" t="s">
        <v>1032</v>
      </c>
      <c r="C2609" s="267" t="s">
        <v>1031</v>
      </c>
    </row>
    <row r="2610" spans="1:6" ht="15">
      <c r="A2610" s="24" t="s">
        <v>1029</v>
      </c>
      <c r="B2610" s="44" t="s">
        <v>1032</v>
      </c>
      <c r="C2610" s="267" t="s">
        <v>1059</v>
      </c>
    </row>
    <row r="2611" spans="1:6" ht="15">
      <c r="A2611" s="24" t="s">
        <v>1029</v>
      </c>
      <c r="B2611" s="44" t="s">
        <v>1032</v>
      </c>
      <c r="C2611" s="267" t="s">
        <v>1060</v>
      </c>
    </row>
    <row r="2613" spans="1:6" ht="15">
      <c r="A2613" s="156" t="s">
        <v>64</v>
      </c>
      <c r="B2613" s="107" t="s">
        <v>1066</v>
      </c>
      <c r="C2613" s="107" t="s">
        <v>1067</v>
      </c>
      <c r="D2613" s="151"/>
      <c r="E2613" s="34" t="s">
        <v>1027</v>
      </c>
    </row>
    <row r="2614" spans="1:6" ht="15">
      <c r="A2614" s="95" t="s">
        <v>1063</v>
      </c>
      <c r="B2614" s="44" t="s">
        <v>1030</v>
      </c>
      <c r="C2614" s="260" t="s">
        <v>1064</v>
      </c>
      <c r="D2614" s="261">
        <v>10</v>
      </c>
      <c r="E2614" s="46"/>
    </row>
    <row r="2615" spans="1:6" ht="15">
      <c r="A2615" s="95" t="s">
        <v>1063</v>
      </c>
      <c r="B2615" s="44" t="s">
        <v>1030</v>
      </c>
      <c r="C2615" s="260" t="s">
        <v>1064</v>
      </c>
      <c r="D2615" s="261">
        <v>90</v>
      </c>
      <c r="E2615" s="46"/>
    </row>
    <row r="2616" spans="1:6" ht="15">
      <c r="A2616" s="95" t="s">
        <v>1063</v>
      </c>
      <c r="B2616" s="44" t="s">
        <v>1032</v>
      </c>
      <c r="C2616" s="260" t="s">
        <v>1064</v>
      </c>
      <c r="D2616" s="261">
        <v>100</v>
      </c>
      <c r="E2616" s="46"/>
    </row>
    <row r="2617" spans="1:6" ht="21">
      <c r="D2617" ph="1"/>
    </row>
    <row r="2619" spans="1:6" ht="15.75">
      <c r="A2619" s="99" t="s">
        <v>105</v>
      </c>
      <c r="B2619" s="99" t="s">
        <v>1068</v>
      </c>
      <c r="C2619" s="99" t="s">
        <v>1035</v>
      </c>
      <c r="D2619" s="101" t="s">
        <v>1038</v>
      </c>
      <c r="E2619" s="101" t="s">
        <v>1069</v>
      </c>
      <c r="F2619" s="269" t="s">
        <v>1027</v>
      </c>
    </row>
    <row r="2620" spans="1:6" ht="15">
      <c r="A2620" s="6" t="s">
        <v>1057</v>
      </c>
      <c r="B2620" s="24" t="s">
        <v>1029</v>
      </c>
      <c r="C2620" s="44" t="s">
        <v>1032</v>
      </c>
      <c r="D2620" s="46">
        <v>0.5</v>
      </c>
      <c r="E2620" s="270" t="s">
        <v>1073</v>
      </c>
    </row>
    <row r="2621" spans="1:6" ht="15">
      <c r="A2621" s="6" t="s">
        <v>1057</v>
      </c>
      <c r="B2621" s="24" t="s">
        <v>1029</v>
      </c>
      <c r="C2621" s="44" t="s">
        <v>1032</v>
      </c>
      <c r="D2621" s="46">
        <v>0.5</v>
      </c>
      <c r="E2621" s="270" t="s">
        <v>1073</v>
      </c>
    </row>
    <row r="2622" spans="1:6" ht="15">
      <c r="A2622" s="6" t="s">
        <v>1057</v>
      </c>
      <c r="B2622" s="24" t="s">
        <v>1029</v>
      </c>
      <c r="C2622" s="44" t="s">
        <v>1032</v>
      </c>
      <c r="D2622" s="46">
        <v>0.5</v>
      </c>
      <c r="E2622" s="270" t="s">
        <v>1073</v>
      </c>
    </row>
    <row r="2623" spans="1:6" ht="15">
      <c r="A2623" s="6" t="s">
        <v>1057</v>
      </c>
      <c r="B2623" s="24" t="s">
        <v>1029</v>
      </c>
      <c r="C2623" s="44" t="s">
        <v>1032</v>
      </c>
      <c r="D2623" s="46">
        <v>0.5</v>
      </c>
      <c r="E2623" s="270" t="s">
        <v>1073</v>
      </c>
    </row>
    <row r="2624" spans="1:6" ht="15">
      <c r="A2624" s="6" t="s">
        <v>1057</v>
      </c>
      <c r="B2624" s="24"/>
      <c r="C2624" s="44"/>
      <c r="D2624" s="46">
        <v>28</v>
      </c>
      <c r="E2624" s="270"/>
    </row>
    <row r="2625" spans="1:5" ht="15">
      <c r="A2625" s="6" t="s">
        <v>1057</v>
      </c>
      <c r="B2625" s="24"/>
      <c r="C2625" s="44"/>
      <c r="D2625" s="46">
        <v>12</v>
      </c>
      <c r="E2625" s="270"/>
    </row>
    <row r="2626" spans="1:5" ht="15">
      <c r="A2626" s="6" t="s">
        <v>1057</v>
      </c>
      <c r="B2626" s="24" t="s">
        <v>1029</v>
      </c>
      <c r="C2626" s="44" t="s">
        <v>1030</v>
      </c>
      <c r="D2626" s="46">
        <v>0.48</v>
      </c>
      <c r="E2626" s="270" t="s">
        <v>1070</v>
      </c>
    </row>
    <row r="2627" spans="1:5" ht="15">
      <c r="A2627" s="6" t="s">
        <v>1057</v>
      </c>
      <c r="B2627" s="24" t="s">
        <v>1029</v>
      </c>
      <c r="C2627" s="44" t="s">
        <v>1032</v>
      </c>
      <c r="D2627" s="46">
        <v>0.5</v>
      </c>
      <c r="E2627" s="270" t="s">
        <v>1070</v>
      </c>
    </row>
    <row r="2628" spans="1:5" ht="15">
      <c r="A2628" s="6" t="s">
        <v>1057</v>
      </c>
      <c r="B2628" s="24" t="s">
        <v>1029</v>
      </c>
      <c r="C2628" s="44" t="s">
        <v>1033</v>
      </c>
      <c r="D2628" s="46">
        <v>0.51</v>
      </c>
      <c r="E2628" s="270" t="s">
        <v>1070</v>
      </c>
    </row>
    <row r="2629" spans="1:5" ht="15">
      <c r="A2629" s="6" t="s">
        <v>1057</v>
      </c>
      <c r="B2629" s="24" t="s">
        <v>1029</v>
      </c>
      <c r="C2629" s="44" t="s">
        <v>1034</v>
      </c>
      <c r="D2629" s="46">
        <v>0.53</v>
      </c>
      <c r="E2629" s="270" t="s">
        <v>1070</v>
      </c>
    </row>
    <row r="2630" spans="1:5" ht="15">
      <c r="A2630" s="6" t="s">
        <v>1057</v>
      </c>
      <c r="B2630" s="24" t="s">
        <v>1029</v>
      </c>
      <c r="C2630" s="44" t="s">
        <v>1030</v>
      </c>
      <c r="D2630" s="46">
        <v>0.48</v>
      </c>
      <c r="E2630" s="270" t="s">
        <v>1070</v>
      </c>
    </row>
    <row r="2631" spans="1:5" ht="15">
      <c r="A2631" s="6" t="s">
        <v>1057</v>
      </c>
      <c r="B2631" s="24" t="s">
        <v>1029</v>
      </c>
      <c r="C2631" s="44" t="s">
        <v>1032</v>
      </c>
      <c r="D2631" s="46">
        <v>0.5</v>
      </c>
      <c r="E2631" s="270" t="s">
        <v>1071</v>
      </c>
    </row>
    <row r="2632" spans="1:5" ht="15">
      <c r="A2632" s="6" t="s">
        <v>1057</v>
      </c>
      <c r="B2632" s="24" t="s">
        <v>1029</v>
      </c>
      <c r="C2632" s="44" t="s">
        <v>1033</v>
      </c>
      <c r="D2632" s="46">
        <v>0.51</v>
      </c>
      <c r="E2632" s="270" t="s">
        <v>1071</v>
      </c>
    </row>
    <row r="2633" spans="1:5" ht="15">
      <c r="A2633" s="6" t="s">
        <v>1057</v>
      </c>
      <c r="B2633" s="24" t="s">
        <v>1029</v>
      </c>
      <c r="C2633" s="44" t="s">
        <v>1034</v>
      </c>
      <c r="D2633" s="46">
        <v>0.53</v>
      </c>
      <c r="E2633" s="270" t="s">
        <v>1071</v>
      </c>
    </row>
    <row r="2634" spans="1:5" ht="15">
      <c r="A2634" s="6" t="s">
        <v>1057</v>
      </c>
      <c r="B2634" s="24" t="s">
        <v>1029</v>
      </c>
      <c r="C2634" s="44" t="s">
        <v>1030</v>
      </c>
      <c r="D2634" s="46">
        <v>0.48</v>
      </c>
      <c r="E2634" s="270" t="s">
        <v>1071</v>
      </c>
    </row>
    <row r="2635" spans="1:5" ht="15">
      <c r="A2635" s="6" t="s">
        <v>1057</v>
      </c>
      <c r="B2635" s="24" t="s">
        <v>1029</v>
      </c>
      <c r="C2635" s="44" t="s">
        <v>1032</v>
      </c>
      <c r="D2635" s="46">
        <v>0.5</v>
      </c>
      <c r="E2635" s="270" t="s">
        <v>1071</v>
      </c>
    </row>
    <row r="2636" spans="1:5" ht="15">
      <c r="A2636" s="6" t="s">
        <v>1057</v>
      </c>
      <c r="B2636" s="24" t="s">
        <v>1029</v>
      </c>
      <c r="C2636" s="44" t="s">
        <v>1033</v>
      </c>
      <c r="D2636" s="46">
        <v>0.51</v>
      </c>
      <c r="E2636" s="270" t="s">
        <v>1071</v>
      </c>
    </row>
    <row r="2637" spans="1:5" ht="15">
      <c r="A2637" s="6" t="s">
        <v>1057</v>
      </c>
      <c r="B2637" s="24" t="s">
        <v>1029</v>
      </c>
      <c r="C2637" s="44" t="s">
        <v>1034</v>
      </c>
      <c r="D2637" s="46">
        <v>0.53</v>
      </c>
      <c r="E2637" s="270" t="s">
        <v>1071</v>
      </c>
    </row>
    <row r="2638" spans="1:5" ht="15">
      <c r="A2638" s="6" t="s">
        <v>1057</v>
      </c>
      <c r="B2638" s="24" t="s">
        <v>1029</v>
      </c>
      <c r="C2638" s="44" t="s">
        <v>1030</v>
      </c>
      <c r="D2638" s="46">
        <v>0.48</v>
      </c>
      <c r="E2638" s="270" t="s">
        <v>1071</v>
      </c>
    </row>
    <row r="2639" spans="1:5" ht="15">
      <c r="A2639" s="6" t="s">
        <v>1057</v>
      </c>
      <c r="B2639" s="24" t="s">
        <v>1029</v>
      </c>
      <c r="C2639" s="44" t="s">
        <v>1032</v>
      </c>
      <c r="D2639" s="46">
        <v>0.5</v>
      </c>
      <c r="E2639" s="270" t="s">
        <v>1071</v>
      </c>
    </row>
    <row r="2640" spans="1:5" ht="15">
      <c r="A2640" s="6" t="s">
        <v>1057</v>
      </c>
      <c r="B2640" s="24" t="s">
        <v>1029</v>
      </c>
      <c r="C2640" s="44" t="s">
        <v>1033</v>
      </c>
      <c r="D2640" s="46">
        <v>0.51</v>
      </c>
      <c r="E2640" s="270" t="s">
        <v>1071</v>
      </c>
    </row>
    <row r="2641" spans="1:6" ht="15">
      <c r="A2641" s="6" t="s">
        <v>1057</v>
      </c>
      <c r="B2641" s="24" t="s">
        <v>1029</v>
      </c>
      <c r="C2641" s="44" t="s">
        <v>1034</v>
      </c>
      <c r="D2641" s="46">
        <v>0.53</v>
      </c>
      <c r="E2641" s="270" t="s">
        <v>1071</v>
      </c>
    </row>
    <row r="2642" spans="1:6" ht="15">
      <c r="A2642" s="6" t="s">
        <v>1057</v>
      </c>
      <c r="B2642" s="24"/>
      <c r="C2642" s="44"/>
      <c r="D2642" s="46">
        <v>12</v>
      </c>
      <c r="E2642" s="270"/>
    </row>
    <row r="2645" spans="1:6" ht="15.75">
      <c r="A2645" s="99" t="s">
        <v>105</v>
      </c>
      <c r="B2645" s="99" t="s">
        <v>1068</v>
      </c>
      <c r="C2645" s="99" t="s">
        <v>1035</v>
      </c>
      <c r="D2645" s="101" t="s">
        <v>1038</v>
      </c>
      <c r="E2645" s="101" t="s">
        <v>1069</v>
      </c>
      <c r="F2645" s="34" t="s">
        <v>1027</v>
      </c>
    </row>
    <row r="2646" spans="1:6" ht="15">
      <c r="A2646" s="33" t="s">
        <v>1065</v>
      </c>
      <c r="B2646" s="24" t="s">
        <v>1063</v>
      </c>
      <c r="C2646" s="44" t="s">
        <v>1030</v>
      </c>
      <c r="D2646" s="46">
        <v>0.26</v>
      </c>
      <c r="E2646" s="270" t="s">
        <v>1072</v>
      </c>
    </row>
    <row r="2647" spans="1:6" ht="15">
      <c r="A2647" s="33" t="s">
        <v>1065</v>
      </c>
      <c r="B2647" s="24" t="s">
        <v>1063</v>
      </c>
      <c r="C2647" s="44" t="s">
        <v>1032</v>
      </c>
      <c r="D2647" s="46">
        <v>0.27</v>
      </c>
      <c r="E2647" s="270" t="s">
        <v>1072</v>
      </c>
    </row>
    <row r="2648" spans="1:6" ht="15">
      <c r="A2648" s="33" t="s">
        <v>1065</v>
      </c>
      <c r="B2648" s="24"/>
      <c r="C2648" s="44"/>
      <c r="D2648" s="46">
        <v>12</v>
      </c>
      <c r="E2648" s="270"/>
    </row>
    <row r="2652" spans="1:6" ht="15">
      <c r="A2652" s="99" t="s">
        <v>1068</v>
      </c>
      <c r="B2652" s="99" t="s">
        <v>389</v>
      </c>
      <c r="C2652" s="99" t="s">
        <v>128</v>
      </c>
      <c r="D2652" s="68"/>
    </row>
    <row r="2653" spans="1:6" ht="15">
      <c r="A2653" s="24">
        <v>12701</v>
      </c>
      <c r="B2653" s="26">
        <v>12</v>
      </c>
      <c r="C2653" s="24" t="s">
        <v>316</v>
      </c>
      <c r="D2653" s="68">
        <v>4</v>
      </c>
    </row>
    <row r="2654" spans="1:6" ht="15">
      <c r="A2654" s="24">
        <v>12701</v>
      </c>
      <c r="B2654" s="26">
        <v>18</v>
      </c>
      <c r="C2654" s="24" t="s">
        <v>316</v>
      </c>
      <c r="D2654" s="68">
        <v>5</v>
      </c>
    </row>
    <row r="2655" spans="1:6" ht="15">
      <c r="A2655" s="24">
        <v>11700</v>
      </c>
      <c r="B2655" s="26">
        <v>12</v>
      </c>
      <c r="C2655" s="24" t="s">
        <v>184</v>
      </c>
      <c r="D2655" s="68">
        <v>3</v>
      </c>
    </row>
    <row r="2659" spans="1:6" ht="15">
      <c r="A2659" s="99" t="s">
        <v>105</v>
      </c>
      <c r="B2659" s="99" t="s">
        <v>1068</v>
      </c>
      <c r="C2659" s="99" t="s">
        <v>389</v>
      </c>
      <c r="D2659" s="100" t="s">
        <v>182</v>
      </c>
      <c r="E2659" s="100" t="s">
        <v>181</v>
      </c>
      <c r="F2659" s="101" t="s">
        <v>1055</v>
      </c>
    </row>
    <row r="2660" spans="1:6" ht="15">
      <c r="A2660" s="6" t="s">
        <v>1074</v>
      </c>
      <c r="B2660" s="24">
        <v>12701</v>
      </c>
      <c r="C2660" s="26">
        <v>12</v>
      </c>
      <c r="D2660" s="68">
        <v>42</v>
      </c>
      <c r="E2660" s="67">
        <v>420</v>
      </c>
      <c r="F2660" s="25">
        <v>0.79</v>
      </c>
    </row>
    <row r="2661" spans="1:6" ht="15">
      <c r="A2661" s="6" t="s">
        <v>1074</v>
      </c>
      <c r="B2661" s="24">
        <v>12701</v>
      </c>
      <c r="C2661" s="26">
        <v>18</v>
      </c>
      <c r="D2661" s="68">
        <v>10</v>
      </c>
      <c r="E2661" s="67">
        <v>100</v>
      </c>
      <c r="F2661" s="25">
        <v>1.02</v>
      </c>
    </row>
    <row r="2662" spans="1:6" ht="15">
      <c r="A2662" s="6" t="s">
        <v>1074</v>
      </c>
      <c r="B2662" s="24"/>
      <c r="C2662" s="26"/>
      <c r="D2662" s="41" t="s">
        <v>86</v>
      </c>
      <c r="E2662" s="8"/>
      <c r="F2662" s="40">
        <v>12</v>
      </c>
    </row>
    <row r="2666" spans="1:6" ht="15">
      <c r="A2666" s="99" t="s">
        <v>1068</v>
      </c>
      <c r="B2666" s="99" t="s">
        <v>128</v>
      </c>
      <c r="C2666" s="99" t="s">
        <v>54</v>
      </c>
    </row>
    <row r="2667" spans="1:6" ht="15">
      <c r="A2667" s="24" t="s">
        <v>984</v>
      </c>
      <c r="B2667" s="24" t="s">
        <v>200</v>
      </c>
      <c r="C2667" s="8">
        <v>21</v>
      </c>
    </row>
    <row r="2668" spans="1:6" ht="15">
      <c r="A2668" s="24" t="s">
        <v>984</v>
      </c>
      <c r="B2668" s="24" t="s">
        <v>1015</v>
      </c>
      <c r="C2668" s="8">
        <v>20</v>
      </c>
    </row>
    <row r="2670" spans="1:6" ht="15">
      <c r="A2670" s="99" t="s">
        <v>105</v>
      </c>
      <c r="B2670" s="99" t="s">
        <v>1068</v>
      </c>
      <c r="C2670" s="99" t="s">
        <v>128</v>
      </c>
    </row>
    <row r="2671" spans="1:6" ht="15">
      <c r="A2671" s="6" t="s">
        <v>1076</v>
      </c>
      <c r="B2671" s="24" t="s">
        <v>984</v>
      </c>
      <c r="C2671" s="24" t="s">
        <v>200</v>
      </c>
    </row>
    <row r="2672" spans="1:6" ht="15">
      <c r="A2672" s="6" t="s">
        <v>1076</v>
      </c>
      <c r="B2672" s="24" t="s">
        <v>984</v>
      </c>
      <c r="C2672" s="24" t="s">
        <v>1015</v>
      </c>
    </row>
    <row r="2673" spans="1:6" ht="15">
      <c r="A2673" s="6" t="s">
        <v>1077</v>
      </c>
      <c r="B2673" s="24" t="s">
        <v>984</v>
      </c>
      <c r="C2673" s="24" t="s">
        <v>200</v>
      </c>
    </row>
    <row r="2674" spans="1:6" ht="15">
      <c r="A2674" s="6" t="s">
        <v>1077</v>
      </c>
      <c r="B2674" s="24" t="s">
        <v>984</v>
      </c>
      <c r="C2674" s="24" t="s">
        <v>1015</v>
      </c>
    </row>
    <row r="2677" spans="1:6" ht="15">
      <c r="A2677" s="99" t="s">
        <v>105</v>
      </c>
      <c r="B2677" s="99" t="s">
        <v>1068</v>
      </c>
      <c r="C2677" s="99" t="s">
        <v>389</v>
      </c>
      <c r="D2677" s="101" t="s">
        <v>595</v>
      </c>
    </row>
    <row r="2678" spans="1:6" ht="15">
      <c r="A2678" s="6" t="s">
        <v>1080</v>
      </c>
      <c r="B2678" s="24">
        <v>5291</v>
      </c>
      <c r="C2678" s="26">
        <v>6</v>
      </c>
      <c r="D2678" s="25">
        <v>0.2</v>
      </c>
    </row>
    <row r="2679" spans="1:6" ht="15">
      <c r="A2679" s="6" t="s">
        <v>1081</v>
      </c>
      <c r="B2679" s="24">
        <v>5291</v>
      </c>
      <c r="C2679" s="26">
        <v>6</v>
      </c>
      <c r="D2679" s="25">
        <v>0.2</v>
      </c>
    </row>
    <row r="2680" spans="1:6" ht="15">
      <c r="A2680" s="6" t="s">
        <v>1082</v>
      </c>
      <c r="B2680" s="24"/>
      <c r="C2680" s="26"/>
      <c r="D2680" s="46">
        <v>12</v>
      </c>
    </row>
    <row r="2683" spans="1:6" ht="15">
      <c r="A2683" s="99" t="s">
        <v>105</v>
      </c>
      <c r="B2683" s="99" t="s">
        <v>1068</v>
      </c>
      <c r="C2683" s="99" t="s">
        <v>389</v>
      </c>
      <c r="D2683" s="100" t="s">
        <v>182</v>
      </c>
      <c r="E2683" s="100" t="s">
        <v>181</v>
      </c>
      <c r="F2683" s="101" t="s">
        <v>1055</v>
      </c>
    </row>
    <row r="2684" spans="1:6" ht="15">
      <c r="A2684" s="6" t="s">
        <v>1084</v>
      </c>
      <c r="B2684" s="24">
        <v>2250</v>
      </c>
      <c r="C2684" s="44">
        <v>18</v>
      </c>
      <c r="D2684" s="152">
        <v>3</v>
      </c>
      <c r="E2684" s="67">
        <v>90</v>
      </c>
      <c r="F2684" s="46">
        <v>0.41</v>
      </c>
    </row>
    <row r="2685" spans="1:6" ht="15">
      <c r="A2685" s="6" t="s">
        <v>1084</v>
      </c>
      <c r="B2685" s="24">
        <v>2250</v>
      </c>
      <c r="C2685" s="44">
        <v>18</v>
      </c>
      <c r="D2685" s="152">
        <v>2</v>
      </c>
      <c r="E2685" s="67">
        <v>60</v>
      </c>
      <c r="F2685" s="46">
        <v>0.41</v>
      </c>
    </row>
    <row r="2686" spans="1:6" ht="15">
      <c r="A2686" s="6" t="s">
        <v>1084</v>
      </c>
      <c r="B2686" s="24">
        <v>2250</v>
      </c>
      <c r="C2686" s="44">
        <v>18</v>
      </c>
      <c r="D2686" s="152">
        <v>3</v>
      </c>
      <c r="E2686" s="67">
        <v>90</v>
      </c>
      <c r="F2686" s="46">
        <v>0.41</v>
      </c>
    </row>
    <row r="2687" spans="1:6" ht="15">
      <c r="A2687" s="6" t="s">
        <v>1084</v>
      </c>
      <c r="B2687" s="24">
        <v>2250</v>
      </c>
      <c r="C2687" s="44">
        <v>18</v>
      </c>
      <c r="D2687" s="152">
        <v>3</v>
      </c>
      <c r="E2687" s="67">
        <v>90</v>
      </c>
      <c r="F2687" s="46">
        <v>0.41</v>
      </c>
    </row>
    <row r="2688" spans="1:6" ht="15">
      <c r="A2688" s="6" t="s">
        <v>1084</v>
      </c>
      <c r="B2688" s="24">
        <v>2250</v>
      </c>
      <c r="C2688" s="44">
        <v>18</v>
      </c>
      <c r="D2688" s="152">
        <v>3</v>
      </c>
      <c r="E2688" s="67">
        <v>90</v>
      </c>
      <c r="F2688" s="46">
        <v>0.41</v>
      </c>
    </row>
    <row r="2689" spans="1:6" ht="15">
      <c r="A2689" s="6" t="s">
        <v>1084</v>
      </c>
      <c r="B2689" s="24"/>
      <c r="C2689" s="138"/>
      <c r="D2689" s="41"/>
      <c r="E2689" s="8"/>
      <c r="F2689" s="46">
        <v>12</v>
      </c>
    </row>
    <row r="2691" spans="1:6" ht="15">
      <c r="A2691" s="99" t="s">
        <v>105</v>
      </c>
      <c r="B2691" s="99" t="s">
        <v>1068</v>
      </c>
      <c r="C2691" s="99" t="s">
        <v>389</v>
      </c>
      <c r="D2691" s="100" t="s">
        <v>182</v>
      </c>
      <c r="E2691" s="100" t="s">
        <v>181</v>
      </c>
      <c r="F2691" s="101" t="s">
        <v>1055</v>
      </c>
    </row>
    <row r="2692" spans="1:6" ht="15">
      <c r="A2692" s="6" t="s">
        <v>1086</v>
      </c>
      <c r="B2692" s="24">
        <v>3544</v>
      </c>
      <c r="C2692" s="44" t="s">
        <v>1087</v>
      </c>
      <c r="D2692" s="152">
        <v>1</v>
      </c>
      <c r="E2692" s="67">
        <v>30</v>
      </c>
      <c r="F2692" s="46">
        <v>0.31</v>
      </c>
    </row>
    <row r="2693" spans="1:6" ht="15">
      <c r="A2693" s="6" t="s">
        <v>1086</v>
      </c>
      <c r="B2693" s="24">
        <v>3544</v>
      </c>
      <c r="C2693" s="44" t="s">
        <v>1087</v>
      </c>
      <c r="D2693" s="152">
        <v>1</v>
      </c>
      <c r="E2693" s="67">
        <v>30</v>
      </c>
      <c r="F2693" s="46">
        <v>0.31</v>
      </c>
    </row>
    <row r="2694" spans="1:6" ht="15">
      <c r="A2694" s="6" t="s">
        <v>1086</v>
      </c>
      <c r="B2694" s="24">
        <v>3544</v>
      </c>
      <c r="C2694" s="44" t="s">
        <v>1087</v>
      </c>
      <c r="D2694" s="152">
        <v>1</v>
      </c>
      <c r="E2694" s="67">
        <v>30</v>
      </c>
      <c r="F2694" s="46">
        <v>0.31</v>
      </c>
    </row>
    <row r="2695" spans="1:6" ht="15">
      <c r="A2695" s="6" t="s">
        <v>1086</v>
      </c>
      <c r="B2695" s="24">
        <v>3544</v>
      </c>
      <c r="C2695" s="44" t="s">
        <v>1087</v>
      </c>
      <c r="D2695" s="152">
        <v>1</v>
      </c>
      <c r="E2695" s="67">
        <v>30</v>
      </c>
      <c r="F2695" s="46">
        <v>0.31</v>
      </c>
    </row>
    <row r="2696" spans="1:6" ht="15">
      <c r="A2696" s="6" t="s">
        <v>1086</v>
      </c>
      <c r="B2696" s="56"/>
      <c r="C2696" s="138"/>
      <c r="D2696" s="8" t="s">
        <v>86</v>
      </c>
      <c r="E2696" s="8"/>
      <c r="F2696" s="46">
        <v>12</v>
      </c>
    </row>
    <row r="2698" spans="1:6" ht="15">
      <c r="A2698" s="99" t="s">
        <v>1068</v>
      </c>
      <c r="B2698" s="99" t="s">
        <v>128</v>
      </c>
      <c r="C2698" s="99" t="s">
        <v>54</v>
      </c>
    </row>
    <row r="2699" spans="1:6" ht="15">
      <c r="A2699" s="24" t="s">
        <v>793</v>
      </c>
      <c r="B2699" s="24" t="s">
        <v>795</v>
      </c>
      <c r="C2699" s="151">
        <v>55</v>
      </c>
    </row>
    <row r="2701" spans="1:6" ht="15">
      <c r="A2701" s="99" t="s">
        <v>1068</v>
      </c>
      <c r="B2701" s="99" t="s">
        <v>128</v>
      </c>
      <c r="C2701" s="99" t="s">
        <v>54</v>
      </c>
    </row>
    <row r="2702" spans="1:6" ht="15">
      <c r="A2702" s="24" t="s">
        <v>793</v>
      </c>
      <c r="B2702" s="24" t="s">
        <v>795</v>
      </c>
      <c r="C2702" s="151">
        <v>50</v>
      </c>
    </row>
    <row r="2703" spans="1:6" ht="15">
      <c r="A2703" s="24"/>
      <c r="B2703" s="24" t="s">
        <v>31</v>
      </c>
      <c r="C2703" s="45">
        <v>1</v>
      </c>
    </row>
    <row r="2706" spans="1:5" ht="15">
      <c r="A2706" s="99" t="s">
        <v>1068</v>
      </c>
      <c r="B2706" s="99" t="s">
        <v>128</v>
      </c>
      <c r="C2706" s="99" t="s">
        <v>54</v>
      </c>
    </row>
    <row r="2707" spans="1:5" ht="15">
      <c r="A2707" s="24">
        <v>2440</v>
      </c>
      <c r="B2707" s="24" t="s">
        <v>859</v>
      </c>
      <c r="C2707" s="8">
        <v>500</v>
      </c>
    </row>
    <row r="2709" spans="1:5" ht="15">
      <c r="A2709" s="99" t="s">
        <v>105</v>
      </c>
      <c r="B2709" s="99" t="s">
        <v>1068</v>
      </c>
      <c r="C2709" s="99" t="s">
        <v>128</v>
      </c>
      <c r="D2709" s="100" t="s">
        <v>181</v>
      </c>
      <c r="E2709" s="101" t="s">
        <v>1055</v>
      </c>
    </row>
    <row r="2710" spans="1:5" ht="15">
      <c r="A2710" s="6" t="s">
        <v>1089</v>
      </c>
      <c r="B2710" s="24">
        <v>2440</v>
      </c>
      <c r="C2710" s="24" t="s">
        <v>859</v>
      </c>
      <c r="D2710" s="8">
        <v>476</v>
      </c>
      <c r="E2710" s="46">
        <v>3.1</v>
      </c>
    </row>
    <row r="2711" spans="1:5" ht="15">
      <c r="A2711" s="6" t="s">
        <v>1089</v>
      </c>
      <c r="B2711" s="24">
        <v>2440</v>
      </c>
      <c r="C2711" s="24" t="s">
        <v>859</v>
      </c>
      <c r="D2711" s="8">
        <v>28</v>
      </c>
      <c r="E2711" s="46">
        <v>3.1</v>
      </c>
    </row>
    <row r="2714" spans="1:5" ht="15">
      <c r="A2714" s="99" t="s">
        <v>1068</v>
      </c>
      <c r="B2714" s="99" t="s">
        <v>128</v>
      </c>
      <c r="C2714" s="99" t="s">
        <v>54</v>
      </c>
    </row>
    <row r="2715" spans="1:5" ht="15">
      <c r="A2715" s="24">
        <v>5600</v>
      </c>
      <c r="B2715" s="24" t="s">
        <v>744</v>
      </c>
      <c r="C2715" s="8">
        <v>3</v>
      </c>
    </row>
    <row r="2716" spans="1:5" ht="15">
      <c r="A2716" s="24">
        <v>5600</v>
      </c>
      <c r="B2716" s="24" t="s">
        <v>1090</v>
      </c>
      <c r="C2716" s="8">
        <v>3</v>
      </c>
    </row>
    <row r="2717" spans="1:5" ht="15">
      <c r="A2717" s="24" t="s">
        <v>22</v>
      </c>
      <c r="B2717" s="24" t="s">
        <v>863</v>
      </c>
      <c r="C2717" s="151">
        <v>3</v>
      </c>
    </row>
    <row r="2718" spans="1:5" ht="15">
      <c r="A2718" s="24" t="s">
        <v>22</v>
      </c>
      <c r="B2718" s="24" t="s">
        <v>83</v>
      </c>
      <c r="C2718" s="151">
        <v>3</v>
      </c>
    </row>
    <row r="2719" spans="1:5" ht="15">
      <c r="A2719" s="24"/>
      <c r="B2719" s="24" t="s">
        <v>1075</v>
      </c>
      <c r="C2719" s="45" t="s">
        <v>1091</v>
      </c>
    </row>
    <row r="2720" spans="1:5" ht="15">
      <c r="A2720" s="24"/>
      <c r="B2720" s="24" t="s">
        <v>31</v>
      </c>
      <c r="C2720" s="45">
        <v>1</v>
      </c>
    </row>
    <row r="2723" spans="1:4" ht="15">
      <c r="A2723" s="99" t="s">
        <v>1068</v>
      </c>
      <c r="B2723" s="99" t="s">
        <v>128</v>
      </c>
      <c r="C2723" s="100" t="s">
        <v>2</v>
      </c>
    </row>
    <row r="2724" spans="1:4" ht="15">
      <c r="A2724" s="24" t="s">
        <v>1006</v>
      </c>
      <c r="B2724" s="44" t="s">
        <v>129</v>
      </c>
      <c r="C2724" s="67">
        <v>14</v>
      </c>
    </row>
    <row r="2725" spans="1:4" ht="15">
      <c r="A2725" s="24" t="s">
        <v>1004</v>
      </c>
      <c r="B2725" s="44" t="s">
        <v>129</v>
      </c>
      <c r="C2725" s="67">
        <v>14</v>
      </c>
    </row>
    <row r="2726" spans="1:4" ht="15">
      <c r="A2726" s="24" t="s">
        <v>1005</v>
      </c>
      <c r="B2726" s="44" t="s">
        <v>129</v>
      </c>
      <c r="C2726" s="67">
        <v>14</v>
      </c>
    </row>
    <row r="2729" spans="1:4" ht="15">
      <c r="A2729" s="99" t="s">
        <v>1068</v>
      </c>
      <c r="B2729" s="99" t="s">
        <v>128</v>
      </c>
      <c r="C2729" s="100" t="s">
        <v>54</v>
      </c>
    </row>
    <row r="2730" spans="1:4" ht="15">
      <c r="A2730" s="24" t="s">
        <v>536</v>
      </c>
      <c r="B2730" s="24" t="s">
        <v>1095</v>
      </c>
      <c r="C2730" s="8">
        <v>50</v>
      </c>
    </row>
    <row r="2731" spans="1:4" ht="15">
      <c r="A2731" s="24" t="s">
        <v>736</v>
      </c>
      <c r="B2731" s="24" t="s">
        <v>1094</v>
      </c>
      <c r="C2731" s="8">
        <v>20</v>
      </c>
    </row>
    <row r="2732" spans="1:4" ht="15">
      <c r="A2732" s="24" t="s">
        <v>736</v>
      </c>
      <c r="B2732" s="24" t="s">
        <v>104</v>
      </c>
      <c r="C2732" s="8">
        <v>20</v>
      </c>
    </row>
    <row r="2733" spans="1:4" ht="15">
      <c r="A2733" s="24" t="s">
        <v>1093</v>
      </c>
      <c r="B2733" s="24" t="s">
        <v>104</v>
      </c>
      <c r="C2733" s="8">
        <v>20</v>
      </c>
    </row>
    <row r="2735" spans="1:4" ht="15">
      <c r="A2735" s="99" t="s">
        <v>1068</v>
      </c>
      <c r="B2735" s="99" t="s">
        <v>128</v>
      </c>
      <c r="C2735" s="100" t="s">
        <v>2</v>
      </c>
      <c r="D2735" s="101" t="s">
        <v>595</v>
      </c>
    </row>
    <row r="2736" spans="1:4" ht="15">
      <c r="A2736" s="24" t="s">
        <v>536</v>
      </c>
      <c r="B2736" s="24" t="s">
        <v>1095</v>
      </c>
      <c r="C2736" s="151">
        <v>50</v>
      </c>
      <c r="D2736" s="25">
        <v>4.45</v>
      </c>
    </row>
    <row r="2737" spans="1:4" ht="15">
      <c r="A2737" s="24" t="s">
        <v>736</v>
      </c>
      <c r="B2737" s="24" t="s">
        <v>1094</v>
      </c>
      <c r="C2737" s="151">
        <v>12</v>
      </c>
      <c r="D2737" s="25">
        <v>4.17</v>
      </c>
    </row>
    <row r="2738" spans="1:4" ht="15">
      <c r="A2738" s="24" t="s">
        <v>736</v>
      </c>
      <c r="B2738" s="24" t="s">
        <v>1094</v>
      </c>
      <c r="C2738" s="151">
        <v>10</v>
      </c>
      <c r="D2738" s="25">
        <v>4.17</v>
      </c>
    </row>
    <row r="2739" spans="1:4" ht="15">
      <c r="A2739" s="24" t="s">
        <v>736</v>
      </c>
      <c r="B2739" s="24" t="s">
        <v>104</v>
      </c>
      <c r="C2739" s="151">
        <v>10</v>
      </c>
      <c r="D2739" s="25">
        <v>4.17</v>
      </c>
    </row>
    <row r="2740" spans="1:4" ht="15">
      <c r="A2740" s="24" t="s">
        <v>1093</v>
      </c>
      <c r="B2740" s="24" t="s">
        <v>104</v>
      </c>
      <c r="C2740" s="151">
        <v>10</v>
      </c>
      <c r="D2740" s="25">
        <v>6.67</v>
      </c>
    </row>
    <row r="2741" spans="1:4" ht="15">
      <c r="A2741" s="56"/>
      <c r="B2741" s="24" t="s">
        <v>75</v>
      </c>
      <c r="C2741" s="8"/>
      <c r="D2741" s="46">
        <v>60</v>
      </c>
    </row>
    <row r="2742" spans="1:4" ht="15">
      <c r="A2742" s="56"/>
      <c r="B2742" s="24" t="s">
        <v>31</v>
      </c>
      <c r="C2742" s="8"/>
      <c r="D2742" s="46">
        <v>20</v>
      </c>
    </row>
    <row r="2746" spans="1:4">
      <c r="A2746" s="107" t="s">
        <v>64</v>
      </c>
      <c r="B2746" s="107" t="s">
        <v>1061</v>
      </c>
      <c r="C2746" s="107" t="s">
        <v>1096</v>
      </c>
    </row>
    <row r="2747" spans="1:4" ht="15">
      <c r="A2747" s="24" t="s">
        <v>1029</v>
      </c>
      <c r="B2747" s="44" t="s">
        <v>1030</v>
      </c>
      <c r="C2747" s="267" t="s">
        <v>1031</v>
      </c>
    </row>
    <row r="2748" spans="1:4" ht="15">
      <c r="A2748" s="24" t="s">
        <v>1029</v>
      </c>
      <c r="B2748" s="44" t="s">
        <v>1032</v>
      </c>
      <c r="C2748" s="267" t="s">
        <v>1031</v>
      </c>
    </row>
    <row r="2749" spans="1:4" ht="15">
      <c r="A2749" s="24" t="s">
        <v>1029</v>
      </c>
      <c r="B2749" s="44" t="s">
        <v>1033</v>
      </c>
      <c r="C2749" s="267" t="s">
        <v>1031</v>
      </c>
    </row>
    <row r="2750" spans="1:4" ht="15">
      <c r="A2750" s="24" t="s">
        <v>1029</v>
      </c>
      <c r="B2750" s="44" t="s">
        <v>1034</v>
      </c>
      <c r="C2750" s="267" t="s">
        <v>1031</v>
      </c>
    </row>
    <row r="2751" spans="1:4" ht="15">
      <c r="A2751" s="24" t="s">
        <v>1029</v>
      </c>
      <c r="B2751" s="44" t="s">
        <v>1030</v>
      </c>
      <c r="C2751" s="267" t="s">
        <v>1058</v>
      </c>
    </row>
    <row r="2752" spans="1:4" ht="15">
      <c r="A2752" s="24" t="s">
        <v>1029</v>
      </c>
      <c r="B2752" s="44" t="s">
        <v>1032</v>
      </c>
      <c r="C2752" s="267" t="s">
        <v>1058</v>
      </c>
    </row>
    <row r="2753" spans="1:3" ht="15">
      <c r="A2753" s="24" t="s">
        <v>1029</v>
      </c>
      <c r="B2753" s="44" t="s">
        <v>1033</v>
      </c>
      <c r="C2753" s="267" t="s">
        <v>1058</v>
      </c>
    </row>
    <row r="2754" spans="1:3" ht="15">
      <c r="A2754" s="24" t="s">
        <v>1029</v>
      </c>
      <c r="B2754" s="44" t="s">
        <v>1034</v>
      </c>
      <c r="C2754" s="267" t="s">
        <v>1058</v>
      </c>
    </row>
    <row r="2755" spans="1:3" ht="15">
      <c r="A2755" s="24" t="s">
        <v>1029</v>
      </c>
      <c r="B2755" s="44" t="s">
        <v>1030</v>
      </c>
      <c r="C2755" s="267" t="s">
        <v>1060</v>
      </c>
    </row>
    <row r="2756" spans="1:3" ht="15">
      <c r="A2756" s="24" t="s">
        <v>1029</v>
      </c>
      <c r="B2756" s="44" t="s">
        <v>1032</v>
      </c>
      <c r="C2756" s="267" t="s">
        <v>1060</v>
      </c>
    </row>
    <row r="2757" spans="1:3" ht="15">
      <c r="A2757" s="24" t="s">
        <v>1029</v>
      </c>
      <c r="B2757" s="44" t="s">
        <v>1033</v>
      </c>
      <c r="C2757" s="267" t="s">
        <v>1060</v>
      </c>
    </row>
    <row r="2758" spans="1:3" ht="15">
      <c r="A2758" s="24" t="s">
        <v>1029</v>
      </c>
      <c r="B2758" s="44" t="s">
        <v>1034</v>
      </c>
      <c r="C2758" s="267" t="s">
        <v>1060</v>
      </c>
    </row>
    <row r="2759" spans="1:3" ht="15">
      <c r="A2759" s="24" t="s">
        <v>1029</v>
      </c>
      <c r="B2759" s="44" t="s">
        <v>1030</v>
      </c>
      <c r="C2759" s="267" t="s">
        <v>1059</v>
      </c>
    </row>
    <row r="2760" spans="1:3" ht="15">
      <c r="A2760" s="24" t="s">
        <v>1029</v>
      </c>
      <c r="B2760" s="44" t="s">
        <v>1032</v>
      </c>
      <c r="C2760" s="267" t="s">
        <v>1059</v>
      </c>
    </row>
    <row r="2761" spans="1:3" ht="15">
      <c r="A2761" s="24" t="s">
        <v>1029</v>
      </c>
      <c r="B2761" s="44" t="s">
        <v>1033</v>
      </c>
      <c r="C2761" s="267" t="s">
        <v>1059</v>
      </c>
    </row>
    <row r="2762" spans="1:3" ht="15">
      <c r="A2762" s="24" t="s">
        <v>1029</v>
      </c>
      <c r="B2762" s="44" t="s">
        <v>1034</v>
      </c>
      <c r="C2762" s="267" t="s">
        <v>1099</v>
      </c>
    </row>
    <row r="2763" spans="1:3" ht="15">
      <c r="A2763" s="24"/>
      <c r="B2763" s="44"/>
      <c r="C2763" s="44" t="s">
        <v>1097</v>
      </c>
    </row>
    <row r="2766" spans="1:3" ht="15">
      <c r="A2766" s="99" t="s">
        <v>1068</v>
      </c>
      <c r="B2766" s="99" t="s">
        <v>1098</v>
      </c>
      <c r="C2766" s="99" t="s">
        <v>1036</v>
      </c>
    </row>
    <row r="2767" spans="1:3" ht="15">
      <c r="A2767" s="24" t="s">
        <v>1029</v>
      </c>
      <c r="B2767" s="44" t="s">
        <v>1041</v>
      </c>
      <c r="C2767" s="267" t="s">
        <v>1031</v>
      </c>
    </row>
    <row r="2768" spans="1:3" ht="15">
      <c r="A2768" s="24" t="s">
        <v>1029</v>
      </c>
      <c r="B2768" s="44" t="s">
        <v>1032</v>
      </c>
      <c r="C2768" s="267" t="s">
        <v>1031</v>
      </c>
    </row>
    <row r="2769" spans="1:3" ht="15">
      <c r="A2769" s="24" t="s">
        <v>1029</v>
      </c>
      <c r="B2769" s="44" t="s">
        <v>1033</v>
      </c>
      <c r="C2769" s="267" t="s">
        <v>1031</v>
      </c>
    </row>
    <row r="2770" spans="1:3" ht="15">
      <c r="A2770" s="24" t="s">
        <v>1029</v>
      </c>
      <c r="B2770" s="44" t="s">
        <v>1034</v>
      </c>
      <c r="C2770" s="267" t="s">
        <v>1031</v>
      </c>
    </row>
    <row r="2771" spans="1:3" ht="15">
      <c r="A2771" s="24" t="s">
        <v>1029</v>
      </c>
      <c r="B2771" s="44" t="s">
        <v>1030</v>
      </c>
      <c r="C2771" s="267" t="s">
        <v>1058</v>
      </c>
    </row>
    <row r="2772" spans="1:3" ht="15">
      <c r="A2772" s="24" t="s">
        <v>1029</v>
      </c>
      <c r="B2772" s="44" t="s">
        <v>1032</v>
      </c>
      <c r="C2772" s="267" t="s">
        <v>1058</v>
      </c>
    </row>
    <row r="2773" spans="1:3" ht="15">
      <c r="A2773" s="24" t="s">
        <v>1029</v>
      </c>
      <c r="B2773" s="44" t="s">
        <v>1033</v>
      </c>
      <c r="C2773" s="267" t="s">
        <v>1058</v>
      </c>
    </row>
    <row r="2774" spans="1:3" ht="15">
      <c r="A2774" s="24" t="s">
        <v>1029</v>
      </c>
      <c r="B2774" s="44" t="s">
        <v>1034</v>
      </c>
      <c r="C2774" s="267" t="s">
        <v>1058</v>
      </c>
    </row>
    <row r="2775" spans="1:3" ht="15">
      <c r="A2775" s="24" t="s">
        <v>1029</v>
      </c>
      <c r="B2775" s="44" t="s">
        <v>1030</v>
      </c>
      <c r="C2775" s="267" t="s">
        <v>1060</v>
      </c>
    </row>
    <row r="2776" spans="1:3" ht="15">
      <c r="A2776" s="24" t="s">
        <v>1029</v>
      </c>
      <c r="B2776" s="44" t="s">
        <v>1032</v>
      </c>
      <c r="C2776" s="267" t="s">
        <v>1060</v>
      </c>
    </row>
    <row r="2777" spans="1:3" ht="15">
      <c r="A2777" s="24" t="s">
        <v>1029</v>
      </c>
      <c r="B2777" s="44" t="s">
        <v>1033</v>
      </c>
      <c r="C2777" s="267" t="s">
        <v>1060</v>
      </c>
    </row>
    <row r="2778" spans="1:3" ht="15">
      <c r="A2778" s="24" t="s">
        <v>1029</v>
      </c>
      <c r="B2778" s="44" t="s">
        <v>1034</v>
      </c>
      <c r="C2778" s="267" t="s">
        <v>1060</v>
      </c>
    </row>
    <row r="2779" spans="1:3" ht="15">
      <c r="A2779" s="24" t="s">
        <v>1029</v>
      </c>
      <c r="B2779" s="44" t="s">
        <v>1030</v>
      </c>
      <c r="C2779" s="267" t="s">
        <v>1059</v>
      </c>
    </row>
    <row r="2780" spans="1:3" ht="15">
      <c r="A2780" s="24" t="s">
        <v>1029</v>
      </c>
      <c r="B2780" s="44" t="s">
        <v>1032</v>
      </c>
      <c r="C2780" s="267" t="s">
        <v>1059</v>
      </c>
    </row>
    <row r="2781" spans="1:3" ht="15">
      <c r="A2781" s="24" t="s">
        <v>1029</v>
      </c>
      <c r="B2781" s="44" t="s">
        <v>1033</v>
      </c>
      <c r="C2781" s="267" t="s">
        <v>1059</v>
      </c>
    </row>
    <row r="2782" spans="1:3" ht="15">
      <c r="A2782" s="24" t="s">
        <v>1029</v>
      </c>
      <c r="B2782" s="44" t="s">
        <v>1034</v>
      </c>
      <c r="C2782" s="267" t="s">
        <v>1059</v>
      </c>
    </row>
    <row r="2783" spans="1:3" ht="15">
      <c r="A2783" s="24"/>
      <c r="B2783" s="44"/>
      <c r="C2783" s="44" t="s">
        <v>540</v>
      </c>
    </row>
    <row r="2784" spans="1:3" ht="15">
      <c r="A2784" s="24"/>
      <c r="B2784" s="44"/>
      <c r="C2784" s="44" t="s">
        <v>31</v>
      </c>
    </row>
    <row r="2788" spans="1:6" ht="15">
      <c r="A2788" s="99" t="s">
        <v>1068</v>
      </c>
      <c r="B2788" s="99" t="s">
        <v>1035</v>
      </c>
      <c r="C2788" s="99" t="s">
        <v>1100</v>
      </c>
      <c r="D2788" s="101" t="s">
        <v>151</v>
      </c>
    </row>
    <row r="2789" spans="1:6" ht="15">
      <c r="A2789" s="24" t="s">
        <v>1101</v>
      </c>
      <c r="B2789" s="44" t="s">
        <v>1030</v>
      </c>
      <c r="C2789" s="260" t="s">
        <v>1064</v>
      </c>
      <c r="D2789" s="281" t="s">
        <v>1104</v>
      </c>
    </row>
    <row r="2790" spans="1:6" ht="15">
      <c r="A2790" s="24" t="s">
        <v>1101</v>
      </c>
      <c r="B2790" s="44" t="s">
        <v>1032</v>
      </c>
      <c r="C2790" s="260" t="s">
        <v>1064</v>
      </c>
      <c r="D2790" s="281" t="s">
        <v>1104</v>
      </c>
    </row>
    <row r="2791" spans="1:6" ht="15">
      <c r="A2791" s="24"/>
      <c r="B2791" s="44"/>
      <c r="C2791" s="44" t="s">
        <v>31</v>
      </c>
      <c r="D2791" s="281" t="s">
        <v>1104</v>
      </c>
    </row>
    <row r="2792" spans="1:6" ht="22.5">
      <c r="A2792" s="24"/>
      <c r="B2792" s="44"/>
      <c r="C2792" s="44"/>
      <c r="D2792" s="152" ph="1"/>
      <c r="E2792" s="46"/>
    </row>
    <row r="2793" spans="1:6" ht="15">
      <c r="A2793" s="99" t="s">
        <v>1068</v>
      </c>
      <c r="B2793" s="99" t="s">
        <v>389</v>
      </c>
      <c r="C2793" s="99" t="s">
        <v>128</v>
      </c>
      <c r="D2793" s="100" t="s">
        <v>181</v>
      </c>
      <c r="E2793" s="101" t="s">
        <v>1038</v>
      </c>
      <c r="F2793" s="101" t="s">
        <v>151</v>
      </c>
    </row>
    <row r="2794" spans="1:6" ht="15">
      <c r="A2794" s="24">
        <v>3705</v>
      </c>
      <c r="B2794" s="26">
        <v>19</v>
      </c>
      <c r="C2794" s="24" t="s">
        <v>913</v>
      </c>
      <c r="D2794" s="67" t="s">
        <v>1102</v>
      </c>
      <c r="E2794" s="46">
        <v>0.42</v>
      </c>
      <c r="F2794" s="281" t="s">
        <v>1105</v>
      </c>
    </row>
    <row r="2795" spans="1:6" ht="15">
      <c r="A2795" s="24"/>
      <c r="B2795" s="138"/>
      <c r="C2795" s="24" t="s">
        <v>481</v>
      </c>
      <c r="D2795" s="8"/>
      <c r="E2795" s="46">
        <v>12</v>
      </c>
      <c r="F2795" s="281" t="s">
        <v>1105</v>
      </c>
    </row>
    <row r="2799" spans="1:6" ht="15">
      <c r="A2799" s="99" t="s">
        <v>1068</v>
      </c>
      <c r="B2799" s="99" t="s">
        <v>1035</v>
      </c>
      <c r="C2799" s="99" t="s">
        <v>1100</v>
      </c>
      <c r="D2799" s="151"/>
      <c r="E2799" s="34" t="s">
        <v>1027</v>
      </c>
    </row>
    <row r="2800" spans="1:6" ht="15">
      <c r="A2800" s="24" t="s">
        <v>1103</v>
      </c>
      <c r="B2800" s="44" t="s">
        <v>1030</v>
      </c>
      <c r="C2800" s="260" t="s">
        <v>1064</v>
      </c>
    </row>
    <row r="2801" spans="1:6" ht="15">
      <c r="A2801" s="24" t="s">
        <v>1103</v>
      </c>
      <c r="B2801" s="44" t="s">
        <v>1032</v>
      </c>
      <c r="C2801" s="260" t="s">
        <v>1064</v>
      </c>
    </row>
    <row r="2802" spans="1:6" ht="15">
      <c r="A2802" s="24" t="s">
        <v>1103</v>
      </c>
      <c r="B2802" s="44" t="s">
        <v>1030</v>
      </c>
      <c r="C2802" s="260" t="s">
        <v>1109</v>
      </c>
    </row>
    <row r="2803" spans="1:6" ht="15">
      <c r="A2803" s="24" t="s">
        <v>1103</v>
      </c>
      <c r="B2803" s="44" t="s">
        <v>1032</v>
      </c>
      <c r="C2803" s="260" t="s">
        <v>1109</v>
      </c>
    </row>
    <row r="2804" spans="1:6" ht="15">
      <c r="A2804" s="24"/>
      <c r="B2804" s="44"/>
      <c r="C2804" s="44" t="s">
        <v>31</v>
      </c>
    </row>
    <row r="2808" spans="1:6" ht="15">
      <c r="A2808" s="99" t="s">
        <v>105</v>
      </c>
      <c r="B2808" s="99" t="s">
        <v>1068</v>
      </c>
      <c r="C2808" s="99" t="s">
        <v>1035</v>
      </c>
      <c r="D2808" s="101" t="s">
        <v>1038</v>
      </c>
    </row>
    <row r="2809" spans="1:6" ht="15">
      <c r="A2809" s="6" t="s">
        <v>1107</v>
      </c>
      <c r="B2809" s="24" t="s">
        <v>1103</v>
      </c>
      <c r="C2809" s="44" t="s">
        <v>1030</v>
      </c>
      <c r="D2809" s="46">
        <v>0.26</v>
      </c>
    </row>
    <row r="2810" spans="1:6" ht="15">
      <c r="A2810" s="6" t="s">
        <v>1107</v>
      </c>
      <c r="B2810" s="24" t="s">
        <v>1103</v>
      </c>
      <c r="C2810" s="44" t="s">
        <v>1032</v>
      </c>
      <c r="D2810" s="46">
        <v>0.27</v>
      </c>
    </row>
    <row r="2811" spans="1:6" ht="15">
      <c r="A2811" s="6" t="s">
        <v>1107</v>
      </c>
      <c r="B2811" s="24"/>
      <c r="C2811" s="44"/>
      <c r="D2811" s="46">
        <v>12</v>
      </c>
    </row>
    <row r="2812" spans="1:6" ht="15">
      <c r="A2812" s="99" t="s">
        <v>105</v>
      </c>
      <c r="B2812" s="99" t="s">
        <v>1068</v>
      </c>
      <c r="C2812" s="99" t="s">
        <v>389</v>
      </c>
      <c r="D2812" s="100" t="s">
        <v>182</v>
      </c>
      <c r="E2812" s="100" t="s">
        <v>181</v>
      </c>
      <c r="F2812" s="101" t="s">
        <v>1038</v>
      </c>
    </row>
    <row r="2813" spans="1:6" ht="15">
      <c r="A2813" s="6" t="s">
        <v>1106</v>
      </c>
      <c r="B2813" s="24">
        <v>3705</v>
      </c>
      <c r="C2813" s="26">
        <v>19</v>
      </c>
      <c r="D2813" s="152">
        <v>34</v>
      </c>
      <c r="E2813" s="67">
        <v>1020</v>
      </c>
      <c r="F2813" s="46">
        <v>0.42</v>
      </c>
    </row>
    <row r="2814" spans="1:6" ht="15">
      <c r="A2814" s="6" t="s">
        <v>1106</v>
      </c>
      <c r="B2814" s="24"/>
      <c r="C2814" s="138"/>
      <c r="D2814" s="41"/>
      <c r="E2814" s="8"/>
      <c r="F2814" s="46">
        <v>12</v>
      </c>
    </row>
    <row r="2817" spans="1:5" ht="15">
      <c r="A2817" s="99" t="s">
        <v>1068</v>
      </c>
      <c r="B2817" s="99" t="s">
        <v>389</v>
      </c>
      <c r="C2817" s="99" t="s">
        <v>128</v>
      </c>
      <c r="D2817" s="100" t="s">
        <v>181</v>
      </c>
      <c r="E2817" s="101" t="s">
        <v>1038</v>
      </c>
    </row>
    <row r="2818" spans="1:5" ht="15">
      <c r="A2818" s="24">
        <v>5634</v>
      </c>
      <c r="B2818" s="44" t="s">
        <v>1111</v>
      </c>
      <c r="C2818" s="260" t="s">
        <v>1064</v>
      </c>
      <c r="D2818" s="67">
        <v>1100</v>
      </c>
      <c r="E2818" s="46">
        <v>0.23</v>
      </c>
    </row>
    <row r="2819" spans="1:5" ht="15">
      <c r="A2819" s="24">
        <v>5634</v>
      </c>
      <c r="B2819" s="44" t="s">
        <v>1111</v>
      </c>
      <c r="C2819" s="260" t="s">
        <v>1108</v>
      </c>
      <c r="D2819" s="67">
        <v>950</v>
      </c>
      <c r="E2819" s="46">
        <v>0.23</v>
      </c>
    </row>
    <row r="2820" spans="1:5" ht="22.5">
      <c r="A2820" s="24"/>
      <c r="B2820" s="44"/>
      <c r="C2820" s="44" t="s">
        <v>31</v>
      </c>
      <c r="D2820" s="151" ph="1"/>
      <c r="E2820" s="46">
        <v>12</v>
      </c>
    </row>
    <row r="2824" spans="1:5" ht="15.75">
      <c r="A2824" s="90" t="s">
        <v>1068</v>
      </c>
      <c r="B2824" s="90" t="s">
        <v>389</v>
      </c>
      <c r="C2824" s="90" t="s">
        <v>128</v>
      </c>
      <c r="D2824" s="145" t="s">
        <v>181</v>
      </c>
      <c r="E2824" s="146" t="s">
        <v>1055</v>
      </c>
    </row>
    <row r="2825" spans="1:5" ht="15">
      <c r="A2825" s="24">
        <v>3705</v>
      </c>
      <c r="B2825" s="26">
        <v>38</v>
      </c>
      <c r="C2825" s="24" t="s">
        <v>414</v>
      </c>
      <c r="D2825" s="67">
        <v>300</v>
      </c>
      <c r="E2825" s="25">
        <v>0.89</v>
      </c>
    </row>
    <row r="2826" spans="1:5" ht="15">
      <c r="A2826" s="56"/>
      <c r="B2826" s="138"/>
      <c r="C2826" s="24" t="s">
        <v>31</v>
      </c>
      <c r="D2826" s="8"/>
      <c r="E2826" s="46">
        <v>12</v>
      </c>
    </row>
    <row r="2828" spans="1:5" ht="15.75">
      <c r="A2828" s="90" t="s">
        <v>1068</v>
      </c>
      <c r="B2828" s="90" t="s">
        <v>389</v>
      </c>
      <c r="C2828" s="90" t="s">
        <v>128</v>
      </c>
      <c r="D2828" s="145" t="s">
        <v>181</v>
      </c>
      <c r="E2828" s="146" t="s">
        <v>1055</v>
      </c>
    </row>
    <row r="2829" spans="1:5" ht="15">
      <c r="A2829" s="24">
        <v>5291</v>
      </c>
      <c r="B2829" s="26">
        <v>6</v>
      </c>
      <c r="C2829" s="24" t="s">
        <v>1112</v>
      </c>
      <c r="D2829" s="67">
        <v>50</v>
      </c>
      <c r="E2829" s="25">
        <v>0.2</v>
      </c>
    </row>
    <row r="2830" spans="1:5" ht="15">
      <c r="A2830" s="24">
        <v>5291</v>
      </c>
      <c r="B2830" s="26">
        <v>6</v>
      </c>
      <c r="C2830" s="24" t="s">
        <v>1113</v>
      </c>
      <c r="D2830" s="67">
        <v>50</v>
      </c>
      <c r="E2830" s="25">
        <v>0.2</v>
      </c>
    </row>
    <row r="2831" spans="1:5" ht="15">
      <c r="A2831" s="24">
        <v>5291</v>
      </c>
      <c r="B2831" s="26">
        <v>6</v>
      </c>
      <c r="C2831" s="24" t="s">
        <v>1114</v>
      </c>
      <c r="D2831" s="67">
        <v>50</v>
      </c>
      <c r="E2831" s="25">
        <v>0.2</v>
      </c>
    </row>
    <row r="2832" spans="1:5" ht="15">
      <c r="A2832" s="24"/>
      <c r="B2832" s="26"/>
      <c r="C2832" s="24"/>
      <c r="D2832" s="8"/>
      <c r="E2832" s="46">
        <v>12</v>
      </c>
    </row>
    <row r="2834" spans="1:6" ht="15">
      <c r="A2834" s="20" t="s">
        <v>628</v>
      </c>
      <c r="B2834" s="26"/>
      <c r="C2834" s="24"/>
      <c r="D2834" s="68"/>
      <c r="E2834" s="17" t="s">
        <v>134</v>
      </c>
    </row>
    <row r="2835" spans="1:6" ht="15">
      <c r="A2835" s="56">
        <v>5291</v>
      </c>
      <c r="B2835" s="26">
        <v>6</v>
      </c>
      <c r="C2835" s="24" t="s">
        <v>499</v>
      </c>
      <c r="D2835" s="68">
        <v>1</v>
      </c>
      <c r="E2835" s="25">
        <v>0.2</v>
      </c>
    </row>
    <row r="2837" spans="1:6" ht="15.75">
      <c r="A2837" s="90" t="s">
        <v>1068</v>
      </c>
      <c r="B2837" s="90" t="s">
        <v>389</v>
      </c>
      <c r="C2837" s="90" t="s">
        <v>128</v>
      </c>
      <c r="D2837" s="145" t="s">
        <v>181</v>
      </c>
      <c r="E2837" s="146" t="s">
        <v>1055</v>
      </c>
      <c r="F2837" s="146" t="s">
        <v>622</v>
      </c>
    </row>
    <row r="2838" spans="1:6" ht="15">
      <c r="A2838" s="24">
        <v>5291</v>
      </c>
      <c r="B2838" s="29">
        <v>6</v>
      </c>
      <c r="C2838" s="24" t="s">
        <v>499</v>
      </c>
      <c r="D2838" s="67">
        <v>50</v>
      </c>
      <c r="E2838" s="25">
        <v>0.2</v>
      </c>
      <c r="F2838" s="281" t="s">
        <v>1118</v>
      </c>
    </row>
    <row r="2842" spans="1:6" ht="15.75">
      <c r="A2842" s="90" t="s">
        <v>1068</v>
      </c>
      <c r="B2842" s="90" t="s">
        <v>128</v>
      </c>
      <c r="C2842" s="145" t="s">
        <v>2</v>
      </c>
      <c r="D2842" s="146" t="s">
        <v>1055</v>
      </c>
    </row>
    <row r="2843" spans="1:6" ht="15">
      <c r="A2843" s="24">
        <v>5603</v>
      </c>
      <c r="B2843" s="44" t="s">
        <v>1116</v>
      </c>
      <c r="C2843" s="151">
        <v>50</v>
      </c>
      <c r="D2843" s="46">
        <v>0.3</v>
      </c>
    </row>
    <row r="2844" spans="1:6" ht="15">
      <c r="A2844" s="24">
        <v>5603</v>
      </c>
      <c r="B2844" s="44" t="s">
        <v>1117</v>
      </c>
      <c r="C2844" s="151">
        <v>50</v>
      </c>
      <c r="D2844" s="46">
        <v>0.3</v>
      </c>
    </row>
    <row r="2845" spans="1:6" ht="15">
      <c r="A2845" s="24">
        <v>5603</v>
      </c>
      <c r="B2845" s="44" t="s">
        <v>45</v>
      </c>
      <c r="C2845" s="151">
        <v>50</v>
      </c>
      <c r="D2845" s="46">
        <v>0.3</v>
      </c>
    </row>
    <row r="2846" spans="1:6" ht="15">
      <c r="A2846" s="24"/>
      <c r="B2846" s="24" t="s">
        <v>31</v>
      </c>
      <c r="C2846" s="45"/>
      <c r="D2846" s="46">
        <v>12</v>
      </c>
    </row>
    <row r="2851" spans="1:10" ht="15.75">
      <c r="A2851" s="99" t="s">
        <v>105</v>
      </c>
      <c r="B2851" s="99" t="s">
        <v>455</v>
      </c>
      <c r="C2851" s="99" t="s">
        <v>389</v>
      </c>
      <c r="D2851" s="100" t="s">
        <v>182</v>
      </c>
      <c r="E2851" s="100" t="s">
        <v>181</v>
      </c>
      <c r="F2851" s="101" t="s">
        <v>1048</v>
      </c>
      <c r="G2851" s="212"/>
      <c r="H2851" s="212"/>
      <c r="I2851" s="11"/>
      <c r="J2851" s="13"/>
    </row>
    <row r="2852" spans="1:10" ht="15">
      <c r="A2852" s="33" t="s">
        <v>1119</v>
      </c>
      <c r="B2852" s="24">
        <v>5291</v>
      </c>
      <c r="C2852" s="26">
        <v>8</v>
      </c>
      <c r="D2852" s="68">
        <v>7</v>
      </c>
      <c r="E2852" s="8">
        <v>350</v>
      </c>
      <c r="F2852" s="46">
        <v>0.63</v>
      </c>
      <c r="G2852" s="38"/>
      <c r="H2852" s="38"/>
      <c r="I2852" s="39"/>
      <c r="J2852" s="213"/>
    </row>
    <row r="2856" spans="1:10" ht="15.75">
      <c r="A2856" s="90" t="s">
        <v>1068</v>
      </c>
      <c r="B2856" s="90" t="s">
        <v>389</v>
      </c>
      <c r="C2856" s="90" t="s">
        <v>128</v>
      </c>
      <c r="D2856" s="145" t="s">
        <v>181</v>
      </c>
      <c r="E2856" s="146" t="s">
        <v>1055</v>
      </c>
    </row>
    <row r="2857" spans="1:10" ht="15">
      <c r="A2857" s="24">
        <v>5291</v>
      </c>
      <c r="B2857" s="26">
        <v>6</v>
      </c>
      <c r="C2857" s="24" t="s">
        <v>160</v>
      </c>
      <c r="D2857" s="67">
        <v>50</v>
      </c>
      <c r="E2857" s="25">
        <v>0.23</v>
      </c>
    </row>
    <row r="2858" spans="1:10" ht="15">
      <c r="A2858" s="24">
        <v>5291</v>
      </c>
      <c r="B2858" s="26">
        <v>6</v>
      </c>
      <c r="C2858" s="24" t="s">
        <v>171</v>
      </c>
      <c r="D2858" s="67">
        <v>50</v>
      </c>
      <c r="E2858" s="25">
        <v>0.23</v>
      </c>
    </row>
    <row r="2859" spans="1:10" ht="15">
      <c r="A2859" s="24">
        <v>5291</v>
      </c>
      <c r="B2859" s="26">
        <v>6</v>
      </c>
      <c r="C2859" s="24" t="s">
        <v>45</v>
      </c>
      <c r="D2859" s="67">
        <v>50</v>
      </c>
      <c r="E2859" s="25">
        <v>0.23</v>
      </c>
    </row>
    <row r="2860" spans="1:10" ht="15">
      <c r="A2860" s="24">
        <v>5291</v>
      </c>
      <c r="B2860" s="26">
        <v>4</v>
      </c>
      <c r="C2860" s="24" t="s">
        <v>103</v>
      </c>
      <c r="D2860" s="67">
        <v>500</v>
      </c>
      <c r="E2860" s="25">
        <v>0.13</v>
      </c>
    </row>
    <row r="2861" spans="1:10" ht="15">
      <c r="A2861" s="24"/>
      <c r="B2861" s="26"/>
      <c r="C2861" s="24" t="s">
        <v>31</v>
      </c>
      <c r="D2861" s="8"/>
      <c r="E2861" s="46">
        <v>12</v>
      </c>
    </row>
    <row r="2863" spans="1:10" ht="15.75">
      <c r="A2863" s="90" t="s">
        <v>1068</v>
      </c>
      <c r="B2863" s="90" t="s">
        <v>128</v>
      </c>
      <c r="C2863" s="145" t="s">
        <v>2</v>
      </c>
      <c r="D2863" s="146" t="s">
        <v>1055</v>
      </c>
    </row>
    <row r="2864" spans="1:10" ht="15">
      <c r="A2864" s="24" t="s">
        <v>1120</v>
      </c>
      <c r="B2864" s="44" t="s">
        <v>129</v>
      </c>
      <c r="C2864" s="67">
        <v>14</v>
      </c>
      <c r="D2864" s="46">
        <v>1.1200000000000001</v>
      </c>
    </row>
    <row r="2865" spans="1:6" ht="15">
      <c r="A2865" s="24" t="s">
        <v>1121</v>
      </c>
      <c r="B2865" s="44" t="s">
        <v>129</v>
      </c>
      <c r="C2865" s="67">
        <v>14</v>
      </c>
      <c r="D2865" s="46">
        <v>1.62</v>
      </c>
    </row>
    <row r="2866" spans="1:6" ht="15">
      <c r="A2866" s="24" t="s">
        <v>1122</v>
      </c>
      <c r="B2866" s="44" t="s">
        <v>129</v>
      </c>
      <c r="C2866" s="67">
        <v>14</v>
      </c>
      <c r="D2866" s="46">
        <v>7.75</v>
      </c>
    </row>
    <row r="2867" spans="1:6" ht="15">
      <c r="A2867" s="95"/>
      <c r="B2867" s="24" t="s">
        <v>31</v>
      </c>
      <c r="C2867" s="8"/>
      <c r="D2867" s="46">
        <v>12</v>
      </c>
    </row>
    <row r="2868" spans="1:6" ht="14.25">
      <c r="A2868" s="28"/>
      <c r="B2868" s="28"/>
      <c r="C2868" s="28"/>
      <c r="D2868" s="1"/>
      <c r="E2868" s="1"/>
    </row>
    <row r="2870" spans="1:6" ht="15.75">
      <c r="A2870" s="90" t="s">
        <v>105</v>
      </c>
      <c r="B2870" s="90" t="s">
        <v>1068</v>
      </c>
      <c r="C2870" s="90" t="s">
        <v>128</v>
      </c>
      <c r="D2870" s="145" t="s">
        <v>181</v>
      </c>
      <c r="E2870" s="146" t="s">
        <v>1055</v>
      </c>
    </row>
    <row r="2871" spans="1:6" ht="15">
      <c r="A2871" s="33" t="s">
        <v>1123</v>
      </c>
      <c r="B2871" s="24" t="s">
        <v>1006</v>
      </c>
      <c r="C2871" s="44" t="s">
        <v>129</v>
      </c>
      <c r="D2871" s="67">
        <v>70</v>
      </c>
      <c r="E2871" s="46">
        <v>3.1</v>
      </c>
    </row>
    <row r="2872" spans="1:6" ht="15">
      <c r="A2872" s="33" t="s">
        <v>1123</v>
      </c>
      <c r="B2872" s="56"/>
      <c r="C2872" s="24" t="s">
        <v>31</v>
      </c>
      <c r="D2872" s="8"/>
      <c r="E2872" s="46">
        <v>12</v>
      </c>
    </row>
    <row r="2876" spans="1:6" ht="15.75">
      <c r="A2876" s="90" t="s">
        <v>105</v>
      </c>
      <c r="B2876" s="90" t="s">
        <v>1068</v>
      </c>
      <c r="C2876" s="90" t="s">
        <v>52</v>
      </c>
      <c r="D2876" s="145" t="s">
        <v>182</v>
      </c>
      <c r="E2876" s="145" t="s">
        <v>181</v>
      </c>
      <c r="F2876" s="146" t="s">
        <v>1055</v>
      </c>
    </row>
    <row r="2877" spans="1:6" ht="15">
      <c r="A2877" s="6" t="s">
        <v>1125</v>
      </c>
      <c r="B2877" s="24">
        <v>3920</v>
      </c>
      <c r="C2877" s="26">
        <v>15</v>
      </c>
      <c r="D2877" s="68">
        <v>1</v>
      </c>
      <c r="E2877" s="67">
        <v>30</v>
      </c>
      <c r="F2877" s="25">
        <v>0.59</v>
      </c>
    </row>
    <row r="2878" spans="1:6" ht="15">
      <c r="A2878" s="6" t="s">
        <v>1125</v>
      </c>
      <c r="B2878" s="24">
        <v>3920</v>
      </c>
      <c r="C2878" s="26">
        <v>19</v>
      </c>
      <c r="D2878" s="68">
        <v>1</v>
      </c>
      <c r="E2878" s="67">
        <v>30</v>
      </c>
      <c r="F2878" s="25">
        <v>0.69</v>
      </c>
    </row>
    <row r="2879" spans="1:6" ht="15">
      <c r="A2879" s="6"/>
      <c r="B2879" s="20"/>
      <c r="C2879" s="26"/>
      <c r="D2879" s="68"/>
      <c r="E2879" s="67"/>
      <c r="F2879" s="17"/>
    </row>
    <row r="2880" spans="1:6" ht="15">
      <c r="A2880" s="6" t="s">
        <v>1125</v>
      </c>
      <c r="B2880" s="24" t="s">
        <v>1128</v>
      </c>
      <c r="C2880" s="26"/>
      <c r="D2880" s="68">
        <v>1</v>
      </c>
      <c r="E2880" s="67">
        <v>50</v>
      </c>
      <c r="F2880" s="25">
        <v>0.27</v>
      </c>
    </row>
    <row r="2881" spans="1:6" ht="15">
      <c r="A2881" s="6"/>
      <c r="B2881" s="20"/>
      <c r="C2881" s="26"/>
      <c r="D2881" s="68"/>
      <c r="E2881" s="67"/>
      <c r="F2881" s="17"/>
    </row>
    <row r="2882" spans="1:6" ht="15">
      <c r="A2882" s="6" t="s">
        <v>1125</v>
      </c>
      <c r="B2882" s="24">
        <v>5262</v>
      </c>
      <c r="C2882" s="26">
        <v>8</v>
      </c>
      <c r="D2882" s="68">
        <v>1</v>
      </c>
      <c r="E2882" s="67">
        <v>50</v>
      </c>
      <c r="F2882" s="46">
        <v>0.38</v>
      </c>
    </row>
    <row r="2883" spans="1:6" ht="15">
      <c r="A2883" s="6" t="s">
        <v>1125</v>
      </c>
      <c r="B2883" s="24"/>
      <c r="C2883" s="26"/>
      <c r="D2883" s="8" t="s">
        <v>1129</v>
      </c>
      <c r="E2883" s="8"/>
      <c r="F2883" s="46">
        <v>36</v>
      </c>
    </row>
    <row r="2884" spans="1:6" ht="15">
      <c r="A2884" s="6"/>
      <c r="B2884" s="56"/>
      <c r="C2884" s="26"/>
      <c r="D2884" s="8"/>
      <c r="E2884" s="8"/>
      <c r="F2884" s="46"/>
    </row>
    <row r="2885" spans="1:6" ht="15">
      <c r="A2885" s="6" t="s">
        <v>1125</v>
      </c>
      <c r="B2885" s="20" t="s">
        <v>1130</v>
      </c>
      <c r="C2885" s="26"/>
      <c r="D2885" s="8"/>
      <c r="E2885" s="8"/>
      <c r="F2885" s="46"/>
    </row>
    <row r="2889" spans="1:6" ht="15.75">
      <c r="A2889" s="90" t="s">
        <v>1068</v>
      </c>
      <c r="B2889" s="90" t="s">
        <v>128</v>
      </c>
      <c r="C2889" s="145" t="s">
        <v>2</v>
      </c>
      <c r="D2889" s="146" t="s">
        <v>1055</v>
      </c>
      <c r="E2889" s="146" t="s">
        <v>636</v>
      </c>
      <c r="F2889" s="146" t="s">
        <v>151</v>
      </c>
    </row>
    <row r="2890" spans="1:6" ht="15.75">
      <c r="A2890" s="24" t="s">
        <v>383</v>
      </c>
      <c r="B2890" s="24" t="s">
        <v>78</v>
      </c>
      <c r="C2890" s="54">
        <v>13.7</v>
      </c>
      <c r="D2890" s="25">
        <v>7.69</v>
      </c>
      <c r="E2890" s="46" t="e">
        <f>D2890*#REF!</f>
        <v>#REF!</v>
      </c>
      <c r="F2890" s="283" t="s">
        <v>1132</v>
      </c>
    </row>
    <row r="2891" spans="1:6" ht="15.75">
      <c r="A2891" s="24" t="s">
        <v>383</v>
      </c>
      <c r="B2891" s="24" t="s">
        <v>1131</v>
      </c>
      <c r="C2891" s="54">
        <v>13.7</v>
      </c>
      <c r="D2891" s="25">
        <v>7.69</v>
      </c>
      <c r="E2891" s="46" t="e">
        <f>D2891*#REF!</f>
        <v>#REF!</v>
      </c>
      <c r="F2891" s="283" t="s">
        <v>1133</v>
      </c>
    </row>
    <row r="2892" spans="1:6" ht="15.75">
      <c r="A2892" s="56"/>
      <c r="B2892" s="24" t="s">
        <v>256</v>
      </c>
      <c r="C2892" s="8"/>
      <c r="D2892" s="46">
        <v>125</v>
      </c>
      <c r="E2892" s="46">
        <v>125</v>
      </c>
      <c r="F2892" s="283"/>
    </row>
    <row r="2893" spans="1:6" ht="15.75">
      <c r="A2893" s="24"/>
      <c r="B2893" s="24" t="s">
        <v>31</v>
      </c>
      <c r="C2893" s="45">
        <v>1</v>
      </c>
      <c r="D2893" s="46">
        <v>12</v>
      </c>
      <c r="E2893" s="46">
        <v>12</v>
      </c>
      <c r="F2893" s="283"/>
    </row>
    <row r="2894" spans="1:6" ht="15.75">
      <c r="A2894" s="24"/>
      <c r="B2894" s="24"/>
      <c r="C2894" s="45"/>
      <c r="D2894" s="282" t="s">
        <v>375</v>
      </c>
      <c r="E2894" s="46" t="e">
        <f>SUM(E2890:E2893)</f>
        <v>#REF!</v>
      </c>
      <c r="F2894" s="283"/>
    </row>
    <row r="2898" spans="1:5" ht="15.75">
      <c r="A2898" s="90" t="s">
        <v>1068</v>
      </c>
      <c r="B2898" s="90" t="s">
        <v>389</v>
      </c>
      <c r="C2898" s="90" t="s">
        <v>128</v>
      </c>
      <c r="D2898" s="145" t="s">
        <v>181</v>
      </c>
      <c r="E2898" s="146" t="s">
        <v>1055</v>
      </c>
    </row>
    <row r="2899" spans="1:5" ht="15">
      <c r="A2899" s="24">
        <v>3705</v>
      </c>
      <c r="B2899" s="26">
        <v>19</v>
      </c>
      <c r="C2899" s="24" t="s">
        <v>913</v>
      </c>
      <c r="D2899" s="67">
        <v>240</v>
      </c>
      <c r="E2899" s="46">
        <v>0.42</v>
      </c>
    </row>
    <row r="2900" spans="1:5" ht="15">
      <c r="A2900" s="24">
        <v>3705</v>
      </c>
      <c r="B2900" s="26">
        <v>19</v>
      </c>
      <c r="C2900" s="24" t="s">
        <v>911</v>
      </c>
      <c r="D2900" s="67">
        <v>60</v>
      </c>
      <c r="E2900" s="46">
        <v>0.42</v>
      </c>
    </row>
    <row r="2901" spans="1:5" ht="15">
      <c r="A2901" s="24">
        <v>3705</v>
      </c>
      <c r="B2901" s="26">
        <v>19</v>
      </c>
      <c r="C2901" s="24" t="s">
        <v>910</v>
      </c>
      <c r="D2901" s="67">
        <v>240</v>
      </c>
      <c r="E2901" s="46">
        <v>0.42</v>
      </c>
    </row>
    <row r="2902" spans="1:5" ht="15">
      <c r="A2902" s="24"/>
      <c r="B2902" s="138"/>
      <c r="C2902" s="24" t="s">
        <v>481</v>
      </c>
      <c r="D2902" s="8"/>
      <c r="E2902" s="46">
        <v>12</v>
      </c>
    </row>
    <row r="2903" spans="1:5" ht="15">
      <c r="A2903" s="24"/>
      <c r="B2903" s="138"/>
      <c r="C2903" s="24"/>
      <c r="D2903" s="8"/>
      <c r="E2903" s="46"/>
    </row>
    <row r="2904" spans="1:5" ht="15.75">
      <c r="A2904" s="90" t="s">
        <v>1068</v>
      </c>
      <c r="B2904" s="90" t="s">
        <v>128</v>
      </c>
      <c r="C2904" s="145" t="s">
        <v>2</v>
      </c>
      <c r="D2904" s="146" t="s">
        <v>1055</v>
      </c>
    </row>
    <row r="2905" spans="1:5" ht="15">
      <c r="A2905" s="24">
        <v>5654</v>
      </c>
      <c r="B2905" s="260" t="s">
        <v>1064</v>
      </c>
      <c r="C2905" s="67">
        <v>50</v>
      </c>
      <c r="D2905" s="46">
        <v>0.28999999999999998</v>
      </c>
    </row>
    <row r="2906" spans="1:5" ht="15">
      <c r="A2906" s="24">
        <v>5654</v>
      </c>
      <c r="B2906" s="260" t="s">
        <v>1108</v>
      </c>
      <c r="C2906" s="67">
        <v>50</v>
      </c>
      <c r="D2906" s="46">
        <v>0.28999999999999998</v>
      </c>
    </row>
    <row r="2907" spans="1:5" ht="15">
      <c r="A2907" s="24"/>
      <c r="B2907" s="44"/>
      <c r="C2907" s="44" t="s">
        <v>31</v>
      </c>
      <c r="D2907" s="46">
        <v>12</v>
      </c>
      <c r="E2907" s="46">
        <v>12</v>
      </c>
    </row>
    <row r="2908" spans="1:5" ht="15.75">
      <c r="A2908" s="90" t="s">
        <v>1068</v>
      </c>
      <c r="B2908" s="90" t="s">
        <v>1098</v>
      </c>
      <c r="C2908" s="90" t="s">
        <v>128</v>
      </c>
    </row>
    <row r="2909" spans="1:5" ht="15">
      <c r="A2909" s="24" t="s">
        <v>1134</v>
      </c>
      <c r="B2909" s="44" t="s">
        <v>1030</v>
      </c>
      <c r="C2909" s="260" t="s">
        <v>1135</v>
      </c>
    </row>
    <row r="2910" spans="1:5" ht="15">
      <c r="A2910" s="24" t="s">
        <v>1134</v>
      </c>
      <c r="B2910" s="44" t="s">
        <v>1032</v>
      </c>
      <c r="C2910" s="260" t="s">
        <v>1135</v>
      </c>
    </row>
    <row r="2911" spans="1:5" ht="15">
      <c r="A2911" s="24" t="s">
        <v>1134</v>
      </c>
      <c r="B2911" s="44" t="s">
        <v>1033</v>
      </c>
      <c r="C2911" s="260" t="s">
        <v>1135</v>
      </c>
    </row>
    <row r="2912" spans="1:5" ht="15">
      <c r="A2912" s="24" t="s">
        <v>1134</v>
      </c>
      <c r="B2912" s="44" t="s">
        <v>1034</v>
      </c>
      <c r="C2912" s="260" t="s">
        <v>1135</v>
      </c>
    </row>
    <row r="2913" spans="1:8" ht="15">
      <c r="A2913" s="24" t="s">
        <v>1134</v>
      </c>
      <c r="B2913" s="44" t="s">
        <v>1030</v>
      </c>
      <c r="C2913" s="260" t="s">
        <v>1136</v>
      </c>
    </row>
    <row r="2914" spans="1:8" ht="15">
      <c r="A2914" s="24" t="s">
        <v>1134</v>
      </c>
      <c r="B2914" s="44" t="s">
        <v>1032</v>
      </c>
      <c r="C2914" s="260" t="s">
        <v>1136</v>
      </c>
    </row>
    <row r="2915" spans="1:8" ht="15">
      <c r="A2915" s="24" t="s">
        <v>1134</v>
      </c>
      <c r="B2915" s="44" t="s">
        <v>1033</v>
      </c>
      <c r="C2915" s="260" t="s">
        <v>1136</v>
      </c>
    </row>
    <row r="2916" spans="1:8" ht="15">
      <c r="A2916" s="24" t="s">
        <v>1134</v>
      </c>
      <c r="B2916" s="44" t="s">
        <v>1034</v>
      </c>
      <c r="C2916" s="260" t="s">
        <v>1136</v>
      </c>
    </row>
    <row r="2917" spans="1:8" ht="15">
      <c r="A2917" s="24" t="s">
        <v>1134</v>
      </c>
      <c r="B2917" s="44" t="s">
        <v>1030</v>
      </c>
      <c r="C2917" s="260" t="s">
        <v>1137</v>
      </c>
    </row>
    <row r="2918" spans="1:8" ht="15">
      <c r="A2918" s="24" t="s">
        <v>1134</v>
      </c>
      <c r="B2918" s="44" t="s">
        <v>1032</v>
      </c>
      <c r="C2918" s="260" t="s">
        <v>1137</v>
      </c>
    </row>
    <row r="2919" spans="1:8" ht="15">
      <c r="A2919" s="24" t="s">
        <v>1134</v>
      </c>
      <c r="B2919" s="44" t="s">
        <v>1033</v>
      </c>
      <c r="C2919" s="260" t="s">
        <v>1137</v>
      </c>
    </row>
    <row r="2920" spans="1:8" ht="15">
      <c r="A2920" s="24" t="s">
        <v>1134</v>
      </c>
      <c r="B2920" s="44" t="s">
        <v>1034</v>
      </c>
      <c r="C2920" s="284" t="s">
        <v>1138</v>
      </c>
    </row>
    <row r="2921" spans="1:8" ht="15">
      <c r="A2921" s="24"/>
      <c r="B2921" s="44"/>
      <c r="C2921" s="44" t="s">
        <v>31</v>
      </c>
    </row>
    <row r="2926" spans="1:8" ht="15.75">
      <c r="A2926" s="90" t="s">
        <v>105</v>
      </c>
      <c r="B2926" s="90" t="s">
        <v>1068</v>
      </c>
      <c r="C2926" s="90" t="s">
        <v>389</v>
      </c>
      <c r="D2926" s="145" t="s">
        <v>182</v>
      </c>
      <c r="E2926" s="145" t="s">
        <v>181</v>
      </c>
      <c r="F2926" s="146" t="s">
        <v>1055</v>
      </c>
      <c r="G2926" s="146" t="s">
        <v>151</v>
      </c>
      <c r="H2926" s="743"/>
    </row>
    <row r="2927" spans="1:8" ht="15.75">
      <c r="A2927" s="33" t="s">
        <v>1140</v>
      </c>
      <c r="B2927" s="24">
        <v>3717</v>
      </c>
      <c r="C2927" s="26">
        <v>19</v>
      </c>
      <c r="D2927" s="152">
        <v>29</v>
      </c>
      <c r="E2927" s="67">
        <v>870</v>
      </c>
      <c r="F2927" s="46">
        <v>0.44</v>
      </c>
      <c r="G2927" s="283" t="s">
        <v>1142</v>
      </c>
      <c r="H2927" s="744"/>
    </row>
    <row r="2928" spans="1:8" ht="15.75">
      <c r="A2928" s="33" t="s">
        <v>1140</v>
      </c>
      <c r="B2928" s="56"/>
      <c r="C2928" s="138"/>
      <c r="D2928" s="8" t="s">
        <v>482</v>
      </c>
      <c r="E2928" s="8"/>
      <c r="F2928" s="46">
        <v>12</v>
      </c>
      <c r="G2928" s="283"/>
      <c r="H2928" s="744"/>
    </row>
    <row r="2931" spans="1:5" ht="15.75">
      <c r="A2931" s="90" t="s">
        <v>105</v>
      </c>
      <c r="B2931" s="90" t="s">
        <v>1068</v>
      </c>
      <c r="C2931" s="90" t="s">
        <v>389</v>
      </c>
      <c r="D2931" s="146" t="s">
        <v>1055</v>
      </c>
    </row>
    <row r="2932" spans="1:5" ht="15">
      <c r="A2932" s="6"/>
      <c r="B2932" s="20" t="s">
        <v>977</v>
      </c>
      <c r="C2932" s="150"/>
      <c r="D2932" s="34" t="s">
        <v>10</v>
      </c>
    </row>
    <row r="2933" spans="1:5" ht="15">
      <c r="A2933" s="6" t="s">
        <v>1144</v>
      </c>
      <c r="B2933" s="24" t="s">
        <v>984</v>
      </c>
      <c r="C2933" s="150">
        <v>148</v>
      </c>
      <c r="D2933" s="25">
        <v>4.7300000000000004</v>
      </c>
    </row>
    <row r="2934" spans="1:5" ht="15">
      <c r="A2934" s="6" t="s">
        <v>1145</v>
      </c>
      <c r="B2934" s="24" t="s">
        <v>984</v>
      </c>
      <c r="C2934" s="150">
        <v>148</v>
      </c>
      <c r="D2934" s="25">
        <v>4.7300000000000004</v>
      </c>
    </row>
    <row r="2935" spans="1:5" ht="15">
      <c r="A2935" s="6" t="s">
        <v>1143</v>
      </c>
      <c r="B2935" s="24"/>
      <c r="C2935" s="26"/>
      <c r="D2935" s="25">
        <v>12</v>
      </c>
    </row>
    <row r="2936" spans="1:5" ht="15">
      <c r="A2936" s="6"/>
      <c r="B2936" s="20" t="s">
        <v>79</v>
      </c>
      <c r="C2936" s="150"/>
      <c r="D2936" s="153" t="s">
        <v>10</v>
      </c>
    </row>
    <row r="2937" spans="1:5" ht="15">
      <c r="A2937" s="6" t="s">
        <v>1145</v>
      </c>
      <c r="B2937" s="24">
        <v>2440</v>
      </c>
      <c r="C2937" s="150">
        <v>140</v>
      </c>
      <c r="D2937" s="46">
        <v>3.34</v>
      </c>
    </row>
    <row r="2938" spans="1:5" ht="15">
      <c r="A2938" s="6" t="s">
        <v>1143</v>
      </c>
      <c r="B2938" s="24"/>
      <c r="C2938" s="26"/>
      <c r="D2938" s="25">
        <v>12</v>
      </c>
    </row>
    <row r="2939" spans="1:5" ht="15">
      <c r="A2939" s="6" t="s">
        <v>1143</v>
      </c>
      <c r="B2939" s="24"/>
      <c r="C2939" s="26"/>
      <c r="D2939" s="25">
        <v>20</v>
      </c>
    </row>
    <row r="2943" spans="1:5" ht="15.75">
      <c r="A2943" s="90" t="s">
        <v>1068</v>
      </c>
      <c r="B2943" s="90" t="s">
        <v>389</v>
      </c>
      <c r="C2943" s="90" t="s">
        <v>128</v>
      </c>
      <c r="D2943" s="145" t="s">
        <v>181</v>
      </c>
      <c r="E2943" s="146" t="s">
        <v>1055</v>
      </c>
    </row>
    <row r="2944" spans="1:5" ht="15">
      <c r="A2944" s="24">
        <v>5270</v>
      </c>
      <c r="B2944" s="44">
        <v>5</v>
      </c>
      <c r="C2944" s="260" t="s">
        <v>353</v>
      </c>
      <c r="D2944" s="67">
        <v>30</v>
      </c>
      <c r="E2944" s="46">
        <v>0.8</v>
      </c>
    </row>
    <row r="2945" spans="1:10" ht="15">
      <c r="A2945" s="24">
        <v>5270</v>
      </c>
      <c r="B2945" s="44">
        <v>6</v>
      </c>
      <c r="C2945" s="260" t="s">
        <v>353</v>
      </c>
      <c r="D2945" s="67">
        <v>30</v>
      </c>
      <c r="E2945" s="46">
        <v>1.1599999999999999</v>
      </c>
    </row>
    <row r="2946" spans="1:10" ht="15">
      <c r="A2946" s="24" t="s">
        <v>765</v>
      </c>
      <c r="B2946" s="44"/>
      <c r="C2946" s="260" t="s">
        <v>353</v>
      </c>
      <c r="D2946" s="67">
        <v>50</v>
      </c>
      <c r="E2946" s="46">
        <v>0.27</v>
      </c>
    </row>
    <row r="2947" spans="1:10" ht="22.5">
      <c r="A2947" s="24"/>
      <c r="B2947" s="44"/>
      <c r="C2947" s="44" t="s">
        <v>31</v>
      </c>
      <c r="D2947" s="151" ph="1"/>
      <c r="E2947" s="46">
        <v>12</v>
      </c>
    </row>
    <row r="2950" spans="1:10" ht="15.75">
      <c r="A2950" s="90" t="s">
        <v>105</v>
      </c>
      <c r="B2950" s="90" t="s">
        <v>1068</v>
      </c>
      <c r="C2950" s="90" t="s">
        <v>128</v>
      </c>
      <c r="D2950" s="145" t="s">
        <v>181</v>
      </c>
      <c r="E2950" s="146" t="s">
        <v>1055</v>
      </c>
    </row>
    <row r="2951" spans="1:10" ht="15">
      <c r="A2951" s="6" t="s">
        <v>1146</v>
      </c>
      <c r="B2951" s="24">
        <v>5654</v>
      </c>
      <c r="C2951" s="260" t="s">
        <v>1064</v>
      </c>
      <c r="D2951" s="67">
        <v>200</v>
      </c>
      <c r="E2951" s="46">
        <v>0.28999999999999998</v>
      </c>
    </row>
    <row r="2952" spans="1:10" ht="15">
      <c r="A2952" s="6" t="s">
        <v>1146</v>
      </c>
      <c r="B2952" s="24">
        <v>5654</v>
      </c>
      <c r="C2952" s="260" t="s">
        <v>1147</v>
      </c>
      <c r="D2952" s="67">
        <v>200</v>
      </c>
      <c r="E2952" s="46">
        <v>0.28999999999999998</v>
      </c>
    </row>
    <row r="2953" spans="1:10" ht="22.5">
      <c r="A2953" s="6" t="s">
        <v>1146</v>
      </c>
      <c r="B2953" s="24"/>
      <c r="C2953" s="44" t="s">
        <v>31</v>
      </c>
      <c r="D2953" s="151" ph="1"/>
      <c r="E2953" s="46">
        <v>12</v>
      </c>
    </row>
    <row r="2955" spans="1:10" ht="15.75">
      <c r="A2955" s="90" t="s">
        <v>1068</v>
      </c>
      <c r="B2955" s="90" t="s">
        <v>128</v>
      </c>
      <c r="C2955" s="146" t="s">
        <v>1055</v>
      </c>
    </row>
    <row r="2956" spans="1:10" ht="15">
      <c r="A2956" s="24" t="s">
        <v>962</v>
      </c>
      <c r="B2956" s="24" t="s">
        <v>863</v>
      </c>
      <c r="C2956" s="46">
        <v>14.59</v>
      </c>
    </row>
    <row r="2957" spans="1:10" ht="15">
      <c r="A2957" s="24"/>
      <c r="B2957" s="24" t="s">
        <v>31</v>
      </c>
      <c r="C2957" s="46">
        <v>20</v>
      </c>
    </row>
    <row r="2959" spans="1:10" ht="15.75">
      <c r="A2959" s="90" t="s">
        <v>1068</v>
      </c>
      <c r="B2959" s="90" t="s">
        <v>128</v>
      </c>
      <c r="C2959" s="90" t="s">
        <v>54</v>
      </c>
      <c r="D2959" s="11"/>
      <c r="E2959" s="219"/>
      <c r="F2959" s="15"/>
      <c r="G2959" s="46"/>
      <c r="H2959" s="46"/>
      <c r="I2959" s="15"/>
      <c r="J2959" s="7"/>
    </row>
    <row r="2960" spans="1:10" ht="15">
      <c r="A2960" s="24" t="s">
        <v>962</v>
      </c>
      <c r="B2960" s="24" t="s">
        <v>863</v>
      </c>
      <c r="C2960" s="67">
        <v>50</v>
      </c>
      <c r="D2960" s="39"/>
      <c r="E2960" s="213"/>
      <c r="F2960" s="6"/>
      <c r="G2960" s="46">
        <v>12.97</v>
      </c>
      <c r="H2960" s="46"/>
      <c r="I2960" s="23"/>
      <c r="J2960" s="7">
        <v>1050</v>
      </c>
    </row>
    <row r="2961" spans="1:17" ht="15">
      <c r="A2961" s="24"/>
      <c r="B2961" s="24"/>
      <c r="C2961" s="8"/>
      <c r="D2961" s="39"/>
      <c r="E2961" s="213"/>
      <c r="F2961" s="179"/>
      <c r="G2961" s="46">
        <v>12</v>
      </c>
      <c r="H2961" s="180"/>
      <c r="I2961" s="230"/>
      <c r="J2961" s="7"/>
    </row>
    <row r="2963" spans="1:17" s="1" customFormat="1" ht="15.75">
      <c r="A2963" s="6"/>
      <c r="B2963" s="156" t="s">
        <v>1148</v>
      </c>
      <c r="C2963" s="156" t="s">
        <v>64</v>
      </c>
      <c r="D2963" s="156" t="s">
        <v>68</v>
      </c>
      <c r="E2963" s="156" t="s">
        <v>1149</v>
      </c>
      <c r="F2963" s="68"/>
      <c r="G2963" s="17"/>
      <c r="H2963" s="17"/>
      <c r="I2963" s="212"/>
      <c r="J2963" s="11"/>
      <c r="K2963" s="13"/>
      <c r="L2963" s="6"/>
      <c r="M2963" s="175"/>
      <c r="N2963" s="175"/>
      <c r="O2963" s="7"/>
      <c r="P2963" s="7"/>
      <c r="Q2963" s="7"/>
    </row>
    <row r="2964" spans="1:17" s="1" customFormat="1" ht="15">
      <c r="A2964" s="6" t="s">
        <v>600</v>
      </c>
      <c r="B2964" s="24" t="s">
        <v>601</v>
      </c>
      <c r="C2964" s="24">
        <v>1598</v>
      </c>
      <c r="D2964" s="67">
        <v>4925</v>
      </c>
      <c r="E2964" s="39">
        <v>43579</v>
      </c>
      <c r="F2964" s="68">
        <v>197</v>
      </c>
      <c r="G2964" s="25">
        <v>1.88</v>
      </c>
      <c r="H2964" s="25"/>
      <c r="I2964" s="38">
        <v>2088</v>
      </c>
      <c r="J2964" s="39">
        <v>43579</v>
      </c>
      <c r="K2964" s="213">
        <v>43579</v>
      </c>
      <c r="L2964" s="6"/>
      <c r="M2964" s="25">
        <v>1.5</v>
      </c>
      <c r="N2964" s="25"/>
      <c r="O2964" s="7">
        <v>101</v>
      </c>
      <c r="P2964" s="7"/>
      <c r="Q2964" s="7"/>
    </row>
    <row r="2965" spans="1:17" s="1" customFormat="1" ht="15">
      <c r="A2965" s="6" t="s">
        <v>600</v>
      </c>
      <c r="B2965" s="24" t="s">
        <v>601</v>
      </c>
      <c r="C2965" s="24">
        <v>1598</v>
      </c>
      <c r="D2965" s="67">
        <v>3375</v>
      </c>
      <c r="E2965" s="39">
        <v>43607</v>
      </c>
      <c r="F2965" s="68">
        <v>135</v>
      </c>
      <c r="G2965" s="25">
        <v>1.88</v>
      </c>
      <c r="H2965" s="25"/>
      <c r="I2965" s="38">
        <v>2121</v>
      </c>
      <c r="J2965" s="39">
        <v>43607</v>
      </c>
      <c r="K2965" s="213">
        <v>43607</v>
      </c>
      <c r="L2965" s="6"/>
      <c r="M2965" s="25">
        <v>1.5</v>
      </c>
      <c r="N2965" s="25"/>
      <c r="O2965" s="7">
        <v>101</v>
      </c>
      <c r="P2965" s="7"/>
      <c r="Q2965" s="7"/>
    </row>
    <row r="2966" spans="1:17" s="1" customFormat="1" ht="15.75">
      <c r="A2966" s="6"/>
      <c r="B2966" s="24"/>
      <c r="C2966" s="20"/>
      <c r="D2966" s="67"/>
      <c r="E2966" s="11"/>
      <c r="F2966" s="68"/>
      <c r="G2966" s="17"/>
      <c r="H2966" s="17"/>
      <c r="I2966" s="212"/>
      <c r="J2966" s="11"/>
      <c r="K2966" s="13"/>
      <c r="L2966" s="6"/>
      <c r="M2966" s="175"/>
      <c r="N2966" s="175"/>
      <c r="O2966" s="7"/>
      <c r="P2966" s="7"/>
      <c r="Q2966" s="7"/>
    </row>
    <row r="2967" spans="1:17" s="1" customFormat="1" ht="15">
      <c r="A2967" s="6" t="s">
        <v>907</v>
      </c>
      <c r="B2967" s="24" t="s">
        <v>922</v>
      </c>
      <c r="C2967" s="24">
        <v>1598</v>
      </c>
      <c r="D2967" s="67">
        <v>25</v>
      </c>
      <c r="E2967" s="39">
        <v>43803</v>
      </c>
      <c r="F2967" s="68">
        <v>1</v>
      </c>
      <c r="G2967" s="25">
        <v>1.95</v>
      </c>
      <c r="H2967" s="25"/>
      <c r="I2967" s="38" t="s">
        <v>921</v>
      </c>
      <c r="J2967" s="39">
        <v>43803</v>
      </c>
      <c r="K2967" s="213">
        <v>43803</v>
      </c>
      <c r="L2967" s="6"/>
      <c r="M2967" s="25">
        <v>1.55</v>
      </c>
      <c r="N2967" s="25"/>
      <c r="O2967" s="7">
        <v>115</v>
      </c>
      <c r="P2967" s="7"/>
      <c r="Q2967" s="7"/>
    </row>
    <row r="2968" spans="1:17" s="1" customFormat="1" ht="15.75">
      <c r="A2968" s="6"/>
      <c r="B2968" s="24"/>
      <c r="C2968" s="20"/>
      <c r="D2968" s="67"/>
      <c r="E2968" s="11"/>
      <c r="F2968" s="68"/>
      <c r="G2968" s="17"/>
      <c r="H2968" s="17"/>
      <c r="I2968" s="212"/>
      <c r="J2968" s="11"/>
      <c r="K2968" s="13"/>
      <c r="L2968" s="6"/>
      <c r="M2968" s="175"/>
      <c r="N2968" s="175"/>
      <c r="O2968" s="7"/>
      <c r="P2968" s="7"/>
      <c r="Q2968" s="7"/>
    </row>
    <row r="2969" spans="1:17" s="1" customFormat="1" ht="15">
      <c r="A2969" s="6" t="s">
        <v>915</v>
      </c>
      <c r="B2969" s="24" t="s">
        <v>914</v>
      </c>
      <c r="C2969" s="24">
        <v>1598</v>
      </c>
      <c r="D2969" s="67">
        <v>75</v>
      </c>
      <c r="E2969" s="39">
        <v>43801</v>
      </c>
      <c r="F2969" s="68">
        <v>3</v>
      </c>
      <c r="G2969" s="25">
        <v>1.95</v>
      </c>
      <c r="H2969" s="25"/>
      <c r="I2969" s="38" t="s">
        <v>918</v>
      </c>
      <c r="J2969" s="39">
        <v>43801</v>
      </c>
      <c r="K2969" s="213">
        <v>43801</v>
      </c>
      <c r="L2969" s="6"/>
      <c r="M2969" s="25">
        <v>1.55</v>
      </c>
      <c r="N2969" s="25"/>
      <c r="O2969" s="7">
        <v>115</v>
      </c>
      <c r="P2969" s="7"/>
      <c r="Q2969" s="7"/>
    </row>
    <row r="2970" spans="1:17" s="1" customFormat="1" ht="15.75">
      <c r="A2970" s="6"/>
      <c r="B2970" s="24"/>
      <c r="C2970" s="20"/>
      <c r="D2970" s="67"/>
      <c r="E2970" s="11"/>
      <c r="F2970" s="68"/>
      <c r="G2970" s="17"/>
      <c r="H2970" s="17"/>
      <c r="I2970" s="212"/>
      <c r="J2970" s="11"/>
      <c r="K2970" s="13"/>
      <c r="L2970" s="6"/>
      <c r="M2970" s="175"/>
      <c r="N2970" s="175"/>
      <c r="O2970" s="7"/>
      <c r="P2970" s="7"/>
      <c r="Q2970" s="7"/>
    </row>
    <row r="2971" spans="1:17" s="1" customFormat="1" ht="15">
      <c r="A2971" s="6" t="s">
        <v>924</v>
      </c>
      <c r="B2971" s="24" t="s">
        <v>925</v>
      </c>
      <c r="C2971" s="24">
        <v>1598</v>
      </c>
      <c r="D2971" s="67">
        <v>25</v>
      </c>
      <c r="E2971" s="39">
        <v>43818</v>
      </c>
      <c r="F2971" s="68">
        <v>1</v>
      </c>
      <c r="G2971" s="25">
        <v>1.95</v>
      </c>
      <c r="H2971" s="25"/>
      <c r="I2971" s="38" t="s">
        <v>938</v>
      </c>
      <c r="J2971" s="39">
        <v>43818</v>
      </c>
      <c r="K2971" s="213">
        <v>43818</v>
      </c>
      <c r="L2971" s="6"/>
      <c r="M2971" s="25">
        <v>1.55</v>
      </c>
      <c r="N2971" s="25"/>
      <c r="O2971" s="7">
        <v>115</v>
      </c>
      <c r="P2971" s="7"/>
      <c r="Q2971" s="7"/>
    </row>
    <row r="2972" spans="1:17" s="1" customFormat="1" ht="15.75">
      <c r="A2972" s="6"/>
      <c r="B2972" s="24"/>
      <c r="C2972" s="20"/>
      <c r="D2972" s="67"/>
      <c r="E2972" s="11"/>
      <c r="F2972" s="68"/>
      <c r="G2972" s="17"/>
      <c r="H2972" s="17"/>
      <c r="I2972" s="212"/>
      <c r="J2972" s="11"/>
      <c r="K2972" s="13"/>
      <c r="L2972" s="6"/>
      <c r="M2972" s="175"/>
      <c r="N2972" s="175"/>
      <c r="O2972" s="7"/>
      <c r="P2972" s="7"/>
      <c r="Q2972" s="7"/>
    </row>
    <row r="2973" spans="1:17" s="1" customFormat="1" ht="15">
      <c r="A2973" s="6" t="s">
        <v>931</v>
      </c>
      <c r="B2973" s="24" t="s">
        <v>922</v>
      </c>
      <c r="C2973" s="24">
        <v>1598</v>
      </c>
      <c r="D2973" s="67">
        <v>25</v>
      </c>
      <c r="E2973" s="39">
        <v>43818</v>
      </c>
      <c r="F2973" s="68">
        <v>1</v>
      </c>
      <c r="G2973" s="25">
        <v>1.95</v>
      </c>
      <c r="H2973" s="25"/>
      <c r="I2973" s="38" t="s">
        <v>939</v>
      </c>
      <c r="J2973" s="39">
        <v>43818</v>
      </c>
      <c r="K2973" s="213">
        <v>43818</v>
      </c>
      <c r="L2973" s="6"/>
      <c r="M2973" s="25">
        <v>1.55</v>
      </c>
      <c r="N2973" s="25"/>
      <c r="O2973" s="7">
        <v>115</v>
      </c>
      <c r="P2973" s="7"/>
      <c r="Q2973" s="7"/>
    </row>
    <row r="2974" spans="1:17" s="1" customFormat="1" ht="15.75">
      <c r="A2974" s="6"/>
      <c r="B2974" s="24"/>
      <c r="C2974" s="20"/>
      <c r="D2974" s="67"/>
      <c r="E2974" s="11"/>
      <c r="F2974" s="68"/>
      <c r="G2974" s="17"/>
      <c r="H2974" s="17"/>
      <c r="I2974" s="212"/>
      <c r="J2974" s="11"/>
      <c r="K2974" s="13"/>
      <c r="L2974" s="6"/>
      <c r="M2974" s="175"/>
      <c r="N2974" s="175"/>
      <c r="O2974" s="7"/>
      <c r="P2974" s="7"/>
      <c r="Q2974" s="7"/>
    </row>
    <row r="2975" spans="1:17" s="1" customFormat="1" ht="15">
      <c r="A2975" s="6" t="s">
        <v>950</v>
      </c>
      <c r="B2975" s="24" t="s">
        <v>951</v>
      </c>
      <c r="C2975" s="24">
        <v>1598</v>
      </c>
      <c r="D2975" s="67">
        <v>25</v>
      </c>
      <c r="E2975" s="39">
        <v>43826</v>
      </c>
      <c r="F2975" s="68">
        <v>1</v>
      </c>
      <c r="G2975" s="25">
        <v>1.95</v>
      </c>
      <c r="H2975" s="25"/>
      <c r="I2975" s="38" t="s">
        <v>954</v>
      </c>
      <c r="J2975" s="39">
        <v>43826</v>
      </c>
      <c r="K2975" s="213">
        <v>43826</v>
      </c>
      <c r="L2975" s="6"/>
      <c r="M2975" s="25">
        <v>1.55</v>
      </c>
      <c r="N2975" s="25"/>
      <c r="O2975" s="7">
        <v>115</v>
      </c>
      <c r="P2975" s="7"/>
      <c r="Q2975" s="7"/>
    </row>
    <row r="2976" spans="1:17" s="1" customFormat="1" ht="15">
      <c r="A2976" s="6"/>
      <c r="B2976" s="24"/>
      <c r="C2976" s="24"/>
      <c r="D2976" s="67"/>
      <c r="E2976" s="39"/>
      <c r="F2976" s="68"/>
      <c r="G2976" s="25"/>
      <c r="H2976" s="25"/>
      <c r="I2976" s="38"/>
      <c r="J2976" s="39"/>
      <c r="K2976" s="213"/>
      <c r="L2976" s="6"/>
      <c r="M2976" s="25"/>
      <c r="N2976" s="25"/>
      <c r="O2976" s="7"/>
      <c r="P2976" s="7"/>
      <c r="Q2976" s="7"/>
    </row>
    <row r="2977" spans="1:17" s="1" customFormat="1" ht="15">
      <c r="A2977" s="6" t="s">
        <v>973</v>
      </c>
      <c r="B2977" s="24" t="s">
        <v>922</v>
      </c>
      <c r="C2977" s="24">
        <v>1598</v>
      </c>
      <c r="D2977" s="67">
        <v>25</v>
      </c>
      <c r="E2977" s="39">
        <v>43886</v>
      </c>
      <c r="F2977" s="68">
        <v>1</v>
      </c>
      <c r="G2977" s="25">
        <v>1.95</v>
      </c>
      <c r="H2977" s="25"/>
      <c r="I2977" s="38" t="s">
        <v>974</v>
      </c>
      <c r="J2977" s="39">
        <v>43886</v>
      </c>
      <c r="K2977" s="213">
        <v>43886</v>
      </c>
      <c r="L2977" s="6"/>
      <c r="M2977" s="25">
        <v>1.55</v>
      </c>
      <c r="N2977" s="25"/>
      <c r="O2977" s="7">
        <v>115</v>
      </c>
      <c r="P2977" s="7"/>
      <c r="Q2977" s="7"/>
    </row>
    <row r="2978" spans="1:17" s="1" customFormat="1" ht="15.75">
      <c r="A2978" s="6"/>
      <c r="B2978" s="24"/>
      <c r="C2978" s="20"/>
      <c r="D2978" s="67"/>
      <c r="E2978" s="11"/>
      <c r="F2978" s="68"/>
      <c r="G2978" s="17"/>
      <c r="H2978" s="17"/>
      <c r="I2978" s="212"/>
      <c r="J2978" s="11"/>
      <c r="K2978" s="13"/>
      <c r="L2978" s="6"/>
      <c r="M2978" s="175"/>
      <c r="N2978" s="175"/>
      <c r="O2978" s="7"/>
      <c r="P2978" s="7"/>
      <c r="Q2978" s="7"/>
    </row>
    <row r="2979" spans="1:17" s="1" customFormat="1" ht="15">
      <c r="A2979" s="6" t="s">
        <v>1045</v>
      </c>
      <c r="B2979" s="24" t="s">
        <v>1046</v>
      </c>
      <c r="C2979" s="24">
        <v>1598</v>
      </c>
      <c r="D2979" s="67">
        <v>3300</v>
      </c>
      <c r="E2979" s="39">
        <v>43970</v>
      </c>
      <c r="F2979" s="68">
        <v>132</v>
      </c>
      <c r="G2979" s="25">
        <v>1.95</v>
      </c>
      <c r="H2979" s="25"/>
      <c r="I2979" s="38">
        <v>2525</v>
      </c>
      <c r="J2979" s="39">
        <v>43970</v>
      </c>
      <c r="K2979" s="213">
        <v>43970</v>
      </c>
      <c r="L2979" s="6"/>
      <c r="M2979" s="25">
        <v>1.55</v>
      </c>
      <c r="N2979" s="25"/>
      <c r="O2979" s="7">
        <v>115</v>
      </c>
      <c r="P2979" s="7"/>
      <c r="Q2979" s="7"/>
    </row>
    <row r="2980" spans="1:17" s="1" customFormat="1" ht="15.75">
      <c r="A2980" s="6"/>
      <c r="B2980" s="24"/>
      <c r="C2980" s="20"/>
      <c r="D2980" s="67"/>
      <c r="E2980" s="11"/>
      <c r="F2980" s="68"/>
      <c r="G2980" s="17"/>
      <c r="H2980" s="17"/>
      <c r="I2980" s="212"/>
      <c r="J2980" s="11"/>
      <c r="K2980" s="13"/>
      <c r="L2980" s="6"/>
      <c r="M2980" s="175"/>
      <c r="N2980" s="175"/>
      <c r="O2980" s="7"/>
      <c r="P2980" s="7"/>
      <c r="Q2980" s="7"/>
    </row>
    <row r="2981" spans="1:17" s="1" customFormat="1" ht="15">
      <c r="A2981" s="6" t="s">
        <v>1083</v>
      </c>
      <c r="B2981" s="24" t="s">
        <v>922</v>
      </c>
      <c r="C2981" s="24">
        <v>1598</v>
      </c>
      <c r="D2981" s="67">
        <v>3675</v>
      </c>
      <c r="E2981" s="39">
        <v>43987</v>
      </c>
      <c r="F2981" s="68">
        <v>147</v>
      </c>
      <c r="G2981" s="25">
        <v>1.95</v>
      </c>
      <c r="H2981" s="25"/>
      <c r="I2981" s="38">
        <v>2576</v>
      </c>
      <c r="J2981" s="39">
        <v>43987</v>
      </c>
      <c r="K2981" s="213">
        <v>43987</v>
      </c>
      <c r="L2981" s="6"/>
      <c r="M2981" s="25">
        <v>1.55</v>
      </c>
      <c r="N2981" s="25"/>
      <c r="O2981" s="7">
        <v>115</v>
      </c>
      <c r="P2981" s="7"/>
      <c r="Q2981" s="7"/>
    </row>
    <row r="2982" spans="1:17" s="1" customFormat="1" ht="15.75">
      <c r="A2982" s="6"/>
      <c r="B2982" s="24"/>
      <c r="C2982" s="20"/>
      <c r="D2982" s="67"/>
      <c r="E2982" s="11"/>
      <c r="F2982" s="68"/>
      <c r="G2982" s="17"/>
      <c r="H2982" s="17"/>
      <c r="I2982" s="212"/>
      <c r="J2982" s="11"/>
      <c r="K2982" s="13"/>
      <c r="L2982" s="6"/>
      <c r="M2982" s="175"/>
      <c r="N2982" s="175"/>
      <c r="O2982" s="7"/>
      <c r="P2982" s="7"/>
      <c r="Q2982" s="7"/>
    </row>
    <row r="2983" spans="1:17" s="1" customFormat="1" ht="15">
      <c r="A2983" s="6" t="s">
        <v>1124</v>
      </c>
      <c r="B2983" s="24" t="s">
        <v>922</v>
      </c>
      <c r="C2983" s="24">
        <v>1598</v>
      </c>
      <c r="D2983" s="67">
        <v>1750</v>
      </c>
      <c r="E2983" s="39">
        <v>44034</v>
      </c>
      <c r="F2983" s="68">
        <v>70</v>
      </c>
      <c r="G2983" s="25">
        <v>1.95</v>
      </c>
      <c r="H2983" s="25"/>
      <c r="I2983" s="38">
        <v>2624</v>
      </c>
      <c r="J2983" s="39">
        <v>44034</v>
      </c>
      <c r="K2983" s="213">
        <v>44034</v>
      </c>
      <c r="L2983" s="6"/>
      <c r="M2983" s="46">
        <v>1.71</v>
      </c>
      <c r="N2983" s="25"/>
      <c r="O2983" s="7">
        <v>115</v>
      </c>
      <c r="P2983" s="7"/>
      <c r="Q2983" s="7"/>
    </row>
    <row r="2987" spans="1:17" ht="15.75">
      <c r="A2987" s="90" t="s">
        <v>105</v>
      </c>
      <c r="B2987" s="90" t="s">
        <v>1068</v>
      </c>
      <c r="C2987" s="90" t="s">
        <v>128</v>
      </c>
      <c r="D2987" s="145" t="s">
        <v>181</v>
      </c>
      <c r="E2987" s="146" t="s">
        <v>1055</v>
      </c>
      <c r="F2987" s="151"/>
      <c r="G2987" s="153" t="s">
        <v>134</v>
      </c>
      <c r="H2987" s="31"/>
    </row>
    <row r="2988" spans="1:17" ht="15">
      <c r="A2988" s="33" t="s">
        <v>1151</v>
      </c>
      <c r="B2988" s="24">
        <v>5603</v>
      </c>
      <c r="C2988" s="44" t="s">
        <v>1113</v>
      </c>
      <c r="D2988" s="8">
        <v>1000</v>
      </c>
      <c r="E2988" s="46">
        <v>0.3</v>
      </c>
    </row>
    <row r="2989" spans="1:17" ht="15">
      <c r="A2989" s="33" t="s">
        <v>1151</v>
      </c>
      <c r="B2989" s="24">
        <v>5603</v>
      </c>
      <c r="C2989" s="44" t="s">
        <v>1152</v>
      </c>
      <c r="D2989" s="8">
        <v>650</v>
      </c>
      <c r="E2989" s="46">
        <v>0.3</v>
      </c>
    </row>
    <row r="2990" spans="1:17" ht="15">
      <c r="A2990" s="33" t="s">
        <v>1151</v>
      </c>
      <c r="B2990" s="24">
        <v>5603</v>
      </c>
      <c r="C2990" s="44" t="s">
        <v>499</v>
      </c>
      <c r="D2990" s="8">
        <v>100</v>
      </c>
      <c r="E2990" s="46">
        <v>0.3</v>
      </c>
    </row>
    <row r="2991" spans="1:17" ht="15">
      <c r="A2991" s="33" t="s">
        <v>1151</v>
      </c>
      <c r="B2991" s="24"/>
      <c r="C2991" s="24" t="s">
        <v>31</v>
      </c>
      <c r="D2991" s="8"/>
      <c r="E2991" s="46">
        <v>12</v>
      </c>
    </row>
    <row r="2995" spans="1:4" ht="14.25">
      <c r="A2995" s="156" t="s">
        <v>64</v>
      </c>
      <c r="B2995" s="156" t="s">
        <v>66</v>
      </c>
      <c r="C2995" s="156" t="s">
        <v>163</v>
      </c>
    </row>
    <row r="2996" spans="1:4" ht="15">
      <c r="A2996" s="24" t="s">
        <v>1153</v>
      </c>
      <c r="B2996" s="24" t="s">
        <v>1000</v>
      </c>
      <c r="C2996" s="8">
        <v>20</v>
      </c>
    </row>
    <row r="2997" spans="1:4" ht="15">
      <c r="A2997" s="24" t="s">
        <v>1153</v>
      </c>
      <c r="B2997" s="24" t="s">
        <v>998</v>
      </c>
      <c r="C2997" s="8">
        <v>20</v>
      </c>
    </row>
    <row r="2998" spans="1:4" ht="15">
      <c r="A2998" s="24" t="s">
        <v>1153</v>
      </c>
      <c r="B2998" s="24" t="s">
        <v>997</v>
      </c>
      <c r="C2998" s="8">
        <v>20</v>
      </c>
    </row>
    <row r="3002" spans="1:4" ht="15.75">
      <c r="A3002" s="90" t="s">
        <v>1068</v>
      </c>
      <c r="B3002" s="90" t="s">
        <v>128</v>
      </c>
      <c r="C3002" s="145" t="s">
        <v>2</v>
      </c>
      <c r="D3002" s="146" t="s">
        <v>1055</v>
      </c>
    </row>
    <row r="3003" spans="1:4" ht="15">
      <c r="A3003" s="24">
        <v>8003</v>
      </c>
      <c r="B3003" s="24" t="s">
        <v>1000</v>
      </c>
      <c r="C3003" s="67">
        <v>20</v>
      </c>
      <c r="D3003" s="46">
        <v>0.92</v>
      </c>
    </row>
    <row r="3004" spans="1:4" ht="15">
      <c r="A3004" s="24">
        <v>8003</v>
      </c>
      <c r="B3004" s="24" t="s">
        <v>998</v>
      </c>
      <c r="C3004" s="67">
        <v>20</v>
      </c>
      <c r="D3004" s="46">
        <v>0.92</v>
      </c>
    </row>
    <row r="3005" spans="1:4" ht="15">
      <c r="A3005" s="24">
        <v>8003</v>
      </c>
      <c r="B3005" s="24" t="s">
        <v>997</v>
      </c>
      <c r="C3005" s="8">
        <v>20</v>
      </c>
      <c r="D3005" s="46">
        <v>0.92</v>
      </c>
    </row>
    <row r="3009" spans="1:5" ht="15.75">
      <c r="A3009" s="90" t="s">
        <v>1068</v>
      </c>
      <c r="B3009" s="90" t="s">
        <v>128</v>
      </c>
      <c r="C3009" s="90" t="s">
        <v>54</v>
      </c>
    </row>
    <row r="3010" spans="1:5" ht="15">
      <c r="A3010" s="24" t="s">
        <v>1157</v>
      </c>
      <c r="B3010" s="24" t="s">
        <v>629</v>
      </c>
      <c r="C3010" s="19">
        <v>30</v>
      </c>
    </row>
    <row r="3011" spans="1:5" ht="15">
      <c r="A3011" s="24"/>
      <c r="B3011" s="24" t="s">
        <v>75</v>
      </c>
      <c r="C3011" s="8" t="s">
        <v>86</v>
      </c>
    </row>
    <row r="3012" spans="1:5" ht="15">
      <c r="A3012" s="24"/>
      <c r="B3012" s="24" t="s">
        <v>31</v>
      </c>
      <c r="C3012" s="8" t="s">
        <v>86</v>
      </c>
    </row>
    <row r="3015" spans="1:5" ht="15.75">
      <c r="A3015" s="90" t="s">
        <v>1068</v>
      </c>
      <c r="B3015" s="90" t="s">
        <v>389</v>
      </c>
      <c r="C3015" s="90" t="s">
        <v>128</v>
      </c>
      <c r="D3015" s="145" t="s">
        <v>181</v>
      </c>
      <c r="E3015" s="146" t="s">
        <v>1055</v>
      </c>
    </row>
    <row r="3016" spans="1:5" ht="15">
      <c r="A3016" s="24">
        <v>2250</v>
      </c>
      <c r="B3016" s="44">
        <v>18</v>
      </c>
      <c r="C3016" s="24" t="s">
        <v>1158</v>
      </c>
      <c r="D3016" s="67">
        <v>60</v>
      </c>
      <c r="E3016" s="46">
        <v>0.46</v>
      </c>
    </row>
    <row r="3017" spans="1:5" ht="15">
      <c r="A3017" s="24"/>
      <c r="B3017" s="138"/>
      <c r="C3017" s="24" t="s">
        <v>31</v>
      </c>
      <c r="D3017" s="8"/>
      <c r="E3017" s="46">
        <v>12</v>
      </c>
    </row>
    <row r="3025" spans="1:3" ht="15.75">
      <c r="A3025" s="90" t="s">
        <v>1068</v>
      </c>
      <c r="B3025" s="90" t="s">
        <v>389</v>
      </c>
      <c r="C3025" s="90" t="s">
        <v>128</v>
      </c>
    </row>
    <row r="3026" spans="1:3" ht="15">
      <c r="A3026" s="24">
        <v>1598</v>
      </c>
      <c r="B3026" s="26" t="s">
        <v>19</v>
      </c>
      <c r="C3026" s="24" t="s">
        <v>952</v>
      </c>
    </row>
    <row r="3027" spans="1:3" ht="15">
      <c r="A3027" s="24">
        <v>1598</v>
      </c>
      <c r="B3027" s="26" t="s">
        <v>19</v>
      </c>
      <c r="C3027" s="24" t="s">
        <v>916</v>
      </c>
    </row>
    <row r="3028" spans="1:3" ht="15">
      <c r="A3028" s="24">
        <v>1598</v>
      </c>
      <c r="B3028" s="26" t="s">
        <v>19</v>
      </c>
      <c r="C3028" s="24" t="s">
        <v>1159</v>
      </c>
    </row>
    <row r="3031" spans="1:3" ht="15.75">
      <c r="A3031" s="90" t="s">
        <v>1068</v>
      </c>
      <c r="B3031" s="90" t="s">
        <v>1098</v>
      </c>
      <c r="C3031" s="90" t="s">
        <v>128</v>
      </c>
    </row>
    <row r="3032" spans="1:3" ht="15">
      <c r="A3032" s="24" t="s">
        <v>1160</v>
      </c>
      <c r="B3032" s="44" t="s">
        <v>1161</v>
      </c>
      <c r="C3032" s="267" t="s">
        <v>1162</v>
      </c>
    </row>
    <row r="3033" spans="1:3" ht="15">
      <c r="A3033" s="24" t="s">
        <v>1160</v>
      </c>
      <c r="B3033" s="44" t="s">
        <v>1163</v>
      </c>
      <c r="C3033" s="267" t="s">
        <v>1162</v>
      </c>
    </row>
    <row r="3034" spans="1:3" ht="15">
      <c r="A3034" s="24" t="s">
        <v>1160</v>
      </c>
      <c r="B3034" s="44" t="s">
        <v>1164</v>
      </c>
      <c r="C3034" s="267" t="s">
        <v>1162</v>
      </c>
    </row>
    <row r="3035" spans="1:3" ht="15">
      <c r="A3035" s="24" t="s">
        <v>1160</v>
      </c>
      <c r="B3035" s="44" t="s">
        <v>1165</v>
      </c>
      <c r="C3035" s="267" t="s">
        <v>1162</v>
      </c>
    </row>
    <row r="3038" spans="1:3" ht="15.75">
      <c r="A3038" s="90" t="s">
        <v>1068</v>
      </c>
      <c r="B3038" s="90" t="s">
        <v>1098</v>
      </c>
      <c r="C3038" s="90" t="s">
        <v>128</v>
      </c>
    </row>
    <row r="3039" spans="1:3" ht="15">
      <c r="A3039" s="24" t="s">
        <v>1160</v>
      </c>
      <c r="B3039" s="44" t="s">
        <v>1161</v>
      </c>
      <c r="C3039" s="260" t="s">
        <v>1162</v>
      </c>
    </row>
    <row r="3040" spans="1:3" ht="15">
      <c r="A3040" s="24" t="s">
        <v>1160</v>
      </c>
      <c r="B3040" s="44" t="s">
        <v>1163</v>
      </c>
      <c r="C3040" s="260" t="s">
        <v>1162</v>
      </c>
    </row>
    <row r="3041" spans="1:4" ht="15">
      <c r="A3041" s="24" t="s">
        <v>1160</v>
      </c>
      <c r="B3041" s="44" t="s">
        <v>1164</v>
      </c>
      <c r="C3041" s="260" t="s">
        <v>1162</v>
      </c>
    </row>
    <row r="3042" spans="1:4" ht="15">
      <c r="A3042" s="24" t="s">
        <v>1160</v>
      </c>
      <c r="B3042" s="44" t="s">
        <v>1165</v>
      </c>
      <c r="C3042" s="260" t="s">
        <v>1162</v>
      </c>
    </row>
    <row r="3043" spans="1:4" ht="15">
      <c r="A3043" s="24"/>
      <c r="B3043" s="138"/>
      <c r="C3043" s="24" t="s">
        <v>540</v>
      </c>
    </row>
    <row r="3044" spans="1:4" ht="15">
      <c r="A3044" s="24"/>
      <c r="B3044" s="138"/>
      <c r="C3044" s="24" t="s">
        <v>31</v>
      </c>
    </row>
    <row r="3047" spans="1:4" ht="15.75">
      <c r="A3047" s="90" t="s">
        <v>1068</v>
      </c>
      <c r="B3047" s="90" t="s">
        <v>128</v>
      </c>
      <c r="C3047" s="145" t="s">
        <v>2</v>
      </c>
      <c r="D3047" s="146" t="s">
        <v>1055</v>
      </c>
    </row>
    <row r="3048" spans="1:4" ht="15">
      <c r="A3048" s="24">
        <v>8003</v>
      </c>
      <c r="B3048" s="24" t="s">
        <v>1000</v>
      </c>
      <c r="C3048" s="67">
        <v>20</v>
      </c>
      <c r="D3048" s="46">
        <v>0.92</v>
      </c>
    </row>
    <row r="3049" spans="1:4" ht="15">
      <c r="A3049" s="24">
        <v>8003</v>
      </c>
      <c r="B3049" s="24" t="s">
        <v>998</v>
      </c>
      <c r="C3049" s="67">
        <v>20</v>
      </c>
      <c r="D3049" s="46">
        <v>0.92</v>
      </c>
    </row>
    <row r="3050" spans="1:4" ht="15">
      <c r="A3050" s="24">
        <v>8003</v>
      </c>
      <c r="B3050" s="24" t="s">
        <v>997</v>
      </c>
      <c r="C3050" s="8">
        <v>20</v>
      </c>
      <c r="D3050" s="46">
        <v>0.92</v>
      </c>
    </row>
    <row r="3055" spans="1:4" ht="15">
      <c r="C3055" s="67" t="s">
        <v>1154</v>
      </c>
    </row>
    <row r="3056" spans="1:4" ht="15">
      <c r="C3056" s="67" t="s">
        <v>1155</v>
      </c>
    </row>
    <row r="3057" spans="1:5" ht="15">
      <c r="C3057" s="8" t="s">
        <v>1156</v>
      </c>
    </row>
    <row r="3060" spans="1:5" ht="15.75">
      <c r="A3060" s="90" t="s">
        <v>1068</v>
      </c>
      <c r="B3060" s="90" t="s">
        <v>128</v>
      </c>
      <c r="C3060" s="145" t="s">
        <v>2</v>
      </c>
    </row>
    <row r="3061" spans="1:5" ht="15">
      <c r="A3061" s="24" t="s">
        <v>536</v>
      </c>
      <c r="B3061" s="24" t="s">
        <v>735</v>
      </c>
      <c r="C3061" s="151">
        <v>50</v>
      </c>
    </row>
    <row r="3062" spans="1:5" ht="15">
      <c r="A3062" s="24" t="s">
        <v>731</v>
      </c>
      <c r="B3062" s="24" t="s">
        <v>734</v>
      </c>
      <c r="C3062" s="67">
        <v>58</v>
      </c>
    </row>
    <row r="3063" spans="1:5" ht="15">
      <c r="A3063" s="24">
        <v>2440</v>
      </c>
      <c r="B3063" s="24" t="s">
        <v>733</v>
      </c>
      <c r="C3063" s="67">
        <v>58</v>
      </c>
    </row>
    <row r="3067" spans="1:5" ht="15.75">
      <c r="A3067" s="90" t="s">
        <v>105</v>
      </c>
      <c r="B3067" s="90" t="s">
        <v>1068</v>
      </c>
      <c r="C3067" s="90" t="s">
        <v>128</v>
      </c>
      <c r="D3067" s="146" t="s">
        <v>1170</v>
      </c>
      <c r="E3067" s="146" t="s">
        <v>1168</v>
      </c>
    </row>
    <row r="3068" spans="1:5" ht="15.75">
      <c r="A3068" s="6" t="s">
        <v>1166</v>
      </c>
      <c r="B3068" s="24" t="s">
        <v>536</v>
      </c>
      <c r="C3068" s="24" t="s">
        <v>735</v>
      </c>
      <c r="D3068" s="25">
        <v>4.45</v>
      </c>
      <c r="E3068" s="283" t="s">
        <v>879</v>
      </c>
    </row>
    <row r="3069" spans="1:5" ht="15.75">
      <c r="A3069" s="6" t="s">
        <v>1166</v>
      </c>
      <c r="B3069" s="24" t="s">
        <v>731</v>
      </c>
      <c r="C3069" s="24" t="s">
        <v>734</v>
      </c>
      <c r="D3069" s="46">
        <v>9.31</v>
      </c>
      <c r="E3069" s="283" t="s">
        <v>1169</v>
      </c>
    </row>
    <row r="3070" spans="1:5" ht="15.75">
      <c r="A3070" s="6" t="s">
        <v>1166</v>
      </c>
      <c r="B3070" s="24">
        <v>2440</v>
      </c>
      <c r="C3070" s="24" t="s">
        <v>733</v>
      </c>
      <c r="D3070" s="46">
        <v>3.34</v>
      </c>
      <c r="E3070" s="283" t="s">
        <v>879</v>
      </c>
    </row>
    <row r="3073" spans="1:4" ht="15.75">
      <c r="A3073" s="90" t="s">
        <v>1068</v>
      </c>
      <c r="B3073" s="90" t="s">
        <v>128</v>
      </c>
      <c r="C3073" s="145" t="s">
        <v>54</v>
      </c>
    </row>
    <row r="3074" spans="1:4" ht="15">
      <c r="A3074" s="24" t="s">
        <v>22</v>
      </c>
      <c r="B3074" s="24" t="s">
        <v>863</v>
      </c>
      <c r="C3074" s="67">
        <v>56</v>
      </c>
    </row>
    <row r="3075" spans="1:4" ht="15">
      <c r="A3075" s="24"/>
      <c r="B3075" s="24" t="s">
        <v>31</v>
      </c>
      <c r="C3075" s="45">
        <v>1</v>
      </c>
    </row>
    <row r="3077" spans="1:4" ht="15.75">
      <c r="A3077" s="90" t="s">
        <v>1068</v>
      </c>
      <c r="B3077" s="90" t="s">
        <v>128</v>
      </c>
      <c r="C3077" s="145" t="s">
        <v>2</v>
      </c>
      <c r="D3077" s="146" t="s">
        <v>1055</v>
      </c>
    </row>
    <row r="3078" spans="1:4" ht="15">
      <c r="A3078" s="24" t="s">
        <v>538</v>
      </c>
      <c r="B3078" s="24" t="s">
        <v>353</v>
      </c>
      <c r="C3078" s="67">
        <v>50</v>
      </c>
      <c r="D3078" s="25">
        <v>0.22</v>
      </c>
    </row>
    <row r="3079" spans="1:4" ht="15">
      <c r="A3079" s="24" t="s">
        <v>1172</v>
      </c>
      <c r="B3079" s="24" t="s">
        <v>1173</v>
      </c>
      <c r="C3079" s="67">
        <v>50</v>
      </c>
      <c r="D3079" s="25">
        <v>0.37</v>
      </c>
    </row>
    <row r="3080" spans="1:4" ht="15">
      <c r="A3080" s="24"/>
      <c r="B3080" s="44" t="s">
        <v>31</v>
      </c>
      <c r="C3080" s="8"/>
      <c r="D3080" s="46">
        <v>12</v>
      </c>
    </row>
    <row r="3083" spans="1:4" ht="15.75">
      <c r="A3083" s="90" t="s">
        <v>1068</v>
      </c>
      <c r="B3083" s="90" t="s">
        <v>389</v>
      </c>
      <c r="C3083" s="90" t="s">
        <v>128</v>
      </c>
    </row>
    <row r="3084" spans="1:4" ht="15">
      <c r="A3084" s="24">
        <v>5603</v>
      </c>
      <c r="B3084" s="44"/>
      <c r="C3084" s="44" t="s">
        <v>1174</v>
      </c>
    </row>
    <row r="3085" spans="1:4" ht="15">
      <c r="A3085" s="24">
        <v>5603</v>
      </c>
      <c r="B3085" s="44"/>
      <c r="C3085" s="44" t="s">
        <v>1175</v>
      </c>
    </row>
    <row r="3086" spans="1:4" ht="15">
      <c r="A3086" s="24">
        <v>5291</v>
      </c>
      <c r="B3086" s="44">
        <v>6</v>
      </c>
      <c r="C3086" s="44" t="s">
        <v>1174</v>
      </c>
    </row>
    <row r="3087" spans="1:4" ht="15">
      <c r="A3087" s="24">
        <v>5291</v>
      </c>
      <c r="B3087" s="44">
        <v>6</v>
      </c>
      <c r="C3087" s="44" t="s">
        <v>1176</v>
      </c>
    </row>
    <row r="3088" spans="1:4" ht="15">
      <c r="A3088" s="24">
        <v>5291</v>
      </c>
      <c r="B3088" s="44">
        <v>6</v>
      </c>
      <c r="C3088" s="44" t="s">
        <v>1114</v>
      </c>
    </row>
    <row r="3089" spans="1:6" ht="15">
      <c r="A3089" s="24"/>
      <c r="B3089" s="26"/>
      <c r="C3089" s="24" t="s">
        <v>31</v>
      </c>
    </row>
    <row r="3093" spans="1:6" ht="31.5">
      <c r="A3093" s="90" t="s">
        <v>1068</v>
      </c>
      <c r="B3093" s="90" t="s">
        <v>389</v>
      </c>
      <c r="C3093" s="90" t="s">
        <v>128</v>
      </c>
      <c r="D3093" s="145" t="s">
        <v>181</v>
      </c>
      <c r="E3093" s="285" t="s">
        <v>1180</v>
      </c>
    </row>
    <row r="3094" spans="1:6" ht="15">
      <c r="A3094" s="24" t="s">
        <v>1179</v>
      </c>
      <c r="B3094" s="26" t="s">
        <v>426</v>
      </c>
      <c r="C3094" s="24" t="s">
        <v>726</v>
      </c>
      <c r="D3094" s="67">
        <v>20</v>
      </c>
      <c r="E3094" s="25">
        <v>11.81</v>
      </c>
    </row>
    <row r="3099" spans="1:6" ht="28.5">
      <c r="A3099" s="286" t="s">
        <v>1603</v>
      </c>
      <c r="B3099" s="286" t="s">
        <v>52</v>
      </c>
      <c r="C3099" s="286" t="s">
        <v>1053</v>
      </c>
      <c r="D3099" s="287" t="s">
        <v>1204</v>
      </c>
      <c r="E3099" s="288" t="s">
        <v>1182</v>
      </c>
      <c r="F3099" s="289" t="s">
        <v>1183</v>
      </c>
    </row>
    <row r="3100" spans="1:6" ht="15">
      <c r="A3100" s="300">
        <v>85038</v>
      </c>
      <c r="B3100" s="105" t="s">
        <v>1201</v>
      </c>
      <c r="C3100" s="105" t="s">
        <v>1202</v>
      </c>
      <c r="D3100" s="290">
        <v>19.75</v>
      </c>
      <c r="E3100" s="291" t="s">
        <v>1037</v>
      </c>
      <c r="F3100" s="291" t="s">
        <v>1037</v>
      </c>
    </row>
    <row r="3101" spans="1:6" ht="15">
      <c r="A3101" s="300" t="s">
        <v>1205</v>
      </c>
      <c r="B3101" s="29" t="s">
        <v>1207</v>
      </c>
      <c r="C3101" s="105" t="s">
        <v>1206</v>
      </c>
      <c r="D3101" s="290">
        <v>27.09</v>
      </c>
      <c r="E3101" s="291" t="s">
        <v>1037</v>
      </c>
      <c r="F3101" s="291" t="s">
        <v>1037</v>
      </c>
    </row>
    <row r="3103" spans="1:6">
      <c r="A3103" s="292"/>
    </row>
    <row r="3104" spans="1:6" ht="14.25" thickBot="1"/>
    <row r="3105" spans="1:8" ht="14.25">
      <c r="A3105" s="2851" t="s">
        <v>1185</v>
      </c>
      <c r="B3105" s="2851" t="s">
        <v>1186</v>
      </c>
      <c r="C3105" s="2851" t="s">
        <v>1187</v>
      </c>
      <c r="D3105" s="293" t="s">
        <v>1203</v>
      </c>
      <c r="E3105" s="2865" t="s">
        <v>1191</v>
      </c>
      <c r="F3105" s="2860" t="s">
        <v>1192</v>
      </c>
      <c r="G3105" s="2860" t="s">
        <v>1193</v>
      </c>
      <c r="H3105" s="745"/>
    </row>
    <row r="3106" spans="1:8" ht="14.25">
      <c r="A3106" s="2852"/>
      <c r="B3106" s="2852"/>
      <c r="C3106" s="2852"/>
      <c r="D3106" s="294" t="s">
        <v>1189</v>
      </c>
      <c r="E3106" s="2866"/>
      <c r="F3106" s="2861"/>
      <c r="G3106" s="2861"/>
      <c r="H3106" s="745"/>
    </row>
    <row r="3107" spans="1:8" ht="15" thickBot="1">
      <c r="A3107" s="2853"/>
      <c r="B3107" s="2853"/>
      <c r="C3107" s="2853"/>
      <c r="D3107" s="295" t="s">
        <v>1190</v>
      </c>
      <c r="E3107" s="2867"/>
      <c r="F3107" s="2862"/>
      <c r="G3107" s="2862"/>
      <c r="H3107" s="745"/>
    </row>
    <row r="3108" spans="1:8" ht="15.75" thickBot="1">
      <c r="A3108" s="296" t="s">
        <v>1194</v>
      </c>
      <c r="B3108" s="297" t="s">
        <v>1195</v>
      </c>
      <c r="C3108" s="298" t="s">
        <v>1196</v>
      </c>
      <c r="D3108" s="299">
        <v>39.17</v>
      </c>
      <c r="E3108" s="298" t="s">
        <v>1197</v>
      </c>
      <c r="F3108" s="298" t="s">
        <v>1197</v>
      </c>
      <c r="G3108" s="298" t="s">
        <v>1198</v>
      </c>
      <c r="H3108" s="611"/>
    </row>
    <row r="3109" spans="1:8" ht="15.75" thickBot="1">
      <c r="A3109" s="296" t="s">
        <v>1199</v>
      </c>
      <c r="B3109" s="297" t="s">
        <v>1195</v>
      </c>
      <c r="C3109" s="298" t="s">
        <v>1196</v>
      </c>
      <c r="D3109" s="299">
        <v>55.84</v>
      </c>
      <c r="E3109" s="298" t="s">
        <v>1197</v>
      </c>
      <c r="F3109" s="298" t="s">
        <v>1197</v>
      </c>
      <c r="G3109" s="298" t="s">
        <v>1200</v>
      </c>
      <c r="H3109" s="611"/>
    </row>
    <row r="3111" spans="1:8">
      <c r="A3111" s="292"/>
    </row>
    <row r="3113" spans="1:8" ht="15.75">
      <c r="A3113" s="90" t="s">
        <v>1068</v>
      </c>
      <c r="B3113" s="90" t="s">
        <v>128</v>
      </c>
      <c r="C3113" s="145" t="s">
        <v>2</v>
      </c>
      <c r="D3113" s="146" t="s">
        <v>1055</v>
      </c>
    </row>
    <row r="3114" spans="1:8" ht="15">
      <c r="A3114" s="24">
        <v>8003</v>
      </c>
      <c r="B3114" s="24" t="s">
        <v>1000</v>
      </c>
      <c r="C3114" s="8">
        <v>20</v>
      </c>
      <c r="D3114" s="46">
        <v>0.92</v>
      </c>
    </row>
    <row r="3115" spans="1:8" ht="15">
      <c r="A3115" s="24">
        <v>8003</v>
      </c>
      <c r="B3115" s="24" t="s">
        <v>998</v>
      </c>
      <c r="C3115" s="8">
        <v>20</v>
      </c>
      <c r="D3115" s="46">
        <v>0.92</v>
      </c>
    </row>
    <row r="3116" spans="1:8" ht="15">
      <c r="A3116" s="24">
        <v>8003</v>
      </c>
      <c r="B3116" s="24" t="s">
        <v>997</v>
      </c>
      <c r="C3116" s="8">
        <v>20</v>
      </c>
      <c r="D3116" s="46">
        <v>0.92</v>
      </c>
    </row>
    <row r="3117" spans="1:8" ht="15">
      <c r="A3117" s="24"/>
      <c r="B3117" s="24" t="s">
        <v>31</v>
      </c>
      <c r="C3117" s="45">
        <v>1</v>
      </c>
      <c r="D3117" s="46">
        <v>12</v>
      </c>
    </row>
    <row r="3120" spans="1:8" ht="15.75">
      <c r="A3120" s="90" t="s">
        <v>1068</v>
      </c>
      <c r="B3120" s="90" t="s">
        <v>128</v>
      </c>
      <c r="C3120" s="145" t="s">
        <v>2</v>
      </c>
      <c r="D3120" s="146" t="s">
        <v>1055</v>
      </c>
    </row>
    <row r="3121" spans="1:5" ht="15">
      <c r="A3121" s="24">
        <v>5603</v>
      </c>
      <c r="B3121" s="44" t="s">
        <v>1137</v>
      </c>
      <c r="C3121" s="151">
        <v>50</v>
      </c>
      <c r="D3121" s="46">
        <v>0.3</v>
      </c>
    </row>
    <row r="3122" spans="1:5" ht="15">
      <c r="A3122" s="24">
        <v>5603</v>
      </c>
      <c r="B3122" s="44" t="s">
        <v>1135</v>
      </c>
      <c r="C3122" s="151">
        <v>50</v>
      </c>
      <c r="D3122" s="46">
        <v>0.3</v>
      </c>
    </row>
    <row r="3123" spans="1:5" ht="15">
      <c r="A3123" s="24">
        <v>5603</v>
      </c>
      <c r="B3123" s="44" t="s">
        <v>1136</v>
      </c>
      <c r="C3123" s="151">
        <v>50</v>
      </c>
      <c r="D3123" s="46">
        <v>0.3</v>
      </c>
    </row>
    <row r="3124" spans="1:5" ht="15">
      <c r="A3124" s="24">
        <v>5603</v>
      </c>
      <c r="B3124" s="44" t="s">
        <v>1208</v>
      </c>
      <c r="C3124" s="151">
        <v>50</v>
      </c>
      <c r="D3124" s="46">
        <v>0.3</v>
      </c>
    </row>
    <row r="3125" spans="1:5" ht="15">
      <c r="A3125" s="24"/>
      <c r="B3125" s="44" t="s">
        <v>31</v>
      </c>
      <c r="C3125" s="8"/>
      <c r="D3125" s="46">
        <v>12</v>
      </c>
    </row>
    <row r="3129" spans="1:5" ht="15.75">
      <c r="A3129" s="90" t="s">
        <v>1068</v>
      </c>
      <c r="B3129" s="90" t="s">
        <v>389</v>
      </c>
      <c r="C3129" s="90" t="s">
        <v>128</v>
      </c>
      <c r="D3129" s="145" t="s">
        <v>181</v>
      </c>
      <c r="E3129" s="146" t="s">
        <v>1055</v>
      </c>
    </row>
    <row r="3130" spans="1:5" ht="15">
      <c r="A3130" s="24">
        <v>14552</v>
      </c>
      <c r="B3130" s="26">
        <v>10</v>
      </c>
      <c r="C3130" s="24" t="s">
        <v>1209</v>
      </c>
      <c r="D3130" s="67">
        <v>30</v>
      </c>
      <c r="E3130" s="25">
        <v>0.57999999999999996</v>
      </c>
    </row>
    <row r="3131" spans="1:5" ht="15">
      <c r="A3131" s="24">
        <v>14552</v>
      </c>
      <c r="B3131" s="26">
        <v>10</v>
      </c>
      <c r="C3131" s="24" t="s">
        <v>431</v>
      </c>
      <c r="D3131" s="67">
        <v>30</v>
      </c>
      <c r="E3131" s="25">
        <v>0.57999999999999996</v>
      </c>
    </row>
    <row r="3132" spans="1:5" ht="15">
      <c r="A3132" s="24"/>
      <c r="B3132" s="138"/>
      <c r="C3132" s="24" t="s">
        <v>481</v>
      </c>
      <c r="D3132" s="8"/>
      <c r="E3132" s="46">
        <v>12</v>
      </c>
    </row>
    <row r="3135" spans="1:5" ht="15.75">
      <c r="A3135" s="90" t="s">
        <v>105</v>
      </c>
      <c r="B3135" s="90" t="s">
        <v>1068</v>
      </c>
      <c r="C3135" s="90" t="s">
        <v>128</v>
      </c>
      <c r="D3135" s="145" t="s">
        <v>181</v>
      </c>
      <c r="E3135" s="146" t="s">
        <v>1055</v>
      </c>
    </row>
    <row r="3136" spans="1:5" ht="15">
      <c r="A3136" s="6" t="s">
        <v>1210</v>
      </c>
      <c r="B3136" s="24" t="s">
        <v>536</v>
      </c>
      <c r="C3136" s="24" t="s">
        <v>735</v>
      </c>
      <c r="D3136" s="67">
        <v>50</v>
      </c>
      <c r="E3136" s="25">
        <v>4.45</v>
      </c>
    </row>
    <row r="3137" spans="1:5" ht="15">
      <c r="A3137" s="6" t="s">
        <v>1210</v>
      </c>
      <c r="B3137" s="24" t="s">
        <v>536</v>
      </c>
      <c r="C3137" s="24" t="s">
        <v>862</v>
      </c>
      <c r="D3137" s="67">
        <v>104</v>
      </c>
      <c r="E3137" s="25">
        <v>4.45</v>
      </c>
    </row>
    <row r="3138" spans="1:5" ht="15">
      <c r="A3138" s="6" t="s">
        <v>1210</v>
      </c>
      <c r="B3138" s="24"/>
      <c r="C3138" s="24" t="s">
        <v>481</v>
      </c>
      <c r="D3138" s="8"/>
      <c r="E3138" s="46">
        <v>20</v>
      </c>
    </row>
    <row r="3142" spans="1:5" ht="15.75">
      <c r="A3142" s="90" t="s">
        <v>1068</v>
      </c>
      <c r="B3142" s="90" t="s">
        <v>128</v>
      </c>
      <c r="C3142" s="145" t="s">
        <v>2</v>
      </c>
      <c r="D3142" s="146" t="s">
        <v>1055</v>
      </c>
    </row>
    <row r="3143" spans="1:5" ht="15">
      <c r="A3143" s="24" t="s">
        <v>1172</v>
      </c>
      <c r="B3143" s="24" t="s">
        <v>1173</v>
      </c>
      <c r="C3143" s="67">
        <v>50</v>
      </c>
      <c r="D3143" s="25">
        <v>0.37</v>
      </c>
    </row>
    <row r="3144" spans="1:5" ht="15">
      <c r="A3144" s="24"/>
      <c r="B3144" s="44" t="s">
        <v>31</v>
      </c>
      <c r="C3144" s="8"/>
      <c r="D3144" s="46">
        <v>12</v>
      </c>
    </row>
    <row r="3148" spans="1:5" ht="15.75">
      <c r="A3148" s="90" t="s">
        <v>1068</v>
      </c>
      <c r="B3148" s="90" t="s">
        <v>128</v>
      </c>
      <c r="C3148" s="145" t="s">
        <v>2</v>
      </c>
      <c r="D3148" s="146" t="s">
        <v>1055</v>
      </c>
    </row>
    <row r="3149" spans="1:5" ht="15">
      <c r="A3149" s="24">
        <v>5612</v>
      </c>
      <c r="B3149" s="24" t="s">
        <v>1211</v>
      </c>
      <c r="C3149" s="67">
        <v>50</v>
      </c>
      <c r="D3149" s="46">
        <v>0.54</v>
      </c>
    </row>
    <row r="3150" spans="1:5" ht="15">
      <c r="A3150" s="24">
        <v>5612</v>
      </c>
      <c r="B3150" s="24" t="s">
        <v>1212</v>
      </c>
      <c r="C3150" s="67">
        <v>50</v>
      </c>
      <c r="D3150" s="46">
        <v>0.54</v>
      </c>
    </row>
    <row r="3151" spans="1:5" ht="15">
      <c r="A3151" s="24"/>
      <c r="B3151" s="24" t="s">
        <v>481</v>
      </c>
      <c r="C3151" s="8"/>
      <c r="D3151" s="46">
        <v>12</v>
      </c>
    </row>
    <row r="3155" spans="1:4" ht="15.75">
      <c r="A3155" s="90" t="s">
        <v>1068</v>
      </c>
      <c r="B3155" s="90" t="s">
        <v>128</v>
      </c>
      <c r="C3155" s="145" t="s">
        <v>2</v>
      </c>
      <c r="D3155" s="146" t="s">
        <v>1055</v>
      </c>
    </row>
    <row r="3156" spans="1:4" ht="15">
      <c r="A3156" s="24" t="s">
        <v>306</v>
      </c>
      <c r="B3156" s="44" t="s">
        <v>129</v>
      </c>
      <c r="C3156" s="67">
        <v>14</v>
      </c>
      <c r="D3156" s="46">
        <v>2.71</v>
      </c>
    </row>
    <row r="3157" spans="1:4" ht="15">
      <c r="A3157" s="24" t="s">
        <v>1215</v>
      </c>
      <c r="B3157" s="44" t="s">
        <v>129</v>
      </c>
      <c r="C3157" s="67">
        <v>14</v>
      </c>
      <c r="D3157" s="46">
        <v>2.77</v>
      </c>
    </row>
    <row r="3158" spans="1:4" ht="15">
      <c r="A3158" s="95"/>
      <c r="B3158" s="24" t="s">
        <v>31</v>
      </c>
      <c r="C3158" s="8"/>
      <c r="D3158" s="46">
        <v>12</v>
      </c>
    </row>
    <row r="3162" spans="1:4" ht="15.75">
      <c r="A3162" s="90" t="s">
        <v>1068</v>
      </c>
      <c r="B3162" s="90" t="s">
        <v>128</v>
      </c>
      <c r="C3162" s="145" t="s">
        <v>2</v>
      </c>
      <c r="D3162" s="146" t="s">
        <v>1055</v>
      </c>
    </row>
    <row r="3163" spans="1:4" ht="15">
      <c r="A3163" s="24" t="s">
        <v>1216</v>
      </c>
      <c r="B3163" s="24" t="s">
        <v>1078</v>
      </c>
      <c r="C3163" s="67">
        <v>30</v>
      </c>
      <c r="D3163" s="25">
        <v>6.12</v>
      </c>
    </row>
    <row r="3164" spans="1:4" ht="15">
      <c r="A3164" s="95"/>
      <c r="B3164" s="24" t="s">
        <v>75</v>
      </c>
      <c r="C3164" s="67" t="s">
        <v>86</v>
      </c>
      <c r="D3164" s="25">
        <v>12</v>
      </c>
    </row>
    <row r="3165" spans="1:4" ht="15">
      <c r="A3165" s="95"/>
      <c r="B3165" s="24" t="s">
        <v>31</v>
      </c>
      <c r="C3165" s="67" t="s">
        <v>86</v>
      </c>
      <c r="D3165" s="25">
        <v>20</v>
      </c>
    </row>
    <row r="3166" spans="1:4" ht="15.75">
      <c r="A3166" s="90" t="s">
        <v>1068</v>
      </c>
      <c r="B3166" s="90" t="s">
        <v>128</v>
      </c>
      <c r="C3166" s="145" t="s">
        <v>2</v>
      </c>
      <c r="D3166" s="146" t="s">
        <v>1055</v>
      </c>
    </row>
    <row r="3167" spans="1:4" ht="15">
      <c r="A3167" s="24" t="s">
        <v>1216</v>
      </c>
      <c r="B3167" s="24" t="s">
        <v>1078</v>
      </c>
      <c r="C3167" s="67">
        <v>58</v>
      </c>
      <c r="D3167" s="25">
        <v>4.16</v>
      </c>
    </row>
    <row r="3168" spans="1:4" ht="15">
      <c r="A3168" s="24" t="s">
        <v>1216</v>
      </c>
      <c r="B3168" s="24" t="s">
        <v>1079</v>
      </c>
      <c r="C3168" s="67">
        <v>58</v>
      </c>
      <c r="D3168" s="25">
        <v>4.16</v>
      </c>
    </row>
    <row r="3171" spans="1:5" ht="15.75">
      <c r="A3171" s="90" t="s">
        <v>105</v>
      </c>
      <c r="B3171" s="90" t="s">
        <v>1068</v>
      </c>
      <c r="C3171" s="90" t="s">
        <v>128</v>
      </c>
      <c r="D3171" s="145" t="s">
        <v>181</v>
      </c>
      <c r="E3171" s="146" t="s">
        <v>1055</v>
      </c>
    </row>
    <row r="3172" spans="1:5" ht="15">
      <c r="A3172" s="6" t="s">
        <v>1217</v>
      </c>
      <c r="B3172" s="24" t="s">
        <v>1121</v>
      </c>
      <c r="C3172" s="44" t="s">
        <v>129</v>
      </c>
      <c r="D3172" s="67">
        <v>42</v>
      </c>
      <c r="E3172" s="46">
        <v>1.8</v>
      </c>
    </row>
    <row r="3173" spans="1:5" ht="15">
      <c r="A3173" s="6" t="s">
        <v>1217</v>
      </c>
      <c r="B3173" s="95"/>
      <c r="C3173" s="24" t="s">
        <v>31</v>
      </c>
      <c r="D3173" s="8"/>
      <c r="E3173" s="46">
        <v>12</v>
      </c>
    </row>
    <row r="3176" spans="1:5" ht="15.75">
      <c r="A3176" s="90" t="s">
        <v>1068</v>
      </c>
      <c r="B3176" s="90" t="s">
        <v>128</v>
      </c>
      <c r="C3176" s="145" t="s">
        <v>2</v>
      </c>
      <c r="D3176" s="146" t="s">
        <v>1055</v>
      </c>
    </row>
    <row r="3177" spans="1:5" ht="15">
      <c r="A3177" s="24" t="s">
        <v>354</v>
      </c>
      <c r="B3177" s="24" t="s">
        <v>353</v>
      </c>
      <c r="C3177" s="67">
        <v>50</v>
      </c>
      <c r="D3177" s="25">
        <v>0.3</v>
      </c>
    </row>
    <row r="3178" spans="1:5" ht="15">
      <c r="A3178" s="24" t="s">
        <v>1219</v>
      </c>
      <c r="B3178" s="24" t="s">
        <v>353</v>
      </c>
      <c r="C3178" s="67">
        <v>50</v>
      </c>
      <c r="D3178" s="25">
        <v>0.28999999999999998</v>
      </c>
    </row>
    <row r="3179" spans="1:5" ht="15">
      <c r="A3179" s="24" t="s">
        <v>1220</v>
      </c>
      <c r="B3179" s="24" t="s">
        <v>353</v>
      </c>
      <c r="C3179" s="67">
        <v>50</v>
      </c>
      <c r="D3179" s="25">
        <v>0.33</v>
      </c>
    </row>
    <row r="3180" spans="1:5" ht="15">
      <c r="A3180" s="95"/>
      <c r="B3180" s="24" t="s">
        <v>31</v>
      </c>
      <c r="C3180" s="8"/>
      <c r="D3180" s="46">
        <v>12</v>
      </c>
    </row>
    <row r="3182" spans="1:5" ht="15.75">
      <c r="A3182" s="90" t="s">
        <v>1068</v>
      </c>
      <c r="B3182" s="90" t="s">
        <v>389</v>
      </c>
      <c r="C3182" s="90" t="s">
        <v>128</v>
      </c>
      <c r="D3182" s="145" t="s">
        <v>181</v>
      </c>
    </row>
    <row r="3183" spans="1:5" ht="15">
      <c r="A3183" s="24">
        <v>8032</v>
      </c>
      <c r="B3183" s="26">
        <v>15</v>
      </c>
      <c r="C3183" s="24" t="s">
        <v>1235</v>
      </c>
      <c r="D3183" s="67">
        <v>1400</v>
      </c>
    </row>
    <row r="3184" spans="1:5" ht="15">
      <c r="A3184" s="24">
        <v>8032</v>
      </c>
      <c r="B3184" s="26">
        <v>15</v>
      </c>
      <c r="C3184" s="24" t="s">
        <v>1236</v>
      </c>
      <c r="D3184" s="67">
        <v>900</v>
      </c>
    </row>
    <row r="3185" spans="1:8" ht="15">
      <c r="A3185" s="24">
        <v>8032</v>
      </c>
      <c r="B3185" s="26">
        <v>15</v>
      </c>
      <c r="C3185" s="24" t="s">
        <v>1237</v>
      </c>
      <c r="D3185" s="67">
        <v>300</v>
      </c>
    </row>
    <row r="3189" spans="1:8" ht="15.75">
      <c r="A3189" s="90" t="s">
        <v>105</v>
      </c>
      <c r="B3189" s="90" t="s">
        <v>1068</v>
      </c>
      <c r="C3189" s="90" t="s">
        <v>128</v>
      </c>
      <c r="D3189" s="145" t="s">
        <v>181</v>
      </c>
      <c r="E3189" s="146" t="s">
        <v>1055</v>
      </c>
    </row>
    <row r="3190" spans="1:8" ht="15">
      <c r="A3190" s="33" t="s">
        <v>1229</v>
      </c>
      <c r="B3190" s="24" t="s">
        <v>1006</v>
      </c>
      <c r="C3190" s="44" t="s">
        <v>129</v>
      </c>
      <c r="D3190" s="67" t="e">
        <f>#REF!*#REF!</f>
        <v>#REF!</v>
      </c>
      <c r="E3190" s="46">
        <v>3.1</v>
      </c>
    </row>
    <row r="3191" spans="1:8" ht="15">
      <c r="A3191" s="33" t="s">
        <v>1229</v>
      </c>
      <c r="B3191" s="24" t="s">
        <v>1004</v>
      </c>
      <c r="C3191" s="44" t="s">
        <v>129</v>
      </c>
      <c r="D3191" s="67" t="e">
        <f>#REF!*#REF!</f>
        <v>#REF!</v>
      </c>
      <c r="E3191" s="46">
        <v>1.35</v>
      </c>
    </row>
    <row r="3194" spans="1:8" ht="15.75">
      <c r="A3194" s="90" t="s">
        <v>105</v>
      </c>
      <c r="B3194" s="90" t="s">
        <v>1068</v>
      </c>
      <c r="C3194" s="90" t="s">
        <v>389</v>
      </c>
      <c r="D3194" s="145" t="s">
        <v>182</v>
      </c>
      <c r="E3194" s="145" t="s">
        <v>181</v>
      </c>
      <c r="F3194" s="146" t="s">
        <v>1055</v>
      </c>
      <c r="G3194" s="146" t="s">
        <v>1239</v>
      </c>
      <c r="H3194" s="743"/>
    </row>
    <row r="3195" spans="1:8" ht="15.75">
      <c r="A3195" s="33" t="s">
        <v>1232</v>
      </c>
      <c r="B3195" s="24">
        <v>8032</v>
      </c>
      <c r="C3195" s="26">
        <v>15</v>
      </c>
      <c r="D3195" s="68">
        <v>70</v>
      </c>
      <c r="E3195" s="67">
        <v>1400</v>
      </c>
      <c r="F3195" s="46">
        <v>1.34</v>
      </c>
      <c r="G3195" s="283" t="s">
        <v>1240</v>
      </c>
      <c r="H3195" s="744"/>
    </row>
    <row r="3196" spans="1:8" ht="15.75">
      <c r="A3196" s="33" t="s">
        <v>1232</v>
      </c>
      <c r="B3196" s="24">
        <v>8032</v>
      </c>
      <c r="C3196" s="26">
        <v>15</v>
      </c>
      <c r="D3196" s="68">
        <v>45</v>
      </c>
      <c r="E3196" s="67">
        <v>900</v>
      </c>
      <c r="F3196" s="46">
        <v>1.34</v>
      </c>
      <c r="G3196" s="283" t="s">
        <v>1241</v>
      </c>
      <c r="H3196" s="744"/>
    </row>
    <row r="3197" spans="1:8" ht="15.75">
      <c r="A3197" s="33" t="s">
        <v>1232</v>
      </c>
      <c r="B3197" s="24">
        <v>8032</v>
      </c>
      <c r="C3197" s="26">
        <v>15</v>
      </c>
      <c r="D3197" s="68">
        <v>15</v>
      </c>
      <c r="E3197" s="67">
        <v>300</v>
      </c>
      <c r="F3197" s="46">
        <v>1.34</v>
      </c>
      <c r="G3197" s="283" t="s">
        <v>152</v>
      </c>
      <c r="H3197" s="744"/>
    </row>
    <row r="3198" spans="1:8">
      <c r="A3198" s="317"/>
    </row>
    <row r="3199" spans="1:8" ht="15.75">
      <c r="A3199" s="90" t="s">
        <v>1068</v>
      </c>
      <c r="B3199" s="90" t="s">
        <v>389</v>
      </c>
      <c r="C3199" s="90" t="s">
        <v>128</v>
      </c>
      <c r="D3199" s="145" t="s">
        <v>181</v>
      </c>
      <c r="E3199" s="146" t="s">
        <v>1055</v>
      </c>
    </row>
    <row r="3200" spans="1:8" ht="15">
      <c r="A3200" s="24">
        <v>12701</v>
      </c>
      <c r="B3200" s="26">
        <v>24</v>
      </c>
      <c r="C3200" s="24" t="s">
        <v>294</v>
      </c>
      <c r="D3200" s="8">
        <v>50</v>
      </c>
      <c r="E3200" s="25">
        <v>1.4</v>
      </c>
    </row>
    <row r="3201" spans="1:8" ht="15">
      <c r="A3201" s="24"/>
      <c r="B3201" s="26"/>
      <c r="C3201" s="24" t="s">
        <v>31</v>
      </c>
      <c r="D3201" s="67"/>
      <c r="E3201" s="25">
        <v>12</v>
      </c>
    </row>
    <row r="3204" spans="1:8" ht="15">
      <c r="A3204" s="302" t="s">
        <v>1223</v>
      </c>
      <c r="B3204" s="303" t="s">
        <v>586</v>
      </c>
      <c r="C3204" s="304"/>
      <c r="D3204" s="306"/>
      <c r="E3204" s="307" t="s">
        <v>1228</v>
      </c>
      <c r="F3204" s="308"/>
      <c r="G3204" s="315"/>
      <c r="H3204" s="746"/>
    </row>
    <row r="3205" spans="1:8" ht="15">
      <c r="A3205" s="6" t="s">
        <v>1229</v>
      </c>
      <c r="B3205" s="15" t="s">
        <v>990</v>
      </c>
      <c r="C3205" s="20" t="s">
        <v>1003</v>
      </c>
      <c r="D3205" s="151"/>
      <c r="E3205" s="151"/>
      <c r="F3205" s="151"/>
      <c r="G3205" s="153" t="s">
        <v>10</v>
      </c>
      <c r="H3205" s="31"/>
    </row>
    <row r="3206" spans="1:8" ht="15">
      <c r="A3206" s="6" t="s">
        <v>1229</v>
      </c>
      <c r="B3206" s="15" t="s">
        <v>990</v>
      </c>
      <c r="C3206" s="56" t="s">
        <v>1006</v>
      </c>
      <c r="D3206" s="161">
        <f>E3206*F3206</f>
        <v>5768</v>
      </c>
      <c r="E3206" s="161">
        <v>14</v>
      </c>
      <c r="F3206" s="318">
        <v>412</v>
      </c>
      <c r="G3206" s="46">
        <v>3.1</v>
      </c>
      <c r="H3206" s="180"/>
    </row>
    <row r="3207" spans="1:8" ht="15">
      <c r="A3207" s="6" t="s">
        <v>1229</v>
      </c>
      <c r="B3207" s="15" t="s">
        <v>990</v>
      </c>
      <c r="C3207" s="56" t="s">
        <v>1004</v>
      </c>
      <c r="D3207" s="161">
        <f>E3207*F3207</f>
        <v>1106</v>
      </c>
      <c r="E3207" s="161">
        <v>14</v>
      </c>
      <c r="F3207" s="318">
        <v>79</v>
      </c>
      <c r="G3207" s="46">
        <v>1.35</v>
      </c>
      <c r="H3207" s="180"/>
    </row>
    <row r="3210" spans="1:8" ht="15.75">
      <c r="A3210" s="90" t="s">
        <v>1068</v>
      </c>
      <c r="B3210" s="90" t="s">
        <v>128</v>
      </c>
      <c r="C3210" s="145" t="s">
        <v>2</v>
      </c>
      <c r="D3210" s="146" t="s">
        <v>1055</v>
      </c>
      <c r="E3210" s="146" t="s">
        <v>151</v>
      </c>
    </row>
    <row r="3211" spans="1:8" ht="15.75">
      <c r="A3211" s="24" t="s">
        <v>587</v>
      </c>
      <c r="B3211" s="24" t="s">
        <v>78</v>
      </c>
      <c r="C3211" s="54">
        <v>14</v>
      </c>
      <c r="D3211" s="46">
        <v>2.04</v>
      </c>
      <c r="E3211" s="283" t="s">
        <v>152</v>
      </c>
    </row>
    <row r="3212" spans="1:8" ht="15.75">
      <c r="A3212" s="24" t="s">
        <v>1246</v>
      </c>
      <c r="B3212" s="24" t="s">
        <v>78</v>
      </c>
      <c r="C3212" s="54">
        <v>14</v>
      </c>
      <c r="D3212" s="46">
        <v>10.1</v>
      </c>
      <c r="E3212" s="283" t="s">
        <v>1250</v>
      </c>
    </row>
    <row r="3217" spans="1:5" ht="15.75">
      <c r="A3217" s="90" t="s">
        <v>105</v>
      </c>
      <c r="B3217" s="90" t="s">
        <v>1068</v>
      </c>
      <c r="C3217" s="90" t="s">
        <v>128</v>
      </c>
      <c r="D3217" s="145" t="s">
        <v>181</v>
      </c>
      <c r="E3217" s="146" t="s">
        <v>1055</v>
      </c>
    </row>
    <row r="3218" spans="1:5" ht="15">
      <c r="A3218" s="6" t="s">
        <v>1254</v>
      </c>
      <c r="B3218" s="24">
        <v>5603</v>
      </c>
      <c r="C3218" s="44" t="s">
        <v>1088</v>
      </c>
      <c r="D3218" s="67">
        <v>50</v>
      </c>
      <c r="E3218" s="46">
        <v>0.3</v>
      </c>
    </row>
    <row r="3219" spans="1:5" ht="15">
      <c r="A3219" s="6" t="s">
        <v>1254</v>
      </c>
      <c r="B3219" s="24">
        <v>5603</v>
      </c>
      <c r="C3219" s="44" t="s">
        <v>1085</v>
      </c>
      <c r="D3219" s="67">
        <v>50</v>
      </c>
      <c r="E3219" s="46">
        <v>0.3</v>
      </c>
    </row>
    <row r="3220" spans="1:5" ht="15">
      <c r="A3220" s="6" t="s">
        <v>1254</v>
      </c>
      <c r="B3220" s="24">
        <v>5603</v>
      </c>
      <c r="C3220" s="44" t="s">
        <v>1255</v>
      </c>
      <c r="D3220" s="67">
        <v>50</v>
      </c>
      <c r="E3220" s="46">
        <v>0.3</v>
      </c>
    </row>
    <row r="3221" spans="1:5" ht="15">
      <c r="A3221" s="6" t="s">
        <v>1254</v>
      </c>
      <c r="B3221" s="24">
        <v>5603</v>
      </c>
      <c r="C3221" s="44" t="s">
        <v>1256</v>
      </c>
      <c r="D3221" s="67">
        <v>50</v>
      </c>
      <c r="E3221" s="46">
        <v>0.3</v>
      </c>
    </row>
    <row r="3222" spans="1:5" ht="15">
      <c r="A3222" s="6" t="s">
        <v>1254</v>
      </c>
      <c r="B3222" s="24"/>
      <c r="C3222" s="24" t="s">
        <v>31</v>
      </c>
      <c r="D3222" s="319">
        <v>1</v>
      </c>
      <c r="E3222" s="46">
        <v>12</v>
      </c>
    </row>
    <row r="3225" spans="1:5" ht="15.75">
      <c r="A3225" s="90" t="s">
        <v>1068</v>
      </c>
      <c r="B3225" s="90" t="s">
        <v>389</v>
      </c>
      <c r="C3225" s="90" t="s">
        <v>128</v>
      </c>
      <c r="D3225" s="145" t="s">
        <v>181</v>
      </c>
      <c r="E3225" s="323" t="s">
        <v>1257</v>
      </c>
    </row>
    <row r="3226" spans="1:5" ht="15">
      <c r="A3226" s="24">
        <v>8032</v>
      </c>
      <c r="B3226" s="26">
        <v>15</v>
      </c>
      <c r="C3226" s="24" t="s">
        <v>1235</v>
      </c>
      <c r="D3226" s="67">
        <v>360</v>
      </c>
      <c r="E3226" s="324" t="s">
        <v>1258</v>
      </c>
    </row>
    <row r="3227" spans="1:5" ht="15">
      <c r="A3227" s="24">
        <v>8032</v>
      </c>
      <c r="B3227" s="26">
        <v>15</v>
      </c>
      <c r="C3227" s="24" t="s">
        <v>1236</v>
      </c>
      <c r="D3227" s="67">
        <v>760</v>
      </c>
      <c r="E3227" s="324" t="s">
        <v>1258</v>
      </c>
    </row>
    <row r="3228" spans="1:5" ht="15">
      <c r="A3228" s="24">
        <v>8032</v>
      </c>
      <c r="B3228" s="26">
        <v>15</v>
      </c>
      <c r="C3228" s="24" t="s">
        <v>1237</v>
      </c>
      <c r="D3228" s="67">
        <v>300</v>
      </c>
      <c r="E3228" s="324" t="s">
        <v>1258</v>
      </c>
    </row>
    <row r="3229" spans="1:5" ht="15">
      <c r="A3229" s="24">
        <v>8032</v>
      </c>
      <c r="B3229" s="26">
        <v>15</v>
      </c>
      <c r="C3229" s="24" t="s">
        <v>1235</v>
      </c>
      <c r="D3229" s="67">
        <v>1040</v>
      </c>
      <c r="E3229" s="324" t="s">
        <v>1259</v>
      </c>
    </row>
    <row r="3230" spans="1:5" ht="15">
      <c r="A3230" s="24">
        <v>8032</v>
      </c>
      <c r="B3230" s="26">
        <v>15</v>
      </c>
      <c r="C3230" s="24" t="s">
        <v>1236</v>
      </c>
      <c r="D3230" s="67">
        <v>140</v>
      </c>
      <c r="E3230" s="324" t="s">
        <v>1259</v>
      </c>
    </row>
    <row r="3233" spans="1:6" ht="15.75">
      <c r="A3233" s="90" t="s">
        <v>105</v>
      </c>
      <c r="B3233" s="90" t="s">
        <v>1068</v>
      </c>
      <c r="C3233" s="90" t="s">
        <v>389</v>
      </c>
      <c r="D3233" s="146" t="s">
        <v>1055</v>
      </c>
    </row>
    <row r="3234" spans="1:6" ht="15">
      <c r="A3234" s="33" t="s">
        <v>1261</v>
      </c>
      <c r="B3234" s="24" t="s">
        <v>743</v>
      </c>
      <c r="C3234" s="150">
        <v>130</v>
      </c>
      <c r="D3234" s="46">
        <v>10.98</v>
      </c>
    </row>
    <row r="3236" spans="1:6" ht="15">
      <c r="A3236" s="99" t="s">
        <v>455</v>
      </c>
      <c r="B3236" s="99" t="s">
        <v>389</v>
      </c>
      <c r="C3236" s="99" t="s">
        <v>128</v>
      </c>
    </row>
    <row r="3237" spans="1:6" ht="15">
      <c r="A3237" s="24" t="s">
        <v>1264</v>
      </c>
      <c r="B3237" s="26" t="s">
        <v>5</v>
      </c>
      <c r="C3237" s="24" t="s">
        <v>1265</v>
      </c>
    </row>
    <row r="3240" spans="1:6" ht="15.75">
      <c r="A3240" s="99" t="s">
        <v>455</v>
      </c>
      <c r="B3240" s="99" t="s">
        <v>389</v>
      </c>
      <c r="C3240" s="99" t="s">
        <v>128</v>
      </c>
      <c r="D3240" s="145" t="s">
        <v>181</v>
      </c>
      <c r="E3240" s="146" t="s">
        <v>1055</v>
      </c>
    </row>
    <row r="3241" spans="1:6" ht="15">
      <c r="A3241" s="24">
        <v>14552</v>
      </c>
      <c r="B3241" s="26">
        <v>10</v>
      </c>
      <c r="C3241" s="24" t="s">
        <v>431</v>
      </c>
      <c r="D3241" s="67">
        <v>330</v>
      </c>
      <c r="E3241" s="25">
        <v>0.57999999999999996</v>
      </c>
    </row>
    <row r="3242" spans="1:6" ht="15">
      <c r="A3242" s="24"/>
      <c r="B3242" s="138"/>
      <c r="C3242" s="24" t="s">
        <v>481</v>
      </c>
      <c r="D3242" s="319"/>
      <c r="E3242" s="46">
        <v>12</v>
      </c>
    </row>
    <row r="3244" spans="1:6" ht="15.75">
      <c r="A3244" s="90" t="s">
        <v>105</v>
      </c>
      <c r="B3244" s="90" t="s">
        <v>1068</v>
      </c>
      <c r="C3244" s="99" t="s">
        <v>128</v>
      </c>
      <c r="D3244" s="145" t="s">
        <v>181</v>
      </c>
      <c r="E3244" s="146" t="s">
        <v>1055</v>
      </c>
      <c r="F3244" s="146" t="s">
        <v>151</v>
      </c>
    </row>
    <row r="3245" spans="1:6" ht="15.75">
      <c r="A3245" s="6" t="s">
        <v>1267</v>
      </c>
      <c r="B3245" s="24" t="s">
        <v>1179</v>
      </c>
      <c r="C3245" s="24" t="s">
        <v>726</v>
      </c>
      <c r="D3245" s="19">
        <v>277.2</v>
      </c>
      <c r="E3245" s="25">
        <v>11.81</v>
      </c>
      <c r="F3245" s="283" t="s">
        <v>1270</v>
      </c>
    </row>
    <row r="3248" spans="1:6" ht="15.75">
      <c r="A3248" s="90" t="s">
        <v>105</v>
      </c>
      <c r="B3248" s="90" t="s">
        <v>1068</v>
      </c>
      <c r="C3248" s="99" t="s">
        <v>128</v>
      </c>
      <c r="D3248" s="145" t="s">
        <v>181</v>
      </c>
      <c r="E3248" s="146" t="s">
        <v>1055</v>
      </c>
    </row>
    <row r="3249" spans="1:5" ht="15">
      <c r="A3249" s="6" t="s">
        <v>1269</v>
      </c>
      <c r="B3249" s="24">
        <v>5603</v>
      </c>
      <c r="C3249" s="44" t="s">
        <v>1174</v>
      </c>
      <c r="D3249" s="67">
        <v>450</v>
      </c>
      <c r="E3249" s="46">
        <v>0.3</v>
      </c>
    </row>
    <row r="3250" spans="1:5" ht="15">
      <c r="A3250" s="6" t="s">
        <v>1269</v>
      </c>
      <c r="B3250" s="24">
        <v>5603</v>
      </c>
      <c r="C3250" s="44" t="s">
        <v>1177</v>
      </c>
      <c r="D3250" s="67">
        <v>400</v>
      </c>
      <c r="E3250" s="46">
        <v>0.3</v>
      </c>
    </row>
    <row r="3251" spans="1:5" ht="15">
      <c r="A3251" s="6" t="s">
        <v>1269</v>
      </c>
      <c r="B3251" s="24"/>
      <c r="C3251" s="24" t="s">
        <v>31</v>
      </c>
      <c r="D3251" s="319"/>
      <c r="E3251" s="46">
        <v>12</v>
      </c>
    </row>
    <row r="3255" spans="1:5" ht="15.75">
      <c r="A3255" s="90" t="s">
        <v>1068</v>
      </c>
      <c r="B3255" s="99" t="s">
        <v>128</v>
      </c>
      <c r="C3255" s="145" t="s">
        <v>2</v>
      </c>
    </row>
    <row r="3256" spans="1:5" ht="15">
      <c r="A3256" s="24" t="s">
        <v>1218</v>
      </c>
      <c r="B3256" s="24" t="s">
        <v>1078</v>
      </c>
      <c r="C3256" s="67">
        <v>45</v>
      </c>
    </row>
    <row r="3257" spans="1:5" ht="15">
      <c r="A3257" s="24" t="s">
        <v>1218</v>
      </c>
      <c r="B3257" s="24" t="s">
        <v>1078</v>
      </c>
      <c r="C3257" s="67">
        <v>48</v>
      </c>
    </row>
    <row r="3258" spans="1:5" ht="15">
      <c r="A3258" s="24" t="s">
        <v>1218</v>
      </c>
      <c r="B3258" s="24" t="s">
        <v>1078</v>
      </c>
      <c r="C3258" s="67">
        <v>50</v>
      </c>
    </row>
    <row r="3259" spans="1:5" ht="15">
      <c r="A3259" s="24" t="s">
        <v>1218</v>
      </c>
      <c r="B3259" s="24" t="s">
        <v>1078</v>
      </c>
      <c r="C3259" s="67">
        <v>54</v>
      </c>
    </row>
    <row r="3260" spans="1:5" ht="15">
      <c r="A3260" s="24" t="s">
        <v>1218</v>
      </c>
      <c r="B3260" s="24" t="s">
        <v>1078</v>
      </c>
      <c r="C3260" s="67">
        <v>58</v>
      </c>
    </row>
    <row r="3261" spans="1:5" ht="15">
      <c r="A3261" s="24"/>
      <c r="B3261" s="24"/>
      <c r="C3261" s="67"/>
    </row>
    <row r="3262" spans="1:5" ht="15">
      <c r="A3262" s="24" t="s">
        <v>1218</v>
      </c>
      <c r="B3262" s="24" t="s">
        <v>1079</v>
      </c>
      <c r="C3262" s="67">
        <v>51</v>
      </c>
    </row>
    <row r="3263" spans="1:5" ht="15">
      <c r="A3263" s="24" t="s">
        <v>1218</v>
      </c>
      <c r="B3263" s="24" t="s">
        <v>1079</v>
      </c>
      <c r="C3263" s="67">
        <v>52</v>
      </c>
    </row>
    <row r="3264" spans="1:5" ht="15">
      <c r="A3264" s="24" t="s">
        <v>1218</v>
      </c>
      <c r="B3264" s="24" t="s">
        <v>1079</v>
      </c>
      <c r="C3264" s="67">
        <v>53</v>
      </c>
    </row>
    <row r="3265" spans="1:6" ht="15">
      <c r="A3265" s="24" t="s">
        <v>1218</v>
      </c>
      <c r="B3265" s="24" t="s">
        <v>1079</v>
      </c>
      <c r="C3265" s="67">
        <v>54</v>
      </c>
    </row>
    <row r="3266" spans="1:6" ht="15">
      <c r="A3266" s="24" t="s">
        <v>1218</v>
      </c>
      <c r="B3266" s="24" t="s">
        <v>1079</v>
      </c>
      <c r="C3266" s="67">
        <v>58</v>
      </c>
    </row>
    <row r="3267" spans="1:6" ht="15">
      <c r="A3267" s="56"/>
      <c r="B3267" s="24"/>
      <c r="C3267" s="67"/>
    </row>
    <row r="3269" spans="1:6" ht="15.75">
      <c r="A3269" s="90" t="s">
        <v>105</v>
      </c>
      <c r="B3269" s="90" t="s">
        <v>1068</v>
      </c>
      <c r="C3269" s="90" t="s">
        <v>52</v>
      </c>
      <c r="D3269" s="145" t="s">
        <v>182</v>
      </c>
      <c r="E3269" s="145" t="s">
        <v>181</v>
      </c>
      <c r="F3269" s="146" t="s">
        <v>1055</v>
      </c>
    </row>
    <row r="3270" spans="1:6" ht="15">
      <c r="A3270" s="33" t="s">
        <v>1266</v>
      </c>
      <c r="B3270" s="24">
        <v>14552</v>
      </c>
      <c r="C3270" s="26">
        <v>10</v>
      </c>
      <c r="D3270" s="152">
        <v>11</v>
      </c>
      <c r="E3270" s="67">
        <v>330</v>
      </c>
      <c r="F3270" s="25">
        <v>0.57999999999999996</v>
      </c>
    </row>
    <row r="3271" spans="1:6" ht="15">
      <c r="A3271" s="33" t="s">
        <v>1272</v>
      </c>
      <c r="B3271" s="24">
        <v>14552</v>
      </c>
      <c r="C3271" s="26">
        <v>10</v>
      </c>
      <c r="D3271" s="152">
        <v>1</v>
      </c>
      <c r="E3271" s="67">
        <v>30</v>
      </c>
      <c r="F3271" s="25">
        <v>0.57999999999999996</v>
      </c>
    </row>
    <row r="3272" spans="1:6" ht="15">
      <c r="A3272" s="33" t="s">
        <v>1272</v>
      </c>
      <c r="B3272" s="24">
        <v>14552</v>
      </c>
      <c r="C3272" s="26">
        <v>10</v>
      </c>
      <c r="D3272" s="152">
        <v>1</v>
      </c>
      <c r="E3272" s="67">
        <v>30</v>
      </c>
      <c r="F3272" s="25">
        <v>0.57999999999999996</v>
      </c>
    </row>
    <row r="3273" spans="1:6" ht="15">
      <c r="A3273" s="33" t="s">
        <v>1275</v>
      </c>
      <c r="B3273" s="24"/>
      <c r="C3273" s="138"/>
      <c r="D3273" s="45">
        <v>1</v>
      </c>
      <c r="E3273" s="45"/>
      <c r="F3273" s="46">
        <v>12</v>
      </c>
    </row>
    <row r="3278" spans="1:6" ht="15.75">
      <c r="A3278" s="90" t="s">
        <v>1068</v>
      </c>
      <c r="B3278" s="99" t="s">
        <v>128</v>
      </c>
      <c r="C3278" s="145" t="s">
        <v>2</v>
      </c>
      <c r="D3278" s="146" t="s">
        <v>1055</v>
      </c>
      <c r="E3278" s="146" t="s">
        <v>287</v>
      </c>
    </row>
    <row r="3279" spans="1:6" ht="15.75">
      <c r="A3279" s="24" t="s">
        <v>1006</v>
      </c>
      <c r="B3279" s="44" t="s">
        <v>129</v>
      </c>
      <c r="C3279" s="8">
        <v>14</v>
      </c>
      <c r="D3279" s="46">
        <v>3.1</v>
      </c>
      <c r="E3279" s="283" t="s">
        <v>1279</v>
      </c>
    </row>
    <row r="3280" spans="1:6" ht="15.75">
      <c r="A3280" s="24" t="s">
        <v>1004</v>
      </c>
      <c r="B3280" s="44" t="s">
        <v>129</v>
      </c>
      <c r="C3280" s="8">
        <v>14</v>
      </c>
      <c r="D3280" s="46">
        <v>1.35</v>
      </c>
      <c r="E3280" s="283" t="s">
        <v>1279</v>
      </c>
    </row>
    <row r="3281" spans="1:8" ht="15.75">
      <c r="A3281" s="24" t="s">
        <v>1006</v>
      </c>
      <c r="B3281" s="44" t="s">
        <v>129</v>
      </c>
      <c r="C3281" s="8">
        <v>14</v>
      </c>
      <c r="D3281" s="46">
        <v>3.1</v>
      </c>
      <c r="E3281" s="283" t="s">
        <v>1280</v>
      </c>
    </row>
    <row r="3282" spans="1:8" ht="15.75">
      <c r="A3282" s="24" t="s">
        <v>1004</v>
      </c>
      <c r="B3282" s="44" t="s">
        <v>129</v>
      </c>
      <c r="C3282" s="8">
        <v>14</v>
      </c>
      <c r="D3282" s="46">
        <v>1.35</v>
      </c>
      <c r="E3282" s="283" t="s">
        <v>1280</v>
      </c>
    </row>
    <row r="3286" spans="1:8" ht="15.75">
      <c r="A3286" s="90" t="s">
        <v>105</v>
      </c>
      <c r="B3286" s="90" t="s">
        <v>1068</v>
      </c>
      <c r="C3286" s="90" t="s">
        <v>52</v>
      </c>
      <c r="D3286" s="145" t="s">
        <v>182</v>
      </c>
      <c r="E3286" s="145" t="s">
        <v>181</v>
      </c>
      <c r="F3286" s="146" t="s">
        <v>1055</v>
      </c>
    </row>
    <row r="3287" spans="1:8" ht="15">
      <c r="A3287" s="33" t="s">
        <v>1232</v>
      </c>
      <c r="B3287" s="24">
        <v>8032</v>
      </c>
      <c r="C3287" s="26">
        <v>15</v>
      </c>
      <c r="D3287" s="68">
        <v>52</v>
      </c>
      <c r="E3287" s="67">
        <v>1040</v>
      </c>
      <c r="F3287" s="46">
        <v>1.34</v>
      </c>
    </row>
    <row r="3288" spans="1:8" ht="15">
      <c r="A3288" s="33" t="s">
        <v>1232</v>
      </c>
      <c r="B3288" s="24">
        <v>8032</v>
      </c>
      <c r="C3288" s="26">
        <v>15</v>
      </c>
      <c r="D3288" s="68">
        <v>7</v>
      </c>
      <c r="E3288" s="67">
        <v>140</v>
      </c>
      <c r="F3288" s="46">
        <v>1.34</v>
      </c>
    </row>
    <row r="3290" spans="1:8" ht="15.75">
      <c r="A3290" s="90" t="s">
        <v>1068</v>
      </c>
      <c r="B3290" s="99" t="s">
        <v>128</v>
      </c>
      <c r="C3290" s="145" t="s">
        <v>2</v>
      </c>
      <c r="D3290" s="146" t="s">
        <v>1055</v>
      </c>
    </row>
    <row r="3291" spans="1:8" ht="15">
      <c r="A3291" s="24" t="s">
        <v>22</v>
      </c>
      <c r="B3291" s="24" t="s">
        <v>863</v>
      </c>
      <c r="C3291" s="67">
        <v>50</v>
      </c>
      <c r="D3291" s="46">
        <v>4.45</v>
      </c>
    </row>
    <row r="3292" spans="1:8" ht="15">
      <c r="A3292" s="24"/>
      <c r="B3292" s="24" t="s">
        <v>31</v>
      </c>
      <c r="C3292" s="45"/>
      <c r="D3292" s="46">
        <v>20</v>
      </c>
    </row>
    <row r="3293" spans="1:8" ht="15.75">
      <c r="A3293" s="90" t="s">
        <v>105</v>
      </c>
      <c r="B3293" s="90" t="s">
        <v>1068</v>
      </c>
      <c r="C3293" s="90" t="s">
        <v>389</v>
      </c>
      <c r="D3293" s="145" t="s">
        <v>182</v>
      </c>
      <c r="E3293" s="145" t="s">
        <v>181</v>
      </c>
      <c r="F3293" s="146" t="s">
        <v>1167</v>
      </c>
      <c r="G3293" s="146" t="s">
        <v>1170</v>
      </c>
      <c r="H3293" s="743"/>
    </row>
    <row r="3294" spans="1:8" ht="15">
      <c r="A3294" s="6" t="s">
        <v>1288</v>
      </c>
      <c r="B3294" s="24">
        <v>3705</v>
      </c>
      <c r="C3294" s="26">
        <v>19</v>
      </c>
      <c r="D3294" s="152">
        <v>41</v>
      </c>
      <c r="E3294" s="67">
        <v>1230</v>
      </c>
      <c r="F3294" s="46">
        <v>0.42</v>
      </c>
      <c r="G3294" s="46">
        <v>0.47</v>
      </c>
      <c r="H3294" s="180"/>
    </row>
    <row r="3295" spans="1:8" ht="15">
      <c r="A3295" s="6" t="s">
        <v>1288</v>
      </c>
      <c r="B3295" s="24">
        <v>3705</v>
      </c>
      <c r="C3295" s="26">
        <v>19</v>
      </c>
      <c r="D3295" s="152">
        <v>32</v>
      </c>
      <c r="E3295" s="67">
        <v>960</v>
      </c>
      <c r="F3295" s="46">
        <v>0.42</v>
      </c>
      <c r="G3295" s="46">
        <v>0.47</v>
      </c>
      <c r="H3295" s="180"/>
    </row>
    <row r="3296" spans="1:8" ht="15">
      <c r="A3296" s="6" t="s">
        <v>1288</v>
      </c>
      <c r="B3296" s="24"/>
      <c r="C3296" s="138"/>
      <c r="D3296" s="8" t="s">
        <v>482</v>
      </c>
      <c r="E3296" s="41"/>
      <c r="F3296" s="46">
        <v>12</v>
      </c>
      <c r="G3296" s="46">
        <v>12</v>
      </c>
      <c r="H3296" s="180"/>
    </row>
    <row r="3301" spans="1:3" ht="15.75">
      <c r="A3301" s="90" t="s">
        <v>1068</v>
      </c>
      <c r="B3301" s="99" t="s">
        <v>128</v>
      </c>
      <c r="C3301" s="145" t="s">
        <v>2</v>
      </c>
    </row>
    <row r="3302" spans="1:3" ht="15">
      <c r="A3302" s="24">
        <v>2440</v>
      </c>
      <c r="B3302" s="24" t="s">
        <v>621</v>
      </c>
      <c r="C3302" s="67">
        <v>58</v>
      </c>
    </row>
    <row r="3303" spans="1:3" ht="15">
      <c r="A3303" s="24">
        <v>2440</v>
      </c>
      <c r="B3303" s="24" t="s">
        <v>1007</v>
      </c>
      <c r="C3303" s="67">
        <v>58</v>
      </c>
    </row>
    <row r="3304" spans="1:3" ht="15">
      <c r="A3304" s="24">
        <v>2440</v>
      </c>
      <c r="B3304" s="24" t="s">
        <v>1298</v>
      </c>
      <c r="C3304" s="67">
        <v>58</v>
      </c>
    </row>
    <row r="3305" spans="1:3" ht="15">
      <c r="A3305" s="24">
        <v>2440</v>
      </c>
      <c r="B3305" s="24" t="s">
        <v>1299</v>
      </c>
      <c r="C3305" s="67">
        <v>58</v>
      </c>
    </row>
    <row r="3306" spans="1:3" ht="15">
      <c r="A3306" s="24">
        <v>2440</v>
      </c>
      <c r="B3306" s="24" t="s">
        <v>1300</v>
      </c>
      <c r="C3306" s="67">
        <v>58</v>
      </c>
    </row>
    <row r="3307" spans="1:3" ht="15">
      <c r="A3307" s="20"/>
      <c r="B3307" s="24"/>
      <c r="C3307" s="151"/>
    </row>
    <row r="3308" spans="1:3" ht="15">
      <c r="A3308" s="24" t="s">
        <v>536</v>
      </c>
      <c r="B3308" s="24" t="s">
        <v>862</v>
      </c>
      <c r="C3308" s="67">
        <v>50</v>
      </c>
    </row>
    <row r="3311" spans="1:3" ht="15.75">
      <c r="A3311" s="90" t="s">
        <v>1068</v>
      </c>
      <c r="B3311" s="99" t="s">
        <v>128</v>
      </c>
      <c r="C3311" s="145" t="s">
        <v>181</v>
      </c>
    </row>
    <row r="3312" spans="1:3" ht="15">
      <c r="A3312" s="24" t="s">
        <v>1302</v>
      </c>
      <c r="B3312" s="44" t="s">
        <v>129</v>
      </c>
      <c r="C3312" s="8">
        <v>14</v>
      </c>
    </row>
    <row r="3313" spans="1:3" ht="15">
      <c r="A3313" s="24" t="s">
        <v>1304</v>
      </c>
      <c r="B3313" s="44" t="s">
        <v>129</v>
      </c>
      <c r="C3313" s="8">
        <v>14</v>
      </c>
    </row>
    <row r="3316" spans="1:3" ht="15.75">
      <c r="A3316" s="90" t="s">
        <v>1068</v>
      </c>
      <c r="B3316" s="99" t="s">
        <v>128</v>
      </c>
      <c r="C3316" s="145" t="s">
        <v>181</v>
      </c>
    </row>
    <row r="3317" spans="1:3" ht="15">
      <c r="A3317" s="24" t="s">
        <v>1302</v>
      </c>
      <c r="B3317" s="44" t="s">
        <v>129</v>
      </c>
      <c r="C3317" s="67">
        <v>14</v>
      </c>
    </row>
    <row r="3318" spans="1:3" ht="15">
      <c r="A3318" s="24" t="s">
        <v>1304</v>
      </c>
      <c r="B3318" s="44" t="s">
        <v>129</v>
      </c>
      <c r="C3318" s="67">
        <v>14</v>
      </c>
    </row>
    <row r="3319" spans="1:3" ht="15">
      <c r="A3319" s="24"/>
      <c r="B3319" s="24" t="s">
        <v>31</v>
      </c>
      <c r="C3319" s="45">
        <v>1</v>
      </c>
    </row>
    <row r="3321" spans="1:3" ht="15.75">
      <c r="A3321" s="90" t="s">
        <v>1068</v>
      </c>
      <c r="B3321" s="90" t="s">
        <v>389</v>
      </c>
      <c r="C3321" s="99" t="s">
        <v>128</v>
      </c>
    </row>
    <row r="3322" spans="1:3" ht="15">
      <c r="A3322" s="24">
        <v>2250</v>
      </c>
      <c r="B3322" s="44">
        <v>18</v>
      </c>
      <c r="C3322" s="24" t="s">
        <v>173</v>
      </c>
    </row>
    <row r="3323" spans="1:3" ht="15">
      <c r="A3323" s="24"/>
      <c r="B3323" s="138"/>
      <c r="C3323" s="24" t="s">
        <v>31</v>
      </c>
    </row>
    <row r="3325" spans="1:3" ht="15.75">
      <c r="A3325" s="90" t="s">
        <v>1068</v>
      </c>
      <c r="B3325" s="99" t="s">
        <v>128</v>
      </c>
      <c r="C3325" s="145" t="s">
        <v>181</v>
      </c>
    </row>
    <row r="3326" spans="1:3" ht="15">
      <c r="A3326" s="24" t="s">
        <v>446</v>
      </c>
      <c r="B3326" s="24" t="s">
        <v>1310</v>
      </c>
      <c r="C3326" s="67">
        <v>50</v>
      </c>
    </row>
    <row r="3327" spans="1:3" ht="15">
      <c r="A3327" s="24"/>
      <c r="B3327" s="24" t="s">
        <v>31</v>
      </c>
      <c r="C3327" s="45">
        <v>1</v>
      </c>
    </row>
    <row r="3329" spans="1:5" ht="15.75">
      <c r="A3329" s="90" t="s">
        <v>105</v>
      </c>
      <c r="B3329" s="90" t="s">
        <v>1068</v>
      </c>
      <c r="C3329" s="99" t="s">
        <v>128</v>
      </c>
      <c r="D3329" s="145" t="s">
        <v>181</v>
      </c>
      <c r="E3329" s="146" t="s">
        <v>1055</v>
      </c>
    </row>
    <row r="3330" spans="1:5" ht="15">
      <c r="A3330" s="6" t="s">
        <v>1311</v>
      </c>
      <c r="B3330" s="24">
        <v>5603</v>
      </c>
      <c r="C3330" s="44" t="s">
        <v>1135</v>
      </c>
      <c r="D3330" s="67">
        <v>650</v>
      </c>
      <c r="E3330" s="46">
        <v>0.3</v>
      </c>
    </row>
    <row r="3331" spans="1:5" ht="15">
      <c r="A3331" s="6" t="s">
        <v>1311</v>
      </c>
      <c r="B3331" s="24"/>
      <c r="C3331" s="44" t="s">
        <v>31</v>
      </c>
      <c r="D3331" s="45"/>
      <c r="E3331" s="46">
        <v>12</v>
      </c>
    </row>
    <row r="3334" spans="1:5" ht="15.75">
      <c r="A3334" s="90" t="s">
        <v>105</v>
      </c>
      <c r="B3334" s="90" t="s">
        <v>1068</v>
      </c>
      <c r="C3334" s="99" t="s">
        <v>128</v>
      </c>
      <c r="D3334" s="145" t="s">
        <v>181</v>
      </c>
      <c r="E3334" s="146" t="s">
        <v>1055</v>
      </c>
    </row>
    <row r="3335" spans="1:5" ht="15">
      <c r="A3335" s="6" t="s">
        <v>1311</v>
      </c>
      <c r="B3335" s="24">
        <v>5603</v>
      </c>
      <c r="C3335" s="44" t="s">
        <v>1135</v>
      </c>
      <c r="D3335" s="67">
        <v>650</v>
      </c>
      <c r="E3335" s="46">
        <v>0.3</v>
      </c>
    </row>
    <row r="3336" spans="1:5" ht="15">
      <c r="A3336" s="6" t="s">
        <v>1311</v>
      </c>
      <c r="B3336" s="24">
        <v>5603</v>
      </c>
      <c r="C3336" s="44" t="s">
        <v>1135</v>
      </c>
      <c r="D3336" s="67">
        <v>650</v>
      </c>
      <c r="E3336" s="46">
        <v>0.3</v>
      </c>
    </row>
    <row r="3337" spans="1:5" ht="15">
      <c r="A3337" s="6" t="s">
        <v>1311</v>
      </c>
      <c r="B3337" s="24">
        <v>5603</v>
      </c>
      <c r="C3337" s="44" t="s">
        <v>1135</v>
      </c>
      <c r="D3337" s="67">
        <v>650</v>
      </c>
      <c r="E3337" s="46">
        <v>0.3</v>
      </c>
    </row>
    <row r="3338" spans="1:5" ht="15">
      <c r="A3338" s="6" t="s">
        <v>1311</v>
      </c>
      <c r="B3338" s="24">
        <v>5603</v>
      </c>
      <c r="C3338" s="44" t="s">
        <v>1135</v>
      </c>
      <c r="D3338" s="67">
        <v>650</v>
      </c>
      <c r="E3338" s="46">
        <v>0.3</v>
      </c>
    </row>
    <row r="3342" spans="1:5" ht="15.75">
      <c r="A3342" s="90" t="s">
        <v>105</v>
      </c>
      <c r="B3342" s="90" t="s">
        <v>1068</v>
      </c>
      <c r="C3342" s="99" t="s">
        <v>128</v>
      </c>
    </row>
    <row r="3343" spans="1:5" ht="15">
      <c r="A3343" s="6" t="s">
        <v>1315</v>
      </c>
      <c r="B3343" s="24" t="s">
        <v>1316</v>
      </c>
      <c r="C3343" s="44" t="s">
        <v>129</v>
      </c>
    </row>
    <row r="3344" spans="1:5" ht="15">
      <c r="A3344" s="6" t="s">
        <v>1315</v>
      </c>
      <c r="B3344" s="24" t="s">
        <v>521</v>
      </c>
      <c r="C3344" s="44" t="s">
        <v>129</v>
      </c>
    </row>
    <row r="3345" spans="1:6" ht="15">
      <c r="A3345" s="6" t="s">
        <v>1315</v>
      </c>
      <c r="B3345" s="24"/>
      <c r="C3345" s="24" t="s">
        <v>31</v>
      </c>
    </row>
    <row r="3347" spans="1:6" s="345" customFormat="1" ht="15">
      <c r="A3347" s="173" t="s">
        <v>1185</v>
      </c>
      <c r="B3347" s="173" t="s">
        <v>1187</v>
      </c>
      <c r="C3347" s="173" t="s">
        <v>1188</v>
      </c>
      <c r="D3347" s="173" t="s">
        <v>1192</v>
      </c>
      <c r="E3347" s="173" t="s">
        <v>1324</v>
      </c>
    </row>
    <row r="3348" spans="1:6" ht="15">
      <c r="A3348" s="343" t="s">
        <v>1321</v>
      </c>
      <c r="B3348" s="342" t="s">
        <v>1322</v>
      </c>
      <c r="C3348" s="342" t="s">
        <v>1184</v>
      </c>
      <c r="D3348" s="344">
        <v>115</v>
      </c>
      <c r="E3348" s="342" t="s">
        <v>1325</v>
      </c>
    </row>
    <row r="3352" spans="1:6" ht="15.75">
      <c r="A3352" s="90" t="s">
        <v>105</v>
      </c>
      <c r="B3352" s="90" t="s">
        <v>1068</v>
      </c>
      <c r="C3352" s="90" t="s">
        <v>389</v>
      </c>
      <c r="D3352" s="145" t="s">
        <v>182</v>
      </c>
      <c r="E3352" s="145" t="s">
        <v>181</v>
      </c>
      <c r="F3352" s="146" t="s">
        <v>1055</v>
      </c>
    </row>
    <row r="3353" spans="1:6" ht="15">
      <c r="A3353" s="33" t="s">
        <v>1328</v>
      </c>
      <c r="B3353" s="24">
        <v>14552</v>
      </c>
      <c r="C3353" s="26">
        <v>25</v>
      </c>
      <c r="D3353" s="68">
        <v>17</v>
      </c>
      <c r="E3353" s="67">
        <v>510</v>
      </c>
      <c r="F3353" s="46">
        <v>1.03</v>
      </c>
    </row>
    <row r="3354" spans="1:6" ht="15">
      <c r="A3354" s="33" t="s">
        <v>1328</v>
      </c>
      <c r="B3354" s="24"/>
      <c r="C3354" s="138"/>
      <c r="D3354" s="8" t="s">
        <v>482</v>
      </c>
      <c r="E3354" s="8"/>
      <c r="F3354" s="46">
        <v>12</v>
      </c>
    </row>
    <row r="3358" spans="1:6" ht="15.75">
      <c r="A3358" s="90" t="s">
        <v>1068</v>
      </c>
      <c r="B3358" s="99" t="s">
        <v>128</v>
      </c>
      <c r="C3358" s="146" t="s">
        <v>1055</v>
      </c>
    </row>
    <row r="3359" spans="1:6" ht="15">
      <c r="A3359" s="24" t="s">
        <v>1215</v>
      </c>
      <c r="B3359" s="44" t="s">
        <v>78</v>
      </c>
      <c r="C3359" s="46">
        <v>2.77</v>
      </c>
    </row>
    <row r="3360" spans="1:6" ht="15">
      <c r="A3360" s="24" t="s">
        <v>1215</v>
      </c>
      <c r="B3360" s="44" t="s">
        <v>1333</v>
      </c>
      <c r="C3360" s="46">
        <v>2.77</v>
      </c>
    </row>
    <row r="3361" spans="1:6" ht="15">
      <c r="A3361" s="24" t="s">
        <v>306</v>
      </c>
      <c r="B3361" s="44" t="s">
        <v>78</v>
      </c>
      <c r="C3361" s="46">
        <v>2.71</v>
      </c>
    </row>
    <row r="3362" spans="1:6" ht="15">
      <c r="A3362" s="24" t="s">
        <v>306</v>
      </c>
      <c r="B3362" s="44" t="s">
        <v>1333</v>
      </c>
      <c r="C3362" s="46">
        <v>2.71</v>
      </c>
    </row>
    <row r="3364" spans="1:6" ht="15">
      <c r="A3364" s="12" t="s">
        <v>1348</v>
      </c>
    </row>
    <row r="3365" spans="1:6" ht="15">
      <c r="A3365" s="24" t="s">
        <v>1346</v>
      </c>
      <c r="B3365" s="44" t="s">
        <v>1030</v>
      </c>
      <c r="C3365" s="267" t="s">
        <v>1347</v>
      </c>
    </row>
    <row r="3366" spans="1:6" ht="15">
      <c r="A3366" s="24" t="s">
        <v>1346</v>
      </c>
      <c r="B3366" s="44" t="s">
        <v>1032</v>
      </c>
      <c r="C3366" s="267" t="s">
        <v>1347</v>
      </c>
    </row>
    <row r="3367" spans="1:6" ht="15">
      <c r="A3367" s="24" t="s">
        <v>1346</v>
      </c>
      <c r="B3367" s="44" t="s">
        <v>1033</v>
      </c>
      <c r="C3367" s="267" t="s">
        <v>1347</v>
      </c>
    </row>
    <row r="3368" spans="1:6" ht="15">
      <c r="A3368" s="24" t="s">
        <v>1346</v>
      </c>
      <c r="B3368" s="44" t="s">
        <v>1034</v>
      </c>
      <c r="C3368" s="267" t="s">
        <v>1347</v>
      </c>
    </row>
    <row r="3371" spans="1:6" ht="15.75">
      <c r="A3371" s="90" t="s">
        <v>105</v>
      </c>
      <c r="B3371" s="90" t="s">
        <v>1068</v>
      </c>
      <c r="C3371" s="90" t="s">
        <v>389</v>
      </c>
      <c r="D3371" s="145" t="s">
        <v>182</v>
      </c>
      <c r="E3371" s="145" t="s">
        <v>181</v>
      </c>
      <c r="F3371" s="146" t="s">
        <v>1055</v>
      </c>
    </row>
    <row r="3372" spans="1:6" ht="15">
      <c r="A3372" s="6" t="s">
        <v>1343</v>
      </c>
      <c r="B3372" s="24">
        <v>3705</v>
      </c>
      <c r="C3372" s="26">
        <v>19</v>
      </c>
      <c r="D3372" s="152">
        <v>6</v>
      </c>
      <c r="E3372" s="67">
        <v>180</v>
      </c>
      <c r="F3372" s="352">
        <v>0.47</v>
      </c>
    </row>
    <row r="3373" spans="1:6" ht="15">
      <c r="A3373" s="6" t="s">
        <v>1343</v>
      </c>
      <c r="B3373" s="24">
        <v>3717</v>
      </c>
      <c r="C3373" s="26">
        <v>19</v>
      </c>
      <c r="D3373" s="152">
        <v>7</v>
      </c>
      <c r="E3373" s="67">
        <v>210</v>
      </c>
      <c r="F3373" s="352">
        <v>0.44</v>
      </c>
    </row>
    <row r="3374" spans="1:6" ht="15">
      <c r="A3374" s="6" t="s">
        <v>1343</v>
      </c>
      <c r="B3374" s="24"/>
      <c r="C3374" s="138"/>
      <c r="D3374" s="45">
        <v>1</v>
      </c>
      <c r="E3374" s="45"/>
      <c r="F3374" s="46">
        <v>12</v>
      </c>
    </row>
    <row r="3375" spans="1:6" ht="15.75">
      <c r="A3375" s="90" t="s">
        <v>105</v>
      </c>
      <c r="B3375" s="90" t="s">
        <v>1068</v>
      </c>
      <c r="C3375" s="90" t="s">
        <v>1098</v>
      </c>
      <c r="D3375" s="145" t="s">
        <v>181</v>
      </c>
      <c r="E3375" s="146" t="s">
        <v>1038</v>
      </c>
      <c r="F3375" s="315"/>
    </row>
    <row r="3376" spans="1:6" ht="15">
      <c r="A3376" s="6" t="s">
        <v>1345</v>
      </c>
      <c r="B3376" s="24" t="s">
        <v>1346</v>
      </c>
      <c r="C3376" s="44" t="s">
        <v>1030</v>
      </c>
      <c r="D3376" s="350"/>
      <c r="E3376" s="46">
        <v>0.48</v>
      </c>
    </row>
    <row r="3377" spans="1:5" ht="15">
      <c r="A3377" s="6" t="s">
        <v>1345</v>
      </c>
      <c r="B3377" s="24" t="s">
        <v>1346</v>
      </c>
      <c r="C3377" s="44" t="s">
        <v>1032</v>
      </c>
      <c r="D3377" s="305"/>
      <c r="E3377" s="46">
        <v>0.5</v>
      </c>
    </row>
    <row r="3378" spans="1:5" ht="15">
      <c r="A3378" s="6" t="s">
        <v>1345</v>
      </c>
      <c r="B3378" s="24" t="s">
        <v>1346</v>
      </c>
      <c r="C3378" s="44" t="s">
        <v>1033</v>
      </c>
      <c r="D3378" s="351"/>
      <c r="E3378" s="46">
        <v>0.51</v>
      </c>
    </row>
    <row r="3379" spans="1:5" ht="15">
      <c r="A3379" s="6" t="s">
        <v>1345</v>
      </c>
      <c r="B3379" s="24" t="s">
        <v>1346</v>
      </c>
      <c r="C3379" s="44" t="s">
        <v>1034</v>
      </c>
      <c r="D3379" s="349"/>
      <c r="E3379" s="46">
        <v>0.53</v>
      </c>
    </row>
    <row r="3380" spans="1:5" ht="15.75">
      <c r="A3380" s="6" t="s">
        <v>1345</v>
      </c>
      <c r="B3380" s="24" t="s">
        <v>1346</v>
      </c>
      <c r="C3380" s="44" t="s">
        <v>1030</v>
      </c>
      <c r="D3380" s="350" t="s">
        <v>1349</v>
      </c>
      <c r="E3380" s="46">
        <v>0.48</v>
      </c>
    </row>
    <row r="3381" spans="1:5" ht="15.75">
      <c r="A3381" s="6" t="s">
        <v>1345</v>
      </c>
      <c r="B3381" s="24" t="s">
        <v>1346</v>
      </c>
      <c r="C3381" s="44" t="s">
        <v>1032</v>
      </c>
      <c r="D3381" s="305" t="s">
        <v>1350</v>
      </c>
      <c r="E3381" s="46">
        <v>0.5</v>
      </c>
    </row>
    <row r="3382" spans="1:5" ht="15.75">
      <c r="A3382" s="6" t="s">
        <v>1345</v>
      </c>
      <c r="B3382" s="24" t="s">
        <v>1346</v>
      </c>
      <c r="C3382" s="44" t="s">
        <v>1033</v>
      </c>
      <c r="D3382" s="351" t="s">
        <v>1351</v>
      </c>
      <c r="E3382" s="46">
        <v>0.51</v>
      </c>
    </row>
    <row r="3383" spans="1:5" ht="15.75">
      <c r="A3383" s="6" t="s">
        <v>1345</v>
      </c>
      <c r="B3383" s="24" t="s">
        <v>1346</v>
      </c>
      <c r="C3383" s="44" t="s">
        <v>1034</v>
      </c>
      <c r="D3383" s="349" t="s">
        <v>1352</v>
      </c>
      <c r="E3383" s="46">
        <v>0.53</v>
      </c>
    </row>
    <row r="3384" spans="1:5" ht="15">
      <c r="A3384" s="6" t="s">
        <v>1345</v>
      </c>
      <c r="B3384" s="24"/>
      <c r="C3384" s="138"/>
      <c r="D3384" s="45"/>
      <c r="E3384" s="46">
        <v>14</v>
      </c>
    </row>
    <row r="3385" spans="1:5" ht="15">
      <c r="A3385" s="6" t="s">
        <v>1345</v>
      </c>
      <c r="B3385" s="24"/>
      <c r="C3385" s="138"/>
      <c r="D3385" s="45"/>
      <c r="E3385" s="46">
        <v>12</v>
      </c>
    </row>
    <row r="3387" spans="1:5" ht="15.75">
      <c r="A3387" s="90" t="s">
        <v>1068</v>
      </c>
      <c r="B3387" s="99" t="s">
        <v>128</v>
      </c>
      <c r="C3387" s="145" t="s">
        <v>2</v>
      </c>
      <c r="D3387" s="323" t="s">
        <v>245</v>
      </c>
    </row>
    <row r="3388" spans="1:5" ht="15">
      <c r="A3388" s="24" t="s">
        <v>1355</v>
      </c>
      <c r="B3388" s="44" t="s">
        <v>167</v>
      </c>
      <c r="C3388" s="8">
        <v>14</v>
      </c>
      <c r="D3388" s="103" t="s">
        <v>5258</v>
      </c>
    </row>
    <row r="3389" spans="1:5" ht="15">
      <c r="A3389" s="24" t="s">
        <v>1356</v>
      </c>
      <c r="B3389" s="44" t="s">
        <v>167</v>
      </c>
      <c r="C3389" s="8">
        <v>14</v>
      </c>
      <c r="D3389" s="103" t="s">
        <v>5259</v>
      </c>
    </row>
    <row r="3391" spans="1:5" ht="15.75">
      <c r="A3391" s="90" t="s">
        <v>105</v>
      </c>
      <c r="B3391" s="90" t="s">
        <v>1068</v>
      </c>
      <c r="C3391" s="90" t="s">
        <v>1098</v>
      </c>
      <c r="D3391" s="146" t="s">
        <v>1038</v>
      </c>
    </row>
    <row r="3392" spans="1:5" ht="15">
      <c r="A3392" s="6" t="s">
        <v>1345</v>
      </c>
      <c r="B3392" s="24" t="s">
        <v>1358</v>
      </c>
      <c r="C3392" s="44" t="s">
        <v>1030</v>
      </c>
      <c r="D3392" s="46">
        <v>0.32</v>
      </c>
    </row>
    <row r="3393" spans="1:4" ht="15">
      <c r="A3393" s="6" t="s">
        <v>1345</v>
      </c>
      <c r="B3393" s="24" t="s">
        <v>1358</v>
      </c>
      <c r="C3393" s="44" t="s">
        <v>1032</v>
      </c>
      <c r="D3393" s="46">
        <v>0.34</v>
      </c>
    </row>
    <row r="3394" spans="1:4" ht="15">
      <c r="A3394" s="6" t="s">
        <v>1345</v>
      </c>
      <c r="B3394" s="24" t="s">
        <v>1358</v>
      </c>
      <c r="C3394" s="44" t="s">
        <v>1033</v>
      </c>
      <c r="D3394" s="46">
        <v>0.36</v>
      </c>
    </row>
    <row r="3395" spans="1:4" ht="15">
      <c r="A3395" s="6" t="s">
        <v>1345</v>
      </c>
      <c r="B3395" s="24" t="s">
        <v>1358</v>
      </c>
      <c r="C3395" s="44" t="s">
        <v>1034</v>
      </c>
      <c r="D3395" s="46">
        <v>0.37</v>
      </c>
    </row>
    <row r="3396" spans="1:4" ht="15">
      <c r="A3396" s="6" t="s">
        <v>1345</v>
      </c>
      <c r="B3396" s="24"/>
      <c r="C3396" s="138"/>
      <c r="D3396" s="46">
        <v>12</v>
      </c>
    </row>
    <row r="3399" spans="1:4" ht="15.75">
      <c r="A3399" s="90" t="s">
        <v>1068</v>
      </c>
      <c r="B3399" s="99" t="s">
        <v>128</v>
      </c>
      <c r="C3399" s="145" t="s">
        <v>2</v>
      </c>
      <c r="D3399" s="173" t="s">
        <v>1323</v>
      </c>
    </row>
    <row r="3400" spans="1:4" ht="15">
      <c r="A3400" s="24" t="s">
        <v>1355</v>
      </c>
      <c r="B3400" s="44" t="s">
        <v>167</v>
      </c>
      <c r="C3400" s="8">
        <v>14</v>
      </c>
      <c r="D3400" s="46">
        <v>2.71</v>
      </c>
    </row>
    <row r="3401" spans="1:4" ht="15">
      <c r="A3401" s="24" t="s">
        <v>1356</v>
      </c>
      <c r="B3401" s="44" t="s">
        <v>167</v>
      </c>
      <c r="C3401" s="8">
        <v>14</v>
      </c>
      <c r="D3401" s="46">
        <v>2.77</v>
      </c>
    </row>
    <row r="3404" spans="1:4" ht="15">
      <c r="A3404" s="99" t="s">
        <v>455</v>
      </c>
      <c r="B3404" s="99" t="s">
        <v>1035</v>
      </c>
      <c r="C3404" s="99" t="s">
        <v>1052</v>
      </c>
    </row>
    <row r="3405" spans="1:4" ht="14.25">
      <c r="A3405" s="103" t="s">
        <v>1360</v>
      </c>
      <c r="B3405" s="264" t="s">
        <v>1361</v>
      </c>
      <c r="C3405" s="264" t="s">
        <v>1362</v>
      </c>
    </row>
    <row r="3407" spans="1:4" ht="15">
      <c r="A3407" s="38">
        <v>2860</v>
      </c>
    </row>
    <row r="3408" spans="1:4" ht="15">
      <c r="A3408" s="38">
        <v>2860</v>
      </c>
    </row>
    <row r="3409" spans="1:4" ht="15">
      <c r="A3409" s="38">
        <v>2860</v>
      </c>
    </row>
    <row r="3410" spans="1:4" ht="15">
      <c r="A3410" s="309">
        <v>2860</v>
      </c>
    </row>
    <row r="3411" spans="1:4" ht="15">
      <c r="A3411" s="38">
        <v>2864</v>
      </c>
    </row>
    <row r="3412" spans="1:4" ht="15">
      <c r="A3412" s="38">
        <v>2864</v>
      </c>
    </row>
    <row r="3413" spans="1:4" ht="15">
      <c r="A3413" s="38">
        <v>2864</v>
      </c>
    </row>
    <row r="3414" spans="1:4" ht="15">
      <c r="A3414" s="38">
        <v>2864</v>
      </c>
    </row>
    <row r="3415" spans="1:4" ht="15">
      <c r="A3415" s="38">
        <v>2864</v>
      </c>
    </row>
    <row r="3416" spans="1:4" ht="15">
      <c r="A3416" s="38">
        <v>2864</v>
      </c>
    </row>
    <row r="3417" spans="1:4" ht="15">
      <c r="A3417" s="38">
        <v>2864</v>
      </c>
    </row>
    <row r="3418" spans="1:4" ht="15">
      <c r="A3418" s="38">
        <v>2864</v>
      </c>
    </row>
    <row r="3419" spans="1:4" ht="15">
      <c r="A3419" s="38">
        <v>2864</v>
      </c>
    </row>
    <row r="3420" spans="1:4" ht="15">
      <c r="A3420" s="38">
        <v>2864</v>
      </c>
    </row>
    <row r="3421" spans="1:4" ht="15">
      <c r="A3421" s="309">
        <v>2864</v>
      </c>
    </row>
    <row r="3424" spans="1:4" ht="15.75">
      <c r="A3424" s="90" t="s">
        <v>1068</v>
      </c>
      <c r="B3424" s="90" t="s">
        <v>1098</v>
      </c>
      <c r="C3424" s="99" t="s">
        <v>128</v>
      </c>
      <c r="D3424" s="146" t="s">
        <v>1038</v>
      </c>
    </row>
    <row r="3425" spans="1:5" ht="15">
      <c r="A3425" s="24" t="s">
        <v>1358</v>
      </c>
      <c r="B3425" s="44" t="s">
        <v>1030</v>
      </c>
      <c r="C3425" s="260" t="s">
        <v>1359</v>
      </c>
    </row>
    <row r="3426" spans="1:5" ht="15">
      <c r="A3426" s="24" t="s">
        <v>1358</v>
      </c>
      <c r="B3426" s="44" t="s">
        <v>1032</v>
      </c>
      <c r="C3426" s="260" t="s">
        <v>1359</v>
      </c>
    </row>
    <row r="3427" spans="1:5" ht="15">
      <c r="A3427" s="24" t="s">
        <v>1358</v>
      </c>
      <c r="B3427" s="44" t="s">
        <v>1033</v>
      </c>
      <c r="C3427" s="260" t="s">
        <v>1359</v>
      </c>
    </row>
    <row r="3428" spans="1:5" ht="15">
      <c r="A3428" s="24" t="s">
        <v>1358</v>
      </c>
      <c r="B3428" s="44" t="s">
        <v>1034</v>
      </c>
      <c r="C3428" s="260" t="s">
        <v>1359</v>
      </c>
    </row>
    <row r="3429" spans="1:5" ht="15">
      <c r="A3429" s="24"/>
      <c r="B3429" s="138"/>
      <c r="C3429" s="24" t="s">
        <v>481</v>
      </c>
      <c r="D3429" s="41"/>
      <c r="E3429" s="46">
        <v>12</v>
      </c>
    </row>
    <row r="3433" spans="1:5" ht="15.75">
      <c r="A3433" s="90" t="s">
        <v>1068</v>
      </c>
      <c r="B3433" s="90" t="s">
        <v>1098</v>
      </c>
      <c r="C3433" s="99" t="s">
        <v>128</v>
      </c>
    </row>
    <row r="3434" spans="1:5" ht="15">
      <c r="A3434" s="24" t="s">
        <v>1358</v>
      </c>
      <c r="B3434" s="44" t="s">
        <v>1030</v>
      </c>
      <c r="C3434" s="260" t="s">
        <v>1364</v>
      </c>
    </row>
    <row r="3435" spans="1:5" ht="15">
      <c r="A3435" s="24" t="s">
        <v>1358</v>
      </c>
      <c r="B3435" s="44" t="s">
        <v>1032</v>
      </c>
      <c r="C3435" s="260" t="s">
        <v>1364</v>
      </c>
    </row>
    <row r="3436" spans="1:5" ht="15">
      <c r="A3436" s="24" t="s">
        <v>1358</v>
      </c>
      <c r="B3436" s="44" t="s">
        <v>1033</v>
      </c>
      <c r="C3436" s="260" t="s">
        <v>1364</v>
      </c>
    </row>
    <row r="3437" spans="1:5" ht="15">
      <c r="A3437" s="24" t="s">
        <v>1358</v>
      </c>
      <c r="B3437" s="44" t="s">
        <v>1034</v>
      </c>
      <c r="C3437" s="260" t="s">
        <v>1364</v>
      </c>
    </row>
    <row r="3438" spans="1:5" ht="15">
      <c r="A3438" s="24"/>
      <c r="B3438" s="138"/>
      <c r="C3438" s="24" t="s">
        <v>481</v>
      </c>
    </row>
    <row r="3440" spans="1:5" ht="15.75">
      <c r="A3440" s="361" t="s">
        <v>1372</v>
      </c>
      <c r="B3440" s="620" t="s">
        <v>377</v>
      </c>
      <c r="C3440" s="621" t="s">
        <v>2</v>
      </c>
    </row>
    <row r="3441" spans="1:5" ht="15">
      <c r="A3441" s="34" t="s">
        <v>1371</v>
      </c>
      <c r="B3441" s="360">
        <v>6</v>
      </c>
      <c r="C3441" s="148">
        <v>30</v>
      </c>
    </row>
    <row r="3444" spans="1:5" ht="15.75">
      <c r="A3444" s="361" t="s">
        <v>1369</v>
      </c>
      <c r="B3444" s="620" t="s">
        <v>377</v>
      </c>
      <c r="C3444" s="621" t="s">
        <v>2</v>
      </c>
      <c r="D3444" s="1608" t="s">
        <v>1370</v>
      </c>
    </row>
    <row r="3445" spans="1:5" ht="15">
      <c r="A3445" s="34" t="s">
        <v>1371</v>
      </c>
      <c r="B3445" s="360">
        <v>4</v>
      </c>
      <c r="C3445" s="148">
        <v>30</v>
      </c>
      <c r="D3445" s="362">
        <v>2</v>
      </c>
    </row>
    <row r="3448" spans="1:5" ht="15.75">
      <c r="A3448" s="90" t="s">
        <v>105</v>
      </c>
      <c r="B3448" s="90" t="s">
        <v>1068</v>
      </c>
      <c r="C3448" s="90" t="s">
        <v>1098</v>
      </c>
      <c r="D3448" s="146" t="s">
        <v>1038</v>
      </c>
      <c r="E3448" s="146" t="s">
        <v>368</v>
      </c>
    </row>
    <row r="3449" spans="1:5" ht="15.75">
      <c r="A3449" s="6" t="s">
        <v>1345</v>
      </c>
      <c r="B3449" s="24" t="s">
        <v>1358</v>
      </c>
      <c r="C3449" s="44" t="s">
        <v>1030</v>
      </c>
      <c r="D3449" s="46">
        <v>0.32</v>
      </c>
      <c r="E3449" s="283" t="s">
        <v>1374</v>
      </c>
    </row>
    <row r="3450" spans="1:5" ht="15.75">
      <c r="A3450" s="6" t="s">
        <v>1345</v>
      </c>
      <c r="B3450" s="24" t="s">
        <v>1358</v>
      </c>
      <c r="C3450" s="44" t="s">
        <v>1032</v>
      </c>
      <c r="D3450" s="46">
        <v>0.34</v>
      </c>
      <c r="E3450" s="283" t="s">
        <v>1374</v>
      </c>
    </row>
    <row r="3451" spans="1:5" ht="15.75">
      <c r="A3451" s="6" t="s">
        <v>1345</v>
      </c>
      <c r="B3451" s="24" t="s">
        <v>1358</v>
      </c>
      <c r="C3451" s="44" t="s">
        <v>1033</v>
      </c>
      <c r="D3451" s="46">
        <v>0.36</v>
      </c>
      <c r="E3451" s="283" t="s">
        <v>1374</v>
      </c>
    </row>
    <row r="3452" spans="1:5" ht="15.75">
      <c r="A3452" s="6" t="s">
        <v>1345</v>
      </c>
      <c r="B3452" s="24" t="s">
        <v>1358</v>
      </c>
      <c r="C3452" s="44" t="s">
        <v>1034</v>
      </c>
      <c r="D3452" s="46">
        <v>0.37</v>
      </c>
      <c r="E3452" s="283" t="s">
        <v>1374</v>
      </c>
    </row>
    <row r="3453" spans="1:5" ht="15.75">
      <c r="A3453" s="6" t="s">
        <v>1345</v>
      </c>
      <c r="B3453" s="24"/>
      <c r="C3453" s="138"/>
      <c r="D3453" s="46">
        <v>12</v>
      </c>
      <c r="E3453" s="283"/>
    </row>
    <row r="3456" spans="1:5" ht="15.75">
      <c r="A3456" s="90" t="s">
        <v>105</v>
      </c>
      <c r="B3456" s="90" t="s">
        <v>1068</v>
      </c>
      <c r="C3456" s="90" t="s">
        <v>1098</v>
      </c>
      <c r="D3456" s="146" t="s">
        <v>1038</v>
      </c>
      <c r="E3456" s="146" t="s">
        <v>368</v>
      </c>
    </row>
    <row r="3457" spans="1:6" ht="15.75">
      <c r="A3457" s="6" t="s">
        <v>1377</v>
      </c>
      <c r="B3457" s="24" t="s">
        <v>1358</v>
      </c>
      <c r="C3457" s="44" t="s">
        <v>1030</v>
      </c>
      <c r="D3457" s="46">
        <v>0.32</v>
      </c>
      <c r="E3457" s="283" t="s">
        <v>1375</v>
      </c>
    </row>
    <row r="3458" spans="1:6" ht="15.75">
      <c r="A3458" s="6" t="s">
        <v>1377</v>
      </c>
      <c r="B3458" s="24" t="s">
        <v>1358</v>
      </c>
      <c r="C3458" s="44" t="s">
        <v>1032</v>
      </c>
      <c r="D3458" s="46">
        <v>0.34</v>
      </c>
      <c r="E3458" s="283" t="s">
        <v>1375</v>
      </c>
    </row>
    <row r="3459" spans="1:6" ht="15.75">
      <c r="A3459" s="6" t="s">
        <v>1377</v>
      </c>
      <c r="B3459" s="24" t="s">
        <v>1358</v>
      </c>
      <c r="C3459" s="44" t="s">
        <v>1033</v>
      </c>
      <c r="D3459" s="46">
        <v>0.36</v>
      </c>
      <c r="E3459" s="283" t="s">
        <v>1375</v>
      </c>
    </row>
    <row r="3460" spans="1:6" ht="15.75">
      <c r="A3460" s="6" t="s">
        <v>1377</v>
      </c>
      <c r="B3460" s="24" t="s">
        <v>1358</v>
      </c>
      <c r="C3460" s="44" t="s">
        <v>1034</v>
      </c>
      <c r="D3460" s="46">
        <v>0.37</v>
      </c>
      <c r="E3460" s="283" t="s">
        <v>1375</v>
      </c>
    </row>
    <row r="3461" spans="1:6" ht="15.75">
      <c r="A3461" s="6" t="s">
        <v>1377</v>
      </c>
      <c r="B3461" s="24"/>
      <c r="C3461" s="138"/>
      <c r="D3461" s="46">
        <v>12</v>
      </c>
      <c r="E3461" s="283"/>
      <c r="F3461" s="46">
        <v>12</v>
      </c>
    </row>
    <row r="3465" spans="1:6" ht="15.75">
      <c r="A3465" s="90" t="s">
        <v>105</v>
      </c>
      <c r="B3465" s="90" t="s">
        <v>1068</v>
      </c>
      <c r="C3465" s="90" t="s">
        <v>1098</v>
      </c>
      <c r="D3465" s="146" t="s">
        <v>1038</v>
      </c>
      <c r="E3465" s="146" t="s">
        <v>368</v>
      </c>
    </row>
    <row r="3466" spans="1:6" ht="15.75">
      <c r="A3466" s="6" t="s">
        <v>1378</v>
      </c>
      <c r="B3466" s="24" t="s">
        <v>1358</v>
      </c>
      <c r="C3466" s="44" t="s">
        <v>1030</v>
      </c>
      <c r="D3466" s="46">
        <v>0.32</v>
      </c>
      <c r="E3466" s="283" t="s">
        <v>1376</v>
      </c>
    </row>
    <row r="3467" spans="1:6" ht="15.75">
      <c r="A3467" s="6" t="s">
        <v>1378</v>
      </c>
      <c r="B3467" s="24" t="s">
        <v>1358</v>
      </c>
      <c r="C3467" s="44" t="s">
        <v>1032</v>
      </c>
      <c r="D3467" s="46">
        <v>0.34</v>
      </c>
      <c r="E3467" s="283" t="s">
        <v>1376</v>
      </c>
    </row>
    <row r="3468" spans="1:6" ht="15.75">
      <c r="A3468" s="6" t="s">
        <v>1378</v>
      </c>
      <c r="B3468" s="24" t="s">
        <v>1358</v>
      </c>
      <c r="C3468" s="44" t="s">
        <v>1033</v>
      </c>
      <c r="D3468" s="46">
        <v>0.36</v>
      </c>
      <c r="E3468" s="283" t="s">
        <v>1376</v>
      </c>
    </row>
    <row r="3469" spans="1:6" ht="15.75">
      <c r="A3469" s="6" t="s">
        <v>1378</v>
      </c>
      <c r="B3469" s="24" t="s">
        <v>1358</v>
      </c>
      <c r="C3469" s="44" t="s">
        <v>1034</v>
      </c>
      <c r="D3469" s="46">
        <v>0.37</v>
      </c>
      <c r="E3469" s="283" t="s">
        <v>1376</v>
      </c>
    </row>
    <row r="3470" spans="1:6" ht="15.75">
      <c r="A3470" s="6" t="s">
        <v>1378</v>
      </c>
      <c r="B3470" s="24"/>
      <c r="C3470" s="138"/>
      <c r="D3470" s="46">
        <v>12</v>
      </c>
      <c r="E3470" s="283"/>
    </row>
    <row r="3474" spans="1:6" ht="15.75">
      <c r="A3474" s="90" t="s">
        <v>1068</v>
      </c>
      <c r="B3474" s="90" t="s">
        <v>389</v>
      </c>
      <c r="C3474" s="99" t="s">
        <v>128</v>
      </c>
      <c r="D3474" s="145" t="s">
        <v>181</v>
      </c>
      <c r="E3474" s="146" t="s">
        <v>1055</v>
      </c>
    </row>
    <row r="3475" spans="1:6" ht="15">
      <c r="A3475" s="24">
        <v>3705</v>
      </c>
      <c r="B3475" s="26">
        <v>19</v>
      </c>
      <c r="C3475" s="24" t="s">
        <v>1385</v>
      </c>
      <c r="D3475" s="67">
        <v>960</v>
      </c>
      <c r="E3475" s="46">
        <v>0.47</v>
      </c>
    </row>
    <row r="3476" spans="1:6" ht="15">
      <c r="A3476" s="24"/>
      <c r="B3476" s="138"/>
      <c r="C3476" s="24" t="s">
        <v>481</v>
      </c>
      <c r="D3476" s="45"/>
      <c r="E3476" s="46">
        <v>12</v>
      </c>
    </row>
    <row r="3479" spans="1:6" ht="15.75">
      <c r="A3479" s="90" t="s">
        <v>1068</v>
      </c>
      <c r="B3479" s="99" t="s">
        <v>128</v>
      </c>
      <c r="C3479" s="145" t="s">
        <v>54</v>
      </c>
      <c r="D3479" s="146" t="s">
        <v>1055</v>
      </c>
      <c r="E3479" s="146" t="s">
        <v>368</v>
      </c>
    </row>
    <row r="3480" spans="1:6" ht="15.75">
      <c r="A3480" s="24" t="s">
        <v>587</v>
      </c>
      <c r="B3480" s="24" t="s">
        <v>78</v>
      </c>
      <c r="C3480" s="54">
        <v>14</v>
      </c>
      <c r="D3480" s="46">
        <v>2.04</v>
      </c>
      <c r="E3480" s="283" t="s">
        <v>1388</v>
      </c>
    </row>
    <row r="3481" spans="1:6" ht="15.75">
      <c r="A3481" s="24" t="s">
        <v>1246</v>
      </c>
      <c r="B3481" s="24" t="s">
        <v>78</v>
      </c>
      <c r="C3481" s="54">
        <v>14</v>
      </c>
      <c r="D3481" s="46">
        <v>10.1</v>
      </c>
      <c r="E3481" s="283" t="s">
        <v>1389</v>
      </c>
    </row>
    <row r="3483" spans="1:6" ht="15.75">
      <c r="A3483" s="90" t="s">
        <v>105</v>
      </c>
      <c r="B3483" s="90" t="s">
        <v>1068</v>
      </c>
      <c r="C3483" s="90" t="s">
        <v>1098</v>
      </c>
      <c r="D3483" s="146" t="s">
        <v>1038</v>
      </c>
      <c r="E3483" s="146" t="s">
        <v>368</v>
      </c>
    </row>
    <row r="3484" spans="1:6" ht="15.75">
      <c r="A3484" s="6" t="s">
        <v>1377</v>
      </c>
      <c r="B3484" s="24" t="s">
        <v>1358</v>
      </c>
      <c r="C3484" s="44" t="s">
        <v>1030</v>
      </c>
      <c r="D3484" s="46">
        <v>0.32</v>
      </c>
      <c r="E3484" s="283" t="s">
        <v>1392</v>
      </c>
    </row>
    <row r="3485" spans="1:6" ht="15.75">
      <c r="A3485" s="6" t="s">
        <v>1377</v>
      </c>
      <c r="B3485" s="24" t="s">
        <v>1358</v>
      </c>
      <c r="C3485" s="44" t="s">
        <v>1032</v>
      </c>
      <c r="D3485" s="46">
        <v>0.34</v>
      </c>
      <c r="E3485" s="283" t="s">
        <v>1392</v>
      </c>
      <c r="F3485" s="39"/>
    </row>
    <row r="3486" spans="1:6" ht="15.75">
      <c r="A3486" s="6" t="s">
        <v>1377</v>
      </c>
      <c r="B3486" s="24" t="s">
        <v>1358</v>
      </c>
      <c r="C3486" s="44" t="s">
        <v>1033</v>
      </c>
      <c r="D3486" s="46">
        <v>0.36</v>
      </c>
      <c r="E3486" s="283" t="s">
        <v>1392</v>
      </c>
      <c r="F3486" s="239">
        <v>44246</v>
      </c>
    </row>
    <row r="3487" spans="1:6" ht="15.75">
      <c r="A3487" s="6" t="s">
        <v>1377</v>
      </c>
      <c r="B3487" s="24" t="s">
        <v>1358</v>
      </c>
      <c r="C3487" s="44" t="s">
        <v>1034</v>
      </c>
      <c r="D3487" s="46">
        <v>0.37</v>
      </c>
      <c r="E3487" s="283" t="s">
        <v>1392</v>
      </c>
      <c r="F3487" s="239">
        <v>44246</v>
      </c>
    </row>
    <row r="3488" spans="1:6" ht="15.75">
      <c r="A3488" s="6" t="s">
        <v>1377</v>
      </c>
      <c r="B3488" s="24"/>
      <c r="C3488" s="138"/>
      <c r="D3488" s="46">
        <v>12</v>
      </c>
      <c r="E3488" s="283"/>
      <c r="F3488" s="239">
        <v>44246</v>
      </c>
    </row>
    <row r="3489" spans="1:6">
      <c r="F3489" s="239">
        <v>44246</v>
      </c>
    </row>
    <row r="3490" spans="1:6">
      <c r="F3490" s="239">
        <v>44246</v>
      </c>
    </row>
    <row r="3491" spans="1:6" ht="15.75">
      <c r="A3491" s="90" t="s">
        <v>105</v>
      </c>
      <c r="B3491" s="90" t="s">
        <v>1068</v>
      </c>
      <c r="C3491" s="90" t="s">
        <v>1098</v>
      </c>
      <c r="D3491" s="146" t="s">
        <v>1038</v>
      </c>
      <c r="E3491" s="146" t="s">
        <v>368</v>
      </c>
    </row>
    <row r="3492" spans="1:6" ht="15.75">
      <c r="A3492" s="6" t="s">
        <v>1391</v>
      </c>
      <c r="B3492" s="24" t="s">
        <v>1358</v>
      </c>
      <c r="C3492" s="44" t="s">
        <v>1030</v>
      </c>
      <c r="D3492" s="46">
        <v>0.32</v>
      </c>
      <c r="E3492" s="283" t="s">
        <v>1393</v>
      </c>
    </row>
    <row r="3493" spans="1:6" ht="15.75">
      <c r="A3493" s="6" t="s">
        <v>1391</v>
      </c>
      <c r="B3493" s="24" t="s">
        <v>1358</v>
      </c>
      <c r="C3493" s="44" t="s">
        <v>1032</v>
      </c>
      <c r="D3493" s="46">
        <v>0.34</v>
      </c>
      <c r="E3493" s="283" t="s">
        <v>1393</v>
      </c>
    </row>
    <row r="3494" spans="1:6" ht="15.75">
      <c r="A3494" s="6" t="s">
        <v>1391</v>
      </c>
      <c r="B3494" s="24" t="s">
        <v>1358</v>
      </c>
      <c r="C3494" s="44" t="s">
        <v>1033</v>
      </c>
      <c r="D3494" s="46">
        <v>0.36</v>
      </c>
      <c r="E3494" s="283" t="s">
        <v>1393</v>
      </c>
    </row>
    <row r="3495" spans="1:6" ht="15.75">
      <c r="A3495" s="6" t="s">
        <v>1391</v>
      </c>
      <c r="B3495" s="24" t="s">
        <v>1358</v>
      </c>
      <c r="C3495" s="44" t="s">
        <v>1034</v>
      </c>
      <c r="D3495" s="46">
        <v>0.37</v>
      </c>
      <c r="E3495" s="283" t="s">
        <v>1393</v>
      </c>
    </row>
    <row r="3496" spans="1:6" ht="15">
      <c r="A3496" s="6" t="s">
        <v>1391</v>
      </c>
      <c r="B3496" s="24"/>
      <c r="C3496" s="138"/>
      <c r="D3496" s="46">
        <v>12</v>
      </c>
      <c r="E3496" s="38"/>
    </row>
    <row r="3500" spans="1:6" ht="15.75">
      <c r="A3500" s="90" t="s">
        <v>1068</v>
      </c>
      <c r="B3500" s="99" t="s">
        <v>128</v>
      </c>
      <c r="C3500" s="145" t="s">
        <v>54</v>
      </c>
      <c r="D3500" s="146" t="s">
        <v>1055</v>
      </c>
      <c r="E3500" s="146" t="s">
        <v>368</v>
      </c>
    </row>
    <row r="3501" spans="1:6" ht="15.75">
      <c r="A3501" s="24" t="s">
        <v>587</v>
      </c>
      <c r="B3501" s="24" t="s">
        <v>78</v>
      </c>
      <c r="C3501" s="54">
        <v>14</v>
      </c>
      <c r="D3501" s="46">
        <v>2.04</v>
      </c>
      <c r="E3501" s="283" t="s">
        <v>1394</v>
      </c>
    </row>
    <row r="3502" spans="1:6" ht="15.75">
      <c r="A3502" s="24" t="s">
        <v>1246</v>
      </c>
      <c r="B3502" s="24" t="s">
        <v>78</v>
      </c>
      <c r="C3502" s="54">
        <v>14</v>
      </c>
      <c r="D3502" s="46">
        <v>10.1</v>
      </c>
      <c r="E3502" s="283" t="s">
        <v>1394</v>
      </c>
    </row>
    <row r="3503" spans="1:6" ht="15.75">
      <c r="A3503" s="24" t="s">
        <v>1246</v>
      </c>
      <c r="B3503" s="24" t="s">
        <v>78</v>
      </c>
      <c r="C3503" s="54">
        <v>14</v>
      </c>
      <c r="D3503" s="46">
        <v>10.1</v>
      </c>
      <c r="E3503" s="283" t="s">
        <v>1389</v>
      </c>
    </row>
    <row r="3507" spans="1:5" ht="15.75">
      <c r="A3507" s="90" t="s">
        <v>1068</v>
      </c>
      <c r="B3507" s="99" t="s">
        <v>128</v>
      </c>
      <c r="C3507" s="145" t="s">
        <v>54</v>
      </c>
      <c r="D3507" s="146" t="s">
        <v>1055</v>
      </c>
    </row>
    <row r="3508" spans="1:5" ht="15">
      <c r="A3508" s="24" t="s">
        <v>446</v>
      </c>
      <c r="B3508" s="24" t="s">
        <v>1310</v>
      </c>
      <c r="C3508" s="151">
        <v>50</v>
      </c>
      <c r="D3508" s="46">
        <v>0.24</v>
      </c>
    </row>
    <row r="3509" spans="1:5" ht="15">
      <c r="A3509" s="20"/>
      <c r="B3509" s="44"/>
      <c r="C3509" s="151"/>
      <c r="D3509" s="153"/>
    </row>
    <row r="3510" spans="1:5" ht="15">
      <c r="A3510" s="24">
        <v>5603</v>
      </c>
      <c r="B3510" s="44" t="s">
        <v>1085</v>
      </c>
      <c r="C3510" s="151">
        <v>50</v>
      </c>
      <c r="D3510" s="46">
        <v>0.3</v>
      </c>
    </row>
    <row r="3511" spans="1:5" ht="15">
      <c r="A3511" s="24">
        <v>5603</v>
      </c>
      <c r="B3511" s="44" t="s">
        <v>1396</v>
      </c>
      <c r="C3511" s="151">
        <v>50</v>
      </c>
      <c r="D3511" s="46">
        <v>0.3</v>
      </c>
    </row>
    <row r="3512" spans="1:5" ht="15">
      <c r="A3512" s="24"/>
      <c r="B3512" s="24" t="s">
        <v>31</v>
      </c>
      <c r="C3512" s="8"/>
      <c r="D3512" s="46">
        <v>12</v>
      </c>
    </row>
    <row r="3515" spans="1:5" ht="15.75">
      <c r="A3515" s="90" t="s">
        <v>1068</v>
      </c>
      <c r="B3515" s="99" t="s">
        <v>128</v>
      </c>
      <c r="C3515" s="145" t="s">
        <v>54</v>
      </c>
      <c r="D3515" s="146" t="s">
        <v>1055</v>
      </c>
      <c r="E3515" s="146" t="s">
        <v>368</v>
      </c>
    </row>
    <row r="3516" spans="1:5" ht="15.75">
      <c r="A3516" s="24" t="s">
        <v>521</v>
      </c>
      <c r="B3516" s="44" t="s">
        <v>129</v>
      </c>
      <c r="C3516" s="8">
        <v>14</v>
      </c>
      <c r="D3516" s="46">
        <v>1.28</v>
      </c>
      <c r="E3516" s="283" t="s">
        <v>152</v>
      </c>
    </row>
    <row r="3517" spans="1:5" ht="15.75">
      <c r="A3517" s="24" t="s">
        <v>1302</v>
      </c>
      <c r="B3517" s="44" t="s">
        <v>129</v>
      </c>
      <c r="C3517" s="8">
        <v>14</v>
      </c>
      <c r="D3517" s="46">
        <v>1.73</v>
      </c>
      <c r="E3517" s="283" t="s">
        <v>1398</v>
      </c>
    </row>
    <row r="3518" spans="1:5" ht="15.75">
      <c r="A3518" s="24"/>
      <c r="B3518" s="24" t="s">
        <v>31</v>
      </c>
      <c r="C3518" s="45">
        <v>1</v>
      </c>
      <c r="D3518" s="46">
        <v>15</v>
      </c>
      <c r="E3518" s="283"/>
    </row>
    <row r="3521" spans="1:6">
      <c r="A3521" s="2856" t="s">
        <v>1400</v>
      </c>
      <c r="B3521" s="2857" t="s">
        <v>1401</v>
      </c>
      <c r="C3521" s="2858" t="s">
        <v>1181</v>
      </c>
      <c r="D3521" s="2858" t="s">
        <v>1402</v>
      </c>
      <c r="E3521" s="2784" t="s">
        <v>1403</v>
      </c>
      <c r="F3521" s="363"/>
    </row>
    <row r="3522" spans="1:6">
      <c r="A3522" s="2856"/>
      <c r="B3522" s="2857"/>
      <c r="C3522" s="2858"/>
      <c r="D3522" s="2858"/>
      <c r="E3522" s="2785"/>
      <c r="F3522" s="364"/>
    </row>
    <row r="3523" spans="1:6">
      <c r="A3523" s="368" t="s">
        <v>797</v>
      </c>
      <c r="B3523" s="367" t="s">
        <v>1404</v>
      </c>
      <c r="C3523" s="369" t="s">
        <v>1405</v>
      </c>
      <c r="D3523" s="367" t="s">
        <v>1406</v>
      </c>
      <c r="E3523" s="365"/>
      <c r="F3523" s="366"/>
    </row>
    <row r="3524" spans="1:6">
      <c r="A3524" s="368" t="s">
        <v>1253</v>
      </c>
      <c r="B3524" s="367" t="s">
        <v>1407</v>
      </c>
      <c r="C3524" s="369" t="s">
        <v>1405</v>
      </c>
      <c r="D3524" s="367" t="s">
        <v>1408</v>
      </c>
      <c r="E3524" s="366"/>
      <c r="F3524" s="365"/>
    </row>
    <row r="3526" spans="1:6" ht="15">
      <c r="A3526" s="99" t="s">
        <v>455</v>
      </c>
      <c r="B3526" s="99" t="s">
        <v>1035</v>
      </c>
      <c r="C3526" s="99" t="s">
        <v>1353</v>
      </c>
      <c r="D3526" s="101" t="s">
        <v>1418</v>
      </c>
    </row>
    <row r="3527" spans="1:6" ht="15">
      <c r="A3527" s="24" t="s">
        <v>1411</v>
      </c>
      <c r="B3527" s="44" t="s">
        <v>1413</v>
      </c>
      <c r="C3527" s="370" t="s">
        <v>1414</v>
      </c>
      <c r="D3527" s="207" t="s">
        <v>1419</v>
      </c>
    </row>
    <row r="3529" spans="1:6" ht="15">
      <c r="A3529" s="99" t="s">
        <v>455</v>
      </c>
      <c r="B3529" s="99" t="s">
        <v>52</v>
      </c>
      <c r="C3529" s="99" t="s">
        <v>128</v>
      </c>
    </row>
    <row r="3530" spans="1:6" ht="15">
      <c r="A3530" s="24">
        <v>5613</v>
      </c>
      <c r="B3530" s="44"/>
      <c r="C3530" s="44" t="s">
        <v>1410</v>
      </c>
    </row>
    <row r="3531" spans="1:6" ht="15">
      <c r="A3531" s="24" t="s">
        <v>1415</v>
      </c>
      <c r="B3531" s="44" t="s">
        <v>502</v>
      </c>
      <c r="C3531" s="24" t="s">
        <v>1416</v>
      </c>
    </row>
    <row r="3532" spans="1:6" ht="15">
      <c r="A3532" s="24" t="s">
        <v>1415</v>
      </c>
      <c r="B3532" s="44" t="s">
        <v>502</v>
      </c>
      <c r="C3532" s="24" t="s">
        <v>1417</v>
      </c>
    </row>
    <row r="3533" spans="1:6" ht="15">
      <c r="A3533" s="24"/>
      <c r="B3533" s="138"/>
      <c r="C3533" s="24" t="s">
        <v>31</v>
      </c>
    </row>
    <row r="3537" spans="1:4" ht="15">
      <c r="A3537" s="99" t="s">
        <v>455</v>
      </c>
      <c r="B3537" s="99" t="s">
        <v>1035</v>
      </c>
      <c r="C3537" s="99" t="s">
        <v>1052</v>
      </c>
    </row>
    <row r="3538" spans="1:4" ht="14.25">
      <c r="A3538" s="103" t="s">
        <v>1360</v>
      </c>
      <c r="B3538" s="264" t="s">
        <v>1361</v>
      </c>
      <c r="C3538" s="264" t="s">
        <v>1362</v>
      </c>
    </row>
    <row r="3541" spans="1:4" ht="15.75">
      <c r="A3541" s="99" t="s">
        <v>845</v>
      </c>
      <c r="B3541" s="99" t="s">
        <v>455</v>
      </c>
      <c r="C3541" s="99" t="s">
        <v>128</v>
      </c>
      <c r="D3541" s="146" t="s">
        <v>368</v>
      </c>
    </row>
    <row r="3542" spans="1:4" ht="15.75">
      <c r="A3542" s="33" t="s">
        <v>1397</v>
      </c>
      <c r="B3542" s="24" t="s">
        <v>521</v>
      </c>
      <c r="C3542" s="44" t="s">
        <v>1421</v>
      </c>
      <c r="D3542" s="283" t="s">
        <v>1423</v>
      </c>
    </row>
    <row r="3543" spans="1:4" ht="15.75">
      <c r="A3543" s="33" t="s">
        <v>1397</v>
      </c>
      <c r="B3543" s="24" t="s">
        <v>1302</v>
      </c>
      <c r="C3543" s="44" t="s">
        <v>129</v>
      </c>
      <c r="D3543" s="283" t="s">
        <v>1423</v>
      </c>
    </row>
    <row r="3544" spans="1:4" ht="15.75">
      <c r="A3544" s="33" t="s">
        <v>1397</v>
      </c>
      <c r="B3544" s="24"/>
      <c r="C3544" s="24" t="s">
        <v>31</v>
      </c>
      <c r="D3544" s="283"/>
    </row>
    <row r="3545" spans="1:4" ht="15.75">
      <c r="A3545" s="302"/>
      <c r="B3545" s="371"/>
      <c r="C3545" s="305"/>
      <c r="D3545" s="283"/>
    </row>
    <row r="3546" spans="1:4" ht="15.75">
      <c r="A3546" s="99" t="s">
        <v>845</v>
      </c>
      <c r="B3546" s="99" t="s">
        <v>455</v>
      </c>
      <c r="C3546" s="99" t="s">
        <v>128</v>
      </c>
      <c r="D3546" s="146" t="s">
        <v>368</v>
      </c>
    </row>
    <row r="3547" spans="1:4" ht="15.75">
      <c r="A3547" s="33" t="s">
        <v>1399</v>
      </c>
      <c r="B3547" s="24" t="s">
        <v>1302</v>
      </c>
      <c r="C3547" s="44" t="s">
        <v>129</v>
      </c>
      <c r="D3547" s="283" t="s">
        <v>1424</v>
      </c>
    </row>
    <row r="3548" spans="1:4" ht="15.75">
      <c r="A3548" s="33" t="s">
        <v>1399</v>
      </c>
      <c r="B3548" s="24"/>
      <c r="C3548" s="24" t="s">
        <v>31</v>
      </c>
      <c r="D3548" s="283"/>
    </row>
    <row r="3549" spans="1:4" ht="15.75">
      <c r="A3549" s="302"/>
      <c r="B3549" s="371"/>
      <c r="C3549" s="305"/>
      <c r="D3549" s="283"/>
    </row>
    <row r="3550" spans="1:4" ht="15.75">
      <c r="A3550" s="99" t="s">
        <v>845</v>
      </c>
      <c r="B3550" s="99" t="s">
        <v>455</v>
      </c>
      <c r="C3550" s="99" t="s">
        <v>128</v>
      </c>
      <c r="D3550" s="146" t="s">
        <v>368</v>
      </c>
    </row>
    <row r="3551" spans="1:4" ht="15.75">
      <c r="A3551" s="6"/>
      <c r="B3551" s="24" t="s">
        <v>521</v>
      </c>
      <c r="C3551" s="44" t="s">
        <v>129</v>
      </c>
      <c r="D3551" s="283" t="s">
        <v>1424</v>
      </c>
    </row>
    <row r="3552" spans="1:4" ht="15.75">
      <c r="A3552" s="302"/>
      <c r="B3552" s="371"/>
      <c r="C3552" s="305"/>
      <c r="D3552" s="283"/>
    </row>
    <row r="3554" spans="1:3" ht="15.75">
      <c r="A3554" s="372" t="s">
        <v>455</v>
      </c>
      <c r="B3554" s="372" t="s">
        <v>1035</v>
      </c>
      <c r="C3554" s="372" t="s">
        <v>1353</v>
      </c>
    </row>
    <row r="3555" spans="1:3" ht="15">
      <c r="A3555" s="24" t="s">
        <v>1411</v>
      </c>
      <c r="B3555" s="44" t="s">
        <v>1413</v>
      </c>
      <c r="C3555" s="370" t="s">
        <v>1414</v>
      </c>
    </row>
    <row r="3556" spans="1:3" ht="15">
      <c r="A3556" s="373" t="s">
        <v>455</v>
      </c>
      <c r="B3556" s="373" t="s">
        <v>52</v>
      </c>
      <c r="C3556" s="373" t="s">
        <v>128</v>
      </c>
    </row>
    <row r="3557" spans="1:3" ht="15">
      <c r="A3557" s="24">
        <v>5613</v>
      </c>
      <c r="B3557" s="44"/>
      <c r="C3557" s="44" t="s">
        <v>1410</v>
      </c>
    </row>
    <row r="3558" spans="1:3" ht="15">
      <c r="A3558" s="24" t="s">
        <v>1415</v>
      </c>
      <c r="B3558" s="44" t="s">
        <v>502</v>
      </c>
      <c r="C3558" s="24" t="s">
        <v>1416</v>
      </c>
    </row>
    <row r="3559" spans="1:3" ht="15">
      <c r="A3559" s="24"/>
      <c r="B3559" s="138"/>
      <c r="C3559" s="24" t="s">
        <v>31</v>
      </c>
    </row>
    <row r="3562" spans="1:3" ht="15">
      <c r="A3562" s="373" t="s">
        <v>845</v>
      </c>
      <c r="B3562" s="373" t="s">
        <v>455</v>
      </c>
      <c r="C3562" s="373" t="s">
        <v>128</v>
      </c>
    </row>
    <row r="3563" spans="1:3" ht="15">
      <c r="A3563" s="33" t="s">
        <v>1397</v>
      </c>
      <c r="B3563" s="24" t="s">
        <v>521</v>
      </c>
      <c r="C3563" s="44" t="s">
        <v>1421</v>
      </c>
    </row>
    <row r="3564" spans="1:3" ht="15">
      <c r="A3564" s="33" t="s">
        <v>1397</v>
      </c>
      <c r="B3564" s="24" t="s">
        <v>1302</v>
      </c>
      <c r="C3564" s="44" t="s">
        <v>129</v>
      </c>
    </row>
    <row r="3565" spans="1:3" ht="15">
      <c r="A3565" s="33" t="s">
        <v>1397</v>
      </c>
      <c r="B3565" s="24"/>
      <c r="C3565" s="24" t="s">
        <v>31</v>
      </c>
    </row>
    <row r="3566" spans="1:3" ht="15">
      <c r="A3566" s="373" t="s">
        <v>845</v>
      </c>
      <c r="B3566" s="373" t="s">
        <v>455</v>
      </c>
      <c r="C3566" s="373" t="s">
        <v>128</v>
      </c>
    </row>
    <row r="3567" spans="1:3" ht="15">
      <c r="A3567" s="33" t="s">
        <v>1399</v>
      </c>
      <c r="B3567" s="24" t="s">
        <v>1302</v>
      </c>
      <c r="C3567" s="44" t="s">
        <v>129</v>
      </c>
    </row>
    <row r="3568" spans="1:3" ht="15">
      <c r="A3568" s="33" t="s">
        <v>1399</v>
      </c>
      <c r="B3568" s="24" t="s">
        <v>521</v>
      </c>
      <c r="C3568" s="44" t="s">
        <v>129</v>
      </c>
    </row>
    <row r="3569" spans="1:8" ht="15">
      <c r="A3569" s="33" t="s">
        <v>1399</v>
      </c>
      <c r="B3569" s="24"/>
      <c r="C3569" s="24" t="s">
        <v>31</v>
      </c>
    </row>
    <row r="3571" spans="1:8" ht="15">
      <c r="A3571" s="173" t="s">
        <v>1185</v>
      </c>
      <c r="B3571" s="173" t="s">
        <v>1187</v>
      </c>
      <c r="C3571" s="173" t="s">
        <v>1188</v>
      </c>
      <c r="D3571" s="173" t="s">
        <v>1192</v>
      </c>
      <c r="E3571" s="173" t="s">
        <v>1427</v>
      </c>
    </row>
    <row r="3572" spans="1:8" ht="15">
      <c r="A3572" s="342" t="s">
        <v>1426</v>
      </c>
      <c r="B3572" s="342" t="s">
        <v>1322</v>
      </c>
      <c r="C3572" s="342" t="s">
        <v>1184</v>
      </c>
      <c r="D3572" s="344">
        <v>125</v>
      </c>
      <c r="E3572" s="342" t="s">
        <v>1428</v>
      </c>
    </row>
    <row r="3574" spans="1:8" ht="15.75">
      <c r="A3574" s="99" t="s">
        <v>845</v>
      </c>
      <c r="B3574" s="99" t="s">
        <v>455</v>
      </c>
      <c r="C3574" s="99" t="s">
        <v>128</v>
      </c>
      <c r="D3574" s="145" t="s">
        <v>181</v>
      </c>
      <c r="E3574" s="146" t="s">
        <v>1055</v>
      </c>
      <c r="F3574" s="146" t="s">
        <v>368</v>
      </c>
    </row>
    <row r="3575" spans="1:8" ht="15.75">
      <c r="A3575" s="33" t="s">
        <v>1431</v>
      </c>
      <c r="B3575" s="24">
        <v>2440</v>
      </c>
      <c r="C3575" s="24" t="s">
        <v>862</v>
      </c>
      <c r="D3575" s="67">
        <v>174</v>
      </c>
      <c r="E3575" s="46">
        <v>3.34</v>
      </c>
      <c r="F3575" s="283" t="s">
        <v>879</v>
      </c>
    </row>
    <row r="3576" spans="1:8" ht="15.75">
      <c r="A3576" s="33" t="s">
        <v>1431</v>
      </c>
      <c r="B3576" s="24">
        <v>2440</v>
      </c>
      <c r="C3576" s="24" t="s">
        <v>862</v>
      </c>
      <c r="D3576" s="67">
        <v>408</v>
      </c>
      <c r="E3576" s="46">
        <v>3.34</v>
      </c>
      <c r="F3576" s="283"/>
    </row>
    <row r="3579" spans="1:8" ht="15">
      <c r="A3579" s="99" t="s">
        <v>455</v>
      </c>
      <c r="B3579" s="99" t="s">
        <v>389</v>
      </c>
      <c r="C3579" s="99" t="s">
        <v>128</v>
      </c>
    </row>
    <row r="3580" spans="1:8" ht="15">
      <c r="A3580" s="24">
        <v>1598</v>
      </c>
      <c r="B3580" s="26" t="s">
        <v>19</v>
      </c>
      <c r="C3580" s="24" t="s">
        <v>602</v>
      </c>
    </row>
    <row r="3581" spans="1:8" ht="15">
      <c r="A3581" s="24"/>
      <c r="B3581" s="26"/>
      <c r="C3581" s="24" t="s">
        <v>31</v>
      </c>
    </row>
    <row r="3583" spans="1:8" ht="15.75">
      <c r="A3583" s="99" t="s">
        <v>845</v>
      </c>
      <c r="B3583" s="99" t="s">
        <v>455</v>
      </c>
      <c r="C3583" s="99" t="s">
        <v>52</v>
      </c>
      <c r="D3583" s="145" t="s">
        <v>182</v>
      </c>
      <c r="E3583" s="145" t="s">
        <v>181</v>
      </c>
      <c r="F3583" s="146" t="s">
        <v>1055</v>
      </c>
      <c r="G3583" s="146" t="s">
        <v>368</v>
      </c>
      <c r="H3583" s="743"/>
    </row>
    <row r="3584" spans="1:8" ht="15.75">
      <c r="A3584" s="33" t="s">
        <v>1433</v>
      </c>
      <c r="B3584" s="24">
        <v>3705</v>
      </c>
      <c r="C3584" s="26">
        <v>19</v>
      </c>
      <c r="D3584" s="152">
        <v>6</v>
      </c>
      <c r="E3584" s="67">
        <v>180</v>
      </c>
      <c r="F3584" s="46">
        <v>0.47</v>
      </c>
      <c r="G3584" s="283" t="s">
        <v>879</v>
      </c>
      <c r="H3584" s="744"/>
    </row>
    <row r="3585" spans="1:8" ht="15.75">
      <c r="A3585" s="33" t="s">
        <v>1433</v>
      </c>
      <c r="B3585" s="24">
        <v>3705</v>
      </c>
      <c r="C3585" s="26">
        <v>19</v>
      </c>
      <c r="D3585" s="152">
        <v>13</v>
      </c>
      <c r="E3585" s="67">
        <v>390</v>
      </c>
      <c r="F3585" s="46">
        <v>0.47</v>
      </c>
      <c r="G3585" s="283" t="s">
        <v>1434</v>
      </c>
      <c r="H3585" s="744"/>
    </row>
    <row r="3586" spans="1:8" ht="15.75">
      <c r="A3586" s="33" t="s">
        <v>1433</v>
      </c>
      <c r="B3586" s="24"/>
      <c r="C3586" s="138"/>
      <c r="D3586" s="45">
        <v>1</v>
      </c>
      <c r="E3586" s="45"/>
      <c r="F3586" s="46">
        <v>12</v>
      </c>
      <c r="G3586" s="283"/>
      <c r="H3586" s="744"/>
    </row>
    <row r="3589" spans="1:8" ht="15">
      <c r="A3589" s="24" t="s">
        <v>1436</v>
      </c>
      <c r="B3589" s="44" t="s">
        <v>1030</v>
      </c>
      <c r="C3589" s="267" t="s">
        <v>1435</v>
      </c>
    </row>
    <row r="3590" spans="1:8" ht="15">
      <c r="A3590" s="24" t="s">
        <v>1436</v>
      </c>
      <c r="B3590" s="44" t="s">
        <v>1032</v>
      </c>
      <c r="C3590" s="267" t="s">
        <v>1435</v>
      </c>
    </row>
    <row r="3591" spans="1:8" ht="15">
      <c r="A3591" s="24" t="s">
        <v>1436</v>
      </c>
      <c r="B3591" s="44" t="s">
        <v>1033</v>
      </c>
      <c r="C3591" s="267" t="s">
        <v>1435</v>
      </c>
    </row>
    <row r="3592" spans="1:8" ht="15">
      <c r="A3592" s="24" t="s">
        <v>1436</v>
      </c>
      <c r="B3592" s="44" t="s">
        <v>1034</v>
      </c>
      <c r="C3592" s="267" t="s">
        <v>1435</v>
      </c>
    </row>
    <row r="3595" spans="1:8" ht="15">
      <c r="A3595" s="99" t="s">
        <v>455</v>
      </c>
      <c r="B3595" s="99" t="s">
        <v>1035</v>
      </c>
      <c r="C3595" s="99" t="s">
        <v>1052</v>
      </c>
      <c r="D3595" s="101" t="s">
        <v>1418</v>
      </c>
    </row>
    <row r="3596" spans="1:8" ht="15">
      <c r="A3596" s="24" t="s">
        <v>1346</v>
      </c>
      <c r="B3596" s="44" t="s">
        <v>1030</v>
      </c>
      <c r="C3596" s="264" t="s">
        <v>1051</v>
      </c>
      <c r="D3596" s="207" t="s">
        <v>1419</v>
      </c>
    </row>
    <row r="3597" spans="1:8" ht="15">
      <c r="A3597" s="24" t="s">
        <v>1346</v>
      </c>
      <c r="B3597" s="44" t="s">
        <v>1032</v>
      </c>
      <c r="C3597" s="264" t="s">
        <v>1051</v>
      </c>
      <c r="D3597" s="207" t="s">
        <v>1419</v>
      </c>
    </row>
    <row r="3598" spans="1:8" ht="15">
      <c r="A3598" s="24" t="s">
        <v>1346</v>
      </c>
      <c r="B3598" s="44" t="s">
        <v>1033</v>
      </c>
      <c r="C3598" s="264" t="s">
        <v>1051</v>
      </c>
      <c r="D3598" s="207" t="s">
        <v>1419</v>
      </c>
    </row>
    <row r="3599" spans="1:8" ht="15">
      <c r="A3599" s="24" t="s">
        <v>1346</v>
      </c>
      <c r="B3599" s="44" t="s">
        <v>1034</v>
      </c>
      <c r="C3599" s="264" t="s">
        <v>1051</v>
      </c>
      <c r="D3599" s="207" t="s">
        <v>1419</v>
      </c>
    </row>
    <row r="3600" spans="1:8" ht="15">
      <c r="A3600" s="24"/>
      <c r="B3600" s="138"/>
      <c r="C3600" s="24" t="s">
        <v>1439</v>
      </c>
      <c r="D3600" s="207"/>
    </row>
    <row r="3602" spans="1:4" ht="15">
      <c r="A3602" s="99" t="s">
        <v>455</v>
      </c>
      <c r="B3602" s="99" t="s">
        <v>1035</v>
      </c>
      <c r="C3602" s="99" t="s">
        <v>1353</v>
      </c>
      <c r="D3602" s="101" t="s">
        <v>1418</v>
      </c>
    </row>
    <row r="3603" spans="1:4" ht="15">
      <c r="A3603" s="24" t="s">
        <v>1346</v>
      </c>
      <c r="B3603" s="44" t="s">
        <v>1030</v>
      </c>
      <c r="C3603" s="267" t="s">
        <v>1445</v>
      </c>
    </row>
    <row r="3604" spans="1:4" ht="15">
      <c r="A3604" s="24" t="s">
        <v>1346</v>
      </c>
      <c r="B3604" s="44" t="s">
        <v>1032</v>
      </c>
      <c r="C3604" s="267" t="s">
        <v>1445</v>
      </c>
    </row>
    <row r="3605" spans="1:4" ht="15">
      <c r="A3605" s="24" t="s">
        <v>1346</v>
      </c>
      <c r="B3605" s="44" t="s">
        <v>1033</v>
      </c>
      <c r="C3605" s="267" t="s">
        <v>1445</v>
      </c>
    </row>
    <row r="3606" spans="1:4" ht="15">
      <c r="A3606" s="24" t="s">
        <v>1346</v>
      </c>
      <c r="B3606" s="44" t="s">
        <v>1034</v>
      </c>
      <c r="C3606" s="267" t="s">
        <v>1445</v>
      </c>
    </row>
    <row r="3607" spans="1:4" ht="15">
      <c r="A3607" s="24" t="s">
        <v>1346</v>
      </c>
      <c r="B3607" s="44" t="s">
        <v>1030</v>
      </c>
      <c r="C3607" s="267" t="s">
        <v>1347</v>
      </c>
    </row>
    <row r="3608" spans="1:4" ht="15">
      <c r="A3608" s="24" t="s">
        <v>1346</v>
      </c>
      <c r="B3608" s="44" t="s">
        <v>1032</v>
      </c>
      <c r="C3608" s="267" t="s">
        <v>1347</v>
      </c>
    </row>
    <row r="3609" spans="1:4" ht="15">
      <c r="A3609" s="24" t="s">
        <v>1346</v>
      </c>
      <c r="B3609" s="44" t="s">
        <v>1033</v>
      </c>
      <c r="C3609" s="267" t="s">
        <v>1347</v>
      </c>
    </row>
    <row r="3610" spans="1:4" ht="15">
      <c r="A3610" s="24" t="s">
        <v>1346</v>
      </c>
      <c r="B3610" s="44" t="s">
        <v>1034</v>
      </c>
      <c r="C3610" s="267" t="s">
        <v>1347</v>
      </c>
    </row>
    <row r="3611" spans="1:4" ht="15">
      <c r="A3611" s="24" t="s">
        <v>1346</v>
      </c>
      <c r="B3611" s="44" t="s">
        <v>1030</v>
      </c>
      <c r="C3611" s="267" t="s">
        <v>1446</v>
      </c>
    </row>
    <row r="3612" spans="1:4" ht="15">
      <c r="A3612" s="24" t="s">
        <v>1346</v>
      </c>
      <c r="B3612" s="44" t="s">
        <v>1032</v>
      </c>
      <c r="C3612" s="267" t="s">
        <v>1446</v>
      </c>
    </row>
    <row r="3613" spans="1:4" ht="15">
      <c r="A3613" s="24" t="s">
        <v>1346</v>
      </c>
      <c r="B3613" s="44" t="s">
        <v>1033</v>
      </c>
      <c r="C3613" s="267" t="s">
        <v>1446</v>
      </c>
    </row>
    <row r="3614" spans="1:4" ht="15">
      <c r="A3614" s="24" t="s">
        <v>1346</v>
      </c>
      <c r="B3614" s="44" t="s">
        <v>1034</v>
      </c>
      <c r="C3614" s="267" t="s">
        <v>1446</v>
      </c>
    </row>
    <row r="3615" spans="1:4" ht="15">
      <c r="A3615" s="24" t="s">
        <v>1346</v>
      </c>
      <c r="B3615" s="44" t="s">
        <v>1030</v>
      </c>
      <c r="C3615" s="267" t="s">
        <v>1446</v>
      </c>
    </row>
    <row r="3616" spans="1:4" ht="15">
      <c r="A3616" s="24" t="s">
        <v>1346</v>
      </c>
      <c r="B3616" s="44" t="s">
        <v>1032</v>
      </c>
      <c r="C3616" s="267" t="s">
        <v>1446</v>
      </c>
    </row>
    <row r="3617" spans="1:16" ht="15">
      <c r="A3617" s="24" t="s">
        <v>1346</v>
      </c>
      <c r="B3617" s="44" t="s">
        <v>1033</v>
      </c>
      <c r="C3617" s="267" t="s">
        <v>1446</v>
      </c>
    </row>
    <row r="3618" spans="1:16" ht="15">
      <c r="A3618" s="24" t="s">
        <v>1346</v>
      </c>
      <c r="B3618" s="44" t="s">
        <v>1034</v>
      </c>
      <c r="C3618" s="267" t="s">
        <v>1446</v>
      </c>
    </row>
    <row r="3619" spans="1:16" s="7" customFormat="1" ht="15">
      <c r="A3619" s="6"/>
      <c r="B3619" s="15"/>
      <c r="C3619" s="24" t="s">
        <v>1450</v>
      </c>
      <c r="D3619" s="45"/>
      <c r="E3619" s="8"/>
      <c r="F3619" s="41"/>
      <c r="G3619" s="46"/>
      <c r="H3619" s="46"/>
      <c r="I3619" s="38"/>
      <c r="J3619" s="39"/>
      <c r="K3619" s="213"/>
      <c r="L3619" s="6"/>
      <c r="M3619" s="46"/>
      <c r="N3619" s="23"/>
      <c r="P3619" s="341"/>
    </row>
    <row r="3620" spans="1:16" ht="15">
      <c r="A3620" s="99" t="s">
        <v>455</v>
      </c>
      <c r="B3620" s="44"/>
      <c r="C3620" s="99" t="s">
        <v>128</v>
      </c>
    </row>
    <row r="3621" spans="1:16" ht="15">
      <c r="A3621" s="24">
        <v>5654</v>
      </c>
      <c r="B3621" s="44"/>
      <c r="C3621" s="260" t="s">
        <v>1447</v>
      </c>
    </row>
    <row r="3622" spans="1:16" ht="15">
      <c r="A3622" s="24">
        <v>5654</v>
      </c>
      <c r="B3622" s="44"/>
      <c r="C3622" s="260" t="s">
        <v>1448</v>
      </c>
    </row>
    <row r="3624" spans="1:16" ht="15">
      <c r="A3624" s="107" t="s">
        <v>1456</v>
      </c>
      <c r="B3624" s="107" t="s">
        <v>1457</v>
      </c>
      <c r="C3624" s="44"/>
    </row>
    <row r="3625" spans="1:16" ht="15">
      <c r="A3625" s="24" t="s">
        <v>1452</v>
      </c>
      <c r="B3625" s="44" t="s">
        <v>1453</v>
      </c>
      <c r="C3625" s="260" t="s">
        <v>1447</v>
      </c>
    </row>
    <row r="3626" spans="1:16" ht="15">
      <c r="A3626" s="24" t="s">
        <v>1452</v>
      </c>
      <c r="B3626" s="44" t="s">
        <v>1454</v>
      </c>
      <c r="C3626" s="260" t="s">
        <v>1447</v>
      </c>
    </row>
    <row r="3627" spans="1:16" ht="15">
      <c r="A3627" s="24" t="s">
        <v>1452</v>
      </c>
      <c r="B3627" s="44" t="s">
        <v>1030</v>
      </c>
      <c r="C3627" s="260" t="s">
        <v>1447</v>
      </c>
    </row>
    <row r="3628" spans="1:16" ht="15">
      <c r="A3628" s="24" t="s">
        <v>1452</v>
      </c>
      <c r="B3628" s="44" t="s">
        <v>1455</v>
      </c>
      <c r="C3628" s="260" t="s">
        <v>1447</v>
      </c>
    </row>
    <row r="3631" spans="1:16" ht="15">
      <c r="A3631" s="99" t="s">
        <v>455</v>
      </c>
      <c r="B3631" s="99" t="s">
        <v>1035</v>
      </c>
      <c r="C3631" s="99" t="s">
        <v>128</v>
      </c>
    </row>
    <row r="3632" spans="1:16" ht="15">
      <c r="A3632" s="24" t="s">
        <v>1452</v>
      </c>
      <c r="B3632" s="44" t="s">
        <v>1453</v>
      </c>
      <c r="C3632" s="260" t="s">
        <v>1447</v>
      </c>
    </row>
    <row r="3633" spans="1:3" ht="15">
      <c r="A3633" s="24" t="s">
        <v>1452</v>
      </c>
      <c r="B3633" s="44" t="s">
        <v>1454</v>
      </c>
      <c r="C3633" s="260" t="s">
        <v>1447</v>
      </c>
    </row>
    <row r="3634" spans="1:3" ht="15">
      <c r="A3634" s="24" t="s">
        <v>1452</v>
      </c>
      <c r="B3634" s="44" t="s">
        <v>1030</v>
      </c>
      <c r="C3634" s="260" t="s">
        <v>1447</v>
      </c>
    </row>
    <row r="3635" spans="1:3" ht="15">
      <c r="A3635" s="24" t="s">
        <v>1452</v>
      </c>
      <c r="B3635" s="44" t="s">
        <v>1455</v>
      </c>
      <c r="C3635" s="260" t="s">
        <v>1447</v>
      </c>
    </row>
    <row r="3636" spans="1:3" ht="15">
      <c r="A3636" s="24" t="s">
        <v>1452</v>
      </c>
      <c r="B3636" s="44" t="s">
        <v>1453</v>
      </c>
      <c r="C3636" s="260" t="s">
        <v>1448</v>
      </c>
    </row>
    <row r="3637" spans="1:3" ht="15">
      <c r="A3637" s="24" t="s">
        <v>1452</v>
      </c>
      <c r="B3637" s="44" t="s">
        <v>1454</v>
      </c>
      <c r="C3637" s="260" t="s">
        <v>1448</v>
      </c>
    </row>
    <row r="3638" spans="1:3" ht="15">
      <c r="A3638" s="24" t="s">
        <v>1452</v>
      </c>
      <c r="B3638" s="44" t="s">
        <v>1030</v>
      </c>
      <c r="C3638" s="260" t="s">
        <v>1448</v>
      </c>
    </row>
    <row r="3639" spans="1:3" ht="15">
      <c r="A3639" s="24" t="s">
        <v>1452</v>
      </c>
      <c r="B3639" s="44" t="s">
        <v>1455</v>
      </c>
      <c r="C3639" s="260" t="s">
        <v>1448</v>
      </c>
    </row>
    <row r="3641" spans="1:3" ht="15">
      <c r="A3641" s="99" t="s">
        <v>455</v>
      </c>
      <c r="B3641" s="99" t="s">
        <v>389</v>
      </c>
      <c r="C3641" s="99" t="s">
        <v>128</v>
      </c>
    </row>
    <row r="3642" spans="1:3" ht="15">
      <c r="A3642" s="24" t="s">
        <v>1459</v>
      </c>
      <c r="B3642" s="26">
        <v>3</v>
      </c>
      <c r="C3642" s="24" t="s">
        <v>1458</v>
      </c>
    </row>
    <row r="3643" spans="1:3" ht="15">
      <c r="A3643" s="24" t="s">
        <v>1460</v>
      </c>
      <c r="B3643" s="26">
        <v>5</v>
      </c>
      <c r="C3643" s="24" t="s">
        <v>1458</v>
      </c>
    </row>
    <row r="3644" spans="1:3" ht="15">
      <c r="A3644" s="24" t="s">
        <v>1461</v>
      </c>
      <c r="B3644" s="26">
        <v>7</v>
      </c>
      <c r="C3644" s="24" t="s">
        <v>1458</v>
      </c>
    </row>
    <row r="3645" spans="1:3" ht="15">
      <c r="A3645" s="24" t="s">
        <v>1463</v>
      </c>
      <c r="B3645" s="26">
        <v>9</v>
      </c>
      <c r="C3645" s="24" t="s">
        <v>1458</v>
      </c>
    </row>
    <row r="3646" spans="1:3" ht="15">
      <c r="A3646" s="24" t="s">
        <v>1464</v>
      </c>
      <c r="B3646" s="26">
        <v>11</v>
      </c>
      <c r="C3646" s="24" t="s">
        <v>1458</v>
      </c>
    </row>
    <row r="3647" spans="1:3" ht="15">
      <c r="A3647" s="24" t="s">
        <v>1465</v>
      </c>
      <c r="B3647" s="26">
        <v>15</v>
      </c>
      <c r="C3647" s="24" t="s">
        <v>1458</v>
      </c>
    </row>
    <row r="3648" spans="1:3" ht="15">
      <c r="A3648" s="12"/>
      <c r="B3648" s="379"/>
      <c r="C3648" s="12"/>
    </row>
    <row r="3649" spans="1:8" ht="15">
      <c r="A3649" s="12"/>
      <c r="B3649" s="379"/>
      <c r="C3649" s="12"/>
    </row>
    <row r="3652" spans="1:8" ht="15.75">
      <c r="A3652" s="99" t="s">
        <v>455</v>
      </c>
      <c r="B3652" s="99" t="s">
        <v>1035</v>
      </c>
      <c r="C3652" s="99" t="s">
        <v>1353</v>
      </c>
      <c r="D3652" s="146" t="s">
        <v>368</v>
      </c>
      <c r="E3652" s="34" t="s">
        <v>1027</v>
      </c>
      <c r="F3652" s="154"/>
      <c r="G3652" s="11"/>
      <c r="H3652" s="747"/>
    </row>
    <row r="3653" spans="1:8" ht="15.75">
      <c r="A3653" s="24" t="s">
        <v>1346</v>
      </c>
      <c r="B3653" s="44" t="s">
        <v>1030</v>
      </c>
      <c r="C3653" s="260" t="s">
        <v>1445</v>
      </c>
      <c r="D3653" s="283" t="s">
        <v>1462</v>
      </c>
      <c r="E3653" s="239">
        <v>44287</v>
      </c>
    </row>
    <row r="3654" spans="1:8" ht="15.75">
      <c r="A3654" s="24" t="s">
        <v>1346</v>
      </c>
      <c r="B3654" s="44" t="s">
        <v>1032</v>
      </c>
      <c r="C3654" s="260" t="s">
        <v>1445</v>
      </c>
      <c r="D3654" s="283" t="s">
        <v>1462</v>
      </c>
      <c r="E3654" s="239">
        <v>44287</v>
      </c>
    </row>
    <row r="3655" spans="1:8" ht="15.75">
      <c r="A3655" s="24" t="s">
        <v>1346</v>
      </c>
      <c r="B3655" s="44" t="s">
        <v>1033</v>
      </c>
      <c r="C3655" s="260" t="s">
        <v>1445</v>
      </c>
      <c r="D3655" s="283" t="s">
        <v>1462</v>
      </c>
      <c r="E3655" s="239">
        <v>44287</v>
      </c>
    </row>
    <row r="3656" spans="1:8" ht="15.75">
      <c r="A3656" s="24" t="s">
        <v>1346</v>
      </c>
      <c r="B3656" s="44" t="s">
        <v>1034</v>
      </c>
      <c r="C3656" s="260" t="s">
        <v>1445</v>
      </c>
      <c r="D3656" s="283" t="s">
        <v>1462</v>
      </c>
      <c r="E3656" s="239">
        <v>44287</v>
      </c>
    </row>
    <row r="3657" spans="1:8" ht="15.75">
      <c r="A3657" s="24" t="s">
        <v>1346</v>
      </c>
      <c r="B3657" s="44" t="s">
        <v>1030</v>
      </c>
      <c r="C3657" s="260" t="s">
        <v>1347</v>
      </c>
      <c r="D3657" s="283" t="s">
        <v>1462</v>
      </c>
      <c r="E3657" s="239">
        <v>44287</v>
      </c>
    </row>
    <row r="3658" spans="1:8" ht="15.75">
      <c r="A3658" s="24" t="s">
        <v>1346</v>
      </c>
      <c r="B3658" s="44" t="s">
        <v>1032</v>
      </c>
      <c r="C3658" s="260" t="s">
        <v>1347</v>
      </c>
      <c r="D3658" s="283" t="s">
        <v>1462</v>
      </c>
      <c r="E3658" s="239">
        <v>44287</v>
      </c>
    </row>
    <row r="3659" spans="1:8" ht="15.75">
      <c r="A3659" s="24" t="s">
        <v>1346</v>
      </c>
      <c r="B3659" s="44" t="s">
        <v>1033</v>
      </c>
      <c r="C3659" s="260" t="s">
        <v>1347</v>
      </c>
      <c r="D3659" s="283" t="s">
        <v>1462</v>
      </c>
      <c r="E3659" s="239">
        <v>44287</v>
      </c>
    </row>
    <row r="3660" spans="1:8" ht="15.75">
      <c r="A3660" s="24" t="s">
        <v>1346</v>
      </c>
      <c r="B3660" s="44" t="s">
        <v>1034</v>
      </c>
      <c r="C3660" s="260" t="s">
        <v>1347</v>
      </c>
      <c r="D3660" s="283" t="s">
        <v>1462</v>
      </c>
      <c r="E3660" s="239">
        <v>44287</v>
      </c>
    </row>
    <row r="3661" spans="1:8" ht="15.75">
      <c r="A3661" s="24" t="s">
        <v>1346</v>
      </c>
      <c r="B3661" s="44" t="s">
        <v>1030</v>
      </c>
      <c r="C3661" s="260" t="s">
        <v>1446</v>
      </c>
      <c r="D3661" s="283" t="s">
        <v>1462</v>
      </c>
      <c r="E3661" s="239">
        <v>44287</v>
      </c>
    </row>
    <row r="3662" spans="1:8" ht="15.75">
      <c r="A3662" s="24" t="s">
        <v>1346</v>
      </c>
      <c r="B3662" s="44" t="s">
        <v>1032</v>
      </c>
      <c r="C3662" s="260" t="s">
        <v>1446</v>
      </c>
      <c r="D3662" s="283" t="s">
        <v>1462</v>
      </c>
      <c r="E3662" s="239">
        <v>44287</v>
      </c>
    </row>
    <row r="3663" spans="1:8" ht="15.75">
      <c r="A3663" s="24" t="s">
        <v>1346</v>
      </c>
      <c r="B3663" s="44" t="s">
        <v>1033</v>
      </c>
      <c r="C3663" s="260" t="s">
        <v>1446</v>
      </c>
      <c r="D3663" s="283" t="s">
        <v>1462</v>
      </c>
      <c r="E3663" s="239">
        <v>44287</v>
      </c>
    </row>
    <row r="3664" spans="1:8" ht="15.75">
      <c r="A3664" s="24" t="s">
        <v>1346</v>
      </c>
      <c r="B3664" s="44" t="s">
        <v>1034</v>
      </c>
      <c r="C3664" s="260" t="s">
        <v>1446</v>
      </c>
      <c r="D3664" s="283" t="s">
        <v>1462</v>
      </c>
      <c r="E3664" s="239">
        <v>44287</v>
      </c>
    </row>
    <row r="3665" spans="1:5" ht="15.75">
      <c r="A3665" s="24" t="s">
        <v>1346</v>
      </c>
      <c r="B3665" s="44" t="s">
        <v>1030</v>
      </c>
      <c r="C3665" s="260" t="s">
        <v>1446</v>
      </c>
      <c r="D3665" s="283" t="s">
        <v>1462</v>
      </c>
      <c r="E3665" s="239">
        <v>44287</v>
      </c>
    </row>
    <row r="3666" spans="1:5" ht="15.75">
      <c r="A3666" s="24" t="s">
        <v>1346</v>
      </c>
      <c r="B3666" s="44" t="s">
        <v>1032</v>
      </c>
      <c r="C3666" s="260" t="s">
        <v>1446</v>
      </c>
      <c r="D3666" s="283" t="s">
        <v>1462</v>
      </c>
      <c r="E3666" s="239">
        <v>44287</v>
      </c>
    </row>
    <row r="3667" spans="1:5" ht="15">
      <c r="A3667" s="99" t="s">
        <v>455</v>
      </c>
      <c r="B3667" s="99" t="s">
        <v>1035</v>
      </c>
      <c r="C3667" s="99" t="s">
        <v>128</v>
      </c>
      <c r="D3667" s="38"/>
      <c r="E3667" s="39"/>
    </row>
    <row r="3668" spans="1:5" ht="15.75">
      <c r="A3668" s="24" t="s">
        <v>1452</v>
      </c>
      <c r="B3668" s="44" t="s">
        <v>1453</v>
      </c>
      <c r="C3668" s="260" t="s">
        <v>1447</v>
      </c>
      <c r="D3668" s="283" t="s">
        <v>1462</v>
      </c>
      <c r="E3668" s="39"/>
    </row>
    <row r="3669" spans="1:5" ht="15.75">
      <c r="A3669" s="24" t="s">
        <v>1452</v>
      </c>
      <c r="B3669" s="44" t="s">
        <v>1454</v>
      </c>
      <c r="C3669" s="260" t="s">
        <v>1447</v>
      </c>
      <c r="D3669" s="283" t="s">
        <v>1462</v>
      </c>
      <c r="E3669" s="39"/>
    </row>
    <row r="3670" spans="1:5" ht="15.75">
      <c r="A3670" s="24" t="s">
        <v>1452</v>
      </c>
      <c r="B3670" s="44" t="s">
        <v>1030</v>
      </c>
      <c r="C3670" s="260" t="s">
        <v>1447</v>
      </c>
      <c r="D3670" s="283" t="s">
        <v>1462</v>
      </c>
      <c r="E3670" s="39"/>
    </row>
    <row r="3671" spans="1:5" ht="15.75">
      <c r="A3671" s="24" t="s">
        <v>1452</v>
      </c>
      <c r="B3671" s="44" t="s">
        <v>1455</v>
      </c>
      <c r="C3671" s="260" t="s">
        <v>1447</v>
      </c>
      <c r="D3671" s="283" t="s">
        <v>1462</v>
      </c>
      <c r="E3671" s="39"/>
    </row>
    <row r="3672" spans="1:5" ht="15.75">
      <c r="A3672" s="24" t="s">
        <v>1452</v>
      </c>
      <c r="B3672" s="44" t="s">
        <v>1453</v>
      </c>
      <c r="C3672" s="260" t="s">
        <v>1448</v>
      </c>
      <c r="D3672" s="283" t="s">
        <v>1462</v>
      </c>
      <c r="E3672" s="39"/>
    </row>
    <row r="3673" spans="1:5" ht="15.75">
      <c r="A3673" s="24" t="s">
        <v>1452</v>
      </c>
      <c r="B3673" s="44" t="s">
        <v>1454</v>
      </c>
      <c r="C3673" s="260" t="s">
        <v>1448</v>
      </c>
      <c r="D3673" s="283" t="s">
        <v>1462</v>
      </c>
      <c r="E3673" s="39"/>
    </row>
    <row r="3674" spans="1:5" ht="15.75">
      <c r="A3674" s="24" t="s">
        <v>1452</v>
      </c>
      <c r="B3674" s="44" t="s">
        <v>1030</v>
      </c>
      <c r="C3674" s="260" t="s">
        <v>1448</v>
      </c>
      <c r="D3674" s="283" t="s">
        <v>1462</v>
      </c>
      <c r="E3674" s="39"/>
    </row>
    <row r="3675" spans="1:5" ht="15.75">
      <c r="A3675" s="24" t="s">
        <v>1452</v>
      </c>
      <c r="B3675" s="44" t="s">
        <v>1455</v>
      </c>
      <c r="C3675" s="260" t="s">
        <v>1448</v>
      </c>
      <c r="D3675" s="283" t="s">
        <v>1462</v>
      </c>
      <c r="E3675" s="39"/>
    </row>
    <row r="3676" spans="1:5" ht="15.75">
      <c r="A3676" s="24"/>
      <c r="B3676" s="138"/>
      <c r="C3676" s="24" t="s">
        <v>481</v>
      </c>
      <c r="D3676" s="283"/>
      <c r="E3676" s="39"/>
    </row>
    <row r="3678" spans="1:5" ht="15">
      <c r="A3678" s="20" t="s">
        <v>1468</v>
      </c>
      <c r="B3678" s="44" t="s">
        <v>128</v>
      </c>
      <c r="C3678" s="151"/>
      <c r="D3678" s="34" t="s">
        <v>134</v>
      </c>
    </row>
    <row r="3679" spans="1:5" ht="15">
      <c r="A3679" s="380" t="s">
        <v>1461</v>
      </c>
      <c r="B3679" s="24"/>
      <c r="C3679" s="67" t="e">
        <f>#REF!*#REF!</f>
        <v>#REF!</v>
      </c>
      <c r="D3679" s="46">
        <v>3.08</v>
      </c>
    </row>
    <row r="3680" spans="1:5" ht="15">
      <c r="A3680" s="24"/>
      <c r="B3680" s="24" t="s">
        <v>31</v>
      </c>
      <c r="C3680" s="45">
        <v>1</v>
      </c>
      <c r="D3680" s="46">
        <v>12</v>
      </c>
    </row>
    <row r="3683" spans="1:5" ht="15">
      <c r="A3683" s="99" t="s">
        <v>455</v>
      </c>
      <c r="B3683" s="99" t="s">
        <v>389</v>
      </c>
      <c r="C3683" s="99" t="s">
        <v>128</v>
      </c>
    </row>
    <row r="3684" spans="1:5" ht="15">
      <c r="A3684" s="20" t="s">
        <v>1461</v>
      </c>
      <c r="B3684" s="44">
        <v>7</v>
      </c>
      <c r="C3684" s="24" t="s">
        <v>855</v>
      </c>
    </row>
    <row r="3685" spans="1:5" ht="15">
      <c r="A3685" s="24"/>
      <c r="B3685" s="138"/>
      <c r="C3685" s="24" t="s">
        <v>31</v>
      </c>
    </row>
    <row r="3687" spans="1:5" ht="15">
      <c r="A3687" s="99" t="s">
        <v>455</v>
      </c>
      <c r="B3687" s="99" t="s">
        <v>1053</v>
      </c>
      <c r="C3687" s="99" t="s">
        <v>1475</v>
      </c>
    </row>
    <row r="3688" spans="1:5" ht="15">
      <c r="A3688" s="147" t="s">
        <v>5260</v>
      </c>
      <c r="B3688" s="34" t="s">
        <v>1474</v>
      </c>
      <c r="C3688" s="22" t="s">
        <v>5261</v>
      </c>
    </row>
    <row r="3689" spans="1:5" ht="15">
      <c r="A3689" s="147" t="s">
        <v>5262</v>
      </c>
      <c r="B3689" s="34" t="s">
        <v>1474</v>
      </c>
      <c r="C3689" s="22" t="s">
        <v>5263</v>
      </c>
    </row>
    <row r="3690" spans="1:5" ht="15">
      <c r="A3690" s="147" t="s">
        <v>5264</v>
      </c>
      <c r="B3690" s="34" t="s">
        <v>1474</v>
      </c>
      <c r="C3690" s="22" t="s">
        <v>5263</v>
      </c>
    </row>
    <row r="3691" spans="1:5" ht="15">
      <c r="A3691" s="147" t="s">
        <v>5265</v>
      </c>
      <c r="B3691" s="34" t="s">
        <v>1474</v>
      </c>
      <c r="C3691" s="22" t="s">
        <v>5263</v>
      </c>
    </row>
    <row r="3693" spans="1:5" ht="15">
      <c r="A3693" s="173" t="s">
        <v>1185</v>
      </c>
      <c r="B3693" s="173" t="s">
        <v>1187</v>
      </c>
      <c r="C3693" s="173" t="s">
        <v>1188</v>
      </c>
      <c r="D3693" s="173" t="s">
        <v>1192</v>
      </c>
      <c r="E3693" s="173" t="s">
        <v>1427</v>
      </c>
    </row>
    <row r="3694" spans="1:5" ht="15">
      <c r="A3694" s="342" t="s">
        <v>1476</v>
      </c>
      <c r="B3694" s="342" t="s">
        <v>1477</v>
      </c>
      <c r="C3694" s="342" t="s">
        <v>78</v>
      </c>
      <c r="D3694" s="344">
        <v>125</v>
      </c>
      <c r="E3694" s="342" t="s">
        <v>1428</v>
      </c>
    </row>
    <row r="3696" spans="1:5" ht="15.75">
      <c r="A3696" s="90" t="s">
        <v>1068</v>
      </c>
      <c r="B3696" s="90" t="s">
        <v>389</v>
      </c>
      <c r="C3696" s="99" t="s">
        <v>128</v>
      </c>
      <c r="D3696" s="145" t="s">
        <v>181</v>
      </c>
      <c r="E3696" s="146" t="s">
        <v>1055</v>
      </c>
    </row>
    <row r="3697" spans="1:6" ht="15">
      <c r="A3697" s="24">
        <v>3705</v>
      </c>
      <c r="B3697" s="26">
        <v>19</v>
      </c>
      <c r="C3697" s="24" t="s">
        <v>1482</v>
      </c>
      <c r="D3697" s="8">
        <v>240</v>
      </c>
      <c r="E3697" s="46">
        <v>0.47</v>
      </c>
    </row>
    <row r="3698" spans="1:6" ht="15">
      <c r="A3698" s="24">
        <v>3705</v>
      </c>
      <c r="B3698" s="26">
        <v>19</v>
      </c>
      <c r="C3698" s="24" t="s">
        <v>913</v>
      </c>
      <c r="D3698" s="8">
        <v>840</v>
      </c>
      <c r="E3698" s="46">
        <v>0.47</v>
      </c>
    </row>
    <row r="3699" spans="1:6" ht="15">
      <c r="A3699" s="24"/>
      <c r="B3699" s="138"/>
      <c r="C3699" s="24" t="s">
        <v>481</v>
      </c>
      <c r="D3699" s="45"/>
      <c r="E3699" s="46">
        <v>12</v>
      </c>
    </row>
    <row r="3702" spans="1:6" ht="15.75">
      <c r="A3702" s="90" t="s">
        <v>105</v>
      </c>
      <c r="B3702" s="90" t="s">
        <v>1068</v>
      </c>
      <c r="C3702" s="99" t="s">
        <v>128</v>
      </c>
      <c r="D3702" s="145" t="s">
        <v>181</v>
      </c>
      <c r="E3702" s="146" t="s">
        <v>1055</v>
      </c>
      <c r="F3702" s="146" t="s">
        <v>151</v>
      </c>
    </row>
    <row r="3703" spans="1:6" ht="15">
      <c r="A3703" s="6" t="s">
        <v>1483</v>
      </c>
      <c r="B3703" s="24" t="s">
        <v>1121</v>
      </c>
      <c r="C3703" s="44" t="s">
        <v>129</v>
      </c>
      <c r="D3703" s="67">
        <v>322</v>
      </c>
      <c r="E3703" s="46">
        <v>1.8</v>
      </c>
      <c r="F3703" s="208" t="s">
        <v>879</v>
      </c>
    </row>
    <row r="3704" spans="1:6" ht="15">
      <c r="A3704" s="6" t="s">
        <v>1483</v>
      </c>
      <c r="B3704" s="24" t="s">
        <v>1121</v>
      </c>
      <c r="C3704" s="44" t="s">
        <v>129</v>
      </c>
      <c r="D3704" s="67">
        <v>42</v>
      </c>
      <c r="E3704" s="46">
        <v>1.8</v>
      </c>
      <c r="F3704" s="208" t="s">
        <v>1486</v>
      </c>
    </row>
    <row r="3705" spans="1:6" ht="15">
      <c r="A3705" s="6" t="s">
        <v>1483</v>
      </c>
      <c r="B3705" s="24"/>
      <c r="C3705" s="24" t="s">
        <v>31</v>
      </c>
      <c r="D3705" s="45"/>
      <c r="E3705" s="46">
        <v>12</v>
      </c>
      <c r="F3705" s="39"/>
    </row>
    <row r="3706" spans="1:6" ht="15">
      <c r="A3706" s="302"/>
      <c r="B3706" s="371"/>
      <c r="C3706" s="305"/>
      <c r="D3706" s="306"/>
      <c r="E3706" s="315"/>
      <c r="F3706" s="310"/>
    </row>
    <row r="3707" spans="1:6" ht="15.75">
      <c r="A3707" s="90" t="s">
        <v>105</v>
      </c>
      <c r="B3707" s="90" t="s">
        <v>1068</v>
      </c>
      <c r="C3707" s="99" t="s">
        <v>128</v>
      </c>
      <c r="D3707" s="145" t="s">
        <v>181</v>
      </c>
      <c r="E3707" s="146" t="s">
        <v>1055</v>
      </c>
      <c r="F3707" s="146" t="s">
        <v>151</v>
      </c>
    </row>
    <row r="3708" spans="1:6" ht="15">
      <c r="A3708" s="6" t="s">
        <v>1485</v>
      </c>
      <c r="B3708" s="24" t="s">
        <v>92</v>
      </c>
      <c r="C3708" s="44" t="s">
        <v>129</v>
      </c>
      <c r="D3708" s="67">
        <v>854</v>
      </c>
      <c r="E3708" s="46">
        <v>1.45</v>
      </c>
      <c r="F3708" s="208" t="s">
        <v>879</v>
      </c>
    </row>
    <row r="3709" spans="1:6" ht="15">
      <c r="A3709" s="6" t="s">
        <v>1485</v>
      </c>
      <c r="B3709" s="24"/>
      <c r="C3709" s="44" t="s">
        <v>31</v>
      </c>
      <c r="D3709" s="45"/>
      <c r="E3709" s="46">
        <v>12</v>
      </c>
      <c r="F3709" s="39"/>
    </row>
    <row r="3710" spans="1:6" ht="15">
      <c r="A3710" s="302"/>
      <c r="B3710" s="304"/>
      <c r="C3710" s="305"/>
      <c r="D3710" s="306"/>
      <c r="E3710" s="315"/>
      <c r="F3710" s="310"/>
    </row>
    <row r="3713" spans="1:6" ht="31.5">
      <c r="A3713" s="385" t="s">
        <v>1068</v>
      </c>
      <c r="B3713" s="386" t="s">
        <v>1517</v>
      </c>
      <c r="C3713" s="387" t="s">
        <v>1514</v>
      </c>
      <c r="D3713" s="382" t="s">
        <v>1520</v>
      </c>
      <c r="E3713" s="23"/>
      <c r="F3713" s="7"/>
    </row>
    <row r="3714" spans="1:6" ht="15">
      <c r="A3714" s="24" t="s">
        <v>1489</v>
      </c>
      <c r="B3714" s="44" t="s">
        <v>1518</v>
      </c>
      <c r="C3714" s="411">
        <v>2.23</v>
      </c>
      <c r="D3714" s="388">
        <v>250</v>
      </c>
      <c r="E3714" s="94" t="s">
        <v>1490</v>
      </c>
      <c r="F3714" s="7">
        <v>90</v>
      </c>
    </row>
    <row r="3715" spans="1:6" ht="15">
      <c r="A3715" s="24" t="s">
        <v>1491</v>
      </c>
      <c r="B3715" s="44" t="s">
        <v>1518</v>
      </c>
      <c r="C3715" s="411">
        <v>2.54</v>
      </c>
      <c r="D3715" s="388">
        <v>400</v>
      </c>
      <c r="E3715" s="94" t="s">
        <v>1492</v>
      </c>
      <c r="F3715" s="7">
        <v>107</v>
      </c>
    </row>
    <row r="3716" spans="1:6" ht="15">
      <c r="A3716" s="24" t="s">
        <v>1493</v>
      </c>
      <c r="B3716" s="44" t="s">
        <v>1518</v>
      </c>
      <c r="C3716" s="411">
        <v>4.04</v>
      </c>
      <c r="D3716" s="388" t="s">
        <v>1521</v>
      </c>
      <c r="E3716" s="94" t="s">
        <v>1494</v>
      </c>
      <c r="F3716" s="7">
        <v>178</v>
      </c>
    </row>
    <row r="3717" spans="1:6" ht="15">
      <c r="A3717" s="24" t="s">
        <v>93</v>
      </c>
      <c r="B3717" s="44" t="s">
        <v>1518</v>
      </c>
      <c r="C3717" s="411">
        <v>1.84</v>
      </c>
      <c r="D3717" s="388">
        <v>2300</v>
      </c>
      <c r="E3717" s="94" t="s">
        <v>1511</v>
      </c>
      <c r="F3717" s="7">
        <v>57</v>
      </c>
    </row>
    <row r="3718" spans="1:6" ht="15">
      <c r="A3718" s="24" t="s">
        <v>1512</v>
      </c>
      <c r="B3718" s="44" t="s">
        <v>1518</v>
      </c>
      <c r="C3718" s="411">
        <v>1.45</v>
      </c>
      <c r="D3718" s="388">
        <v>50</v>
      </c>
      <c r="E3718" s="94" t="s">
        <v>1513</v>
      </c>
      <c r="F3718" s="7">
        <v>50</v>
      </c>
    </row>
    <row r="3719" spans="1:6" ht="15">
      <c r="A3719" s="24" t="s">
        <v>1495</v>
      </c>
      <c r="B3719" s="44" t="s">
        <v>1519</v>
      </c>
      <c r="C3719" s="112">
        <v>0.45</v>
      </c>
      <c r="D3719" s="388">
        <v>1000</v>
      </c>
      <c r="E3719" s="94" t="s">
        <v>1496</v>
      </c>
      <c r="F3719" s="7">
        <v>24</v>
      </c>
    </row>
    <row r="3720" spans="1:6" ht="15">
      <c r="A3720" s="24" t="s">
        <v>1497</v>
      </c>
      <c r="B3720" s="44" t="s">
        <v>1519</v>
      </c>
      <c r="C3720" s="112">
        <v>0.6</v>
      </c>
      <c r="D3720" s="388">
        <v>1200</v>
      </c>
      <c r="E3720" s="94" t="s">
        <v>1499</v>
      </c>
      <c r="F3720" s="7">
        <v>32</v>
      </c>
    </row>
    <row r="3721" spans="1:6" ht="15">
      <c r="A3721" s="24" t="s">
        <v>1523</v>
      </c>
      <c r="B3721" s="44" t="s">
        <v>1519</v>
      </c>
      <c r="C3721" s="112">
        <v>0.57999999999999996</v>
      </c>
      <c r="D3721" s="388">
        <v>5000</v>
      </c>
      <c r="E3721" s="94" t="s">
        <v>1498</v>
      </c>
      <c r="F3721" s="7">
        <v>31</v>
      </c>
    </row>
    <row r="3722" spans="1:6" ht="15">
      <c r="A3722" s="24" t="s">
        <v>1500</v>
      </c>
      <c r="B3722" s="44" t="s">
        <v>1519</v>
      </c>
      <c r="C3722" s="112">
        <v>0.41</v>
      </c>
      <c r="D3722" s="388">
        <v>3600</v>
      </c>
      <c r="E3722" s="94" t="s">
        <v>1501</v>
      </c>
      <c r="F3722" s="7">
        <v>22</v>
      </c>
    </row>
    <row r="3723" spans="1:6" ht="15">
      <c r="A3723" s="24" t="s">
        <v>1522</v>
      </c>
      <c r="B3723" s="44" t="s">
        <v>1519</v>
      </c>
      <c r="C3723" s="112">
        <v>0.5</v>
      </c>
      <c r="D3723" s="388">
        <v>2000</v>
      </c>
      <c r="E3723" s="94" t="s">
        <v>1502</v>
      </c>
      <c r="F3723" s="7">
        <v>27</v>
      </c>
    </row>
    <row r="3724" spans="1:6" ht="15">
      <c r="A3724" s="24" t="s">
        <v>1503</v>
      </c>
      <c r="B3724" s="44" t="s">
        <v>1519</v>
      </c>
      <c r="C3724" s="112">
        <v>0.6</v>
      </c>
      <c r="D3724" s="388">
        <v>5000</v>
      </c>
      <c r="E3724" s="94" t="s">
        <v>1499</v>
      </c>
      <c r="F3724" s="7">
        <v>32</v>
      </c>
    </row>
    <row r="3725" spans="1:6" ht="15">
      <c r="A3725" s="24" t="s">
        <v>1504</v>
      </c>
      <c r="B3725" s="44" t="s">
        <v>1519</v>
      </c>
      <c r="C3725" s="112">
        <v>0.69</v>
      </c>
      <c r="D3725" s="388">
        <v>2000</v>
      </c>
      <c r="E3725" s="94" t="s">
        <v>1505</v>
      </c>
      <c r="F3725" s="7">
        <v>37</v>
      </c>
    </row>
    <row r="3726" spans="1:6" ht="15">
      <c r="A3726" s="24" t="s">
        <v>1506</v>
      </c>
      <c r="B3726" s="44" t="s">
        <v>1519</v>
      </c>
      <c r="C3726" s="112">
        <v>0.6</v>
      </c>
      <c r="D3726" s="388">
        <v>600</v>
      </c>
      <c r="E3726" s="94" t="s">
        <v>1499</v>
      </c>
      <c r="F3726" s="7">
        <v>32</v>
      </c>
    </row>
    <row r="3727" spans="1:6" ht="15">
      <c r="A3727" s="24" t="s">
        <v>1507</v>
      </c>
      <c r="B3727" s="44" t="s">
        <v>1519</v>
      </c>
      <c r="C3727" s="112">
        <v>0.78</v>
      </c>
      <c r="D3727" s="388">
        <v>1800</v>
      </c>
      <c r="E3727" s="94" t="s">
        <v>1508</v>
      </c>
      <c r="F3727" s="7">
        <v>42</v>
      </c>
    </row>
    <row r="3728" spans="1:6" ht="15">
      <c r="A3728" s="24" t="s">
        <v>1509</v>
      </c>
      <c r="B3728" s="44" t="s">
        <v>1519</v>
      </c>
      <c r="C3728" s="112">
        <v>0.82</v>
      </c>
      <c r="D3728" s="388">
        <v>1400</v>
      </c>
      <c r="E3728" s="94" t="s">
        <v>1510</v>
      </c>
      <c r="F3728" s="7">
        <v>44</v>
      </c>
    </row>
    <row r="3733" spans="1:4" ht="31.5">
      <c r="A3733" s="381" t="s">
        <v>1068</v>
      </c>
      <c r="B3733" s="382" t="s">
        <v>1515</v>
      </c>
      <c r="C3733" s="383" t="s">
        <v>1516</v>
      </c>
      <c r="D3733" s="384" t="s">
        <v>1418</v>
      </c>
    </row>
    <row r="3736" spans="1:4" ht="15.75">
      <c r="A3736" s="90" t="s">
        <v>1068</v>
      </c>
      <c r="B3736" s="99" t="s">
        <v>128</v>
      </c>
      <c r="C3736" s="145" t="s">
        <v>54</v>
      </c>
      <c r="D3736" s="7"/>
    </row>
    <row r="3737" spans="1:4" ht="15">
      <c r="A3737" s="24" t="s">
        <v>1489</v>
      </c>
      <c r="B3737" s="44" t="s">
        <v>129</v>
      </c>
      <c r="C3737" s="32">
        <v>14</v>
      </c>
      <c r="D3737" s="7" t="e">
        <f>#REF!*#REF!</f>
        <v>#REF!</v>
      </c>
    </row>
    <row r="3738" spans="1:4" ht="15">
      <c r="A3738" s="24" t="s">
        <v>1491</v>
      </c>
      <c r="B3738" s="44" t="s">
        <v>129</v>
      </c>
      <c r="C3738" s="32">
        <v>14</v>
      </c>
      <c r="D3738" s="7" t="e">
        <f>#REF!*#REF!</f>
        <v>#REF!</v>
      </c>
    </row>
    <row r="3739" spans="1:4" ht="15">
      <c r="A3739" s="24" t="s">
        <v>1493</v>
      </c>
      <c r="B3739" s="44" t="s">
        <v>129</v>
      </c>
      <c r="C3739" s="32">
        <v>14</v>
      </c>
      <c r="D3739" s="7" t="e">
        <f>#REF!*#REF!</f>
        <v>#REF!</v>
      </c>
    </row>
    <row r="3740" spans="1:4" ht="15">
      <c r="A3740" s="24" t="s">
        <v>93</v>
      </c>
      <c r="B3740" s="44" t="s">
        <v>129</v>
      </c>
      <c r="C3740" s="32">
        <v>14</v>
      </c>
      <c r="D3740" s="7" t="e">
        <f>#REF!*#REF!</f>
        <v>#REF!</v>
      </c>
    </row>
    <row r="3742" spans="1:4" ht="15.75">
      <c r="A3742" s="90" t="s">
        <v>1068</v>
      </c>
      <c r="B3742" s="99" t="s">
        <v>128</v>
      </c>
      <c r="C3742" s="145" t="s">
        <v>54</v>
      </c>
    </row>
    <row r="3743" spans="1:4" ht="15">
      <c r="A3743" s="24">
        <v>67001</v>
      </c>
      <c r="B3743" s="44" t="s">
        <v>129</v>
      </c>
      <c r="C3743" s="32">
        <v>14</v>
      </c>
    </row>
    <row r="3744" spans="1:4" ht="15.75">
      <c r="A3744" s="90" t="s">
        <v>1068</v>
      </c>
      <c r="B3744" s="99" t="s">
        <v>128</v>
      </c>
      <c r="C3744" s="145" t="s">
        <v>54</v>
      </c>
    </row>
    <row r="3745" spans="1:4" ht="15">
      <c r="A3745" s="24" t="s">
        <v>1495</v>
      </c>
      <c r="B3745" s="44" t="s">
        <v>129</v>
      </c>
      <c r="C3745" s="8">
        <v>10</v>
      </c>
    </row>
    <row r="3746" spans="1:4" ht="15">
      <c r="A3746" s="24" t="s">
        <v>1497</v>
      </c>
      <c r="B3746" s="44" t="s">
        <v>129</v>
      </c>
      <c r="C3746" s="8">
        <v>10</v>
      </c>
    </row>
    <row r="3747" spans="1:4" ht="15">
      <c r="A3747" s="24" t="s">
        <v>1523</v>
      </c>
      <c r="B3747" s="44" t="s">
        <v>129</v>
      </c>
      <c r="C3747" s="8">
        <v>10</v>
      </c>
    </row>
    <row r="3748" spans="1:4" ht="15">
      <c r="A3748" s="24" t="s">
        <v>1500</v>
      </c>
      <c r="B3748" s="44" t="s">
        <v>129</v>
      </c>
      <c r="C3748" s="8">
        <v>10</v>
      </c>
    </row>
    <row r="3749" spans="1:4" ht="15">
      <c r="A3749" s="24" t="s">
        <v>1522</v>
      </c>
      <c r="B3749" s="44" t="s">
        <v>129</v>
      </c>
      <c r="C3749" s="8">
        <v>10</v>
      </c>
    </row>
    <row r="3750" spans="1:4" ht="15">
      <c r="A3750" s="24" t="s">
        <v>1503</v>
      </c>
      <c r="B3750" s="44" t="s">
        <v>129</v>
      </c>
      <c r="C3750" s="8">
        <v>10</v>
      </c>
    </row>
    <row r="3751" spans="1:4" ht="15">
      <c r="A3751" s="24" t="s">
        <v>1504</v>
      </c>
      <c r="B3751" s="44" t="s">
        <v>129</v>
      </c>
      <c r="C3751" s="8">
        <v>10</v>
      </c>
    </row>
    <row r="3752" spans="1:4" ht="15">
      <c r="A3752" s="24" t="s">
        <v>1506</v>
      </c>
      <c r="B3752" s="44" t="s">
        <v>129</v>
      </c>
      <c r="C3752" s="8">
        <v>10</v>
      </c>
    </row>
    <row r="3753" spans="1:4" ht="15">
      <c r="A3753" s="24" t="s">
        <v>1507</v>
      </c>
      <c r="B3753" s="44" t="s">
        <v>129</v>
      </c>
      <c r="C3753" s="8">
        <v>10</v>
      </c>
    </row>
    <row r="3754" spans="1:4" ht="15">
      <c r="A3754" s="24" t="s">
        <v>1509</v>
      </c>
      <c r="B3754" s="44" t="s">
        <v>129</v>
      </c>
      <c r="C3754" s="8">
        <v>10</v>
      </c>
    </row>
    <row r="3757" spans="1:4" ht="31.5">
      <c r="A3757" s="385" t="s">
        <v>1068</v>
      </c>
      <c r="B3757" s="386" t="s">
        <v>1517</v>
      </c>
      <c r="C3757" s="387" t="s">
        <v>1514</v>
      </c>
      <c r="D3757" s="382" t="s">
        <v>1530</v>
      </c>
    </row>
    <row r="3758" spans="1:4" ht="15">
      <c r="A3758" s="24" t="s">
        <v>1526</v>
      </c>
      <c r="B3758" s="44" t="s">
        <v>1518</v>
      </c>
      <c r="C3758" s="112">
        <v>1.73</v>
      </c>
      <c r="D3758" s="120">
        <v>2000</v>
      </c>
    </row>
    <row r="3759" spans="1:4" ht="15">
      <c r="A3759" s="24" t="s">
        <v>1528</v>
      </c>
      <c r="B3759" s="44" t="s">
        <v>1518</v>
      </c>
      <c r="C3759" s="112">
        <v>1.62</v>
      </c>
      <c r="D3759" s="120">
        <v>600</v>
      </c>
    </row>
    <row r="3760" spans="1:4" ht="15">
      <c r="A3760" s="24" t="s">
        <v>1529</v>
      </c>
      <c r="B3760" s="44" t="s">
        <v>1518</v>
      </c>
      <c r="C3760" s="112">
        <v>2.36</v>
      </c>
      <c r="D3760" s="120">
        <v>500</v>
      </c>
    </row>
    <row r="3761" spans="1:4" ht="15">
      <c r="A3761" s="24" t="s">
        <v>1005</v>
      </c>
      <c r="B3761" s="44" t="s">
        <v>1518</v>
      </c>
      <c r="C3761" s="112">
        <v>1.54</v>
      </c>
      <c r="D3761" s="120">
        <v>200</v>
      </c>
    </row>
    <row r="3764" spans="1:4" ht="15.75">
      <c r="A3764" s="90" t="s">
        <v>1068</v>
      </c>
      <c r="B3764" s="99" t="s">
        <v>128</v>
      </c>
      <c r="C3764" s="145" t="s">
        <v>54</v>
      </c>
    </row>
    <row r="3765" spans="1:4" ht="15">
      <c r="A3765" s="24" t="s">
        <v>1489</v>
      </c>
      <c r="B3765" s="44" t="s">
        <v>129</v>
      </c>
      <c r="C3765" s="32">
        <v>14</v>
      </c>
    </row>
    <row r="3766" spans="1:4" ht="15">
      <c r="A3766" s="24" t="s">
        <v>1491</v>
      </c>
      <c r="B3766" s="44" t="s">
        <v>129</v>
      </c>
      <c r="C3766" s="32">
        <v>14</v>
      </c>
    </row>
    <row r="3767" spans="1:4" ht="15">
      <c r="A3767" s="24" t="s">
        <v>1493</v>
      </c>
      <c r="B3767" s="44" t="s">
        <v>129</v>
      </c>
      <c r="C3767" s="32">
        <v>14</v>
      </c>
    </row>
    <row r="3768" spans="1:4" ht="15">
      <c r="A3768" s="24" t="s">
        <v>93</v>
      </c>
      <c r="B3768" s="44" t="s">
        <v>129</v>
      </c>
      <c r="C3768" s="32">
        <v>14</v>
      </c>
    </row>
    <row r="3769" spans="1:4" ht="15">
      <c r="A3769" s="24" t="s">
        <v>1526</v>
      </c>
      <c r="B3769" s="44" t="s">
        <v>129</v>
      </c>
      <c r="C3769" s="32">
        <v>28</v>
      </c>
    </row>
    <row r="3770" spans="1:4" ht="15">
      <c r="A3770" s="24" t="s">
        <v>1528</v>
      </c>
      <c r="B3770" s="44" t="s">
        <v>129</v>
      </c>
      <c r="C3770" s="32">
        <v>28</v>
      </c>
    </row>
    <row r="3771" spans="1:4" ht="15">
      <c r="A3771" s="24" t="s">
        <v>1529</v>
      </c>
      <c r="B3771" s="44" t="s">
        <v>129</v>
      </c>
      <c r="C3771" s="32">
        <v>28</v>
      </c>
    </row>
    <row r="3772" spans="1:4" ht="15">
      <c r="A3772" s="24" t="s">
        <v>1005</v>
      </c>
      <c r="B3772" s="44" t="s">
        <v>129</v>
      </c>
      <c r="C3772" s="32">
        <v>28</v>
      </c>
    </row>
    <row r="3776" spans="1:4" ht="31.5">
      <c r="A3776" s="385" t="s">
        <v>1068</v>
      </c>
      <c r="B3776" s="386" t="s">
        <v>1517</v>
      </c>
      <c r="C3776" s="387" t="s">
        <v>1514</v>
      </c>
      <c r="D3776" s="382" t="s">
        <v>1540</v>
      </c>
    </row>
    <row r="3777" spans="1:4" ht="15">
      <c r="A3777" s="24" t="s">
        <v>1533</v>
      </c>
      <c r="B3777" s="44" t="s">
        <v>1518</v>
      </c>
      <c r="C3777" s="411">
        <v>4.2300000000000004</v>
      </c>
      <c r="D3777" s="120">
        <v>52</v>
      </c>
    </row>
    <row r="3778" spans="1:4" ht="15">
      <c r="A3778" s="24" t="s">
        <v>1534</v>
      </c>
      <c r="B3778" s="44" t="s">
        <v>1518</v>
      </c>
      <c r="C3778" s="411">
        <v>1.67</v>
      </c>
      <c r="D3778" s="120">
        <v>47</v>
      </c>
    </row>
    <row r="3779" spans="1:4" ht="15">
      <c r="A3779" s="24" t="s">
        <v>1535</v>
      </c>
      <c r="B3779" s="44" t="s">
        <v>1518</v>
      </c>
      <c r="C3779" s="411">
        <v>2.2599999999999998</v>
      </c>
      <c r="D3779" s="120">
        <v>900</v>
      </c>
    </row>
    <row r="3780" spans="1:4" ht="15">
      <c r="A3780" s="24" t="s">
        <v>1536</v>
      </c>
      <c r="B3780" s="44" t="s">
        <v>1518</v>
      </c>
      <c r="C3780" s="411">
        <v>1.63</v>
      </c>
      <c r="D3780" s="120">
        <v>450</v>
      </c>
    </row>
    <row r="3781" spans="1:4" ht="15">
      <c r="A3781" s="24" t="s">
        <v>1537</v>
      </c>
      <c r="B3781" s="44" t="s">
        <v>1518</v>
      </c>
      <c r="C3781" s="411">
        <v>1.89</v>
      </c>
      <c r="D3781" s="120">
        <v>950</v>
      </c>
    </row>
    <row r="3782" spans="1:4" ht="15">
      <c r="A3782" s="24" t="s">
        <v>1538</v>
      </c>
      <c r="B3782" s="44" t="s">
        <v>1518</v>
      </c>
      <c r="C3782" s="411">
        <v>3.91</v>
      </c>
      <c r="D3782" s="120">
        <v>50</v>
      </c>
    </row>
    <row r="3783" spans="1:4" ht="15">
      <c r="A3783" s="24" t="s">
        <v>1539</v>
      </c>
      <c r="B3783" s="44" t="s">
        <v>1518</v>
      </c>
      <c r="C3783" s="411">
        <v>5.85</v>
      </c>
      <c r="D3783" s="120">
        <v>200</v>
      </c>
    </row>
    <row r="3784" spans="1:4" ht="15.75">
      <c r="A3784" s="90" t="s">
        <v>1068</v>
      </c>
      <c r="B3784" s="99" t="s">
        <v>128</v>
      </c>
      <c r="C3784" s="145" t="s">
        <v>54</v>
      </c>
    </row>
    <row r="3785" spans="1:4" ht="15">
      <c r="A3785" s="24" t="s">
        <v>1533</v>
      </c>
      <c r="B3785" s="44" t="s">
        <v>129</v>
      </c>
      <c r="C3785" s="8">
        <v>14</v>
      </c>
    </row>
    <row r="3786" spans="1:4" ht="15">
      <c r="A3786" s="24" t="s">
        <v>1534</v>
      </c>
      <c r="B3786" s="44" t="s">
        <v>129</v>
      </c>
      <c r="C3786" s="8">
        <v>14</v>
      </c>
    </row>
    <row r="3787" spans="1:4" ht="15.75">
      <c r="A3787" s="90" t="s">
        <v>1068</v>
      </c>
      <c r="B3787" s="99" t="s">
        <v>128</v>
      </c>
      <c r="C3787" s="145" t="s">
        <v>54</v>
      </c>
    </row>
    <row r="3788" spans="1:4" ht="15">
      <c r="A3788" s="24" t="s">
        <v>1535</v>
      </c>
      <c r="B3788" s="44" t="s">
        <v>129</v>
      </c>
      <c r="C3788" s="8">
        <v>14</v>
      </c>
    </row>
    <row r="3789" spans="1:4" ht="15">
      <c r="A3789" s="24" t="s">
        <v>1536</v>
      </c>
      <c r="B3789" s="44" t="s">
        <v>129</v>
      </c>
      <c r="C3789" s="8">
        <v>14</v>
      </c>
    </row>
    <row r="3790" spans="1:4" ht="15">
      <c r="A3790" s="24" t="s">
        <v>1537</v>
      </c>
      <c r="B3790" s="44" t="s">
        <v>129</v>
      </c>
      <c r="C3790" s="8">
        <v>14</v>
      </c>
    </row>
    <row r="3791" spans="1:4" ht="15">
      <c r="A3791" s="24" t="s">
        <v>1538</v>
      </c>
      <c r="B3791" s="44" t="s">
        <v>129</v>
      </c>
      <c r="C3791" s="8">
        <v>14</v>
      </c>
    </row>
    <row r="3792" spans="1:4" ht="15">
      <c r="A3792" s="24" t="s">
        <v>1539</v>
      </c>
      <c r="B3792" s="44" t="s">
        <v>129</v>
      </c>
      <c r="C3792" s="8">
        <v>14</v>
      </c>
    </row>
    <row r="3794" spans="1:5" ht="15.75">
      <c r="A3794" s="90" t="s">
        <v>1068</v>
      </c>
      <c r="B3794" s="90" t="s">
        <v>389</v>
      </c>
      <c r="C3794" s="99" t="s">
        <v>128</v>
      </c>
      <c r="D3794" s="145" t="s">
        <v>181</v>
      </c>
      <c r="E3794" s="146" t="s">
        <v>1055</v>
      </c>
    </row>
    <row r="3795" spans="1:5" ht="15">
      <c r="A3795" s="24">
        <v>2255</v>
      </c>
      <c r="B3795" s="26">
        <v>36</v>
      </c>
      <c r="C3795" s="24" t="s">
        <v>103</v>
      </c>
      <c r="D3795" s="151">
        <v>30</v>
      </c>
      <c r="E3795" s="46">
        <v>0.99</v>
      </c>
    </row>
    <row r="3796" spans="1:5" ht="15">
      <c r="A3796" s="24"/>
      <c r="B3796" s="26"/>
      <c r="C3796" s="24" t="s">
        <v>31</v>
      </c>
      <c r="D3796" s="45"/>
      <c r="E3796" s="46">
        <v>12</v>
      </c>
    </row>
    <row r="3799" spans="1:5" ht="15.75">
      <c r="A3799" s="90" t="s">
        <v>105</v>
      </c>
      <c r="B3799" s="90" t="s">
        <v>1068</v>
      </c>
      <c r="C3799" s="99" t="s">
        <v>128</v>
      </c>
      <c r="D3799" s="145" t="s">
        <v>181</v>
      </c>
      <c r="E3799" s="146" t="s">
        <v>1055</v>
      </c>
    </row>
    <row r="3800" spans="1:5" ht="15">
      <c r="A3800" s="6" t="s">
        <v>1545</v>
      </c>
      <c r="B3800" s="24">
        <v>5603</v>
      </c>
      <c r="C3800" s="44" t="s">
        <v>102</v>
      </c>
      <c r="D3800" s="67">
        <v>200</v>
      </c>
      <c r="E3800" s="46">
        <v>0.3</v>
      </c>
    </row>
    <row r="3801" spans="1:5" ht="15">
      <c r="A3801" s="6" t="s">
        <v>1545</v>
      </c>
      <c r="B3801" s="24"/>
      <c r="C3801" s="24" t="s">
        <v>31</v>
      </c>
      <c r="D3801" s="45"/>
      <c r="E3801" s="46">
        <v>12</v>
      </c>
    </row>
    <row r="3804" spans="1:5" ht="15.75">
      <c r="A3804" s="90" t="s">
        <v>1068</v>
      </c>
      <c r="B3804" s="99" t="s">
        <v>128</v>
      </c>
      <c r="C3804" s="145" t="s">
        <v>54</v>
      </c>
    </row>
    <row r="3805" spans="1:5" ht="15">
      <c r="A3805" s="24" t="s">
        <v>1552</v>
      </c>
      <c r="B3805" s="44" t="s">
        <v>129</v>
      </c>
      <c r="C3805" s="67">
        <v>5</v>
      </c>
    </row>
    <row r="3806" spans="1:5" ht="15">
      <c r="A3806" s="24" t="s">
        <v>1554</v>
      </c>
      <c r="B3806" s="44" t="s">
        <v>129</v>
      </c>
      <c r="C3806" s="67">
        <v>5</v>
      </c>
    </row>
    <row r="3809" spans="1:8" s="400" customFormat="1" ht="47.25">
      <c r="A3809" s="402" t="s">
        <v>1555</v>
      </c>
      <c r="B3809" s="402" t="s">
        <v>1556</v>
      </c>
      <c r="C3809" s="402" t="s">
        <v>1557</v>
      </c>
      <c r="D3809" s="1609" t="s">
        <v>1577</v>
      </c>
      <c r="E3809" s="1610" t="s">
        <v>1558</v>
      </c>
      <c r="F3809" s="402" t="s">
        <v>1559</v>
      </c>
      <c r="G3809" s="1611" t="s">
        <v>1575</v>
      </c>
      <c r="H3809" s="1612"/>
    </row>
    <row r="3810" spans="1:8" ht="15.75" thickBot="1">
      <c r="A3810" s="396" t="s">
        <v>1570</v>
      </c>
      <c r="B3810" s="396" t="s">
        <v>1567</v>
      </c>
      <c r="C3810" s="396" t="s">
        <v>1568</v>
      </c>
      <c r="D3810" s="112" t="s">
        <v>1578</v>
      </c>
      <c r="E3810" s="46">
        <v>13.2</v>
      </c>
      <c r="F3810" s="396" t="s">
        <v>1569</v>
      </c>
      <c r="G3810" s="394" t="s">
        <v>1576</v>
      </c>
      <c r="H3810" s="748"/>
    </row>
    <row r="3814" spans="1:8" ht="14.25" thickBot="1">
      <c r="A3814" s="389"/>
    </row>
    <row r="3815" spans="1:8" ht="14.25" thickBot="1">
      <c r="A3815" s="390" t="s">
        <v>1560</v>
      </c>
      <c r="B3815" s="391" t="s">
        <v>1561</v>
      </c>
      <c r="C3815" s="391" t="s">
        <v>1562</v>
      </c>
      <c r="D3815" s="392" t="s">
        <v>1563</v>
      </c>
      <c r="E3815" s="391" t="s">
        <v>1564</v>
      </c>
      <c r="F3815" s="391" t="s">
        <v>1565</v>
      </c>
    </row>
    <row r="3816" spans="1:8" ht="14.25" thickBot="1">
      <c r="A3816" s="393" t="s">
        <v>1566</v>
      </c>
      <c r="B3816" s="394" t="s">
        <v>1567</v>
      </c>
      <c r="C3816" s="394" t="s">
        <v>1568</v>
      </c>
      <c r="D3816" s="394"/>
      <c r="E3816" s="395">
        <v>950</v>
      </c>
      <c r="F3816" s="394" t="s">
        <v>1569</v>
      </c>
    </row>
    <row r="3817" spans="1:8">
      <c r="A3817" s="389"/>
    </row>
    <row r="3819" spans="1:8" ht="15.75">
      <c r="A3819" s="90" t="s">
        <v>105</v>
      </c>
      <c r="B3819" s="90" t="s">
        <v>1068</v>
      </c>
      <c r="C3819" s="99" t="s">
        <v>128</v>
      </c>
      <c r="D3819" s="146" t="s">
        <v>986</v>
      </c>
      <c r="E3819" s="39"/>
    </row>
    <row r="3820" spans="1:8" ht="15">
      <c r="A3820" s="24">
        <v>226812</v>
      </c>
      <c r="B3820" s="24">
        <v>2440</v>
      </c>
      <c r="C3820" s="24" t="s">
        <v>862</v>
      </c>
      <c r="D3820" s="397" t="s">
        <v>1571</v>
      </c>
      <c r="E3820" s="239">
        <v>44312</v>
      </c>
    </row>
    <row r="3821" spans="1:8" ht="15">
      <c r="A3821" s="24">
        <v>226812</v>
      </c>
      <c r="B3821" s="24">
        <v>2440</v>
      </c>
      <c r="C3821" s="24" t="s">
        <v>1547</v>
      </c>
      <c r="D3821" s="397" t="s">
        <v>1571</v>
      </c>
      <c r="E3821" s="239">
        <v>44312</v>
      </c>
    </row>
    <row r="3822" spans="1:8" ht="15">
      <c r="A3822" s="24">
        <v>226812</v>
      </c>
      <c r="B3822" s="24">
        <v>2440</v>
      </c>
      <c r="C3822" s="24" t="s">
        <v>1548</v>
      </c>
      <c r="D3822" s="397" t="s">
        <v>1571</v>
      </c>
      <c r="E3822" s="239">
        <v>44312</v>
      </c>
    </row>
    <row r="3823" spans="1:8" ht="15">
      <c r="A3823" s="24">
        <v>226812</v>
      </c>
      <c r="B3823" s="24">
        <v>2440</v>
      </c>
      <c r="C3823" s="24" t="s">
        <v>1549</v>
      </c>
      <c r="D3823" s="397" t="s">
        <v>1572</v>
      </c>
      <c r="E3823" s="239">
        <v>44337</v>
      </c>
    </row>
    <row r="3825" spans="1:4" ht="15.75">
      <c r="A3825" s="385" t="s">
        <v>1068</v>
      </c>
      <c r="B3825" s="386" t="s">
        <v>1517</v>
      </c>
      <c r="C3825" s="387" t="s">
        <v>1514</v>
      </c>
      <c r="D3825" s="382" t="s">
        <v>1531</v>
      </c>
    </row>
    <row r="3826" spans="1:4" ht="15">
      <c r="A3826" s="24" t="s">
        <v>1552</v>
      </c>
      <c r="B3826" s="19">
        <v>13.7</v>
      </c>
      <c r="C3826" s="46">
        <v>7.6</v>
      </c>
      <c r="D3826" s="388" t="s">
        <v>1573</v>
      </c>
    </row>
    <row r="3827" spans="1:4" ht="15">
      <c r="A3827" s="24" t="s">
        <v>1554</v>
      </c>
      <c r="B3827" s="19">
        <v>13.7</v>
      </c>
      <c r="C3827" s="46">
        <v>2.67</v>
      </c>
      <c r="D3827" s="388"/>
    </row>
    <row r="3830" spans="1:4" ht="15.75">
      <c r="A3830" s="90" t="s">
        <v>1068</v>
      </c>
      <c r="B3830" s="99" t="s">
        <v>128</v>
      </c>
      <c r="C3830" s="145" t="s">
        <v>54</v>
      </c>
    </row>
    <row r="3831" spans="1:4" ht="14.25">
      <c r="A3831" s="136" t="s">
        <v>1551</v>
      </c>
      <c r="B3831" s="262" t="s">
        <v>1574</v>
      </c>
      <c r="C3831" s="398">
        <v>5</v>
      </c>
    </row>
    <row r="3832" spans="1:4" ht="14.25">
      <c r="A3832" s="136" t="s">
        <v>1553</v>
      </c>
      <c r="B3832" s="262" t="s">
        <v>1574</v>
      </c>
      <c r="C3832" s="398">
        <v>5</v>
      </c>
    </row>
    <row r="3833" spans="1:4" ht="14.25">
      <c r="A3833" s="136"/>
      <c r="B3833" s="136" t="s">
        <v>481</v>
      </c>
      <c r="C3833" s="399">
        <v>1</v>
      </c>
    </row>
    <row r="3835" spans="1:4" ht="15.75">
      <c r="A3835" s="402" t="s">
        <v>1068</v>
      </c>
      <c r="B3835" s="90" t="s">
        <v>287</v>
      </c>
    </row>
    <row r="3836" spans="1:4" ht="14.25">
      <c r="A3836" s="103" t="s">
        <v>1583</v>
      </c>
      <c r="B3836" s="401" t="s">
        <v>1582</v>
      </c>
    </row>
    <row r="3837" spans="1:4" ht="14.25">
      <c r="A3837" s="103" t="s">
        <v>1580</v>
      </c>
      <c r="B3837" s="401" t="s">
        <v>1582</v>
      </c>
    </row>
    <row r="3838" spans="1:4" ht="14.25">
      <c r="A3838" s="103" t="s">
        <v>1581</v>
      </c>
      <c r="B3838" s="401" t="s">
        <v>1582</v>
      </c>
    </row>
    <row r="3839" spans="1:4" ht="14.25">
      <c r="A3839" s="103">
        <v>24402</v>
      </c>
      <c r="B3839" s="401" t="s">
        <v>1586</v>
      </c>
    </row>
    <row r="3840" spans="1:4" ht="14.25">
      <c r="A3840" s="103">
        <v>24403</v>
      </c>
      <c r="B3840" s="401" t="s">
        <v>1586</v>
      </c>
    </row>
    <row r="3841" spans="1:4" ht="14.25">
      <c r="A3841" s="103">
        <v>24404</v>
      </c>
      <c r="B3841" s="401" t="s">
        <v>1586</v>
      </c>
    </row>
    <row r="3842" spans="1:4" ht="14.25">
      <c r="A3842" s="103">
        <v>24405</v>
      </c>
      <c r="B3842" s="401" t="s">
        <v>1586</v>
      </c>
    </row>
    <row r="3843" spans="1:4" ht="14.25">
      <c r="A3843" s="103" t="s">
        <v>1587</v>
      </c>
      <c r="B3843" s="401" t="s">
        <v>1588</v>
      </c>
    </row>
    <row r="3844" spans="1:4" ht="14.25">
      <c r="A3844" s="103" t="s">
        <v>1589</v>
      </c>
      <c r="B3844" s="401" t="s">
        <v>1588</v>
      </c>
    </row>
    <row r="3845" spans="1:4" ht="14.25">
      <c r="A3845" s="103" t="s">
        <v>1584</v>
      </c>
      <c r="B3845" s="401" t="s">
        <v>1585</v>
      </c>
    </row>
    <row r="3846" spans="1:4" ht="14.25">
      <c r="A3846" s="103" t="s">
        <v>1590</v>
      </c>
      <c r="B3846" s="401" t="s">
        <v>1591</v>
      </c>
    </row>
    <row r="3849" spans="1:4" ht="15">
      <c r="A3849" s="24" t="s">
        <v>237</v>
      </c>
      <c r="B3849" s="44" t="s">
        <v>129</v>
      </c>
      <c r="C3849" s="198">
        <v>27.4</v>
      </c>
    </row>
    <row r="3850" spans="1:4" ht="15">
      <c r="A3850" s="24" t="s">
        <v>1595</v>
      </c>
      <c r="B3850" s="44" t="s">
        <v>129</v>
      </c>
      <c r="C3850" s="198">
        <v>13.7</v>
      </c>
    </row>
    <row r="3851" spans="1:4" ht="15">
      <c r="A3851" s="24" t="s">
        <v>1597</v>
      </c>
      <c r="B3851" s="44" t="s">
        <v>129</v>
      </c>
      <c r="C3851" s="198">
        <v>13.7</v>
      </c>
    </row>
    <row r="3852" spans="1:4" ht="15">
      <c r="A3852" s="24" t="s">
        <v>1599</v>
      </c>
      <c r="B3852" s="44" t="s">
        <v>129</v>
      </c>
      <c r="C3852" s="198">
        <v>13.7</v>
      </c>
    </row>
    <row r="3855" spans="1:4" ht="15.75">
      <c r="A3855" s="402" t="s">
        <v>1602</v>
      </c>
      <c r="B3855" s="90" t="s">
        <v>1603</v>
      </c>
      <c r="C3855" s="90" t="s">
        <v>1098</v>
      </c>
      <c r="D3855" s="146" t="s">
        <v>1038</v>
      </c>
    </row>
    <row r="3856" spans="1:4" ht="15">
      <c r="A3856" s="6" t="s">
        <v>1604</v>
      </c>
      <c r="B3856" s="24" t="s">
        <v>1358</v>
      </c>
      <c r="C3856" s="44" t="s">
        <v>1030</v>
      </c>
      <c r="D3856" s="46">
        <v>0.32</v>
      </c>
    </row>
    <row r="3857" spans="1:6" ht="15">
      <c r="A3857" s="6" t="s">
        <v>1604</v>
      </c>
      <c r="B3857" s="24" t="s">
        <v>1358</v>
      </c>
      <c r="C3857" s="44" t="s">
        <v>1032</v>
      </c>
      <c r="D3857" s="46">
        <v>0.34</v>
      </c>
    </row>
    <row r="3858" spans="1:6" ht="15">
      <c r="A3858" s="6" t="s">
        <v>1604</v>
      </c>
      <c r="B3858" s="24" t="s">
        <v>1358</v>
      </c>
      <c r="C3858" s="44" t="s">
        <v>1033</v>
      </c>
      <c r="D3858" s="46">
        <v>0.36</v>
      </c>
    </row>
    <row r="3859" spans="1:6" ht="15">
      <c r="A3859" s="6" t="s">
        <v>1604</v>
      </c>
      <c r="B3859" s="24" t="s">
        <v>1358</v>
      </c>
      <c r="C3859" s="44" t="s">
        <v>1034</v>
      </c>
      <c r="D3859" s="46">
        <v>0.37</v>
      </c>
    </row>
    <row r="3860" spans="1:6" ht="15">
      <c r="A3860" s="6" t="s">
        <v>1604</v>
      </c>
      <c r="B3860" s="24"/>
      <c r="C3860" s="138"/>
      <c r="D3860" s="46">
        <v>12</v>
      </c>
    </row>
    <row r="3861" spans="1:6" ht="15">
      <c r="A3861" s="302"/>
      <c r="B3861" s="371"/>
      <c r="C3861" s="305"/>
      <c r="D3861" s="315"/>
    </row>
    <row r="3862" spans="1:6" ht="15.75">
      <c r="A3862" s="402" t="s">
        <v>1602</v>
      </c>
      <c r="B3862" s="90" t="s">
        <v>1603</v>
      </c>
      <c r="C3862" s="90" t="s">
        <v>389</v>
      </c>
      <c r="D3862" s="145" t="s">
        <v>182</v>
      </c>
      <c r="E3862" s="145" t="s">
        <v>181</v>
      </c>
      <c r="F3862" s="146" t="s">
        <v>1055</v>
      </c>
    </row>
    <row r="3863" spans="1:6" ht="15">
      <c r="A3863" s="6" t="s">
        <v>1605</v>
      </c>
      <c r="B3863" s="24">
        <v>3705</v>
      </c>
      <c r="C3863" s="26">
        <v>19</v>
      </c>
      <c r="D3863" s="152">
        <v>5</v>
      </c>
      <c r="E3863" s="67">
        <v>150</v>
      </c>
      <c r="F3863" s="46">
        <v>0.47</v>
      </c>
    </row>
    <row r="3864" spans="1:6" ht="15">
      <c r="A3864" s="6" t="s">
        <v>1605</v>
      </c>
      <c r="B3864" s="24"/>
      <c r="C3864" s="138"/>
      <c r="D3864" s="45">
        <v>1</v>
      </c>
      <c r="E3864" s="45"/>
      <c r="F3864" s="46">
        <v>12</v>
      </c>
    </row>
    <row r="3865" spans="1:6" ht="15">
      <c r="A3865" s="302"/>
      <c r="B3865" s="371"/>
      <c r="C3865" s="305"/>
      <c r="D3865" s="308"/>
      <c r="E3865" s="306"/>
      <c r="F3865" s="315"/>
    </row>
    <row r="3870" spans="1:6" s="194" customFormat="1" ht="15.75">
      <c r="A3870" s="90" t="s">
        <v>1603</v>
      </c>
      <c r="B3870" s="90" t="s">
        <v>128</v>
      </c>
      <c r="C3870" s="145" t="s">
        <v>54</v>
      </c>
      <c r="D3870" s="146" t="s">
        <v>1055</v>
      </c>
    </row>
    <row r="3871" spans="1:6" s="194" customFormat="1" ht="14.25">
      <c r="A3871" s="136" t="s">
        <v>1593</v>
      </c>
      <c r="B3871" s="262" t="s">
        <v>1574</v>
      </c>
      <c r="C3871" s="404">
        <v>13.7</v>
      </c>
      <c r="D3871" s="263">
        <v>3.23</v>
      </c>
    </row>
    <row r="3872" spans="1:6" s="194" customFormat="1" ht="14.25">
      <c r="A3872" s="136" t="s">
        <v>1594</v>
      </c>
      <c r="B3872" s="262" t="s">
        <v>1574</v>
      </c>
      <c r="C3872" s="404">
        <v>13.7</v>
      </c>
      <c r="D3872" s="263">
        <v>9.17</v>
      </c>
    </row>
    <row r="3873" spans="1:5" s="194" customFormat="1" ht="14.25">
      <c r="A3873" s="136" t="s">
        <v>1596</v>
      </c>
      <c r="B3873" s="262" t="s">
        <v>1574</v>
      </c>
      <c r="C3873" s="404">
        <v>13.7</v>
      </c>
      <c r="D3873" s="263">
        <v>3.21</v>
      </c>
    </row>
    <row r="3874" spans="1:5" s="194" customFormat="1" ht="14.25">
      <c r="A3874" s="136" t="s">
        <v>1598</v>
      </c>
      <c r="B3874" s="262" t="s">
        <v>1574</v>
      </c>
      <c r="C3874" s="404">
        <v>13.7</v>
      </c>
      <c r="D3874" s="263">
        <v>4.1899999999999995</v>
      </c>
    </row>
    <row r="3875" spans="1:5" s="194" customFormat="1" ht="14.25">
      <c r="A3875" s="136"/>
      <c r="B3875" s="136" t="s">
        <v>481</v>
      </c>
      <c r="C3875" s="136"/>
      <c r="D3875" s="263">
        <v>12</v>
      </c>
      <c r="E3875" s="403">
        <v>12</v>
      </c>
    </row>
    <row r="3878" spans="1:5" ht="15.75">
      <c r="A3878" s="90" t="s">
        <v>1603</v>
      </c>
      <c r="B3878" s="90" t="s">
        <v>128</v>
      </c>
      <c r="C3878" s="145" t="s">
        <v>54</v>
      </c>
      <c r="D3878" s="146" t="s">
        <v>1055</v>
      </c>
    </row>
    <row r="3879" spans="1:5" ht="15">
      <c r="A3879" s="24" t="s">
        <v>1426</v>
      </c>
      <c r="B3879" s="44" t="s">
        <v>78</v>
      </c>
      <c r="C3879" s="8">
        <v>14</v>
      </c>
      <c r="D3879" s="46">
        <v>1.54</v>
      </c>
    </row>
    <row r="3880" spans="1:5" ht="15">
      <c r="A3880" s="24"/>
      <c r="B3880" s="24" t="s">
        <v>481</v>
      </c>
      <c r="C3880" s="8"/>
      <c r="D3880" s="46">
        <v>12</v>
      </c>
    </row>
    <row r="3883" spans="1:5" ht="15.75">
      <c r="A3883" s="90" t="s">
        <v>1603</v>
      </c>
      <c r="B3883" s="90" t="s">
        <v>128</v>
      </c>
      <c r="C3883" s="145" t="s">
        <v>54</v>
      </c>
      <c r="D3883" s="146" t="s">
        <v>1055</v>
      </c>
    </row>
    <row r="3884" spans="1:5" ht="15">
      <c r="A3884" s="24">
        <v>5603</v>
      </c>
      <c r="B3884" s="44" t="s">
        <v>1610</v>
      </c>
      <c r="C3884" s="151">
        <v>50</v>
      </c>
      <c r="D3884" s="46">
        <v>0.3</v>
      </c>
    </row>
    <row r="3885" spans="1:5" ht="15">
      <c r="A3885" s="24"/>
      <c r="B3885" s="24" t="s">
        <v>481</v>
      </c>
      <c r="C3885" s="8"/>
      <c r="D3885" s="46">
        <v>12</v>
      </c>
    </row>
    <row r="3888" spans="1:5" ht="15.75">
      <c r="A3888" s="90" t="s">
        <v>1603</v>
      </c>
      <c r="B3888" s="90" t="s">
        <v>128</v>
      </c>
      <c r="C3888" s="145" t="s">
        <v>54</v>
      </c>
    </row>
    <row r="3889" spans="1:6" ht="14.25">
      <c r="A3889" s="103" t="s">
        <v>1593</v>
      </c>
      <c r="B3889" s="264" t="s">
        <v>1574</v>
      </c>
      <c r="C3889" s="404">
        <v>27.4</v>
      </c>
    </row>
    <row r="3890" spans="1:6" ht="14.25">
      <c r="A3890" s="103" t="s">
        <v>1594</v>
      </c>
      <c r="B3890" s="264" t="s">
        <v>1574</v>
      </c>
      <c r="C3890" s="404">
        <v>13.7</v>
      </c>
    </row>
    <row r="3891" spans="1:6" ht="14.25">
      <c r="A3891" s="103" t="s">
        <v>1596</v>
      </c>
      <c r="B3891" s="264" t="s">
        <v>1574</v>
      </c>
      <c r="C3891" s="404">
        <v>13.7</v>
      </c>
    </row>
    <row r="3892" spans="1:6" ht="14.25">
      <c r="A3892" s="103" t="s">
        <v>1598</v>
      </c>
      <c r="B3892" s="264" t="s">
        <v>1574</v>
      </c>
      <c r="C3892" s="404">
        <v>13.7</v>
      </c>
    </row>
    <row r="3893" spans="1:6" ht="14.25">
      <c r="A3893" s="103" t="s">
        <v>1551</v>
      </c>
      <c r="B3893" s="264" t="s">
        <v>1574</v>
      </c>
      <c r="C3893" s="404">
        <v>27.4</v>
      </c>
    </row>
    <row r="3894" spans="1:6" ht="14.25">
      <c r="A3894" s="103"/>
      <c r="B3894" s="103" t="s">
        <v>481</v>
      </c>
      <c r="C3894" s="399">
        <v>1</v>
      </c>
    </row>
    <row r="3896" spans="1:6" s="406" customFormat="1" ht="15.75">
      <c r="A3896" s="90" t="s">
        <v>1603</v>
      </c>
      <c r="B3896" s="90" t="s">
        <v>389</v>
      </c>
      <c r="C3896" s="90" t="s">
        <v>980</v>
      </c>
    </row>
    <row r="3897" spans="1:6" s="405" customFormat="1" ht="15">
      <c r="A3897" s="407">
        <v>3105</v>
      </c>
      <c r="B3897" s="408">
        <v>7</v>
      </c>
      <c r="C3897" s="409">
        <v>300</v>
      </c>
    </row>
    <row r="3901" spans="1:6" ht="15.75">
      <c r="A3901" s="90" t="s">
        <v>105</v>
      </c>
      <c r="B3901" s="90" t="s">
        <v>1603</v>
      </c>
      <c r="C3901" s="90" t="s">
        <v>389</v>
      </c>
      <c r="D3901" s="145" t="s">
        <v>182</v>
      </c>
      <c r="E3901" s="145" t="s">
        <v>181</v>
      </c>
      <c r="F3901" s="146" t="s">
        <v>1055</v>
      </c>
    </row>
    <row r="3902" spans="1:6" ht="15">
      <c r="A3902" s="6" t="s">
        <v>1612</v>
      </c>
      <c r="B3902" s="24">
        <v>3705</v>
      </c>
      <c r="C3902" s="26">
        <v>19</v>
      </c>
      <c r="D3902" s="152">
        <v>17</v>
      </c>
      <c r="E3902" s="67">
        <v>510</v>
      </c>
      <c r="F3902" s="46">
        <v>0.47</v>
      </c>
    </row>
    <row r="3903" spans="1:6" ht="15">
      <c r="A3903" s="6" t="s">
        <v>1612</v>
      </c>
      <c r="B3903" s="24">
        <v>3705</v>
      </c>
      <c r="C3903" s="26">
        <v>19</v>
      </c>
      <c r="D3903" s="152">
        <v>9</v>
      </c>
      <c r="E3903" s="67">
        <v>270</v>
      </c>
      <c r="F3903" s="46">
        <v>0.47</v>
      </c>
    </row>
    <row r="3904" spans="1:6" ht="15">
      <c r="A3904" s="6" t="s">
        <v>1612</v>
      </c>
      <c r="B3904" s="24">
        <v>3705</v>
      </c>
      <c r="C3904" s="26">
        <v>19</v>
      </c>
      <c r="D3904" s="152">
        <v>14</v>
      </c>
      <c r="E3904" s="67">
        <v>420</v>
      </c>
      <c r="F3904" s="46">
        <v>0.47</v>
      </c>
    </row>
    <row r="3905" spans="1:6" ht="15">
      <c r="A3905" s="6"/>
      <c r="B3905" s="20"/>
      <c r="C3905" s="26"/>
      <c r="D3905" s="68"/>
      <c r="E3905" s="67"/>
      <c r="F3905" s="17"/>
    </row>
    <row r="3906" spans="1:6" ht="15">
      <c r="A3906" s="6" t="s">
        <v>1612</v>
      </c>
      <c r="B3906" s="24">
        <v>3717</v>
      </c>
      <c r="C3906" s="26">
        <v>19</v>
      </c>
      <c r="D3906" s="152">
        <v>12</v>
      </c>
      <c r="E3906" s="67">
        <v>360</v>
      </c>
      <c r="F3906" s="46">
        <v>0.44</v>
      </c>
    </row>
    <row r="3907" spans="1:6" ht="15">
      <c r="A3907" s="6" t="s">
        <v>1612</v>
      </c>
      <c r="B3907" s="24"/>
      <c r="C3907" s="138"/>
      <c r="D3907" s="45">
        <v>1</v>
      </c>
      <c r="E3907" s="45"/>
      <c r="F3907" s="46">
        <v>12</v>
      </c>
    </row>
    <row r="3908" spans="1:6" ht="15">
      <c r="A3908" s="302"/>
      <c r="B3908" s="371"/>
      <c r="C3908" s="305"/>
      <c r="D3908" s="308"/>
      <c r="E3908" s="306"/>
      <c r="F3908" s="315"/>
    </row>
    <row r="3909" spans="1:6" ht="15.75">
      <c r="A3909" s="90" t="s">
        <v>105</v>
      </c>
      <c r="B3909" s="90" t="s">
        <v>1603</v>
      </c>
      <c r="C3909" s="90" t="s">
        <v>128</v>
      </c>
      <c r="D3909" s="145" t="s">
        <v>181</v>
      </c>
      <c r="E3909" s="146" t="s">
        <v>1055</v>
      </c>
    </row>
    <row r="3910" spans="1:6" ht="15">
      <c r="A3910" s="6" t="s">
        <v>1614</v>
      </c>
      <c r="B3910" s="24">
        <v>5654</v>
      </c>
      <c r="C3910" s="260" t="s">
        <v>1064</v>
      </c>
      <c r="D3910" s="67">
        <v>200</v>
      </c>
      <c r="E3910" s="46">
        <v>0.28999999999999998</v>
      </c>
    </row>
    <row r="3911" spans="1:6" ht="15">
      <c r="A3911" s="6" t="s">
        <v>1614</v>
      </c>
      <c r="B3911" s="24"/>
      <c r="C3911" s="44" t="s">
        <v>31</v>
      </c>
      <c r="D3911" s="45"/>
      <c r="E3911" s="46">
        <v>12</v>
      </c>
    </row>
    <row r="3912" spans="1:6" ht="15">
      <c r="A3912" s="302"/>
      <c r="B3912" s="371"/>
      <c r="C3912" s="305"/>
      <c r="D3912" s="306"/>
      <c r="E3912" s="315"/>
    </row>
    <row r="3914" spans="1:6" s="406" customFormat="1" ht="15.75">
      <c r="A3914" s="90" t="s">
        <v>1603</v>
      </c>
      <c r="B3914" s="90" t="s">
        <v>389</v>
      </c>
      <c r="C3914" s="90" t="s">
        <v>980</v>
      </c>
      <c r="D3914" s="146" t="s">
        <v>1055</v>
      </c>
    </row>
    <row r="3915" spans="1:6" s="405" customFormat="1" ht="15">
      <c r="A3915" s="407">
        <v>5291</v>
      </c>
      <c r="B3915" s="408">
        <v>8</v>
      </c>
      <c r="C3915" s="409">
        <v>50</v>
      </c>
      <c r="D3915" s="46">
        <v>0.45</v>
      </c>
    </row>
    <row r="3918" spans="1:6" ht="15.75">
      <c r="A3918" s="402" t="s">
        <v>1603</v>
      </c>
      <c r="B3918" s="402" t="s">
        <v>128</v>
      </c>
      <c r="C3918" s="412" t="s">
        <v>181</v>
      </c>
      <c r="D3918" s="413" t="s">
        <v>1055</v>
      </c>
    </row>
    <row r="3919" spans="1:6" ht="14.25">
      <c r="A3919" s="136" t="s">
        <v>1621</v>
      </c>
      <c r="B3919" s="262" t="s">
        <v>1574</v>
      </c>
      <c r="C3919" s="398">
        <v>28</v>
      </c>
      <c r="D3919" s="263">
        <v>1.47</v>
      </c>
    </row>
    <row r="3920" spans="1:6" ht="14.25">
      <c r="A3920" s="136" t="s">
        <v>1619</v>
      </c>
      <c r="B3920" s="262" t="s">
        <v>1574</v>
      </c>
      <c r="C3920" s="398">
        <v>28</v>
      </c>
      <c r="D3920" s="263">
        <v>1.41</v>
      </c>
    </row>
    <row r="3921" spans="1:4" ht="14.25">
      <c r="A3921" s="136" t="s">
        <v>1622</v>
      </c>
      <c r="B3921" s="262" t="s">
        <v>1574</v>
      </c>
      <c r="C3921" s="398">
        <v>50</v>
      </c>
      <c r="D3921" s="263">
        <v>0.38</v>
      </c>
    </row>
    <row r="3922" spans="1:4" ht="14.25">
      <c r="A3922" s="136"/>
      <c r="B3922" s="136" t="s">
        <v>481</v>
      </c>
      <c r="C3922" s="399">
        <v>1</v>
      </c>
      <c r="D3922" s="263">
        <v>20</v>
      </c>
    </row>
    <row r="3924" spans="1:4" ht="15.75">
      <c r="A3924" s="402" t="s">
        <v>1603</v>
      </c>
      <c r="B3924" s="402" t="s">
        <v>128</v>
      </c>
      <c r="C3924" s="412" t="s">
        <v>181</v>
      </c>
      <c r="D3924" s="323" t="s">
        <v>640</v>
      </c>
    </row>
    <row r="3925" spans="1:4" ht="15">
      <c r="A3925" s="24" t="s">
        <v>1617</v>
      </c>
      <c r="B3925" s="44" t="s">
        <v>129</v>
      </c>
      <c r="C3925" s="67">
        <v>30</v>
      </c>
      <c r="D3925" s="15">
        <v>79</v>
      </c>
    </row>
    <row r="3926" spans="1:4" ht="15">
      <c r="A3926" s="24" t="s">
        <v>1620</v>
      </c>
      <c r="B3926" s="44" t="s">
        <v>129</v>
      </c>
      <c r="C3926" s="67">
        <v>30</v>
      </c>
      <c r="D3926" s="15">
        <v>76</v>
      </c>
    </row>
    <row r="3927" spans="1:4" ht="15.75">
      <c r="A3927" s="402" t="s">
        <v>1603</v>
      </c>
      <c r="B3927" s="402" t="s">
        <v>128</v>
      </c>
      <c r="C3927" s="412" t="s">
        <v>181</v>
      </c>
      <c r="D3927" s="323" t="s">
        <v>640</v>
      </c>
    </row>
    <row r="3928" spans="1:4" ht="15">
      <c r="A3928" s="24" t="s">
        <v>1618</v>
      </c>
      <c r="B3928" s="44" t="s">
        <v>129</v>
      </c>
      <c r="C3928" s="67">
        <v>50</v>
      </c>
      <c r="D3928" s="15">
        <v>20</v>
      </c>
    </row>
    <row r="3931" spans="1:4" s="194" customFormat="1" ht="15.75">
      <c r="A3931" s="402" t="s">
        <v>1603</v>
      </c>
      <c r="B3931" s="402" t="s">
        <v>128</v>
      </c>
      <c r="C3931" s="412" t="s">
        <v>181</v>
      </c>
      <c r="D3931" s="413" t="s">
        <v>1055</v>
      </c>
    </row>
    <row r="3932" spans="1:4" s="194" customFormat="1" ht="14.25">
      <c r="A3932" s="103" t="s">
        <v>1621</v>
      </c>
      <c r="B3932" s="264" t="s">
        <v>1574</v>
      </c>
      <c r="C3932" s="398">
        <v>30</v>
      </c>
      <c r="D3932" s="263">
        <v>2.76</v>
      </c>
    </row>
    <row r="3933" spans="1:4" s="194" customFormat="1" ht="14.25">
      <c r="A3933" s="103" t="s">
        <v>1619</v>
      </c>
      <c r="B3933" s="264" t="s">
        <v>1574</v>
      </c>
      <c r="C3933" s="398">
        <v>30</v>
      </c>
      <c r="D3933" s="263">
        <v>2.71</v>
      </c>
    </row>
    <row r="3934" spans="1:4" s="194" customFormat="1" ht="14.25">
      <c r="A3934" s="103" t="s">
        <v>1622</v>
      </c>
      <c r="B3934" s="264" t="s">
        <v>1574</v>
      </c>
      <c r="C3934" s="398">
        <v>50</v>
      </c>
      <c r="D3934" s="263">
        <v>0.93</v>
      </c>
    </row>
    <row r="3935" spans="1:4" s="194" customFormat="1" ht="14.25">
      <c r="A3935" s="103"/>
      <c r="B3935" s="103" t="s">
        <v>481</v>
      </c>
      <c r="C3935" s="399">
        <v>1</v>
      </c>
      <c r="D3935" s="263">
        <v>20</v>
      </c>
    </row>
    <row r="3937" spans="1:9" ht="15">
      <c r="A3937" s="20" t="s">
        <v>55</v>
      </c>
      <c r="B3937" s="26"/>
      <c r="C3937" s="24"/>
      <c r="D3937" s="67"/>
      <c r="E3937" s="67"/>
      <c r="F3937" s="68"/>
      <c r="G3937" s="17" t="s">
        <v>10</v>
      </c>
      <c r="H3937" s="271"/>
    </row>
    <row r="3938" spans="1:9" ht="15">
      <c r="A3938" s="95" t="s">
        <v>242</v>
      </c>
      <c r="B3938" s="26"/>
      <c r="C3938" s="24" t="s">
        <v>78</v>
      </c>
      <c r="D3938" s="69">
        <f>E3938*F3938</f>
        <v>27.4</v>
      </c>
      <c r="E3938" s="54">
        <v>13.7</v>
      </c>
      <c r="F3938" s="37">
        <v>2</v>
      </c>
      <c r="G3938" s="46">
        <f>ROUNDUP(O3938/0.6/90,2)</f>
        <v>0</v>
      </c>
      <c r="H3938" s="180"/>
    </row>
    <row r="3939" spans="1:9" ht="15">
      <c r="A3939" s="24"/>
      <c r="B3939" s="26"/>
      <c r="C3939" s="24" t="s">
        <v>31</v>
      </c>
      <c r="D3939" s="45">
        <v>1</v>
      </c>
      <c r="E3939" s="45"/>
      <c r="F3939" s="41"/>
      <c r="G3939" s="46">
        <v>12</v>
      </c>
      <c r="H3939" s="180"/>
    </row>
    <row r="3941" spans="1:9" ht="15.75">
      <c r="A3941" s="385" t="s">
        <v>1068</v>
      </c>
      <c r="B3941" s="386" t="s">
        <v>1517</v>
      </c>
      <c r="C3941" s="387" t="s">
        <v>1514</v>
      </c>
      <c r="D3941" s="387" t="s">
        <v>1623</v>
      </c>
      <c r="E3941" s="382" t="s">
        <v>1624</v>
      </c>
    </row>
    <row r="3942" spans="1:9" ht="15">
      <c r="A3942" s="24" t="s">
        <v>242</v>
      </c>
      <c r="B3942" s="44" t="s">
        <v>1625</v>
      </c>
      <c r="C3942" s="112">
        <v>1.52</v>
      </c>
      <c r="D3942" s="112">
        <v>2.21</v>
      </c>
      <c r="E3942" s="414" t="s">
        <v>1626</v>
      </c>
    </row>
    <row r="3944" spans="1:9" ht="15.75">
      <c r="A3944" s="402" t="s">
        <v>1602</v>
      </c>
      <c r="B3944" s="402" t="s">
        <v>1603</v>
      </c>
      <c r="C3944" s="402" t="s">
        <v>128</v>
      </c>
      <c r="D3944" s="402" t="s">
        <v>1630</v>
      </c>
      <c r="E3944" s="413" t="s">
        <v>1055</v>
      </c>
      <c r="F3944" s="413" t="s">
        <v>151</v>
      </c>
      <c r="G3944" s="39"/>
      <c r="H3944" s="39"/>
      <c r="I3944" s="213"/>
    </row>
    <row r="3945" spans="1:9" ht="15">
      <c r="A3945" s="6" t="s">
        <v>1629</v>
      </c>
      <c r="B3945" s="24">
        <v>2440</v>
      </c>
      <c r="C3945" s="24" t="s">
        <v>862</v>
      </c>
      <c r="D3945" s="67">
        <v>696</v>
      </c>
      <c r="E3945" s="46">
        <v>3.34</v>
      </c>
      <c r="F3945" s="415" t="s">
        <v>771</v>
      </c>
      <c r="G3945" s="239">
        <v>44343</v>
      </c>
      <c r="H3945" s="239"/>
      <c r="I3945" s="213"/>
    </row>
    <row r="3946" spans="1:9" ht="15">
      <c r="A3946" s="6" t="s">
        <v>1629</v>
      </c>
      <c r="B3946" s="24">
        <v>2440</v>
      </c>
      <c r="C3946" s="24" t="s">
        <v>1547</v>
      </c>
      <c r="D3946" s="67">
        <v>58</v>
      </c>
      <c r="E3946" s="46">
        <v>3.34</v>
      </c>
      <c r="F3946" s="415" t="s">
        <v>1631</v>
      </c>
      <c r="G3946" s="39"/>
      <c r="H3946" s="39"/>
      <c r="I3946" s="213"/>
    </row>
    <row r="3948" spans="1:9" ht="15.75">
      <c r="A3948" s="402" t="s">
        <v>1603</v>
      </c>
      <c r="B3948" s="402" t="s">
        <v>128</v>
      </c>
      <c r="C3948" s="402" t="s">
        <v>1630</v>
      </c>
      <c r="D3948" s="413" t="s">
        <v>1055</v>
      </c>
      <c r="E3948" s="413" t="s">
        <v>151</v>
      </c>
    </row>
    <row r="3949" spans="1:9" ht="15">
      <c r="A3949" s="24" t="s">
        <v>1006</v>
      </c>
      <c r="B3949" s="44" t="s">
        <v>129</v>
      </c>
      <c r="C3949" s="67">
        <v>826</v>
      </c>
      <c r="D3949" s="46">
        <v>3.1</v>
      </c>
      <c r="E3949" s="415" t="s">
        <v>771</v>
      </c>
    </row>
    <row r="3950" spans="1:9" ht="15">
      <c r="A3950" s="24" t="s">
        <v>1006</v>
      </c>
      <c r="B3950" s="44" t="s">
        <v>129</v>
      </c>
      <c r="C3950" s="67">
        <v>28</v>
      </c>
      <c r="D3950" s="46">
        <v>3.1</v>
      </c>
      <c r="E3950" s="415" t="s">
        <v>1634</v>
      </c>
    </row>
    <row r="3952" spans="1:9" ht="15.75">
      <c r="A3952" s="402" t="s">
        <v>1603</v>
      </c>
      <c r="B3952" s="402" t="s">
        <v>128</v>
      </c>
      <c r="C3952" s="402" t="s">
        <v>1630</v>
      </c>
      <c r="D3952" s="323" t="s">
        <v>640</v>
      </c>
      <c r="E3952" s="323" t="s">
        <v>1149</v>
      </c>
    </row>
    <row r="3953" spans="1:8" ht="15">
      <c r="A3953" s="24" t="s">
        <v>1006</v>
      </c>
      <c r="B3953" s="44" t="s">
        <v>129</v>
      </c>
      <c r="C3953" s="67">
        <v>826</v>
      </c>
      <c r="D3953" s="15">
        <v>156</v>
      </c>
      <c r="E3953" s="416" t="s">
        <v>1635</v>
      </c>
    </row>
    <row r="3954" spans="1:8" ht="15">
      <c r="A3954" s="24" t="s">
        <v>1006</v>
      </c>
      <c r="B3954" s="44" t="s">
        <v>129</v>
      </c>
      <c r="C3954" s="67">
        <v>28</v>
      </c>
      <c r="D3954" s="15">
        <v>156</v>
      </c>
      <c r="E3954" s="416" t="s">
        <v>1636</v>
      </c>
    </row>
    <row r="3958" spans="1:8" ht="15">
      <c r="A3958" s="156" t="s">
        <v>64</v>
      </c>
      <c r="B3958" s="156" t="s">
        <v>162</v>
      </c>
      <c r="C3958" s="156" t="s">
        <v>1067</v>
      </c>
      <c r="D3958" s="156" t="s">
        <v>68</v>
      </c>
      <c r="E3958" s="323" t="s">
        <v>1644</v>
      </c>
      <c r="F3958" s="68"/>
    </row>
    <row r="3959" spans="1:8" ht="15">
      <c r="A3959" s="24" t="s">
        <v>1264</v>
      </c>
      <c r="B3959" s="26" t="s">
        <v>19</v>
      </c>
      <c r="C3959" s="24" t="s">
        <v>1640</v>
      </c>
      <c r="D3959" s="67" t="s">
        <v>1643</v>
      </c>
      <c r="E3959" s="67" t="s">
        <v>1645</v>
      </c>
      <c r="F3959" s="261">
        <v>10</v>
      </c>
    </row>
    <row r="3962" spans="1:8" ht="15.75">
      <c r="A3962" s="418" t="s">
        <v>106</v>
      </c>
      <c r="B3962" s="418" t="s">
        <v>128</v>
      </c>
      <c r="C3962" s="90" t="s">
        <v>1186</v>
      </c>
      <c r="D3962" s="90" t="s">
        <v>1652</v>
      </c>
      <c r="E3962" s="174" t="s">
        <v>1653</v>
      </c>
      <c r="F3962" s="413" t="s">
        <v>1055</v>
      </c>
      <c r="G3962" s="413" t="s">
        <v>1654</v>
      </c>
      <c r="H3962" s="749"/>
    </row>
    <row r="3963" spans="1:8" ht="15">
      <c r="A3963" s="24">
        <v>5610</v>
      </c>
      <c r="B3963" s="24" t="s">
        <v>1649</v>
      </c>
      <c r="C3963" s="67">
        <v>50</v>
      </c>
      <c r="D3963" s="68">
        <v>56</v>
      </c>
      <c r="E3963" s="67">
        <v>2800</v>
      </c>
      <c r="F3963" s="25">
        <v>0.4</v>
      </c>
      <c r="G3963" s="419" t="s">
        <v>1655</v>
      </c>
      <c r="H3963" s="750"/>
    </row>
    <row r="3964" spans="1:8" ht="15">
      <c r="A3964" s="24">
        <v>5610</v>
      </c>
      <c r="B3964" s="24" t="s">
        <v>1650</v>
      </c>
      <c r="C3964" s="67">
        <v>50</v>
      </c>
      <c r="D3964" s="68">
        <v>32</v>
      </c>
      <c r="E3964" s="67">
        <v>1600</v>
      </c>
      <c r="F3964" s="25">
        <v>0.4</v>
      </c>
      <c r="G3964" s="419" t="s">
        <v>1655</v>
      </c>
      <c r="H3964" s="750"/>
    </row>
    <row r="3965" spans="1:8" ht="15">
      <c r="A3965" s="24"/>
      <c r="B3965" s="24" t="s">
        <v>31</v>
      </c>
      <c r="C3965" s="45"/>
      <c r="D3965" s="45">
        <v>1</v>
      </c>
      <c r="E3965" s="45"/>
      <c r="F3965" s="25">
        <v>12</v>
      </c>
      <c r="G3965" s="419"/>
      <c r="H3965" s="750"/>
    </row>
    <row r="3969" spans="1:14" ht="15.75">
      <c r="A3969" s="418" t="s">
        <v>106</v>
      </c>
      <c r="B3969" s="418" t="s">
        <v>128</v>
      </c>
      <c r="C3969" s="90" t="s">
        <v>1186</v>
      </c>
      <c r="D3969" s="90" t="s">
        <v>1652</v>
      </c>
      <c r="E3969" s="174" t="s">
        <v>1653</v>
      </c>
      <c r="F3969" s="413" t="s">
        <v>1055</v>
      </c>
    </row>
    <row r="3970" spans="1:14" ht="15">
      <c r="A3970" s="24">
        <v>5610</v>
      </c>
      <c r="B3970" s="24" t="s">
        <v>1656</v>
      </c>
      <c r="C3970" s="67">
        <v>50</v>
      </c>
      <c r="D3970" s="68">
        <v>56</v>
      </c>
      <c r="E3970" s="67">
        <v>2800</v>
      </c>
      <c r="F3970" s="25">
        <v>0.4</v>
      </c>
    </row>
    <row r="3971" spans="1:14" ht="15">
      <c r="A3971" s="24">
        <v>5610</v>
      </c>
      <c r="B3971" s="24" t="s">
        <v>1657</v>
      </c>
      <c r="C3971" s="67">
        <v>50</v>
      </c>
      <c r="D3971" s="68">
        <v>32</v>
      </c>
      <c r="E3971" s="67">
        <v>1600</v>
      </c>
      <c r="F3971" s="25">
        <v>0.4</v>
      </c>
    </row>
    <row r="3972" spans="1:14" ht="15">
      <c r="A3972" s="24"/>
      <c r="B3972" s="24" t="s">
        <v>31</v>
      </c>
      <c r="C3972" s="36"/>
      <c r="D3972" s="45">
        <v>1</v>
      </c>
      <c r="E3972" s="45"/>
      <c r="F3972" s="25">
        <v>12</v>
      </c>
    </row>
    <row r="3975" spans="1:14" ht="15">
      <c r="A3975" s="418" t="s">
        <v>106</v>
      </c>
      <c r="B3975" s="418" t="s">
        <v>52</v>
      </c>
      <c r="C3975" s="418" t="s">
        <v>53</v>
      </c>
      <c r="D3975" s="418" t="s">
        <v>54</v>
      </c>
      <c r="E3975" s="418" t="s">
        <v>1672</v>
      </c>
      <c r="F3975" s="38"/>
      <c r="G3975" s="39"/>
      <c r="H3975" s="39"/>
      <c r="I3975" s="213"/>
      <c r="J3975" s="6" t="s">
        <v>23</v>
      </c>
      <c r="K3975" s="175"/>
      <c r="L3975" s="175"/>
      <c r="M3975" s="7"/>
      <c r="N3975" s="7"/>
    </row>
    <row r="3976" spans="1:14" ht="15">
      <c r="A3976" s="24">
        <v>1120</v>
      </c>
      <c r="B3976" s="26">
        <v>25</v>
      </c>
      <c r="C3976" s="24" t="s">
        <v>1669</v>
      </c>
      <c r="D3976" s="151">
        <v>30</v>
      </c>
      <c r="E3976" s="94" t="s">
        <v>1673</v>
      </c>
      <c r="F3976" s="38"/>
      <c r="G3976" s="39"/>
      <c r="H3976" s="39"/>
      <c r="I3976" s="213"/>
      <c r="J3976" s="25" t="e">
        <f>E3976*0.9</f>
        <v>#VALUE!</v>
      </c>
      <c r="K3976" s="25">
        <v>2.67</v>
      </c>
      <c r="L3976" s="175"/>
      <c r="M3976" s="7">
        <v>160</v>
      </c>
      <c r="N3976" s="341" t="e">
        <f>M3976*#REF!</f>
        <v>#REF!</v>
      </c>
    </row>
    <row r="3977" spans="1:14" ht="15">
      <c r="A3977" s="24">
        <v>1120</v>
      </c>
      <c r="B3977" s="26">
        <v>25</v>
      </c>
      <c r="C3977" s="24" t="s">
        <v>137</v>
      </c>
      <c r="D3977" s="151">
        <v>30</v>
      </c>
      <c r="E3977" s="94" t="s">
        <v>1673</v>
      </c>
      <c r="F3977" s="38"/>
      <c r="G3977" s="39"/>
      <c r="H3977" s="39"/>
      <c r="I3977" s="213"/>
      <c r="J3977" s="25" t="e">
        <f>E3977*0.9</f>
        <v>#VALUE!</v>
      </c>
      <c r="K3977" s="25">
        <v>2.67</v>
      </c>
      <c r="L3977" s="175"/>
      <c r="M3977" s="7">
        <v>160</v>
      </c>
      <c r="N3977" s="341" t="e">
        <f>M3977*#REF!</f>
        <v>#REF!</v>
      </c>
    </row>
    <row r="3978" spans="1:14" ht="15">
      <c r="A3978" s="24">
        <v>1420</v>
      </c>
      <c r="B3978" s="26">
        <v>15</v>
      </c>
      <c r="C3978" s="24" t="s">
        <v>137</v>
      </c>
      <c r="D3978" s="151">
        <v>30</v>
      </c>
      <c r="E3978" s="94" t="s">
        <v>1674</v>
      </c>
      <c r="F3978" s="38"/>
      <c r="G3978" s="39"/>
      <c r="H3978" s="39"/>
      <c r="I3978" s="213"/>
      <c r="J3978" s="25" t="e">
        <f>E3978*0.9</f>
        <v>#VALUE!</v>
      </c>
      <c r="K3978" s="25">
        <v>1.25</v>
      </c>
      <c r="L3978" s="175"/>
      <c r="M3978" s="7">
        <v>75</v>
      </c>
      <c r="N3978" s="341" t="e">
        <f>M3978*#REF!</f>
        <v>#REF!</v>
      </c>
    </row>
    <row r="3981" spans="1:14" ht="15.75">
      <c r="A3981" s="418" t="s">
        <v>106</v>
      </c>
      <c r="B3981" s="418" t="s">
        <v>52</v>
      </c>
      <c r="C3981" s="418" t="s">
        <v>53</v>
      </c>
      <c r="D3981" s="418" t="s">
        <v>54</v>
      </c>
      <c r="E3981" s="413" t="s">
        <v>1055</v>
      </c>
      <c r="F3981" s="413" t="s">
        <v>151</v>
      </c>
    </row>
    <row r="3982" spans="1:14" ht="15.75">
      <c r="A3982" s="24" t="s">
        <v>1668</v>
      </c>
      <c r="B3982" s="26">
        <v>25</v>
      </c>
      <c r="C3982" s="24" t="s">
        <v>1669</v>
      </c>
      <c r="D3982" s="67">
        <v>30</v>
      </c>
      <c r="E3982" s="25">
        <v>2.97</v>
      </c>
      <c r="F3982" s="421" t="s">
        <v>771</v>
      </c>
    </row>
    <row r="3983" spans="1:14" ht="15.75">
      <c r="A3983" s="24" t="s">
        <v>1668</v>
      </c>
      <c r="B3983" s="26">
        <v>25</v>
      </c>
      <c r="C3983" s="24" t="s">
        <v>137</v>
      </c>
      <c r="D3983" s="67">
        <v>30</v>
      </c>
      <c r="E3983" s="25">
        <v>2.97</v>
      </c>
      <c r="F3983" s="421" t="s">
        <v>771</v>
      </c>
    </row>
    <row r="3984" spans="1:14" ht="15.75">
      <c r="A3984" s="24" t="s">
        <v>1671</v>
      </c>
      <c r="B3984" s="26">
        <v>15</v>
      </c>
      <c r="C3984" s="24" t="s">
        <v>137</v>
      </c>
      <c r="D3984" s="67">
        <v>30</v>
      </c>
      <c r="E3984" s="25">
        <v>1.39</v>
      </c>
      <c r="F3984" s="421" t="s">
        <v>1675</v>
      </c>
    </row>
    <row r="3985" spans="1:8" ht="15.75">
      <c r="A3985" s="24"/>
      <c r="B3985" s="138"/>
      <c r="C3985" s="24" t="s">
        <v>481</v>
      </c>
      <c r="D3985" s="45">
        <v>1</v>
      </c>
      <c r="E3985" s="46">
        <v>12</v>
      </c>
      <c r="F3985" s="421"/>
    </row>
    <row r="3988" spans="1:8" ht="15.75">
      <c r="A3988" s="418" t="s">
        <v>106</v>
      </c>
      <c r="B3988" s="418" t="s">
        <v>53</v>
      </c>
      <c r="C3988" s="90" t="s">
        <v>1186</v>
      </c>
      <c r="D3988" s="90" t="s">
        <v>1652</v>
      </c>
      <c r="E3988" s="174" t="s">
        <v>1653</v>
      </c>
      <c r="F3988" s="413" t="s">
        <v>1055</v>
      </c>
    </row>
    <row r="3989" spans="1:8" ht="15">
      <c r="A3989" s="24" t="s">
        <v>1426</v>
      </c>
      <c r="B3989" s="44" t="s">
        <v>78</v>
      </c>
      <c r="C3989" s="8">
        <v>14</v>
      </c>
      <c r="D3989" s="41">
        <v>2</v>
      </c>
      <c r="E3989" s="67">
        <v>28</v>
      </c>
      <c r="F3989" s="46">
        <v>1.54</v>
      </c>
    </row>
    <row r="3990" spans="1:8" ht="15">
      <c r="A3990" s="24"/>
      <c r="B3990" s="24" t="s">
        <v>481</v>
      </c>
      <c r="C3990" s="45"/>
      <c r="D3990" s="45">
        <v>1</v>
      </c>
      <c r="E3990" s="45"/>
      <c r="F3990" s="46">
        <v>12</v>
      </c>
    </row>
    <row r="3992" spans="1:8" ht="15">
      <c r="A3992" s="418" t="s">
        <v>106</v>
      </c>
      <c r="B3992" s="418" t="s">
        <v>53</v>
      </c>
      <c r="C3992" s="418" t="s">
        <v>54</v>
      </c>
      <c r="D3992" s="323" t="s">
        <v>640</v>
      </c>
    </row>
    <row r="3993" spans="1:8" ht="15">
      <c r="A3993" s="24" t="s">
        <v>1684</v>
      </c>
      <c r="B3993" s="44" t="s">
        <v>78</v>
      </c>
      <c r="C3993" s="67">
        <v>56</v>
      </c>
      <c r="D3993" s="15">
        <v>55</v>
      </c>
      <c r="E3993" s="46">
        <v>0.9</v>
      </c>
      <c r="F3993" s="346"/>
      <c r="G3993" s="7">
        <v>55</v>
      </c>
      <c r="H3993" s="7"/>
    </row>
    <row r="3994" spans="1:8" ht="15">
      <c r="A3994" s="24" t="s">
        <v>1215</v>
      </c>
      <c r="B3994" s="44" t="s">
        <v>78</v>
      </c>
      <c r="C3994" s="67">
        <v>56</v>
      </c>
      <c r="D3994" s="15">
        <v>119</v>
      </c>
      <c r="E3994" s="46">
        <v>1.94</v>
      </c>
      <c r="F3994" s="346"/>
      <c r="G3994" s="7">
        <v>119</v>
      </c>
      <c r="H3994" s="7"/>
    </row>
    <row r="3996" spans="1:8" ht="15">
      <c r="A3996" s="418" t="s">
        <v>106</v>
      </c>
      <c r="B3996" s="418" t="s">
        <v>53</v>
      </c>
      <c r="C3996" s="418" t="s">
        <v>54</v>
      </c>
      <c r="D3996" s="323" t="s">
        <v>640</v>
      </c>
    </row>
    <row r="3997" spans="1:8" ht="15">
      <c r="A3997" s="24" t="s">
        <v>1685</v>
      </c>
      <c r="B3997" s="44" t="s">
        <v>78</v>
      </c>
      <c r="C3997" s="8">
        <v>20</v>
      </c>
      <c r="D3997" s="15">
        <v>160</v>
      </c>
    </row>
    <row r="4000" spans="1:8" ht="15.75">
      <c r="A4000" s="418" t="s">
        <v>106</v>
      </c>
      <c r="B4000" s="418" t="s">
        <v>1710</v>
      </c>
      <c r="C4000" s="90" t="s">
        <v>1186</v>
      </c>
      <c r="D4000" s="90" t="s">
        <v>1652</v>
      </c>
      <c r="E4000" s="174" t="s">
        <v>1653</v>
      </c>
      <c r="F4000" s="413" t="s">
        <v>1055</v>
      </c>
      <c r="G4000" s="413" t="s">
        <v>1168</v>
      </c>
      <c r="H4000" s="749"/>
    </row>
    <row r="4001" spans="1:8" ht="15.75">
      <c r="A4001" s="24" t="s">
        <v>1684</v>
      </c>
      <c r="B4001" s="44" t="s">
        <v>78</v>
      </c>
      <c r="C4001" s="8">
        <v>14</v>
      </c>
      <c r="D4001" s="41">
        <v>4</v>
      </c>
      <c r="E4001" s="67">
        <v>56</v>
      </c>
      <c r="F4001" s="46">
        <v>1.02</v>
      </c>
      <c r="G4001" s="421" t="s">
        <v>1705</v>
      </c>
      <c r="H4001" s="751"/>
    </row>
    <row r="4002" spans="1:8" ht="15.75">
      <c r="A4002" s="24" t="s">
        <v>1215</v>
      </c>
      <c r="B4002" s="44" t="s">
        <v>78</v>
      </c>
      <c r="C4002" s="8">
        <v>14</v>
      </c>
      <c r="D4002" s="41">
        <v>4</v>
      </c>
      <c r="E4002" s="67">
        <v>56</v>
      </c>
      <c r="F4002" s="46">
        <v>2.21</v>
      </c>
      <c r="G4002" s="421" t="s">
        <v>152</v>
      </c>
      <c r="H4002" s="751"/>
    </row>
    <row r="4003" spans="1:8" ht="15.75">
      <c r="A4003" s="24" t="s">
        <v>1685</v>
      </c>
      <c r="B4003" s="44" t="s">
        <v>78</v>
      </c>
      <c r="C4003" s="8">
        <v>20</v>
      </c>
      <c r="D4003" s="41">
        <v>1</v>
      </c>
      <c r="E4003" s="67">
        <v>20</v>
      </c>
      <c r="F4003" s="46">
        <v>2.97</v>
      </c>
      <c r="G4003" s="421" t="s">
        <v>1706</v>
      </c>
      <c r="H4003" s="751"/>
    </row>
    <row r="4004" spans="1:8" ht="15.75">
      <c r="A4004" s="24"/>
      <c r="B4004" s="24" t="s">
        <v>481</v>
      </c>
      <c r="C4004" s="8"/>
      <c r="D4004" s="45">
        <v>1</v>
      </c>
      <c r="E4004" s="45"/>
      <c r="F4004" s="46">
        <v>20</v>
      </c>
      <c r="G4004" s="421"/>
      <c r="H4004" s="751"/>
    </row>
    <row r="4008" spans="1:8" ht="15.75">
      <c r="A4008" s="418" t="s">
        <v>106</v>
      </c>
      <c r="B4008" s="418" t="s">
        <v>52</v>
      </c>
      <c r="C4008" s="418" t="s">
        <v>1710</v>
      </c>
      <c r="D4008" s="90" t="s">
        <v>1186</v>
      </c>
      <c r="E4008" s="90" t="s">
        <v>1652</v>
      </c>
      <c r="F4008" s="174" t="s">
        <v>1653</v>
      </c>
      <c r="G4008" s="413" t="s">
        <v>1055</v>
      </c>
      <c r="H4008" s="749"/>
    </row>
    <row r="4009" spans="1:8" ht="15">
      <c r="A4009" s="24" t="s">
        <v>1711</v>
      </c>
      <c r="B4009" s="26">
        <v>10</v>
      </c>
      <c r="C4009" s="24" t="s">
        <v>1661</v>
      </c>
      <c r="D4009" s="151">
        <v>100</v>
      </c>
      <c r="E4009" s="152">
        <v>1</v>
      </c>
      <c r="F4009" s="67">
        <v>100</v>
      </c>
      <c r="G4009" s="25">
        <v>0.36</v>
      </c>
      <c r="H4009" s="142"/>
    </row>
    <row r="4010" spans="1:8" ht="15">
      <c r="A4010" s="24"/>
      <c r="B4010" s="138"/>
      <c r="C4010" s="24" t="s">
        <v>481</v>
      </c>
      <c r="D4010" s="8"/>
      <c r="E4010" s="45">
        <v>1</v>
      </c>
      <c r="F4010" s="45"/>
      <c r="G4010" s="46">
        <v>12</v>
      </c>
      <c r="H4010" s="180"/>
    </row>
    <row r="4013" spans="1:8" ht="15.75">
      <c r="A4013" s="418" t="s">
        <v>106</v>
      </c>
      <c r="B4013" s="418" t="s">
        <v>52</v>
      </c>
      <c r="C4013" s="418" t="s">
        <v>1710</v>
      </c>
      <c r="D4013" s="90" t="s">
        <v>1186</v>
      </c>
      <c r="E4013" s="90" t="s">
        <v>1652</v>
      </c>
      <c r="F4013" s="174" t="s">
        <v>1653</v>
      </c>
      <c r="G4013" s="418" t="s">
        <v>1672</v>
      </c>
      <c r="H4013" s="1613"/>
    </row>
    <row r="4014" spans="1:8" ht="15">
      <c r="A4014" s="24" t="s">
        <v>1711</v>
      </c>
      <c r="B4014" s="26">
        <v>10</v>
      </c>
      <c r="C4014" s="24" t="s">
        <v>1661</v>
      </c>
      <c r="D4014" s="151">
        <v>100</v>
      </c>
      <c r="E4014" s="152">
        <v>1</v>
      </c>
      <c r="F4014" s="67">
        <v>100</v>
      </c>
      <c r="G4014" s="94" t="s">
        <v>1712</v>
      </c>
      <c r="H4014" s="113"/>
    </row>
    <row r="4017" spans="1:5">
      <c r="A4017" s="430" t="s">
        <v>1720</v>
      </c>
    </row>
    <row r="4018" spans="1:5" ht="15.75">
      <c r="A4018" s="418" t="s">
        <v>106</v>
      </c>
      <c r="B4018" s="418" t="s">
        <v>1710</v>
      </c>
      <c r="C4018" s="90" t="s">
        <v>980</v>
      </c>
      <c r="D4018" s="413" t="s">
        <v>1055</v>
      </c>
      <c r="E4018" s="413" t="s">
        <v>1168</v>
      </c>
    </row>
    <row r="4019" spans="1:5" ht="15.75">
      <c r="A4019" s="24" t="s">
        <v>1713</v>
      </c>
      <c r="B4019" s="44" t="s">
        <v>78</v>
      </c>
      <c r="C4019" s="8" t="s">
        <v>1714</v>
      </c>
      <c r="D4019" s="46">
        <v>1.26</v>
      </c>
      <c r="E4019" s="421" t="s">
        <v>1715</v>
      </c>
    </row>
    <row r="4020" spans="1:5" ht="15.75">
      <c r="A4020" s="24" t="s">
        <v>1716</v>
      </c>
      <c r="B4020" s="44" t="s">
        <v>200</v>
      </c>
      <c r="C4020" s="8" t="s">
        <v>1714</v>
      </c>
      <c r="D4020" s="46">
        <v>2.1</v>
      </c>
      <c r="E4020" s="421" t="s">
        <v>1723</v>
      </c>
    </row>
    <row r="4021" spans="1:5" ht="15.75">
      <c r="A4021" s="24" t="s">
        <v>1717</v>
      </c>
      <c r="B4021" s="44" t="s">
        <v>78</v>
      </c>
      <c r="C4021" s="8" t="s">
        <v>1714</v>
      </c>
      <c r="D4021" s="46">
        <v>1.04</v>
      </c>
      <c r="E4021" s="421" t="s">
        <v>1718</v>
      </c>
    </row>
    <row r="4022" spans="1:5" ht="15.75">
      <c r="A4022" s="24" t="s">
        <v>1719</v>
      </c>
      <c r="B4022" s="44" t="s">
        <v>200</v>
      </c>
      <c r="C4022" s="8" t="s">
        <v>1714</v>
      </c>
      <c r="D4022" s="46">
        <v>1.86</v>
      </c>
      <c r="E4022" s="421" t="s">
        <v>1723</v>
      </c>
    </row>
    <row r="4023" spans="1:5" ht="15.75">
      <c r="A4023" s="24" t="s">
        <v>1215</v>
      </c>
      <c r="B4023" s="44" t="s">
        <v>78</v>
      </c>
      <c r="C4023" s="8" t="s">
        <v>1714</v>
      </c>
      <c r="D4023" s="46">
        <v>2.21</v>
      </c>
      <c r="E4023" s="421" t="s">
        <v>1722</v>
      </c>
    </row>
    <row r="4024" spans="1:5" ht="15.75">
      <c r="A4024" s="24" t="s">
        <v>1721</v>
      </c>
      <c r="B4024" s="44" t="s">
        <v>200</v>
      </c>
      <c r="C4024" s="8" t="s">
        <v>1714</v>
      </c>
      <c r="D4024" s="46">
        <v>3.1</v>
      </c>
      <c r="E4024" s="421" t="s">
        <v>1723</v>
      </c>
    </row>
    <row r="4026" spans="1:5" ht="15">
      <c r="A4026" s="418" t="s">
        <v>106</v>
      </c>
      <c r="B4026" s="418" t="s">
        <v>53</v>
      </c>
      <c r="C4026" s="418" t="s">
        <v>54</v>
      </c>
      <c r="D4026" s="323" t="s">
        <v>640</v>
      </c>
      <c r="E4026" s="323" t="s">
        <v>1724</v>
      </c>
    </row>
    <row r="4027" spans="1:5" ht="15.75">
      <c r="A4027" s="24" t="s">
        <v>1684</v>
      </c>
      <c r="B4027" s="44" t="s">
        <v>78</v>
      </c>
      <c r="C4027" s="67">
        <v>56</v>
      </c>
      <c r="D4027" s="15">
        <v>55</v>
      </c>
      <c r="E4027" s="421" t="s">
        <v>1725</v>
      </c>
    </row>
    <row r="4028" spans="1:5" ht="15.75">
      <c r="A4028" s="24" t="s">
        <v>1717</v>
      </c>
      <c r="B4028" s="44" t="s">
        <v>78</v>
      </c>
      <c r="C4028" s="67">
        <v>56</v>
      </c>
      <c r="D4028" s="15">
        <v>56</v>
      </c>
      <c r="E4028" s="421" t="s">
        <v>1726</v>
      </c>
    </row>
    <row r="4030" spans="1:5">
      <c r="A4030" s="431" t="s">
        <v>1733</v>
      </c>
    </row>
    <row r="4031" spans="1:5" ht="15.75">
      <c r="A4031" s="385" t="s">
        <v>1068</v>
      </c>
      <c r="B4031" s="386" t="s">
        <v>1517</v>
      </c>
      <c r="C4031" s="387" t="s">
        <v>1514</v>
      </c>
      <c r="D4031" s="387" t="s">
        <v>1623</v>
      </c>
      <c r="E4031" s="382" t="s">
        <v>1624</v>
      </c>
    </row>
    <row r="4032" spans="1:5" ht="15">
      <c r="A4032" s="24" t="s">
        <v>1727</v>
      </c>
      <c r="B4032" s="44" t="s">
        <v>1728</v>
      </c>
      <c r="C4032" s="112">
        <v>1.58</v>
      </c>
      <c r="D4032" s="112">
        <v>2.1</v>
      </c>
      <c r="E4032" s="414" t="s">
        <v>1729</v>
      </c>
    </row>
    <row r="4033" spans="1:6" ht="15">
      <c r="A4033" s="24" t="s">
        <v>1730</v>
      </c>
      <c r="B4033" s="44" t="s">
        <v>1728</v>
      </c>
      <c r="C4033" s="112">
        <v>1.86</v>
      </c>
      <c r="D4033" s="112">
        <v>2.37</v>
      </c>
      <c r="E4033" s="414" t="s">
        <v>1729</v>
      </c>
    </row>
    <row r="4034" spans="1:6" ht="15">
      <c r="A4034" s="24" t="s">
        <v>1731</v>
      </c>
      <c r="B4034" s="44" t="s">
        <v>1728</v>
      </c>
      <c r="C4034" s="112">
        <v>1.67</v>
      </c>
      <c r="D4034" s="112">
        <v>2.23</v>
      </c>
      <c r="E4034" s="414" t="s">
        <v>1732</v>
      </c>
    </row>
    <row r="4036" spans="1:6" ht="31.5">
      <c r="A4036" s="450" t="s">
        <v>1369</v>
      </c>
      <c r="B4036" s="432" t="s">
        <v>1734</v>
      </c>
      <c r="C4036" s="433" t="s">
        <v>3117</v>
      </c>
    </row>
    <row r="4037" spans="1:6" ht="15">
      <c r="A4037" s="147" t="s">
        <v>1735</v>
      </c>
      <c r="B4037" s="34" t="s">
        <v>5266</v>
      </c>
      <c r="C4037" s="434">
        <v>0.17</v>
      </c>
    </row>
    <row r="4038" spans="1:6" ht="15">
      <c r="A4038" s="147" t="s">
        <v>1736</v>
      </c>
      <c r="B4038" s="34" t="s">
        <v>5266</v>
      </c>
      <c r="C4038" s="434">
        <v>0.25</v>
      </c>
    </row>
    <row r="4039" spans="1:6" ht="15">
      <c r="A4039" s="147" t="s">
        <v>1737</v>
      </c>
      <c r="B4039" s="34" t="s">
        <v>5266</v>
      </c>
      <c r="C4039" s="434">
        <v>0.23</v>
      </c>
    </row>
    <row r="4040" spans="1:6" ht="15">
      <c r="A4040" s="147" t="s">
        <v>1738</v>
      </c>
      <c r="B4040" s="34" t="s">
        <v>5267</v>
      </c>
      <c r="C4040" s="434">
        <v>0.28000000000000003</v>
      </c>
    </row>
    <row r="4043" spans="1:6" ht="15.75">
      <c r="A4043" s="418" t="s">
        <v>106</v>
      </c>
      <c r="B4043" s="418" t="s">
        <v>53</v>
      </c>
      <c r="C4043" s="418" t="s">
        <v>54</v>
      </c>
      <c r="D4043" s="413" t="s">
        <v>1055</v>
      </c>
      <c r="E4043" s="413" t="s">
        <v>151</v>
      </c>
    </row>
    <row r="4044" spans="1:6" ht="15.75">
      <c r="A4044" s="24" t="s">
        <v>22</v>
      </c>
      <c r="B4044" s="24" t="s">
        <v>863</v>
      </c>
      <c r="C4044" s="67">
        <v>200</v>
      </c>
      <c r="D4044" s="46">
        <v>4.45</v>
      </c>
      <c r="E4044" s="421" t="s">
        <v>1747</v>
      </c>
    </row>
    <row r="4045" spans="1:6" ht="15.75">
      <c r="A4045" s="24"/>
      <c r="B4045" s="24" t="s">
        <v>31</v>
      </c>
      <c r="C4045" s="45">
        <v>1</v>
      </c>
      <c r="D4045" s="46">
        <v>20</v>
      </c>
      <c r="E4045" s="421"/>
    </row>
    <row r="4047" spans="1:6" ht="15.75">
      <c r="A4047" s="418" t="s">
        <v>106</v>
      </c>
      <c r="B4047" s="418" t="s">
        <v>1710</v>
      </c>
      <c r="C4047" s="90" t="s">
        <v>1186</v>
      </c>
      <c r="D4047" s="90" t="s">
        <v>1652</v>
      </c>
      <c r="E4047" s="174" t="s">
        <v>1653</v>
      </c>
      <c r="F4047" s="413" t="s">
        <v>1055</v>
      </c>
    </row>
    <row r="4048" spans="1:6" ht="15">
      <c r="A4048" s="24">
        <v>5603</v>
      </c>
      <c r="B4048" s="44" t="s">
        <v>1610</v>
      </c>
      <c r="C4048" s="151">
        <v>50</v>
      </c>
      <c r="D4048" s="152">
        <v>11</v>
      </c>
      <c r="E4048" s="67">
        <v>550</v>
      </c>
      <c r="F4048" s="46">
        <v>0.3</v>
      </c>
    </row>
    <row r="4049" spans="1:8" ht="15">
      <c r="A4049" s="24">
        <v>5603</v>
      </c>
      <c r="B4049" s="44" t="s">
        <v>1749</v>
      </c>
      <c r="C4049" s="151">
        <v>50</v>
      </c>
      <c r="D4049" s="152">
        <v>11</v>
      </c>
      <c r="E4049" s="67">
        <v>550</v>
      </c>
      <c r="F4049" s="46">
        <v>0.3</v>
      </c>
    </row>
    <row r="4050" spans="1:8" ht="15">
      <c r="A4050" s="24"/>
      <c r="B4050" s="24" t="s">
        <v>481</v>
      </c>
      <c r="C4050" s="8"/>
      <c r="D4050" s="45">
        <v>1</v>
      </c>
      <c r="E4050" s="45"/>
      <c r="F4050" s="46">
        <v>12</v>
      </c>
    </row>
    <row r="4053" spans="1:8" ht="15">
      <c r="A4053" s="2809" t="s">
        <v>1400</v>
      </c>
      <c r="B4053" s="2794" t="s">
        <v>1401</v>
      </c>
      <c r="C4053" s="2799" t="s">
        <v>1181</v>
      </c>
      <c r="D4053" s="2799" t="s">
        <v>1752</v>
      </c>
      <c r="E4053" s="2859" t="s">
        <v>1753</v>
      </c>
      <c r="F4053" s="2863" t="s">
        <v>1754</v>
      </c>
      <c r="G4053" s="2799" t="s">
        <v>1402</v>
      </c>
      <c r="H4053" s="752"/>
    </row>
    <row r="4054" spans="1:8" ht="15">
      <c r="A4054" s="2809"/>
      <c r="B4054" s="2794"/>
      <c r="C4054" s="2799"/>
      <c r="D4054" s="2799"/>
      <c r="E4054" s="2800"/>
      <c r="F4054" s="2864"/>
      <c r="G4054" s="2799"/>
      <c r="H4054" s="752"/>
    </row>
    <row r="4055" spans="1:8" s="194" customFormat="1" ht="14.25">
      <c r="A4055" s="368" t="s">
        <v>1755</v>
      </c>
      <c r="B4055" s="367" t="s">
        <v>1756</v>
      </c>
      <c r="C4055" s="369" t="s">
        <v>1757</v>
      </c>
      <c r="D4055" s="441" t="s">
        <v>1758</v>
      </c>
      <c r="E4055" s="439">
        <v>4.7300000000000004</v>
      </c>
      <c r="F4055" s="440">
        <v>4</v>
      </c>
      <c r="G4055" s="367" t="s">
        <v>1759</v>
      </c>
      <c r="H4055" s="753"/>
    </row>
    <row r="4058" spans="1:8" ht="15.75">
      <c r="A4058" s="418" t="s">
        <v>106</v>
      </c>
      <c r="B4058" s="418" t="s">
        <v>1710</v>
      </c>
      <c r="C4058" s="174" t="s">
        <v>54</v>
      </c>
      <c r="D4058" s="413" t="s">
        <v>1055</v>
      </c>
    </row>
    <row r="4059" spans="1:8" ht="15">
      <c r="A4059" s="24" t="s">
        <v>1763</v>
      </c>
      <c r="B4059" s="24" t="s">
        <v>1211</v>
      </c>
      <c r="C4059" s="67">
        <v>50</v>
      </c>
      <c r="D4059" s="25">
        <v>0.4</v>
      </c>
    </row>
    <row r="4060" spans="1:8" ht="15">
      <c r="A4060" s="24" t="s">
        <v>1763</v>
      </c>
      <c r="B4060" s="24" t="s">
        <v>1760</v>
      </c>
      <c r="C4060" s="67">
        <v>50</v>
      </c>
      <c r="D4060" s="25">
        <v>0.4</v>
      </c>
    </row>
    <row r="4061" spans="1:8" ht="15">
      <c r="A4061" s="24" t="s">
        <v>1763</v>
      </c>
      <c r="B4061" s="24" t="s">
        <v>1761</v>
      </c>
      <c r="C4061" s="67">
        <v>50</v>
      </c>
      <c r="D4061" s="25">
        <v>0.4</v>
      </c>
    </row>
    <row r="4062" spans="1:8" ht="15">
      <c r="A4062" s="24" t="s">
        <v>1763</v>
      </c>
      <c r="B4062" s="24" t="s">
        <v>1762</v>
      </c>
      <c r="C4062" s="67">
        <v>50</v>
      </c>
      <c r="D4062" s="25">
        <v>0.4</v>
      </c>
    </row>
    <row r="4063" spans="1:8" ht="15">
      <c r="A4063" s="24"/>
      <c r="B4063" s="24" t="s">
        <v>31</v>
      </c>
      <c r="C4063" s="45">
        <v>1</v>
      </c>
      <c r="D4063" s="25">
        <v>12</v>
      </c>
    </row>
    <row r="4064" spans="1:8" ht="15">
      <c r="A4064" s="24"/>
      <c r="B4064" s="12"/>
      <c r="C4064" s="45"/>
      <c r="D4064" s="25"/>
    </row>
    <row r="4065" spans="1:6" ht="15.75">
      <c r="A4065" s="24" t="s">
        <v>1778</v>
      </c>
      <c r="B4065" s="418" t="s">
        <v>1710</v>
      </c>
      <c r="C4065" s="174" t="s">
        <v>54</v>
      </c>
      <c r="D4065" s="413" t="s">
        <v>1055</v>
      </c>
      <c r="E4065" s="413" t="s">
        <v>1418</v>
      </c>
      <c r="F4065" s="11"/>
    </row>
    <row r="4066" spans="1:6" ht="15">
      <c r="A4066" s="24" t="s">
        <v>80</v>
      </c>
      <c r="B4066" s="24" t="s">
        <v>349</v>
      </c>
      <c r="C4066" s="151">
        <v>10</v>
      </c>
      <c r="D4066" s="46">
        <v>4.87</v>
      </c>
      <c r="E4066" s="442" t="s">
        <v>1782</v>
      </c>
      <c r="F4066" s="46">
        <f t="shared" ref="F4066:F4077" si="0">D4066*C4066</f>
        <v>48.7</v>
      </c>
    </row>
    <row r="4067" spans="1:6" ht="15">
      <c r="A4067" s="24" t="s">
        <v>80</v>
      </c>
      <c r="B4067" s="24" t="s">
        <v>334</v>
      </c>
      <c r="C4067" s="151">
        <v>10</v>
      </c>
      <c r="D4067" s="46">
        <v>4.87</v>
      </c>
      <c r="E4067" s="442" t="s">
        <v>1782</v>
      </c>
      <c r="F4067" s="46">
        <f t="shared" si="0"/>
        <v>48.7</v>
      </c>
    </row>
    <row r="4068" spans="1:6" ht="15">
      <c r="A4068" s="24" t="s">
        <v>80</v>
      </c>
      <c r="B4068" s="24" t="s">
        <v>1766</v>
      </c>
      <c r="C4068" s="151">
        <v>10</v>
      </c>
      <c r="D4068" s="46">
        <v>4.87</v>
      </c>
      <c r="E4068" s="442" t="s">
        <v>1782</v>
      </c>
      <c r="F4068" s="46">
        <f t="shared" si="0"/>
        <v>48.7</v>
      </c>
    </row>
    <row r="4069" spans="1:6" ht="15">
      <c r="A4069" s="24" t="s">
        <v>80</v>
      </c>
      <c r="B4069" s="24" t="s">
        <v>204</v>
      </c>
      <c r="C4069" s="151">
        <v>10</v>
      </c>
      <c r="D4069" s="46">
        <v>4.87</v>
      </c>
      <c r="E4069" s="442" t="s">
        <v>1783</v>
      </c>
      <c r="F4069" s="46">
        <f t="shared" si="0"/>
        <v>48.7</v>
      </c>
    </row>
    <row r="4070" spans="1:6" ht="15">
      <c r="A4070" s="24" t="s">
        <v>80</v>
      </c>
      <c r="B4070" s="24" t="s">
        <v>206</v>
      </c>
      <c r="C4070" s="151">
        <v>10</v>
      </c>
      <c r="D4070" s="46">
        <v>4.87</v>
      </c>
      <c r="E4070" s="442" t="s">
        <v>1782</v>
      </c>
      <c r="F4070" s="46">
        <f t="shared" si="0"/>
        <v>48.7</v>
      </c>
    </row>
    <row r="4071" spans="1:6" ht="15">
      <c r="A4071" s="24" t="s">
        <v>80</v>
      </c>
      <c r="B4071" s="24" t="s">
        <v>1767</v>
      </c>
      <c r="C4071" s="151">
        <v>10</v>
      </c>
      <c r="D4071" s="46">
        <v>4.87</v>
      </c>
      <c r="E4071" s="442" t="s">
        <v>1782</v>
      </c>
      <c r="F4071" s="46">
        <f t="shared" si="0"/>
        <v>48.7</v>
      </c>
    </row>
    <row r="4072" spans="1:6" ht="15">
      <c r="A4072" s="24" t="s">
        <v>80</v>
      </c>
      <c r="B4072" s="24" t="s">
        <v>160</v>
      </c>
      <c r="C4072" s="151">
        <v>10</v>
      </c>
      <c r="D4072" s="46">
        <v>4.87</v>
      </c>
      <c r="E4072" s="442" t="s">
        <v>1782</v>
      </c>
      <c r="F4072" s="46">
        <f t="shared" si="0"/>
        <v>48.7</v>
      </c>
    </row>
    <row r="4073" spans="1:6" ht="15">
      <c r="A4073" s="24" t="s">
        <v>80</v>
      </c>
      <c r="B4073" s="24" t="s">
        <v>211</v>
      </c>
      <c r="C4073" s="151">
        <v>10</v>
      </c>
      <c r="D4073" s="46">
        <v>4.87</v>
      </c>
      <c r="E4073" s="442" t="s">
        <v>1782</v>
      </c>
      <c r="F4073" s="46">
        <f t="shared" si="0"/>
        <v>48.7</v>
      </c>
    </row>
    <row r="4074" spans="1:6" ht="15">
      <c r="A4074" s="24" t="s">
        <v>80</v>
      </c>
      <c r="B4074" s="24" t="s">
        <v>1768</v>
      </c>
      <c r="C4074" s="151">
        <v>10</v>
      </c>
      <c r="D4074" s="46">
        <v>4.87</v>
      </c>
      <c r="E4074" s="442" t="s">
        <v>1782</v>
      </c>
      <c r="F4074" s="46">
        <f t="shared" si="0"/>
        <v>48.7</v>
      </c>
    </row>
    <row r="4075" spans="1:6" ht="15">
      <c r="A4075" s="24" t="s">
        <v>80</v>
      </c>
      <c r="B4075" s="24" t="s">
        <v>1085</v>
      </c>
      <c r="C4075" s="151">
        <v>10</v>
      </c>
      <c r="D4075" s="46">
        <v>4.87</v>
      </c>
      <c r="E4075" s="442" t="s">
        <v>1782</v>
      </c>
      <c r="F4075" s="46">
        <f t="shared" si="0"/>
        <v>48.7</v>
      </c>
    </row>
    <row r="4076" spans="1:6" ht="15">
      <c r="A4076" s="24" t="s">
        <v>80</v>
      </c>
      <c r="B4076" s="24" t="s">
        <v>1769</v>
      </c>
      <c r="C4076" s="151">
        <v>10</v>
      </c>
      <c r="D4076" s="46">
        <v>4.87</v>
      </c>
      <c r="E4076" s="442" t="s">
        <v>1782</v>
      </c>
      <c r="F4076" s="46">
        <f t="shared" si="0"/>
        <v>48.7</v>
      </c>
    </row>
    <row r="4077" spans="1:6" ht="15">
      <c r="A4077" s="24" t="s">
        <v>80</v>
      </c>
      <c r="B4077" s="24" t="s">
        <v>205</v>
      </c>
      <c r="C4077" s="151">
        <v>10</v>
      </c>
      <c r="D4077" s="46">
        <v>4.87</v>
      </c>
      <c r="E4077" s="442" t="s">
        <v>1784</v>
      </c>
      <c r="F4077" s="46">
        <f t="shared" si="0"/>
        <v>48.7</v>
      </c>
    </row>
    <row r="4078" spans="1:6" ht="15">
      <c r="A4078" s="15"/>
      <c r="B4078" s="260" t="s">
        <v>1770</v>
      </c>
      <c r="C4078" s="45" t="s">
        <v>1781</v>
      </c>
      <c r="D4078" s="46">
        <v>144</v>
      </c>
      <c r="E4078" s="38"/>
      <c r="F4078" s="46">
        <v>144</v>
      </c>
    </row>
    <row r="4079" spans="1:6" ht="15">
      <c r="A4079" s="15"/>
      <c r="B4079" s="260"/>
      <c r="C4079" s="45"/>
      <c r="D4079" s="46"/>
      <c r="E4079" s="38"/>
      <c r="F4079" s="39"/>
    </row>
    <row r="4080" spans="1:6" ht="15.75">
      <c r="A4080" s="24" t="s">
        <v>1779</v>
      </c>
      <c r="B4080" s="418" t="s">
        <v>1710</v>
      </c>
      <c r="C4080" s="174" t="s">
        <v>54</v>
      </c>
      <c r="D4080" s="413" t="s">
        <v>1055</v>
      </c>
      <c r="E4080" s="38"/>
      <c r="F4080" s="39"/>
    </row>
    <row r="4081" spans="1:6" ht="15">
      <c r="A4081" s="24" t="s">
        <v>738</v>
      </c>
      <c r="B4081" s="24" t="s">
        <v>1768</v>
      </c>
      <c r="C4081" s="151">
        <v>10</v>
      </c>
      <c r="D4081" s="46">
        <v>4.17</v>
      </c>
      <c r="E4081" s="442" t="s">
        <v>1785</v>
      </c>
      <c r="F4081" s="46">
        <f t="shared" ref="F4081:F4086" si="1">D4081*C4081</f>
        <v>41.7</v>
      </c>
    </row>
    <row r="4082" spans="1:6" ht="15">
      <c r="A4082" s="24" t="s">
        <v>738</v>
      </c>
      <c r="B4082" s="24" t="s">
        <v>364</v>
      </c>
      <c r="C4082" s="151">
        <v>10</v>
      </c>
      <c r="D4082" s="46">
        <v>4.17</v>
      </c>
      <c r="E4082" s="442" t="s">
        <v>1782</v>
      </c>
      <c r="F4082" s="46">
        <f t="shared" si="1"/>
        <v>41.7</v>
      </c>
    </row>
    <row r="4083" spans="1:6" ht="15">
      <c r="A4083" s="24" t="s">
        <v>738</v>
      </c>
      <c r="B4083" s="24" t="s">
        <v>1771</v>
      </c>
      <c r="C4083" s="151">
        <v>10</v>
      </c>
      <c r="D4083" s="46">
        <v>4.17</v>
      </c>
      <c r="E4083" s="442" t="s">
        <v>1782</v>
      </c>
      <c r="F4083" s="46">
        <f t="shared" si="1"/>
        <v>41.7</v>
      </c>
    </row>
    <row r="4084" spans="1:6" ht="15">
      <c r="A4084" s="24" t="s">
        <v>738</v>
      </c>
      <c r="B4084" s="24" t="s">
        <v>1772</v>
      </c>
      <c r="C4084" s="151">
        <v>10</v>
      </c>
      <c r="D4084" s="46">
        <v>4.17</v>
      </c>
      <c r="E4084" s="442" t="s">
        <v>1782</v>
      </c>
      <c r="F4084" s="46">
        <f t="shared" si="1"/>
        <v>41.7</v>
      </c>
    </row>
    <row r="4085" spans="1:6" ht="15">
      <c r="A4085" s="24" t="s">
        <v>738</v>
      </c>
      <c r="B4085" s="24" t="s">
        <v>1773</v>
      </c>
      <c r="C4085" s="151">
        <v>10</v>
      </c>
      <c r="D4085" s="46">
        <v>4.17</v>
      </c>
      <c r="E4085" s="442" t="s">
        <v>1782</v>
      </c>
      <c r="F4085" s="46">
        <f t="shared" si="1"/>
        <v>41.7</v>
      </c>
    </row>
    <row r="4086" spans="1:6" ht="15">
      <c r="A4086" s="24" t="s">
        <v>738</v>
      </c>
      <c r="B4086" s="24" t="s">
        <v>1774</v>
      </c>
      <c r="C4086" s="151">
        <v>10</v>
      </c>
      <c r="D4086" s="46">
        <v>4.17</v>
      </c>
      <c r="E4086" s="442" t="s">
        <v>1786</v>
      </c>
      <c r="F4086" s="46">
        <f t="shared" si="1"/>
        <v>41.7</v>
      </c>
    </row>
    <row r="4087" spans="1:6" ht="15">
      <c r="A4087" s="15"/>
      <c r="B4087" s="260" t="s">
        <v>1775</v>
      </c>
      <c r="C4087" s="45" t="s">
        <v>563</v>
      </c>
      <c r="D4087" s="46">
        <v>72</v>
      </c>
      <c r="E4087" s="38"/>
      <c r="F4087" s="46">
        <v>72</v>
      </c>
    </row>
    <row r="4088" spans="1:6" ht="15">
      <c r="A4088" s="15"/>
      <c r="B4088" s="260"/>
      <c r="C4088" s="45"/>
      <c r="D4088" s="46"/>
      <c r="E4088" s="38"/>
      <c r="F4088" s="39"/>
    </row>
    <row r="4089" spans="1:6" ht="15.75">
      <c r="A4089" s="24" t="s">
        <v>1780</v>
      </c>
      <c r="B4089" s="418" t="s">
        <v>1710</v>
      </c>
      <c r="C4089" s="174" t="s">
        <v>54</v>
      </c>
      <c r="D4089" s="413" t="s">
        <v>1055</v>
      </c>
      <c r="E4089" s="38"/>
      <c r="F4089" s="39"/>
    </row>
    <row r="4090" spans="1:6" ht="15">
      <c r="A4090" s="24" t="s">
        <v>157</v>
      </c>
      <c r="B4090" s="44" t="s">
        <v>78</v>
      </c>
      <c r="C4090" s="8">
        <v>5</v>
      </c>
      <c r="D4090" s="46">
        <v>7.95</v>
      </c>
      <c r="E4090" s="38"/>
      <c r="F4090" s="46">
        <f>D4090*C4090</f>
        <v>39.75</v>
      </c>
    </row>
    <row r="4091" spans="1:6" ht="15">
      <c r="A4091" s="24" t="s">
        <v>1776</v>
      </c>
      <c r="B4091" s="44" t="s">
        <v>78</v>
      </c>
      <c r="C4091" s="8">
        <v>5</v>
      </c>
      <c r="D4091" s="46">
        <v>4.49</v>
      </c>
      <c r="E4091" s="38"/>
      <c r="F4091" s="46">
        <f>D4091*C4091</f>
        <v>22.450000000000003</v>
      </c>
    </row>
    <row r="4092" spans="1:6" ht="15">
      <c r="A4092" s="24" t="s">
        <v>1777</v>
      </c>
      <c r="B4092" s="44" t="s">
        <v>78</v>
      </c>
      <c r="C4092" s="8">
        <v>5</v>
      </c>
      <c r="D4092" s="46">
        <v>14.82</v>
      </c>
      <c r="E4092" s="38"/>
      <c r="F4092" s="46">
        <f>D4092*C4092</f>
        <v>74.099999999999994</v>
      </c>
    </row>
    <row r="4093" spans="1:6" ht="15">
      <c r="A4093" s="15"/>
      <c r="B4093" s="44" t="s">
        <v>31</v>
      </c>
      <c r="C4093" s="45">
        <v>1</v>
      </c>
      <c r="D4093" s="46">
        <v>32</v>
      </c>
      <c r="E4093" s="38"/>
      <c r="F4093" s="46">
        <v>32</v>
      </c>
    </row>
    <row r="4095" spans="1:6" ht="15.75">
      <c r="A4095" s="450" t="s">
        <v>1369</v>
      </c>
      <c r="B4095" s="432" t="s">
        <v>1734</v>
      </c>
      <c r="C4095" s="433" t="s">
        <v>1323</v>
      </c>
    </row>
    <row r="4096" spans="1:6" ht="15">
      <c r="A4096" s="147" t="s">
        <v>1787</v>
      </c>
      <c r="B4096" s="34" t="s">
        <v>5268</v>
      </c>
      <c r="C4096" s="434">
        <v>1.27</v>
      </c>
    </row>
    <row r="4097" spans="1:6" ht="15">
      <c r="A4097" s="147" t="s">
        <v>1788</v>
      </c>
      <c r="B4097" s="34" t="s">
        <v>5268</v>
      </c>
      <c r="C4097" s="434">
        <v>1.27</v>
      </c>
    </row>
    <row r="4100" spans="1:6" ht="15.75">
      <c r="A4100" s="450" t="s">
        <v>1369</v>
      </c>
      <c r="B4100" s="432" t="s">
        <v>1734</v>
      </c>
      <c r="C4100" s="433" t="s">
        <v>1323</v>
      </c>
    </row>
    <row r="4101" spans="1:6" ht="15">
      <c r="A4101" s="147" t="s">
        <v>1791</v>
      </c>
      <c r="B4101" s="34" t="s">
        <v>5269</v>
      </c>
      <c r="C4101" s="434">
        <v>0.17</v>
      </c>
    </row>
    <row r="4105" spans="1:6" ht="15.75">
      <c r="A4105" s="24" t="s">
        <v>1796</v>
      </c>
      <c r="B4105" s="418" t="s">
        <v>1710</v>
      </c>
      <c r="C4105" s="174" t="s">
        <v>54</v>
      </c>
      <c r="D4105" s="174" t="s">
        <v>1797</v>
      </c>
      <c r="E4105" s="151"/>
      <c r="F4105" s="153" t="s">
        <v>10</v>
      </c>
    </row>
    <row r="4106" spans="1:6" ht="15">
      <c r="A4106" s="24" t="s">
        <v>1426</v>
      </c>
      <c r="B4106" s="44" t="s">
        <v>78</v>
      </c>
      <c r="C4106" s="67">
        <v>28</v>
      </c>
      <c r="D4106" s="8" t="s">
        <v>1795</v>
      </c>
      <c r="E4106" s="41">
        <v>2</v>
      </c>
      <c r="F4106" s="46">
        <v>1.54</v>
      </c>
    </row>
    <row r="4107" spans="1:6" ht="15">
      <c r="A4107" s="24"/>
      <c r="B4107" s="24" t="s">
        <v>481</v>
      </c>
      <c r="C4107" s="45">
        <v>1</v>
      </c>
      <c r="D4107" s="8"/>
      <c r="E4107" s="41"/>
      <c r="F4107" s="46">
        <v>12</v>
      </c>
    </row>
    <row r="4109" spans="1:6">
      <c r="A4109" t="s">
        <v>1798</v>
      </c>
    </row>
    <row r="4110" spans="1:6" ht="15.75">
      <c r="A4110" s="385" t="s">
        <v>1068</v>
      </c>
      <c r="B4110" s="386" t="s">
        <v>1517</v>
      </c>
      <c r="C4110" s="387" t="s">
        <v>1514</v>
      </c>
      <c r="D4110" s="387" t="s">
        <v>1800</v>
      </c>
      <c r="E4110" s="387" t="s">
        <v>1803</v>
      </c>
    </row>
    <row r="4111" spans="1:6" ht="15">
      <c r="A4111" s="24" t="s">
        <v>313</v>
      </c>
      <c r="B4111" s="44" t="s">
        <v>1799</v>
      </c>
      <c r="C4111" s="112">
        <v>1.21</v>
      </c>
      <c r="D4111" s="112" t="s">
        <v>1037</v>
      </c>
      <c r="E4111" s="112" t="s">
        <v>1804</v>
      </c>
    </row>
    <row r="4112" spans="1:6" ht="15">
      <c r="A4112" s="24" t="s">
        <v>1801</v>
      </c>
      <c r="B4112" s="44" t="s">
        <v>1799</v>
      </c>
      <c r="C4112" s="112">
        <v>1.6</v>
      </c>
      <c r="D4112" s="112" t="s">
        <v>1037</v>
      </c>
      <c r="E4112" s="112" t="s">
        <v>1805</v>
      </c>
    </row>
    <row r="4113" spans="1:12" ht="15">
      <c r="A4113" s="24" t="s">
        <v>1802</v>
      </c>
      <c r="B4113" s="44" t="s">
        <v>1799</v>
      </c>
      <c r="C4113" s="112">
        <v>1.62</v>
      </c>
      <c r="D4113" s="112" t="s">
        <v>1037</v>
      </c>
      <c r="E4113" s="112" t="s">
        <v>1806</v>
      </c>
    </row>
    <row r="4115" spans="1:12" ht="15.75">
      <c r="A4115" s="24" t="s">
        <v>1796</v>
      </c>
      <c r="B4115" s="90" t="s">
        <v>52</v>
      </c>
      <c r="C4115" s="90" t="s">
        <v>128</v>
      </c>
      <c r="D4115" s="90" t="s">
        <v>54</v>
      </c>
      <c r="E4115" s="413" t="s">
        <v>1055</v>
      </c>
    </row>
    <row r="4116" spans="1:12" ht="15">
      <c r="A4116" s="24">
        <v>14552</v>
      </c>
      <c r="B4116" s="26">
        <v>25</v>
      </c>
      <c r="C4116" s="24" t="s">
        <v>1794</v>
      </c>
      <c r="D4116" s="67">
        <v>30</v>
      </c>
      <c r="E4116" s="46">
        <v>1.03</v>
      </c>
    </row>
    <row r="4117" spans="1:12" ht="15">
      <c r="A4117" s="24">
        <v>14552</v>
      </c>
      <c r="B4117" s="26">
        <v>25</v>
      </c>
      <c r="C4117" s="24" t="s">
        <v>431</v>
      </c>
      <c r="D4117" s="67">
        <v>30</v>
      </c>
      <c r="E4117" s="46">
        <v>1.03</v>
      </c>
    </row>
    <row r="4118" spans="1:12" ht="15">
      <c r="A4118" s="24"/>
      <c r="B4118" s="138"/>
      <c r="C4118" s="24" t="s">
        <v>481</v>
      </c>
      <c r="D4118" s="45">
        <v>1</v>
      </c>
      <c r="E4118" s="46">
        <v>12</v>
      </c>
    </row>
    <row r="4119" spans="1:12" ht="15">
      <c r="A4119" s="304"/>
      <c r="B4119" s="305"/>
      <c r="C4119" s="305" t="s">
        <v>1227</v>
      </c>
      <c r="D4119" s="306"/>
      <c r="E4119" s="315">
        <v>0</v>
      </c>
    </row>
    <row r="4121" spans="1:12" ht="15.75">
      <c r="A4121" s="24" t="s">
        <v>1796</v>
      </c>
      <c r="B4121" s="418" t="s">
        <v>1710</v>
      </c>
      <c r="C4121" s="174" t="s">
        <v>54</v>
      </c>
      <c r="D4121" s="413" t="s">
        <v>1055</v>
      </c>
    </row>
    <row r="4122" spans="1:12" ht="15">
      <c r="A4122" s="24" t="s">
        <v>1426</v>
      </c>
      <c r="B4122" s="44" t="s">
        <v>78</v>
      </c>
      <c r="C4122" s="67">
        <v>28</v>
      </c>
      <c r="D4122" s="46">
        <v>1.54</v>
      </c>
    </row>
    <row r="4123" spans="1:12" ht="15">
      <c r="A4123" s="24"/>
      <c r="B4123" s="24" t="s">
        <v>481</v>
      </c>
      <c r="C4123" s="45">
        <v>1</v>
      </c>
      <c r="D4123" s="46">
        <v>12</v>
      </c>
    </row>
    <row r="4126" spans="1:12" ht="15.75">
      <c r="A4126" s="24" t="s">
        <v>1796</v>
      </c>
      <c r="B4126" s="418" t="s">
        <v>1710</v>
      </c>
      <c r="C4126" s="90" t="s">
        <v>54</v>
      </c>
      <c r="D4126" s="90" t="s">
        <v>1809</v>
      </c>
    </row>
    <row r="4127" spans="1:12" ht="15">
      <c r="A4127" s="24" t="s">
        <v>313</v>
      </c>
      <c r="B4127" s="44" t="s">
        <v>78</v>
      </c>
      <c r="C4127" s="8">
        <v>14</v>
      </c>
      <c r="D4127" s="15">
        <v>65</v>
      </c>
      <c r="E4127" s="38"/>
      <c r="F4127" s="239"/>
      <c r="G4127" s="213"/>
      <c r="H4127" s="213"/>
      <c r="I4127" s="25">
        <f>D4127*0.88</f>
        <v>57.2</v>
      </c>
      <c r="J4127" s="46">
        <v>1.06</v>
      </c>
      <c r="K4127" s="346"/>
      <c r="L4127" s="7">
        <v>65</v>
      </c>
    </row>
    <row r="4128" spans="1:12" ht="15">
      <c r="A4128" s="24" t="s">
        <v>1801</v>
      </c>
      <c r="B4128" s="44" t="s">
        <v>78</v>
      </c>
      <c r="C4128" s="8">
        <v>14</v>
      </c>
      <c r="D4128" s="15">
        <v>86</v>
      </c>
      <c r="E4128" s="38"/>
      <c r="F4128" s="239"/>
      <c r="G4128" s="213"/>
      <c r="H4128" s="213"/>
      <c r="I4128" s="25">
        <f>D4128*0.88</f>
        <v>75.680000000000007</v>
      </c>
      <c r="J4128" s="46">
        <v>1.41</v>
      </c>
      <c r="K4128" s="346"/>
      <c r="L4128" s="7">
        <v>86</v>
      </c>
    </row>
    <row r="4129" spans="1:12" ht="15">
      <c r="A4129" s="24" t="s">
        <v>1802</v>
      </c>
      <c r="B4129" s="44" t="s">
        <v>78</v>
      </c>
      <c r="C4129" s="8">
        <v>14</v>
      </c>
      <c r="D4129" s="15">
        <v>87</v>
      </c>
      <c r="E4129" s="38"/>
      <c r="F4129" s="239"/>
      <c r="G4129" s="213"/>
      <c r="H4129" s="213"/>
      <c r="I4129" s="25">
        <f>D4129*0.88</f>
        <v>76.56</v>
      </c>
      <c r="J4129" s="46">
        <v>1.43</v>
      </c>
      <c r="K4129" s="346"/>
      <c r="L4129" s="7">
        <v>87</v>
      </c>
    </row>
    <row r="4131" spans="1:12" ht="15.75">
      <c r="A4131" s="1614" t="s">
        <v>1369</v>
      </c>
      <c r="B4131" s="443" t="s">
        <v>377</v>
      </c>
      <c r="C4131" s="444" t="s">
        <v>2</v>
      </c>
      <c r="D4131" s="445" t="s">
        <v>1734</v>
      </c>
      <c r="E4131" s="446" t="s">
        <v>1055</v>
      </c>
      <c r="F4131" s="448" t="s">
        <v>1817</v>
      </c>
    </row>
    <row r="4132" spans="1:12" ht="15">
      <c r="A4132" s="147" t="s">
        <v>1811</v>
      </c>
      <c r="B4132" s="16">
        <v>4</v>
      </c>
      <c r="C4132" s="447">
        <v>50</v>
      </c>
      <c r="D4132" s="34" t="s">
        <v>1206</v>
      </c>
      <c r="E4132" s="434">
        <v>0.33</v>
      </c>
      <c r="F4132" s="112" t="s">
        <v>1818</v>
      </c>
    </row>
    <row r="4133" spans="1:12" ht="15">
      <c r="A4133" s="147" t="s">
        <v>1811</v>
      </c>
      <c r="B4133" s="16">
        <v>6</v>
      </c>
      <c r="C4133" s="447">
        <v>50</v>
      </c>
      <c r="D4133" s="34" t="s">
        <v>1812</v>
      </c>
      <c r="E4133" s="434">
        <v>0.38</v>
      </c>
      <c r="F4133" s="112" t="s">
        <v>1819</v>
      </c>
    </row>
    <row r="4135" spans="1:12" ht="15.75">
      <c r="A4135" s="385" t="s">
        <v>1068</v>
      </c>
      <c r="B4135" s="386" t="s">
        <v>1517</v>
      </c>
      <c r="C4135" s="387" t="s">
        <v>1514</v>
      </c>
      <c r="D4135" s="387" t="s">
        <v>1800</v>
      </c>
      <c r="E4135" s="387" t="s">
        <v>1814</v>
      </c>
    </row>
    <row r="4136" spans="1:12" ht="15">
      <c r="A4136" s="24" t="s">
        <v>1813</v>
      </c>
      <c r="B4136" s="44" t="s">
        <v>1799</v>
      </c>
      <c r="C4136" s="112">
        <v>1.36</v>
      </c>
      <c r="D4136" s="112" t="s">
        <v>1037</v>
      </c>
      <c r="E4136" s="112" t="s">
        <v>1815</v>
      </c>
    </row>
    <row r="4137" spans="1:12" ht="15">
      <c r="A4137" s="24" t="s">
        <v>1529</v>
      </c>
      <c r="B4137" s="44" t="s">
        <v>1799</v>
      </c>
      <c r="C4137" s="112">
        <v>1.8</v>
      </c>
      <c r="D4137" s="112" t="s">
        <v>1037</v>
      </c>
      <c r="E4137" s="112" t="s">
        <v>1816</v>
      </c>
    </row>
    <row r="4139" spans="1:12" ht="15.75">
      <c r="A4139" s="90" t="s">
        <v>105</v>
      </c>
      <c r="B4139" s="24" t="s">
        <v>1796</v>
      </c>
      <c r="C4139" s="418" t="s">
        <v>1710</v>
      </c>
      <c r="D4139" s="90" t="s">
        <v>54</v>
      </c>
      <c r="E4139" s="413" t="s">
        <v>1055</v>
      </c>
    </row>
    <row r="4140" spans="1:12" ht="15">
      <c r="A4140" s="33" t="s">
        <v>1808</v>
      </c>
      <c r="B4140" s="24" t="s">
        <v>313</v>
      </c>
      <c r="C4140" s="44" t="s">
        <v>78</v>
      </c>
      <c r="D4140" s="67">
        <v>14</v>
      </c>
      <c r="E4140" s="46">
        <v>1.21</v>
      </c>
    </row>
    <row r="4141" spans="1:12" ht="15">
      <c r="A4141" s="33" t="s">
        <v>1808</v>
      </c>
      <c r="B4141" s="24" t="s">
        <v>1801</v>
      </c>
      <c r="C4141" s="44" t="s">
        <v>78</v>
      </c>
      <c r="D4141" s="67">
        <v>14</v>
      </c>
      <c r="E4141" s="46">
        <v>1.6</v>
      </c>
    </row>
    <row r="4142" spans="1:12" ht="15">
      <c r="A4142" s="33" t="s">
        <v>1808</v>
      </c>
      <c r="B4142" s="24" t="s">
        <v>1802</v>
      </c>
      <c r="C4142" s="44" t="s">
        <v>78</v>
      </c>
      <c r="D4142" s="67">
        <v>14</v>
      </c>
      <c r="E4142" s="46">
        <v>1.62</v>
      </c>
    </row>
    <row r="4143" spans="1:12" ht="15">
      <c r="A4143" s="33" t="s">
        <v>1808</v>
      </c>
      <c r="B4143" s="24"/>
      <c r="C4143" s="24" t="s">
        <v>481</v>
      </c>
      <c r="D4143" s="45">
        <v>1</v>
      </c>
      <c r="E4143" s="46">
        <v>12</v>
      </c>
    </row>
    <row r="4146" spans="1:4" ht="15.75">
      <c r="A4146" s="24" t="s">
        <v>1796</v>
      </c>
      <c r="B4146" s="418" t="s">
        <v>1710</v>
      </c>
      <c r="C4146" s="90" t="s">
        <v>54</v>
      </c>
      <c r="D4146" s="174" t="s">
        <v>1797</v>
      </c>
    </row>
    <row r="4147" spans="1:4" ht="15">
      <c r="A4147" s="24" t="s">
        <v>80</v>
      </c>
      <c r="B4147" s="24" t="s">
        <v>349</v>
      </c>
      <c r="C4147" s="151">
        <v>10</v>
      </c>
      <c r="D4147" s="207" t="s">
        <v>1822</v>
      </c>
    </row>
    <row r="4148" spans="1:4" ht="15">
      <c r="A4148" s="24" t="s">
        <v>80</v>
      </c>
      <c r="B4148" s="24" t="s">
        <v>334</v>
      </c>
      <c r="C4148" s="151">
        <v>10</v>
      </c>
      <c r="D4148" s="207" t="s">
        <v>1822</v>
      </c>
    </row>
    <row r="4149" spans="1:4" ht="15">
      <c r="A4149" s="24" t="s">
        <v>80</v>
      </c>
      <c r="B4149" s="24" t="s">
        <v>1766</v>
      </c>
      <c r="C4149" s="151">
        <v>10</v>
      </c>
      <c r="D4149" s="207" t="s">
        <v>1822</v>
      </c>
    </row>
    <row r="4150" spans="1:4" ht="15">
      <c r="A4150" s="24" t="s">
        <v>80</v>
      </c>
      <c r="B4150" s="24" t="s">
        <v>204</v>
      </c>
      <c r="C4150" s="151">
        <v>12</v>
      </c>
      <c r="D4150" s="207" t="s">
        <v>1822</v>
      </c>
    </row>
    <row r="4151" spans="1:4" ht="15">
      <c r="A4151" s="24" t="s">
        <v>80</v>
      </c>
      <c r="B4151" s="24" t="s">
        <v>206</v>
      </c>
      <c r="C4151" s="151">
        <v>10</v>
      </c>
      <c r="D4151" s="207" t="s">
        <v>1822</v>
      </c>
    </row>
    <row r="4152" spans="1:4" ht="15">
      <c r="A4152" s="24" t="s">
        <v>80</v>
      </c>
      <c r="B4152" s="24" t="s">
        <v>1767</v>
      </c>
      <c r="C4152" s="151">
        <v>10</v>
      </c>
      <c r="D4152" s="207" t="s">
        <v>1822</v>
      </c>
    </row>
    <row r="4153" spans="1:4" ht="15">
      <c r="A4153" s="24" t="s">
        <v>80</v>
      </c>
      <c r="B4153" s="24" t="s">
        <v>160</v>
      </c>
      <c r="C4153" s="151">
        <v>10</v>
      </c>
      <c r="D4153" s="207" t="s">
        <v>1822</v>
      </c>
    </row>
    <row r="4154" spans="1:4" ht="15">
      <c r="A4154" s="24" t="s">
        <v>80</v>
      </c>
      <c r="B4154" s="24" t="s">
        <v>211</v>
      </c>
      <c r="C4154" s="151">
        <v>10</v>
      </c>
      <c r="D4154" s="207" t="s">
        <v>1822</v>
      </c>
    </row>
    <row r="4155" spans="1:4" ht="15">
      <c r="A4155" s="24" t="s">
        <v>80</v>
      </c>
      <c r="B4155" s="24" t="s">
        <v>1768</v>
      </c>
      <c r="C4155" s="151">
        <v>10</v>
      </c>
      <c r="D4155" s="207" t="s">
        <v>1822</v>
      </c>
    </row>
    <row r="4156" spans="1:4" ht="15">
      <c r="A4156" s="24" t="s">
        <v>80</v>
      </c>
      <c r="B4156" s="24" t="s">
        <v>1085</v>
      </c>
      <c r="C4156" s="151">
        <v>10</v>
      </c>
      <c r="D4156" s="207" t="s">
        <v>1822</v>
      </c>
    </row>
    <row r="4157" spans="1:4" ht="15">
      <c r="A4157" s="24" t="s">
        <v>80</v>
      </c>
      <c r="B4157" s="24" t="s">
        <v>1769</v>
      </c>
      <c r="C4157" s="151">
        <v>10</v>
      </c>
      <c r="D4157" s="207" t="s">
        <v>1822</v>
      </c>
    </row>
    <row r="4158" spans="1:4" ht="15">
      <c r="A4158" s="24" t="s">
        <v>80</v>
      </c>
      <c r="B4158" s="24" t="s">
        <v>205</v>
      </c>
      <c r="C4158" s="151">
        <v>10</v>
      </c>
      <c r="D4158" s="207" t="s">
        <v>1822</v>
      </c>
    </row>
    <row r="4159" spans="1:4" ht="15">
      <c r="A4159" s="15"/>
      <c r="B4159" s="260" t="s">
        <v>1770</v>
      </c>
      <c r="C4159" s="45">
        <v>11</v>
      </c>
      <c r="D4159" s="207" t="s">
        <v>1824</v>
      </c>
    </row>
    <row r="4160" spans="1:4" ht="15">
      <c r="A4160" s="24" t="s">
        <v>738</v>
      </c>
      <c r="B4160" s="24" t="s">
        <v>364</v>
      </c>
      <c r="C4160" s="151">
        <v>10</v>
      </c>
      <c r="D4160" s="207" t="s">
        <v>1823</v>
      </c>
    </row>
    <row r="4161" spans="1:12" ht="15">
      <c r="A4161" s="24" t="s">
        <v>738</v>
      </c>
      <c r="B4161" s="24" t="s">
        <v>1771</v>
      </c>
      <c r="C4161" s="151">
        <v>10</v>
      </c>
      <c r="D4161" s="207" t="s">
        <v>1823</v>
      </c>
    </row>
    <row r="4162" spans="1:12" ht="15">
      <c r="A4162" s="24" t="s">
        <v>738</v>
      </c>
      <c r="B4162" s="24" t="s">
        <v>1772</v>
      </c>
      <c r="C4162" s="151">
        <v>10</v>
      </c>
      <c r="D4162" s="207" t="s">
        <v>1823</v>
      </c>
    </row>
    <row r="4163" spans="1:12" ht="15">
      <c r="A4163" s="24" t="s">
        <v>738</v>
      </c>
      <c r="B4163" s="24" t="s">
        <v>1773</v>
      </c>
      <c r="C4163" s="151">
        <v>10</v>
      </c>
      <c r="D4163" s="207" t="s">
        <v>1823</v>
      </c>
    </row>
    <row r="4164" spans="1:12" ht="15">
      <c r="A4164" s="24" t="s">
        <v>738</v>
      </c>
      <c r="B4164" s="24" t="s">
        <v>1774</v>
      </c>
      <c r="C4164" s="151">
        <v>10</v>
      </c>
      <c r="D4164" s="207" t="s">
        <v>1823</v>
      </c>
    </row>
    <row r="4165" spans="1:12" ht="15">
      <c r="A4165" s="15"/>
      <c r="B4165" s="260" t="s">
        <v>1775</v>
      </c>
      <c r="C4165" s="45">
        <v>5</v>
      </c>
      <c r="D4165" s="207" t="s">
        <v>1824</v>
      </c>
    </row>
    <row r="4169" spans="1:12" ht="15.75">
      <c r="A4169" s="24" t="s">
        <v>1796</v>
      </c>
      <c r="B4169" s="418" t="s">
        <v>1710</v>
      </c>
      <c r="C4169" s="90" t="s">
        <v>54</v>
      </c>
      <c r="D4169" s="174" t="s">
        <v>1797</v>
      </c>
      <c r="E4169" s="38"/>
      <c r="F4169" s="39"/>
      <c r="G4169" s="213"/>
      <c r="H4169" s="213"/>
      <c r="I4169" s="6"/>
      <c r="J4169" s="112"/>
      <c r="K4169" s="23"/>
      <c r="L4169" s="7"/>
    </row>
    <row r="4170" spans="1:12" ht="15">
      <c r="A4170" s="24" t="s">
        <v>157</v>
      </c>
      <c r="B4170" s="44" t="s">
        <v>78</v>
      </c>
      <c r="C4170" s="8">
        <v>5</v>
      </c>
      <c r="D4170" s="15">
        <v>429</v>
      </c>
      <c r="E4170" s="38"/>
      <c r="F4170" s="39"/>
      <c r="G4170" s="213"/>
      <c r="H4170" s="213"/>
      <c r="I4170" s="25">
        <f>D4170*0.88</f>
        <v>377.52</v>
      </c>
      <c r="J4170" s="46">
        <v>7</v>
      </c>
      <c r="K4170" s="346"/>
      <c r="L4170" s="7">
        <v>429</v>
      </c>
    </row>
    <row r="4171" spans="1:12" ht="15">
      <c r="A4171" s="24" t="s">
        <v>1776</v>
      </c>
      <c r="B4171" s="44" t="s">
        <v>78</v>
      </c>
      <c r="C4171" s="8">
        <v>5</v>
      </c>
      <c r="D4171" s="15">
        <v>242</v>
      </c>
      <c r="E4171" s="38"/>
      <c r="F4171" s="39"/>
      <c r="G4171" s="213"/>
      <c r="H4171" s="213"/>
      <c r="I4171" s="25">
        <f>D4171*0.88</f>
        <v>212.96</v>
      </c>
      <c r="J4171" s="46">
        <v>3.95</v>
      </c>
      <c r="K4171" s="346"/>
      <c r="L4171" s="7">
        <v>242</v>
      </c>
    </row>
    <row r="4172" spans="1:12" ht="15">
      <c r="A4172" s="24" t="s">
        <v>1777</v>
      </c>
      <c r="B4172" s="44" t="s">
        <v>78</v>
      </c>
      <c r="C4172" s="8">
        <v>5</v>
      </c>
      <c r="D4172" s="15">
        <v>800</v>
      </c>
      <c r="E4172" s="38"/>
      <c r="F4172" s="39"/>
      <c r="G4172" s="213"/>
      <c r="H4172" s="213"/>
      <c r="I4172" s="25">
        <f>D4172*0.88</f>
        <v>704</v>
      </c>
      <c r="J4172" s="46">
        <v>13.04</v>
      </c>
      <c r="K4172" s="346"/>
      <c r="L4172" s="7">
        <v>800</v>
      </c>
    </row>
    <row r="4174" spans="1:12" ht="15.75">
      <c r="A4174" s="90" t="s">
        <v>105</v>
      </c>
      <c r="B4174" s="24" t="s">
        <v>1796</v>
      </c>
      <c r="C4174" s="90" t="s">
        <v>52</v>
      </c>
      <c r="D4174" s="418" t="s">
        <v>1710</v>
      </c>
      <c r="E4174" s="90" t="s">
        <v>54</v>
      </c>
      <c r="F4174" s="413" t="s">
        <v>1055</v>
      </c>
      <c r="G4174" s="17" t="s">
        <v>134</v>
      </c>
      <c r="H4174" s="271"/>
    </row>
    <row r="4175" spans="1:12" ht="15">
      <c r="A4175" s="33" t="s">
        <v>1820</v>
      </c>
      <c r="B4175" s="24">
        <v>5265</v>
      </c>
      <c r="C4175" s="26">
        <v>4</v>
      </c>
      <c r="D4175" s="24" t="s">
        <v>353</v>
      </c>
      <c r="E4175" s="151">
        <v>50</v>
      </c>
      <c r="F4175" s="46">
        <v>0.33</v>
      </c>
    </row>
    <row r="4176" spans="1:12" ht="15">
      <c r="A4176" s="33" t="s">
        <v>1820</v>
      </c>
      <c r="B4176" s="24">
        <v>5265</v>
      </c>
      <c r="C4176" s="26">
        <v>6</v>
      </c>
      <c r="D4176" s="24" t="s">
        <v>353</v>
      </c>
      <c r="E4176" s="151">
        <v>50</v>
      </c>
      <c r="F4176" s="46">
        <v>0.38</v>
      </c>
    </row>
    <row r="4177" spans="1:8" ht="15">
      <c r="A4177" s="33" t="s">
        <v>1820</v>
      </c>
      <c r="B4177" s="24"/>
      <c r="C4177" s="138"/>
      <c r="D4177" s="24" t="s">
        <v>481</v>
      </c>
      <c r="E4177" s="45">
        <v>1</v>
      </c>
      <c r="F4177" s="46">
        <v>12</v>
      </c>
    </row>
    <row r="4180" spans="1:8" ht="15.75">
      <c r="A4180" s="418" t="s">
        <v>106</v>
      </c>
      <c r="B4180" s="418" t="s">
        <v>128</v>
      </c>
      <c r="C4180" s="90" t="s">
        <v>1186</v>
      </c>
      <c r="D4180" s="90" t="s">
        <v>1652</v>
      </c>
      <c r="E4180" s="174" t="s">
        <v>1653</v>
      </c>
      <c r="F4180" s="90" t="s">
        <v>1825</v>
      </c>
    </row>
    <row r="4181" spans="1:8" ht="15">
      <c r="A4181" s="24" t="s">
        <v>1215</v>
      </c>
      <c r="B4181" s="44" t="s">
        <v>78</v>
      </c>
      <c r="C4181" s="8">
        <v>14</v>
      </c>
      <c r="D4181" s="41">
        <v>4</v>
      </c>
      <c r="E4181" s="67">
        <v>56</v>
      </c>
      <c r="F4181" s="46">
        <v>2.21</v>
      </c>
    </row>
    <row r="4182" spans="1:8" ht="15">
      <c r="A4182" s="24"/>
      <c r="B4182" s="24" t="s">
        <v>481</v>
      </c>
      <c r="C4182" s="8"/>
      <c r="D4182" s="45">
        <v>1</v>
      </c>
      <c r="E4182" s="45"/>
      <c r="F4182" s="46">
        <v>12</v>
      </c>
    </row>
    <row r="4185" spans="1:8" ht="15.75">
      <c r="A4185" s="20" t="s">
        <v>1832</v>
      </c>
      <c r="B4185" s="90" t="s">
        <v>52</v>
      </c>
      <c r="C4185" s="418" t="s">
        <v>1710</v>
      </c>
      <c r="D4185" s="90" t="s">
        <v>1186</v>
      </c>
      <c r="E4185" s="90" t="s">
        <v>1652</v>
      </c>
      <c r="F4185" s="174" t="s">
        <v>1653</v>
      </c>
      <c r="G4185" s="90" t="s">
        <v>1825</v>
      </c>
      <c r="H4185" s="140"/>
    </row>
    <row r="4186" spans="1:8" ht="15">
      <c r="A4186" s="24">
        <v>3717</v>
      </c>
      <c r="B4186" s="26">
        <v>19</v>
      </c>
      <c r="C4186" s="24" t="s">
        <v>1830</v>
      </c>
      <c r="D4186" s="151">
        <v>30</v>
      </c>
      <c r="E4186" s="152">
        <v>3</v>
      </c>
      <c r="F4186" s="67">
        <v>90</v>
      </c>
      <c r="G4186" s="46">
        <v>0.44</v>
      </c>
      <c r="H4186" s="180"/>
    </row>
    <row r="4187" spans="1:8" ht="15.75">
      <c r="A4187" s="20" t="s">
        <v>1833</v>
      </c>
      <c r="B4187" s="26"/>
      <c r="C4187" s="24"/>
      <c r="D4187" s="45"/>
      <c r="E4187" s="68"/>
      <c r="F4187" s="67"/>
      <c r="G4187" s="17"/>
      <c r="H4187" s="271"/>
    </row>
    <row r="4188" spans="1:8" ht="15">
      <c r="A4188" s="24">
        <v>3705</v>
      </c>
      <c r="B4188" s="26">
        <v>19</v>
      </c>
      <c r="C4188" s="24" t="s">
        <v>1831</v>
      </c>
      <c r="D4188" s="151">
        <v>30</v>
      </c>
      <c r="E4188" s="152">
        <v>7</v>
      </c>
      <c r="F4188" s="67">
        <v>210</v>
      </c>
      <c r="G4188" s="46">
        <v>0.47</v>
      </c>
      <c r="H4188" s="180"/>
    </row>
    <row r="4189" spans="1:8" ht="15">
      <c r="A4189" s="24"/>
      <c r="B4189" s="138"/>
      <c r="C4189" s="24" t="s">
        <v>481</v>
      </c>
      <c r="D4189" s="8"/>
      <c r="E4189" s="45">
        <v>1</v>
      </c>
      <c r="F4189" s="45"/>
      <c r="G4189" s="46">
        <v>12</v>
      </c>
      <c r="H4189" s="180"/>
    </row>
    <row r="4191" spans="1:8" ht="15.75">
      <c r="A4191" s="450" t="s">
        <v>1369</v>
      </c>
      <c r="B4191" s="450" t="s">
        <v>1835</v>
      </c>
      <c r="C4191" s="432" t="s">
        <v>1734</v>
      </c>
      <c r="D4191" s="433" t="s">
        <v>1323</v>
      </c>
    </row>
    <row r="4192" spans="1:8" ht="15">
      <c r="A4192" s="147" t="s">
        <v>1834</v>
      </c>
      <c r="B4192" s="147" t="s">
        <v>1836</v>
      </c>
      <c r="C4192" s="34" t="s">
        <v>5266</v>
      </c>
      <c r="D4192" s="434">
        <v>0.84</v>
      </c>
    </row>
    <row r="4195" spans="1:10" ht="15.75">
      <c r="A4195" s="20" t="s">
        <v>1832</v>
      </c>
      <c r="B4195" s="90" t="s">
        <v>52</v>
      </c>
      <c r="C4195" s="418" t="s">
        <v>1710</v>
      </c>
      <c r="D4195" s="90" t="s">
        <v>1186</v>
      </c>
      <c r="E4195" s="90" t="s">
        <v>1652</v>
      </c>
      <c r="F4195" s="174" t="s">
        <v>1653</v>
      </c>
    </row>
    <row r="4196" spans="1:10" ht="15">
      <c r="A4196" s="24">
        <v>3717</v>
      </c>
      <c r="B4196" s="26">
        <v>19</v>
      </c>
      <c r="C4196" s="24" t="s">
        <v>1830</v>
      </c>
      <c r="D4196" s="151">
        <v>30</v>
      </c>
      <c r="E4196" s="152">
        <v>3</v>
      </c>
      <c r="F4196" s="67">
        <v>90</v>
      </c>
    </row>
    <row r="4197" spans="1:10" ht="15.75">
      <c r="A4197" s="20" t="s">
        <v>1833</v>
      </c>
      <c r="B4197" s="26"/>
      <c r="C4197" s="24"/>
      <c r="D4197" s="45"/>
      <c r="E4197" s="68"/>
      <c r="F4197" s="67"/>
    </row>
    <row r="4198" spans="1:10" ht="15">
      <c r="A4198" s="24">
        <v>3705</v>
      </c>
      <c r="B4198" s="26">
        <v>19</v>
      </c>
      <c r="C4198" s="24" t="s">
        <v>1831</v>
      </c>
      <c r="D4198" s="151">
        <v>30</v>
      </c>
      <c r="E4198" s="152">
        <v>7</v>
      </c>
      <c r="F4198" s="67">
        <v>210</v>
      </c>
    </row>
    <row r="4201" spans="1:10" ht="15.75">
      <c r="A4201" s="418" t="s">
        <v>106</v>
      </c>
      <c r="B4201" s="90" t="s">
        <v>52</v>
      </c>
      <c r="C4201" s="418" t="s">
        <v>1710</v>
      </c>
      <c r="D4201" s="418" t="s">
        <v>54</v>
      </c>
      <c r="E4201" s="90" t="s">
        <v>1825</v>
      </c>
    </row>
    <row r="4202" spans="1:10" ht="15">
      <c r="A4202" s="24" t="s">
        <v>1834</v>
      </c>
      <c r="B4202" s="26">
        <v>5</v>
      </c>
      <c r="C4202" s="24" t="s">
        <v>1840</v>
      </c>
      <c r="D4202" s="67">
        <v>30</v>
      </c>
      <c r="E4202" s="25">
        <v>0.84</v>
      </c>
    </row>
    <row r="4203" spans="1:10" ht="15">
      <c r="A4203" s="24"/>
      <c r="B4203" s="138"/>
      <c r="C4203" s="24" t="s">
        <v>481</v>
      </c>
      <c r="D4203" s="45">
        <v>1</v>
      </c>
      <c r="E4203" s="46">
        <v>12</v>
      </c>
    </row>
    <row r="4204" spans="1:10" ht="15">
      <c r="A4204" s="418"/>
    </row>
    <row r="4205" spans="1:10" ht="15.75">
      <c r="A4205" s="418" t="s">
        <v>105</v>
      </c>
      <c r="B4205" s="418" t="s">
        <v>106</v>
      </c>
      <c r="C4205" s="90" t="s">
        <v>52</v>
      </c>
      <c r="D4205" s="418" t="s">
        <v>1710</v>
      </c>
      <c r="E4205" s="90" t="s">
        <v>1186</v>
      </c>
      <c r="F4205" s="90" t="s">
        <v>1652</v>
      </c>
      <c r="G4205" s="174" t="s">
        <v>1653</v>
      </c>
      <c r="H4205" s="174"/>
      <c r="I4205" s="90" t="s">
        <v>1825</v>
      </c>
      <c r="J4205" s="90" t="s">
        <v>151</v>
      </c>
    </row>
    <row r="4206" spans="1:10" ht="15">
      <c r="A4206" s="33" t="s">
        <v>1842</v>
      </c>
      <c r="B4206" s="24">
        <v>5291</v>
      </c>
      <c r="C4206" s="26">
        <v>8</v>
      </c>
      <c r="D4206" s="24" t="s">
        <v>29</v>
      </c>
      <c r="E4206" s="67">
        <v>50</v>
      </c>
      <c r="F4206" s="68">
        <v>10</v>
      </c>
      <c r="G4206" s="67">
        <v>500</v>
      </c>
      <c r="H4206" s="67"/>
      <c r="I4206" s="46">
        <v>0.63</v>
      </c>
      <c r="J4206" s="452" t="s">
        <v>771</v>
      </c>
    </row>
    <row r="4207" spans="1:10" ht="15">
      <c r="A4207" s="33" t="s">
        <v>1843</v>
      </c>
      <c r="B4207" s="24">
        <v>5291</v>
      </c>
      <c r="C4207" s="26">
        <v>8</v>
      </c>
      <c r="D4207" s="24" t="s">
        <v>499</v>
      </c>
      <c r="E4207" s="67">
        <v>50</v>
      </c>
      <c r="F4207" s="68">
        <v>16</v>
      </c>
      <c r="G4207" s="67">
        <v>800</v>
      </c>
      <c r="H4207" s="67"/>
      <c r="I4207" s="46">
        <v>0.63</v>
      </c>
      <c r="J4207" s="452" t="s">
        <v>1844</v>
      </c>
    </row>
    <row r="4211" spans="1:5" ht="31.5">
      <c r="A4211" s="450" t="s">
        <v>1369</v>
      </c>
      <c r="B4211" s="559" t="s">
        <v>377</v>
      </c>
      <c r="C4211" s="560" t="s">
        <v>2</v>
      </c>
      <c r="D4211" s="432" t="s">
        <v>1734</v>
      </c>
      <c r="E4211" s="433" t="s">
        <v>3117</v>
      </c>
    </row>
    <row r="4212" spans="1:5" ht="15">
      <c r="A4212" s="147" t="s">
        <v>20</v>
      </c>
      <c r="B4212" s="26">
        <v>4</v>
      </c>
      <c r="C4212" s="148">
        <v>30</v>
      </c>
      <c r="D4212" s="34" t="s">
        <v>1812</v>
      </c>
      <c r="E4212" s="434">
        <v>0.28000000000000003</v>
      </c>
    </row>
    <row r="4213" spans="1:5" ht="15">
      <c r="A4213" s="147" t="s">
        <v>20</v>
      </c>
      <c r="B4213" s="26">
        <v>6</v>
      </c>
      <c r="C4213" s="148">
        <v>30</v>
      </c>
      <c r="D4213" s="34" t="s">
        <v>1812</v>
      </c>
      <c r="E4213" s="434">
        <v>0.29000000000000004</v>
      </c>
    </row>
    <row r="4214" spans="1:5" ht="15">
      <c r="A4214" s="147" t="s">
        <v>20</v>
      </c>
      <c r="B4214" s="26">
        <v>9</v>
      </c>
      <c r="C4214" s="148">
        <v>30</v>
      </c>
      <c r="D4214" s="34" t="s">
        <v>1812</v>
      </c>
      <c r="E4214" s="434">
        <v>0.3</v>
      </c>
    </row>
    <row r="4215" spans="1:5" ht="15">
      <c r="A4215" s="147" t="s">
        <v>20</v>
      </c>
      <c r="B4215" s="26">
        <v>12</v>
      </c>
      <c r="C4215" s="148">
        <v>30</v>
      </c>
      <c r="D4215" s="34" t="s">
        <v>1812</v>
      </c>
      <c r="E4215" s="434">
        <v>0.35000000000000003</v>
      </c>
    </row>
    <row r="4216" spans="1:5" ht="15">
      <c r="A4216" s="147" t="s">
        <v>20</v>
      </c>
      <c r="B4216" s="26">
        <v>15</v>
      </c>
      <c r="C4216" s="148">
        <v>30</v>
      </c>
      <c r="D4216" s="34" t="s">
        <v>1812</v>
      </c>
      <c r="E4216" s="434">
        <v>0.4</v>
      </c>
    </row>
    <row r="4217" spans="1:5" ht="15">
      <c r="A4217" s="147" t="s">
        <v>20</v>
      </c>
      <c r="B4217" s="26">
        <v>19</v>
      </c>
      <c r="C4217" s="148">
        <v>30</v>
      </c>
      <c r="D4217" s="34" t="s">
        <v>1812</v>
      </c>
      <c r="E4217" s="434">
        <v>0.47000000000000003</v>
      </c>
    </row>
    <row r="4218" spans="1:5" ht="15">
      <c r="A4218" s="147" t="s">
        <v>20</v>
      </c>
      <c r="B4218" s="26">
        <v>25</v>
      </c>
      <c r="C4218" s="148">
        <v>30</v>
      </c>
      <c r="D4218" s="34" t="s">
        <v>1812</v>
      </c>
      <c r="E4218" s="434">
        <v>0.6</v>
      </c>
    </row>
    <row r="4219" spans="1:5" ht="15">
      <c r="A4219" s="147" t="s">
        <v>20</v>
      </c>
      <c r="B4219" s="26">
        <v>32</v>
      </c>
      <c r="C4219" s="148">
        <v>30</v>
      </c>
      <c r="D4219" s="34" t="s">
        <v>1812</v>
      </c>
      <c r="E4219" s="434">
        <v>0.78</v>
      </c>
    </row>
    <row r="4220" spans="1:5" ht="15">
      <c r="A4220" s="147" t="s">
        <v>20</v>
      </c>
      <c r="B4220" s="26">
        <v>38</v>
      </c>
      <c r="C4220" s="148">
        <v>30</v>
      </c>
      <c r="D4220" s="34" t="s">
        <v>1812</v>
      </c>
      <c r="E4220" s="434">
        <v>0.89</v>
      </c>
    </row>
    <row r="4221" spans="1:5" ht="15">
      <c r="A4221" s="147" t="s">
        <v>20</v>
      </c>
      <c r="B4221" s="26">
        <v>50</v>
      </c>
      <c r="C4221" s="148">
        <v>30</v>
      </c>
      <c r="D4221" s="34" t="s">
        <v>1812</v>
      </c>
      <c r="E4221" s="434">
        <v>1.66</v>
      </c>
    </row>
    <row r="4222" spans="1:5" ht="15">
      <c r="A4222" s="147" t="s">
        <v>20</v>
      </c>
      <c r="B4222" s="26">
        <v>75</v>
      </c>
      <c r="C4222" s="148">
        <v>30</v>
      </c>
      <c r="D4222" s="34" t="s">
        <v>1812</v>
      </c>
      <c r="E4222" s="434">
        <v>2.4</v>
      </c>
    </row>
    <row r="4225" spans="1:9" ht="15.75">
      <c r="A4225" s="145" t="s">
        <v>1603</v>
      </c>
      <c r="B4225" s="569" t="s">
        <v>128</v>
      </c>
      <c r="C4225" s="570" t="s">
        <v>2</v>
      </c>
      <c r="D4225" s="570" t="s">
        <v>182</v>
      </c>
      <c r="E4225" s="570" t="s">
        <v>181</v>
      </c>
      <c r="F4225" s="571" t="s">
        <v>245</v>
      </c>
    </row>
    <row r="4226" spans="1:9" ht="15">
      <c r="A4226" s="24" t="s">
        <v>1801</v>
      </c>
      <c r="B4226" s="44" t="s">
        <v>78</v>
      </c>
      <c r="C4226" s="8">
        <v>14</v>
      </c>
      <c r="D4226" s="41">
        <v>7</v>
      </c>
      <c r="E4226" s="67">
        <f>C4226*D4226</f>
        <v>98</v>
      </c>
      <c r="F4226" s="67" t="s">
        <v>1868</v>
      </c>
    </row>
    <row r="4230" spans="1:9" ht="15.75">
      <c r="A4230" s="145" t="s">
        <v>105</v>
      </c>
      <c r="B4230" s="145" t="s">
        <v>1603</v>
      </c>
      <c r="C4230" s="569" t="s">
        <v>128</v>
      </c>
      <c r="D4230" s="570" t="s">
        <v>2</v>
      </c>
      <c r="E4230" s="570" t="s">
        <v>182</v>
      </c>
      <c r="F4230" s="570" t="s">
        <v>181</v>
      </c>
      <c r="G4230" s="90" t="s">
        <v>1825</v>
      </c>
      <c r="H4230" s="90"/>
      <c r="I4230" s="90" t="s">
        <v>986</v>
      </c>
    </row>
    <row r="4231" spans="1:9" ht="15">
      <c r="A4231" s="33" t="s">
        <v>1867</v>
      </c>
      <c r="B4231" s="24" t="s">
        <v>1426</v>
      </c>
      <c r="C4231" s="44" t="s">
        <v>78</v>
      </c>
      <c r="D4231" s="120">
        <v>14</v>
      </c>
      <c r="E4231" s="572">
        <v>28</v>
      </c>
      <c r="F4231" s="120">
        <f>D4231*E4231</f>
        <v>392</v>
      </c>
      <c r="G4231" s="112">
        <v>1.54</v>
      </c>
      <c r="H4231" s="112"/>
      <c r="I4231" s="574" t="s">
        <v>152</v>
      </c>
    </row>
    <row r="4232" spans="1:9" ht="15">
      <c r="A4232" s="33" t="s">
        <v>1867</v>
      </c>
      <c r="B4232" s="24" t="s">
        <v>1426</v>
      </c>
      <c r="C4232" s="44" t="s">
        <v>78</v>
      </c>
      <c r="D4232" s="120">
        <v>14</v>
      </c>
      <c r="E4232" s="572">
        <v>51</v>
      </c>
      <c r="F4232" s="120">
        <f>D4232*E4232</f>
        <v>714</v>
      </c>
      <c r="G4232" s="112">
        <v>1.54</v>
      </c>
      <c r="H4232" s="112"/>
      <c r="I4232" s="574" t="s">
        <v>1869</v>
      </c>
    </row>
    <row r="4233" spans="1:9" ht="15">
      <c r="A4233" s="33" t="s">
        <v>1867</v>
      </c>
      <c r="B4233" s="24"/>
      <c r="C4233" s="24" t="s">
        <v>481</v>
      </c>
      <c r="D4233" s="120"/>
      <c r="E4233" s="572"/>
      <c r="F4233" s="573">
        <v>1</v>
      </c>
      <c r="G4233" s="112">
        <v>12</v>
      </c>
      <c r="H4233" s="112"/>
      <c r="I4233" s="39"/>
    </row>
    <row r="4236" spans="1:9" ht="15.75">
      <c r="A4236" s="402" t="s">
        <v>106</v>
      </c>
      <c r="B4236" s="90" t="s">
        <v>52</v>
      </c>
      <c r="C4236" s="402" t="s">
        <v>1710</v>
      </c>
      <c r="D4236" s="90" t="s">
        <v>1186</v>
      </c>
      <c r="E4236" s="90" t="s">
        <v>1652</v>
      </c>
      <c r="F4236" s="174" t="s">
        <v>1653</v>
      </c>
      <c r="G4236" s="90" t="s">
        <v>1825</v>
      </c>
      <c r="H4236" s="140"/>
    </row>
    <row r="4237" spans="1:9" ht="15">
      <c r="A4237" s="24">
        <v>4141</v>
      </c>
      <c r="B4237" s="26">
        <v>18</v>
      </c>
      <c r="C4237" s="24" t="s">
        <v>486</v>
      </c>
      <c r="D4237" s="67">
        <v>20</v>
      </c>
      <c r="E4237" s="68">
        <v>2</v>
      </c>
      <c r="F4237" s="67">
        <f>D4237*E4237</f>
        <v>40</v>
      </c>
      <c r="G4237" s="25">
        <v>1.83</v>
      </c>
      <c r="H4237" s="142"/>
    </row>
    <row r="4238" spans="1:9" ht="15">
      <c r="A4238" s="24">
        <v>4141</v>
      </c>
      <c r="B4238" s="26">
        <v>18</v>
      </c>
      <c r="C4238" s="24" t="s">
        <v>1872</v>
      </c>
      <c r="D4238" s="67">
        <v>20</v>
      </c>
      <c r="E4238" s="68">
        <v>2</v>
      </c>
      <c r="F4238" s="67">
        <f>D4238*E4238</f>
        <v>40</v>
      </c>
      <c r="G4238" s="25">
        <v>1.83</v>
      </c>
      <c r="H4238" s="142"/>
    </row>
    <row r="4239" spans="1:9" ht="15">
      <c r="A4239" s="24"/>
      <c r="B4239" s="26"/>
      <c r="C4239" s="24" t="s">
        <v>31</v>
      </c>
      <c r="D4239" s="45"/>
      <c r="E4239" s="41"/>
      <c r="F4239" s="45">
        <v>1</v>
      </c>
      <c r="G4239" s="46">
        <v>12</v>
      </c>
      <c r="H4239" s="180"/>
    </row>
    <row r="4241" spans="1:9">
      <c r="A4241" t="s">
        <v>1875</v>
      </c>
    </row>
    <row r="4242" spans="1:9" ht="15.75">
      <c r="A4242" s="385" t="s">
        <v>1068</v>
      </c>
      <c r="B4242" s="386" t="s">
        <v>1517</v>
      </c>
      <c r="C4242" s="387" t="s">
        <v>1514</v>
      </c>
      <c r="D4242" s="387" t="s">
        <v>1800</v>
      </c>
      <c r="E4242" s="387" t="s">
        <v>1878</v>
      </c>
    </row>
    <row r="4243" spans="1:9" ht="15">
      <c r="A4243" s="24" t="s">
        <v>1876</v>
      </c>
      <c r="B4243" s="44" t="s">
        <v>1877</v>
      </c>
      <c r="C4243" s="112">
        <v>7.6</v>
      </c>
      <c r="D4243" s="112" t="s">
        <v>1037</v>
      </c>
      <c r="E4243" s="112" t="s">
        <v>1879</v>
      </c>
    </row>
    <row r="4244" spans="1:9" ht="15">
      <c r="A4244" s="24" t="s">
        <v>1880</v>
      </c>
      <c r="B4244" s="44" t="s">
        <v>1877</v>
      </c>
      <c r="C4244" s="112">
        <v>8.15</v>
      </c>
      <c r="D4244" s="112" t="s">
        <v>1037</v>
      </c>
      <c r="E4244" s="112" t="s">
        <v>1881</v>
      </c>
    </row>
    <row r="4245" spans="1:9" ht="15">
      <c r="A4245" s="24" t="s">
        <v>1882</v>
      </c>
      <c r="B4245" s="44" t="s">
        <v>1799</v>
      </c>
      <c r="C4245" s="112">
        <v>2.17</v>
      </c>
      <c r="D4245" s="112" t="s">
        <v>1037</v>
      </c>
      <c r="E4245" s="112" t="s">
        <v>1883</v>
      </c>
    </row>
    <row r="4249" spans="1:9" ht="15.75">
      <c r="A4249" s="402" t="s">
        <v>106</v>
      </c>
      <c r="B4249" s="90" t="s">
        <v>52</v>
      </c>
      <c r="C4249" s="402" t="s">
        <v>1710</v>
      </c>
      <c r="D4249" s="90" t="s">
        <v>1186</v>
      </c>
      <c r="E4249" s="90" t="s">
        <v>1652</v>
      </c>
      <c r="F4249" s="174" t="s">
        <v>1653</v>
      </c>
      <c r="G4249" s="90" t="s">
        <v>1825</v>
      </c>
      <c r="H4249" s="140"/>
    </row>
    <row r="4250" spans="1:9" ht="15">
      <c r="A4250" s="24" t="s">
        <v>1264</v>
      </c>
      <c r="B4250" s="26" t="s">
        <v>19</v>
      </c>
      <c r="C4250" s="24" t="s">
        <v>1640</v>
      </c>
      <c r="D4250" s="198">
        <v>13.5</v>
      </c>
      <c r="E4250" s="41">
        <v>1</v>
      </c>
      <c r="F4250" s="19">
        <f>D4250*E4250</f>
        <v>13.5</v>
      </c>
      <c r="G4250" s="25">
        <v>1.71</v>
      </c>
      <c r="H4250" s="142"/>
    </row>
    <row r="4251" spans="1:9" ht="22.5">
      <c r="A4251" s="15"/>
      <c r="B4251" s="44"/>
      <c r="C4251" s="44" t="s">
        <v>31</v>
      </c>
      <c r="D4251" s="8"/>
      <c r="E4251" s="152" ph="1"/>
      <c r="F4251" s="45">
        <v>1</v>
      </c>
      <c r="G4251" s="46">
        <v>12</v>
      </c>
      <c r="H4251" s="180"/>
    </row>
    <row r="4253" spans="1:9" ht="15.75">
      <c r="A4253" s="402" t="s">
        <v>106</v>
      </c>
      <c r="B4253" s="90" t="s">
        <v>52</v>
      </c>
      <c r="C4253" s="402" t="s">
        <v>1710</v>
      </c>
      <c r="D4253" s="90" t="s">
        <v>1186</v>
      </c>
      <c r="E4253" s="90" t="s">
        <v>1652</v>
      </c>
      <c r="F4253" s="174" t="s">
        <v>1653</v>
      </c>
      <c r="G4253" s="90" t="s">
        <v>1825</v>
      </c>
      <c r="H4253" s="140"/>
      <c r="I4253" s="580"/>
    </row>
    <row r="4254" spans="1:9" ht="14.25">
      <c r="A4254" s="103">
        <v>3921</v>
      </c>
      <c r="B4254" s="582">
        <v>24</v>
      </c>
      <c r="C4254" s="103" t="s">
        <v>328</v>
      </c>
      <c r="D4254" s="583">
        <v>30</v>
      </c>
      <c r="E4254" s="584">
        <v>1</v>
      </c>
      <c r="F4254" s="585">
        <v>30</v>
      </c>
      <c r="G4254" s="586">
        <v>0.74</v>
      </c>
      <c r="H4254" s="581"/>
      <c r="I4254" s="581">
        <v>22.2</v>
      </c>
    </row>
    <row r="4255" spans="1:9" ht="14.25">
      <c r="A4255" s="103">
        <v>3921</v>
      </c>
      <c r="B4255" s="582">
        <v>24</v>
      </c>
      <c r="C4255" s="103" t="s">
        <v>1898</v>
      </c>
      <c r="D4255" s="583">
        <v>30</v>
      </c>
      <c r="E4255" s="584">
        <v>1</v>
      </c>
      <c r="F4255" s="585">
        <v>30</v>
      </c>
      <c r="G4255" s="586">
        <v>0.74</v>
      </c>
      <c r="H4255" s="581"/>
      <c r="I4255" s="581">
        <v>22.2</v>
      </c>
    </row>
    <row r="4256" spans="1:9" ht="14.25">
      <c r="A4256" s="103">
        <v>3921</v>
      </c>
      <c r="B4256" s="582">
        <v>24</v>
      </c>
      <c r="C4256" s="103" t="s">
        <v>1897</v>
      </c>
      <c r="D4256" s="583">
        <v>30</v>
      </c>
      <c r="E4256" s="584">
        <v>1</v>
      </c>
      <c r="F4256" s="585">
        <v>30</v>
      </c>
      <c r="G4256" s="586">
        <v>0.74</v>
      </c>
      <c r="H4256" s="581"/>
      <c r="I4256" s="581">
        <v>22.2</v>
      </c>
    </row>
    <row r="4257" spans="1:9" ht="14.25">
      <c r="A4257" s="103">
        <v>3921</v>
      </c>
      <c r="B4257" s="582">
        <v>24</v>
      </c>
      <c r="C4257" s="103" t="s">
        <v>1899</v>
      </c>
      <c r="D4257" s="583">
        <v>30</v>
      </c>
      <c r="E4257" s="584">
        <v>1</v>
      </c>
      <c r="F4257" s="585">
        <v>30</v>
      </c>
      <c r="G4257" s="586">
        <v>0.74</v>
      </c>
      <c r="H4257" s="581"/>
      <c r="I4257" s="581">
        <v>22.2</v>
      </c>
    </row>
    <row r="4258" spans="1:9" ht="14.25">
      <c r="A4258" s="103">
        <v>3921</v>
      </c>
      <c r="B4258" s="582">
        <v>24</v>
      </c>
      <c r="C4258" s="103" t="s">
        <v>1900</v>
      </c>
      <c r="D4258" s="583">
        <v>30</v>
      </c>
      <c r="E4258" s="584">
        <v>1</v>
      </c>
      <c r="F4258" s="585">
        <v>30</v>
      </c>
      <c r="G4258" s="586">
        <v>0.74</v>
      </c>
      <c r="H4258" s="581"/>
      <c r="I4258" s="581">
        <v>22.2</v>
      </c>
    </row>
    <row r="4259" spans="1:9" ht="14.25">
      <c r="A4259" s="103">
        <v>3921</v>
      </c>
      <c r="B4259" s="582">
        <v>24</v>
      </c>
      <c r="C4259" s="103" t="s">
        <v>492</v>
      </c>
      <c r="D4259" s="583">
        <v>30</v>
      </c>
      <c r="E4259" s="584">
        <v>1</v>
      </c>
      <c r="F4259" s="585">
        <v>30</v>
      </c>
      <c r="G4259" s="586">
        <v>0.74</v>
      </c>
      <c r="H4259" s="581"/>
      <c r="I4259" s="581">
        <v>22.2</v>
      </c>
    </row>
    <row r="4260" spans="1:9" ht="14.25">
      <c r="A4260" s="103"/>
      <c r="B4260" s="587"/>
      <c r="C4260" s="103" t="s">
        <v>481</v>
      </c>
      <c r="D4260" s="585"/>
      <c r="E4260" s="588"/>
      <c r="F4260" s="589">
        <v>1</v>
      </c>
      <c r="G4260" s="586">
        <v>12</v>
      </c>
      <c r="H4260" s="581"/>
      <c r="I4260" s="581">
        <v>12</v>
      </c>
    </row>
    <row r="4261" spans="1:9" ht="15.75">
      <c r="A4261" s="402" t="s">
        <v>106</v>
      </c>
      <c r="B4261" s="90" t="s">
        <v>52</v>
      </c>
      <c r="C4261" s="402" t="s">
        <v>1710</v>
      </c>
      <c r="D4261" s="90" t="s">
        <v>1186</v>
      </c>
      <c r="E4261" s="90" t="s">
        <v>1652</v>
      </c>
      <c r="F4261" s="174" t="s">
        <v>1653</v>
      </c>
    </row>
    <row r="4262" spans="1:9" ht="15">
      <c r="A4262" s="24">
        <v>14552</v>
      </c>
      <c r="B4262" s="26">
        <v>10</v>
      </c>
      <c r="C4262" s="24" t="s">
        <v>431</v>
      </c>
      <c r="D4262" s="151">
        <v>30</v>
      </c>
      <c r="E4262" s="152">
        <v>100</v>
      </c>
      <c r="F4262" s="67">
        <f>D4262*E4262</f>
        <v>3000</v>
      </c>
    </row>
    <row r="4265" spans="1:9">
      <c r="A4265" t="s">
        <v>1905</v>
      </c>
    </row>
    <row r="4266" spans="1:9" ht="31.5">
      <c r="A4266" s="450" t="s">
        <v>1369</v>
      </c>
      <c r="B4266" s="450" t="s">
        <v>1835</v>
      </c>
      <c r="C4266" s="432" t="s">
        <v>1734</v>
      </c>
      <c r="D4266" s="433" t="s">
        <v>1323</v>
      </c>
      <c r="E4266" s="433" t="s">
        <v>5270</v>
      </c>
    </row>
    <row r="4267" spans="1:9" ht="15">
      <c r="A4267" s="147" t="s">
        <v>1902</v>
      </c>
      <c r="B4267" s="147" t="s">
        <v>1903</v>
      </c>
      <c r="C4267" s="34" t="s">
        <v>5266</v>
      </c>
      <c r="D4267" s="434">
        <v>1.67</v>
      </c>
      <c r="E4267" s="590" t="s">
        <v>1904</v>
      </c>
    </row>
    <row r="4271" spans="1:9" ht="15.75">
      <c r="A4271" s="402" t="s">
        <v>106</v>
      </c>
      <c r="B4271" s="402" t="s">
        <v>1710</v>
      </c>
      <c r="C4271" s="402" t="s">
        <v>54</v>
      </c>
    </row>
    <row r="4272" spans="1:9" ht="15">
      <c r="A4272" s="24">
        <v>2440</v>
      </c>
      <c r="B4272" s="24" t="s">
        <v>862</v>
      </c>
      <c r="C4272" s="67">
        <v>580</v>
      </c>
    </row>
    <row r="4273" spans="1:8" ht="15">
      <c r="A4273" s="24">
        <v>2440</v>
      </c>
      <c r="B4273" s="24" t="s">
        <v>1911</v>
      </c>
      <c r="C4273" s="67">
        <v>174</v>
      </c>
    </row>
    <row r="4275" spans="1:8" ht="15.75">
      <c r="A4275" s="402" t="s">
        <v>105</v>
      </c>
      <c r="B4275" s="402" t="s">
        <v>1068</v>
      </c>
      <c r="C4275" s="402" t="s">
        <v>1710</v>
      </c>
      <c r="D4275" s="402" t="s">
        <v>54</v>
      </c>
      <c r="E4275" s="90" t="s">
        <v>1825</v>
      </c>
      <c r="F4275" s="90" t="s">
        <v>151</v>
      </c>
    </row>
    <row r="4276" spans="1:8" ht="15.75">
      <c r="A4276" s="33" t="s">
        <v>1912</v>
      </c>
      <c r="B4276" s="24">
        <v>2440</v>
      </c>
      <c r="C4276" s="24" t="s">
        <v>862</v>
      </c>
      <c r="D4276" s="67">
        <v>580</v>
      </c>
      <c r="E4276" s="46">
        <v>3.34</v>
      </c>
      <c r="F4276" s="96" t="s">
        <v>771</v>
      </c>
    </row>
    <row r="4277" spans="1:8" ht="15.75">
      <c r="A4277" s="33" t="s">
        <v>1912</v>
      </c>
      <c r="B4277" s="24">
        <v>2440</v>
      </c>
      <c r="C4277" s="24" t="s">
        <v>1911</v>
      </c>
      <c r="D4277" s="67">
        <v>174</v>
      </c>
      <c r="E4277" s="46">
        <v>3.34</v>
      </c>
      <c r="F4277" s="96" t="s">
        <v>1913</v>
      </c>
    </row>
    <row r="4280" spans="1:8" ht="15.75">
      <c r="A4280" s="402" t="s">
        <v>106</v>
      </c>
      <c r="B4280" s="90" t="s">
        <v>52</v>
      </c>
      <c r="C4280" s="402" t="s">
        <v>1710</v>
      </c>
      <c r="D4280" s="90" t="s">
        <v>1186</v>
      </c>
      <c r="E4280" s="90" t="s">
        <v>1652</v>
      </c>
      <c r="F4280" s="174" t="s">
        <v>1653</v>
      </c>
      <c r="G4280" s="90" t="s">
        <v>1825</v>
      </c>
      <c r="H4280" s="140"/>
    </row>
    <row r="4281" spans="1:8" ht="15">
      <c r="A4281" s="24">
        <v>5291</v>
      </c>
      <c r="B4281" s="26">
        <v>8</v>
      </c>
      <c r="C4281" s="24" t="s">
        <v>29</v>
      </c>
      <c r="D4281" s="67">
        <v>50</v>
      </c>
      <c r="E4281" s="68">
        <v>1</v>
      </c>
      <c r="F4281" s="67">
        <f>D4281*E4281</f>
        <v>50</v>
      </c>
      <c r="G4281" s="46">
        <v>0.45</v>
      </c>
      <c r="H4281" s="180"/>
    </row>
    <row r="4282" spans="1:8" ht="15">
      <c r="A4282" s="24"/>
      <c r="B4282" s="138"/>
      <c r="C4282" s="24" t="s">
        <v>481</v>
      </c>
      <c r="D4282" s="8"/>
      <c r="E4282" s="41"/>
      <c r="F4282" s="45">
        <v>1</v>
      </c>
      <c r="G4282" s="46">
        <v>12</v>
      </c>
      <c r="H4282" s="180"/>
    </row>
    <row r="4286" spans="1:8" ht="15.75">
      <c r="A4286" s="402" t="s">
        <v>106</v>
      </c>
      <c r="B4286" s="90" t="s">
        <v>52</v>
      </c>
      <c r="C4286" s="402" t="s">
        <v>1710</v>
      </c>
      <c r="D4286" s="90" t="s">
        <v>1186</v>
      </c>
      <c r="E4286" s="90" t="s">
        <v>1652</v>
      </c>
      <c r="F4286" s="174" t="s">
        <v>1653</v>
      </c>
      <c r="G4286" s="90" t="s">
        <v>1825</v>
      </c>
      <c r="H4286" s="140"/>
    </row>
    <row r="4287" spans="1:8" ht="15">
      <c r="A4287" s="24">
        <v>1962</v>
      </c>
      <c r="B4287" s="26" t="s">
        <v>1915</v>
      </c>
      <c r="C4287" s="24" t="s">
        <v>1918</v>
      </c>
      <c r="D4287" s="67">
        <v>30</v>
      </c>
      <c r="E4287" s="68">
        <v>1</v>
      </c>
      <c r="F4287" s="67">
        <v>30</v>
      </c>
      <c r="G4287" s="46">
        <v>0.89</v>
      </c>
      <c r="H4287" s="180"/>
    </row>
    <row r="4288" spans="1:8" ht="15">
      <c r="A4288" s="24"/>
      <c r="B4288" s="138"/>
      <c r="C4288" s="24" t="s">
        <v>481</v>
      </c>
      <c r="D4288" s="8"/>
      <c r="E4288" s="41"/>
      <c r="F4288" s="45">
        <v>1</v>
      </c>
      <c r="G4288" s="46">
        <v>12</v>
      </c>
      <c r="H4288" s="180"/>
    </row>
    <row r="4290" spans="1:5">
      <c r="A4290" t="s">
        <v>1925</v>
      </c>
    </row>
    <row r="4291" spans="1:5">
      <c r="A4291" s="2856" t="s">
        <v>1400</v>
      </c>
      <c r="B4291" s="2857" t="s">
        <v>1401</v>
      </c>
      <c r="C4291" s="2858" t="s">
        <v>1752</v>
      </c>
      <c r="D4291" s="2859" t="s">
        <v>1753</v>
      </c>
    </row>
    <row r="4292" spans="1:5">
      <c r="A4292" s="2856"/>
      <c r="B4292" s="2857"/>
      <c r="C4292" s="2858"/>
      <c r="D4292" s="2800"/>
    </row>
    <row r="4293" spans="1:5">
      <c r="A4293" s="368" t="s">
        <v>1157</v>
      </c>
      <c r="B4293" s="367" t="s">
        <v>1923</v>
      </c>
      <c r="C4293" s="594" t="s">
        <v>1924</v>
      </c>
      <c r="D4293" s="439">
        <v>12.92</v>
      </c>
    </row>
    <row r="4295" spans="1:5" ht="15.75">
      <c r="A4295" s="402" t="s">
        <v>106</v>
      </c>
      <c r="B4295" s="90" t="s">
        <v>52</v>
      </c>
      <c r="C4295" s="402" t="s">
        <v>1710</v>
      </c>
      <c r="D4295" s="90" t="s">
        <v>54</v>
      </c>
      <c r="E4295" s="90" t="s">
        <v>1825</v>
      </c>
    </row>
    <row r="4296" spans="1:5" ht="15">
      <c r="A4296" s="24" t="s">
        <v>1157</v>
      </c>
      <c r="B4296" s="150">
        <v>148</v>
      </c>
      <c r="C4296" s="24" t="s">
        <v>629</v>
      </c>
      <c r="D4296" s="67">
        <v>54</v>
      </c>
      <c r="E4296" s="46">
        <v>12.92</v>
      </c>
    </row>
    <row r="4297" spans="1:5" ht="15">
      <c r="A4297" s="24"/>
      <c r="B4297" s="138"/>
      <c r="C4297" s="44" t="s">
        <v>31</v>
      </c>
      <c r="D4297" s="8" t="s">
        <v>86</v>
      </c>
      <c r="E4297" s="46">
        <v>20</v>
      </c>
    </row>
    <row r="4299" spans="1:5" ht="15.75">
      <c r="A4299" s="402" t="s">
        <v>106</v>
      </c>
      <c r="B4299" s="402" t="s">
        <v>1710</v>
      </c>
      <c r="C4299" s="90" t="s">
        <v>54</v>
      </c>
      <c r="D4299" s="90" t="s">
        <v>1809</v>
      </c>
    </row>
    <row r="4300" spans="1:5" ht="15">
      <c r="A4300" s="24" t="s">
        <v>1157</v>
      </c>
      <c r="B4300" s="24" t="s">
        <v>629</v>
      </c>
      <c r="C4300" s="67">
        <v>54</v>
      </c>
      <c r="D4300" s="207" t="s">
        <v>1928</v>
      </c>
    </row>
    <row r="4302" spans="1:5">
      <c r="A4302" t="s">
        <v>1944</v>
      </c>
    </row>
    <row r="4303" spans="1:5" ht="15.75">
      <c r="A4303" s="385" t="s">
        <v>1068</v>
      </c>
      <c r="B4303" s="386" t="s">
        <v>1517</v>
      </c>
      <c r="C4303" s="387" t="s">
        <v>1514</v>
      </c>
      <c r="D4303" s="387" t="s">
        <v>1623</v>
      </c>
      <c r="E4303" s="382" t="s">
        <v>1624</v>
      </c>
    </row>
    <row r="4304" spans="1:5" ht="15">
      <c r="A4304" s="342" t="s">
        <v>1941</v>
      </c>
      <c r="B4304" s="44" t="s">
        <v>1942</v>
      </c>
      <c r="C4304" s="112">
        <v>1.52</v>
      </c>
      <c r="D4304" s="112">
        <v>2.82</v>
      </c>
      <c r="E4304" s="414" t="s">
        <v>1943</v>
      </c>
    </row>
    <row r="4306" spans="1:13" ht="15.75">
      <c r="A4306" s="385" t="s">
        <v>1068</v>
      </c>
      <c r="B4306" s="386" t="s">
        <v>128</v>
      </c>
      <c r="C4306" s="386" t="s">
        <v>1946</v>
      </c>
      <c r="D4306" s="387" t="s">
        <v>1323</v>
      </c>
    </row>
    <row r="4307" spans="1:13" ht="15">
      <c r="A4307" s="342" t="s">
        <v>1941</v>
      </c>
      <c r="B4307" s="44" t="s">
        <v>129</v>
      </c>
      <c r="C4307" s="44" t="s">
        <v>1947</v>
      </c>
      <c r="D4307" s="112">
        <v>1.52</v>
      </c>
    </row>
    <row r="4308" spans="1:13" ht="15">
      <c r="A4308" s="342" t="s">
        <v>1941</v>
      </c>
      <c r="B4308" s="44" t="s">
        <v>1945</v>
      </c>
      <c r="C4308" s="44" t="s">
        <v>1947</v>
      </c>
      <c r="D4308" s="112">
        <v>2.82</v>
      </c>
    </row>
    <row r="4309" spans="1:13" ht="15">
      <c r="A4309" s="342"/>
      <c r="B4309" s="44" t="s">
        <v>1948</v>
      </c>
      <c r="C4309" s="44" t="s">
        <v>508</v>
      </c>
      <c r="D4309" s="112">
        <v>100</v>
      </c>
    </row>
    <row r="4310" spans="1:13" ht="15">
      <c r="A4310" s="342"/>
      <c r="B4310" s="44" t="s">
        <v>1450</v>
      </c>
      <c r="C4310" s="44" t="s">
        <v>508</v>
      </c>
      <c r="D4310" s="112">
        <v>12</v>
      </c>
    </row>
    <row r="4311" spans="1:13" ht="15">
      <c r="A4311" s="611"/>
      <c r="B4311" s="612"/>
      <c r="C4311" s="612"/>
      <c r="D4311" s="613"/>
    </row>
    <row r="4312" spans="1:13">
      <c r="A4312" t="s">
        <v>1991</v>
      </c>
    </row>
    <row r="4313" spans="1:13" ht="24">
      <c r="A4313" s="610" t="s">
        <v>1555</v>
      </c>
      <c r="B4313" s="610" t="s">
        <v>1556</v>
      </c>
      <c r="C4313" s="610" t="s">
        <v>1557</v>
      </c>
      <c r="D4313" s="610" t="s">
        <v>1950</v>
      </c>
      <c r="E4313" s="609" t="s">
        <v>1983</v>
      </c>
      <c r="F4313" s="609" t="s">
        <v>1983</v>
      </c>
      <c r="G4313" s="610" t="s">
        <v>1951</v>
      </c>
      <c r="H4313" s="610"/>
      <c r="I4313" s="609" t="s">
        <v>1984</v>
      </c>
      <c r="J4313" s="610" t="s">
        <v>1985</v>
      </c>
      <c r="K4313" s="610" t="s">
        <v>1978</v>
      </c>
      <c r="L4313" s="599"/>
    </row>
    <row r="4314" spans="1:13" ht="15">
      <c r="A4314" s="600" t="s">
        <v>1952</v>
      </c>
      <c r="B4314" s="600" t="s">
        <v>1953</v>
      </c>
      <c r="C4314" s="600" t="s">
        <v>1954</v>
      </c>
      <c r="D4314" s="601">
        <v>43</v>
      </c>
      <c r="E4314" s="603">
        <v>630</v>
      </c>
      <c r="F4314" s="112">
        <f>ROUNDUP(E4314/0.8/90,2)</f>
        <v>8.75</v>
      </c>
      <c r="G4314" s="603">
        <v>480</v>
      </c>
      <c r="H4314" s="603"/>
      <c r="I4314" s="112">
        <f>ROUNDUP(G4314/0.8/90,2)</f>
        <v>6.67</v>
      </c>
      <c r="J4314" s="600" t="s">
        <v>1759</v>
      </c>
      <c r="K4314" s="600" t="s">
        <v>1979</v>
      </c>
      <c r="L4314" s="599"/>
    </row>
    <row r="4315" spans="1:13" ht="24">
      <c r="A4315" s="600" t="s">
        <v>1982</v>
      </c>
      <c r="B4315" s="600" t="s">
        <v>1955</v>
      </c>
      <c r="C4315" s="600" t="s">
        <v>1568</v>
      </c>
      <c r="D4315" s="601">
        <v>104</v>
      </c>
      <c r="E4315" s="604" t="s">
        <v>1956</v>
      </c>
      <c r="F4315" s="112">
        <v>12.92</v>
      </c>
      <c r="G4315" s="604" t="s">
        <v>1957</v>
      </c>
      <c r="H4315" s="604"/>
      <c r="I4315" s="112">
        <v>8.06</v>
      </c>
      <c r="J4315" s="600" t="s">
        <v>1759</v>
      </c>
      <c r="K4315" s="396" t="s">
        <v>1980</v>
      </c>
      <c r="L4315" s="599"/>
    </row>
    <row r="4316" spans="1:13">
      <c r="A4316" s="600" t="s">
        <v>1981</v>
      </c>
      <c r="B4316" s="600"/>
      <c r="C4316" s="600"/>
      <c r="D4316" s="601"/>
      <c r="E4316" s="602"/>
      <c r="F4316" s="602"/>
      <c r="G4316" s="603"/>
      <c r="H4316" s="603"/>
      <c r="I4316" s="603"/>
      <c r="J4316" s="603"/>
      <c r="K4316" s="600"/>
      <c r="L4316" s="599"/>
      <c r="M4316" s="599"/>
    </row>
    <row r="4317" spans="1:13" ht="36">
      <c r="A4317" s="606" t="s">
        <v>1555</v>
      </c>
      <c r="B4317" s="606" t="s">
        <v>1556</v>
      </c>
      <c r="C4317" s="606" t="s">
        <v>1557</v>
      </c>
      <c r="D4317" s="606" t="s">
        <v>1950</v>
      </c>
      <c r="E4317" s="607" t="s">
        <v>1986</v>
      </c>
      <c r="F4317" s="607" t="s">
        <v>1986</v>
      </c>
      <c r="G4317" s="608"/>
      <c r="H4317" s="608"/>
      <c r="I4317" s="609" t="s">
        <v>1984</v>
      </c>
      <c r="J4317" s="610" t="s">
        <v>1985</v>
      </c>
      <c r="K4317" s="610" t="s">
        <v>1978</v>
      </c>
      <c r="L4317" s="599"/>
      <c r="M4317" s="599"/>
    </row>
    <row r="4318" spans="1:13" ht="15">
      <c r="A4318" s="600" t="s">
        <v>1958</v>
      </c>
      <c r="B4318" s="600" t="s">
        <v>1959</v>
      </c>
      <c r="C4318" s="600" t="s">
        <v>1960</v>
      </c>
      <c r="D4318" s="601">
        <v>140</v>
      </c>
      <c r="E4318" s="602">
        <v>1140</v>
      </c>
      <c r="F4318" s="112">
        <f>ROUNDUP(E4318/0.8/90,2)</f>
        <v>15.84</v>
      </c>
      <c r="G4318" s="603">
        <v>720</v>
      </c>
      <c r="H4318" s="603"/>
      <c r="I4318" s="112">
        <f>ROUNDUP(G4318/0.8/90,2)</f>
        <v>10</v>
      </c>
      <c r="J4318" s="600" t="s">
        <v>1408</v>
      </c>
      <c r="K4318" s="605" t="s">
        <v>1961</v>
      </c>
      <c r="L4318" s="599" t="s">
        <v>1961</v>
      </c>
      <c r="M4318" s="599"/>
    </row>
    <row r="4319" spans="1:13" ht="15">
      <c r="A4319" s="600" t="s">
        <v>1963</v>
      </c>
      <c r="B4319" s="600" t="s">
        <v>1962</v>
      </c>
      <c r="C4319" s="600" t="s">
        <v>1964</v>
      </c>
      <c r="D4319" s="601">
        <v>230</v>
      </c>
      <c r="E4319" s="602">
        <v>1330</v>
      </c>
      <c r="F4319" s="112">
        <f>ROUNDUP(E4319/0.8/90,2)</f>
        <v>18.48</v>
      </c>
      <c r="G4319" s="603">
        <v>1080</v>
      </c>
      <c r="H4319" s="603"/>
      <c r="I4319" s="112">
        <f>ROUNDUP(G4319/0.8/90,2)</f>
        <v>15</v>
      </c>
      <c r="J4319" s="600" t="s">
        <v>1965</v>
      </c>
      <c r="K4319" s="605" t="s">
        <v>1987</v>
      </c>
      <c r="L4319" s="599" t="s">
        <v>1966</v>
      </c>
      <c r="M4319" s="599"/>
    </row>
    <row r="4320" spans="1:13" ht="15">
      <c r="A4320" s="600" t="s">
        <v>1967</v>
      </c>
      <c r="B4320" s="600" t="s">
        <v>1968</v>
      </c>
      <c r="C4320" s="600" t="s">
        <v>1969</v>
      </c>
      <c r="D4320" s="601">
        <v>130</v>
      </c>
      <c r="E4320" s="602">
        <v>1400</v>
      </c>
      <c r="F4320" s="112">
        <f>ROUNDUP(E4320/0.8/90,2)</f>
        <v>19.450000000000003</v>
      </c>
      <c r="G4320" s="603">
        <v>1150</v>
      </c>
      <c r="H4320" s="603"/>
      <c r="I4320" s="112">
        <f>ROUNDUP(G4320/0.8/90,2)</f>
        <v>15.98</v>
      </c>
      <c r="J4320" s="600" t="s">
        <v>1406</v>
      </c>
      <c r="K4320" s="605" t="s">
        <v>1988</v>
      </c>
      <c r="L4320" s="599" t="s">
        <v>1970</v>
      </c>
      <c r="M4320" s="599"/>
    </row>
    <row r="4321" spans="1:13" ht="15">
      <c r="A4321" s="600" t="s">
        <v>1971</v>
      </c>
      <c r="B4321" s="600" t="s">
        <v>1972</v>
      </c>
      <c r="C4321" s="600" t="s">
        <v>1973</v>
      </c>
      <c r="D4321" s="601">
        <v>220</v>
      </c>
      <c r="E4321" s="602">
        <v>1250</v>
      </c>
      <c r="F4321" s="112">
        <f>ROUNDUP(E4321/0.8/90,2)</f>
        <v>17.37</v>
      </c>
      <c r="G4321" s="603">
        <v>1000</v>
      </c>
      <c r="H4321" s="603"/>
      <c r="I4321" s="112">
        <f>ROUNDUP(G4321/0.8/90,2)</f>
        <v>13.89</v>
      </c>
      <c r="J4321" s="600" t="s">
        <v>1406</v>
      </c>
      <c r="K4321" s="605" t="s">
        <v>1989</v>
      </c>
      <c r="L4321" s="599" t="s">
        <v>1966</v>
      </c>
      <c r="M4321" s="599"/>
    </row>
    <row r="4322" spans="1:13" ht="15">
      <c r="A4322" s="600" t="s">
        <v>1974</v>
      </c>
      <c r="B4322" s="600" t="s">
        <v>1975</v>
      </c>
      <c r="C4322" s="600" t="s">
        <v>1976</v>
      </c>
      <c r="D4322" s="601">
        <v>80</v>
      </c>
      <c r="E4322" s="602">
        <v>1000</v>
      </c>
      <c r="F4322" s="112">
        <f>ROUNDUP(E4322/0.8/90,2)</f>
        <v>13.89</v>
      </c>
      <c r="G4322" s="603">
        <v>700</v>
      </c>
      <c r="H4322" s="603"/>
      <c r="I4322" s="112">
        <f>ROUNDUP(G4322/0.8/90,2)</f>
        <v>9.73</v>
      </c>
      <c r="J4322" s="600" t="s">
        <v>1406</v>
      </c>
      <c r="K4322" s="605" t="s">
        <v>1990</v>
      </c>
      <c r="L4322" s="599" t="s">
        <v>1977</v>
      </c>
      <c r="M4322" s="599"/>
    </row>
    <row r="4324" spans="1:13">
      <c r="A4324" s="625" t="s">
        <v>2001</v>
      </c>
    </row>
    <row r="4325" spans="1:13" ht="31.5">
      <c r="A4325" s="361" t="s">
        <v>1369</v>
      </c>
      <c r="B4325" s="620" t="s">
        <v>377</v>
      </c>
      <c r="C4325" s="621" t="s">
        <v>2</v>
      </c>
      <c r="D4325" s="622" t="s">
        <v>1734</v>
      </c>
      <c r="E4325" s="623" t="s">
        <v>3117</v>
      </c>
    </row>
    <row r="4326" spans="1:13" ht="15">
      <c r="A4326" s="147" t="s">
        <v>2000</v>
      </c>
      <c r="B4326" s="26">
        <v>6</v>
      </c>
      <c r="C4326" s="148">
        <v>20</v>
      </c>
      <c r="D4326" s="34" t="s">
        <v>1812</v>
      </c>
      <c r="E4326" s="624">
        <v>1.47</v>
      </c>
    </row>
    <row r="4327" spans="1:13" ht="15">
      <c r="A4327" s="147" t="s">
        <v>2000</v>
      </c>
      <c r="B4327" s="26">
        <v>9</v>
      </c>
      <c r="C4327" s="148">
        <v>20</v>
      </c>
      <c r="D4327" s="34" t="s">
        <v>1812</v>
      </c>
      <c r="E4327" s="624">
        <v>1.6300000000000001</v>
      </c>
    </row>
    <row r="4328" spans="1:13" ht="15">
      <c r="A4328" s="147" t="s">
        <v>2000</v>
      </c>
      <c r="B4328" s="26">
        <v>12</v>
      </c>
      <c r="C4328" s="148">
        <v>20</v>
      </c>
      <c r="D4328" s="34" t="s">
        <v>1812</v>
      </c>
      <c r="E4328" s="624">
        <v>1.76</v>
      </c>
    </row>
    <row r="4329" spans="1:13" ht="15">
      <c r="A4329" s="147" t="s">
        <v>2000</v>
      </c>
      <c r="B4329" s="26">
        <v>15</v>
      </c>
      <c r="C4329" s="148">
        <v>20</v>
      </c>
      <c r="D4329" s="34" t="s">
        <v>1812</v>
      </c>
      <c r="E4329" s="624">
        <v>1.86</v>
      </c>
    </row>
    <row r="4330" spans="1:13" ht="15">
      <c r="A4330" s="147" t="s">
        <v>2000</v>
      </c>
      <c r="B4330" s="26">
        <v>20</v>
      </c>
      <c r="C4330" s="148">
        <v>20</v>
      </c>
      <c r="D4330" s="34" t="s">
        <v>1812</v>
      </c>
      <c r="E4330" s="624">
        <v>2.0199999999999996</v>
      </c>
    </row>
    <row r="4331" spans="1:13" ht="15">
      <c r="A4331" s="147" t="s">
        <v>2000</v>
      </c>
      <c r="B4331" s="26">
        <v>30</v>
      </c>
      <c r="C4331" s="148">
        <v>20</v>
      </c>
      <c r="D4331" s="34" t="s">
        <v>1812</v>
      </c>
      <c r="E4331" s="624">
        <v>2.88</v>
      </c>
    </row>
    <row r="4332" spans="1:13" ht="15">
      <c r="A4332" s="147" t="s">
        <v>2000</v>
      </c>
      <c r="B4332" s="30">
        <v>7</v>
      </c>
      <c r="C4332" s="148">
        <v>20</v>
      </c>
      <c r="D4332" s="34" t="s">
        <v>1812</v>
      </c>
      <c r="E4332" s="624">
        <v>1.84</v>
      </c>
    </row>
    <row r="4333" spans="1:13" ht="15">
      <c r="A4333" s="147" t="s">
        <v>2000</v>
      </c>
      <c r="B4333" s="30">
        <v>9</v>
      </c>
      <c r="C4333" s="148">
        <v>20</v>
      </c>
      <c r="D4333" s="34" t="s">
        <v>1812</v>
      </c>
      <c r="E4333" s="624">
        <v>2.0199999999999996</v>
      </c>
    </row>
    <row r="4334" spans="1:13" ht="15">
      <c r="A4334" s="147" t="s">
        <v>2000</v>
      </c>
      <c r="B4334" s="30">
        <v>12</v>
      </c>
      <c r="C4334" s="148">
        <v>20</v>
      </c>
      <c r="D4334" s="34" t="s">
        <v>1812</v>
      </c>
      <c r="E4334" s="624">
        <v>2.2599999999999998</v>
      </c>
    </row>
    <row r="4338" spans="1:8" ht="15.75">
      <c r="A4338" s="402" t="s">
        <v>105</v>
      </c>
      <c r="B4338" s="402" t="s">
        <v>106</v>
      </c>
      <c r="C4338" s="402" t="s">
        <v>1710</v>
      </c>
      <c r="D4338" s="90" t="s">
        <v>1186</v>
      </c>
      <c r="E4338" s="90" t="s">
        <v>1652</v>
      </c>
      <c r="F4338" s="174" t="s">
        <v>1653</v>
      </c>
      <c r="G4338" s="90" t="s">
        <v>1825</v>
      </c>
      <c r="H4338" s="140"/>
    </row>
    <row r="4339" spans="1:8" ht="15">
      <c r="A4339" s="6" t="s">
        <v>2003</v>
      </c>
      <c r="B4339" s="24" t="s">
        <v>242</v>
      </c>
      <c r="C4339" s="24" t="s">
        <v>2004</v>
      </c>
      <c r="D4339" s="151">
        <v>13.7</v>
      </c>
      <c r="E4339" s="41">
        <v>181</v>
      </c>
      <c r="F4339" s="199">
        <f>D4339*E4339</f>
        <v>2479.6999999999998</v>
      </c>
      <c r="G4339" s="46">
        <v>2.21</v>
      </c>
      <c r="H4339" s="180"/>
    </row>
    <row r="4340" spans="1:8" ht="15">
      <c r="A4340" s="6" t="s">
        <v>2003</v>
      </c>
      <c r="B4340" s="24" t="s">
        <v>242</v>
      </c>
      <c r="C4340" s="24" t="s">
        <v>2005</v>
      </c>
      <c r="D4340" s="151">
        <v>13.7</v>
      </c>
      <c r="E4340" s="41">
        <v>89</v>
      </c>
      <c r="F4340" s="199">
        <f>D4340*E4340</f>
        <v>1219.3</v>
      </c>
      <c r="G4340" s="46">
        <v>2.21</v>
      </c>
      <c r="H4340" s="180"/>
    </row>
    <row r="4341" spans="1:8" ht="15">
      <c r="A4341" s="6" t="s">
        <v>2003</v>
      </c>
      <c r="B4341" s="24" t="s">
        <v>242</v>
      </c>
      <c r="C4341" s="95" t="s">
        <v>2011</v>
      </c>
      <c r="D4341" s="151">
        <v>13.7</v>
      </c>
      <c r="E4341" s="41">
        <v>59</v>
      </c>
      <c r="F4341" s="199">
        <f>D4341*E4341</f>
        <v>808.3</v>
      </c>
      <c r="G4341" s="46">
        <v>1.52</v>
      </c>
      <c r="H4341" s="180"/>
    </row>
    <row r="4345" spans="1:8" ht="15.75">
      <c r="A4345" s="402" t="s">
        <v>106</v>
      </c>
      <c r="B4345" s="402" t="s">
        <v>1098</v>
      </c>
      <c r="C4345" s="402" t="s">
        <v>128</v>
      </c>
      <c r="D4345" s="402" t="s">
        <v>54</v>
      </c>
      <c r="E4345" s="90" t="s">
        <v>2020</v>
      </c>
    </row>
    <row r="4346" spans="1:8" ht="15">
      <c r="A4346" s="24" t="s">
        <v>1452</v>
      </c>
      <c r="B4346" s="44" t="s">
        <v>1453</v>
      </c>
      <c r="C4346" s="260" t="s">
        <v>2013</v>
      </c>
      <c r="D4346" s="261">
        <v>50</v>
      </c>
      <c r="E4346" s="46">
        <v>0.28000000000000003</v>
      </c>
    </row>
    <row r="4347" spans="1:8" ht="15">
      <c r="A4347" s="24" t="s">
        <v>1452</v>
      </c>
      <c r="B4347" s="44" t="s">
        <v>1454</v>
      </c>
      <c r="C4347" s="260" t="s">
        <v>2013</v>
      </c>
      <c r="D4347" s="261">
        <v>150</v>
      </c>
      <c r="E4347" s="46">
        <v>0.28999999999999998</v>
      </c>
    </row>
    <row r="4348" spans="1:8" ht="15">
      <c r="A4348" s="24" t="s">
        <v>1452</v>
      </c>
      <c r="B4348" s="44" t="s">
        <v>1030</v>
      </c>
      <c r="C4348" s="260" t="s">
        <v>2013</v>
      </c>
      <c r="D4348" s="261">
        <v>70</v>
      </c>
      <c r="E4348" s="46">
        <v>0.3</v>
      </c>
    </row>
    <row r="4349" spans="1:8" ht="15">
      <c r="A4349" s="24"/>
      <c r="B4349" s="138"/>
      <c r="C4349" s="44" t="s">
        <v>2014</v>
      </c>
      <c r="D4349" s="45" t="s">
        <v>2021</v>
      </c>
      <c r="E4349" s="46">
        <v>14</v>
      </c>
    </row>
    <row r="4350" spans="1:8" ht="15">
      <c r="A4350" s="24"/>
      <c r="B4350" s="138"/>
      <c r="C4350" s="44" t="s">
        <v>1993</v>
      </c>
      <c r="D4350" s="45">
        <v>1</v>
      </c>
      <c r="E4350" s="46">
        <v>12</v>
      </c>
    </row>
    <row r="4352" spans="1:8" ht="15.75">
      <c r="A4352" s="402" t="s">
        <v>106</v>
      </c>
      <c r="B4352" s="90" t="s">
        <v>52</v>
      </c>
      <c r="C4352" s="402" t="s">
        <v>1710</v>
      </c>
      <c r="D4352" s="402" t="s">
        <v>54</v>
      </c>
      <c r="E4352" s="626" t="s">
        <v>3117</v>
      </c>
    </row>
    <row r="4353" spans="1:9" ht="15">
      <c r="A4353" s="24">
        <v>5638</v>
      </c>
      <c r="B4353" s="26" t="s">
        <v>1915</v>
      </c>
      <c r="C4353" s="24" t="s">
        <v>2018</v>
      </c>
      <c r="D4353" s="67">
        <v>50</v>
      </c>
      <c r="E4353" s="25">
        <v>0.6</v>
      </c>
    </row>
    <row r="4354" spans="1:9" ht="15">
      <c r="A4354" s="24"/>
      <c r="B4354" s="44"/>
      <c r="C4354" s="44" t="s">
        <v>1949</v>
      </c>
      <c r="D4354" s="45">
        <v>1</v>
      </c>
      <c r="E4354" s="46">
        <v>12</v>
      </c>
    </row>
    <row r="4356" spans="1:9" ht="15.75">
      <c r="A4356" s="402" t="s">
        <v>106</v>
      </c>
      <c r="B4356" s="90" t="s">
        <v>52</v>
      </c>
      <c r="C4356" s="402" t="s">
        <v>1710</v>
      </c>
      <c r="D4356" s="90" t="s">
        <v>1186</v>
      </c>
      <c r="E4356" s="90" t="s">
        <v>1652</v>
      </c>
      <c r="F4356" s="174" t="s">
        <v>1653</v>
      </c>
      <c r="G4356" s="90" t="s">
        <v>1825</v>
      </c>
      <c r="H4356" s="90"/>
      <c r="I4356" s="90" t="s">
        <v>151</v>
      </c>
    </row>
    <row r="4357" spans="1:9" ht="15">
      <c r="A4357" s="24">
        <v>12701</v>
      </c>
      <c r="B4357" s="26">
        <v>50</v>
      </c>
      <c r="C4357" s="24" t="s">
        <v>868</v>
      </c>
      <c r="D4357" s="67">
        <v>10</v>
      </c>
      <c r="E4357" s="68">
        <v>5</v>
      </c>
      <c r="F4357" s="8">
        <f t="shared" ref="F4357:F4362" si="2">D4357*E4357</f>
        <v>50</v>
      </c>
      <c r="G4357" s="25">
        <v>3.16</v>
      </c>
      <c r="H4357" s="25"/>
      <c r="I4357" s="352" t="s">
        <v>879</v>
      </c>
    </row>
    <row r="4358" spans="1:9" ht="15">
      <c r="A4358" s="79">
        <v>12701</v>
      </c>
      <c r="B4358" s="78">
        <v>50</v>
      </c>
      <c r="C4358" s="79" t="s">
        <v>869</v>
      </c>
      <c r="D4358" s="247">
        <v>10</v>
      </c>
      <c r="E4358" s="248">
        <v>5</v>
      </c>
      <c r="F4358" s="256">
        <f t="shared" si="2"/>
        <v>50</v>
      </c>
      <c r="G4358" s="627" t="s">
        <v>2026</v>
      </c>
      <c r="H4358" s="627"/>
      <c r="I4358" s="576"/>
    </row>
    <row r="4359" spans="1:9" ht="15">
      <c r="A4359" s="24">
        <v>12701</v>
      </c>
      <c r="B4359" s="26">
        <v>4</v>
      </c>
      <c r="C4359" s="24" t="s">
        <v>868</v>
      </c>
      <c r="D4359" s="67">
        <v>40</v>
      </c>
      <c r="E4359" s="68">
        <v>5</v>
      </c>
      <c r="F4359" s="8">
        <f t="shared" si="2"/>
        <v>200</v>
      </c>
      <c r="G4359" s="25">
        <v>0.68</v>
      </c>
      <c r="H4359" s="25"/>
      <c r="I4359" s="352" t="s">
        <v>879</v>
      </c>
    </row>
    <row r="4360" spans="1:9" ht="15">
      <c r="A4360" s="24">
        <v>12701</v>
      </c>
      <c r="B4360" s="26">
        <v>4</v>
      </c>
      <c r="C4360" s="24" t="s">
        <v>869</v>
      </c>
      <c r="D4360" s="67">
        <v>40</v>
      </c>
      <c r="E4360" s="68">
        <v>5</v>
      </c>
      <c r="F4360" s="8">
        <f t="shared" si="2"/>
        <v>200</v>
      </c>
      <c r="G4360" s="25">
        <v>0.68</v>
      </c>
      <c r="H4360" s="25"/>
      <c r="I4360" s="352" t="s">
        <v>879</v>
      </c>
    </row>
    <row r="4361" spans="1:9" ht="15">
      <c r="A4361" s="24">
        <v>12701</v>
      </c>
      <c r="B4361" s="26">
        <v>6</v>
      </c>
      <c r="C4361" s="24" t="s">
        <v>868</v>
      </c>
      <c r="D4361" s="67">
        <v>10</v>
      </c>
      <c r="E4361" s="68">
        <v>5</v>
      </c>
      <c r="F4361" s="8">
        <f t="shared" si="2"/>
        <v>50</v>
      </c>
      <c r="G4361" s="25">
        <v>0.7</v>
      </c>
      <c r="H4361" s="25"/>
      <c r="I4361" s="352" t="s">
        <v>879</v>
      </c>
    </row>
    <row r="4362" spans="1:9" ht="15">
      <c r="A4362" s="24">
        <v>12701</v>
      </c>
      <c r="B4362" s="26">
        <v>6</v>
      </c>
      <c r="C4362" s="24" t="s">
        <v>869</v>
      </c>
      <c r="D4362" s="67">
        <v>10</v>
      </c>
      <c r="E4362" s="68">
        <v>5</v>
      </c>
      <c r="F4362" s="8">
        <f t="shared" si="2"/>
        <v>50</v>
      </c>
      <c r="G4362" s="25">
        <v>0.7</v>
      </c>
      <c r="H4362" s="25"/>
      <c r="I4362" s="352" t="s">
        <v>2027</v>
      </c>
    </row>
    <row r="4363" spans="1:9" ht="22.5">
      <c r="A4363" s="24"/>
      <c r="B4363" s="44"/>
      <c r="C4363" s="44" t="s">
        <v>1949</v>
      </c>
      <c r="D4363" s="45"/>
      <c r="E4363" s="152" ph="1"/>
      <c r="F4363" s="45">
        <v>1</v>
      </c>
      <c r="G4363" s="46">
        <v>12</v>
      </c>
      <c r="H4363" s="46"/>
      <c r="I4363" s="46"/>
    </row>
    <row r="4366" spans="1:9" ht="15.75">
      <c r="A4366" s="402" t="s">
        <v>106</v>
      </c>
      <c r="B4366" s="90" t="s">
        <v>52</v>
      </c>
      <c r="C4366" s="402" t="s">
        <v>1710</v>
      </c>
      <c r="D4366" s="90" t="s">
        <v>1186</v>
      </c>
      <c r="E4366" s="90" t="s">
        <v>1652</v>
      </c>
      <c r="F4366" s="174" t="s">
        <v>1653</v>
      </c>
    </row>
    <row r="4367" spans="1:9" ht="15">
      <c r="A4367" s="24">
        <v>1962</v>
      </c>
      <c r="B4367" s="26" t="s">
        <v>1915</v>
      </c>
      <c r="C4367" s="24" t="s">
        <v>1918</v>
      </c>
      <c r="D4367" s="67">
        <v>30</v>
      </c>
      <c r="E4367" s="68">
        <v>46</v>
      </c>
      <c r="F4367" s="8">
        <f>D4367*E4367</f>
        <v>1380</v>
      </c>
    </row>
    <row r="4371" spans="1:10" ht="15.75">
      <c r="A4371" s="402" t="s">
        <v>105</v>
      </c>
      <c r="B4371" s="402" t="s">
        <v>106</v>
      </c>
      <c r="C4371" s="402" t="s">
        <v>1710</v>
      </c>
      <c r="D4371" s="90" t="s">
        <v>1186</v>
      </c>
      <c r="E4371" s="90" t="s">
        <v>1652</v>
      </c>
      <c r="F4371" s="174" t="s">
        <v>1653</v>
      </c>
      <c r="G4371" s="90" t="s">
        <v>1825</v>
      </c>
      <c r="H4371" s="140"/>
    </row>
    <row r="4372" spans="1:10" ht="15">
      <c r="A4372" s="6" t="s">
        <v>2029</v>
      </c>
      <c r="B4372" s="24" t="s">
        <v>536</v>
      </c>
      <c r="C4372" s="24" t="s">
        <v>114</v>
      </c>
      <c r="D4372" s="67">
        <v>50</v>
      </c>
      <c r="E4372" s="68">
        <v>2</v>
      </c>
      <c r="F4372" s="8">
        <f>D4372*E4372</f>
        <v>100</v>
      </c>
      <c r="G4372" s="25">
        <v>4.45</v>
      </c>
      <c r="H4372" s="142"/>
    </row>
    <row r="4373" spans="1:10" ht="15">
      <c r="A4373" s="6" t="s">
        <v>2029</v>
      </c>
      <c r="B4373" s="24" t="s">
        <v>536</v>
      </c>
      <c r="C4373" s="24" t="s">
        <v>2030</v>
      </c>
      <c r="D4373" s="67">
        <v>10</v>
      </c>
      <c r="E4373" s="68">
        <v>1</v>
      </c>
      <c r="F4373" s="8">
        <f>D4373*E4373</f>
        <v>10</v>
      </c>
      <c r="G4373" s="25">
        <v>4.45</v>
      </c>
      <c r="H4373" s="142"/>
    </row>
    <row r="4374" spans="1:10" ht="15">
      <c r="A4374" s="6" t="s">
        <v>2029</v>
      </c>
      <c r="B4374" s="24"/>
      <c r="C4374" s="44" t="s">
        <v>75</v>
      </c>
      <c r="D4374" s="8"/>
      <c r="E4374" s="41"/>
      <c r="F4374" s="45">
        <v>1</v>
      </c>
      <c r="G4374" s="46">
        <v>12</v>
      </c>
      <c r="H4374" s="180"/>
    </row>
    <row r="4375" spans="1:10" ht="15">
      <c r="A4375" s="6" t="s">
        <v>2029</v>
      </c>
      <c r="B4375" s="24"/>
      <c r="C4375" s="44" t="s">
        <v>1993</v>
      </c>
      <c r="D4375" s="8"/>
      <c r="E4375" s="41"/>
      <c r="F4375" s="45">
        <v>1</v>
      </c>
      <c r="G4375" s="46">
        <v>20</v>
      </c>
      <c r="H4375" s="180"/>
    </row>
    <row r="4378" spans="1:10" ht="15.75">
      <c r="A4378" s="402" t="s">
        <v>106</v>
      </c>
      <c r="B4378" s="90" t="s">
        <v>52</v>
      </c>
      <c r="C4378" s="402" t="s">
        <v>1710</v>
      </c>
      <c r="D4378" s="90" t="s">
        <v>1186</v>
      </c>
      <c r="E4378" s="90" t="s">
        <v>1652</v>
      </c>
      <c r="F4378" s="174" t="s">
        <v>1653</v>
      </c>
      <c r="G4378" s="90" t="s">
        <v>1825</v>
      </c>
      <c r="H4378" s="140"/>
    </row>
    <row r="4379" spans="1:10" ht="15">
      <c r="A4379" s="24">
        <v>1962</v>
      </c>
      <c r="B4379" s="26" t="s">
        <v>1915</v>
      </c>
      <c r="C4379" s="24" t="s">
        <v>1918</v>
      </c>
      <c r="D4379" s="67">
        <v>30</v>
      </c>
      <c r="E4379" s="68">
        <v>46</v>
      </c>
      <c r="F4379" s="67" t="s">
        <v>2031</v>
      </c>
      <c r="G4379" s="46">
        <v>0.89</v>
      </c>
      <c r="H4379" s="180"/>
    </row>
    <row r="4380" spans="1:10" ht="15">
      <c r="A4380" s="24"/>
      <c r="B4380" s="138"/>
      <c r="C4380" s="44" t="s">
        <v>1993</v>
      </c>
      <c r="D4380" s="8"/>
      <c r="E4380" s="41"/>
      <c r="F4380" s="45">
        <v>1</v>
      </c>
      <c r="G4380" s="46">
        <v>12</v>
      </c>
      <c r="H4380" s="180"/>
    </row>
    <row r="4384" spans="1:10" ht="15.75">
      <c r="A4384" s="402" t="s">
        <v>105</v>
      </c>
      <c r="B4384" s="402" t="s">
        <v>106</v>
      </c>
      <c r="C4384" s="90" t="s">
        <v>52</v>
      </c>
      <c r="D4384" s="402" t="s">
        <v>1710</v>
      </c>
      <c r="E4384" s="90" t="s">
        <v>1186</v>
      </c>
      <c r="F4384" s="90" t="s">
        <v>1652</v>
      </c>
      <c r="G4384" s="174" t="s">
        <v>1653</v>
      </c>
      <c r="H4384" s="174"/>
      <c r="I4384" s="90" t="s">
        <v>1825</v>
      </c>
      <c r="J4384" s="90" t="s">
        <v>2040</v>
      </c>
    </row>
    <row r="4385" spans="1:10" ht="15">
      <c r="A4385" s="6" t="s">
        <v>2035</v>
      </c>
      <c r="B4385" s="24">
        <v>4141</v>
      </c>
      <c r="C4385" s="26">
        <v>9</v>
      </c>
      <c r="D4385" s="24" t="s">
        <v>2037</v>
      </c>
      <c r="E4385" s="67">
        <v>20</v>
      </c>
      <c r="F4385" s="68">
        <v>1</v>
      </c>
      <c r="G4385" s="67">
        <f>E4385*F4385</f>
        <v>20</v>
      </c>
      <c r="H4385" s="67"/>
      <c r="I4385" s="25">
        <v>1.42</v>
      </c>
      <c r="J4385" s="25">
        <v>1.63</v>
      </c>
    </row>
    <row r="4386" spans="1:10" ht="15">
      <c r="A4386" s="6" t="s">
        <v>2035</v>
      </c>
      <c r="B4386" s="24">
        <v>4141</v>
      </c>
      <c r="C4386" s="26">
        <v>9</v>
      </c>
      <c r="D4386" s="24" t="s">
        <v>2038</v>
      </c>
      <c r="E4386" s="67">
        <v>20</v>
      </c>
      <c r="F4386" s="68">
        <v>1</v>
      </c>
      <c r="G4386" s="67">
        <f>E4386*F4386</f>
        <v>20</v>
      </c>
      <c r="H4386" s="67"/>
      <c r="I4386" s="25">
        <v>1.42</v>
      </c>
      <c r="J4386" s="25">
        <v>1.63</v>
      </c>
    </row>
    <row r="4387" spans="1:10" ht="15">
      <c r="A4387" s="6" t="s">
        <v>2035</v>
      </c>
      <c r="B4387" s="24"/>
      <c r="C4387" s="26"/>
      <c r="D4387" s="44" t="s">
        <v>1993</v>
      </c>
      <c r="E4387" s="36"/>
      <c r="F4387" s="41"/>
      <c r="G4387" s="45">
        <v>1</v>
      </c>
      <c r="H4387" s="45"/>
      <c r="I4387" s="46">
        <v>12</v>
      </c>
      <c r="J4387" s="25"/>
    </row>
    <row r="4391" spans="1:10" ht="15.75">
      <c r="A4391" s="402" t="s">
        <v>105</v>
      </c>
      <c r="B4391" s="402" t="s">
        <v>106</v>
      </c>
      <c r="C4391" s="90" t="s">
        <v>52</v>
      </c>
      <c r="D4391" s="402" t="s">
        <v>1710</v>
      </c>
      <c r="E4391" s="90" t="s">
        <v>1186</v>
      </c>
      <c r="F4391" s="90" t="s">
        <v>1652</v>
      </c>
      <c r="G4391" s="174" t="s">
        <v>1653</v>
      </c>
      <c r="H4391" s="174"/>
      <c r="I4391" s="90" t="s">
        <v>1825</v>
      </c>
      <c r="J4391" s="90" t="s">
        <v>2042</v>
      </c>
    </row>
    <row r="4392" spans="1:10" ht="15.75">
      <c r="A4392" s="33" t="s">
        <v>2041</v>
      </c>
      <c r="B4392" s="24">
        <v>1962</v>
      </c>
      <c r="C4392" s="26" t="s">
        <v>1915</v>
      </c>
      <c r="D4392" s="24" t="s">
        <v>1918</v>
      </c>
      <c r="E4392" s="67">
        <v>30</v>
      </c>
      <c r="F4392" s="68">
        <v>12</v>
      </c>
      <c r="G4392" s="8">
        <f>E4392*F4392</f>
        <v>360</v>
      </c>
      <c r="H4392" s="8"/>
      <c r="I4392" s="46">
        <v>0.89</v>
      </c>
      <c r="J4392" s="90" t="s">
        <v>2043</v>
      </c>
    </row>
    <row r="4393" spans="1:10" ht="15.75">
      <c r="A4393" s="33" t="s">
        <v>2041</v>
      </c>
      <c r="B4393" s="24">
        <v>1962</v>
      </c>
      <c r="C4393" s="26" t="s">
        <v>1915</v>
      </c>
      <c r="D4393" s="24" t="s">
        <v>1918</v>
      </c>
      <c r="E4393" s="67">
        <v>30</v>
      </c>
      <c r="F4393" s="68">
        <v>37</v>
      </c>
      <c r="G4393" s="8">
        <f>E4393*F4393</f>
        <v>1110</v>
      </c>
      <c r="H4393" s="8"/>
      <c r="I4393" s="46">
        <v>0.89</v>
      </c>
      <c r="J4393" s="90" t="s">
        <v>2044</v>
      </c>
    </row>
    <row r="4394" spans="1:10" ht="15.75">
      <c r="A4394" s="33" t="s">
        <v>2041</v>
      </c>
      <c r="B4394" s="56"/>
      <c r="C4394" s="138"/>
      <c r="D4394" s="44" t="s">
        <v>1993</v>
      </c>
      <c r="E4394" s="8"/>
      <c r="F4394" s="41"/>
      <c r="G4394" s="45">
        <v>1</v>
      </c>
      <c r="H4394" s="45"/>
      <c r="I4394" s="46">
        <v>12</v>
      </c>
      <c r="J4394" s="90"/>
    </row>
    <row r="4397" spans="1:10" ht="15.75">
      <c r="A4397" s="402" t="s">
        <v>105</v>
      </c>
      <c r="B4397" s="402" t="s">
        <v>106</v>
      </c>
      <c r="C4397" s="402" t="s">
        <v>1710</v>
      </c>
      <c r="D4397" s="90" t="s">
        <v>1186</v>
      </c>
      <c r="E4397" s="90" t="s">
        <v>1652</v>
      </c>
      <c r="F4397" s="174" t="s">
        <v>1653</v>
      </c>
      <c r="G4397" s="90" t="s">
        <v>1825</v>
      </c>
      <c r="H4397" s="90"/>
      <c r="I4397" s="39"/>
    </row>
    <row r="4398" spans="1:10" ht="15">
      <c r="A4398" s="33" t="s">
        <v>2029</v>
      </c>
      <c r="B4398" s="24" t="s">
        <v>536</v>
      </c>
      <c r="C4398" s="24" t="s">
        <v>114</v>
      </c>
      <c r="D4398" s="67">
        <v>50</v>
      </c>
      <c r="E4398" s="68">
        <v>2</v>
      </c>
      <c r="F4398" s="8">
        <f>D4398*E4398</f>
        <v>100</v>
      </c>
      <c r="G4398" s="25">
        <v>4.45</v>
      </c>
      <c r="H4398" s="25"/>
      <c r="I4398" s="46">
        <f>G4398*F4398</f>
        <v>445</v>
      </c>
    </row>
    <row r="4399" spans="1:10" ht="15">
      <c r="A4399" s="33" t="s">
        <v>2029</v>
      </c>
      <c r="B4399" s="24" t="s">
        <v>536</v>
      </c>
      <c r="C4399" s="24" t="s">
        <v>2030</v>
      </c>
      <c r="D4399" s="67">
        <v>10</v>
      </c>
      <c r="E4399" s="68">
        <v>1</v>
      </c>
      <c r="F4399" s="8">
        <f>D4399*E4399</f>
        <v>10</v>
      </c>
      <c r="G4399" s="25">
        <v>4.45</v>
      </c>
      <c r="H4399" s="25"/>
      <c r="I4399" s="46">
        <f>G4399*F4399</f>
        <v>44.5</v>
      </c>
    </row>
    <row r="4400" spans="1:10" ht="15">
      <c r="A4400" s="33" t="s">
        <v>2029</v>
      </c>
      <c r="B4400" s="24"/>
      <c r="C4400" s="44" t="s">
        <v>75</v>
      </c>
      <c r="D4400" s="8"/>
      <c r="E4400" s="41"/>
      <c r="F4400" s="45">
        <v>1</v>
      </c>
      <c r="G4400" s="46">
        <v>12</v>
      </c>
      <c r="H4400" s="46"/>
      <c r="I4400" s="46">
        <f>G4400*F4400</f>
        <v>12</v>
      </c>
    </row>
    <row r="4401" spans="1:9" ht="15">
      <c r="A4401" s="33" t="s">
        <v>2046</v>
      </c>
      <c r="B4401" s="24" t="s">
        <v>536</v>
      </c>
      <c r="C4401" s="24" t="s">
        <v>2045</v>
      </c>
      <c r="D4401" s="67">
        <v>50</v>
      </c>
      <c r="E4401" s="68">
        <v>1</v>
      </c>
      <c r="F4401" s="8">
        <f>D4401*E4401</f>
        <v>50</v>
      </c>
      <c r="G4401" s="25">
        <v>4.45</v>
      </c>
      <c r="H4401" s="25"/>
      <c r="I4401" s="46">
        <f>G4401*F4401</f>
        <v>222.5</v>
      </c>
    </row>
    <row r="4402" spans="1:9" ht="15">
      <c r="A4402" s="33" t="s">
        <v>2047</v>
      </c>
      <c r="B4402" s="24"/>
      <c r="C4402" s="44" t="s">
        <v>1993</v>
      </c>
      <c r="D4402" s="8"/>
      <c r="E4402" s="41"/>
      <c r="F4402" s="45"/>
      <c r="G4402" s="46">
        <v>40</v>
      </c>
      <c r="H4402" s="46"/>
      <c r="I4402" s="46">
        <f>G4402*F4402</f>
        <v>0</v>
      </c>
    </row>
    <row r="4404" spans="1:9" ht="15.75">
      <c r="A4404" s="402" t="s">
        <v>106</v>
      </c>
      <c r="B4404" s="402" t="s">
        <v>1710</v>
      </c>
      <c r="C4404" s="90" t="s">
        <v>1186</v>
      </c>
      <c r="D4404" s="90" t="s">
        <v>1652</v>
      </c>
      <c r="E4404" s="174" t="s">
        <v>1653</v>
      </c>
      <c r="F4404" s="156" t="s">
        <v>245</v>
      </c>
      <c r="G4404" s="156" t="s">
        <v>2052</v>
      </c>
      <c r="H4404" s="754"/>
    </row>
    <row r="4405" spans="1:9" ht="15">
      <c r="A4405" s="24" t="s">
        <v>2049</v>
      </c>
      <c r="B4405" s="24" t="s">
        <v>1079</v>
      </c>
      <c r="C4405" s="67">
        <v>58</v>
      </c>
      <c r="D4405" s="68">
        <v>7</v>
      </c>
      <c r="E4405" s="67">
        <f>C4405*D4405</f>
        <v>406</v>
      </c>
      <c r="F4405" s="67" t="s">
        <v>2051</v>
      </c>
      <c r="G4405" s="67" t="s">
        <v>2053</v>
      </c>
      <c r="H4405" s="679"/>
    </row>
    <row r="4406" spans="1:9" ht="15">
      <c r="A4406" s="24" t="s">
        <v>2049</v>
      </c>
      <c r="B4406" s="24" t="s">
        <v>1078</v>
      </c>
      <c r="C4406" s="67">
        <v>58</v>
      </c>
      <c r="D4406" s="68">
        <v>6</v>
      </c>
      <c r="E4406" s="67">
        <f>C4406*D4406</f>
        <v>348</v>
      </c>
      <c r="F4406" s="67" t="s">
        <v>2051</v>
      </c>
      <c r="G4406" s="67" t="s">
        <v>2054</v>
      </c>
      <c r="H4406" s="679"/>
    </row>
    <row r="4407" spans="1:9" ht="15">
      <c r="A4407" s="24" t="s">
        <v>2049</v>
      </c>
      <c r="B4407" s="47" t="s">
        <v>2050</v>
      </c>
      <c r="C4407" s="67">
        <v>58</v>
      </c>
      <c r="D4407" s="68">
        <v>10</v>
      </c>
      <c r="E4407" s="67">
        <f>C4407*D4407</f>
        <v>580</v>
      </c>
      <c r="F4407" s="67"/>
      <c r="G4407" s="67" t="s">
        <v>2055</v>
      </c>
      <c r="H4407" s="679"/>
    </row>
    <row r="4409" spans="1:9" s="317" customFormat="1" ht="15.75">
      <c r="A4409" s="630" t="s">
        <v>2061</v>
      </c>
      <c r="B4409" s="630" t="s">
        <v>1603</v>
      </c>
      <c r="C4409" s="630" t="s">
        <v>1710</v>
      </c>
      <c r="D4409" s="372" t="s">
        <v>1652</v>
      </c>
      <c r="E4409" s="631" t="s">
        <v>1653</v>
      </c>
      <c r="F4409" s="372" t="s">
        <v>2059</v>
      </c>
      <c r="G4409" s="632" t="s">
        <v>151</v>
      </c>
      <c r="H4409" s="755"/>
    </row>
    <row r="4410" spans="1:9" s="317" customFormat="1" ht="15.75">
      <c r="A4410" s="33" t="s">
        <v>2048</v>
      </c>
      <c r="B4410" s="24" t="s">
        <v>2049</v>
      </c>
      <c r="C4410" s="24" t="s">
        <v>1079</v>
      </c>
      <c r="D4410" s="628">
        <v>7</v>
      </c>
      <c r="E4410" s="32">
        <v>392</v>
      </c>
      <c r="F4410" s="82">
        <v>5.57</v>
      </c>
      <c r="G4410" s="96" t="s">
        <v>879</v>
      </c>
      <c r="H4410" s="756"/>
    </row>
    <row r="4411" spans="1:9" s="317" customFormat="1" ht="15.75">
      <c r="A4411" s="33" t="s">
        <v>2048</v>
      </c>
      <c r="B4411" s="24" t="s">
        <v>2049</v>
      </c>
      <c r="C4411" s="24" t="s">
        <v>1079</v>
      </c>
      <c r="D4411" s="628">
        <v>1</v>
      </c>
      <c r="E4411" s="32">
        <v>10</v>
      </c>
      <c r="F4411" s="82">
        <v>5.57</v>
      </c>
      <c r="G4411" s="96" t="s">
        <v>879</v>
      </c>
      <c r="H4411" s="756"/>
    </row>
    <row r="4412" spans="1:9" s="317" customFormat="1" ht="15.75">
      <c r="A4412" s="33" t="s">
        <v>2048</v>
      </c>
      <c r="B4412" s="24" t="s">
        <v>2049</v>
      </c>
      <c r="C4412" s="24" t="s">
        <v>1078</v>
      </c>
      <c r="D4412" s="572">
        <v>4</v>
      </c>
      <c r="E4412" s="120" t="s">
        <v>2056</v>
      </c>
      <c r="F4412" s="82">
        <v>5.57</v>
      </c>
      <c r="G4412" s="96" t="s">
        <v>2060</v>
      </c>
      <c r="H4412" s="756"/>
    </row>
    <row r="4413" spans="1:9" s="317" customFormat="1" ht="15.75">
      <c r="A4413" s="630" t="s">
        <v>2062</v>
      </c>
      <c r="B4413" s="630" t="s">
        <v>1603</v>
      </c>
      <c r="C4413" s="630" t="s">
        <v>1710</v>
      </c>
      <c r="D4413" s="372" t="s">
        <v>1652</v>
      </c>
      <c r="E4413" s="631" t="s">
        <v>1653</v>
      </c>
      <c r="F4413" s="372" t="s">
        <v>2059</v>
      </c>
      <c r="G4413" s="632" t="s">
        <v>151</v>
      </c>
      <c r="H4413" s="755"/>
    </row>
    <row r="4414" spans="1:9" s="317" customFormat="1" ht="15.75">
      <c r="A4414" s="33" t="s">
        <v>2048</v>
      </c>
      <c r="B4414" s="24" t="s">
        <v>2049</v>
      </c>
      <c r="C4414" s="24" t="s">
        <v>1078</v>
      </c>
      <c r="D4414" s="628">
        <v>2</v>
      </c>
      <c r="E4414" s="32" t="s">
        <v>2057</v>
      </c>
      <c r="F4414" s="82">
        <v>5.57</v>
      </c>
      <c r="G4414" s="96" t="s">
        <v>2063</v>
      </c>
      <c r="H4414" s="756"/>
    </row>
    <row r="4415" spans="1:9" s="317" customFormat="1" ht="15.75">
      <c r="A4415" s="33" t="s">
        <v>2048</v>
      </c>
      <c r="B4415" s="24" t="s">
        <v>2049</v>
      </c>
      <c r="C4415" s="47" t="s">
        <v>2050</v>
      </c>
      <c r="D4415" s="628">
        <v>10</v>
      </c>
      <c r="E4415" s="32" t="s">
        <v>2058</v>
      </c>
      <c r="F4415" s="82">
        <v>5.57</v>
      </c>
      <c r="G4415" s="96" t="s">
        <v>2064</v>
      </c>
      <c r="H4415" s="756"/>
    </row>
    <row r="4418" spans="1:9">
      <c r="G4418" s="629"/>
      <c r="H4418" s="629"/>
    </row>
    <row r="4419" spans="1:9" ht="15.75">
      <c r="A4419" s="402" t="s">
        <v>106</v>
      </c>
      <c r="B4419" s="90" t="s">
        <v>52</v>
      </c>
      <c r="C4419" s="402" t="s">
        <v>1710</v>
      </c>
      <c r="D4419" s="90" t="s">
        <v>1186</v>
      </c>
      <c r="E4419" s="90" t="s">
        <v>1652</v>
      </c>
      <c r="F4419" s="174" t="s">
        <v>1653</v>
      </c>
      <c r="G4419" s="90" t="s">
        <v>1825</v>
      </c>
      <c r="H4419" s="140"/>
    </row>
    <row r="4420" spans="1:9" ht="15">
      <c r="A4420" s="24">
        <v>3705</v>
      </c>
      <c r="B4420" s="26">
        <v>6</v>
      </c>
      <c r="C4420" s="24" t="s">
        <v>2066</v>
      </c>
      <c r="D4420" s="151">
        <v>30</v>
      </c>
      <c r="E4420" s="152">
        <v>2</v>
      </c>
      <c r="F4420" s="67">
        <f>D4420*E4420</f>
        <v>60</v>
      </c>
      <c r="G4420" s="46">
        <v>0.28999999999999998</v>
      </c>
      <c r="H4420" s="180"/>
    </row>
    <row r="4421" spans="1:9" ht="15">
      <c r="A4421" s="24">
        <v>3717</v>
      </c>
      <c r="B4421" s="26">
        <v>6</v>
      </c>
      <c r="C4421" s="24" t="s">
        <v>1830</v>
      </c>
      <c r="D4421" s="151">
        <v>30</v>
      </c>
      <c r="E4421" s="152">
        <v>2</v>
      </c>
      <c r="F4421" s="67">
        <f>D4421*E4421</f>
        <v>60</v>
      </c>
      <c r="G4421" s="46">
        <v>0.22</v>
      </c>
      <c r="H4421" s="180"/>
    </row>
    <row r="4422" spans="1:9" ht="15">
      <c r="A4422" s="24"/>
      <c r="B4422" s="138"/>
      <c r="C4422" s="44" t="s">
        <v>1993</v>
      </c>
      <c r="D4422" s="8"/>
      <c r="E4422" s="41"/>
      <c r="F4422" s="45">
        <v>1</v>
      </c>
      <c r="G4422" s="46">
        <v>12</v>
      </c>
      <c r="H4422" s="180"/>
    </row>
    <row r="4425" spans="1:9" ht="15.75">
      <c r="A4425" s="90" t="s">
        <v>1603</v>
      </c>
      <c r="B4425" s="90" t="s">
        <v>389</v>
      </c>
      <c r="C4425" s="90" t="s">
        <v>2</v>
      </c>
      <c r="D4425" s="90" t="s">
        <v>980</v>
      </c>
      <c r="E4425" s="146" t="s">
        <v>1055</v>
      </c>
    </row>
    <row r="4426" spans="1:9" ht="15">
      <c r="A4426" s="407">
        <v>5291</v>
      </c>
      <c r="B4426" s="408">
        <v>8</v>
      </c>
      <c r="C4426" s="258">
        <v>50</v>
      </c>
      <c r="D4426" s="409">
        <v>50</v>
      </c>
      <c r="E4426" s="46">
        <v>0.45</v>
      </c>
    </row>
    <row r="4429" spans="1:9" ht="15.75">
      <c r="A4429" s="402" t="s">
        <v>106</v>
      </c>
      <c r="B4429" s="402" t="s">
        <v>1098</v>
      </c>
      <c r="C4429" s="402" t="s">
        <v>128</v>
      </c>
      <c r="D4429" s="402" t="s">
        <v>54</v>
      </c>
      <c r="E4429" s="90" t="s">
        <v>2020</v>
      </c>
      <c r="F4429" s="151"/>
      <c r="G4429" s="34" t="s">
        <v>1027</v>
      </c>
      <c r="H4429" s="31"/>
    </row>
    <row r="4430" spans="1:9" ht="15">
      <c r="A4430" s="47" t="s">
        <v>2068</v>
      </c>
      <c r="B4430" s="44" t="s">
        <v>1043</v>
      </c>
      <c r="C4430" s="267" t="s">
        <v>2069</v>
      </c>
      <c r="D4430" s="261">
        <v>6</v>
      </c>
      <c r="E4430" s="46">
        <v>2.11</v>
      </c>
    </row>
    <row r="4431" spans="1:9" ht="15">
      <c r="A4431" s="24" t="s">
        <v>2071</v>
      </c>
      <c r="B4431" s="44" t="s">
        <v>1455</v>
      </c>
      <c r="C4431" s="260" t="s">
        <v>2072</v>
      </c>
      <c r="D4431" s="261">
        <v>4</v>
      </c>
      <c r="E4431" s="46">
        <v>0.27</v>
      </c>
    </row>
    <row r="4432" spans="1:9" ht="15">
      <c r="A4432" s="24" t="s">
        <v>2087</v>
      </c>
      <c r="B4432" s="44" t="s">
        <v>1033</v>
      </c>
      <c r="C4432" s="260" t="s">
        <v>2072</v>
      </c>
      <c r="D4432" s="261">
        <v>4</v>
      </c>
      <c r="E4432" s="46">
        <v>0.36</v>
      </c>
      <c r="F4432" s="261">
        <v>4</v>
      </c>
      <c r="G4432" s="46">
        <v>0.36</v>
      </c>
      <c r="H4432" s="46"/>
      <c r="I4432" s="46">
        <f>G4432*F4432</f>
        <v>1.44</v>
      </c>
    </row>
    <row r="4433" spans="1:12" ht="15">
      <c r="A4433" s="24"/>
      <c r="B4433" s="138"/>
      <c r="C4433" s="44" t="s">
        <v>2089</v>
      </c>
      <c r="D4433" s="45">
        <v>3</v>
      </c>
      <c r="E4433" s="46">
        <v>21</v>
      </c>
    </row>
    <row r="4434" spans="1:12" ht="15">
      <c r="A4434" s="24"/>
      <c r="B4434" s="138"/>
      <c r="C4434" s="44" t="s">
        <v>1993</v>
      </c>
      <c r="D4434" s="45">
        <v>1</v>
      </c>
      <c r="E4434" s="46">
        <v>12</v>
      </c>
    </row>
    <row r="4438" spans="1:12" s="637" customFormat="1" ht="15.75">
      <c r="A4438" s="156" t="s">
        <v>64</v>
      </c>
      <c r="B4438" s="156" t="s">
        <v>1457</v>
      </c>
      <c r="C4438" s="156" t="s">
        <v>2073</v>
      </c>
      <c r="D4438" s="633" t="s">
        <v>68</v>
      </c>
      <c r="E4438" s="146" t="s">
        <v>2074</v>
      </c>
      <c r="F4438" s="638"/>
      <c r="G4438" s="634"/>
      <c r="H4438" s="634"/>
      <c r="I4438" s="38"/>
      <c r="J4438" s="89"/>
      <c r="K4438" s="635"/>
      <c r="L4438" s="636"/>
    </row>
    <row r="4439" spans="1:12" ht="15">
      <c r="A4439" s="47" t="s">
        <v>2075</v>
      </c>
      <c r="B4439" s="44" t="s">
        <v>1033</v>
      </c>
      <c r="C4439" s="267" t="s">
        <v>2069</v>
      </c>
      <c r="D4439" s="261">
        <v>6</v>
      </c>
      <c r="E4439" s="24" t="s">
        <v>2078</v>
      </c>
    </row>
    <row r="4440" spans="1:12" ht="15">
      <c r="A4440" s="24" t="s">
        <v>2076</v>
      </c>
      <c r="B4440" s="44" t="s">
        <v>1455</v>
      </c>
      <c r="C4440" s="260" t="s">
        <v>2072</v>
      </c>
      <c r="D4440" s="261">
        <v>4</v>
      </c>
      <c r="E4440" s="24" t="s">
        <v>2079</v>
      </c>
    </row>
    <row r="4441" spans="1:12" ht="15">
      <c r="A4441" s="95" t="s">
        <v>2088</v>
      </c>
      <c r="B4441" s="44" t="s">
        <v>1033</v>
      </c>
      <c r="C4441" s="260" t="s">
        <v>2072</v>
      </c>
      <c r="D4441" s="261">
        <v>4</v>
      </c>
      <c r="E4441" s="261" t="s">
        <v>855</v>
      </c>
      <c r="F4441" s="261">
        <v>4</v>
      </c>
      <c r="G4441" s="46"/>
      <c r="H4441" s="46"/>
      <c r="I4441" s="46">
        <f>G4441*F4441</f>
        <v>0</v>
      </c>
      <c r="J4441" s="239">
        <v>44504</v>
      </c>
    </row>
    <row r="4442" spans="1:12" ht="15">
      <c r="A4442" s="24"/>
      <c r="B4442" s="138"/>
      <c r="C4442" s="184" t="s">
        <v>2077</v>
      </c>
      <c r="D4442" s="45">
        <v>3</v>
      </c>
      <c r="E4442" s="24" t="s">
        <v>2080</v>
      </c>
    </row>
    <row r="4443" spans="1:12">
      <c r="E4443" s="317"/>
    </row>
    <row r="4444" spans="1:12" ht="15.75">
      <c r="A4444" s="90" t="s">
        <v>1603</v>
      </c>
      <c r="B4444" s="90" t="s">
        <v>128</v>
      </c>
      <c r="C4444" s="90" t="s">
        <v>54</v>
      </c>
      <c r="D4444" s="146" t="s">
        <v>2082</v>
      </c>
    </row>
    <row r="4445" spans="1:12" ht="15">
      <c r="A4445" s="24" t="s">
        <v>1801</v>
      </c>
      <c r="B4445" s="44" t="s">
        <v>78</v>
      </c>
      <c r="C4445" s="8">
        <v>14</v>
      </c>
      <c r="D4445" s="24" t="s">
        <v>2083</v>
      </c>
    </row>
    <row r="4446" spans="1:12" ht="15">
      <c r="A4446" s="640"/>
      <c r="B4446" s="640" t="s">
        <v>481</v>
      </c>
      <c r="C4446" s="641"/>
      <c r="D4446" s="490">
        <v>900</v>
      </c>
    </row>
    <row r="4448" spans="1:12" ht="15.75">
      <c r="A4448" s="402" t="s">
        <v>106</v>
      </c>
      <c r="B4448" s="402" t="s">
        <v>1710</v>
      </c>
      <c r="C4448" s="90" t="s">
        <v>1186</v>
      </c>
      <c r="D4448" s="90" t="s">
        <v>1652</v>
      </c>
      <c r="E4448" s="174" t="s">
        <v>1653</v>
      </c>
      <c r="F4448" s="90" t="s">
        <v>1825</v>
      </c>
    </row>
    <row r="4449" spans="1:9" ht="15">
      <c r="A4449" s="24" t="s">
        <v>1801</v>
      </c>
      <c r="B4449" s="44" t="s">
        <v>78</v>
      </c>
      <c r="C4449" s="8">
        <v>14</v>
      </c>
      <c r="D4449" s="41">
        <v>1</v>
      </c>
      <c r="E4449" s="67">
        <f>C4449*D4449</f>
        <v>14</v>
      </c>
      <c r="F4449" s="46">
        <v>1.6</v>
      </c>
    </row>
    <row r="4450" spans="1:9" ht="15">
      <c r="A4450" s="24"/>
      <c r="B4450" s="24" t="s">
        <v>481</v>
      </c>
      <c r="C4450" s="8"/>
      <c r="D4450" s="41"/>
      <c r="E4450" s="45">
        <v>1</v>
      </c>
      <c r="F4450" s="46">
        <v>12</v>
      </c>
    </row>
    <row r="4452" spans="1:9" ht="15">
      <c r="A4452" s="20" t="s">
        <v>2070</v>
      </c>
      <c r="B4452" s="44"/>
      <c r="C4452" s="44"/>
      <c r="D4452" s="151"/>
      <c r="E4452" s="151"/>
      <c r="F4452" s="151"/>
      <c r="G4452" s="34" t="s">
        <v>1027</v>
      </c>
      <c r="H4452" s="34"/>
      <c r="I4452" s="39"/>
    </row>
    <row r="4453" spans="1:9" ht="15">
      <c r="A4453" s="639" t="s">
        <v>2068</v>
      </c>
      <c r="B4453" s="44" t="s">
        <v>1033</v>
      </c>
      <c r="C4453" s="267" t="s">
        <v>2069</v>
      </c>
      <c r="D4453" s="261">
        <v>6</v>
      </c>
      <c r="E4453" s="261">
        <v>6</v>
      </c>
      <c r="F4453" s="261">
        <v>6</v>
      </c>
      <c r="G4453" s="46">
        <v>2.11</v>
      </c>
      <c r="H4453" s="46"/>
      <c r="I4453" s="46">
        <f>G4453*F4453</f>
        <v>12.66</v>
      </c>
    </row>
    <row r="4454" spans="1:9" ht="15">
      <c r="A4454" s="20" t="s">
        <v>1381</v>
      </c>
      <c r="B4454" s="44"/>
      <c r="C4454" s="44"/>
      <c r="D4454" s="151"/>
      <c r="E4454" s="151"/>
      <c r="F4454" s="151"/>
      <c r="G4454" s="34" t="s">
        <v>1027</v>
      </c>
      <c r="H4454" s="34"/>
      <c r="I4454" s="39"/>
    </row>
    <row r="4455" spans="1:9" ht="15">
      <c r="A4455" s="56" t="s">
        <v>2071</v>
      </c>
      <c r="B4455" s="44" t="s">
        <v>1455</v>
      </c>
      <c r="C4455" s="260" t="s">
        <v>2072</v>
      </c>
      <c r="D4455" s="261">
        <v>4</v>
      </c>
      <c r="E4455" s="261">
        <v>4</v>
      </c>
      <c r="F4455" s="261">
        <v>4</v>
      </c>
      <c r="G4455" s="46">
        <v>0.27</v>
      </c>
      <c r="H4455" s="46"/>
      <c r="I4455" s="46">
        <f>G4455*F4455</f>
        <v>1.08</v>
      </c>
    </row>
    <row r="4456" spans="1:9" ht="15">
      <c r="A4456" s="56" t="s">
        <v>2087</v>
      </c>
      <c r="B4456" s="44" t="s">
        <v>1033</v>
      </c>
      <c r="C4456" s="260" t="s">
        <v>2072</v>
      </c>
      <c r="D4456" s="261">
        <v>4</v>
      </c>
      <c r="E4456" s="261">
        <v>4</v>
      </c>
      <c r="F4456" s="261">
        <v>4</v>
      </c>
      <c r="G4456" s="46">
        <v>0.36</v>
      </c>
      <c r="H4456" s="46"/>
      <c r="I4456" s="46">
        <f>G4456*F4456</f>
        <v>1.44</v>
      </c>
    </row>
    <row r="4457" spans="1:9" ht="15">
      <c r="A4457" s="24"/>
      <c r="B4457" s="138"/>
      <c r="C4457" s="44" t="s">
        <v>2014</v>
      </c>
      <c r="D4457" s="8"/>
      <c r="E4457" s="41"/>
      <c r="F4457" s="45">
        <v>3</v>
      </c>
      <c r="G4457" s="46">
        <v>7</v>
      </c>
      <c r="H4457" s="46"/>
      <c r="I4457" s="46">
        <f>G4457*F4457</f>
        <v>21</v>
      </c>
    </row>
    <row r="4458" spans="1:9" ht="15">
      <c r="A4458" s="24"/>
      <c r="B4458" s="138"/>
      <c r="C4458" s="44" t="s">
        <v>1993</v>
      </c>
      <c r="D4458" s="8"/>
      <c r="E4458" s="41"/>
      <c r="F4458" s="45">
        <v>1</v>
      </c>
      <c r="G4458" s="46">
        <v>12</v>
      </c>
      <c r="H4458" s="46"/>
      <c r="I4458" s="46">
        <f>G4458*F4458</f>
        <v>12</v>
      </c>
    </row>
    <row r="4461" spans="1:9" ht="15">
      <c r="A4461" s="24">
        <v>2440</v>
      </c>
      <c r="B4461" s="24" t="s">
        <v>114</v>
      </c>
      <c r="C4461" s="8">
        <v>116</v>
      </c>
    </row>
    <row r="4462" spans="1:9" ht="15">
      <c r="A4462" s="24">
        <v>2440</v>
      </c>
      <c r="B4462" s="24" t="s">
        <v>862</v>
      </c>
      <c r="C4462" s="8">
        <v>1160</v>
      </c>
    </row>
    <row r="4466" spans="1:11" ht="15.75">
      <c r="A4466" s="402" t="s">
        <v>105</v>
      </c>
      <c r="B4466" s="402" t="s">
        <v>106</v>
      </c>
      <c r="C4466" s="90" t="s">
        <v>52</v>
      </c>
      <c r="D4466" s="402" t="s">
        <v>1710</v>
      </c>
      <c r="E4466" s="90" t="s">
        <v>1186</v>
      </c>
      <c r="F4466" s="90" t="s">
        <v>1652</v>
      </c>
      <c r="G4466" s="174" t="s">
        <v>1653</v>
      </c>
      <c r="H4466" s="174"/>
      <c r="I4466" s="90" t="s">
        <v>1825</v>
      </c>
    </row>
    <row r="4467" spans="1:11" ht="15">
      <c r="A4467" s="33" t="s">
        <v>2092</v>
      </c>
      <c r="B4467" s="24">
        <v>3705</v>
      </c>
      <c r="C4467" s="26">
        <v>25</v>
      </c>
      <c r="D4467" s="24" t="s">
        <v>1888</v>
      </c>
      <c r="E4467" s="151">
        <v>30</v>
      </c>
      <c r="F4467" s="152">
        <v>2</v>
      </c>
      <c r="G4467" s="67">
        <f>E4467*F4467</f>
        <v>60</v>
      </c>
      <c r="H4467" s="67"/>
      <c r="I4467" s="46">
        <v>0.6</v>
      </c>
    </row>
    <row r="4468" spans="1:11" ht="15">
      <c r="A4468" s="33" t="s">
        <v>2092</v>
      </c>
      <c r="B4468" s="24"/>
      <c r="C4468" s="138"/>
      <c r="D4468" s="44" t="s">
        <v>1993</v>
      </c>
      <c r="E4468" s="8"/>
      <c r="F4468" s="41"/>
      <c r="G4468" s="45">
        <v>1</v>
      </c>
      <c r="H4468" s="45"/>
      <c r="I4468" s="46">
        <v>12</v>
      </c>
    </row>
    <row r="4471" spans="1:11">
      <c r="A4471" t="s">
        <v>2121</v>
      </c>
    </row>
    <row r="4472" spans="1:11" ht="36">
      <c r="A4472" s="606" t="s">
        <v>1555</v>
      </c>
      <c r="B4472" s="606" t="s">
        <v>1556</v>
      </c>
      <c r="C4472" s="606" t="s">
        <v>1557</v>
      </c>
      <c r="D4472" s="606" t="s">
        <v>1950</v>
      </c>
      <c r="E4472" s="607" t="s">
        <v>1986</v>
      </c>
      <c r="F4472" s="607" t="s">
        <v>1986</v>
      </c>
      <c r="G4472" s="643" t="s">
        <v>1951</v>
      </c>
      <c r="H4472" s="643"/>
      <c r="I4472" s="607" t="s">
        <v>2113</v>
      </c>
      <c r="J4472" s="606" t="s">
        <v>2114</v>
      </c>
      <c r="K4472" s="606" t="s">
        <v>2115</v>
      </c>
    </row>
    <row r="4473" spans="1:11" ht="35.25" customHeight="1">
      <c r="A4473" s="396" t="s">
        <v>2093</v>
      </c>
      <c r="B4473" s="396" t="s">
        <v>2094</v>
      </c>
      <c r="C4473" s="396" t="s">
        <v>2095</v>
      </c>
      <c r="D4473" s="644">
        <v>135</v>
      </c>
      <c r="E4473" s="645">
        <v>960</v>
      </c>
      <c r="F4473" s="112">
        <f t="shared" ref="F4473:F4478" si="3">ROUNDUP(E4473/0.8/90,2)</f>
        <v>13.34</v>
      </c>
      <c r="G4473" s="646">
        <v>710</v>
      </c>
      <c r="H4473" s="646"/>
      <c r="I4473" s="112">
        <f t="shared" ref="I4473:I4478" si="4">ROUNDUP(G4473/0.8/90,2)</f>
        <v>9.8699999999999992</v>
      </c>
      <c r="J4473" s="396" t="s">
        <v>2096</v>
      </c>
      <c r="K4473" s="647" t="s">
        <v>2116</v>
      </c>
    </row>
    <row r="4474" spans="1:11" ht="24">
      <c r="A4474" s="396" t="s">
        <v>2097</v>
      </c>
      <c r="B4474" s="396" t="s">
        <v>2098</v>
      </c>
      <c r="C4474" s="396" t="s">
        <v>2099</v>
      </c>
      <c r="D4474" s="644">
        <v>240</v>
      </c>
      <c r="E4474" s="645">
        <v>1540</v>
      </c>
      <c r="F4474" s="112">
        <f t="shared" si="3"/>
        <v>21.39</v>
      </c>
      <c r="G4474" s="646">
        <v>1290</v>
      </c>
      <c r="H4474" s="646"/>
      <c r="I4474" s="112">
        <f t="shared" si="4"/>
        <v>17.920000000000002</v>
      </c>
      <c r="J4474" s="396" t="s">
        <v>2100</v>
      </c>
      <c r="K4474" s="647" t="s">
        <v>2117</v>
      </c>
    </row>
    <row r="4475" spans="1:11" ht="24">
      <c r="A4475" s="396" t="s">
        <v>2101</v>
      </c>
      <c r="B4475" s="396" t="s">
        <v>2102</v>
      </c>
      <c r="C4475" s="396" t="s">
        <v>1568</v>
      </c>
      <c r="D4475" s="644">
        <v>174</v>
      </c>
      <c r="E4475" s="645">
        <v>1080</v>
      </c>
      <c r="F4475" s="112">
        <f t="shared" si="3"/>
        <v>15</v>
      </c>
      <c r="G4475" s="646">
        <v>830</v>
      </c>
      <c r="H4475" s="646"/>
      <c r="I4475" s="112">
        <f t="shared" si="4"/>
        <v>11.53</v>
      </c>
      <c r="J4475" s="396" t="s">
        <v>1408</v>
      </c>
      <c r="K4475" s="647" t="s">
        <v>2118</v>
      </c>
    </row>
    <row r="4476" spans="1:11" ht="24">
      <c r="A4476" s="396" t="s">
        <v>2103</v>
      </c>
      <c r="B4476" s="396" t="s">
        <v>2104</v>
      </c>
      <c r="C4476" s="396" t="s">
        <v>1568</v>
      </c>
      <c r="D4476" s="644">
        <v>178</v>
      </c>
      <c r="E4476" s="645">
        <v>1070</v>
      </c>
      <c r="F4476" s="112">
        <f t="shared" si="3"/>
        <v>14.87</v>
      </c>
      <c r="G4476" s="646">
        <v>820</v>
      </c>
      <c r="H4476" s="646"/>
      <c r="I4476" s="112">
        <f t="shared" si="4"/>
        <v>11.39</v>
      </c>
      <c r="J4476" s="396" t="s">
        <v>2105</v>
      </c>
      <c r="K4476" s="647" t="s">
        <v>2118</v>
      </c>
    </row>
    <row r="4477" spans="1:11" ht="24">
      <c r="A4477" s="396" t="s">
        <v>2106</v>
      </c>
      <c r="B4477" s="396" t="s">
        <v>2107</v>
      </c>
      <c r="C4477" s="396" t="s">
        <v>2108</v>
      </c>
      <c r="D4477" s="644">
        <v>138</v>
      </c>
      <c r="E4477" s="645">
        <v>960</v>
      </c>
      <c r="F4477" s="112">
        <f t="shared" si="3"/>
        <v>13.34</v>
      </c>
      <c r="G4477" s="646">
        <v>710</v>
      </c>
      <c r="H4477" s="646"/>
      <c r="I4477" s="112">
        <f t="shared" si="4"/>
        <v>9.8699999999999992</v>
      </c>
      <c r="J4477" s="396" t="s">
        <v>2109</v>
      </c>
      <c r="K4477" s="647" t="s">
        <v>2119</v>
      </c>
    </row>
    <row r="4478" spans="1:11" ht="24">
      <c r="A4478" s="396" t="s">
        <v>2110</v>
      </c>
      <c r="B4478" s="396" t="s">
        <v>2111</v>
      </c>
      <c r="C4478" s="396" t="s">
        <v>1568</v>
      </c>
      <c r="D4478" s="644">
        <v>191</v>
      </c>
      <c r="E4478" s="645">
        <v>1000</v>
      </c>
      <c r="F4478" s="112">
        <f t="shared" si="3"/>
        <v>13.89</v>
      </c>
      <c r="G4478" s="646">
        <v>800</v>
      </c>
      <c r="H4478" s="646"/>
      <c r="I4478" s="112">
        <f t="shared" si="4"/>
        <v>11.12</v>
      </c>
      <c r="J4478" s="396" t="s">
        <v>2112</v>
      </c>
      <c r="K4478" s="647" t="s">
        <v>2120</v>
      </c>
    </row>
    <row r="4480" spans="1:11" ht="30">
      <c r="A4480" s="385" t="s">
        <v>1068</v>
      </c>
      <c r="B4480" s="386" t="s">
        <v>1517</v>
      </c>
      <c r="C4480" s="387" t="s">
        <v>1514</v>
      </c>
      <c r="D4480" s="648" t="s">
        <v>2125</v>
      </c>
      <c r="E4480" s="649" t="s">
        <v>1624</v>
      </c>
    </row>
    <row r="4481" spans="1:6" ht="15">
      <c r="A4481" s="24" t="s">
        <v>1801</v>
      </c>
      <c r="B4481" s="44" t="s">
        <v>1799</v>
      </c>
      <c r="C4481" s="112">
        <v>1.6</v>
      </c>
      <c r="D4481" s="112">
        <v>2.15</v>
      </c>
      <c r="E4481" s="414" t="s">
        <v>1626</v>
      </c>
    </row>
    <row r="4483" spans="1:6">
      <c r="A4483" t="s">
        <v>2133</v>
      </c>
    </row>
    <row r="4484" spans="1:6" ht="31.5">
      <c r="A4484" s="672" t="s">
        <v>1369</v>
      </c>
      <c r="B4484" s="650" t="s">
        <v>377</v>
      </c>
      <c r="C4484" s="651" t="s">
        <v>2</v>
      </c>
      <c r="D4484" s="652" t="s">
        <v>1734</v>
      </c>
      <c r="E4484" s="653" t="s">
        <v>3117</v>
      </c>
      <c r="F4484" s="654" t="s">
        <v>1403</v>
      </c>
    </row>
    <row r="4485" spans="1:6" ht="15">
      <c r="A4485" s="407">
        <v>5287</v>
      </c>
      <c r="B4485" s="408" t="s">
        <v>5271</v>
      </c>
      <c r="C4485" s="655">
        <v>50</v>
      </c>
      <c r="D4485" s="656" t="s">
        <v>2132</v>
      </c>
      <c r="E4485" s="657">
        <v>0.21000000000000002</v>
      </c>
      <c r="F4485" s="658"/>
    </row>
    <row r="4486" spans="1:6" ht="15">
      <c r="A4486" s="407">
        <v>5287</v>
      </c>
      <c r="B4486" s="408" t="s">
        <v>502</v>
      </c>
      <c r="C4486" s="655">
        <v>50</v>
      </c>
      <c r="D4486" s="656" t="s">
        <v>2132</v>
      </c>
      <c r="E4486" s="657">
        <v>0.32</v>
      </c>
      <c r="F4486" s="658"/>
    </row>
    <row r="4487" spans="1:6" ht="15">
      <c r="A4487" s="407">
        <v>5287</v>
      </c>
      <c r="B4487" s="408" t="s">
        <v>5272</v>
      </c>
      <c r="C4487" s="655">
        <v>50</v>
      </c>
      <c r="D4487" s="656" t="s">
        <v>2132</v>
      </c>
      <c r="E4487" s="657">
        <v>0.38</v>
      </c>
      <c r="F4487" s="658"/>
    </row>
    <row r="4490" spans="1:6" ht="15">
      <c r="A4490" s="1615" t="s">
        <v>2134</v>
      </c>
    </row>
    <row r="4491" spans="1:6" ht="15.75">
      <c r="A4491" s="99" t="s">
        <v>455</v>
      </c>
      <c r="B4491" s="99" t="s">
        <v>389</v>
      </c>
      <c r="C4491" s="99" t="s">
        <v>128</v>
      </c>
      <c r="D4491" s="90" t="s">
        <v>980</v>
      </c>
      <c r="E4491" s="146" t="s">
        <v>1055</v>
      </c>
    </row>
    <row r="4492" spans="1:6" ht="15">
      <c r="A4492" s="20" t="s">
        <v>1460</v>
      </c>
      <c r="B4492" s="44">
        <v>5</v>
      </c>
      <c r="C4492" s="24" t="s">
        <v>1458</v>
      </c>
      <c r="D4492" s="409">
        <v>25</v>
      </c>
      <c r="E4492" s="46">
        <f>ROUNDUP(F4492/0.6/90,2)</f>
        <v>2.4499999999999997</v>
      </c>
      <c r="F4492">
        <v>132</v>
      </c>
    </row>
    <row r="4493" spans="1:6" ht="15">
      <c r="A4493" s="20" t="s">
        <v>1461</v>
      </c>
      <c r="B4493" s="44">
        <v>7</v>
      </c>
      <c r="C4493" s="24" t="s">
        <v>1458</v>
      </c>
      <c r="D4493" s="409">
        <v>25</v>
      </c>
      <c r="E4493" s="46">
        <f>ROUNDUP(F4493/0.6/90,2)</f>
        <v>3.0799999999999996</v>
      </c>
      <c r="F4493">
        <v>166</v>
      </c>
    </row>
    <row r="4495" spans="1:6">
      <c r="A4495" t="s">
        <v>2156</v>
      </c>
    </row>
    <row r="4496" spans="1:6" ht="15.75">
      <c r="A4496" s="99" t="s">
        <v>455</v>
      </c>
      <c r="B4496" s="99" t="s">
        <v>1035</v>
      </c>
      <c r="C4496" s="99" t="s">
        <v>1052</v>
      </c>
      <c r="D4496" s="146" t="s">
        <v>1038</v>
      </c>
      <c r="E4496" s="101" t="s">
        <v>1418</v>
      </c>
    </row>
    <row r="4497" spans="1:9" ht="15">
      <c r="A4497" s="24" t="s">
        <v>2149</v>
      </c>
      <c r="B4497" s="44" t="s">
        <v>2150</v>
      </c>
      <c r="C4497" s="264" t="s">
        <v>1051</v>
      </c>
      <c r="D4497" s="46">
        <v>0.45</v>
      </c>
      <c r="E4497" s="207" t="s">
        <v>2155</v>
      </c>
      <c r="F4497" s="261"/>
      <c r="G4497" s="261">
        <v>300</v>
      </c>
      <c r="H4497" s="261"/>
      <c r="I4497" s="46">
        <v>0.45</v>
      </c>
    </row>
    <row r="4498" spans="1:9" ht="15">
      <c r="A4498" s="24" t="s">
        <v>2152</v>
      </c>
      <c r="B4498" s="44" t="s">
        <v>2150</v>
      </c>
      <c r="C4498" s="264" t="s">
        <v>1051</v>
      </c>
      <c r="D4498" s="46">
        <v>0.6</v>
      </c>
      <c r="E4498" s="207" t="s">
        <v>2155</v>
      </c>
      <c r="F4498" s="261"/>
      <c r="G4498" s="261">
        <v>300</v>
      </c>
      <c r="H4498" s="261"/>
      <c r="I4498" s="46">
        <v>0.6</v>
      </c>
    </row>
    <row r="4499" spans="1:9" ht="15">
      <c r="A4499" s="24"/>
      <c r="B4499" s="138"/>
      <c r="C4499" s="24"/>
      <c r="D4499" s="46"/>
      <c r="E4499" s="94" t="s">
        <v>2154</v>
      </c>
    </row>
    <row r="4503" spans="1:9">
      <c r="A4503" t="s">
        <v>2162</v>
      </c>
    </row>
    <row r="4504" spans="1:9" ht="15.75">
      <c r="A4504" s="416" t="s">
        <v>2161</v>
      </c>
      <c r="B4504" s="416" t="s">
        <v>245</v>
      </c>
      <c r="C4504" s="416" t="s">
        <v>2163</v>
      </c>
      <c r="D4504" s="660" t="s">
        <v>1055</v>
      </c>
    </row>
    <row r="4505" spans="1:9" ht="15.75">
      <c r="A4505" s="99" t="s">
        <v>455</v>
      </c>
      <c r="B4505" s="416"/>
      <c r="C4505" s="416"/>
      <c r="D4505" s="660" t="s">
        <v>1055</v>
      </c>
    </row>
    <row r="4506" spans="1:9" ht="15">
      <c r="A4506" s="103" t="s">
        <v>2157</v>
      </c>
      <c r="B4506" s="659">
        <v>460</v>
      </c>
      <c r="C4506" s="659">
        <f>B4506+20</f>
        <v>480</v>
      </c>
      <c r="D4506" s="46">
        <f>ROUNDUP(C4506/0.8/90,2)</f>
        <v>6.67</v>
      </c>
    </row>
    <row r="4507" spans="1:9" ht="15">
      <c r="A4507" s="103" t="s">
        <v>2158</v>
      </c>
      <c r="B4507" s="236">
        <v>360</v>
      </c>
      <c r="C4507" s="659">
        <f>B4507+20</f>
        <v>380</v>
      </c>
      <c r="D4507" s="46">
        <f>ROUNDUP(C4507/0.8/90,2)</f>
        <v>5.2799999999999994</v>
      </c>
    </row>
    <row r="4508" spans="1:9" ht="15">
      <c r="A4508" s="103" t="s">
        <v>2159</v>
      </c>
      <c r="B4508" s="236">
        <v>360</v>
      </c>
      <c r="C4508" s="659">
        <f>B4508+20</f>
        <v>380</v>
      </c>
      <c r="D4508" s="46">
        <f>ROUNDUP(C4508/0.8/90,2)</f>
        <v>5.2799999999999994</v>
      </c>
    </row>
    <row r="4509" spans="1:9" ht="15">
      <c r="A4509" s="103" t="s">
        <v>2160</v>
      </c>
      <c r="B4509" s="236">
        <v>400</v>
      </c>
      <c r="C4509" s="659">
        <f>B4509+20</f>
        <v>420</v>
      </c>
      <c r="D4509" s="46">
        <f>ROUNDUP(C4509/0.8/90,2)</f>
        <v>5.84</v>
      </c>
    </row>
    <row r="4510" spans="1:9" ht="15">
      <c r="A4510" s="103" t="s">
        <v>2144</v>
      </c>
      <c r="B4510" s="236">
        <v>440</v>
      </c>
      <c r="C4510" s="659"/>
      <c r="D4510" s="46">
        <f>ROUNDUP(B4510/0.8/90,2)</f>
        <v>6.12</v>
      </c>
    </row>
    <row r="4511" spans="1:9" ht="15">
      <c r="A4511" s="103">
        <v>5049</v>
      </c>
      <c r="B4511" s="236">
        <v>410</v>
      </c>
      <c r="C4511" s="236"/>
      <c r="D4511" s="46">
        <f>ROUNDUP(B4511/0.8/90,2)</f>
        <v>5.7</v>
      </c>
    </row>
    <row r="4512" spans="1:9" ht="15">
      <c r="A4512" s="103" t="s">
        <v>2145</v>
      </c>
      <c r="B4512" s="236">
        <v>420</v>
      </c>
      <c r="C4512" s="236"/>
      <c r="D4512" s="46">
        <f>ROUNDUP(B4512/0.8/90,2)</f>
        <v>5.84</v>
      </c>
    </row>
    <row r="4513" spans="1:6" ht="15">
      <c r="A4513" s="103" t="s">
        <v>2146</v>
      </c>
      <c r="B4513" s="236">
        <v>450</v>
      </c>
      <c r="C4513" s="236"/>
      <c r="D4513" s="46">
        <f>ROUNDUP(B4513/0.8/90,2)</f>
        <v>6.25</v>
      </c>
    </row>
    <row r="4514" spans="1:6" ht="14.25">
      <c r="A4514" s="194"/>
    </row>
    <row r="4515" spans="1:6" ht="14.25">
      <c r="A4515" s="194"/>
    </row>
    <row r="4516" spans="1:6" ht="15.75">
      <c r="A4516" s="99" t="s">
        <v>455</v>
      </c>
      <c r="B4516" s="99" t="s">
        <v>128</v>
      </c>
      <c r="C4516" s="90" t="s">
        <v>54</v>
      </c>
      <c r="D4516" s="146" t="s">
        <v>1055</v>
      </c>
    </row>
    <row r="4517" spans="1:6" ht="15">
      <c r="A4517" s="55" t="s">
        <v>1941</v>
      </c>
      <c r="B4517" s="44" t="s">
        <v>129</v>
      </c>
      <c r="C4517" s="67">
        <v>270</v>
      </c>
      <c r="D4517" s="207">
        <v>1.52</v>
      </c>
    </row>
    <row r="4518" spans="1:6" ht="15">
      <c r="A4518" s="24"/>
      <c r="B4518" s="44" t="s">
        <v>1993</v>
      </c>
      <c r="C4518" s="45">
        <v>1</v>
      </c>
      <c r="D4518" s="207">
        <v>12</v>
      </c>
    </row>
    <row r="4521" spans="1:6" ht="15.75">
      <c r="A4521" s="99" t="s">
        <v>455</v>
      </c>
      <c r="B4521" s="99" t="s">
        <v>128</v>
      </c>
      <c r="C4521" s="90" t="s">
        <v>54</v>
      </c>
      <c r="D4521" s="146" t="s">
        <v>1055</v>
      </c>
      <c r="E4521" s="39"/>
    </row>
    <row r="4522" spans="1:6" ht="15">
      <c r="A4522" s="24" t="s">
        <v>536</v>
      </c>
      <c r="B4522" s="24" t="s">
        <v>2030</v>
      </c>
      <c r="C4522" s="67">
        <v>12</v>
      </c>
      <c r="D4522" s="25">
        <v>4.45</v>
      </c>
      <c r="E4522" s="46">
        <f>D4522*C4522</f>
        <v>53.400000000000006</v>
      </c>
    </row>
    <row r="4523" spans="1:6" ht="15">
      <c r="A4523" s="24"/>
      <c r="B4523" s="44" t="s">
        <v>1993</v>
      </c>
      <c r="C4523" s="45">
        <v>1</v>
      </c>
      <c r="D4523" s="46">
        <v>20</v>
      </c>
      <c r="E4523" s="46">
        <f>D4523*C4523</f>
        <v>20</v>
      </c>
    </row>
    <row r="4526" spans="1:6">
      <c r="A4526" t="s">
        <v>2166</v>
      </c>
    </row>
    <row r="4527" spans="1:6" ht="47.25">
      <c r="A4527" s="672" t="s">
        <v>1369</v>
      </c>
      <c r="B4527" s="650" t="s">
        <v>377</v>
      </c>
      <c r="C4527" s="651" t="s">
        <v>2</v>
      </c>
      <c r="D4527" s="652" t="s">
        <v>1734</v>
      </c>
      <c r="E4527" s="653" t="s">
        <v>5273</v>
      </c>
      <c r="F4527" s="653" t="s">
        <v>5274</v>
      </c>
    </row>
    <row r="4528" spans="1:6" ht="15">
      <c r="A4528" s="34" t="s">
        <v>1371</v>
      </c>
      <c r="B4528" s="360">
        <v>3</v>
      </c>
      <c r="C4528" s="148">
        <v>30</v>
      </c>
      <c r="D4528" s="34" t="s">
        <v>1812</v>
      </c>
      <c r="E4528" s="434">
        <v>0.56000000000000005</v>
      </c>
      <c r="F4528" s="663">
        <v>0.6</v>
      </c>
    </row>
    <row r="4529" spans="1:14" ht="15">
      <c r="A4529" s="34" t="s">
        <v>1371</v>
      </c>
      <c r="B4529" s="360">
        <v>4</v>
      </c>
      <c r="C4529" s="148">
        <v>30</v>
      </c>
      <c r="D4529" s="34" t="s">
        <v>1812</v>
      </c>
      <c r="E4529" s="434">
        <v>0.94000000000000006</v>
      </c>
      <c r="F4529" s="663">
        <v>0.99</v>
      </c>
    </row>
    <row r="4530" spans="1:14" ht="15">
      <c r="A4530" s="34" t="s">
        <v>1371</v>
      </c>
      <c r="B4530" s="360">
        <v>6</v>
      </c>
      <c r="C4530" s="148">
        <v>30</v>
      </c>
      <c r="D4530" s="34" t="s">
        <v>1812</v>
      </c>
      <c r="E4530" s="434">
        <v>1.1000000000000001</v>
      </c>
      <c r="F4530" s="663">
        <v>1.1499999999999999</v>
      </c>
    </row>
    <row r="4534" spans="1:14" ht="15.75">
      <c r="A4534" s="156" t="s">
        <v>64</v>
      </c>
      <c r="B4534" s="156" t="s">
        <v>1457</v>
      </c>
      <c r="C4534" s="156" t="s">
        <v>2073</v>
      </c>
      <c r="D4534" s="633" t="s">
        <v>68</v>
      </c>
      <c r="E4534" s="146" t="s">
        <v>2074</v>
      </c>
      <c r="F4534" s="151"/>
      <c r="G4534" s="34" t="s">
        <v>1027</v>
      </c>
      <c r="H4534" s="34"/>
      <c r="I4534" s="39"/>
      <c r="J4534" s="39"/>
      <c r="K4534" s="38"/>
      <c r="L4534" s="6"/>
      <c r="M4534" s="524"/>
      <c r="N4534" s="489"/>
    </row>
    <row r="4535" spans="1:14" ht="15">
      <c r="A4535" s="47" t="s">
        <v>2174</v>
      </c>
      <c r="B4535" s="44" t="s">
        <v>1030</v>
      </c>
      <c r="C4535" s="260" t="s">
        <v>2069</v>
      </c>
      <c r="D4535" s="664">
        <v>375</v>
      </c>
      <c r="E4535" s="46"/>
      <c r="F4535" s="46">
        <f>E4535*D4535</f>
        <v>0</v>
      </c>
      <c r="G4535" s="39"/>
      <c r="H4535" s="39"/>
      <c r="I4535" s="38"/>
      <c r="J4535" s="46" t="e">
        <f>E4535*(VLOOKUP(#REF!,$C$2:$F$6,3,FALSE))</f>
        <v>#REF!</v>
      </c>
      <c r="K4535" s="483"/>
      <c r="L4535" s="489"/>
    </row>
    <row r="4536" spans="1:14" ht="15">
      <c r="A4536" s="47" t="s">
        <v>2174</v>
      </c>
      <c r="B4536" s="44" t="s">
        <v>1032</v>
      </c>
      <c r="C4536" s="260" t="s">
        <v>2069</v>
      </c>
      <c r="D4536" s="664">
        <v>910</v>
      </c>
      <c r="E4536" s="46"/>
      <c r="F4536" s="46">
        <f>E4536*D4536</f>
        <v>0</v>
      </c>
      <c r="G4536" s="39"/>
      <c r="H4536" s="39"/>
      <c r="I4536" s="38"/>
      <c r="J4536" s="46" t="e">
        <f>E4536*(VLOOKUP(#REF!,$C$2:$F$6,3,FALSE))</f>
        <v>#REF!</v>
      </c>
      <c r="K4536" s="483"/>
      <c r="L4536" s="489"/>
    </row>
    <row r="4537" spans="1:14" ht="15">
      <c r="A4537" s="47" t="s">
        <v>2174</v>
      </c>
      <c r="B4537" s="44" t="s">
        <v>1033</v>
      </c>
      <c r="C4537" s="260" t="s">
        <v>2069</v>
      </c>
      <c r="D4537" s="664">
        <v>245</v>
      </c>
      <c r="E4537" s="207" t="s">
        <v>2172</v>
      </c>
      <c r="F4537" s="46" t="e">
        <f>E4537*D4537</f>
        <v>#VALUE!</v>
      </c>
      <c r="G4537" s="39"/>
      <c r="H4537" s="39"/>
      <c r="I4537" s="38"/>
      <c r="J4537" s="46" t="e">
        <f>E4537*(VLOOKUP(#REF!,$C$2:$F$6,3,FALSE))</f>
        <v>#VALUE!</v>
      </c>
      <c r="K4537" s="483">
        <v>1.86</v>
      </c>
      <c r="L4537" s="489">
        <v>113.5</v>
      </c>
    </row>
    <row r="4538" spans="1:14" ht="15">
      <c r="A4538" s="47" t="s">
        <v>2174</v>
      </c>
      <c r="B4538" s="44" t="s">
        <v>1034</v>
      </c>
      <c r="C4538" s="260" t="s">
        <v>2069</v>
      </c>
      <c r="D4538" s="664">
        <v>200</v>
      </c>
      <c r="E4538" s="46"/>
      <c r="F4538" s="46">
        <f>E4538*D4538</f>
        <v>0</v>
      </c>
      <c r="G4538" s="39"/>
      <c r="H4538" s="39"/>
      <c r="I4538" s="38"/>
      <c r="J4538" s="46" t="e">
        <f>E4538*(VLOOKUP(#REF!,$C$2:$F$6,3,FALSE))</f>
        <v>#REF!</v>
      </c>
      <c r="K4538" s="483"/>
      <c r="L4538" s="489"/>
    </row>
    <row r="4539" spans="1:14" ht="15">
      <c r="A4539" s="47"/>
      <c r="B4539" s="44"/>
      <c r="C4539" s="267"/>
      <c r="D4539" s="261"/>
      <c r="E4539" s="261"/>
      <c r="F4539" s="664"/>
      <c r="G4539" s="46"/>
      <c r="H4539" s="46"/>
      <c r="I4539" s="46"/>
      <c r="J4539" s="39"/>
      <c r="K4539" s="38"/>
      <c r="L4539" s="46"/>
      <c r="M4539" s="483"/>
      <c r="N4539" s="489"/>
    </row>
    <row r="4540" spans="1:14" ht="15.75">
      <c r="A4540" s="156" t="s">
        <v>64</v>
      </c>
      <c r="B4540" s="156" t="s">
        <v>1457</v>
      </c>
      <c r="C4540" s="156" t="s">
        <v>2173</v>
      </c>
      <c r="D4540" s="633" t="s">
        <v>68</v>
      </c>
      <c r="E4540" s="146" t="s">
        <v>2074</v>
      </c>
      <c r="F4540" s="151"/>
      <c r="G4540" s="34" t="s">
        <v>1027</v>
      </c>
      <c r="H4540" s="34"/>
      <c r="I4540" s="39"/>
      <c r="J4540" s="39"/>
      <c r="K4540" s="38"/>
      <c r="L4540" s="6"/>
      <c r="M4540" s="524"/>
      <c r="N4540" s="489"/>
    </row>
    <row r="4541" spans="1:14" ht="15">
      <c r="A4541" s="24" t="s">
        <v>2071</v>
      </c>
      <c r="B4541" s="44" t="s">
        <v>1453</v>
      </c>
      <c r="C4541" s="260" t="s">
        <v>2072</v>
      </c>
      <c r="D4541" s="664">
        <v>45</v>
      </c>
      <c r="E4541" s="46"/>
      <c r="F4541" s="46">
        <f>E4541*D4541</f>
        <v>0</v>
      </c>
      <c r="G4541" s="39"/>
      <c r="H4541" s="39"/>
      <c r="I4541" s="38"/>
      <c r="J4541" s="46" t="e">
        <f>E4541*(VLOOKUP(#REF!,$C$2:$F$6,3,FALSE))</f>
        <v>#REF!</v>
      </c>
      <c r="K4541" s="483"/>
      <c r="L4541" s="489"/>
    </row>
    <row r="4542" spans="1:14" ht="15">
      <c r="A4542" s="24" t="s">
        <v>2071</v>
      </c>
      <c r="B4542" s="44" t="s">
        <v>1454</v>
      </c>
      <c r="C4542" s="260" t="s">
        <v>2072</v>
      </c>
      <c r="D4542" s="664">
        <v>70</v>
      </c>
      <c r="E4542" s="46"/>
      <c r="F4542" s="46">
        <f>E4542*D4542</f>
        <v>0</v>
      </c>
      <c r="G4542" s="39"/>
      <c r="H4542" s="39"/>
      <c r="I4542" s="38"/>
      <c r="J4542" s="46" t="e">
        <f>E4542*(VLOOKUP(#REF!,$C$2:$F$6,3,FALSE))</f>
        <v>#REF!</v>
      </c>
      <c r="K4542" s="483"/>
      <c r="L4542" s="489"/>
    </row>
    <row r="4543" spans="1:14" ht="15">
      <c r="A4543" s="24" t="s">
        <v>2071</v>
      </c>
      <c r="B4543" s="44" t="s">
        <v>1030</v>
      </c>
      <c r="C4543" s="260" t="s">
        <v>2072</v>
      </c>
      <c r="D4543" s="664">
        <v>60</v>
      </c>
      <c r="E4543" s="46"/>
      <c r="F4543" s="46">
        <f>E4543*D4543</f>
        <v>0</v>
      </c>
      <c r="G4543" s="39"/>
      <c r="H4543" s="39"/>
      <c r="I4543" s="38"/>
      <c r="J4543" s="46" t="e">
        <f>E4543*(VLOOKUP(#REF!,$C$2:$F$6,3,FALSE))</f>
        <v>#REF!</v>
      </c>
      <c r="K4543" s="483"/>
      <c r="L4543" s="489"/>
    </row>
    <row r="4544" spans="1:14" ht="15">
      <c r="A4544" s="24" t="s">
        <v>2071</v>
      </c>
      <c r="B4544" s="44" t="s">
        <v>1455</v>
      </c>
      <c r="C4544" s="260" t="s">
        <v>2072</v>
      </c>
      <c r="D4544" s="664">
        <v>35</v>
      </c>
      <c r="E4544" s="207" t="s">
        <v>2079</v>
      </c>
      <c r="F4544" s="46" t="e">
        <f>E4544*D4544</f>
        <v>#VALUE!</v>
      </c>
      <c r="G4544" s="39"/>
      <c r="H4544" s="39"/>
      <c r="I4544" s="38"/>
      <c r="J4544" s="46" t="e">
        <f>E4544*(VLOOKUP(#REF!,$C$2:$F$6,3,FALSE))</f>
        <v>#VALUE!</v>
      </c>
      <c r="K4544" s="483">
        <v>0.24</v>
      </c>
      <c r="L4544" s="489">
        <v>14.3</v>
      </c>
    </row>
    <row r="4546" spans="1:9" ht="15.75">
      <c r="A4546" s="402" t="s">
        <v>105</v>
      </c>
      <c r="B4546" s="402" t="s">
        <v>106</v>
      </c>
      <c r="C4546" s="402" t="s">
        <v>1098</v>
      </c>
      <c r="D4546" s="402" t="s">
        <v>128</v>
      </c>
      <c r="E4546" s="402" t="s">
        <v>54</v>
      </c>
      <c r="F4546" s="90" t="s">
        <v>2020</v>
      </c>
      <c r="G4546" s="151"/>
      <c r="H4546" s="151"/>
      <c r="I4546" s="34" t="s">
        <v>1027</v>
      </c>
    </row>
    <row r="4547" spans="1:9" ht="15">
      <c r="A4547" s="6" t="s">
        <v>2171</v>
      </c>
      <c r="B4547" s="20" t="s">
        <v>2070</v>
      </c>
      <c r="C4547" s="44"/>
      <c r="D4547" s="44"/>
      <c r="E4547" s="151"/>
      <c r="F4547" s="34" t="s">
        <v>1027</v>
      </c>
    </row>
    <row r="4548" spans="1:9" ht="15">
      <c r="A4548" s="6" t="s">
        <v>2171</v>
      </c>
      <c r="B4548" s="665" t="s">
        <v>2068</v>
      </c>
      <c r="C4548" s="44" t="s">
        <v>1030</v>
      </c>
      <c r="D4548" s="260" t="s">
        <v>2069</v>
      </c>
      <c r="E4548" s="664">
        <v>375</v>
      </c>
      <c r="F4548" s="46">
        <v>2.29</v>
      </c>
    </row>
    <row r="4549" spans="1:9" ht="15">
      <c r="A4549" s="6" t="s">
        <v>2171</v>
      </c>
      <c r="B4549" s="665" t="s">
        <v>2068</v>
      </c>
      <c r="C4549" s="44" t="s">
        <v>1032</v>
      </c>
      <c r="D4549" s="260" t="s">
        <v>2069</v>
      </c>
      <c r="E4549" s="664">
        <v>910</v>
      </c>
      <c r="F4549" s="46">
        <v>2.31</v>
      </c>
    </row>
    <row r="4550" spans="1:9" ht="15">
      <c r="A4550" s="6" t="s">
        <v>2171</v>
      </c>
      <c r="B4550" s="665" t="s">
        <v>2068</v>
      </c>
      <c r="C4550" s="44" t="s">
        <v>1033</v>
      </c>
      <c r="D4550" s="260" t="s">
        <v>2069</v>
      </c>
      <c r="E4550" s="664">
        <v>245</v>
      </c>
      <c r="F4550" s="46">
        <v>2.33</v>
      </c>
    </row>
    <row r="4551" spans="1:9" ht="15">
      <c r="A4551" s="6" t="s">
        <v>2171</v>
      </c>
      <c r="B4551" s="665" t="s">
        <v>2068</v>
      </c>
      <c r="C4551" s="44" t="s">
        <v>1034</v>
      </c>
      <c r="D4551" s="260" t="s">
        <v>2069</v>
      </c>
      <c r="E4551" s="664">
        <v>200</v>
      </c>
      <c r="F4551" s="46">
        <v>2.34</v>
      </c>
    </row>
    <row r="4552" spans="1:9" ht="15.75">
      <c r="A4552" s="402" t="s">
        <v>105</v>
      </c>
      <c r="B4552" s="402" t="s">
        <v>106</v>
      </c>
      <c r="C4552" s="402" t="s">
        <v>1098</v>
      </c>
      <c r="D4552" s="402" t="s">
        <v>128</v>
      </c>
      <c r="E4552" s="402" t="s">
        <v>54</v>
      </c>
      <c r="F4552" s="90" t="s">
        <v>2020</v>
      </c>
      <c r="G4552" s="151"/>
      <c r="H4552" s="151"/>
      <c r="I4552" s="34" t="s">
        <v>1027</v>
      </c>
    </row>
    <row r="4553" spans="1:9" ht="15">
      <c r="A4553" s="6" t="s">
        <v>2171</v>
      </c>
      <c r="B4553" s="95" t="s">
        <v>2071</v>
      </c>
      <c r="C4553" s="44" t="s">
        <v>1453</v>
      </c>
      <c r="D4553" s="260" t="s">
        <v>2072</v>
      </c>
      <c r="E4553" s="664">
        <v>45</v>
      </c>
      <c r="F4553" s="46">
        <v>0.24</v>
      </c>
    </row>
    <row r="4554" spans="1:9" ht="15">
      <c r="A4554" s="6" t="s">
        <v>2171</v>
      </c>
      <c r="B4554" s="95" t="s">
        <v>2071</v>
      </c>
      <c r="C4554" s="44" t="s">
        <v>1454</v>
      </c>
      <c r="D4554" s="260" t="s">
        <v>2072</v>
      </c>
      <c r="E4554" s="664">
        <v>70</v>
      </c>
      <c r="F4554" s="46">
        <v>0.25</v>
      </c>
    </row>
    <row r="4555" spans="1:9" ht="15">
      <c r="A4555" s="6" t="s">
        <v>2171</v>
      </c>
      <c r="B4555" s="95" t="s">
        <v>2071</v>
      </c>
      <c r="C4555" s="44" t="s">
        <v>1030</v>
      </c>
      <c r="D4555" s="260" t="s">
        <v>2072</v>
      </c>
      <c r="E4555" s="664">
        <v>60</v>
      </c>
      <c r="F4555" s="46">
        <v>0.26</v>
      </c>
    </row>
    <row r="4556" spans="1:9" ht="15">
      <c r="A4556" s="6" t="s">
        <v>2171</v>
      </c>
      <c r="B4556" s="95" t="s">
        <v>2071</v>
      </c>
      <c r="C4556" s="44" t="s">
        <v>1455</v>
      </c>
      <c r="D4556" s="260" t="s">
        <v>2072</v>
      </c>
      <c r="E4556" s="664">
        <v>35</v>
      </c>
      <c r="F4556" s="46">
        <v>0.27</v>
      </c>
    </row>
    <row r="4557" spans="1:9" ht="15">
      <c r="A4557" s="24"/>
      <c r="B4557" s="138"/>
      <c r="C4557" s="44" t="s">
        <v>2014</v>
      </c>
      <c r="D4557" s="45"/>
      <c r="E4557" s="45" t="s">
        <v>2175</v>
      </c>
      <c r="F4557" s="46">
        <v>28</v>
      </c>
    </row>
    <row r="4560" spans="1:9" ht="15.75">
      <c r="A4560" s="402" t="s">
        <v>106</v>
      </c>
      <c r="B4560" s="402" t="s">
        <v>1098</v>
      </c>
      <c r="C4560" s="402" t="s">
        <v>128</v>
      </c>
      <c r="D4560" s="402" t="s">
        <v>54</v>
      </c>
      <c r="E4560" s="90" t="s">
        <v>2020</v>
      </c>
      <c r="F4560" s="90" t="s">
        <v>151</v>
      </c>
    </row>
    <row r="4561" spans="1:6" ht="15">
      <c r="A4561" s="164" t="s">
        <v>2070</v>
      </c>
      <c r="B4561" s="44"/>
      <c r="C4561" s="44"/>
      <c r="D4561" s="151"/>
      <c r="E4561" s="34" t="s">
        <v>1027</v>
      </c>
      <c r="F4561" s="207"/>
    </row>
    <row r="4562" spans="1:6" ht="15.75">
      <c r="A4562" s="47" t="s">
        <v>2068</v>
      </c>
      <c r="B4562" s="44" t="s">
        <v>1030</v>
      </c>
      <c r="C4562" s="260" t="s">
        <v>2069</v>
      </c>
      <c r="D4562" s="664">
        <v>375</v>
      </c>
      <c r="E4562" s="46">
        <v>2.29</v>
      </c>
      <c r="F4562" s="669" t="s">
        <v>2178</v>
      </c>
    </row>
    <row r="4563" spans="1:6" ht="15.75">
      <c r="A4563" s="47" t="s">
        <v>2068</v>
      </c>
      <c r="B4563" s="44" t="s">
        <v>1032</v>
      </c>
      <c r="C4563" s="260" t="s">
        <v>2069</v>
      </c>
      <c r="D4563" s="664">
        <v>910</v>
      </c>
      <c r="E4563" s="46">
        <v>2.31</v>
      </c>
      <c r="F4563" s="669" t="s">
        <v>2178</v>
      </c>
    </row>
    <row r="4564" spans="1:6" ht="15.75">
      <c r="A4564" s="47" t="s">
        <v>2068</v>
      </c>
      <c r="B4564" s="44" t="s">
        <v>1033</v>
      </c>
      <c r="C4564" s="260" t="s">
        <v>2069</v>
      </c>
      <c r="D4564" s="664">
        <v>245</v>
      </c>
      <c r="E4564" s="46">
        <v>2.33</v>
      </c>
      <c r="F4564" s="669" t="s">
        <v>2178</v>
      </c>
    </row>
    <row r="4565" spans="1:6" ht="15.75">
      <c r="A4565" s="47" t="s">
        <v>2068</v>
      </c>
      <c r="B4565" s="44" t="s">
        <v>1034</v>
      </c>
      <c r="C4565" s="260" t="s">
        <v>2069</v>
      </c>
      <c r="D4565" s="664">
        <v>200</v>
      </c>
      <c r="E4565" s="46">
        <v>2.34</v>
      </c>
      <c r="F4565" s="669" t="s">
        <v>2178</v>
      </c>
    </row>
    <row r="4566" spans="1:6" ht="15.75">
      <c r="A4566" s="164" t="s">
        <v>1381</v>
      </c>
      <c r="B4566" s="44"/>
      <c r="C4566" s="44"/>
      <c r="D4566" s="151"/>
      <c r="E4566" s="34" t="s">
        <v>1027</v>
      </c>
      <c r="F4566" s="669"/>
    </row>
    <row r="4567" spans="1:6" ht="15.75">
      <c r="A4567" s="24" t="s">
        <v>2071</v>
      </c>
      <c r="B4567" s="44" t="s">
        <v>1453</v>
      </c>
      <c r="C4567" s="260" t="s">
        <v>2072</v>
      </c>
      <c r="D4567" s="664">
        <v>45</v>
      </c>
      <c r="E4567" s="46">
        <v>0.24</v>
      </c>
      <c r="F4567" s="669" t="s">
        <v>2179</v>
      </c>
    </row>
    <row r="4568" spans="1:6" ht="15.75">
      <c r="A4568" s="24" t="s">
        <v>2071</v>
      </c>
      <c r="B4568" s="44" t="s">
        <v>1454</v>
      </c>
      <c r="C4568" s="260" t="s">
        <v>2072</v>
      </c>
      <c r="D4568" s="664">
        <v>70</v>
      </c>
      <c r="E4568" s="46">
        <v>0.25</v>
      </c>
      <c r="F4568" s="669" t="s">
        <v>2179</v>
      </c>
    </row>
    <row r="4569" spans="1:6" ht="15.75">
      <c r="A4569" s="24" t="s">
        <v>2071</v>
      </c>
      <c r="B4569" s="44" t="s">
        <v>1030</v>
      </c>
      <c r="C4569" s="260" t="s">
        <v>2072</v>
      </c>
      <c r="D4569" s="664">
        <v>60</v>
      </c>
      <c r="E4569" s="46">
        <v>0.26</v>
      </c>
      <c r="F4569" s="669" t="s">
        <v>2179</v>
      </c>
    </row>
    <row r="4570" spans="1:6" ht="15.75">
      <c r="A4570" s="24" t="s">
        <v>2071</v>
      </c>
      <c r="B4570" s="44" t="s">
        <v>1455</v>
      </c>
      <c r="C4570" s="260" t="s">
        <v>2072</v>
      </c>
      <c r="D4570" s="664">
        <v>35</v>
      </c>
      <c r="E4570" s="46">
        <v>0.27</v>
      </c>
      <c r="F4570" s="669" t="s">
        <v>2179</v>
      </c>
    </row>
    <row r="4571" spans="1:6" ht="15.75">
      <c r="A4571" s="24"/>
      <c r="B4571" s="138"/>
      <c r="C4571" s="44" t="s">
        <v>2014</v>
      </c>
      <c r="D4571" s="45" t="s">
        <v>2175</v>
      </c>
      <c r="E4571" s="46">
        <v>28</v>
      </c>
      <c r="F4571" s="669"/>
    </row>
    <row r="4572" spans="1:6" ht="15.75">
      <c r="A4572" s="27" t="s">
        <v>2087</v>
      </c>
      <c r="B4572" s="44" t="s">
        <v>2176</v>
      </c>
      <c r="C4572" s="260" t="s">
        <v>2072</v>
      </c>
      <c r="D4572" s="668">
        <v>75</v>
      </c>
      <c r="E4572" s="46">
        <v>0.32</v>
      </c>
      <c r="F4572" s="669" t="s">
        <v>2180</v>
      </c>
    </row>
    <row r="4573" spans="1:6" ht="15.75">
      <c r="A4573" s="27" t="s">
        <v>2087</v>
      </c>
      <c r="B4573" s="44" t="s">
        <v>1455</v>
      </c>
      <c r="C4573" s="260" t="s">
        <v>2072</v>
      </c>
      <c r="D4573" s="668">
        <v>145</v>
      </c>
      <c r="E4573" s="46">
        <v>0.33</v>
      </c>
      <c r="F4573" s="669" t="s">
        <v>2180</v>
      </c>
    </row>
    <row r="4574" spans="1:6" ht="15.75">
      <c r="A4574" s="27" t="s">
        <v>2087</v>
      </c>
      <c r="B4574" s="44" t="s">
        <v>1032</v>
      </c>
      <c r="C4574" s="260" t="s">
        <v>2072</v>
      </c>
      <c r="D4574" s="668">
        <v>160</v>
      </c>
      <c r="E4574" s="46">
        <v>0.34</v>
      </c>
      <c r="F4574" s="669" t="s">
        <v>2180</v>
      </c>
    </row>
    <row r="4575" spans="1:6" ht="15.75">
      <c r="A4575" s="27" t="s">
        <v>2087</v>
      </c>
      <c r="B4575" s="44" t="s">
        <v>2177</v>
      </c>
      <c r="C4575" s="260" t="s">
        <v>2072</v>
      </c>
      <c r="D4575" s="668">
        <v>160</v>
      </c>
      <c r="E4575" s="46">
        <v>0.35</v>
      </c>
      <c r="F4575" s="669" t="s">
        <v>2180</v>
      </c>
    </row>
    <row r="4576" spans="1:6" ht="15.75">
      <c r="A4576" s="27" t="s">
        <v>2087</v>
      </c>
      <c r="B4576" s="44" t="s">
        <v>1033</v>
      </c>
      <c r="C4576" s="260" t="s">
        <v>2072</v>
      </c>
      <c r="D4576" s="668">
        <v>75</v>
      </c>
      <c r="E4576" s="46">
        <v>0.36</v>
      </c>
      <c r="F4576" s="669" t="s">
        <v>2180</v>
      </c>
    </row>
    <row r="4577" spans="1:9" ht="15.75">
      <c r="A4577" s="24"/>
      <c r="B4577" s="138"/>
      <c r="C4577" s="44" t="s">
        <v>2014</v>
      </c>
      <c r="D4577" s="45" t="s">
        <v>2021</v>
      </c>
      <c r="E4577" s="46">
        <v>14</v>
      </c>
      <c r="F4577" s="669"/>
    </row>
    <row r="4582" spans="1:9" ht="15.75">
      <c r="A4582" s="402" t="s">
        <v>106</v>
      </c>
      <c r="B4582" s="90" t="s">
        <v>52</v>
      </c>
      <c r="C4582" s="402" t="s">
        <v>1710</v>
      </c>
      <c r="D4582" s="90" t="s">
        <v>1186</v>
      </c>
      <c r="E4582" s="90" t="s">
        <v>1652</v>
      </c>
      <c r="F4582" s="174" t="s">
        <v>1653</v>
      </c>
      <c r="G4582" s="90" t="s">
        <v>1825</v>
      </c>
      <c r="H4582" s="90"/>
      <c r="I4582" s="90" t="s">
        <v>151</v>
      </c>
    </row>
    <row r="4583" spans="1:9" ht="15.75">
      <c r="A4583" s="24">
        <v>4141</v>
      </c>
      <c r="B4583" s="26">
        <v>6</v>
      </c>
      <c r="C4583" s="24" t="s">
        <v>2182</v>
      </c>
      <c r="D4583" s="67">
        <v>20</v>
      </c>
      <c r="E4583" s="68">
        <v>20</v>
      </c>
      <c r="F4583" s="67">
        <f>D4583*E4583</f>
        <v>400</v>
      </c>
      <c r="G4583" s="25">
        <v>1.47</v>
      </c>
      <c r="H4583" s="25"/>
      <c r="I4583" s="240" t="s">
        <v>152</v>
      </c>
    </row>
    <row r="4584" spans="1:9" ht="15.75">
      <c r="A4584" s="24">
        <v>4141</v>
      </c>
      <c r="B4584" s="26">
        <v>6</v>
      </c>
      <c r="C4584" s="24" t="s">
        <v>2183</v>
      </c>
      <c r="D4584" s="67">
        <v>20</v>
      </c>
      <c r="E4584" s="68">
        <v>20</v>
      </c>
      <c r="F4584" s="67">
        <f>D4584*E4584</f>
        <v>400</v>
      </c>
      <c r="G4584" s="25">
        <v>1.47</v>
      </c>
      <c r="H4584" s="25"/>
      <c r="I4584" s="240" t="s">
        <v>2187</v>
      </c>
    </row>
    <row r="4585" spans="1:9" ht="15.75">
      <c r="A4585" s="24">
        <v>4141</v>
      </c>
      <c r="B4585" s="26">
        <v>6</v>
      </c>
      <c r="C4585" s="24" t="s">
        <v>48</v>
      </c>
      <c r="D4585" s="67">
        <v>20</v>
      </c>
      <c r="E4585" s="68">
        <v>15</v>
      </c>
      <c r="F4585" s="67">
        <f>D4585*E4585</f>
        <v>300</v>
      </c>
      <c r="G4585" s="25">
        <v>1.47</v>
      </c>
      <c r="H4585" s="25"/>
      <c r="I4585" s="240" t="s">
        <v>152</v>
      </c>
    </row>
    <row r="4586" spans="1:9" ht="15.75">
      <c r="A4586" s="24">
        <v>4141</v>
      </c>
      <c r="B4586" s="26">
        <v>6</v>
      </c>
      <c r="C4586" s="24" t="s">
        <v>2184</v>
      </c>
      <c r="D4586" s="67">
        <v>20</v>
      </c>
      <c r="E4586" s="68">
        <v>15</v>
      </c>
      <c r="F4586" s="67">
        <f>D4586*E4586</f>
        <v>300</v>
      </c>
      <c r="G4586" s="25">
        <v>1.47</v>
      </c>
      <c r="H4586" s="25"/>
      <c r="I4586" s="240" t="s">
        <v>2188</v>
      </c>
    </row>
    <row r="4587" spans="1:9" ht="15.75">
      <c r="A4587" s="24">
        <v>4141</v>
      </c>
      <c r="B4587" s="26">
        <v>6</v>
      </c>
      <c r="C4587" s="24" t="s">
        <v>2185</v>
      </c>
      <c r="D4587" s="67">
        <v>20</v>
      </c>
      <c r="E4587" s="68">
        <v>15</v>
      </c>
      <c r="F4587" s="67">
        <f>D4587*E4587</f>
        <v>300</v>
      </c>
      <c r="G4587" s="25">
        <v>1.47</v>
      </c>
      <c r="H4587" s="25"/>
      <c r="I4587" s="240" t="s">
        <v>2189</v>
      </c>
    </row>
    <row r="4591" spans="1:9" ht="15.75">
      <c r="A4591" s="402" t="s">
        <v>105</v>
      </c>
      <c r="B4591" s="402" t="s">
        <v>106</v>
      </c>
      <c r="C4591" s="402" t="s">
        <v>1710</v>
      </c>
      <c r="D4591" s="90" t="s">
        <v>1186</v>
      </c>
      <c r="E4591" s="90" t="s">
        <v>1652</v>
      </c>
      <c r="F4591" s="174" t="s">
        <v>1653</v>
      </c>
      <c r="G4591" s="90" t="s">
        <v>1825</v>
      </c>
      <c r="H4591" s="90"/>
      <c r="I4591" s="90" t="s">
        <v>151</v>
      </c>
    </row>
    <row r="4592" spans="1:9" ht="15.75">
      <c r="A4592" s="6" t="s">
        <v>2186</v>
      </c>
      <c r="B4592" s="24" t="s">
        <v>536</v>
      </c>
      <c r="C4592" s="24" t="s">
        <v>735</v>
      </c>
      <c r="D4592" s="67">
        <v>50</v>
      </c>
      <c r="E4592" s="68">
        <v>2</v>
      </c>
      <c r="F4592" s="67">
        <f t="shared" ref="F4592:F4597" si="5">D4592*E4592</f>
        <v>100</v>
      </c>
      <c r="G4592" s="25">
        <v>4.45</v>
      </c>
      <c r="H4592" s="25"/>
      <c r="I4592" s="240" t="s">
        <v>152</v>
      </c>
    </row>
    <row r="4593" spans="1:9" ht="15.75">
      <c r="A4593" s="6" t="s">
        <v>2186</v>
      </c>
      <c r="B4593" s="24" t="s">
        <v>536</v>
      </c>
      <c r="C4593" s="24" t="s">
        <v>862</v>
      </c>
      <c r="D4593" s="67">
        <v>50</v>
      </c>
      <c r="E4593" s="68">
        <v>2</v>
      </c>
      <c r="F4593" s="67">
        <f t="shared" si="5"/>
        <v>100</v>
      </c>
      <c r="G4593" s="25">
        <v>4.45</v>
      </c>
      <c r="H4593" s="25"/>
      <c r="I4593" s="240" t="s">
        <v>152</v>
      </c>
    </row>
    <row r="4594" spans="1:9" ht="15.75">
      <c r="A4594" s="6" t="s">
        <v>2186</v>
      </c>
      <c r="B4594" s="24" t="s">
        <v>731</v>
      </c>
      <c r="C4594" s="24" t="s">
        <v>734</v>
      </c>
      <c r="D4594" s="67">
        <v>58</v>
      </c>
      <c r="E4594" s="68">
        <v>3</v>
      </c>
      <c r="F4594" s="67">
        <f t="shared" si="5"/>
        <v>174</v>
      </c>
      <c r="G4594" s="46">
        <v>9.31</v>
      </c>
      <c r="H4594" s="46"/>
      <c r="I4594" s="240" t="s">
        <v>2191</v>
      </c>
    </row>
    <row r="4595" spans="1:9" ht="15.75">
      <c r="A4595" s="6" t="s">
        <v>2186</v>
      </c>
      <c r="B4595" s="24" t="s">
        <v>731</v>
      </c>
      <c r="C4595" s="24" t="s">
        <v>874</v>
      </c>
      <c r="D4595" s="67">
        <v>58</v>
      </c>
      <c r="E4595" s="68">
        <v>3</v>
      </c>
      <c r="F4595" s="67">
        <f t="shared" si="5"/>
        <v>174</v>
      </c>
      <c r="G4595" s="46">
        <v>9.31</v>
      </c>
      <c r="H4595" s="46"/>
      <c r="I4595" s="240" t="s">
        <v>2191</v>
      </c>
    </row>
    <row r="4596" spans="1:9" ht="15.75">
      <c r="A4596" s="6" t="s">
        <v>2186</v>
      </c>
      <c r="B4596" s="24">
        <v>2440</v>
      </c>
      <c r="C4596" s="24" t="s">
        <v>733</v>
      </c>
      <c r="D4596" s="67">
        <v>58</v>
      </c>
      <c r="E4596" s="68">
        <v>3</v>
      </c>
      <c r="F4596" s="67">
        <f t="shared" si="5"/>
        <v>174</v>
      </c>
      <c r="G4596" s="46">
        <v>3.34</v>
      </c>
      <c r="H4596" s="46"/>
      <c r="I4596" s="240" t="s">
        <v>152</v>
      </c>
    </row>
    <row r="4597" spans="1:9" ht="15.75">
      <c r="A4597" s="6" t="s">
        <v>2186</v>
      </c>
      <c r="B4597" s="24">
        <v>2440</v>
      </c>
      <c r="C4597" s="24" t="s">
        <v>862</v>
      </c>
      <c r="D4597" s="67">
        <v>68</v>
      </c>
      <c r="E4597" s="68">
        <v>3</v>
      </c>
      <c r="F4597" s="67">
        <f t="shared" si="5"/>
        <v>204</v>
      </c>
      <c r="G4597" s="46">
        <v>3.34</v>
      </c>
      <c r="H4597" s="46"/>
      <c r="I4597" s="240" t="s">
        <v>2190</v>
      </c>
    </row>
    <row r="4601" spans="1:9" ht="15.75">
      <c r="A4601" s="402" t="s">
        <v>106</v>
      </c>
      <c r="B4601" s="402" t="s">
        <v>52</v>
      </c>
      <c r="C4601" s="402" t="s">
        <v>1710</v>
      </c>
      <c r="D4601" s="90" t="s">
        <v>1186</v>
      </c>
      <c r="E4601" s="90" t="s">
        <v>1652</v>
      </c>
      <c r="F4601" s="174" t="s">
        <v>1653</v>
      </c>
      <c r="G4601" s="90" t="s">
        <v>1825</v>
      </c>
      <c r="H4601" s="90"/>
      <c r="I4601" s="90" t="s">
        <v>151</v>
      </c>
    </row>
    <row r="4602" spans="1:9" ht="15.75">
      <c r="A4602" s="24">
        <v>4141</v>
      </c>
      <c r="B4602" s="26">
        <v>6</v>
      </c>
      <c r="C4602" s="24" t="s">
        <v>2182</v>
      </c>
      <c r="D4602" s="67">
        <v>20</v>
      </c>
      <c r="E4602" s="68">
        <v>20</v>
      </c>
      <c r="F4602" s="67">
        <f>D4602*E4602</f>
        <v>400</v>
      </c>
      <c r="G4602" s="25">
        <v>1.47</v>
      </c>
      <c r="H4602" s="25"/>
      <c r="I4602" s="240" t="s">
        <v>152</v>
      </c>
    </row>
    <row r="4603" spans="1:9" ht="15.75">
      <c r="A4603" s="24">
        <v>4141</v>
      </c>
      <c r="B4603" s="26">
        <v>6</v>
      </c>
      <c r="C4603" s="24" t="s">
        <v>2183</v>
      </c>
      <c r="D4603" s="67">
        <v>20</v>
      </c>
      <c r="E4603" s="68">
        <v>5</v>
      </c>
      <c r="F4603" s="67">
        <f>D4603*E4603</f>
        <v>100</v>
      </c>
      <c r="G4603" s="25">
        <v>1.47</v>
      </c>
      <c r="H4603" s="25"/>
      <c r="I4603" s="240" t="s">
        <v>152</v>
      </c>
    </row>
    <row r="4604" spans="1:9" ht="15.75">
      <c r="A4604" s="24">
        <v>4141</v>
      </c>
      <c r="B4604" s="26">
        <v>6</v>
      </c>
      <c r="C4604" s="24" t="s">
        <v>48</v>
      </c>
      <c r="D4604" s="67">
        <v>20</v>
      </c>
      <c r="E4604" s="68">
        <v>15</v>
      </c>
      <c r="F4604" s="67">
        <f>D4604*E4604</f>
        <v>300</v>
      </c>
      <c r="G4604" s="25">
        <v>1.47</v>
      </c>
      <c r="H4604" s="25"/>
      <c r="I4604" s="240" t="s">
        <v>152</v>
      </c>
    </row>
    <row r="4605" spans="1:9" ht="15.75">
      <c r="A4605" s="24">
        <v>4141</v>
      </c>
      <c r="B4605" s="26">
        <v>6</v>
      </c>
      <c r="C4605" s="24" t="s">
        <v>2184</v>
      </c>
      <c r="D4605" s="67">
        <v>20</v>
      </c>
      <c r="E4605" s="68">
        <v>4</v>
      </c>
      <c r="F4605" s="67">
        <f>D4605*E4605</f>
        <v>80</v>
      </c>
      <c r="G4605" s="25">
        <v>1.47</v>
      </c>
      <c r="H4605" s="25"/>
      <c r="I4605" s="240" t="s">
        <v>152</v>
      </c>
    </row>
    <row r="4606" spans="1:9" ht="15.75">
      <c r="A4606" s="24">
        <v>4141</v>
      </c>
      <c r="B4606" s="26">
        <v>6</v>
      </c>
      <c r="C4606" s="24" t="s">
        <v>2185</v>
      </c>
      <c r="D4606" s="67">
        <v>20</v>
      </c>
      <c r="E4606" s="68">
        <v>10</v>
      </c>
      <c r="F4606" s="67">
        <f>D4606*E4606</f>
        <v>200</v>
      </c>
      <c r="G4606" s="25">
        <v>1.47</v>
      </c>
      <c r="H4606" s="25"/>
      <c r="I4606" s="240" t="s">
        <v>152</v>
      </c>
    </row>
    <row r="4607" spans="1:9" ht="15.75">
      <c r="A4607" s="402" t="s">
        <v>106</v>
      </c>
      <c r="B4607" s="402" t="s">
        <v>52</v>
      </c>
      <c r="C4607" s="402" t="s">
        <v>1710</v>
      </c>
      <c r="D4607" s="90" t="s">
        <v>1186</v>
      </c>
      <c r="E4607" s="90" t="s">
        <v>1652</v>
      </c>
      <c r="F4607" s="174" t="s">
        <v>1653</v>
      </c>
      <c r="G4607" s="90" t="s">
        <v>1825</v>
      </c>
      <c r="H4607" s="90"/>
      <c r="I4607" s="90" t="s">
        <v>151</v>
      </c>
    </row>
    <row r="4608" spans="1:9" ht="15.75">
      <c r="A4608" s="24">
        <v>4141</v>
      </c>
      <c r="B4608" s="26">
        <v>6</v>
      </c>
      <c r="C4608" s="24" t="s">
        <v>2183</v>
      </c>
      <c r="D4608" s="67">
        <v>20</v>
      </c>
      <c r="E4608" s="68">
        <v>15</v>
      </c>
      <c r="F4608" s="67">
        <f>D4608*E4608</f>
        <v>300</v>
      </c>
      <c r="G4608" s="25">
        <v>1.47</v>
      </c>
      <c r="H4608" s="25"/>
      <c r="I4608" s="240" t="s">
        <v>2192</v>
      </c>
    </row>
    <row r="4609" spans="1:10" ht="15.75">
      <c r="A4609" s="24">
        <v>4141</v>
      </c>
      <c r="B4609" s="26">
        <v>6</v>
      </c>
      <c r="C4609" s="24" t="s">
        <v>2184</v>
      </c>
      <c r="D4609" s="67">
        <v>20</v>
      </c>
      <c r="E4609" s="68">
        <v>11</v>
      </c>
      <c r="F4609" s="67">
        <f>D4609*E4609</f>
        <v>220</v>
      </c>
      <c r="G4609" s="25">
        <v>1.47</v>
      </c>
      <c r="H4609" s="25"/>
      <c r="I4609" s="240" t="s">
        <v>2192</v>
      </c>
    </row>
    <row r="4610" spans="1:10" ht="15.75">
      <c r="A4610" s="24">
        <v>4141</v>
      </c>
      <c r="B4610" s="26">
        <v>6</v>
      </c>
      <c r="C4610" s="24" t="s">
        <v>2185</v>
      </c>
      <c r="D4610" s="67">
        <v>20</v>
      </c>
      <c r="E4610" s="68">
        <v>5</v>
      </c>
      <c r="F4610" s="67">
        <f>D4610*E4610</f>
        <v>100</v>
      </c>
      <c r="G4610" s="25">
        <v>1.47</v>
      </c>
      <c r="H4610" s="25"/>
      <c r="I4610" s="240" t="s">
        <v>2192</v>
      </c>
    </row>
    <row r="4611" spans="1:10" ht="15.75">
      <c r="A4611" s="12"/>
      <c r="B4611" s="379"/>
      <c r="C4611" s="12"/>
      <c r="D4611" s="679"/>
      <c r="E4611" s="680"/>
      <c r="F4611" s="679"/>
      <c r="G4611" s="142"/>
      <c r="H4611" s="142"/>
      <c r="I4611" s="681"/>
    </row>
    <row r="4612" spans="1:10">
      <c r="A4612" t="s">
        <v>2210</v>
      </c>
    </row>
    <row r="4613" spans="1:10" ht="15.75">
      <c r="A4613" s="672" t="s">
        <v>2208</v>
      </c>
      <c r="B4613" s="650" t="s">
        <v>377</v>
      </c>
      <c r="C4613" s="606" t="s">
        <v>2200</v>
      </c>
      <c r="D4613" s="651" t="s">
        <v>2</v>
      </c>
      <c r="E4613" s="652" t="s">
        <v>1734</v>
      </c>
      <c r="F4613" s="653" t="s">
        <v>5275</v>
      </c>
    </row>
    <row r="4614" spans="1:10" ht="15">
      <c r="A4614" s="34" t="s">
        <v>2193</v>
      </c>
      <c r="B4614" s="360" t="s">
        <v>2194</v>
      </c>
      <c r="C4614" s="360" t="s">
        <v>2201</v>
      </c>
      <c r="D4614" s="670" t="s">
        <v>2195</v>
      </c>
      <c r="E4614" s="34" t="s">
        <v>1812</v>
      </c>
      <c r="F4614" s="434">
        <v>9.17</v>
      </c>
    </row>
    <row r="4615" spans="1:10" ht="15.75">
      <c r="A4615" s="672" t="s">
        <v>2208</v>
      </c>
      <c r="B4615" s="650" t="s">
        <v>377</v>
      </c>
      <c r="C4615" s="606" t="s">
        <v>2200</v>
      </c>
      <c r="D4615" s="651" t="s">
        <v>2</v>
      </c>
      <c r="E4615" s="652" t="s">
        <v>1734</v>
      </c>
      <c r="F4615" s="653" t="s">
        <v>5275</v>
      </c>
    </row>
    <row r="4616" spans="1:10" ht="15">
      <c r="A4616" s="34" t="s">
        <v>2196</v>
      </c>
      <c r="B4616" s="360" t="s">
        <v>2197</v>
      </c>
      <c r="C4616" s="360" t="s">
        <v>2202</v>
      </c>
      <c r="D4616" s="670" t="s">
        <v>2198</v>
      </c>
      <c r="E4616" s="34" t="s">
        <v>2199</v>
      </c>
      <c r="F4616" s="434">
        <v>9.8699999999999992</v>
      </c>
    </row>
    <row r="4618" spans="1:10" s="677" customFormat="1" ht="49.5">
      <c r="A4618" s="673" t="s">
        <v>2209</v>
      </c>
      <c r="B4618" s="650" t="s">
        <v>377</v>
      </c>
      <c r="C4618" s="673" t="s">
        <v>2200</v>
      </c>
      <c r="D4618" s="651" t="s">
        <v>2</v>
      </c>
      <c r="E4618" s="652" t="s">
        <v>1734</v>
      </c>
      <c r="F4618" s="674" t="s">
        <v>2207</v>
      </c>
      <c r="G4618" s="674" t="s">
        <v>2206</v>
      </c>
      <c r="H4618" s="674"/>
      <c r="I4618" s="675" t="s">
        <v>1985</v>
      </c>
      <c r="J4618" s="676"/>
    </row>
    <row r="4619" spans="1:10" s="677" customFormat="1" ht="16.5">
      <c r="A4619" s="678" t="s">
        <v>2203</v>
      </c>
      <c r="B4619" s="678" t="s">
        <v>1959</v>
      </c>
      <c r="C4619" s="678" t="s">
        <v>1960</v>
      </c>
      <c r="D4619" s="670" t="s">
        <v>2204</v>
      </c>
      <c r="E4619" s="671" t="s">
        <v>2205</v>
      </c>
      <c r="F4619" s="434">
        <v>12.92</v>
      </c>
      <c r="G4619" s="434">
        <v>10.14</v>
      </c>
      <c r="H4619" s="434"/>
      <c r="I4619" s="678" t="s">
        <v>1759</v>
      </c>
      <c r="J4619" s="676"/>
    </row>
    <row r="4622" spans="1:10" ht="15">
      <c r="A4622" s="20" t="s">
        <v>2070</v>
      </c>
      <c r="B4622" s="44"/>
      <c r="C4622" s="44"/>
      <c r="D4622" s="151"/>
      <c r="E4622" s="151"/>
      <c r="F4622" s="151"/>
      <c r="G4622" s="34" t="s">
        <v>1027</v>
      </c>
      <c r="H4622" s="34"/>
      <c r="I4622" s="39"/>
    </row>
    <row r="4623" spans="1:10" ht="15">
      <c r="A4623" s="639" t="s">
        <v>2068</v>
      </c>
      <c r="B4623" s="44" t="s">
        <v>1030</v>
      </c>
      <c r="C4623" s="267" t="s">
        <v>2069</v>
      </c>
      <c r="D4623" s="261"/>
      <c r="E4623" s="261"/>
      <c r="F4623" s="664">
        <v>120</v>
      </c>
      <c r="G4623" s="46">
        <v>2.29</v>
      </c>
      <c r="H4623" s="46"/>
      <c r="I4623" s="46">
        <f>G4623*F4623</f>
        <v>274.8</v>
      </c>
    </row>
    <row r="4624" spans="1:10" ht="15">
      <c r="A4624" s="639" t="s">
        <v>2068</v>
      </c>
      <c r="B4624" s="44" t="s">
        <v>1032</v>
      </c>
      <c r="C4624" s="267" t="s">
        <v>2069</v>
      </c>
      <c r="D4624" s="261"/>
      <c r="E4624" s="261"/>
      <c r="F4624" s="664">
        <v>120</v>
      </c>
      <c r="G4624" s="46">
        <v>2.31</v>
      </c>
      <c r="H4624" s="46"/>
      <c r="I4624" s="46">
        <f>G4624*F4624</f>
        <v>277.2</v>
      </c>
    </row>
    <row r="4625" spans="1:9" ht="15">
      <c r="A4625" s="639" t="s">
        <v>2068</v>
      </c>
      <c r="B4625" s="44" t="s">
        <v>1033</v>
      </c>
      <c r="C4625" s="267" t="s">
        <v>2069</v>
      </c>
      <c r="D4625" s="261"/>
      <c r="E4625" s="261"/>
      <c r="F4625" s="664">
        <v>245</v>
      </c>
      <c r="G4625" s="46">
        <v>2.33</v>
      </c>
      <c r="H4625" s="46"/>
      <c r="I4625" s="46">
        <f>G4625*F4625</f>
        <v>570.85</v>
      </c>
    </row>
    <row r="4626" spans="1:9" ht="15">
      <c r="A4626" s="639" t="s">
        <v>2068</v>
      </c>
      <c r="B4626" s="44" t="s">
        <v>1034</v>
      </c>
      <c r="C4626" s="267" t="s">
        <v>2069</v>
      </c>
      <c r="D4626" s="261"/>
      <c r="E4626" s="261"/>
      <c r="F4626" s="664">
        <v>200</v>
      </c>
      <c r="G4626" s="46">
        <v>2.34</v>
      </c>
      <c r="H4626" s="46"/>
      <c r="I4626" s="46">
        <f>G4626*F4626</f>
        <v>468</v>
      </c>
    </row>
    <row r="4627" spans="1:9" ht="15">
      <c r="A4627" s="20" t="s">
        <v>1381</v>
      </c>
      <c r="B4627" s="44"/>
      <c r="C4627" s="44"/>
      <c r="D4627" s="151"/>
      <c r="E4627" s="151"/>
      <c r="F4627" s="151"/>
      <c r="G4627" s="34" t="s">
        <v>1027</v>
      </c>
      <c r="H4627" s="34"/>
      <c r="I4627" s="39"/>
    </row>
    <row r="4628" spans="1:9" ht="15">
      <c r="A4628" s="56" t="s">
        <v>2071</v>
      </c>
      <c r="B4628" s="44" t="s">
        <v>1453</v>
      </c>
      <c r="C4628" s="260" t="s">
        <v>2072</v>
      </c>
      <c r="D4628" s="261"/>
      <c r="E4628" s="261"/>
      <c r="F4628" s="664">
        <v>45</v>
      </c>
      <c r="G4628" s="46">
        <v>0.24</v>
      </c>
      <c r="H4628" s="46"/>
      <c r="I4628" s="46">
        <f>G4628*F4628</f>
        <v>10.799999999999999</v>
      </c>
    </row>
    <row r="4629" spans="1:9" ht="15">
      <c r="A4629" s="56" t="s">
        <v>2071</v>
      </c>
      <c r="B4629" s="44" t="s">
        <v>1454</v>
      </c>
      <c r="C4629" s="260" t="s">
        <v>2072</v>
      </c>
      <c r="D4629" s="261"/>
      <c r="E4629" s="261"/>
      <c r="F4629" s="664">
        <v>70</v>
      </c>
      <c r="G4629" s="46">
        <v>0.25</v>
      </c>
      <c r="H4629" s="46"/>
      <c r="I4629" s="46">
        <f>G4629*F4629</f>
        <v>17.5</v>
      </c>
    </row>
    <row r="4630" spans="1:9" ht="15">
      <c r="A4630" s="56" t="s">
        <v>2071</v>
      </c>
      <c r="B4630" s="44" t="s">
        <v>1030</v>
      </c>
      <c r="C4630" s="260" t="s">
        <v>2072</v>
      </c>
      <c r="D4630" s="261"/>
      <c r="E4630" s="261"/>
      <c r="F4630" s="664">
        <v>60</v>
      </c>
      <c r="G4630" s="46">
        <v>0.26</v>
      </c>
      <c r="H4630" s="46"/>
      <c r="I4630" s="46">
        <f>G4630*F4630</f>
        <v>15.600000000000001</v>
      </c>
    </row>
    <row r="4631" spans="1:9" ht="15">
      <c r="A4631" s="56" t="s">
        <v>2071</v>
      </c>
      <c r="B4631" s="44" t="s">
        <v>1455</v>
      </c>
      <c r="C4631" s="260" t="s">
        <v>2072</v>
      </c>
      <c r="D4631" s="261"/>
      <c r="E4631" s="261"/>
      <c r="F4631" s="664">
        <v>35</v>
      </c>
      <c r="G4631" s="46">
        <v>0.27</v>
      </c>
      <c r="H4631" s="46"/>
      <c r="I4631" s="46">
        <f>G4631*F4631</f>
        <v>9.4500000000000011</v>
      </c>
    </row>
    <row r="4632" spans="1:9" ht="15">
      <c r="A4632" s="24"/>
      <c r="B4632" s="138"/>
      <c r="C4632" s="44" t="s">
        <v>2014</v>
      </c>
      <c r="D4632" s="8"/>
      <c r="E4632" s="41"/>
      <c r="F4632" s="45">
        <v>4</v>
      </c>
      <c r="G4632" s="46">
        <v>7</v>
      </c>
      <c r="H4632" s="46"/>
      <c r="I4632" s="46">
        <f>G4632*F4632</f>
        <v>28</v>
      </c>
    </row>
    <row r="4633" spans="1:9" ht="15">
      <c r="A4633" s="56" t="s">
        <v>2087</v>
      </c>
      <c r="B4633" s="44" t="s">
        <v>2176</v>
      </c>
      <c r="C4633" s="260" t="s">
        <v>2072</v>
      </c>
      <c r="D4633" s="261"/>
      <c r="E4633" s="261"/>
      <c r="F4633" s="668">
        <v>75</v>
      </c>
      <c r="G4633" s="46">
        <v>0.32</v>
      </c>
      <c r="H4633" s="46"/>
      <c r="I4633" s="46"/>
    </row>
    <row r="4634" spans="1:9" ht="15">
      <c r="A4634" s="56" t="s">
        <v>2087</v>
      </c>
      <c r="B4634" s="44" t="s">
        <v>1455</v>
      </c>
      <c r="C4634" s="260" t="s">
        <v>2072</v>
      </c>
      <c r="D4634" s="261"/>
      <c r="E4634" s="261"/>
      <c r="F4634" s="668">
        <v>145</v>
      </c>
      <c r="G4634" s="46">
        <v>0.33</v>
      </c>
      <c r="H4634" s="46"/>
      <c r="I4634" s="46"/>
    </row>
    <row r="4635" spans="1:9" ht="15">
      <c r="A4635" s="56" t="s">
        <v>2087</v>
      </c>
      <c r="B4635" s="44" t="s">
        <v>1032</v>
      </c>
      <c r="C4635" s="260" t="s">
        <v>2072</v>
      </c>
      <c r="D4635" s="261"/>
      <c r="E4635" s="261"/>
      <c r="F4635" s="668">
        <v>160</v>
      </c>
      <c r="G4635" s="46">
        <v>0.34</v>
      </c>
      <c r="H4635" s="46"/>
      <c r="I4635" s="46"/>
    </row>
    <row r="4636" spans="1:9" ht="15">
      <c r="A4636" s="56" t="s">
        <v>2087</v>
      </c>
      <c r="B4636" s="44" t="s">
        <v>2177</v>
      </c>
      <c r="C4636" s="260" t="s">
        <v>2072</v>
      </c>
      <c r="D4636" s="261"/>
      <c r="E4636" s="261"/>
      <c r="F4636" s="668">
        <v>160</v>
      </c>
      <c r="G4636" s="46">
        <v>0.35</v>
      </c>
      <c r="H4636" s="46"/>
      <c r="I4636" s="46"/>
    </row>
    <row r="4637" spans="1:9" ht="15">
      <c r="A4637" s="56" t="s">
        <v>2087</v>
      </c>
      <c r="B4637" s="44" t="s">
        <v>1033</v>
      </c>
      <c r="C4637" s="260" t="s">
        <v>2072</v>
      </c>
      <c r="D4637" s="261"/>
      <c r="E4637" s="261"/>
      <c r="F4637" s="668">
        <v>75</v>
      </c>
      <c r="G4637" s="46">
        <v>0.36</v>
      </c>
      <c r="H4637" s="46"/>
      <c r="I4637" s="46"/>
    </row>
    <row r="4638" spans="1:9" ht="15">
      <c r="A4638" s="56"/>
      <c r="B4638" s="138"/>
      <c r="C4638" s="44" t="s">
        <v>2014</v>
      </c>
      <c r="D4638" s="8"/>
      <c r="E4638" s="41"/>
      <c r="F4638" s="45">
        <v>2</v>
      </c>
      <c r="G4638" s="46">
        <v>7</v>
      </c>
      <c r="H4638" s="46"/>
      <c r="I4638" s="46">
        <f>G4638*F4638</f>
        <v>14</v>
      </c>
    </row>
    <row r="4639" spans="1:9" ht="15">
      <c r="A4639" s="228"/>
      <c r="B4639" s="160"/>
      <c r="C4639" s="42" t="s">
        <v>1993</v>
      </c>
      <c r="D4639" s="214"/>
      <c r="E4639" s="215"/>
      <c r="F4639" s="43">
        <v>1</v>
      </c>
      <c r="G4639" s="229">
        <v>12</v>
      </c>
      <c r="H4639" s="229"/>
      <c r="I4639" s="229">
        <f>G4639*F4639</f>
        <v>12</v>
      </c>
    </row>
    <row r="4640" spans="1:9" ht="15">
      <c r="A4640" s="20" t="s">
        <v>2070</v>
      </c>
      <c r="B4640" s="44"/>
      <c r="C4640" s="44"/>
      <c r="D4640" s="151"/>
      <c r="E4640" s="151"/>
      <c r="F4640" s="151"/>
      <c r="G4640" s="34" t="s">
        <v>1027</v>
      </c>
      <c r="H4640" s="34"/>
      <c r="I4640" s="39"/>
    </row>
    <row r="4641" spans="1:9" ht="15">
      <c r="A4641" s="639" t="s">
        <v>2068</v>
      </c>
      <c r="B4641" s="44" t="s">
        <v>1030</v>
      </c>
      <c r="C4641" s="267" t="s">
        <v>2069</v>
      </c>
      <c r="D4641" s="261"/>
      <c r="E4641" s="261"/>
      <c r="F4641" s="664">
        <v>255</v>
      </c>
      <c r="G4641" s="46">
        <v>2.29</v>
      </c>
      <c r="H4641" s="46"/>
      <c r="I4641" s="46">
        <f>G4641*F4641</f>
        <v>583.95000000000005</v>
      </c>
    </row>
    <row r="4642" spans="1:9" ht="15">
      <c r="A4642" s="639" t="s">
        <v>2068</v>
      </c>
      <c r="B4642" s="44" t="s">
        <v>1032</v>
      </c>
      <c r="C4642" s="267" t="s">
        <v>2069</v>
      </c>
      <c r="D4642" s="261"/>
      <c r="E4642" s="261"/>
      <c r="F4642" s="664">
        <v>790</v>
      </c>
      <c r="G4642" s="46">
        <v>2.31</v>
      </c>
      <c r="H4642" s="46"/>
      <c r="I4642" s="46">
        <f>G4642*F4642</f>
        <v>1824.9</v>
      </c>
    </row>
    <row r="4644" spans="1:9" ht="15.75">
      <c r="A4644" s="402" t="s">
        <v>106</v>
      </c>
      <c r="B4644" s="402" t="s">
        <v>1098</v>
      </c>
      <c r="C4644" s="402" t="s">
        <v>128</v>
      </c>
      <c r="D4644" s="402" t="s">
        <v>54</v>
      </c>
      <c r="E4644" s="90" t="s">
        <v>2020</v>
      </c>
      <c r="F4644" s="90" t="s">
        <v>151</v>
      </c>
    </row>
    <row r="4645" spans="1:9" ht="15">
      <c r="A4645" s="164" t="s">
        <v>2070</v>
      </c>
      <c r="B4645" s="44"/>
      <c r="C4645" s="44"/>
      <c r="D4645" s="151"/>
      <c r="E4645" s="34" t="s">
        <v>1027</v>
      </c>
      <c r="F4645" s="207"/>
    </row>
    <row r="4646" spans="1:9" ht="15.75">
      <c r="A4646" s="47" t="s">
        <v>2068</v>
      </c>
      <c r="B4646" s="44" t="s">
        <v>1030</v>
      </c>
      <c r="C4646" s="260" t="s">
        <v>2069</v>
      </c>
      <c r="D4646" s="664">
        <v>120</v>
      </c>
      <c r="E4646" s="46">
        <v>2.29</v>
      </c>
      <c r="F4646" s="669" t="s">
        <v>2178</v>
      </c>
    </row>
    <row r="4647" spans="1:9" ht="15.75">
      <c r="A4647" s="47" t="s">
        <v>2068</v>
      </c>
      <c r="B4647" s="44" t="s">
        <v>1032</v>
      </c>
      <c r="C4647" s="260" t="s">
        <v>2069</v>
      </c>
      <c r="D4647" s="664">
        <v>120</v>
      </c>
      <c r="E4647" s="46">
        <v>2.31</v>
      </c>
      <c r="F4647" s="669" t="s">
        <v>2178</v>
      </c>
    </row>
    <row r="4648" spans="1:9" ht="15.75">
      <c r="A4648" s="47" t="s">
        <v>2068</v>
      </c>
      <c r="B4648" s="44" t="s">
        <v>1033</v>
      </c>
      <c r="C4648" s="260" t="s">
        <v>2069</v>
      </c>
      <c r="D4648" s="664">
        <v>245</v>
      </c>
      <c r="E4648" s="46">
        <v>2.33</v>
      </c>
      <c r="F4648" s="669" t="s">
        <v>2178</v>
      </c>
    </row>
    <row r="4649" spans="1:9" ht="15.75">
      <c r="A4649" s="47" t="s">
        <v>2068</v>
      </c>
      <c r="B4649" s="44" t="s">
        <v>1034</v>
      </c>
      <c r="C4649" s="260" t="s">
        <v>2069</v>
      </c>
      <c r="D4649" s="664">
        <v>200</v>
      </c>
      <c r="E4649" s="46">
        <v>2.34</v>
      </c>
      <c r="F4649" s="669" t="s">
        <v>2178</v>
      </c>
    </row>
    <row r="4650" spans="1:9" ht="15.75">
      <c r="A4650" s="164" t="s">
        <v>1381</v>
      </c>
      <c r="B4650" s="44"/>
      <c r="C4650" s="44"/>
      <c r="D4650" s="151"/>
      <c r="E4650" s="34" t="s">
        <v>1027</v>
      </c>
      <c r="F4650" s="669"/>
    </row>
    <row r="4651" spans="1:9" ht="15.75">
      <c r="A4651" s="24" t="s">
        <v>2071</v>
      </c>
      <c r="B4651" s="44" t="s">
        <v>1453</v>
      </c>
      <c r="C4651" s="260" t="s">
        <v>2072</v>
      </c>
      <c r="D4651" s="664">
        <v>45</v>
      </c>
      <c r="E4651" s="46">
        <v>0.24</v>
      </c>
      <c r="F4651" s="669" t="s">
        <v>2179</v>
      </c>
    </row>
    <row r="4652" spans="1:9" ht="15.75">
      <c r="A4652" s="24" t="s">
        <v>2071</v>
      </c>
      <c r="B4652" s="44" t="s">
        <v>1454</v>
      </c>
      <c r="C4652" s="260" t="s">
        <v>2072</v>
      </c>
      <c r="D4652" s="664">
        <v>70</v>
      </c>
      <c r="E4652" s="46">
        <v>0.25</v>
      </c>
      <c r="F4652" s="669" t="s">
        <v>2179</v>
      </c>
    </row>
    <row r="4653" spans="1:9" ht="15.75">
      <c r="A4653" s="24" t="s">
        <v>2071</v>
      </c>
      <c r="B4653" s="44" t="s">
        <v>1030</v>
      </c>
      <c r="C4653" s="260" t="s">
        <v>2072</v>
      </c>
      <c r="D4653" s="664">
        <v>60</v>
      </c>
      <c r="E4653" s="46">
        <v>0.26</v>
      </c>
      <c r="F4653" s="669" t="s">
        <v>2179</v>
      </c>
    </row>
    <row r="4654" spans="1:9" ht="15.75">
      <c r="A4654" s="24" t="s">
        <v>2071</v>
      </c>
      <c r="B4654" s="44" t="s">
        <v>1455</v>
      </c>
      <c r="C4654" s="260" t="s">
        <v>2072</v>
      </c>
      <c r="D4654" s="664">
        <v>35</v>
      </c>
      <c r="E4654" s="46">
        <v>0.27</v>
      </c>
      <c r="F4654" s="669" t="s">
        <v>2179</v>
      </c>
    </row>
    <row r="4655" spans="1:9" ht="15.75">
      <c r="A4655" s="24"/>
      <c r="B4655" s="138"/>
      <c r="C4655" s="44" t="s">
        <v>2014</v>
      </c>
      <c r="D4655" s="45" t="s">
        <v>2175</v>
      </c>
      <c r="E4655" s="46">
        <v>28</v>
      </c>
      <c r="F4655" s="669"/>
    </row>
    <row r="4656" spans="1:9" ht="15.75">
      <c r="A4656" s="24" t="s">
        <v>2087</v>
      </c>
      <c r="B4656" s="44" t="s">
        <v>2176</v>
      </c>
      <c r="C4656" s="260" t="s">
        <v>2072</v>
      </c>
      <c r="D4656" s="668">
        <v>75</v>
      </c>
      <c r="E4656" s="46">
        <v>0.32</v>
      </c>
      <c r="F4656" s="669" t="s">
        <v>2180</v>
      </c>
    </row>
    <row r="4657" spans="1:6" ht="15.75">
      <c r="A4657" s="24" t="s">
        <v>2087</v>
      </c>
      <c r="B4657" s="44" t="s">
        <v>1455</v>
      </c>
      <c r="C4657" s="260" t="s">
        <v>2072</v>
      </c>
      <c r="D4657" s="668">
        <v>145</v>
      </c>
      <c r="E4657" s="46">
        <v>0.33</v>
      </c>
      <c r="F4657" s="669" t="s">
        <v>2180</v>
      </c>
    </row>
    <row r="4658" spans="1:6" ht="15.75">
      <c r="A4658" s="24" t="s">
        <v>2087</v>
      </c>
      <c r="B4658" s="44" t="s">
        <v>1032</v>
      </c>
      <c r="C4658" s="260" t="s">
        <v>2072</v>
      </c>
      <c r="D4658" s="668">
        <v>160</v>
      </c>
      <c r="E4658" s="46">
        <v>0.34</v>
      </c>
      <c r="F4658" s="669" t="s">
        <v>2180</v>
      </c>
    </row>
    <row r="4659" spans="1:6" ht="15.75">
      <c r="A4659" s="24" t="s">
        <v>2087</v>
      </c>
      <c r="B4659" s="44" t="s">
        <v>2177</v>
      </c>
      <c r="C4659" s="260" t="s">
        <v>2072</v>
      </c>
      <c r="D4659" s="668">
        <v>160</v>
      </c>
      <c r="E4659" s="46">
        <v>0.35</v>
      </c>
      <c r="F4659" s="669" t="s">
        <v>2180</v>
      </c>
    </row>
    <row r="4660" spans="1:6" ht="15.75">
      <c r="A4660" s="24" t="s">
        <v>2087</v>
      </c>
      <c r="B4660" s="44" t="s">
        <v>1033</v>
      </c>
      <c r="C4660" s="260" t="s">
        <v>2072</v>
      </c>
      <c r="D4660" s="668">
        <v>75</v>
      </c>
      <c r="E4660" s="46">
        <v>0.36</v>
      </c>
      <c r="F4660" s="669" t="s">
        <v>2180</v>
      </c>
    </row>
    <row r="4661" spans="1:6" ht="15.75">
      <c r="A4661" s="24"/>
      <c r="B4661" s="138"/>
      <c r="C4661" s="44" t="s">
        <v>2014</v>
      </c>
      <c r="D4661" s="45" t="s">
        <v>2021</v>
      </c>
      <c r="E4661" s="46">
        <v>14</v>
      </c>
      <c r="F4661" s="669"/>
    </row>
    <row r="4665" spans="1:6" ht="15.75">
      <c r="A4665" s="402" t="s">
        <v>106</v>
      </c>
      <c r="B4665" s="402" t="s">
        <v>1098</v>
      </c>
      <c r="C4665" s="402" t="s">
        <v>128</v>
      </c>
      <c r="D4665" s="402" t="s">
        <v>54</v>
      </c>
      <c r="E4665" s="90" t="s">
        <v>2020</v>
      </c>
      <c r="F4665" s="90" t="s">
        <v>151</v>
      </c>
    </row>
    <row r="4666" spans="1:6" ht="15">
      <c r="A4666" s="164" t="s">
        <v>2070</v>
      </c>
      <c r="B4666" s="44"/>
      <c r="C4666" s="44"/>
      <c r="D4666" s="151"/>
      <c r="E4666" s="34" t="s">
        <v>1027</v>
      </c>
      <c r="F4666" s="207"/>
    </row>
    <row r="4667" spans="1:6" ht="15.75">
      <c r="A4667" s="47" t="s">
        <v>2068</v>
      </c>
      <c r="B4667" s="44" t="s">
        <v>1030</v>
      </c>
      <c r="C4667" s="260" t="s">
        <v>2069</v>
      </c>
      <c r="D4667" s="664">
        <v>255</v>
      </c>
      <c r="E4667" s="46">
        <v>2.29</v>
      </c>
      <c r="F4667" s="669" t="s">
        <v>2178</v>
      </c>
    </row>
    <row r="4668" spans="1:6" ht="15.75">
      <c r="A4668" s="47" t="s">
        <v>2068</v>
      </c>
      <c r="B4668" s="44" t="s">
        <v>1032</v>
      </c>
      <c r="C4668" s="260" t="s">
        <v>2069</v>
      </c>
      <c r="D4668" s="664">
        <v>790</v>
      </c>
      <c r="E4668" s="46">
        <v>2.31</v>
      </c>
      <c r="F4668" s="669" t="s">
        <v>2178</v>
      </c>
    </row>
    <row r="4671" spans="1:6">
      <c r="A4671" s="345" t="s">
        <v>2221</v>
      </c>
    </row>
    <row r="4672" spans="1:6">
      <c r="A4672" s="345" t="s">
        <v>2222</v>
      </c>
    </row>
    <row r="4674" spans="1:9" ht="15.75">
      <c r="A4674" s="402" t="s">
        <v>106</v>
      </c>
      <c r="B4674" s="402" t="s">
        <v>52</v>
      </c>
      <c r="C4674" s="402" t="s">
        <v>1710</v>
      </c>
      <c r="D4674" s="90" t="s">
        <v>1186</v>
      </c>
      <c r="E4674" s="90" t="s">
        <v>1652</v>
      </c>
      <c r="F4674" s="174" t="s">
        <v>1653</v>
      </c>
      <c r="G4674" s="90" t="s">
        <v>1825</v>
      </c>
      <c r="H4674" s="140"/>
    </row>
    <row r="4675" spans="1:9" ht="15">
      <c r="A4675" s="24">
        <v>14552</v>
      </c>
      <c r="B4675" s="26">
        <v>10</v>
      </c>
      <c r="C4675" s="24" t="s">
        <v>2212</v>
      </c>
      <c r="D4675" s="151">
        <v>30</v>
      </c>
      <c r="E4675" s="152">
        <v>24</v>
      </c>
      <c r="F4675" s="67">
        <f>D4675*E4675</f>
        <v>720</v>
      </c>
      <c r="G4675" s="25">
        <v>0.69</v>
      </c>
      <c r="H4675" s="142"/>
    </row>
    <row r="4676" spans="1:9" ht="15">
      <c r="A4676" s="24">
        <v>14552</v>
      </c>
      <c r="B4676" s="26">
        <v>10</v>
      </c>
      <c r="C4676" s="24" t="s">
        <v>1740</v>
      </c>
      <c r="D4676" s="151">
        <v>30</v>
      </c>
      <c r="E4676" s="152">
        <v>34</v>
      </c>
      <c r="F4676" s="67">
        <f>D4676*E4676</f>
        <v>1020</v>
      </c>
      <c r="G4676" s="25">
        <v>0.69</v>
      </c>
      <c r="H4676" s="142"/>
    </row>
    <row r="4677" spans="1:9" ht="15">
      <c r="A4677" s="95"/>
      <c r="B4677" s="138"/>
      <c r="C4677" s="24" t="s">
        <v>481</v>
      </c>
      <c r="D4677" s="8"/>
      <c r="E4677" s="41"/>
      <c r="F4677" s="45">
        <v>1</v>
      </c>
      <c r="G4677" s="46">
        <v>12</v>
      </c>
      <c r="H4677" s="180"/>
    </row>
    <row r="4679" spans="1:9">
      <c r="A4679" t="s">
        <v>2240</v>
      </c>
    </row>
    <row r="4680" spans="1:9" ht="31.5">
      <c r="A4680" s="672" t="s">
        <v>1369</v>
      </c>
      <c r="B4680" s="650" t="s">
        <v>377</v>
      </c>
      <c r="C4680" s="651" t="s">
        <v>2</v>
      </c>
      <c r="D4680" s="652" t="s">
        <v>1734</v>
      </c>
      <c r="E4680" s="653" t="s">
        <v>3117</v>
      </c>
      <c r="F4680" s="654" t="s">
        <v>1403</v>
      </c>
    </row>
    <row r="4681" spans="1:9" ht="15">
      <c r="A4681" s="407" t="s">
        <v>2241</v>
      </c>
      <c r="B4681" s="408">
        <v>15</v>
      </c>
      <c r="C4681" s="655">
        <v>30</v>
      </c>
      <c r="D4681" s="656" t="s">
        <v>2132</v>
      </c>
      <c r="E4681" s="657">
        <v>1.39</v>
      </c>
      <c r="F4681" s="658"/>
    </row>
    <row r="4684" spans="1:9" ht="15.75">
      <c r="A4684" s="402" t="s">
        <v>106</v>
      </c>
      <c r="B4684" s="402" t="s">
        <v>52</v>
      </c>
      <c r="C4684" s="402" t="s">
        <v>1710</v>
      </c>
      <c r="D4684" s="90" t="s">
        <v>1186</v>
      </c>
      <c r="E4684" s="90" t="s">
        <v>1652</v>
      </c>
      <c r="F4684" s="174" t="s">
        <v>1653</v>
      </c>
      <c r="G4684" s="90" t="s">
        <v>1825</v>
      </c>
      <c r="H4684" s="90"/>
      <c r="I4684" s="90" t="s">
        <v>2245</v>
      </c>
    </row>
    <row r="4685" spans="1:9" ht="15">
      <c r="A4685" s="24">
        <v>3806</v>
      </c>
      <c r="B4685" s="44">
        <v>38</v>
      </c>
      <c r="C4685" s="24" t="s">
        <v>338</v>
      </c>
      <c r="D4685" s="151">
        <v>30</v>
      </c>
      <c r="E4685" s="152">
        <v>1</v>
      </c>
      <c r="F4685" s="67">
        <f>D4685*E4685</f>
        <v>30</v>
      </c>
      <c r="G4685" s="46">
        <v>0.73</v>
      </c>
      <c r="H4685" s="46"/>
      <c r="I4685" s="46">
        <f>G4685*F4685</f>
        <v>21.9</v>
      </c>
    </row>
    <row r="4686" spans="1:9" ht="15">
      <c r="A4686" s="24"/>
      <c r="B4686" s="138"/>
      <c r="C4686" s="44" t="s">
        <v>1993</v>
      </c>
      <c r="D4686" s="8"/>
      <c r="E4686" s="41"/>
      <c r="F4686" s="45">
        <v>1</v>
      </c>
      <c r="G4686" s="46">
        <v>12</v>
      </c>
      <c r="H4686" s="46"/>
      <c r="I4686" s="46">
        <f>G4686*F4686</f>
        <v>12</v>
      </c>
    </row>
    <row r="4687" spans="1:9" ht="15.75">
      <c r="A4687" s="24"/>
      <c r="B4687" s="138"/>
      <c r="C4687" s="44"/>
      <c r="D4687" s="8"/>
      <c r="E4687" s="41"/>
      <c r="F4687" s="45"/>
      <c r="G4687" s="282" t="s">
        <v>375</v>
      </c>
      <c r="H4687" s="282"/>
      <c r="I4687" s="163">
        <f>SUM(I4685:I4686)</f>
        <v>33.9</v>
      </c>
    </row>
    <row r="4690" spans="1:8" ht="15.75">
      <c r="A4690" s="402" t="s">
        <v>106</v>
      </c>
      <c r="B4690" s="402" t="s">
        <v>52</v>
      </c>
      <c r="C4690" s="402" t="s">
        <v>1710</v>
      </c>
      <c r="D4690" s="90" t="s">
        <v>1186</v>
      </c>
      <c r="E4690" s="90" t="s">
        <v>1652</v>
      </c>
      <c r="F4690" s="174" t="s">
        <v>1653</v>
      </c>
      <c r="G4690" s="90" t="s">
        <v>1825</v>
      </c>
      <c r="H4690" s="140"/>
    </row>
    <row r="4691" spans="1:8" ht="15">
      <c r="A4691" s="24">
        <v>3705</v>
      </c>
      <c r="B4691" s="26">
        <v>6</v>
      </c>
      <c r="C4691" s="24" t="s">
        <v>414</v>
      </c>
      <c r="D4691" s="151">
        <v>30</v>
      </c>
      <c r="E4691" s="152">
        <v>3</v>
      </c>
      <c r="F4691" s="67">
        <f t="shared" ref="F4691:F4699" si="6">D4691*E4691</f>
        <v>90</v>
      </c>
      <c r="G4691" s="46">
        <v>0.28999999999999998</v>
      </c>
      <c r="H4691" s="180"/>
    </row>
    <row r="4692" spans="1:8" ht="15">
      <c r="A4692" s="24">
        <v>3705</v>
      </c>
      <c r="B4692" s="26">
        <v>12</v>
      </c>
      <c r="C4692" s="24" t="s">
        <v>414</v>
      </c>
      <c r="D4692" s="151">
        <v>30</v>
      </c>
      <c r="E4692" s="152">
        <v>5</v>
      </c>
      <c r="F4692" s="67">
        <f t="shared" si="6"/>
        <v>150</v>
      </c>
      <c r="G4692" s="46">
        <v>0.35</v>
      </c>
      <c r="H4692" s="180"/>
    </row>
    <row r="4693" spans="1:8" ht="15">
      <c r="A4693" s="24">
        <v>3705</v>
      </c>
      <c r="B4693" s="26">
        <v>25</v>
      </c>
      <c r="C4693" s="24" t="s">
        <v>414</v>
      </c>
      <c r="D4693" s="151">
        <v>30</v>
      </c>
      <c r="E4693" s="152">
        <v>3</v>
      </c>
      <c r="F4693" s="67">
        <f t="shared" si="6"/>
        <v>90</v>
      </c>
      <c r="G4693" s="46">
        <v>0.6</v>
      </c>
      <c r="H4693" s="180"/>
    </row>
    <row r="4694" spans="1:8" ht="15">
      <c r="A4694" s="24">
        <v>3705</v>
      </c>
      <c r="B4694" s="26">
        <v>6</v>
      </c>
      <c r="C4694" s="24" t="s">
        <v>498</v>
      </c>
      <c r="D4694" s="151">
        <v>30</v>
      </c>
      <c r="E4694" s="152">
        <v>3</v>
      </c>
      <c r="F4694" s="67">
        <f t="shared" si="6"/>
        <v>90</v>
      </c>
      <c r="G4694" s="46">
        <v>0.28999999999999998</v>
      </c>
      <c r="H4694" s="180"/>
    </row>
    <row r="4695" spans="1:8" ht="15">
      <c r="A4695" s="24">
        <v>3705</v>
      </c>
      <c r="B4695" s="26">
        <v>12</v>
      </c>
      <c r="C4695" s="24" t="s">
        <v>498</v>
      </c>
      <c r="D4695" s="151">
        <v>30</v>
      </c>
      <c r="E4695" s="152">
        <v>5</v>
      </c>
      <c r="F4695" s="67">
        <f t="shared" si="6"/>
        <v>150</v>
      </c>
      <c r="G4695" s="46">
        <v>0.35</v>
      </c>
      <c r="H4695" s="180"/>
    </row>
    <row r="4696" spans="1:8" ht="15">
      <c r="A4696" s="24">
        <v>3705</v>
      </c>
      <c r="B4696" s="26">
        <v>25</v>
      </c>
      <c r="C4696" s="24" t="s">
        <v>498</v>
      </c>
      <c r="D4696" s="151">
        <v>30</v>
      </c>
      <c r="E4696" s="152">
        <v>3</v>
      </c>
      <c r="F4696" s="67">
        <f t="shared" si="6"/>
        <v>90</v>
      </c>
      <c r="G4696" s="46">
        <v>0.6</v>
      </c>
      <c r="H4696" s="180"/>
    </row>
    <row r="4697" spans="1:8" ht="15">
      <c r="A4697" s="24">
        <v>3705</v>
      </c>
      <c r="B4697" s="26">
        <v>6</v>
      </c>
      <c r="C4697" s="24" t="s">
        <v>2252</v>
      </c>
      <c r="D4697" s="151">
        <v>30</v>
      </c>
      <c r="E4697" s="152">
        <v>2</v>
      </c>
      <c r="F4697" s="67">
        <f t="shared" si="6"/>
        <v>60</v>
      </c>
      <c r="G4697" s="46">
        <v>0.28999999999999998</v>
      </c>
      <c r="H4697" s="180"/>
    </row>
    <row r="4698" spans="1:8" ht="15">
      <c r="A4698" s="24">
        <v>3705</v>
      </c>
      <c r="B4698" s="26">
        <v>12</v>
      </c>
      <c r="C4698" s="24" t="s">
        <v>2252</v>
      </c>
      <c r="D4698" s="151">
        <v>30</v>
      </c>
      <c r="E4698" s="152">
        <v>5</v>
      </c>
      <c r="F4698" s="67">
        <f t="shared" si="6"/>
        <v>150</v>
      </c>
      <c r="G4698" s="46">
        <v>0.35</v>
      </c>
      <c r="H4698" s="180"/>
    </row>
    <row r="4699" spans="1:8" ht="15">
      <c r="A4699" s="24">
        <v>3705</v>
      </c>
      <c r="B4699" s="26">
        <v>25</v>
      </c>
      <c r="C4699" s="24" t="s">
        <v>2252</v>
      </c>
      <c r="D4699" s="151">
        <v>30</v>
      </c>
      <c r="E4699" s="152">
        <v>3</v>
      </c>
      <c r="F4699" s="67">
        <f t="shared" si="6"/>
        <v>90</v>
      </c>
      <c r="G4699" s="46">
        <v>0.6</v>
      </c>
      <c r="H4699" s="180"/>
    </row>
    <row r="4700" spans="1:8" ht="15">
      <c r="A4700" s="24"/>
      <c r="B4700" s="138"/>
      <c r="C4700" s="44" t="s">
        <v>1993</v>
      </c>
      <c r="D4700" s="8"/>
      <c r="E4700" s="41"/>
      <c r="F4700" s="45">
        <v>1</v>
      </c>
      <c r="G4700" s="46">
        <v>12</v>
      </c>
      <c r="H4700" s="180"/>
    </row>
    <row r="4703" spans="1:8">
      <c r="A4703" t="s">
        <v>2253</v>
      </c>
    </row>
    <row r="4704" spans="1:8" ht="31.5">
      <c r="A4704" s="672" t="s">
        <v>1369</v>
      </c>
      <c r="B4704" s="650" t="s">
        <v>377</v>
      </c>
      <c r="C4704" s="651" t="s">
        <v>2</v>
      </c>
      <c r="D4704" s="652" t="s">
        <v>1734</v>
      </c>
      <c r="E4704" s="653" t="s">
        <v>3117</v>
      </c>
      <c r="F4704" s="654" t="s">
        <v>2254</v>
      </c>
    </row>
    <row r="4705" spans="1:8" ht="15">
      <c r="A4705" s="407" t="s">
        <v>2241</v>
      </c>
      <c r="B4705" s="408">
        <v>15</v>
      </c>
      <c r="C4705" s="655">
        <v>30</v>
      </c>
      <c r="D4705" s="656" t="s">
        <v>2132</v>
      </c>
      <c r="E4705" s="657">
        <v>1.39</v>
      </c>
      <c r="F4705" s="656" t="s">
        <v>2255</v>
      </c>
    </row>
    <row r="4707" spans="1:8" ht="15.75">
      <c r="A4707" s="402" t="s">
        <v>106</v>
      </c>
      <c r="B4707" s="402" t="s">
        <v>52</v>
      </c>
      <c r="C4707" s="402" t="s">
        <v>1710</v>
      </c>
      <c r="D4707" s="90" t="s">
        <v>1186</v>
      </c>
      <c r="E4707" s="90" t="s">
        <v>1652</v>
      </c>
      <c r="F4707" s="90" t="s">
        <v>1653</v>
      </c>
      <c r="G4707" s="90" t="s">
        <v>1825</v>
      </c>
      <c r="H4707" s="140"/>
    </row>
    <row r="4708" spans="1:8" ht="15">
      <c r="A4708" s="24">
        <v>3705</v>
      </c>
      <c r="B4708" s="26">
        <v>6</v>
      </c>
      <c r="C4708" s="24" t="s">
        <v>414</v>
      </c>
      <c r="D4708" s="151">
        <v>30</v>
      </c>
      <c r="E4708" s="152">
        <v>4</v>
      </c>
      <c r="F4708" s="8">
        <f t="shared" ref="F4708:F4716" si="7">D4708*E4708</f>
        <v>120</v>
      </c>
      <c r="G4708" s="46">
        <v>0.28999999999999998</v>
      </c>
      <c r="H4708" s="180"/>
    </row>
    <row r="4709" spans="1:8" ht="15">
      <c r="A4709" s="24">
        <v>3705</v>
      </c>
      <c r="B4709" s="26">
        <v>12</v>
      </c>
      <c r="C4709" s="24" t="s">
        <v>414</v>
      </c>
      <c r="D4709" s="151">
        <v>30</v>
      </c>
      <c r="E4709" s="152">
        <v>6</v>
      </c>
      <c r="F4709" s="8">
        <f t="shared" si="7"/>
        <v>180</v>
      </c>
      <c r="G4709" s="46">
        <v>0.35</v>
      </c>
      <c r="H4709" s="180"/>
    </row>
    <row r="4710" spans="1:8" ht="15">
      <c r="A4710" s="24">
        <v>3705</v>
      </c>
      <c r="B4710" s="26">
        <v>25</v>
      </c>
      <c r="C4710" s="24" t="s">
        <v>414</v>
      </c>
      <c r="D4710" s="151">
        <v>30</v>
      </c>
      <c r="E4710" s="152">
        <v>4</v>
      </c>
      <c r="F4710" s="8">
        <f t="shared" si="7"/>
        <v>120</v>
      </c>
      <c r="G4710" s="46">
        <v>0.6</v>
      </c>
      <c r="H4710" s="180"/>
    </row>
    <row r="4711" spans="1:8" ht="15">
      <c r="A4711" s="24">
        <v>3705</v>
      </c>
      <c r="B4711" s="26">
        <v>6</v>
      </c>
      <c r="C4711" s="24" t="s">
        <v>498</v>
      </c>
      <c r="D4711" s="151">
        <v>30</v>
      </c>
      <c r="E4711" s="152">
        <v>4</v>
      </c>
      <c r="F4711" s="8">
        <f t="shared" si="7"/>
        <v>120</v>
      </c>
      <c r="G4711" s="46">
        <v>0.28999999999999998</v>
      </c>
      <c r="H4711" s="180"/>
    </row>
    <row r="4712" spans="1:8" ht="15">
      <c r="A4712" s="24">
        <v>3705</v>
      </c>
      <c r="B4712" s="26">
        <v>12</v>
      </c>
      <c r="C4712" s="24" t="s">
        <v>498</v>
      </c>
      <c r="D4712" s="151">
        <v>30</v>
      </c>
      <c r="E4712" s="152">
        <v>6</v>
      </c>
      <c r="F4712" s="8">
        <f t="shared" si="7"/>
        <v>180</v>
      </c>
      <c r="G4712" s="46">
        <v>0.35</v>
      </c>
      <c r="H4712" s="180"/>
    </row>
    <row r="4713" spans="1:8" ht="15">
      <c r="A4713" s="24">
        <v>3705</v>
      </c>
      <c r="B4713" s="26">
        <v>25</v>
      </c>
      <c r="C4713" s="24" t="s">
        <v>498</v>
      </c>
      <c r="D4713" s="151">
        <v>30</v>
      </c>
      <c r="E4713" s="152">
        <v>4</v>
      </c>
      <c r="F4713" s="8">
        <f t="shared" si="7"/>
        <v>120</v>
      </c>
      <c r="G4713" s="46">
        <v>0.6</v>
      </c>
      <c r="H4713" s="180"/>
    </row>
    <row r="4714" spans="1:8" ht="15">
      <c r="A4714" s="24">
        <v>3705</v>
      </c>
      <c r="B4714" s="26">
        <v>6</v>
      </c>
      <c r="C4714" s="24" t="s">
        <v>2252</v>
      </c>
      <c r="D4714" s="151">
        <v>30</v>
      </c>
      <c r="E4714" s="152">
        <v>2</v>
      </c>
      <c r="F4714" s="8">
        <f t="shared" si="7"/>
        <v>60</v>
      </c>
      <c r="G4714" s="46">
        <v>0.28999999999999998</v>
      </c>
      <c r="H4714" s="180"/>
    </row>
    <row r="4715" spans="1:8" ht="15">
      <c r="A4715" s="24">
        <v>3705</v>
      </c>
      <c r="B4715" s="26">
        <v>12</v>
      </c>
      <c r="C4715" s="24" t="s">
        <v>2252</v>
      </c>
      <c r="D4715" s="151">
        <v>30</v>
      </c>
      <c r="E4715" s="152">
        <v>6</v>
      </c>
      <c r="F4715" s="8">
        <f t="shared" si="7"/>
        <v>180</v>
      </c>
      <c r="G4715" s="46">
        <v>0.35</v>
      </c>
      <c r="H4715" s="180"/>
    </row>
    <row r="4716" spans="1:8" ht="15">
      <c r="A4716" s="24">
        <v>3705</v>
      </c>
      <c r="B4716" s="26">
        <v>25</v>
      </c>
      <c r="C4716" s="24" t="s">
        <v>2252</v>
      </c>
      <c r="D4716" s="151">
        <v>30</v>
      </c>
      <c r="E4716" s="152">
        <v>4</v>
      </c>
      <c r="F4716" s="8">
        <f t="shared" si="7"/>
        <v>120</v>
      </c>
      <c r="G4716" s="46">
        <v>0.6</v>
      </c>
      <c r="H4716" s="180"/>
    </row>
    <row r="4717" spans="1:8" ht="15">
      <c r="A4717" s="24"/>
      <c r="B4717" s="138"/>
      <c r="C4717" s="44" t="s">
        <v>1993</v>
      </c>
      <c r="D4717" s="8"/>
      <c r="E4717" s="41"/>
      <c r="F4717" s="45">
        <v>1</v>
      </c>
      <c r="G4717" s="46">
        <v>12</v>
      </c>
      <c r="H4717" s="180"/>
    </row>
    <row r="4720" spans="1:8" ht="15.75">
      <c r="A4720" s="402" t="s">
        <v>106</v>
      </c>
      <c r="B4720" s="402" t="s">
        <v>52</v>
      </c>
      <c r="C4720" s="402" t="s">
        <v>1710</v>
      </c>
      <c r="D4720" s="90" t="s">
        <v>1186</v>
      </c>
      <c r="E4720" s="90" t="s">
        <v>1652</v>
      </c>
      <c r="F4720" s="90" t="s">
        <v>1653</v>
      </c>
      <c r="G4720" s="90" t="s">
        <v>1825</v>
      </c>
      <c r="H4720" s="140"/>
    </row>
    <row r="4721" spans="1:8" ht="15">
      <c r="A4721" s="24">
        <v>3705</v>
      </c>
      <c r="B4721" s="26">
        <v>50</v>
      </c>
      <c r="C4721" s="24" t="s">
        <v>2260</v>
      </c>
      <c r="D4721" s="151">
        <v>30</v>
      </c>
      <c r="E4721" s="152">
        <v>20</v>
      </c>
      <c r="F4721" s="67">
        <f>D4721*E4721</f>
        <v>600</v>
      </c>
      <c r="G4721" s="46">
        <v>1.66</v>
      </c>
      <c r="H4721" s="180"/>
    </row>
    <row r="4722" spans="1:8" ht="15">
      <c r="A4722" s="24">
        <v>3705</v>
      </c>
      <c r="B4722" s="26">
        <v>38</v>
      </c>
      <c r="C4722" s="24" t="s">
        <v>2261</v>
      </c>
      <c r="D4722" s="151">
        <v>30</v>
      </c>
      <c r="E4722" s="152">
        <v>20</v>
      </c>
      <c r="F4722" s="67">
        <f>D4722*E4722</f>
        <v>600</v>
      </c>
      <c r="G4722" s="46">
        <v>0.89</v>
      </c>
      <c r="H4722" s="180"/>
    </row>
    <row r="4723" spans="1:8" ht="15">
      <c r="A4723" s="24">
        <v>3705</v>
      </c>
      <c r="B4723" s="26">
        <v>25</v>
      </c>
      <c r="C4723" s="24" t="s">
        <v>2261</v>
      </c>
      <c r="D4723" s="151">
        <v>30</v>
      </c>
      <c r="E4723" s="152">
        <v>20</v>
      </c>
      <c r="F4723" s="67">
        <f>D4723*E4723</f>
        <v>600</v>
      </c>
      <c r="G4723" s="46">
        <v>0.6</v>
      </c>
      <c r="H4723" s="180"/>
    </row>
    <row r="4724" spans="1:8" ht="15">
      <c r="A4724" s="24">
        <v>3705</v>
      </c>
      <c r="B4724" s="26">
        <v>12</v>
      </c>
      <c r="C4724" s="24" t="s">
        <v>2261</v>
      </c>
      <c r="D4724" s="151">
        <v>30</v>
      </c>
      <c r="E4724" s="152">
        <v>20</v>
      </c>
      <c r="F4724" s="67">
        <f>D4724*E4724</f>
        <v>600</v>
      </c>
      <c r="G4724" s="46">
        <v>0.35</v>
      </c>
      <c r="H4724" s="180"/>
    </row>
    <row r="4728" spans="1:8" ht="15.75">
      <c r="A4728" s="402" t="s">
        <v>106</v>
      </c>
      <c r="B4728" s="402" t="s">
        <v>1710</v>
      </c>
      <c r="C4728" s="90" t="s">
        <v>1186</v>
      </c>
      <c r="D4728" s="90" t="s">
        <v>1652</v>
      </c>
      <c r="E4728" s="90" t="s">
        <v>1653</v>
      </c>
      <c r="F4728" s="90" t="s">
        <v>1825</v>
      </c>
      <c r="G4728" s="39"/>
      <c r="H4728" s="456"/>
    </row>
    <row r="4729" spans="1:8" ht="15">
      <c r="A4729" s="24" t="s">
        <v>1426</v>
      </c>
      <c r="B4729" s="44" t="s">
        <v>78</v>
      </c>
      <c r="C4729" s="8">
        <v>14</v>
      </c>
      <c r="D4729" s="41">
        <v>69</v>
      </c>
      <c r="E4729" s="67">
        <f>D4729*C4729</f>
        <v>966</v>
      </c>
      <c r="F4729" s="46">
        <v>1.54</v>
      </c>
      <c r="G4729" s="46">
        <f>F4729*E4729</f>
        <v>1487.64</v>
      </c>
      <c r="H4729" s="180"/>
    </row>
    <row r="4730" spans="1:8" ht="15">
      <c r="A4730" s="24"/>
      <c r="B4730" s="44" t="s">
        <v>1993</v>
      </c>
      <c r="C4730" s="8"/>
      <c r="D4730" s="41"/>
      <c r="E4730" s="45">
        <v>1</v>
      </c>
      <c r="F4730" s="46">
        <v>12</v>
      </c>
      <c r="G4730" s="46">
        <f>F4730*E4730</f>
        <v>12</v>
      </c>
      <c r="H4730" s="180"/>
    </row>
    <row r="4734" spans="1:8" ht="15.75">
      <c r="A4734" s="402" t="s">
        <v>106</v>
      </c>
      <c r="B4734" s="402" t="s">
        <v>1710</v>
      </c>
      <c r="C4734" s="402" t="s">
        <v>54</v>
      </c>
      <c r="D4734" s="90" t="s">
        <v>1825</v>
      </c>
    </row>
    <row r="4735" spans="1:8" ht="15">
      <c r="A4735" s="24" t="s">
        <v>536</v>
      </c>
      <c r="B4735" s="24" t="s">
        <v>114</v>
      </c>
      <c r="C4735" s="67">
        <v>50</v>
      </c>
      <c r="D4735" s="25">
        <v>4.45</v>
      </c>
    </row>
    <row r="4736" spans="1:8" ht="15">
      <c r="A4736" s="24"/>
      <c r="B4736" s="44" t="s">
        <v>1993</v>
      </c>
      <c r="C4736" s="45">
        <v>1</v>
      </c>
      <c r="D4736" s="46">
        <v>20</v>
      </c>
    </row>
    <row r="4739" spans="1:120">
      <c r="A4739" t="s">
        <v>2268</v>
      </c>
    </row>
    <row r="4740" spans="1:120" s="694" customFormat="1" ht="15.75">
      <c r="A4740" s="672" t="s">
        <v>1369</v>
      </c>
      <c r="B4740" s="650" t="s">
        <v>377</v>
      </c>
      <c r="C4740" s="651" t="s">
        <v>2</v>
      </c>
      <c r="D4740" s="652" t="s">
        <v>1734</v>
      </c>
      <c r="E4740" s="693" t="s">
        <v>2264</v>
      </c>
      <c r="F4740" s="697" t="s">
        <v>3117</v>
      </c>
      <c r="G4740" s="654" t="s">
        <v>1403</v>
      </c>
      <c r="H4740" s="757"/>
    </row>
    <row r="4741" spans="1:120" s="696" customFormat="1" ht="15" customHeight="1">
      <c r="A4741" s="147" t="s">
        <v>2265</v>
      </c>
      <c r="B4741" s="26">
        <v>6</v>
      </c>
      <c r="C4741" s="148">
        <v>20</v>
      </c>
      <c r="D4741" s="34" t="s">
        <v>1812</v>
      </c>
      <c r="E4741" s="22" t="s">
        <v>13</v>
      </c>
      <c r="F4741" s="657">
        <v>1.47</v>
      </c>
      <c r="G4741" s="695"/>
      <c r="H4741" s="75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  <c r="Y4741" s="18"/>
      <c r="Z4741" s="18"/>
      <c r="AA4741" s="18"/>
      <c r="AB4741" s="18"/>
      <c r="AC4741" s="18"/>
      <c r="AD4741" s="18"/>
      <c r="AE4741" s="18"/>
      <c r="AF4741" s="18"/>
      <c r="AG4741" s="18"/>
      <c r="AH4741" s="18"/>
      <c r="AI4741" s="18"/>
      <c r="AJ4741" s="18"/>
      <c r="AK4741" s="18"/>
      <c r="AL4741" s="18"/>
      <c r="AM4741" s="18"/>
      <c r="AN4741" s="18"/>
      <c r="AO4741" s="18"/>
      <c r="AP4741" s="18"/>
      <c r="AQ4741" s="18"/>
      <c r="AR4741" s="18"/>
      <c r="AS4741" s="18"/>
      <c r="AT4741" s="18"/>
      <c r="AU4741" s="18"/>
      <c r="AV4741" s="18"/>
      <c r="AW4741" s="18"/>
      <c r="AX4741" s="18"/>
      <c r="AY4741" s="18"/>
      <c r="AZ4741" s="18"/>
      <c r="BA4741" s="18"/>
      <c r="BB4741" s="18"/>
      <c r="BC4741" s="18"/>
      <c r="BD4741" s="18"/>
      <c r="BE4741" s="18"/>
      <c r="BF4741" s="18"/>
      <c r="BG4741" s="18"/>
      <c r="BH4741" s="18"/>
      <c r="BI4741" s="18"/>
      <c r="BJ4741" s="18"/>
      <c r="BK4741" s="18"/>
      <c r="BL4741" s="18"/>
      <c r="BM4741" s="18"/>
      <c r="BN4741" s="18"/>
      <c r="BO4741" s="18"/>
      <c r="BP4741" s="18"/>
      <c r="BQ4741" s="18"/>
      <c r="BR4741" s="18"/>
      <c r="BS4741" s="18"/>
      <c r="BT4741" s="18"/>
      <c r="BU4741" s="18"/>
      <c r="BV4741" s="18"/>
      <c r="BW4741" s="18"/>
      <c r="BX4741" s="18"/>
      <c r="BY4741" s="18"/>
      <c r="BZ4741" s="18"/>
      <c r="CA4741" s="18"/>
      <c r="CB4741" s="18"/>
      <c r="CC4741" s="18"/>
      <c r="CD4741" s="18"/>
      <c r="CE4741" s="18"/>
      <c r="CF4741" s="18"/>
      <c r="CG4741" s="18"/>
      <c r="CH4741" s="18"/>
      <c r="CI4741" s="18"/>
      <c r="CJ4741" s="18"/>
      <c r="CK4741" s="18"/>
      <c r="CL4741" s="18"/>
      <c r="CM4741" s="18"/>
      <c r="CN4741" s="18"/>
      <c r="CO4741" s="18"/>
      <c r="CP4741" s="18"/>
      <c r="CQ4741" s="18"/>
      <c r="CR4741" s="18"/>
      <c r="CS4741" s="18"/>
      <c r="CT4741" s="18"/>
      <c r="CU4741" s="18"/>
      <c r="CV4741" s="18"/>
      <c r="CW4741" s="18"/>
      <c r="CX4741" s="18"/>
      <c r="CY4741" s="18"/>
      <c r="CZ4741" s="18"/>
      <c r="DA4741" s="18"/>
      <c r="DB4741" s="18"/>
      <c r="DC4741" s="18"/>
      <c r="DD4741" s="18"/>
      <c r="DE4741" s="18"/>
      <c r="DF4741" s="18"/>
      <c r="DG4741" s="18"/>
      <c r="DH4741" s="18"/>
      <c r="DI4741" s="18"/>
      <c r="DJ4741" s="18"/>
      <c r="DK4741" s="18"/>
      <c r="DL4741" s="18"/>
      <c r="DM4741" s="18"/>
      <c r="DN4741" s="18"/>
      <c r="DO4741" s="18"/>
      <c r="DP4741" s="18"/>
    </row>
    <row r="4742" spans="1:120" s="696" customFormat="1" ht="15" customHeight="1">
      <c r="A4742" s="147" t="s">
        <v>2265</v>
      </c>
      <c r="B4742" s="26">
        <v>9</v>
      </c>
      <c r="C4742" s="148">
        <v>20</v>
      </c>
      <c r="D4742" s="34" t="s">
        <v>1812</v>
      </c>
      <c r="E4742" s="22" t="s">
        <v>13</v>
      </c>
      <c r="F4742" s="657">
        <v>1.6300000000000001</v>
      </c>
      <c r="G4742" s="695"/>
      <c r="H4742" s="75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  <c r="Y4742" s="18"/>
      <c r="Z4742" s="18"/>
      <c r="AA4742" s="18"/>
      <c r="AB4742" s="18"/>
      <c r="AC4742" s="18"/>
      <c r="AD4742" s="18"/>
      <c r="AE4742" s="18"/>
      <c r="AF4742" s="18"/>
      <c r="AG4742" s="18"/>
      <c r="AH4742" s="18"/>
      <c r="AI4742" s="18"/>
      <c r="AJ4742" s="18"/>
      <c r="AK4742" s="18"/>
      <c r="AL4742" s="18"/>
      <c r="AM4742" s="18"/>
      <c r="AN4742" s="18"/>
      <c r="AO4742" s="18"/>
      <c r="AP4742" s="18"/>
      <c r="AQ4742" s="18"/>
      <c r="AR4742" s="18"/>
      <c r="AS4742" s="18"/>
      <c r="AT4742" s="18"/>
      <c r="AU4742" s="18"/>
      <c r="AV4742" s="18"/>
      <c r="AW4742" s="18"/>
      <c r="AX4742" s="18"/>
      <c r="AY4742" s="18"/>
      <c r="AZ4742" s="18"/>
      <c r="BA4742" s="18"/>
      <c r="BB4742" s="18"/>
      <c r="BC4742" s="18"/>
      <c r="BD4742" s="18"/>
      <c r="BE4742" s="18"/>
      <c r="BF4742" s="18"/>
      <c r="BG4742" s="18"/>
      <c r="BH4742" s="18"/>
      <c r="BI4742" s="18"/>
      <c r="BJ4742" s="18"/>
      <c r="BK4742" s="18"/>
      <c r="BL4742" s="18"/>
      <c r="BM4742" s="18"/>
      <c r="BN4742" s="18"/>
      <c r="BO4742" s="18"/>
      <c r="BP4742" s="18"/>
      <c r="BQ4742" s="18"/>
      <c r="BR4742" s="18"/>
      <c r="BS4742" s="18"/>
      <c r="BT4742" s="18"/>
      <c r="BU4742" s="18"/>
      <c r="BV4742" s="18"/>
      <c r="BW4742" s="18"/>
      <c r="BX4742" s="18"/>
      <c r="BY4742" s="18"/>
      <c r="BZ4742" s="18"/>
      <c r="CA4742" s="18"/>
      <c r="CB4742" s="18"/>
      <c r="CC4742" s="18"/>
      <c r="CD4742" s="18"/>
      <c r="CE4742" s="18"/>
      <c r="CF4742" s="18"/>
      <c r="CG4742" s="18"/>
      <c r="CH4742" s="18"/>
      <c r="CI4742" s="18"/>
      <c r="CJ4742" s="18"/>
      <c r="CK4742" s="18"/>
      <c r="CL4742" s="18"/>
      <c r="CM4742" s="18"/>
      <c r="CN4742" s="18"/>
      <c r="CO4742" s="18"/>
      <c r="CP4742" s="18"/>
      <c r="CQ4742" s="18"/>
      <c r="CR4742" s="18"/>
      <c r="CS4742" s="18"/>
      <c r="CT4742" s="18"/>
      <c r="CU4742" s="18"/>
      <c r="CV4742" s="18"/>
      <c r="CW4742" s="18"/>
      <c r="CX4742" s="18"/>
      <c r="CY4742" s="18"/>
      <c r="CZ4742" s="18"/>
      <c r="DA4742" s="18"/>
      <c r="DB4742" s="18"/>
      <c r="DC4742" s="18"/>
      <c r="DD4742" s="18"/>
      <c r="DE4742" s="18"/>
      <c r="DF4742" s="18"/>
      <c r="DG4742" s="18"/>
      <c r="DH4742" s="18"/>
      <c r="DI4742" s="18"/>
      <c r="DJ4742" s="18"/>
      <c r="DK4742" s="18"/>
      <c r="DL4742" s="18"/>
      <c r="DM4742" s="18"/>
      <c r="DN4742" s="18"/>
      <c r="DO4742" s="18"/>
      <c r="DP4742" s="18"/>
    </row>
    <row r="4743" spans="1:120" s="696" customFormat="1" ht="15" customHeight="1">
      <c r="A4743" s="147" t="s">
        <v>2265</v>
      </c>
      <c r="B4743" s="26">
        <v>12</v>
      </c>
      <c r="C4743" s="148">
        <v>20</v>
      </c>
      <c r="D4743" s="34" t="s">
        <v>1812</v>
      </c>
      <c r="E4743" s="22" t="s">
        <v>13</v>
      </c>
      <c r="F4743" s="657">
        <v>1.86</v>
      </c>
      <c r="G4743" s="695"/>
      <c r="H4743" s="75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  <c r="Y4743" s="18"/>
      <c r="Z4743" s="18"/>
      <c r="AA4743" s="18"/>
      <c r="AB4743" s="18"/>
      <c r="AC4743" s="18"/>
      <c r="AD4743" s="18"/>
      <c r="AE4743" s="18"/>
      <c r="AF4743" s="18"/>
      <c r="AG4743" s="18"/>
      <c r="AH4743" s="18"/>
      <c r="AI4743" s="18"/>
      <c r="AJ4743" s="18"/>
      <c r="AK4743" s="18"/>
      <c r="AL4743" s="18"/>
      <c r="AM4743" s="18"/>
      <c r="AN4743" s="18"/>
      <c r="AO4743" s="18"/>
      <c r="AP4743" s="18"/>
      <c r="AQ4743" s="18"/>
      <c r="AR4743" s="18"/>
      <c r="AS4743" s="18"/>
      <c r="AT4743" s="18"/>
      <c r="AU4743" s="18"/>
      <c r="AV4743" s="18"/>
      <c r="AW4743" s="18"/>
      <c r="AX4743" s="18"/>
      <c r="AY4743" s="18"/>
      <c r="AZ4743" s="18"/>
      <c r="BA4743" s="18"/>
      <c r="BB4743" s="18"/>
      <c r="BC4743" s="18"/>
      <c r="BD4743" s="18"/>
      <c r="BE4743" s="18"/>
      <c r="BF4743" s="18"/>
      <c r="BG4743" s="18"/>
      <c r="BH4743" s="18"/>
      <c r="BI4743" s="18"/>
      <c r="BJ4743" s="18"/>
      <c r="BK4743" s="18"/>
      <c r="BL4743" s="18"/>
      <c r="BM4743" s="18"/>
      <c r="BN4743" s="18"/>
      <c r="BO4743" s="18"/>
      <c r="BP4743" s="18"/>
      <c r="BQ4743" s="18"/>
      <c r="BR4743" s="18"/>
      <c r="BS4743" s="18"/>
      <c r="BT4743" s="18"/>
      <c r="BU4743" s="18"/>
      <c r="BV4743" s="18"/>
      <c r="BW4743" s="18"/>
      <c r="BX4743" s="18"/>
      <c r="BY4743" s="18"/>
      <c r="BZ4743" s="18"/>
      <c r="CA4743" s="18"/>
      <c r="CB4743" s="18"/>
      <c r="CC4743" s="18"/>
      <c r="CD4743" s="18"/>
      <c r="CE4743" s="18"/>
      <c r="CF4743" s="18"/>
      <c r="CG4743" s="18"/>
      <c r="CH4743" s="18"/>
      <c r="CI4743" s="18"/>
      <c r="CJ4743" s="18"/>
      <c r="CK4743" s="18"/>
      <c r="CL4743" s="18"/>
      <c r="CM4743" s="18"/>
      <c r="CN4743" s="18"/>
      <c r="CO4743" s="18"/>
      <c r="CP4743" s="18"/>
      <c r="CQ4743" s="18"/>
      <c r="CR4743" s="18"/>
      <c r="CS4743" s="18"/>
      <c r="CT4743" s="18"/>
      <c r="CU4743" s="18"/>
      <c r="CV4743" s="18"/>
      <c r="CW4743" s="18"/>
      <c r="CX4743" s="18"/>
      <c r="CY4743" s="18"/>
      <c r="CZ4743" s="18"/>
      <c r="DA4743" s="18"/>
      <c r="DB4743" s="18"/>
      <c r="DC4743" s="18"/>
      <c r="DD4743" s="18"/>
      <c r="DE4743" s="18"/>
      <c r="DF4743" s="18"/>
      <c r="DG4743" s="18"/>
      <c r="DH4743" s="18"/>
      <c r="DI4743" s="18"/>
      <c r="DJ4743" s="18"/>
      <c r="DK4743" s="18"/>
      <c r="DL4743" s="18"/>
      <c r="DM4743" s="18"/>
      <c r="DN4743" s="18"/>
      <c r="DO4743" s="18"/>
      <c r="DP4743" s="18"/>
    </row>
    <row r="4744" spans="1:120" s="696" customFormat="1" ht="15" customHeight="1">
      <c r="A4744" s="147" t="s">
        <v>2265</v>
      </c>
      <c r="B4744" s="26">
        <v>18</v>
      </c>
      <c r="C4744" s="148">
        <v>20</v>
      </c>
      <c r="D4744" s="34" t="s">
        <v>1812</v>
      </c>
      <c r="E4744" s="22" t="s">
        <v>13</v>
      </c>
      <c r="F4744" s="657">
        <v>2.1199999999999997</v>
      </c>
      <c r="G4744" s="695"/>
      <c r="H4744" s="75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  <c r="Y4744" s="18"/>
      <c r="Z4744" s="18"/>
      <c r="AA4744" s="18"/>
      <c r="AB4744" s="18"/>
      <c r="AC4744" s="18"/>
      <c r="AD4744" s="18"/>
      <c r="AE4744" s="18"/>
      <c r="AF4744" s="18"/>
      <c r="AG4744" s="18"/>
      <c r="AH4744" s="18"/>
      <c r="AI4744" s="18"/>
      <c r="AJ4744" s="18"/>
      <c r="AK4744" s="18"/>
      <c r="AL4744" s="18"/>
      <c r="AM4744" s="18"/>
      <c r="AN4744" s="18"/>
      <c r="AO4744" s="18"/>
      <c r="AP4744" s="18"/>
      <c r="AQ4744" s="18"/>
      <c r="AR4744" s="18"/>
      <c r="AS4744" s="18"/>
      <c r="AT4744" s="18"/>
      <c r="AU4744" s="18"/>
      <c r="AV4744" s="18"/>
      <c r="AW4744" s="18"/>
      <c r="AX4744" s="18"/>
      <c r="AY4744" s="18"/>
      <c r="AZ4744" s="18"/>
      <c r="BA4744" s="18"/>
      <c r="BB4744" s="18"/>
      <c r="BC4744" s="18"/>
      <c r="BD4744" s="18"/>
      <c r="BE4744" s="18"/>
      <c r="BF4744" s="18"/>
      <c r="BG4744" s="18"/>
      <c r="BH4744" s="18"/>
      <c r="BI4744" s="18"/>
      <c r="BJ4744" s="18"/>
      <c r="BK4744" s="18"/>
      <c r="BL4744" s="18"/>
      <c r="BM4744" s="18"/>
      <c r="BN4744" s="18"/>
      <c r="BO4744" s="18"/>
      <c r="BP4744" s="18"/>
      <c r="BQ4744" s="18"/>
      <c r="BR4744" s="18"/>
      <c r="BS4744" s="18"/>
      <c r="BT4744" s="18"/>
      <c r="BU4744" s="18"/>
      <c r="BV4744" s="18"/>
      <c r="BW4744" s="18"/>
      <c r="BX4744" s="18"/>
      <c r="BY4744" s="18"/>
      <c r="BZ4744" s="18"/>
      <c r="CA4744" s="18"/>
      <c r="CB4744" s="18"/>
      <c r="CC4744" s="18"/>
      <c r="CD4744" s="18"/>
      <c r="CE4744" s="18"/>
      <c r="CF4744" s="18"/>
      <c r="CG4744" s="18"/>
      <c r="CH4744" s="18"/>
      <c r="CI4744" s="18"/>
      <c r="CJ4744" s="18"/>
      <c r="CK4744" s="18"/>
      <c r="CL4744" s="18"/>
      <c r="CM4744" s="18"/>
      <c r="CN4744" s="18"/>
      <c r="CO4744" s="18"/>
      <c r="CP4744" s="18"/>
      <c r="CQ4744" s="18"/>
      <c r="CR4744" s="18"/>
      <c r="CS4744" s="18"/>
      <c r="CT4744" s="18"/>
      <c r="CU4744" s="18"/>
      <c r="CV4744" s="18"/>
      <c r="CW4744" s="18"/>
      <c r="CX4744" s="18"/>
      <c r="CY4744" s="18"/>
      <c r="CZ4744" s="18"/>
      <c r="DA4744" s="18"/>
      <c r="DB4744" s="18"/>
      <c r="DC4744" s="18"/>
      <c r="DD4744" s="18"/>
      <c r="DE4744" s="18"/>
      <c r="DF4744" s="18"/>
      <c r="DG4744" s="18"/>
      <c r="DH4744" s="18"/>
      <c r="DI4744" s="18"/>
      <c r="DJ4744" s="18"/>
      <c r="DK4744" s="18"/>
      <c r="DL4744" s="18"/>
      <c r="DM4744" s="18"/>
      <c r="DN4744" s="18"/>
      <c r="DO4744" s="18"/>
      <c r="DP4744" s="18"/>
    </row>
    <row r="4745" spans="1:120" s="696" customFormat="1" ht="15" customHeight="1">
      <c r="A4745" s="147" t="s">
        <v>2265</v>
      </c>
      <c r="B4745" s="26">
        <v>24</v>
      </c>
      <c r="C4745" s="148">
        <v>20</v>
      </c>
      <c r="D4745" s="34" t="s">
        <v>1812</v>
      </c>
      <c r="E4745" s="22" t="s">
        <v>13</v>
      </c>
      <c r="F4745" s="657">
        <v>2.4899999999999998</v>
      </c>
      <c r="G4745" s="695"/>
      <c r="H4745" s="75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  <c r="Y4745" s="18"/>
      <c r="Z4745" s="18"/>
      <c r="AA4745" s="18"/>
      <c r="AB4745" s="18"/>
      <c r="AC4745" s="18"/>
      <c r="AD4745" s="18"/>
      <c r="AE4745" s="18"/>
      <c r="AF4745" s="18"/>
      <c r="AG4745" s="18"/>
      <c r="AH4745" s="18"/>
      <c r="AI4745" s="18"/>
      <c r="AJ4745" s="18"/>
      <c r="AK4745" s="18"/>
      <c r="AL4745" s="18"/>
      <c r="AM4745" s="18"/>
      <c r="AN4745" s="18"/>
      <c r="AO4745" s="18"/>
      <c r="AP4745" s="18"/>
      <c r="AQ4745" s="18"/>
      <c r="AR4745" s="18"/>
      <c r="AS4745" s="18"/>
      <c r="AT4745" s="18"/>
      <c r="AU4745" s="18"/>
      <c r="AV4745" s="18"/>
      <c r="AW4745" s="18"/>
      <c r="AX4745" s="18"/>
      <c r="AY4745" s="18"/>
      <c r="AZ4745" s="18"/>
      <c r="BA4745" s="18"/>
      <c r="BB4745" s="18"/>
      <c r="BC4745" s="18"/>
      <c r="BD4745" s="18"/>
      <c r="BE4745" s="18"/>
      <c r="BF4745" s="18"/>
      <c r="BG4745" s="18"/>
      <c r="BH4745" s="18"/>
      <c r="BI4745" s="18"/>
      <c r="BJ4745" s="18"/>
      <c r="BK4745" s="18"/>
      <c r="BL4745" s="18"/>
      <c r="BM4745" s="18"/>
      <c r="BN4745" s="18"/>
      <c r="BO4745" s="18"/>
      <c r="BP4745" s="18"/>
      <c r="BQ4745" s="18"/>
      <c r="BR4745" s="18"/>
      <c r="BS4745" s="18"/>
      <c r="BT4745" s="18"/>
      <c r="BU4745" s="18"/>
      <c r="BV4745" s="18"/>
      <c r="BW4745" s="18"/>
      <c r="BX4745" s="18"/>
      <c r="BY4745" s="18"/>
      <c r="BZ4745" s="18"/>
      <c r="CA4745" s="18"/>
      <c r="CB4745" s="18"/>
      <c r="CC4745" s="18"/>
      <c r="CD4745" s="18"/>
      <c r="CE4745" s="18"/>
      <c r="CF4745" s="18"/>
      <c r="CG4745" s="18"/>
      <c r="CH4745" s="18"/>
      <c r="CI4745" s="18"/>
      <c r="CJ4745" s="18"/>
      <c r="CK4745" s="18"/>
      <c r="CL4745" s="18"/>
      <c r="CM4745" s="18"/>
      <c r="CN4745" s="18"/>
      <c r="CO4745" s="18"/>
      <c r="CP4745" s="18"/>
      <c r="CQ4745" s="18"/>
      <c r="CR4745" s="18"/>
      <c r="CS4745" s="18"/>
      <c r="CT4745" s="18"/>
      <c r="CU4745" s="18"/>
      <c r="CV4745" s="18"/>
      <c r="CW4745" s="18"/>
      <c r="CX4745" s="18"/>
      <c r="CY4745" s="18"/>
      <c r="CZ4745" s="18"/>
      <c r="DA4745" s="18"/>
      <c r="DB4745" s="18"/>
      <c r="DC4745" s="18"/>
      <c r="DD4745" s="18"/>
      <c r="DE4745" s="18"/>
      <c r="DF4745" s="18"/>
      <c r="DG4745" s="18"/>
      <c r="DH4745" s="18"/>
      <c r="DI4745" s="18"/>
      <c r="DJ4745" s="18"/>
      <c r="DK4745" s="18"/>
      <c r="DL4745" s="18"/>
      <c r="DM4745" s="18"/>
      <c r="DN4745" s="18"/>
      <c r="DO4745" s="18"/>
      <c r="DP4745" s="18"/>
    </row>
    <row r="4746" spans="1:120" s="696" customFormat="1" ht="15" customHeight="1">
      <c r="A4746" s="147" t="s">
        <v>2265</v>
      </c>
      <c r="B4746" s="30">
        <v>7</v>
      </c>
      <c r="C4746" s="148">
        <v>20</v>
      </c>
      <c r="D4746" s="34" t="s">
        <v>1812</v>
      </c>
      <c r="E4746" s="22" t="s">
        <v>13</v>
      </c>
      <c r="F4746" s="657">
        <v>1.89</v>
      </c>
      <c r="G4746" s="695"/>
      <c r="H4746" s="75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  <c r="Y4746" s="18"/>
      <c r="Z4746" s="18"/>
      <c r="AA4746" s="18"/>
      <c r="AB4746" s="18"/>
      <c r="AC4746" s="18"/>
      <c r="AD4746" s="18"/>
      <c r="AE4746" s="18"/>
      <c r="AF4746" s="18"/>
      <c r="AG4746" s="18"/>
      <c r="AH4746" s="18"/>
      <c r="AI4746" s="18"/>
      <c r="AJ4746" s="18"/>
      <c r="AK4746" s="18"/>
      <c r="AL4746" s="18"/>
      <c r="AM4746" s="18"/>
      <c r="AN4746" s="18"/>
      <c r="AO4746" s="18"/>
      <c r="AP4746" s="18"/>
      <c r="AQ4746" s="18"/>
      <c r="AR4746" s="18"/>
      <c r="AS4746" s="18"/>
      <c r="AT4746" s="18"/>
      <c r="AU4746" s="18"/>
      <c r="AV4746" s="18"/>
      <c r="AW4746" s="18"/>
      <c r="AX4746" s="18"/>
      <c r="AY4746" s="18"/>
      <c r="AZ4746" s="18"/>
      <c r="BA4746" s="18"/>
      <c r="BB4746" s="18"/>
      <c r="BC4746" s="18"/>
      <c r="BD4746" s="18"/>
      <c r="BE4746" s="18"/>
      <c r="BF4746" s="18"/>
      <c r="BG4746" s="18"/>
      <c r="BH4746" s="18"/>
      <c r="BI4746" s="18"/>
      <c r="BJ4746" s="18"/>
      <c r="BK4746" s="18"/>
      <c r="BL4746" s="18"/>
      <c r="BM4746" s="18"/>
      <c r="BN4746" s="18"/>
      <c r="BO4746" s="18"/>
      <c r="BP4746" s="18"/>
      <c r="BQ4746" s="18"/>
      <c r="BR4746" s="18"/>
      <c r="BS4746" s="18"/>
      <c r="BT4746" s="18"/>
      <c r="BU4746" s="18"/>
      <c r="BV4746" s="18"/>
      <c r="BW4746" s="18"/>
      <c r="BX4746" s="18"/>
      <c r="BY4746" s="18"/>
      <c r="BZ4746" s="18"/>
      <c r="CA4746" s="18"/>
      <c r="CB4746" s="18"/>
      <c r="CC4746" s="18"/>
      <c r="CD4746" s="18"/>
      <c r="CE4746" s="18"/>
      <c r="CF4746" s="18"/>
      <c r="CG4746" s="18"/>
      <c r="CH4746" s="18"/>
      <c r="CI4746" s="18"/>
      <c r="CJ4746" s="18"/>
      <c r="CK4746" s="18"/>
      <c r="CL4746" s="18"/>
      <c r="CM4746" s="18"/>
      <c r="CN4746" s="18"/>
      <c r="CO4746" s="18"/>
      <c r="CP4746" s="18"/>
      <c r="CQ4746" s="18"/>
      <c r="CR4746" s="18"/>
      <c r="CS4746" s="18"/>
      <c r="CT4746" s="18"/>
      <c r="CU4746" s="18"/>
      <c r="CV4746" s="18"/>
      <c r="CW4746" s="18"/>
      <c r="CX4746" s="18"/>
      <c r="CY4746" s="18"/>
      <c r="CZ4746" s="18"/>
      <c r="DA4746" s="18"/>
      <c r="DB4746" s="18"/>
      <c r="DC4746" s="18"/>
      <c r="DD4746" s="18"/>
      <c r="DE4746" s="18"/>
      <c r="DF4746" s="18"/>
      <c r="DG4746" s="18"/>
      <c r="DH4746" s="18"/>
      <c r="DI4746" s="18"/>
      <c r="DJ4746" s="18"/>
      <c r="DK4746" s="18"/>
      <c r="DL4746" s="18"/>
      <c r="DM4746" s="18"/>
      <c r="DN4746" s="18"/>
      <c r="DO4746" s="18"/>
      <c r="DP4746" s="18"/>
    </row>
    <row r="4747" spans="1:120" s="696" customFormat="1" ht="15" customHeight="1">
      <c r="A4747" s="147" t="s">
        <v>2265</v>
      </c>
      <c r="B4747" s="30">
        <v>9</v>
      </c>
      <c r="C4747" s="148">
        <v>20</v>
      </c>
      <c r="D4747" s="34" t="s">
        <v>1812</v>
      </c>
      <c r="E4747" s="22" t="s">
        <v>13</v>
      </c>
      <c r="F4747" s="657">
        <v>2.1199999999999997</v>
      </c>
      <c r="G4747" s="695"/>
      <c r="H4747" s="75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  <c r="Y4747" s="18"/>
      <c r="Z4747" s="18"/>
      <c r="AA4747" s="18"/>
      <c r="AB4747" s="18"/>
      <c r="AC4747" s="18"/>
      <c r="AD4747" s="18"/>
      <c r="AE4747" s="18"/>
      <c r="AF4747" s="18"/>
      <c r="AG4747" s="18"/>
      <c r="AH4747" s="18"/>
      <c r="AI4747" s="18"/>
      <c r="AJ4747" s="18"/>
      <c r="AK4747" s="18"/>
      <c r="AL4747" s="18"/>
      <c r="AM4747" s="18"/>
      <c r="AN4747" s="18"/>
      <c r="AO4747" s="18"/>
      <c r="AP4747" s="18"/>
      <c r="AQ4747" s="18"/>
      <c r="AR4747" s="18"/>
      <c r="AS4747" s="18"/>
      <c r="AT4747" s="18"/>
      <c r="AU4747" s="18"/>
      <c r="AV4747" s="18"/>
      <c r="AW4747" s="18"/>
      <c r="AX4747" s="18"/>
      <c r="AY4747" s="18"/>
      <c r="AZ4747" s="18"/>
      <c r="BA4747" s="18"/>
      <c r="BB4747" s="18"/>
      <c r="BC4747" s="18"/>
      <c r="BD4747" s="18"/>
      <c r="BE4747" s="18"/>
      <c r="BF4747" s="18"/>
      <c r="BG4747" s="18"/>
      <c r="BH4747" s="18"/>
      <c r="BI4747" s="18"/>
      <c r="BJ4747" s="18"/>
      <c r="BK4747" s="18"/>
      <c r="BL4747" s="18"/>
      <c r="BM4747" s="18"/>
      <c r="BN4747" s="18"/>
      <c r="BO4747" s="18"/>
      <c r="BP4747" s="18"/>
      <c r="BQ4747" s="18"/>
      <c r="BR4747" s="18"/>
      <c r="BS4747" s="18"/>
      <c r="BT4747" s="18"/>
      <c r="BU4747" s="18"/>
      <c r="BV4747" s="18"/>
      <c r="BW4747" s="18"/>
      <c r="BX4747" s="18"/>
      <c r="BY4747" s="18"/>
      <c r="BZ4747" s="18"/>
      <c r="CA4747" s="18"/>
      <c r="CB4747" s="18"/>
      <c r="CC4747" s="18"/>
      <c r="CD4747" s="18"/>
      <c r="CE4747" s="18"/>
      <c r="CF4747" s="18"/>
      <c r="CG4747" s="18"/>
      <c r="CH4747" s="18"/>
      <c r="CI4747" s="18"/>
      <c r="CJ4747" s="18"/>
      <c r="CK4747" s="18"/>
      <c r="CL4747" s="18"/>
      <c r="CM4747" s="18"/>
      <c r="CN4747" s="18"/>
      <c r="CO4747" s="18"/>
      <c r="CP4747" s="18"/>
      <c r="CQ4747" s="18"/>
      <c r="CR4747" s="18"/>
      <c r="CS4747" s="18"/>
      <c r="CT4747" s="18"/>
      <c r="CU4747" s="18"/>
      <c r="CV4747" s="18"/>
      <c r="CW4747" s="18"/>
      <c r="CX4747" s="18"/>
      <c r="CY4747" s="18"/>
      <c r="CZ4747" s="18"/>
      <c r="DA4747" s="18"/>
      <c r="DB4747" s="18"/>
      <c r="DC4747" s="18"/>
      <c r="DD4747" s="18"/>
      <c r="DE4747" s="18"/>
      <c r="DF4747" s="18"/>
      <c r="DG4747" s="18"/>
      <c r="DH4747" s="18"/>
      <c r="DI4747" s="18"/>
      <c r="DJ4747" s="18"/>
      <c r="DK4747" s="18"/>
      <c r="DL4747" s="18"/>
      <c r="DM4747" s="18"/>
      <c r="DN4747" s="18"/>
      <c r="DO4747" s="18"/>
      <c r="DP4747" s="18"/>
    </row>
    <row r="4748" spans="1:120" s="696" customFormat="1" ht="15" customHeight="1">
      <c r="A4748" s="147" t="s">
        <v>2265</v>
      </c>
      <c r="B4748" s="30">
        <v>12</v>
      </c>
      <c r="C4748" s="148">
        <v>20</v>
      </c>
      <c r="D4748" s="34" t="s">
        <v>1812</v>
      </c>
      <c r="E4748" s="22" t="s">
        <v>13</v>
      </c>
      <c r="F4748" s="657">
        <v>2.4899999999999998</v>
      </c>
      <c r="G4748" s="695"/>
      <c r="H4748" s="75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  <c r="Y4748" s="18"/>
      <c r="Z4748" s="18"/>
      <c r="AA4748" s="18"/>
      <c r="AB4748" s="18"/>
      <c r="AC4748" s="18"/>
      <c r="AD4748" s="18"/>
      <c r="AE4748" s="18"/>
      <c r="AF4748" s="18"/>
      <c r="AG4748" s="18"/>
      <c r="AH4748" s="18"/>
      <c r="AI4748" s="18"/>
      <c r="AJ4748" s="18"/>
      <c r="AK4748" s="18"/>
      <c r="AL4748" s="18"/>
      <c r="AM4748" s="18"/>
      <c r="AN4748" s="18"/>
      <c r="AO4748" s="18"/>
      <c r="AP4748" s="18"/>
      <c r="AQ4748" s="18"/>
      <c r="AR4748" s="18"/>
      <c r="AS4748" s="18"/>
      <c r="AT4748" s="18"/>
      <c r="AU4748" s="18"/>
      <c r="AV4748" s="18"/>
      <c r="AW4748" s="18"/>
      <c r="AX4748" s="18"/>
      <c r="AY4748" s="18"/>
      <c r="AZ4748" s="18"/>
      <c r="BA4748" s="18"/>
      <c r="BB4748" s="18"/>
      <c r="BC4748" s="18"/>
      <c r="BD4748" s="18"/>
      <c r="BE4748" s="18"/>
      <c r="BF4748" s="18"/>
      <c r="BG4748" s="18"/>
      <c r="BH4748" s="18"/>
      <c r="BI4748" s="18"/>
      <c r="BJ4748" s="18"/>
      <c r="BK4748" s="18"/>
      <c r="BL4748" s="18"/>
      <c r="BM4748" s="18"/>
      <c r="BN4748" s="18"/>
      <c r="BO4748" s="18"/>
      <c r="BP4748" s="18"/>
      <c r="BQ4748" s="18"/>
      <c r="BR4748" s="18"/>
      <c r="BS4748" s="18"/>
      <c r="BT4748" s="18"/>
      <c r="BU4748" s="18"/>
      <c r="BV4748" s="18"/>
      <c r="BW4748" s="18"/>
      <c r="BX4748" s="18"/>
      <c r="BY4748" s="18"/>
      <c r="BZ4748" s="18"/>
      <c r="CA4748" s="18"/>
      <c r="CB4748" s="18"/>
      <c r="CC4748" s="18"/>
      <c r="CD4748" s="18"/>
      <c r="CE4748" s="18"/>
      <c r="CF4748" s="18"/>
      <c r="CG4748" s="18"/>
      <c r="CH4748" s="18"/>
      <c r="CI4748" s="18"/>
      <c r="CJ4748" s="18"/>
      <c r="CK4748" s="18"/>
      <c r="CL4748" s="18"/>
      <c r="CM4748" s="18"/>
      <c r="CN4748" s="18"/>
      <c r="CO4748" s="18"/>
      <c r="CP4748" s="18"/>
      <c r="CQ4748" s="18"/>
      <c r="CR4748" s="18"/>
      <c r="CS4748" s="18"/>
      <c r="CT4748" s="18"/>
      <c r="CU4748" s="18"/>
      <c r="CV4748" s="18"/>
      <c r="CW4748" s="18"/>
      <c r="CX4748" s="18"/>
      <c r="CY4748" s="18"/>
      <c r="CZ4748" s="18"/>
      <c r="DA4748" s="18"/>
      <c r="DB4748" s="18"/>
      <c r="DC4748" s="18"/>
      <c r="DD4748" s="18"/>
      <c r="DE4748" s="18"/>
      <c r="DF4748" s="18"/>
      <c r="DG4748" s="18"/>
      <c r="DH4748" s="18"/>
      <c r="DI4748" s="18"/>
      <c r="DJ4748" s="18"/>
      <c r="DK4748" s="18"/>
      <c r="DL4748" s="18"/>
      <c r="DM4748" s="18"/>
      <c r="DN4748" s="18"/>
      <c r="DO4748" s="18"/>
      <c r="DP4748" s="18"/>
    </row>
    <row r="4749" spans="1:120" s="696" customFormat="1" ht="15" customHeight="1">
      <c r="A4749" s="147" t="s">
        <v>2266</v>
      </c>
      <c r="B4749" s="26">
        <v>6</v>
      </c>
      <c r="C4749" s="148">
        <v>20</v>
      </c>
      <c r="D4749" s="34" t="s">
        <v>1812</v>
      </c>
      <c r="E4749" s="22" t="s">
        <v>2267</v>
      </c>
      <c r="F4749" s="657">
        <v>1.56</v>
      </c>
      <c r="G4749" s="695"/>
      <c r="H4749" s="75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  <c r="Y4749" s="18"/>
      <c r="Z4749" s="18"/>
      <c r="AA4749" s="18"/>
      <c r="AB4749" s="18"/>
      <c r="AC4749" s="18"/>
      <c r="AD4749" s="18"/>
      <c r="AE4749" s="18"/>
      <c r="AF4749" s="18"/>
      <c r="AG4749" s="18"/>
      <c r="AH4749" s="18"/>
      <c r="AI4749" s="18"/>
      <c r="AJ4749" s="18"/>
      <c r="AK4749" s="18"/>
      <c r="AL4749" s="18"/>
      <c r="AM4749" s="18"/>
      <c r="AN4749" s="18"/>
      <c r="AO4749" s="18"/>
      <c r="AP4749" s="18"/>
      <c r="AQ4749" s="18"/>
      <c r="AR4749" s="18"/>
      <c r="AS4749" s="18"/>
      <c r="AT4749" s="18"/>
      <c r="AU4749" s="18"/>
      <c r="AV4749" s="18"/>
      <c r="AW4749" s="18"/>
      <c r="AX4749" s="18"/>
      <c r="AY4749" s="18"/>
      <c r="AZ4749" s="18"/>
      <c r="BA4749" s="18"/>
      <c r="BB4749" s="18"/>
      <c r="BC4749" s="18"/>
      <c r="BD4749" s="18"/>
      <c r="BE4749" s="18"/>
      <c r="BF4749" s="18"/>
      <c r="BG4749" s="18"/>
      <c r="BH4749" s="18"/>
      <c r="BI4749" s="18"/>
      <c r="BJ4749" s="18"/>
      <c r="BK4749" s="18"/>
      <c r="BL4749" s="18"/>
      <c r="BM4749" s="18"/>
      <c r="BN4749" s="18"/>
      <c r="BO4749" s="18"/>
      <c r="BP4749" s="18"/>
      <c r="BQ4749" s="18"/>
      <c r="BR4749" s="18"/>
      <c r="BS4749" s="18"/>
      <c r="BT4749" s="18"/>
      <c r="BU4749" s="18"/>
      <c r="BV4749" s="18"/>
      <c r="BW4749" s="18"/>
      <c r="BX4749" s="18"/>
      <c r="BY4749" s="18"/>
      <c r="BZ4749" s="18"/>
      <c r="CA4749" s="18"/>
      <c r="CB4749" s="18"/>
      <c r="CC4749" s="18"/>
      <c r="CD4749" s="18"/>
      <c r="CE4749" s="18"/>
      <c r="CF4749" s="18"/>
      <c r="CG4749" s="18"/>
      <c r="CH4749" s="18"/>
      <c r="CI4749" s="18"/>
      <c r="CJ4749" s="18"/>
      <c r="CK4749" s="18"/>
      <c r="CL4749" s="18"/>
      <c r="CM4749" s="18"/>
      <c r="CN4749" s="18"/>
      <c r="CO4749" s="18"/>
      <c r="CP4749" s="18"/>
      <c r="CQ4749" s="18"/>
      <c r="CR4749" s="18"/>
      <c r="CS4749" s="18"/>
      <c r="CT4749" s="18"/>
      <c r="CU4749" s="18"/>
      <c r="CV4749" s="18"/>
      <c r="CW4749" s="18"/>
      <c r="CX4749" s="18"/>
      <c r="CY4749" s="18"/>
      <c r="CZ4749" s="18"/>
      <c r="DA4749" s="18"/>
      <c r="DB4749" s="18"/>
      <c r="DC4749" s="18"/>
      <c r="DD4749" s="18"/>
      <c r="DE4749" s="18"/>
      <c r="DF4749" s="18"/>
      <c r="DG4749" s="18"/>
      <c r="DH4749" s="18"/>
      <c r="DI4749" s="18"/>
      <c r="DJ4749" s="18"/>
      <c r="DK4749" s="18"/>
      <c r="DL4749" s="18"/>
      <c r="DM4749" s="18"/>
      <c r="DN4749" s="18"/>
      <c r="DO4749" s="18"/>
      <c r="DP4749" s="18"/>
    </row>
    <row r="4750" spans="1:120" s="696" customFormat="1" ht="15" customHeight="1">
      <c r="A4750" s="147" t="s">
        <v>2266</v>
      </c>
      <c r="B4750" s="26">
        <v>9</v>
      </c>
      <c r="C4750" s="148">
        <v>20</v>
      </c>
      <c r="D4750" s="34" t="s">
        <v>1812</v>
      </c>
      <c r="E4750" s="22" t="s">
        <v>2267</v>
      </c>
      <c r="F4750" s="657">
        <v>1.78</v>
      </c>
      <c r="G4750" s="695"/>
      <c r="H4750" s="75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  <c r="Y4750" s="18"/>
      <c r="Z4750" s="18"/>
      <c r="AA4750" s="18"/>
      <c r="AB4750" s="18"/>
      <c r="AC4750" s="18"/>
      <c r="AD4750" s="18"/>
      <c r="AE4750" s="18"/>
      <c r="AF4750" s="18"/>
      <c r="AG4750" s="18"/>
      <c r="AH4750" s="18"/>
      <c r="AI4750" s="18"/>
      <c r="AJ4750" s="18"/>
      <c r="AK4750" s="18"/>
      <c r="AL4750" s="18"/>
      <c r="AM4750" s="18"/>
      <c r="AN4750" s="18"/>
      <c r="AO4750" s="18"/>
      <c r="AP4750" s="18"/>
      <c r="AQ4750" s="18"/>
      <c r="AR4750" s="18"/>
      <c r="AS4750" s="18"/>
      <c r="AT4750" s="18"/>
      <c r="AU4750" s="18"/>
      <c r="AV4750" s="18"/>
      <c r="AW4750" s="18"/>
      <c r="AX4750" s="18"/>
      <c r="AY4750" s="18"/>
      <c r="AZ4750" s="18"/>
      <c r="BA4750" s="18"/>
      <c r="BB4750" s="18"/>
      <c r="BC4750" s="18"/>
      <c r="BD4750" s="18"/>
      <c r="BE4750" s="18"/>
      <c r="BF4750" s="18"/>
      <c r="BG4750" s="18"/>
      <c r="BH4750" s="18"/>
      <c r="BI4750" s="18"/>
      <c r="BJ4750" s="18"/>
      <c r="BK4750" s="18"/>
      <c r="BL4750" s="18"/>
      <c r="BM4750" s="18"/>
      <c r="BN4750" s="18"/>
      <c r="BO4750" s="18"/>
      <c r="BP4750" s="18"/>
      <c r="BQ4750" s="18"/>
      <c r="BR4750" s="18"/>
      <c r="BS4750" s="18"/>
      <c r="BT4750" s="18"/>
      <c r="BU4750" s="18"/>
      <c r="BV4750" s="18"/>
      <c r="BW4750" s="18"/>
      <c r="BX4750" s="18"/>
      <c r="BY4750" s="18"/>
      <c r="BZ4750" s="18"/>
      <c r="CA4750" s="18"/>
      <c r="CB4750" s="18"/>
      <c r="CC4750" s="18"/>
      <c r="CD4750" s="18"/>
      <c r="CE4750" s="18"/>
      <c r="CF4750" s="18"/>
      <c r="CG4750" s="18"/>
      <c r="CH4750" s="18"/>
      <c r="CI4750" s="18"/>
      <c r="CJ4750" s="18"/>
      <c r="CK4750" s="18"/>
      <c r="CL4750" s="18"/>
      <c r="CM4750" s="18"/>
      <c r="CN4750" s="18"/>
      <c r="CO4750" s="18"/>
      <c r="CP4750" s="18"/>
      <c r="CQ4750" s="18"/>
      <c r="CR4750" s="18"/>
      <c r="CS4750" s="18"/>
      <c r="CT4750" s="18"/>
      <c r="CU4750" s="18"/>
      <c r="CV4750" s="18"/>
      <c r="CW4750" s="18"/>
      <c r="CX4750" s="18"/>
      <c r="CY4750" s="18"/>
      <c r="CZ4750" s="18"/>
      <c r="DA4750" s="18"/>
      <c r="DB4750" s="18"/>
      <c r="DC4750" s="18"/>
      <c r="DD4750" s="18"/>
      <c r="DE4750" s="18"/>
      <c r="DF4750" s="18"/>
      <c r="DG4750" s="18"/>
      <c r="DH4750" s="18"/>
      <c r="DI4750" s="18"/>
      <c r="DJ4750" s="18"/>
      <c r="DK4750" s="18"/>
      <c r="DL4750" s="18"/>
      <c r="DM4750" s="18"/>
      <c r="DN4750" s="18"/>
      <c r="DO4750" s="18"/>
      <c r="DP4750" s="18"/>
    </row>
    <row r="4751" spans="1:120" s="696" customFormat="1" ht="15" customHeight="1">
      <c r="A4751" s="147" t="s">
        <v>2266</v>
      </c>
      <c r="B4751" s="26">
        <v>12</v>
      </c>
      <c r="C4751" s="148">
        <v>20</v>
      </c>
      <c r="D4751" s="34" t="s">
        <v>1812</v>
      </c>
      <c r="E4751" s="22" t="s">
        <v>2267</v>
      </c>
      <c r="F4751" s="657">
        <v>2.0399999999999996</v>
      </c>
      <c r="G4751" s="695"/>
      <c r="H4751" s="75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  <c r="Y4751" s="18"/>
      <c r="Z4751" s="18"/>
      <c r="AA4751" s="18"/>
      <c r="AB4751" s="18"/>
      <c r="AC4751" s="18"/>
      <c r="AD4751" s="18"/>
      <c r="AE4751" s="18"/>
      <c r="AF4751" s="18"/>
      <c r="AG4751" s="18"/>
      <c r="AH4751" s="18"/>
      <c r="AI4751" s="18"/>
      <c r="AJ4751" s="18"/>
      <c r="AK4751" s="18"/>
      <c r="AL4751" s="18"/>
      <c r="AM4751" s="18"/>
      <c r="AN4751" s="18"/>
      <c r="AO4751" s="18"/>
      <c r="AP4751" s="18"/>
      <c r="AQ4751" s="18"/>
      <c r="AR4751" s="18"/>
      <c r="AS4751" s="18"/>
      <c r="AT4751" s="18"/>
      <c r="AU4751" s="18"/>
      <c r="AV4751" s="18"/>
      <c r="AW4751" s="18"/>
      <c r="AX4751" s="18"/>
      <c r="AY4751" s="18"/>
      <c r="AZ4751" s="18"/>
      <c r="BA4751" s="18"/>
      <c r="BB4751" s="18"/>
      <c r="BC4751" s="18"/>
      <c r="BD4751" s="18"/>
      <c r="BE4751" s="18"/>
      <c r="BF4751" s="18"/>
      <c r="BG4751" s="18"/>
      <c r="BH4751" s="18"/>
      <c r="BI4751" s="18"/>
      <c r="BJ4751" s="18"/>
      <c r="BK4751" s="18"/>
      <c r="BL4751" s="18"/>
      <c r="BM4751" s="18"/>
      <c r="BN4751" s="18"/>
      <c r="BO4751" s="18"/>
      <c r="BP4751" s="18"/>
      <c r="BQ4751" s="18"/>
      <c r="BR4751" s="18"/>
      <c r="BS4751" s="18"/>
      <c r="BT4751" s="18"/>
      <c r="BU4751" s="18"/>
      <c r="BV4751" s="18"/>
      <c r="BW4751" s="18"/>
      <c r="BX4751" s="18"/>
      <c r="BY4751" s="18"/>
      <c r="BZ4751" s="18"/>
      <c r="CA4751" s="18"/>
      <c r="CB4751" s="18"/>
      <c r="CC4751" s="18"/>
      <c r="CD4751" s="18"/>
      <c r="CE4751" s="18"/>
      <c r="CF4751" s="18"/>
      <c r="CG4751" s="18"/>
      <c r="CH4751" s="18"/>
      <c r="CI4751" s="18"/>
      <c r="CJ4751" s="18"/>
      <c r="CK4751" s="18"/>
      <c r="CL4751" s="18"/>
      <c r="CM4751" s="18"/>
      <c r="CN4751" s="18"/>
      <c r="CO4751" s="18"/>
      <c r="CP4751" s="18"/>
      <c r="CQ4751" s="18"/>
      <c r="CR4751" s="18"/>
      <c r="CS4751" s="18"/>
      <c r="CT4751" s="18"/>
      <c r="CU4751" s="18"/>
      <c r="CV4751" s="18"/>
      <c r="CW4751" s="18"/>
      <c r="CX4751" s="18"/>
      <c r="CY4751" s="18"/>
      <c r="CZ4751" s="18"/>
      <c r="DA4751" s="18"/>
      <c r="DB4751" s="18"/>
      <c r="DC4751" s="18"/>
      <c r="DD4751" s="18"/>
      <c r="DE4751" s="18"/>
      <c r="DF4751" s="18"/>
      <c r="DG4751" s="18"/>
      <c r="DH4751" s="18"/>
      <c r="DI4751" s="18"/>
      <c r="DJ4751" s="18"/>
      <c r="DK4751" s="18"/>
      <c r="DL4751" s="18"/>
      <c r="DM4751" s="18"/>
      <c r="DN4751" s="18"/>
      <c r="DO4751" s="18"/>
      <c r="DP4751" s="18"/>
    </row>
    <row r="4752" spans="1:120" s="696" customFormat="1" ht="15" customHeight="1">
      <c r="A4752" s="147" t="s">
        <v>2266</v>
      </c>
      <c r="B4752" s="30">
        <v>7</v>
      </c>
      <c r="C4752" s="148">
        <v>20</v>
      </c>
      <c r="D4752" s="34" t="s">
        <v>1812</v>
      </c>
      <c r="E4752" s="22" t="s">
        <v>2267</v>
      </c>
      <c r="F4752" s="657">
        <v>2.1199999999999997</v>
      </c>
      <c r="G4752" s="695"/>
      <c r="H4752" s="75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  <c r="Y4752" s="18"/>
      <c r="Z4752" s="18"/>
      <c r="AA4752" s="18"/>
      <c r="AB4752" s="18"/>
      <c r="AC4752" s="18"/>
      <c r="AD4752" s="18"/>
      <c r="AE4752" s="18"/>
      <c r="AF4752" s="18"/>
      <c r="AG4752" s="18"/>
      <c r="AH4752" s="18"/>
      <c r="AI4752" s="18"/>
      <c r="AJ4752" s="18"/>
      <c r="AK4752" s="18"/>
      <c r="AL4752" s="18"/>
      <c r="AM4752" s="18"/>
      <c r="AN4752" s="18"/>
      <c r="AO4752" s="18"/>
      <c r="AP4752" s="18"/>
      <c r="AQ4752" s="18"/>
      <c r="AR4752" s="18"/>
      <c r="AS4752" s="18"/>
      <c r="AT4752" s="18"/>
      <c r="AU4752" s="18"/>
      <c r="AV4752" s="18"/>
      <c r="AW4752" s="18"/>
      <c r="AX4752" s="18"/>
      <c r="AY4752" s="18"/>
      <c r="AZ4752" s="18"/>
      <c r="BA4752" s="18"/>
      <c r="BB4752" s="18"/>
      <c r="BC4752" s="18"/>
      <c r="BD4752" s="18"/>
      <c r="BE4752" s="18"/>
      <c r="BF4752" s="18"/>
      <c r="BG4752" s="18"/>
      <c r="BH4752" s="18"/>
      <c r="BI4752" s="18"/>
      <c r="BJ4752" s="18"/>
      <c r="BK4752" s="18"/>
      <c r="BL4752" s="18"/>
      <c r="BM4752" s="18"/>
      <c r="BN4752" s="18"/>
      <c r="BO4752" s="18"/>
      <c r="BP4752" s="18"/>
      <c r="BQ4752" s="18"/>
      <c r="BR4752" s="18"/>
      <c r="BS4752" s="18"/>
      <c r="BT4752" s="18"/>
      <c r="BU4752" s="18"/>
      <c r="BV4752" s="18"/>
      <c r="BW4752" s="18"/>
      <c r="BX4752" s="18"/>
      <c r="BY4752" s="18"/>
      <c r="BZ4752" s="18"/>
      <c r="CA4752" s="18"/>
      <c r="CB4752" s="18"/>
      <c r="CC4752" s="18"/>
      <c r="CD4752" s="18"/>
      <c r="CE4752" s="18"/>
      <c r="CF4752" s="18"/>
      <c r="CG4752" s="18"/>
      <c r="CH4752" s="18"/>
      <c r="CI4752" s="18"/>
      <c r="CJ4752" s="18"/>
      <c r="CK4752" s="18"/>
      <c r="CL4752" s="18"/>
      <c r="CM4752" s="18"/>
      <c r="CN4752" s="18"/>
      <c r="CO4752" s="18"/>
      <c r="CP4752" s="18"/>
      <c r="CQ4752" s="18"/>
      <c r="CR4752" s="18"/>
      <c r="CS4752" s="18"/>
      <c r="CT4752" s="18"/>
      <c r="CU4752" s="18"/>
      <c r="CV4752" s="18"/>
      <c r="CW4752" s="18"/>
      <c r="CX4752" s="18"/>
      <c r="CY4752" s="18"/>
      <c r="CZ4752" s="18"/>
      <c r="DA4752" s="18"/>
      <c r="DB4752" s="18"/>
      <c r="DC4752" s="18"/>
      <c r="DD4752" s="18"/>
      <c r="DE4752" s="18"/>
      <c r="DF4752" s="18"/>
      <c r="DG4752" s="18"/>
      <c r="DH4752" s="18"/>
      <c r="DI4752" s="18"/>
      <c r="DJ4752" s="18"/>
      <c r="DK4752" s="18"/>
      <c r="DL4752" s="18"/>
      <c r="DM4752" s="18"/>
      <c r="DN4752" s="18"/>
      <c r="DO4752" s="18"/>
      <c r="DP4752" s="18"/>
    </row>
    <row r="4753" spans="1:120" s="696" customFormat="1" ht="15" customHeight="1">
      <c r="A4753" s="147" t="s">
        <v>2266</v>
      </c>
      <c r="B4753" s="30">
        <v>9</v>
      </c>
      <c r="C4753" s="148">
        <v>20</v>
      </c>
      <c r="D4753" s="34" t="s">
        <v>1812</v>
      </c>
      <c r="E4753" s="22" t="s">
        <v>2267</v>
      </c>
      <c r="F4753" s="657">
        <v>2.4099999999999997</v>
      </c>
      <c r="G4753" s="695"/>
      <c r="H4753" s="75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  <c r="Y4753" s="18"/>
      <c r="Z4753" s="18"/>
      <c r="AA4753" s="18"/>
      <c r="AB4753" s="18"/>
      <c r="AC4753" s="18"/>
      <c r="AD4753" s="18"/>
      <c r="AE4753" s="18"/>
      <c r="AF4753" s="18"/>
      <c r="AG4753" s="18"/>
      <c r="AH4753" s="18"/>
      <c r="AI4753" s="18"/>
      <c r="AJ4753" s="18"/>
      <c r="AK4753" s="18"/>
      <c r="AL4753" s="18"/>
      <c r="AM4753" s="18"/>
      <c r="AN4753" s="18"/>
      <c r="AO4753" s="18"/>
      <c r="AP4753" s="18"/>
      <c r="AQ4753" s="18"/>
      <c r="AR4753" s="18"/>
      <c r="AS4753" s="18"/>
      <c r="AT4753" s="18"/>
      <c r="AU4753" s="18"/>
      <c r="AV4753" s="18"/>
      <c r="AW4753" s="18"/>
      <c r="AX4753" s="18"/>
      <c r="AY4753" s="18"/>
      <c r="AZ4753" s="18"/>
      <c r="BA4753" s="18"/>
      <c r="BB4753" s="18"/>
      <c r="BC4753" s="18"/>
      <c r="BD4753" s="18"/>
      <c r="BE4753" s="18"/>
      <c r="BF4753" s="18"/>
      <c r="BG4753" s="18"/>
      <c r="BH4753" s="18"/>
      <c r="BI4753" s="18"/>
      <c r="BJ4753" s="18"/>
      <c r="BK4753" s="18"/>
      <c r="BL4753" s="18"/>
      <c r="BM4753" s="18"/>
      <c r="BN4753" s="18"/>
      <c r="BO4753" s="18"/>
      <c r="BP4753" s="18"/>
      <c r="BQ4753" s="18"/>
      <c r="BR4753" s="18"/>
      <c r="BS4753" s="18"/>
      <c r="BT4753" s="18"/>
      <c r="BU4753" s="18"/>
      <c r="BV4753" s="18"/>
      <c r="BW4753" s="18"/>
      <c r="BX4753" s="18"/>
      <c r="BY4753" s="18"/>
      <c r="BZ4753" s="18"/>
      <c r="CA4753" s="18"/>
      <c r="CB4753" s="18"/>
      <c r="CC4753" s="18"/>
      <c r="CD4753" s="18"/>
      <c r="CE4753" s="18"/>
      <c r="CF4753" s="18"/>
      <c r="CG4753" s="18"/>
      <c r="CH4753" s="18"/>
      <c r="CI4753" s="18"/>
      <c r="CJ4753" s="18"/>
      <c r="CK4753" s="18"/>
      <c r="CL4753" s="18"/>
      <c r="CM4753" s="18"/>
      <c r="CN4753" s="18"/>
      <c r="CO4753" s="18"/>
      <c r="CP4753" s="18"/>
      <c r="CQ4753" s="18"/>
      <c r="CR4753" s="18"/>
      <c r="CS4753" s="18"/>
      <c r="CT4753" s="18"/>
      <c r="CU4753" s="18"/>
      <c r="CV4753" s="18"/>
      <c r="CW4753" s="18"/>
      <c r="CX4753" s="18"/>
      <c r="CY4753" s="18"/>
      <c r="CZ4753" s="18"/>
      <c r="DA4753" s="18"/>
      <c r="DB4753" s="18"/>
      <c r="DC4753" s="18"/>
      <c r="DD4753" s="18"/>
      <c r="DE4753" s="18"/>
      <c r="DF4753" s="18"/>
      <c r="DG4753" s="18"/>
      <c r="DH4753" s="18"/>
      <c r="DI4753" s="18"/>
      <c r="DJ4753" s="18"/>
      <c r="DK4753" s="18"/>
      <c r="DL4753" s="18"/>
      <c r="DM4753" s="18"/>
      <c r="DN4753" s="18"/>
      <c r="DO4753" s="18"/>
      <c r="DP4753" s="18"/>
    </row>
    <row r="4754" spans="1:120" s="696" customFormat="1" ht="15" customHeight="1">
      <c r="A4754" s="147" t="s">
        <v>2266</v>
      </c>
      <c r="B4754" s="30">
        <v>12</v>
      </c>
      <c r="C4754" s="148">
        <v>20</v>
      </c>
      <c r="D4754" s="34" t="s">
        <v>1812</v>
      </c>
      <c r="E4754" s="22" t="s">
        <v>2267</v>
      </c>
      <c r="F4754" s="657">
        <v>2.84</v>
      </c>
      <c r="G4754" s="695"/>
      <c r="H4754" s="75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  <c r="Y4754" s="18"/>
      <c r="Z4754" s="18"/>
      <c r="AA4754" s="18"/>
      <c r="AB4754" s="18"/>
      <c r="AC4754" s="18"/>
      <c r="AD4754" s="18"/>
      <c r="AE4754" s="18"/>
      <c r="AF4754" s="18"/>
      <c r="AG4754" s="18"/>
      <c r="AH4754" s="18"/>
      <c r="AI4754" s="18"/>
      <c r="AJ4754" s="18"/>
      <c r="AK4754" s="18"/>
      <c r="AL4754" s="18"/>
      <c r="AM4754" s="18"/>
      <c r="AN4754" s="18"/>
      <c r="AO4754" s="18"/>
      <c r="AP4754" s="18"/>
      <c r="AQ4754" s="18"/>
      <c r="AR4754" s="18"/>
      <c r="AS4754" s="18"/>
      <c r="AT4754" s="18"/>
      <c r="AU4754" s="18"/>
      <c r="AV4754" s="18"/>
      <c r="AW4754" s="18"/>
      <c r="AX4754" s="18"/>
      <c r="AY4754" s="18"/>
      <c r="AZ4754" s="18"/>
      <c r="BA4754" s="18"/>
      <c r="BB4754" s="18"/>
      <c r="BC4754" s="18"/>
      <c r="BD4754" s="18"/>
      <c r="BE4754" s="18"/>
      <c r="BF4754" s="18"/>
      <c r="BG4754" s="18"/>
      <c r="BH4754" s="18"/>
      <c r="BI4754" s="18"/>
      <c r="BJ4754" s="18"/>
      <c r="BK4754" s="18"/>
      <c r="BL4754" s="18"/>
      <c r="BM4754" s="18"/>
      <c r="BN4754" s="18"/>
      <c r="BO4754" s="18"/>
      <c r="BP4754" s="18"/>
      <c r="BQ4754" s="18"/>
      <c r="BR4754" s="18"/>
      <c r="BS4754" s="18"/>
      <c r="BT4754" s="18"/>
      <c r="BU4754" s="18"/>
      <c r="BV4754" s="18"/>
      <c r="BW4754" s="18"/>
      <c r="BX4754" s="18"/>
      <c r="BY4754" s="18"/>
      <c r="BZ4754" s="18"/>
      <c r="CA4754" s="18"/>
      <c r="CB4754" s="18"/>
      <c r="CC4754" s="18"/>
      <c r="CD4754" s="18"/>
      <c r="CE4754" s="18"/>
      <c r="CF4754" s="18"/>
      <c r="CG4754" s="18"/>
      <c r="CH4754" s="18"/>
      <c r="CI4754" s="18"/>
      <c r="CJ4754" s="18"/>
      <c r="CK4754" s="18"/>
      <c r="CL4754" s="18"/>
      <c r="CM4754" s="18"/>
      <c r="CN4754" s="18"/>
      <c r="CO4754" s="18"/>
      <c r="CP4754" s="18"/>
      <c r="CQ4754" s="18"/>
      <c r="CR4754" s="18"/>
      <c r="CS4754" s="18"/>
      <c r="CT4754" s="18"/>
      <c r="CU4754" s="18"/>
      <c r="CV4754" s="18"/>
      <c r="CW4754" s="18"/>
      <c r="CX4754" s="18"/>
      <c r="CY4754" s="18"/>
      <c r="CZ4754" s="18"/>
      <c r="DA4754" s="18"/>
      <c r="DB4754" s="18"/>
      <c r="DC4754" s="18"/>
      <c r="DD4754" s="18"/>
      <c r="DE4754" s="18"/>
      <c r="DF4754" s="18"/>
      <c r="DG4754" s="18"/>
      <c r="DH4754" s="18"/>
      <c r="DI4754" s="18"/>
      <c r="DJ4754" s="18"/>
      <c r="DK4754" s="18"/>
      <c r="DL4754" s="18"/>
      <c r="DM4754" s="18"/>
      <c r="DN4754" s="18"/>
      <c r="DO4754" s="18"/>
      <c r="DP4754" s="18"/>
    </row>
    <row r="4758" spans="1:120" ht="15.75">
      <c r="A4758" s="402" t="s">
        <v>106</v>
      </c>
      <c r="B4758" s="402" t="s">
        <v>52</v>
      </c>
      <c r="C4758" s="402" t="s">
        <v>1710</v>
      </c>
      <c r="D4758" s="90" t="s">
        <v>1653</v>
      </c>
      <c r="E4758" s="90" t="s">
        <v>2276</v>
      </c>
    </row>
    <row r="4759" spans="1:120" ht="15">
      <c r="A4759" s="24">
        <v>4141</v>
      </c>
      <c r="B4759" s="44">
        <v>6</v>
      </c>
      <c r="C4759" s="24" t="s">
        <v>2270</v>
      </c>
      <c r="D4759" s="67">
        <v>5</v>
      </c>
      <c r="E4759" s="46">
        <v>2.94</v>
      </c>
    </row>
    <row r="4760" spans="1:120" ht="15">
      <c r="A4760" s="24">
        <v>4141</v>
      </c>
      <c r="B4760" s="698">
        <v>7</v>
      </c>
      <c r="C4760" s="24" t="s">
        <v>2270</v>
      </c>
      <c r="D4760" s="67">
        <v>5</v>
      </c>
      <c r="E4760" s="46">
        <v>3.78</v>
      </c>
    </row>
    <row r="4761" spans="1:120" ht="15">
      <c r="A4761" s="24">
        <v>4142</v>
      </c>
      <c r="B4761" s="44">
        <v>9</v>
      </c>
      <c r="C4761" s="24" t="s">
        <v>2270</v>
      </c>
      <c r="D4761" s="67">
        <v>5</v>
      </c>
      <c r="E4761" s="46">
        <v>3.56</v>
      </c>
    </row>
    <row r="4762" spans="1:120" ht="15">
      <c r="A4762" s="24">
        <v>4142</v>
      </c>
      <c r="B4762" s="698">
        <v>9</v>
      </c>
      <c r="C4762" s="24" t="s">
        <v>2270</v>
      </c>
      <c r="D4762" s="67">
        <v>5</v>
      </c>
      <c r="E4762" s="46">
        <v>4.82</v>
      </c>
    </row>
    <row r="4763" spans="1:120" ht="15">
      <c r="A4763" s="24"/>
      <c r="B4763" s="138"/>
      <c r="C4763" s="44" t="s">
        <v>1993</v>
      </c>
      <c r="D4763" s="45">
        <v>1</v>
      </c>
      <c r="E4763" s="46">
        <v>12</v>
      </c>
    </row>
    <row r="4766" spans="1:120" ht="15.75">
      <c r="A4766" s="402" t="s">
        <v>106</v>
      </c>
      <c r="B4766" s="402" t="s">
        <v>1710</v>
      </c>
      <c r="C4766" s="90" t="s">
        <v>1186</v>
      </c>
      <c r="D4766" s="90" t="s">
        <v>1652</v>
      </c>
      <c r="E4766" s="90" t="s">
        <v>1653</v>
      </c>
      <c r="F4766" s="90" t="s">
        <v>1825</v>
      </c>
      <c r="G4766" s="34" t="s">
        <v>134</v>
      </c>
      <c r="H4766" s="31"/>
    </row>
    <row r="4767" spans="1:120" ht="15">
      <c r="A4767" s="24">
        <v>3806</v>
      </c>
      <c r="B4767" s="44">
        <v>19</v>
      </c>
      <c r="C4767" s="24" t="s">
        <v>336</v>
      </c>
      <c r="D4767" s="151">
        <v>30</v>
      </c>
      <c r="E4767" s="152">
        <v>1</v>
      </c>
      <c r="F4767" s="67">
        <f t="shared" ref="F4767:F4775" si="8">D4767*E4767</f>
        <v>30</v>
      </c>
      <c r="G4767" s="46">
        <v>0.36</v>
      </c>
      <c r="H4767" s="180"/>
    </row>
    <row r="4768" spans="1:120" ht="15">
      <c r="A4768" s="24">
        <v>3806</v>
      </c>
      <c r="B4768" s="44">
        <v>25</v>
      </c>
      <c r="C4768" s="24" t="s">
        <v>336</v>
      </c>
      <c r="D4768" s="151">
        <v>30</v>
      </c>
      <c r="E4768" s="152">
        <v>1</v>
      </c>
      <c r="F4768" s="67">
        <f t="shared" si="8"/>
        <v>30</v>
      </c>
      <c r="G4768" s="46">
        <v>0.44</v>
      </c>
      <c r="H4768" s="180"/>
    </row>
    <row r="4769" spans="1:8" ht="15">
      <c r="A4769" s="24">
        <v>3806</v>
      </c>
      <c r="B4769" s="44">
        <v>38</v>
      </c>
      <c r="C4769" s="24" t="s">
        <v>336</v>
      </c>
      <c r="D4769" s="151">
        <v>30</v>
      </c>
      <c r="E4769" s="152">
        <v>1</v>
      </c>
      <c r="F4769" s="67">
        <f t="shared" si="8"/>
        <v>30</v>
      </c>
      <c r="G4769" s="46">
        <v>0.73</v>
      </c>
      <c r="H4769" s="180"/>
    </row>
    <row r="4770" spans="1:8" ht="15">
      <c r="A4770" s="24">
        <v>3806</v>
      </c>
      <c r="B4770" s="44">
        <v>19</v>
      </c>
      <c r="C4770" s="24" t="s">
        <v>338</v>
      </c>
      <c r="D4770" s="151">
        <v>30</v>
      </c>
      <c r="E4770" s="152">
        <v>1</v>
      </c>
      <c r="F4770" s="67">
        <f t="shared" si="8"/>
        <v>30</v>
      </c>
      <c r="G4770" s="46">
        <v>0.36</v>
      </c>
      <c r="H4770" s="180"/>
    </row>
    <row r="4771" spans="1:8" ht="15">
      <c r="A4771" s="24">
        <v>3806</v>
      </c>
      <c r="B4771" s="44">
        <v>25</v>
      </c>
      <c r="C4771" s="24" t="s">
        <v>338</v>
      </c>
      <c r="D4771" s="151">
        <v>30</v>
      </c>
      <c r="E4771" s="152">
        <v>1</v>
      </c>
      <c r="F4771" s="67">
        <f t="shared" si="8"/>
        <v>30</v>
      </c>
      <c r="G4771" s="46">
        <v>0.44</v>
      </c>
      <c r="H4771" s="180"/>
    </row>
    <row r="4772" spans="1:8" ht="15">
      <c r="A4772" s="24">
        <v>3806</v>
      </c>
      <c r="B4772" s="44">
        <v>38</v>
      </c>
      <c r="C4772" s="24" t="s">
        <v>338</v>
      </c>
      <c r="D4772" s="151">
        <v>30</v>
      </c>
      <c r="E4772" s="152">
        <v>1</v>
      </c>
      <c r="F4772" s="67">
        <f t="shared" si="8"/>
        <v>30</v>
      </c>
      <c r="G4772" s="46">
        <v>0.73</v>
      </c>
      <c r="H4772" s="180"/>
    </row>
    <row r="4773" spans="1:8" ht="15">
      <c r="A4773" s="24">
        <v>3806</v>
      </c>
      <c r="B4773" s="44">
        <v>19</v>
      </c>
      <c r="C4773" s="24" t="s">
        <v>1766</v>
      </c>
      <c r="D4773" s="151">
        <v>30</v>
      </c>
      <c r="E4773" s="152">
        <v>1</v>
      </c>
      <c r="F4773" s="67">
        <f t="shared" si="8"/>
        <v>30</v>
      </c>
      <c r="G4773" s="46">
        <v>0.36</v>
      </c>
      <c r="H4773" s="180"/>
    </row>
    <row r="4774" spans="1:8" ht="15">
      <c r="A4774" s="24">
        <v>3806</v>
      </c>
      <c r="B4774" s="44">
        <v>25</v>
      </c>
      <c r="C4774" s="24" t="s">
        <v>1766</v>
      </c>
      <c r="D4774" s="151">
        <v>30</v>
      </c>
      <c r="E4774" s="152">
        <v>1</v>
      </c>
      <c r="F4774" s="67">
        <f t="shared" si="8"/>
        <v>30</v>
      </c>
      <c r="G4774" s="46">
        <v>0.44</v>
      </c>
      <c r="H4774" s="180"/>
    </row>
    <row r="4775" spans="1:8" ht="15">
      <c r="A4775" s="24">
        <v>3806</v>
      </c>
      <c r="B4775" s="44">
        <v>38</v>
      </c>
      <c r="C4775" s="24" t="s">
        <v>1766</v>
      </c>
      <c r="D4775" s="151">
        <v>30</v>
      </c>
      <c r="E4775" s="152">
        <v>1</v>
      </c>
      <c r="F4775" s="67">
        <f t="shared" si="8"/>
        <v>30</v>
      </c>
      <c r="G4775" s="46">
        <v>0.73</v>
      </c>
      <c r="H4775" s="180"/>
    </row>
    <row r="4776" spans="1:8" ht="15">
      <c r="A4776" s="24"/>
      <c r="B4776" s="138"/>
      <c r="C4776" s="44" t="s">
        <v>1993</v>
      </c>
      <c r="D4776" s="8"/>
      <c r="E4776" s="41"/>
      <c r="F4776" s="45">
        <v>1</v>
      </c>
      <c r="G4776" s="46">
        <v>12</v>
      </c>
      <c r="H4776" s="180"/>
    </row>
    <row r="4778" spans="1:8" ht="15.75">
      <c r="A4778" s="402" t="s">
        <v>106</v>
      </c>
      <c r="B4778" s="402" t="s">
        <v>1710</v>
      </c>
      <c r="C4778" s="90" t="s">
        <v>1186</v>
      </c>
      <c r="D4778" s="90" t="s">
        <v>1652</v>
      </c>
      <c r="E4778" s="90" t="s">
        <v>1653</v>
      </c>
      <c r="F4778" s="156" t="s">
        <v>2288</v>
      </c>
    </row>
    <row r="4779" spans="1:8" ht="15.75">
      <c r="A4779" s="372" t="s">
        <v>2281</v>
      </c>
      <c r="B4779" s="305"/>
      <c r="C4779" s="307"/>
      <c r="D4779" s="308"/>
      <c r="E4779" s="306"/>
      <c r="F4779" s="306"/>
    </row>
    <row r="4780" spans="1:8" ht="15">
      <c r="A4780" s="24" t="s">
        <v>731</v>
      </c>
      <c r="B4780" s="24" t="s">
        <v>734</v>
      </c>
      <c r="C4780" s="67">
        <v>58</v>
      </c>
      <c r="D4780" s="68">
        <v>3</v>
      </c>
      <c r="E4780" s="67">
        <f>C4780*D4780</f>
        <v>174</v>
      </c>
      <c r="F4780" s="628" t="s">
        <v>2289</v>
      </c>
    </row>
    <row r="4781" spans="1:8" ht="15">
      <c r="A4781" s="24" t="s">
        <v>731</v>
      </c>
      <c r="B4781" s="24" t="s">
        <v>874</v>
      </c>
      <c r="C4781" s="67">
        <v>58</v>
      </c>
      <c r="D4781" s="68">
        <v>3</v>
      </c>
      <c r="E4781" s="67">
        <f>C4781*D4781</f>
        <v>174</v>
      </c>
      <c r="F4781" s="628" t="s">
        <v>2289</v>
      </c>
    </row>
    <row r="4782" spans="1:8" ht="15.75">
      <c r="A4782" s="372" t="s">
        <v>2282</v>
      </c>
      <c r="B4782" s="305"/>
      <c r="C4782" s="307"/>
      <c r="D4782" s="308"/>
      <c r="E4782" s="306"/>
      <c r="F4782" s="306"/>
    </row>
    <row r="4783" spans="1:8" ht="15">
      <c r="A4783" s="24" t="s">
        <v>731</v>
      </c>
      <c r="B4783" s="24" t="s">
        <v>734</v>
      </c>
      <c r="C4783" s="67">
        <v>58</v>
      </c>
      <c r="D4783" s="68">
        <v>2</v>
      </c>
      <c r="E4783" s="67">
        <f>C4783*D4783</f>
        <v>116</v>
      </c>
      <c r="F4783" s="628" t="s">
        <v>2290</v>
      </c>
    </row>
    <row r="4784" spans="1:8" ht="15">
      <c r="A4784" s="24" t="s">
        <v>731</v>
      </c>
      <c r="B4784" s="24" t="s">
        <v>874</v>
      </c>
      <c r="C4784" s="67">
        <v>58</v>
      </c>
      <c r="D4784" s="68">
        <v>2</v>
      </c>
      <c r="E4784" s="67">
        <f>C4784*D4784</f>
        <v>116</v>
      </c>
      <c r="F4784" s="628" t="s">
        <v>2290</v>
      </c>
    </row>
    <row r="4785" spans="1:8" ht="15">
      <c r="A4785" s="24" t="s">
        <v>731</v>
      </c>
      <c r="B4785" s="24" t="s">
        <v>734</v>
      </c>
      <c r="C4785" s="67">
        <v>58</v>
      </c>
      <c r="D4785" s="68">
        <v>1</v>
      </c>
      <c r="E4785" s="67">
        <f>C4785*D4785</f>
        <v>58</v>
      </c>
      <c r="F4785" s="628" t="s">
        <v>2291</v>
      </c>
    </row>
    <row r="4786" spans="1:8" ht="15">
      <c r="A4786" s="24" t="s">
        <v>731</v>
      </c>
      <c r="B4786" s="24" t="s">
        <v>874</v>
      </c>
      <c r="C4786" s="67">
        <v>58</v>
      </c>
      <c r="D4786" s="68">
        <v>1</v>
      </c>
      <c r="E4786" s="67">
        <f>C4786*D4786</f>
        <v>58</v>
      </c>
      <c r="F4786" s="628" t="s">
        <v>2291</v>
      </c>
    </row>
    <row r="4789" spans="1:8" ht="15.75">
      <c r="A4789" s="402" t="s">
        <v>106</v>
      </c>
      <c r="B4789" s="402" t="s">
        <v>52</v>
      </c>
      <c r="C4789" s="402" t="s">
        <v>1710</v>
      </c>
      <c r="D4789" s="90" t="s">
        <v>1186</v>
      </c>
      <c r="E4789" s="90" t="s">
        <v>1652</v>
      </c>
      <c r="F4789" s="90" t="s">
        <v>1653</v>
      </c>
      <c r="G4789" s="90" t="s">
        <v>1825</v>
      </c>
      <c r="H4789" s="140"/>
    </row>
    <row r="4790" spans="1:8" ht="15">
      <c r="A4790" s="24" t="s">
        <v>2286</v>
      </c>
      <c r="B4790" s="44">
        <v>9</v>
      </c>
      <c r="C4790" s="24" t="s">
        <v>2287</v>
      </c>
      <c r="D4790" s="151">
        <v>10</v>
      </c>
      <c r="E4790" s="152">
        <v>2</v>
      </c>
      <c r="F4790" s="67">
        <f>D4790*E4790</f>
        <v>20</v>
      </c>
      <c r="G4790" s="46">
        <v>2.64</v>
      </c>
      <c r="H4790" s="180"/>
    </row>
    <row r="4791" spans="1:8" ht="15">
      <c r="A4791" s="24"/>
      <c r="B4791" s="138"/>
      <c r="C4791" s="44" t="s">
        <v>1993</v>
      </c>
      <c r="D4791" s="8"/>
      <c r="E4791" s="41"/>
      <c r="F4791" s="45">
        <v>1</v>
      </c>
      <c r="G4791" s="46">
        <v>12</v>
      </c>
      <c r="H4791" s="180"/>
    </row>
    <row r="4793" spans="1:8" ht="15.75">
      <c r="A4793" s="402" t="s">
        <v>106</v>
      </c>
      <c r="B4793" s="402" t="s">
        <v>52</v>
      </c>
      <c r="C4793" s="402" t="s">
        <v>1710</v>
      </c>
      <c r="D4793" s="90" t="s">
        <v>1186</v>
      </c>
      <c r="E4793" s="90" t="s">
        <v>1652</v>
      </c>
      <c r="F4793" s="90" t="s">
        <v>1653</v>
      </c>
    </row>
    <row r="4794" spans="1:8" ht="15">
      <c r="A4794" s="20" t="s">
        <v>1461</v>
      </c>
      <c r="B4794" s="44">
        <v>7</v>
      </c>
      <c r="C4794" s="24" t="s">
        <v>2298</v>
      </c>
      <c r="D4794" s="151">
        <v>25</v>
      </c>
      <c r="E4794" s="152">
        <v>12</v>
      </c>
      <c r="F4794" s="67">
        <f>D4794*E4794</f>
        <v>300</v>
      </c>
    </row>
    <row r="4795" spans="1:8" ht="15">
      <c r="A4795" s="20" t="s">
        <v>1461</v>
      </c>
      <c r="B4795" s="44">
        <v>7</v>
      </c>
      <c r="C4795" s="24" t="s">
        <v>2299</v>
      </c>
      <c r="D4795" s="151">
        <v>25</v>
      </c>
      <c r="E4795" s="152">
        <v>12</v>
      </c>
      <c r="F4795" s="67">
        <f>D4795*E4795</f>
        <v>300</v>
      </c>
    </row>
    <row r="4796" spans="1:8" ht="15">
      <c r="A4796" s="20" t="s">
        <v>1461</v>
      </c>
      <c r="B4796" s="44">
        <v>7</v>
      </c>
      <c r="C4796" s="24" t="s">
        <v>2300</v>
      </c>
      <c r="D4796" s="151">
        <v>25</v>
      </c>
      <c r="E4796" s="152">
        <v>24</v>
      </c>
      <c r="F4796" s="67">
        <f>D4796*E4796</f>
        <v>600</v>
      </c>
    </row>
    <row r="4797" spans="1:8" ht="15">
      <c r="A4797" s="20" t="s">
        <v>1461</v>
      </c>
      <c r="B4797" s="44">
        <v>7</v>
      </c>
      <c r="C4797" s="24" t="s">
        <v>2301</v>
      </c>
      <c r="D4797" s="151">
        <v>25</v>
      </c>
      <c r="E4797" s="152">
        <v>24</v>
      </c>
      <c r="F4797" s="67">
        <f>D4797*E4797</f>
        <v>600</v>
      </c>
    </row>
    <row r="4799" spans="1:8">
      <c r="A4799" t="s">
        <v>2303</v>
      </c>
    </row>
    <row r="4800" spans="1:8" s="694" customFormat="1" ht="31.5">
      <c r="A4800" s="672" t="s">
        <v>1369</v>
      </c>
      <c r="B4800" s="650" t="s">
        <v>377</v>
      </c>
      <c r="C4800" s="651" t="s">
        <v>2</v>
      </c>
      <c r="D4800" s="652" t="s">
        <v>1734</v>
      </c>
      <c r="E4800" s="653" t="s">
        <v>3117</v>
      </c>
      <c r="F4800" s="654" t="s">
        <v>1403</v>
      </c>
    </row>
    <row r="4801" spans="1:54" s="709" customFormat="1" ht="15">
      <c r="A4801" s="708" t="s">
        <v>18</v>
      </c>
      <c r="B4801" s="408">
        <v>30</v>
      </c>
      <c r="C4801" s="655">
        <v>30</v>
      </c>
      <c r="D4801" s="708" t="s">
        <v>2304</v>
      </c>
      <c r="E4801" s="657">
        <v>4.26</v>
      </c>
      <c r="F4801" s="65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  <c r="Y4801" s="18"/>
      <c r="Z4801" s="18"/>
      <c r="AA4801" s="18"/>
      <c r="AB4801" s="18"/>
      <c r="AC4801" s="18"/>
      <c r="AD4801" s="18"/>
      <c r="AE4801" s="18"/>
      <c r="AF4801" s="18"/>
      <c r="AG4801" s="18"/>
      <c r="AH4801" s="18"/>
      <c r="AI4801" s="18"/>
      <c r="AJ4801" s="18"/>
      <c r="AK4801" s="18"/>
      <c r="AL4801" s="18"/>
      <c r="AM4801" s="18"/>
      <c r="AN4801" s="18"/>
      <c r="AO4801" s="18"/>
      <c r="AP4801" s="18"/>
      <c r="AQ4801" s="18"/>
      <c r="AR4801" s="18"/>
      <c r="AS4801" s="18"/>
      <c r="AT4801" s="18"/>
      <c r="AU4801" s="18"/>
      <c r="AV4801" s="18"/>
      <c r="AW4801" s="18"/>
      <c r="AX4801" s="18"/>
      <c r="AY4801" s="18"/>
      <c r="AZ4801" s="18"/>
      <c r="BA4801" s="18"/>
      <c r="BB4801" s="18"/>
    </row>
    <row r="4802" spans="1:54" s="709" customFormat="1" ht="15">
      <c r="A4802" s="708" t="s">
        <v>18</v>
      </c>
      <c r="B4802" s="408">
        <v>40</v>
      </c>
      <c r="C4802" s="655">
        <v>30</v>
      </c>
      <c r="D4802" s="708" t="s">
        <v>2304</v>
      </c>
      <c r="E4802" s="657">
        <v>4.63</v>
      </c>
      <c r="F4802" s="65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  <c r="Y4802" s="18"/>
      <c r="Z4802" s="18"/>
      <c r="AA4802" s="18"/>
      <c r="AB4802" s="18"/>
      <c r="AC4802" s="18"/>
      <c r="AD4802" s="18"/>
      <c r="AE4802" s="18"/>
      <c r="AF4802" s="18"/>
      <c r="AG4802" s="18"/>
      <c r="AH4802" s="18"/>
      <c r="AI4802" s="18"/>
      <c r="AJ4802" s="18"/>
      <c r="AK4802" s="18"/>
      <c r="AL4802" s="18"/>
      <c r="AM4802" s="18"/>
      <c r="AN4802" s="18"/>
      <c r="AO4802" s="18"/>
      <c r="AP4802" s="18"/>
      <c r="AQ4802" s="18"/>
      <c r="AR4802" s="18"/>
      <c r="AS4802" s="18"/>
      <c r="AT4802" s="18"/>
      <c r="AU4802" s="18"/>
      <c r="AV4802" s="18"/>
      <c r="AW4802" s="18"/>
      <c r="AX4802" s="18"/>
      <c r="AY4802" s="18"/>
      <c r="AZ4802" s="18"/>
      <c r="BA4802" s="18"/>
      <c r="BB4802" s="18"/>
    </row>
    <row r="4803" spans="1:54" s="709" customFormat="1" ht="15">
      <c r="A4803" s="708" t="s">
        <v>18</v>
      </c>
      <c r="B4803" s="408">
        <v>50</v>
      </c>
      <c r="C4803" s="655">
        <v>30</v>
      </c>
      <c r="D4803" s="708" t="s">
        <v>2304</v>
      </c>
      <c r="E4803" s="657">
        <v>5.56</v>
      </c>
      <c r="F4803" s="65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  <c r="Y4803" s="18"/>
      <c r="Z4803" s="18"/>
      <c r="AA4803" s="18"/>
      <c r="AB4803" s="18"/>
      <c r="AC4803" s="18"/>
      <c r="AD4803" s="18"/>
      <c r="AE4803" s="18"/>
      <c r="AF4803" s="18"/>
      <c r="AG4803" s="18"/>
      <c r="AH4803" s="18"/>
      <c r="AI4803" s="18"/>
      <c r="AJ4803" s="18"/>
      <c r="AK4803" s="18"/>
      <c r="AL4803" s="18"/>
      <c r="AM4803" s="18"/>
      <c r="AN4803" s="18"/>
      <c r="AO4803" s="18"/>
      <c r="AP4803" s="18"/>
      <c r="AQ4803" s="18"/>
      <c r="AR4803" s="18"/>
      <c r="AS4803" s="18"/>
      <c r="AT4803" s="18"/>
      <c r="AU4803" s="18"/>
      <c r="AV4803" s="18"/>
      <c r="AW4803" s="18"/>
      <c r="AX4803" s="18"/>
      <c r="AY4803" s="18"/>
      <c r="AZ4803" s="18"/>
      <c r="BA4803" s="18"/>
      <c r="BB4803" s="18"/>
    </row>
    <row r="4805" spans="1:54" ht="15.75">
      <c r="A4805" s="402" t="s">
        <v>106</v>
      </c>
      <c r="B4805" s="402" t="s">
        <v>52</v>
      </c>
      <c r="C4805" s="402" t="s">
        <v>1710</v>
      </c>
      <c r="D4805" s="90" t="s">
        <v>1186</v>
      </c>
      <c r="E4805" s="90" t="s">
        <v>1652</v>
      </c>
      <c r="F4805" s="90" t="s">
        <v>1653</v>
      </c>
      <c r="G4805" s="90" t="s">
        <v>1825</v>
      </c>
      <c r="H4805" s="90"/>
      <c r="I4805" s="219"/>
    </row>
    <row r="4806" spans="1:54" ht="15">
      <c r="A4806" s="24" t="s">
        <v>18</v>
      </c>
      <c r="B4806" s="44">
        <v>30</v>
      </c>
      <c r="C4806" s="24" t="s">
        <v>137</v>
      </c>
      <c r="D4806" s="151">
        <v>30</v>
      </c>
      <c r="E4806" s="152">
        <v>1</v>
      </c>
      <c r="F4806" s="67">
        <f>D4806*E4806</f>
        <v>30</v>
      </c>
      <c r="G4806" s="46">
        <v>4.26</v>
      </c>
      <c r="H4806" s="46"/>
      <c r="I4806" s="46">
        <f>G4806*F4806</f>
        <v>127.8</v>
      </c>
    </row>
    <row r="4807" spans="1:54" ht="15">
      <c r="A4807" s="24"/>
      <c r="B4807" s="138"/>
      <c r="C4807" s="44" t="s">
        <v>1993</v>
      </c>
      <c r="D4807" s="8"/>
      <c r="E4807" s="41"/>
      <c r="F4807" s="45">
        <v>1</v>
      </c>
      <c r="G4807" s="46">
        <v>12</v>
      </c>
      <c r="H4807" s="46"/>
      <c r="I4807" s="46">
        <f>G4807*F4807</f>
        <v>12</v>
      </c>
    </row>
    <row r="4809" spans="1:54" ht="14.25">
      <c r="A4809" s="156" t="s">
        <v>64</v>
      </c>
      <c r="B4809" s="156" t="s">
        <v>2311</v>
      </c>
      <c r="C4809" s="156" t="s">
        <v>2312</v>
      </c>
      <c r="D4809" s="156" t="s">
        <v>2313</v>
      </c>
      <c r="E4809" s="156" t="s">
        <v>640</v>
      </c>
    </row>
    <row r="4810" spans="1:54" ht="15">
      <c r="A4810" s="711">
        <v>9101</v>
      </c>
      <c r="B4810" s="712">
        <v>98</v>
      </c>
      <c r="C4810" s="712">
        <v>19.8</v>
      </c>
      <c r="D4810" s="712" t="s">
        <v>5276</v>
      </c>
      <c r="E4810" s="713" t="s">
        <v>2314</v>
      </c>
    </row>
    <row r="4811" spans="1:54" ht="15">
      <c r="A4811" s="711">
        <v>9102</v>
      </c>
      <c r="B4811" s="712">
        <v>98</v>
      </c>
      <c r="C4811" s="712">
        <v>19.8</v>
      </c>
      <c r="D4811" s="712" t="s">
        <v>5276</v>
      </c>
      <c r="E4811" s="713" t="s">
        <v>2315</v>
      </c>
    </row>
    <row r="4812" spans="1:54" ht="15">
      <c r="A4812" s="711">
        <v>1710</v>
      </c>
      <c r="B4812" s="712">
        <v>98</v>
      </c>
      <c r="C4812" s="712">
        <v>13.7</v>
      </c>
      <c r="D4812" s="712" t="s">
        <v>5276</v>
      </c>
      <c r="E4812" s="713"/>
    </row>
    <row r="4813" spans="1:54">
      <c r="A4813" t="s">
        <v>2320</v>
      </c>
    </row>
    <row r="4814" spans="1:54" s="716" customFormat="1" ht="45">
      <c r="A4814" s="714" t="s">
        <v>1603</v>
      </c>
      <c r="B4814" s="714" t="s">
        <v>2316</v>
      </c>
      <c r="C4814" s="714" t="s">
        <v>2200</v>
      </c>
      <c r="D4814" s="714" t="s">
        <v>2317</v>
      </c>
      <c r="E4814" s="715" t="s">
        <v>2911</v>
      </c>
      <c r="F4814" s="715" t="s">
        <v>5277</v>
      </c>
    </row>
    <row r="4815" spans="1:54" ht="14.25">
      <c r="A4815" s="104">
        <v>9101</v>
      </c>
      <c r="B4815" s="105" t="s">
        <v>5278</v>
      </c>
      <c r="C4815" s="105" t="s">
        <v>2318</v>
      </c>
      <c r="D4815" s="105" t="s">
        <v>5279</v>
      </c>
      <c r="E4815" s="105" t="s">
        <v>2199</v>
      </c>
      <c r="F4815" s="717">
        <v>8.89</v>
      </c>
    </row>
    <row r="4816" spans="1:54" ht="14.25">
      <c r="A4816" s="104">
        <v>9102</v>
      </c>
      <c r="B4816" s="105" t="s">
        <v>5278</v>
      </c>
      <c r="C4816" s="105" t="s">
        <v>2318</v>
      </c>
      <c r="D4816" s="105" t="s">
        <v>5279</v>
      </c>
      <c r="E4816" s="105" t="s">
        <v>2199</v>
      </c>
      <c r="F4816" s="717">
        <v>9.26</v>
      </c>
    </row>
    <row r="4817" spans="1:8" s="716" customFormat="1" ht="14.25">
      <c r="A4817" s="104">
        <v>1710</v>
      </c>
      <c r="B4817" s="105" t="s">
        <v>5280</v>
      </c>
      <c r="C4817" s="105" t="s">
        <v>2318</v>
      </c>
      <c r="D4817" s="105" t="s">
        <v>5279</v>
      </c>
      <c r="E4817" s="105" t="s">
        <v>2319</v>
      </c>
      <c r="F4817" s="717">
        <v>8.52</v>
      </c>
    </row>
    <row r="4820" spans="1:8" ht="15.75">
      <c r="A4820" s="402" t="s">
        <v>106</v>
      </c>
      <c r="B4820" s="402" t="s">
        <v>52</v>
      </c>
      <c r="C4820" s="402" t="s">
        <v>1710</v>
      </c>
      <c r="D4820" s="90" t="s">
        <v>1186</v>
      </c>
      <c r="E4820" s="90" t="s">
        <v>1652</v>
      </c>
      <c r="F4820" s="90" t="s">
        <v>1653</v>
      </c>
      <c r="G4820" s="90" t="s">
        <v>1825</v>
      </c>
      <c r="H4820" s="140"/>
    </row>
    <row r="4821" spans="1:8" ht="15">
      <c r="A4821" s="24" t="s">
        <v>1668</v>
      </c>
      <c r="B4821" s="26">
        <v>35</v>
      </c>
      <c r="C4821" s="24" t="s">
        <v>137</v>
      </c>
      <c r="D4821" s="151">
        <v>30</v>
      </c>
      <c r="E4821" s="152">
        <v>1</v>
      </c>
      <c r="F4821" s="67">
        <f>D4821*E4821</f>
        <v>30</v>
      </c>
      <c r="G4821" s="25">
        <v>4.26</v>
      </c>
      <c r="H4821" s="142"/>
    </row>
    <row r="4822" spans="1:8" ht="15">
      <c r="A4822" s="24"/>
      <c r="B4822" s="138"/>
      <c r="C4822" s="44" t="s">
        <v>1993</v>
      </c>
      <c r="D4822" s="8"/>
      <c r="E4822" s="41"/>
      <c r="F4822" s="45">
        <v>1</v>
      </c>
      <c r="G4822" s="46">
        <v>12</v>
      </c>
      <c r="H4822" s="180"/>
    </row>
    <row r="4826" spans="1:8" ht="15.75">
      <c r="A4826" s="402" t="s">
        <v>106</v>
      </c>
      <c r="B4826" s="402" t="s">
        <v>1710</v>
      </c>
      <c r="C4826" s="90" t="s">
        <v>1186</v>
      </c>
      <c r="D4826" s="90" t="s">
        <v>1652</v>
      </c>
      <c r="E4826" s="90" t="s">
        <v>1653</v>
      </c>
      <c r="F4826" s="90" t="s">
        <v>1825</v>
      </c>
    </row>
    <row r="4827" spans="1:8" ht="15">
      <c r="A4827" s="24" t="s">
        <v>1426</v>
      </c>
      <c r="B4827" s="44" t="s">
        <v>78</v>
      </c>
      <c r="C4827" s="8">
        <v>14</v>
      </c>
      <c r="D4827" s="41">
        <v>3</v>
      </c>
      <c r="E4827" s="67">
        <f>D4827*C4827</f>
        <v>42</v>
      </c>
      <c r="F4827" s="46">
        <v>1.54</v>
      </c>
    </row>
    <row r="4828" spans="1:8" ht="15">
      <c r="A4828" s="24"/>
      <c r="B4828" s="44" t="s">
        <v>1993</v>
      </c>
      <c r="C4828" s="8"/>
      <c r="D4828" s="41"/>
      <c r="E4828" s="45">
        <v>1</v>
      </c>
      <c r="F4828" s="46">
        <v>12</v>
      </c>
    </row>
    <row r="4832" spans="1:8" ht="15.75">
      <c r="A4832" s="402" t="s">
        <v>106</v>
      </c>
      <c r="B4832" s="402" t="s">
        <v>52</v>
      </c>
      <c r="C4832" s="402" t="s">
        <v>1710</v>
      </c>
      <c r="D4832" s="90" t="s">
        <v>1186</v>
      </c>
      <c r="E4832" s="90" t="s">
        <v>1652</v>
      </c>
      <c r="F4832" s="90" t="s">
        <v>1653</v>
      </c>
      <c r="G4832" s="90" t="s">
        <v>1825</v>
      </c>
      <c r="H4832" s="140"/>
    </row>
    <row r="4833" spans="1:9" ht="15">
      <c r="A4833" s="24" t="s">
        <v>2286</v>
      </c>
      <c r="B4833" s="44">
        <v>9</v>
      </c>
      <c r="C4833" s="24" t="s">
        <v>2326</v>
      </c>
      <c r="D4833" s="151">
        <v>10</v>
      </c>
      <c r="E4833" s="152">
        <v>2</v>
      </c>
      <c r="F4833" s="67">
        <f>D4833*E4833</f>
        <v>20</v>
      </c>
      <c r="G4833" s="46">
        <v>2.64</v>
      </c>
      <c r="H4833" s="180"/>
    </row>
    <row r="4834" spans="1:9" ht="15">
      <c r="A4834" s="24" t="s">
        <v>2286</v>
      </c>
      <c r="B4834" s="44">
        <v>9</v>
      </c>
      <c r="C4834" s="24" t="s">
        <v>2327</v>
      </c>
      <c r="D4834" s="151">
        <v>10</v>
      </c>
      <c r="E4834" s="152">
        <v>2</v>
      </c>
      <c r="F4834" s="67">
        <f>D4834*E4834</f>
        <v>20</v>
      </c>
      <c r="G4834" s="46">
        <v>2.64</v>
      </c>
      <c r="H4834" s="180"/>
    </row>
    <row r="4835" spans="1:9" ht="15">
      <c r="A4835" s="24"/>
      <c r="B4835" s="138"/>
      <c r="C4835" s="44" t="s">
        <v>1993</v>
      </c>
      <c r="D4835" s="8"/>
      <c r="E4835" s="41"/>
      <c r="F4835" s="45">
        <v>1</v>
      </c>
      <c r="G4835" s="46">
        <v>12</v>
      </c>
      <c r="H4835" s="180"/>
    </row>
    <row r="4838" spans="1:9" ht="15.75">
      <c r="A4838" s="402" t="s">
        <v>106</v>
      </c>
      <c r="B4838" s="402" t="s">
        <v>1710</v>
      </c>
      <c r="C4838" s="90" t="s">
        <v>1186</v>
      </c>
      <c r="D4838" s="90" t="s">
        <v>1652</v>
      </c>
      <c r="E4838" s="90" t="s">
        <v>1653</v>
      </c>
      <c r="F4838" s="90" t="s">
        <v>1825</v>
      </c>
    </row>
    <row r="4839" spans="1:9" ht="15">
      <c r="A4839" s="24" t="s">
        <v>1426</v>
      </c>
      <c r="B4839" s="44" t="s">
        <v>78</v>
      </c>
      <c r="C4839" s="8">
        <v>14</v>
      </c>
      <c r="D4839" s="41">
        <v>2</v>
      </c>
      <c r="E4839" s="67">
        <f>D4839*C4839</f>
        <v>28</v>
      </c>
      <c r="F4839" s="46">
        <v>1.54</v>
      </c>
    </row>
    <row r="4840" spans="1:9" ht="15">
      <c r="A4840" s="24"/>
      <c r="B4840" s="44" t="s">
        <v>1993</v>
      </c>
      <c r="C4840" s="8"/>
      <c r="D4840" s="41"/>
      <c r="E4840" s="45">
        <v>1</v>
      </c>
      <c r="F4840" s="46">
        <v>12</v>
      </c>
    </row>
    <row r="4843" spans="1:9" ht="15.75">
      <c r="A4843" s="402" t="s">
        <v>106</v>
      </c>
      <c r="B4843" s="402" t="s">
        <v>52</v>
      </c>
      <c r="C4843" s="402" t="s">
        <v>1710</v>
      </c>
      <c r="D4843" s="90" t="s">
        <v>1186</v>
      </c>
      <c r="E4843" s="90" t="s">
        <v>1652</v>
      </c>
      <c r="F4843" s="90" t="s">
        <v>1653</v>
      </c>
      <c r="G4843" s="90" t="s">
        <v>1825</v>
      </c>
      <c r="H4843" s="90"/>
      <c r="I4843" s="219"/>
    </row>
    <row r="4844" spans="1:9" ht="15">
      <c r="A4844" s="24" t="s">
        <v>2286</v>
      </c>
      <c r="B4844" s="44">
        <v>9</v>
      </c>
      <c r="C4844" s="24" t="s">
        <v>2326</v>
      </c>
      <c r="D4844" s="151">
        <v>10</v>
      </c>
      <c r="E4844" s="152">
        <v>2</v>
      </c>
      <c r="F4844" s="67">
        <f>D4844*E4844</f>
        <v>20</v>
      </c>
      <c r="G4844" s="46">
        <v>2.64</v>
      </c>
      <c r="H4844" s="46"/>
      <c r="I4844" s="46">
        <f>G4844*F4844</f>
        <v>52.800000000000004</v>
      </c>
    </row>
    <row r="4845" spans="1:9" ht="15">
      <c r="A4845" s="24" t="s">
        <v>2286</v>
      </c>
      <c r="B4845" s="44">
        <v>9</v>
      </c>
      <c r="C4845" s="24" t="s">
        <v>2327</v>
      </c>
      <c r="D4845" s="151">
        <v>10</v>
      </c>
      <c r="E4845" s="152">
        <v>2</v>
      </c>
      <c r="F4845" s="67">
        <f>D4845*E4845</f>
        <v>20</v>
      </c>
      <c r="G4845" s="46">
        <v>2.64</v>
      </c>
      <c r="H4845" s="46"/>
      <c r="I4845" s="46">
        <f>G4845*F4845</f>
        <v>52.800000000000004</v>
      </c>
    </row>
    <row r="4846" spans="1:9" ht="15.75">
      <c r="A4846" s="402" t="s">
        <v>106</v>
      </c>
      <c r="B4846" s="402" t="s">
        <v>52</v>
      </c>
      <c r="C4846" s="402" t="s">
        <v>1710</v>
      </c>
      <c r="D4846" s="90" t="s">
        <v>1186</v>
      </c>
      <c r="E4846" s="90" t="s">
        <v>1652</v>
      </c>
      <c r="F4846" s="90" t="s">
        <v>1653</v>
      </c>
      <c r="G4846" s="90" t="s">
        <v>2336</v>
      </c>
      <c r="H4846" s="90"/>
      <c r="I4846" s="219"/>
    </row>
    <row r="4847" spans="1:9" ht="15">
      <c r="A4847" s="55" t="s">
        <v>2335</v>
      </c>
      <c r="B4847" s="44"/>
      <c r="C4847" s="24" t="s">
        <v>2333</v>
      </c>
      <c r="D4847" s="151"/>
      <c r="E4847" s="152"/>
      <c r="F4847" s="45">
        <v>1</v>
      </c>
      <c r="G4847" s="46">
        <v>140</v>
      </c>
      <c r="H4847" s="46"/>
      <c r="I4847" s="46">
        <f t="shared" ref="I4847:I4853" si="9">G4847*F4847</f>
        <v>140</v>
      </c>
    </row>
    <row r="4848" spans="1:9" ht="15">
      <c r="A4848" s="55" t="s">
        <v>2334</v>
      </c>
      <c r="B4848" s="44">
        <v>9</v>
      </c>
      <c r="C4848" s="24" t="s">
        <v>2326</v>
      </c>
      <c r="D4848" s="151"/>
      <c r="E4848" s="152"/>
      <c r="F4848" s="261">
        <v>30</v>
      </c>
      <c r="G4848" s="46"/>
      <c r="H4848" s="46"/>
      <c r="I4848" s="46">
        <f t="shared" si="9"/>
        <v>0</v>
      </c>
    </row>
    <row r="4849" spans="1:9" ht="15">
      <c r="A4849" s="55" t="s">
        <v>2329</v>
      </c>
      <c r="B4849" s="44">
        <v>9</v>
      </c>
      <c r="C4849" s="24" t="s">
        <v>2327</v>
      </c>
      <c r="D4849" s="151"/>
      <c r="E4849" s="152"/>
      <c r="F4849" s="261">
        <v>10</v>
      </c>
      <c r="G4849" s="46"/>
      <c r="H4849" s="46"/>
      <c r="I4849" s="46">
        <f t="shared" si="9"/>
        <v>0</v>
      </c>
    </row>
    <row r="4850" spans="1:9" ht="15">
      <c r="A4850" s="55" t="s">
        <v>2329</v>
      </c>
      <c r="B4850" s="44">
        <v>9</v>
      </c>
      <c r="C4850" s="24" t="s">
        <v>2330</v>
      </c>
      <c r="D4850" s="151"/>
      <c r="E4850" s="152"/>
      <c r="F4850" s="261">
        <v>10</v>
      </c>
      <c r="G4850" s="46"/>
      <c r="H4850" s="46"/>
      <c r="I4850" s="46">
        <f t="shared" si="9"/>
        <v>0</v>
      </c>
    </row>
    <row r="4851" spans="1:9" ht="15">
      <c r="A4851" s="55" t="s">
        <v>2331</v>
      </c>
      <c r="B4851" s="44">
        <v>6</v>
      </c>
      <c r="C4851" s="24" t="s">
        <v>2327</v>
      </c>
      <c r="D4851" s="151"/>
      <c r="E4851" s="152"/>
      <c r="F4851" s="261">
        <v>10</v>
      </c>
      <c r="G4851" s="46"/>
      <c r="H4851" s="46"/>
      <c r="I4851" s="46">
        <f t="shared" si="9"/>
        <v>0</v>
      </c>
    </row>
    <row r="4852" spans="1:9" ht="15">
      <c r="A4852" s="55" t="s">
        <v>2331</v>
      </c>
      <c r="B4852" s="44">
        <v>6</v>
      </c>
      <c r="C4852" s="24" t="s">
        <v>2330</v>
      </c>
      <c r="D4852" s="151"/>
      <c r="E4852" s="152"/>
      <c r="F4852" s="261">
        <v>10</v>
      </c>
      <c r="G4852" s="46"/>
      <c r="H4852" s="46"/>
      <c r="I4852" s="46">
        <f t="shared" si="9"/>
        <v>0</v>
      </c>
    </row>
    <row r="4853" spans="1:9" ht="15">
      <c r="A4853" s="24"/>
      <c r="B4853" s="138"/>
      <c r="C4853" s="44" t="s">
        <v>1993</v>
      </c>
      <c r="D4853" s="8"/>
      <c r="E4853" s="41"/>
      <c r="F4853" s="45">
        <v>1</v>
      </c>
      <c r="G4853" s="46">
        <v>12</v>
      </c>
      <c r="H4853" s="46"/>
      <c r="I4853" s="46">
        <f t="shared" si="9"/>
        <v>12</v>
      </c>
    </row>
    <row r="4854" spans="1:9" ht="15">
      <c r="A4854" s="12"/>
      <c r="B4854" s="769"/>
      <c r="C4854" s="612"/>
      <c r="D4854" s="453"/>
      <c r="E4854" s="454"/>
      <c r="F4854" s="770"/>
      <c r="G4854" s="180"/>
      <c r="H4854" s="180"/>
      <c r="I4854" s="180"/>
    </row>
    <row r="4855" spans="1:9" ht="14.25">
      <c r="A4855" s="28" t="s">
        <v>2359</v>
      </c>
    </row>
    <row r="4856" spans="1:9" ht="30">
      <c r="A4856" s="728" t="s">
        <v>1603</v>
      </c>
      <c r="B4856" s="728" t="s">
        <v>2317</v>
      </c>
      <c r="C4856" s="728" t="s">
        <v>2316</v>
      </c>
      <c r="D4856" s="730" t="s">
        <v>5281</v>
      </c>
      <c r="E4856" s="732" t="s">
        <v>1623</v>
      </c>
      <c r="F4856" s="729" t="s">
        <v>5282</v>
      </c>
      <c r="G4856" s="729" t="s">
        <v>5283</v>
      </c>
      <c r="H4856" s="759"/>
    </row>
    <row r="4857" spans="1:9" ht="14.25">
      <c r="A4857" s="721" t="s">
        <v>1802</v>
      </c>
      <c r="B4857" s="720" t="s">
        <v>129</v>
      </c>
      <c r="C4857" s="720" t="s">
        <v>2341</v>
      </c>
      <c r="D4857" s="731">
        <v>1.62</v>
      </c>
      <c r="E4857" s="733">
        <v>2.17</v>
      </c>
      <c r="F4857" s="720" t="s">
        <v>2342</v>
      </c>
      <c r="G4857" s="722">
        <v>125</v>
      </c>
      <c r="H4857" s="760"/>
    </row>
    <row r="4858" spans="1:9" ht="14.25">
      <c r="A4858" s="720" t="s">
        <v>2343</v>
      </c>
      <c r="B4858" s="723" t="s">
        <v>56</v>
      </c>
      <c r="C4858" s="724" t="s">
        <v>2344</v>
      </c>
      <c r="D4858" s="731">
        <v>2.4699999999999998</v>
      </c>
      <c r="E4858" s="733" t="s">
        <v>2345</v>
      </c>
      <c r="F4858" s="724" t="s">
        <v>2346</v>
      </c>
      <c r="G4858" s="725" t="s">
        <v>2346</v>
      </c>
      <c r="H4858" s="761"/>
    </row>
    <row r="4859" spans="1:9" ht="14.25">
      <c r="A4859" s="726" t="s">
        <v>306</v>
      </c>
      <c r="B4859" s="720" t="s">
        <v>129</v>
      </c>
      <c r="C4859" s="720" t="s">
        <v>2341</v>
      </c>
      <c r="D4859" s="731">
        <v>2.15</v>
      </c>
      <c r="E4859" s="733">
        <v>2.71</v>
      </c>
      <c r="F4859" s="720" t="s">
        <v>2342</v>
      </c>
      <c r="G4859" s="722">
        <v>125</v>
      </c>
      <c r="H4859" s="760"/>
    </row>
    <row r="4860" spans="1:9" ht="14.25">
      <c r="A4860" s="720" t="s">
        <v>2347</v>
      </c>
      <c r="B4860" s="723" t="s">
        <v>56</v>
      </c>
      <c r="C4860" s="724" t="s">
        <v>2344</v>
      </c>
      <c r="D4860" s="731">
        <v>3.0399999999999996</v>
      </c>
      <c r="E4860" s="733" t="s">
        <v>2345</v>
      </c>
      <c r="F4860" s="724" t="s">
        <v>2346</v>
      </c>
      <c r="G4860" s="725" t="s">
        <v>2346</v>
      </c>
      <c r="H4860" s="761"/>
    </row>
    <row r="4861" spans="1:9" ht="14.25">
      <c r="A4861" s="726">
        <v>23650</v>
      </c>
      <c r="B4861" s="720" t="s">
        <v>129</v>
      </c>
      <c r="C4861" s="720" t="s">
        <v>2341</v>
      </c>
      <c r="D4861" s="731">
        <v>2.8899999999999997</v>
      </c>
      <c r="E4861" s="733">
        <v>3.4499999999999997</v>
      </c>
      <c r="F4861" s="720" t="s">
        <v>2342</v>
      </c>
      <c r="G4861" s="722">
        <v>125</v>
      </c>
      <c r="H4861" s="760"/>
    </row>
    <row r="4862" spans="1:9" ht="14.25">
      <c r="A4862" s="720" t="s">
        <v>2348</v>
      </c>
      <c r="B4862" s="723" t="s">
        <v>56</v>
      </c>
      <c r="C4862" s="724" t="s">
        <v>2344</v>
      </c>
      <c r="D4862" s="731">
        <v>3.84</v>
      </c>
      <c r="E4862" s="733" t="s">
        <v>2345</v>
      </c>
      <c r="F4862" s="724" t="s">
        <v>2346</v>
      </c>
      <c r="G4862" s="725" t="s">
        <v>2346</v>
      </c>
      <c r="H4862" s="761"/>
    </row>
    <row r="4863" spans="1:9" ht="14.25">
      <c r="A4863" s="726" t="s">
        <v>2349</v>
      </c>
      <c r="B4863" s="720" t="s">
        <v>129</v>
      </c>
      <c r="C4863" s="720" t="s">
        <v>2341</v>
      </c>
      <c r="D4863" s="731">
        <v>1.86</v>
      </c>
      <c r="E4863" s="733">
        <v>2.4099999999999997</v>
      </c>
      <c r="F4863" s="720" t="s">
        <v>2342</v>
      </c>
      <c r="G4863" s="722">
        <v>125</v>
      </c>
      <c r="H4863" s="760"/>
    </row>
    <row r="4864" spans="1:9" ht="14.25">
      <c r="A4864" s="726" t="s">
        <v>2350</v>
      </c>
      <c r="B4864" s="720" t="s">
        <v>2351</v>
      </c>
      <c r="C4864" s="720" t="s">
        <v>2341</v>
      </c>
      <c r="D4864" s="731">
        <v>2.73</v>
      </c>
      <c r="E4864" s="733" t="s">
        <v>2345</v>
      </c>
      <c r="F4864" s="720" t="s">
        <v>2346</v>
      </c>
      <c r="G4864" s="727" t="s">
        <v>2346</v>
      </c>
      <c r="H4864" s="762"/>
    </row>
    <row r="4865" spans="1:9" ht="14.25">
      <c r="A4865" s="765"/>
      <c r="B4865" s="766"/>
      <c r="C4865" s="766"/>
      <c r="D4865" s="767"/>
      <c r="E4865" s="768"/>
      <c r="F4865" s="766"/>
      <c r="G4865" s="762"/>
      <c r="H4865" s="762"/>
    </row>
    <row r="4866" spans="1:9" ht="14.25">
      <c r="A4866" s="765" t="s">
        <v>2360</v>
      </c>
    </row>
    <row r="4867" spans="1:9" ht="31.5">
      <c r="A4867" s="672" t="s">
        <v>1369</v>
      </c>
      <c r="B4867" s="650" t="s">
        <v>377</v>
      </c>
      <c r="C4867" s="651" t="s">
        <v>322</v>
      </c>
      <c r="D4867" s="652" t="s">
        <v>1734</v>
      </c>
      <c r="E4867" s="693" t="s">
        <v>2264</v>
      </c>
      <c r="F4867" s="693" t="s">
        <v>1181</v>
      </c>
      <c r="G4867" s="653" t="s">
        <v>3117</v>
      </c>
      <c r="H4867" s="763"/>
    </row>
    <row r="4868" spans="1:9" ht="15">
      <c r="A4868" s="147" t="s">
        <v>2353</v>
      </c>
      <c r="B4868" s="26">
        <v>4</v>
      </c>
      <c r="C4868" s="447">
        <v>40</v>
      </c>
      <c r="D4868" s="34" t="s">
        <v>1812</v>
      </c>
      <c r="E4868" s="22" t="s">
        <v>2354</v>
      </c>
      <c r="F4868" s="22" t="s">
        <v>2355</v>
      </c>
      <c r="G4868" s="663">
        <v>0.68</v>
      </c>
      <c r="H4868" s="764">
        <f>ROUNDUP(I4868/0.6/90,2)</f>
        <v>0.68</v>
      </c>
      <c r="I4868" s="734">
        <v>36.375</v>
      </c>
    </row>
    <row r="4869" spans="1:9" ht="15">
      <c r="A4869" s="147" t="s">
        <v>2353</v>
      </c>
      <c r="B4869" s="26">
        <v>6</v>
      </c>
      <c r="C4869" s="148">
        <v>10</v>
      </c>
      <c r="D4869" s="34" t="s">
        <v>1812</v>
      </c>
      <c r="E4869" s="22" t="s">
        <v>2354</v>
      </c>
      <c r="F4869" s="22" t="s">
        <v>2355</v>
      </c>
      <c r="G4869" s="663">
        <v>0.7</v>
      </c>
      <c r="H4869" s="764">
        <f>ROUNDUP(I4869/0.6/90,2)</f>
        <v>0.7</v>
      </c>
      <c r="I4869" s="734">
        <v>37.6</v>
      </c>
    </row>
    <row r="4870" spans="1:9" ht="15">
      <c r="A4870" s="147" t="s">
        <v>2353</v>
      </c>
      <c r="B4870" s="26">
        <v>9</v>
      </c>
      <c r="C4870" s="148">
        <v>10</v>
      </c>
      <c r="D4870" s="34" t="s">
        <v>1812</v>
      </c>
      <c r="E4870" s="22" t="s">
        <v>2354</v>
      </c>
      <c r="F4870" s="22" t="s">
        <v>2355</v>
      </c>
      <c r="G4870" s="663">
        <v>0.79</v>
      </c>
      <c r="H4870" s="764">
        <f>ROUNDUP(I4870/0.6/90,2)</f>
        <v>0.79</v>
      </c>
      <c r="I4870" s="734">
        <v>42.2</v>
      </c>
    </row>
    <row r="4871" spans="1:9" ht="15">
      <c r="A4871" s="147" t="s">
        <v>2353</v>
      </c>
      <c r="B4871" s="26">
        <v>12</v>
      </c>
      <c r="C4871" s="148">
        <v>10</v>
      </c>
      <c r="D4871" s="34" t="s">
        <v>1812</v>
      </c>
      <c r="E4871" s="22" t="s">
        <v>2354</v>
      </c>
      <c r="F4871" s="22" t="s">
        <v>2355</v>
      </c>
      <c r="G4871" s="663">
        <v>0.88</v>
      </c>
      <c r="H4871" s="764">
        <f>ROUNDUP(I4871/0.6/90,2)</f>
        <v>0.88</v>
      </c>
      <c r="I4871" s="734">
        <v>47.4</v>
      </c>
    </row>
    <row r="4872" spans="1:9" ht="15">
      <c r="A4872" s="147" t="s">
        <v>2353</v>
      </c>
      <c r="B4872" s="26">
        <v>18</v>
      </c>
      <c r="C4872" s="148">
        <v>10</v>
      </c>
      <c r="D4872" s="34" t="s">
        <v>1812</v>
      </c>
      <c r="E4872" s="22" t="s">
        <v>2354</v>
      </c>
      <c r="F4872" s="22" t="s">
        <v>2355</v>
      </c>
      <c r="G4872" s="663">
        <v>1.1399999999999999</v>
      </c>
      <c r="H4872" s="764">
        <f t="shared" ref="H4872:H4905" si="10">ROUNDUP(I4872/0.6/90,2)</f>
        <v>1.1399999999999999</v>
      </c>
      <c r="I4872" s="734">
        <v>61.2</v>
      </c>
    </row>
    <row r="4873" spans="1:9" ht="15">
      <c r="A4873" s="147" t="s">
        <v>2353</v>
      </c>
      <c r="B4873" s="26">
        <v>24</v>
      </c>
      <c r="C4873" s="148">
        <v>10</v>
      </c>
      <c r="D4873" s="34" t="s">
        <v>1812</v>
      </c>
      <c r="E4873" s="22" t="s">
        <v>2354</v>
      </c>
      <c r="F4873" s="22" t="s">
        <v>2355</v>
      </c>
      <c r="G4873" s="663">
        <v>1.4</v>
      </c>
      <c r="H4873" s="764">
        <f t="shared" si="10"/>
        <v>1.4</v>
      </c>
      <c r="I4873" s="734">
        <v>75.099999999999994</v>
      </c>
    </row>
    <row r="4874" spans="1:9" ht="15">
      <c r="A4874" s="147" t="s">
        <v>2353</v>
      </c>
      <c r="B4874" s="26">
        <v>38</v>
      </c>
      <c r="C4874" s="148">
        <v>10</v>
      </c>
      <c r="D4874" s="34" t="s">
        <v>1812</v>
      </c>
      <c r="E4874" s="22" t="s">
        <v>2354</v>
      </c>
      <c r="F4874" s="22" t="s">
        <v>2355</v>
      </c>
      <c r="G4874" s="663">
        <v>2.4</v>
      </c>
      <c r="H4874" s="764">
        <f t="shared" si="10"/>
        <v>2.4</v>
      </c>
      <c r="I4874" s="734">
        <v>129.4</v>
      </c>
    </row>
    <row r="4875" spans="1:9" ht="15">
      <c r="A4875" s="147" t="s">
        <v>2353</v>
      </c>
      <c r="B4875" s="26">
        <v>50</v>
      </c>
      <c r="C4875" s="148">
        <v>10</v>
      </c>
      <c r="D4875" s="34" t="s">
        <v>1812</v>
      </c>
      <c r="E4875" s="22" t="s">
        <v>2354</v>
      </c>
      <c r="F4875" s="22" t="s">
        <v>2355</v>
      </c>
      <c r="G4875" s="663">
        <v>3.1599999999999997</v>
      </c>
      <c r="H4875" s="764">
        <f t="shared" si="10"/>
        <v>3.1599999999999997</v>
      </c>
      <c r="I4875" s="734">
        <v>170.4</v>
      </c>
    </row>
    <row r="4876" spans="1:9" ht="15">
      <c r="A4876" s="147" t="s">
        <v>2356</v>
      </c>
      <c r="B4876" s="26">
        <v>3</v>
      </c>
      <c r="C4876" s="148">
        <v>40</v>
      </c>
      <c r="D4876" s="34" t="s">
        <v>1812</v>
      </c>
      <c r="E4876" s="22" t="s">
        <v>289</v>
      </c>
      <c r="F4876" s="22" t="s">
        <v>2357</v>
      </c>
      <c r="G4876" s="663">
        <v>1.17</v>
      </c>
      <c r="H4876" s="764">
        <f t="shared" si="10"/>
        <v>1.17</v>
      </c>
      <c r="I4876" s="734">
        <v>62.95</v>
      </c>
    </row>
    <row r="4877" spans="1:9" ht="15">
      <c r="A4877" s="147" t="s">
        <v>2356</v>
      </c>
      <c r="B4877" s="26">
        <v>6</v>
      </c>
      <c r="C4877" s="148">
        <v>10</v>
      </c>
      <c r="D4877" s="34" t="s">
        <v>1812</v>
      </c>
      <c r="E4877" s="22" t="s">
        <v>289</v>
      </c>
      <c r="F4877" s="22" t="s">
        <v>2357</v>
      </c>
      <c r="G4877" s="663">
        <v>1.23</v>
      </c>
      <c r="H4877" s="764">
        <f t="shared" si="10"/>
        <v>1.23</v>
      </c>
      <c r="I4877" s="735">
        <v>66</v>
      </c>
    </row>
    <row r="4878" spans="1:9" ht="15">
      <c r="A4878" s="147" t="s">
        <v>2356</v>
      </c>
      <c r="B4878" s="26">
        <v>9</v>
      </c>
      <c r="C4878" s="148">
        <v>10</v>
      </c>
      <c r="D4878" s="34" t="s">
        <v>1812</v>
      </c>
      <c r="E4878" s="22" t="s">
        <v>289</v>
      </c>
      <c r="F4878" s="22" t="s">
        <v>2357</v>
      </c>
      <c r="G4878" s="663">
        <v>1.36</v>
      </c>
      <c r="H4878" s="764">
        <f t="shared" si="10"/>
        <v>1.36</v>
      </c>
      <c r="I4878" s="735">
        <v>73</v>
      </c>
    </row>
    <row r="4879" spans="1:9" ht="15">
      <c r="A4879" s="147" t="s">
        <v>2356</v>
      </c>
      <c r="B4879" s="26">
        <v>12</v>
      </c>
      <c r="C4879" s="148">
        <v>10</v>
      </c>
      <c r="D4879" s="34" t="s">
        <v>1812</v>
      </c>
      <c r="E4879" s="22" t="s">
        <v>289</v>
      </c>
      <c r="F4879" s="22" t="s">
        <v>2357</v>
      </c>
      <c r="G4879" s="663">
        <v>1.47</v>
      </c>
      <c r="H4879" s="764">
        <f t="shared" si="10"/>
        <v>1.47</v>
      </c>
      <c r="I4879" s="734">
        <v>78.900000000000006</v>
      </c>
    </row>
    <row r="4880" spans="1:9" ht="15">
      <c r="A4880" s="147" t="s">
        <v>2356</v>
      </c>
      <c r="B4880" s="26">
        <v>18</v>
      </c>
      <c r="C4880" s="148">
        <v>10</v>
      </c>
      <c r="D4880" s="34" t="s">
        <v>1812</v>
      </c>
      <c r="E4880" s="22" t="s">
        <v>289</v>
      </c>
      <c r="F4880" s="22" t="s">
        <v>2357</v>
      </c>
      <c r="G4880" s="663">
        <v>1.9</v>
      </c>
      <c r="H4880" s="764">
        <f t="shared" si="10"/>
        <v>1.9</v>
      </c>
      <c r="I4880" s="734">
        <v>102.2</v>
      </c>
    </row>
    <row r="4881" spans="1:9" ht="15">
      <c r="A4881" s="147" t="s">
        <v>2356</v>
      </c>
      <c r="B4881" s="26">
        <v>24</v>
      </c>
      <c r="C4881" s="148">
        <v>10</v>
      </c>
      <c r="D4881" s="34" t="s">
        <v>1812</v>
      </c>
      <c r="E4881" s="22" t="s">
        <v>289</v>
      </c>
      <c r="F4881" s="22" t="s">
        <v>2357</v>
      </c>
      <c r="G4881" s="663">
        <v>2.36</v>
      </c>
      <c r="H4881" s="764">
        <f t="shared" si="10"/>
        <v>2.3499999999999996</v>
      </c>
      <c r="I4881" s="734">
        <v>126.7</v>
      </c>
    </row>
    <row r="4882" spans="1:9" ht="15">
      <c r="A4882" s="147" t="s">
        <v>2356</v>
      </c>
      <c r="B4882" s="26">
        <v>36</v>
      </c>
      <c r="C4882" s="148">
        <v>10</v>
      </c>
      <c r="D4882" s="34" t="s">
        <v>1812</v>
      </c>
      <c r="E4882" s="22" t="s">
        <v>289</v>
      </c>
      <c r="F4882" s="22" t="s">
        <v>2357</v>
      </c>
      <c r="G4882" s="663">
        <v>3.92</v>
      </c>
      <c r="H4882" s="764">
        <f t="shared" si="10"/>
        <v>3.9099999999999997</v>
      </c>
      <c r="I4882" s="734">
        <v>210.8</v>
      </c>
    </row>
    <row r="4883" spans="1:9" ht="15">
      <c r="A4883" s="147" t="s">
        <v>2356</v>
      </c>
      <c r="B4883" s="26">
        <v>48</v>
      </c>
      <c r="C4883" s="148">
        <v>10</v>
      </c>
      <c r="D4883" s="34" t="s">
        <v>1812</v>
      </c>
      <c r="E4883" s="22" t="s">
        <v>289</v>
      </c>
      <c r="F4883" s="22" t="s">
        <v>2357</v>
      </c>
      <c r="G4883" s="663">
        <v>5.76</v>
      </c>
      <c r="H4883" s="764">
        <f t="shared" si="10"/>
        <v>5.76</v>
      </c>
      <c r="I4883" s="734">
        <v>310.7</v>
      </c>
    </row>
    <row r="4884" spans="1:9" ht="15">
      <c r="A4884" s="147" t="s">
        <v>20</v>
      </c>
      <c r="B4884" s="26">
        <v>4</v>
      </c>
      <c r="C4884" s="148">
        <v>30</v>
      </c>
      <c r="D4884" s="34" t="s">
        <v>1812</v>
      </c>
      <c r="E4884" s="22" t="s">
        <v>2352</v>
      </c>
      <c r="F4884" s="22" t="s">
        <v>4</v>
      </c>
      <c r="G4884" s="663">
        <v>0.28000000000000003</v>
      </c>
      <c r="H4884" s="764">
        <f t="shared" si="10"/>
        <v>0.27</v>
      </c>
      <c r="I4884" s="734">
        <v>14.532999999999999</v>
      </c>
    </row>
    <row r="4885" spans="1:9" ht="15">
      <c r="A4885" s="147" t="s">
        <v>20</v>
      </c>
      <c r="B4885" s="26">
        <v>6</v>
      </c>
      <c r="C4885" s="148">
        <v>30</v>
      </c>
      <c r="D4885" s="34" t="s">
        <v>1812</v>
      </c>
      <c r="E4885" s="22" t="s">
        <v>2352</v>
      </c>
      <c r="F4885" s="22" t="s">
        <v>4</v>
      </c>
      <c r="G4885" s="663">
        <v>0.29000000000000004</v>
      </c>
      <c r="H4885" s="764">
        <f t="shared" si="10"/>
        <v>0.29000000000000004</v>
      </c>
      <c r="I4885" s="734">
        <v>15.132999999999999</v>
      </c>
    </row>
    <row r="4886" spans="1:9" ht="15">
      <c r="A4886" s="147" t="s">
        <v>20</v>
      </c>
      <c r="B4886" s="26">
        <v>9</v>
      </c>
      <c r="C4886" s="148">
        <v>30</v>
      </c>
      <c r="D4886" s="34" t="s">
        <v>1812</v>
      </c>
      <c r="E4886" s="22" t="s">
        <v>2352</v>
      </c>
      <c r="F4886" s="22" t="s">
        <v>4</v>
      </c>
      <c r="G4886" s="663">
        <v>0.3</v>
      </c>
      <c r="H4886" s="764">
        <f t="shared" si="10"/>
        <v>0.3</v>
      </c>
      <c r="I4886" s="734">
        <v>15.965999999999999</v>
      </c>
    </row>
    <row r="4887" spans="1:9" ht="15">
      <c r="A4887" s="147" t="s">
        <v>20</v>
      </c>
      <c r="B4887" s="26">
        <v>12</v>
      </c>
      <c r="C4887" s="148">
        <v>30</v>
      </c>
      <c r="D4887" s="34" t="s">
        <v>1812</v>
      </c>
      <c r="E4887" s="22" t="s">
        <v>2352</v>
      </c>
      <c r="F4887" s="22" t="s">
        <v>4</v>
      </c>
      <c r="G4887" s="663">
        <v>0.35000000000000003</v>
      </c>
      <c r="H4887" s="764">
        <f t="shared" si="10"/>
        <v>0.34</v>
      </c>
      <c r="I4887" s="734">
        <v>18.166</v>
      </c>
    </row>
    <row r="4888" spans="1:9" ht="15">
      <c r="A4888" s="147" t="s">
        <v>20</v>
      </c>
      <c r="B4888" s="26">
        <v>15</v>
      </c>
      <c r="C4888" s="148">
        <v>30</v>
      </c>
      <c r="D4888" s="34" t="s">
        <v>1812</v>
      </c>
      <c r="E4888" s="22" t="s">
        <v>2352</v>
      </c>
      <c r="F4888" s="22" t="s">
        <v>4</v>
      </c>
      <c r="G4888" s="663">
        <v>0.4</v>
      </c>
      <c r="H4888" s="764">
        <f t="shared" si="10"/>
        <v>0.4</v>
      </c>
      <c r="I4888" s="734">
        <v>21.366</v>
      </c>
    </row>
    <row r="4889" spans="1:9" ht="15">
      <c r="A4889" s="147" t="s">
        <v>20</v>
      </c>
      <c r="B4889" s="26">
        <v>19</v>
      </c>
      <c r="C4889" s="148">
        <v>30</v>
      </c>
      <c r="D4889" s="34" t="s">
        <v>1812</v>
      </c>
      <c r="E4889" s="22" t="s">
        <v>2352</v>
      </c>
      <c r="F4889" s="22" t="s">
        <v>4</v>
      </c>
      <c r="G4889" s="663">
        <v>0.47000000000000003</v>
      </c>
      <c r="H4889" s="764">
        <f t="shared" si="10"/>
        <v>0.47000000000000003</v>
      </c>
      <c r="I4889" s="736">
        <v>25</v>
      </c>
    </row>
    <row r="4890" spans="1:9" ht="15">
      <c r="A4890" s="147" t="s">
        <v>20</v>
      </c>
      <c r="B4890" s="26">
        <v>25</v>
      </c>
      <c r="C4890" s="148">
        <v>30</v>
      </c>
      <c r="D4890" s="34" t="s">
        <v>1812</v>
      </c>
      <c r="E4890" s="22" t="s">
        <v>2352</v>
      </c>
      <c r="F4890" s="22" t="s">
        <v>4</v>
      </c>
      <c r="G4890" s="663">
        <v>0.6</v>
      </c>
      <c r="H4890" s="764">
        <f t="shared" si="10"/>
        <v>0.6</v>
      </c>
      <c r="I4890" s="734">
        <v>31.866</v>
      </c>
    </row>
    <row r="4891" spans="1:9" ht="15">
      <c r="A4891" s="147" t="s">
        <v>20</v>
      </c>
      <c r="B4891" s="26">
        <v>32</v>
      </c>
      <c r="C4891" s="148">
        <v>30</v>
      </c>
      <c r="D4891" s="34" t="s">
        <v>1812</v>
      </c>
      <c r="E4891" s="22" t="s">
        <v>2352</v>
      </c>
      <c r="F4891" s="22" t="s">
        <v>4</v>
      </c>
      <c r="G4891" s="663">
        <v>0.78</v>
      </c>
      <c r="H4891" s="764">
        <f t="shared" si="10"/>
        <v>0.78</v>
      </c>
      <c r="I4891" s="734">
        <v>41.765999999999998</v>
      </c>
    </row>
    <row r="4892" spans="1:9" ht="15">
      <c r="A4892" s="147" t="s">
        <v>20</v>
      </c>
      <c r="B4892" s="26">
        <v>38</v>
      </c>
      <c r="C4892" s="148">
        <v>30</v>
      </c>
      <c r="D4892" s="34" t="s">
        <v>1812</v>
      </c>
      <c r="E4892" s="22" t="s">
        <v>2352</v>
      </c>
      <c r="F4892" s="22" t="s">
        <v>4</v>
      </c>
      <c r="G4892" s="663">
        <v>0.89</v>
      </c>
      <c r="H4892" s="764">
        <f t="shared" si="10"/>
        <v>0.89</v>
      </c>
      <c r="I4892" s="734">
        <v>47.8</v>
      </c>
    </row>
    <row r="4893" spans="1:9" ht="15">
      <c r="A4893" s="147" t="s">
        <v>20</v>
      </c>
      <c r="B4893" s="26">
        <v>50</v>
      </c>
      <c r="C4893" s="148">
        <v>30</v>
      </c>
      <c r="D4893" s="34" t="s">
        <v>1812</v>
      </c>
      <c r="E4893" s="22" t="s">
        <v>2352</v>
      </c>
      <c r="F4893" s="22" t="s">
        <v>4</v>
      </c>
      <c r="G4893" s="663">
        <v>1.66</v>
      </c>
      <c r="H4893" s="764">
        <f t="shared" si="10"/>
        <v>1.65</v>
      </c>
      <c r="I4893" s="734">
        <v>88.965999999999994</v>
      </c>
    </row>
    <row r="4894" spans="1:9" ht="15">
      <c r="A4894" s="147" t="s">
        <v>20</v>
      </c>
      <c r="B4894" s="26">
        <v>75</v>
      </c>
      <c r="C4894" s="148">
        <v>30</v>
      </c>
      <c r="D4894" s="34" t="s">
        <v>1812</v>
      </c>
      <c r="E4894" s="22" t="s">
        <v>2352</v>
      </c>
      <c r="F4894" s="22" t="s">
        <v>4</v>
      </c>
      <c r="G4894" s="663">
        <v>2.4</v>
      </c>
      <c r="H4894" s="764">
        <f t="shared" si="10"/>
        <v>2.4</v>
      </c>
      <c r="I4894" s="734">
        <v>129.066</v>
      </c>
    </row>
    <row r="4895" spans="1:9" ht="15">
      <c r="A4895" s="147" t="s">
        <v>2358</v>
      </c>
      <c r="B4895" s="26">
        <v>5</v>
      </c>
      <c r="C4895" s="148">
        <v>30</v>
      </c>
      <c r="D4895" s="34" t="s">
        <v>1812</v>
      </c>
      <c r="E4895" s="22" t="s">
        <v>7</v>
      </c>
      <c r="F4895" s="22" t="s">
        <v>15</v>
      </c>
      <c r="G4895" s="657">
        <v>0.6</v>
      </c>
      <c r="H4895" s="764">
        <f t="shared" si="10"/>
        <v>0.6</v>
      </c>
      <c r="I4895" s="737">
        <v>32</v>
      </c>
    </row>
    <row r="4896" spans="1:9" ht="15">
      <c r="A4896" s="147" t="s">
        <v>2358</v>
      </c>
      <c r="B4896" s="26">
        <v>7</v>
      </c>
      <c r="C4896" s="148">
        <v>30</v>
      </c>
      <c r="D4896" s="34" t="s">
        <v>1812</v>
      </c>
      <c r="E4896" s="22" t="s">
        <v>7</v>
      </c>
      <c r="F4896" s="22" t="s">
        <v>15</v>
      </c>
      <c r="G4896" s="657">
        <v>0.62</v>
      </c>
      <c r="H4896" s="764">
        <f t="shared" si="10"/>
        <v>0.62</v>
      </c>
      <c r="I4896" s="737">
        <v>33</v>
      </c>
    </row>
    <row r="4897" spans="1:9" ht="15">
      <c r="A4897" s="147" t="s">
        <v>2358</v>
      </c>
      <c r="B4897" s="26">
        <v>10</v>
      </c>
      <c r="C4897" s="148">
        <v>30</v>
      </c>
      <c r="D4897" s="34" t="s">
        <v>1812</v>
      </c>
      <c r="E4897" s="22" t="s">
        <v>7</v>
      </c>
      <c r="F4897" s="22" t="s">
        <v>15</v>
      </c>
      <c r="G4897" s="657">
        <v>0.69000000000000006</v>
      </c>
      <c r="H4897" s="764">
        <f t="shared" si="10"/>
        <v>0.69000000000000006</v>
      </c>
      <c r="I4897" s="738">
        <v>37</v>
      </c>
    </row>
    <row r="4898" spans="1:9" ht="15">
      <c r="A4898" s="147" t="s">
        <v>2358</v>
      </c>
      <c r="B4898" s="26">
        <v>12</v>
      </c>
      <c r="C4898" s="148">
        <v>30</v>
      </c>
      <c r="D4898" s="34" t="s">
        <v>1812</v>
      </c>
      <c r="E4898" s="22" t="s">
        <v>14</v>
      </c>
      <c r="F4898" s="22" t="s">
        <v>15</v>
      </c>
      <c r="G4898" s="657">
        <v>0.76</v>
      </c>
      <c r="H4898" s="764">
        <f t="shared" si="10"/>
        <v>0.76</v>
      </c>
      <c r="I4898" s="737">
        <v>41</v>
      </c>
    </row>
    <row r="4899" spans="1:9" ht="15">
      <c r="A4899" s="147" t="s">
        <v>2358</v>
      </c>
      <c r="B4899" s="26">
        <v>15</v>
      </c>
      <c r="C4899" s="148">
        <v>30</v>
      </c>
      <c r="D4899" s="34" t="s">
        <v>1812</v>
      </c>
      <c r="E4899" s="22" t="s">
        <v>7</v>
      </c>
      <c r="F4899" s="22" t="s">
        <v>15</v>
      </c>
      <c r="G4899" s="657">
        <v>0.84</v>
      </c>
      <c r="H4899" s="764">
        <f t="shared" si="10"/>
        <v>0.84</v>
      </c>
      <c r="I4899" s="738">
        <v>45</v>
      </c>
    </row>
    <row r="4900" spans="1:9" ht="15">
      <c r="A4900" s="147" t="s">
        <v>2358</v>
      </c>
      <c r="B4900" s="26">
        <v>18</v>
      </c>
      <c r="C4900" s="148">
        <v>30</v>
      </c>
      <c r="D4900" s="34" t="s">
        <v>1812</v>
      </c>
      <c r="E4900" s="22" t="s">
        <v>14</v>
      </c>
      <c r="F4900" s="22" t="s">
        <v>15</v>
      </c>
      <c r="G4900" s="657">
        <v>1</v>
      </c>
      <c r="H4900" s="764">
        <f t="shared" si="10"/>
        <v>1</v>
      </c>
      <c r="I4900" s="738">
        <v>54</v>
      </c>
    </row>
    <row r="4901" spans="1:9" ht="15">
      <c r="A4901" s="147" t="s">
        <v>2358</v>
      </c>
      <c r="B4901" s="26">
        <v>25</v>
      </c>
      <c r="C4901" s="148">
        <v>30</v>
      </c>
      <c r="D4901" s="34" t="s">
        <v>1812</v>
      </c>
      <c r="E4901" s="22" t="s">
        <v>14</v>
      </c>
      <c r="F4901" s="22" t="s">
        <v>15</v>
      </c>
      <c r="G4901" s="657">
        <v>1.21</v>
      </c>
      <c r="H4901" s="764">
        <f t="shared" si="10"/>
        <v>1.21</v>
      </c>
      <c r="I4901" s="738">
        <v>65</v>
      </c>
    </row>
    <row r="4902" spans="1:9" ht="15">
      <c r="A4902" s="147" t="s">
        <v>2358</v>
      </c>
      <c r="B4902" s="26">
        <v>30</v>
      </c>
      <c r="C4902" s="148">
        <v>30</v>
      </c>
      <c r="D4902" s="34" t="s">
        <v>1812</v>
      </c>
      <c r="E4902" s="22" t="s">
        <v>14</v>
      </c>
      <c r="F4902" s="22" t="s">
        <v>15</v>
      </c>
      <c r="G4902" s="657">
        <v>1.62</v>
      </c>
      <c r="H4902" s="764">
        <f t="shared" si="10"/>
        <v>1.62</v>
      </c>
      <c r="I4902" s="736">
        <v>87</v>
      </c>
    </row>
    <row r="4903" spans="1:9" ht="15">
      <c r="A4903" s="147" t="s">
        <v>2358</v>
      </c>
      <c r="B4903" s="26">
        <v>38</v>
      </c>
      <c r="C4903" s="148">
        <v>30</v>
      </c>
      <c r="D4903" s="34" t="s">
        <v>1812</v>
      </c>
      <c r="E4903" s="22" t="s">
        <v>7</v>
      </c>
      <c r="F4903" s="22" t="s">
        <v>15</v>
      </c>
      <c r="G4903" s="657">
        <v>1.78</v>
      </c>
      <c r="H4903" s="764">
        <f t="shared" si="10"/>
        <v>1.78</v>
      </c>
      <c r="I4903" s="737">
        <v>96</v>
      </c>
    </row>
    <row r="4904" spans="1:9" ht="15">
      <c r="A4904" s="147" t="s">
        <v>2358</v>
      </c>
      <c r="B4904" s="26">
        <v>50</v>
      </c>
      <c r="C4904" s="148">
        <v>30</v>
      </c>
      <c r="D4904" s="34" t="s">
        <v>1812</v>
      </c>
      <c r="E4904" s="22" t="s">
        <v>14</v>
      </c>
      <c r="F4904" s="22" t="s">
        <v>15</v>
      </c>
      <c r="G4904" s="657">
        <v>2.5399999999999996</v>
      </c>
      <c r="H4904" s="764">
        <f t="shared" si="10"/>
        <v>2.5399999999999996</v>
      </c>
      <c r="I4904" s="738">
        <v>137</v>
      </c>
    </row>
    <row r="4905" spans="1:9" ht="15">
      <c r="A4905" s="147" t="s">
        <v>2358</v>
      </c>
      <c r="B4905" s="26">
        <v>75</v>
      </c>
      <c r="C4905" s="148">
        <v>30</v>
      </c>
      <c r="D4905" s="34" t="s">
        <v>1812</v>
      </c>
      <c r="E4905" s="22" t="s">
        <v>14</v>
      </c>
      <c r="F4905" s="22" t="s">
        <v>15</v>
      </c>
      <c r="G4905" s="657">
        <v>4.0599999999999996</v>
      </c>
      <c r="H4905" s="764">
        <f t="shared" si="10"/>
        <v>4.0599999999999996</v>
      </c>
      <c r="I4905" s="738">
        <v>219</v>
      </c>
    </row>
    <row r="4907" spans="1:9">
      <c r="A4907" t="s">
        <v>2361</v>
      </c>
    </row>
    <row r="4908" spans="1:9" ht="31.5">
      <c r="A4908" s="672" t="s">
        <v>1369</v>
      </c>
      <c r="B4908" s="650" t="s">
        <v>377</v>
      </c>
      <c r="C4908" s="651" t="s">
        <v>322</v>
      </c>
      <c r="D4908" s="652" t="s">
        <v>1734</v>
      </c>
      <c r="E4908" s="693" t="s">
        <v>2264</v>
      </c>
      <c r="F4908" s="693" t="s">
        <v>1181</v>
      </c>
      <c r="G4908" s="653" t="s">
        <v>3117</v>
      </c>
      <c r="H4908" s="763"/>
      <c r="I4908" s="763"/>
    </row>
    <row r="4909" spans="1:9" ht="15">
      <c r="A4909" s="147" t="s">
        <v>2362</v>
      </c>
      <c r="B4909" s="26">
        <v>4</v>
      </c>
      <c r="C4909" s="148">
        <v>30</v>
      </c>
      <c r="D4909" s="34" t="s">
        <v>1812</v>
      </c>
      <c r="E4909" s="22" t="s">
        <v>2363</v>
      </c>
      <c r="F4909" s="22" t="s">
        <v>4</v>
      </c>
      <c r="G4909" s="663">
        <v>0.2</v>
      </c>
      <c r="H4909" s="764">
        <f t="shared" ref="H4909:H4927" si="11">ROUNDUP(I4909/0.6/90,2)</f>
        <v>0.2</v>
      </c>
      <c r="I4909" s="771">
        <v>10.5</v>
      </c>
    </row>
    <row r="4910" spans="1:9" ht="15">
      <c r="A4910" s="147" t="s">
        <v>2362</v>
      </c>
      <c r="B4910" s="26">
        <v>6</v>
      </c>
      <c r="C4910" s="148">
        <v>30</v>
      </c>
      <c r="D4910" s="34" t="s">
        <v>1812</v>
      </c>
      <c r="E4910" s="22" t="s">
        <v>2363</v>
      </c>
      <c r="F4910" s="22" t="s">
        <v>4</v>
      </c>
      <c r="G4910" s="663">
        <v>0.22</v>
      </c>
      <c r="H4910" s="764">
        <f t="shared" si="11"/>
        <v>0.21000000000000002</v>
      </c>
      <c r="I4910" s="772">
        <v>11</v>
      </c>
    </row>
    <row r="4911" spans="1:9" ht="15">
      <c r="A4911" s="147" t="s">
        <v>2362</v>
      </c>
      <c r="B4911" s="26">
        <v>9</v>
      </c>
      <c r="C4911" s="148">
        <v>30</v>
      </c>
      <c r="D4911" s="34" t="s">
        <v>1812</v>
      </c>
      <c r="E4911" s="22" t="s">
        <v>2363</v>
      </c>
      <c r="F4911" s="22" t="s">
        <v>4</v>
      </c>
      <c r="G4911" s="663">
        <v>0.27</v>
      </c>
      <c r="H4911" s="764">
        <f t="shared" si="11"/>
        <v>0.26</v>
      </c>
      <c r="I4911" s="772">
        <v>14</v>
      </c>
    </row>
    <row r="4912" spans="1:9" ht="15">
      <c r="A4912" s="147" t="s">
        <v>2362</v>
      </c>
      <c r="B4912" s="26">
        <v>12</v>
      </c>
      <c r="C4912" s="148">
        <v>30</v>
      </c>
      <c r="D4912" s="34" t="s">
        <v>1812</v>
      </c>
      <c r="E4912" s="22" t="s">
        <v>2363</v>
      </c>
      <c r="F4912" s="22" t="s">
        <v>4</v>
      </c>
      <c r="G4912" s="663">
        <v>0.34</v>
      </c>
      <c r="H4912" s="764">
        <f t="shared" si="11"/>
        <v>0.33</v>
      </c>
      <c r="I4912" s="771">
        <v>17.5</v>
      </c>
    </row>
    <row r="4913" spans="1:9" ht="15">
      <c r="A4913" s="147" t="s">
        <v>2362</v>
      </c>
      <c r="B4913" s="26">
        <v>15</v>
      </c>
      <c r="C4913" s="148">
        <v>30</v>
      </c>
      <c r="D4913" s="34" t="s">
        <v>1812</v>
      </c>
      <c r="E4913" s="22" t="s">
        <v>2363</v>
      </c>
      <c r="F4913" s="22" t="s">
        <v>4</v>
      </c>
      <c r="G4913" s="663">
        <v>0.39</v>
      </c>
      <c r="H4913" s="764">
        <f t="shared" si="11"/>
        <v>0.39</v>
      </c>
      <c r="I4913" s="772">
        <v>21</v>
      </c>
    </row>
    <row r="4914" spans="1:9" ht="15">
      <c r="A4914" s="147" t="s">
        <v>2362</v>
      </c>
      <c r="B4914" s="26">
        <v>18</v>
      </c>
      <c r="C4914" s="148">
        <v>30</v>
      </c>
      <c r="D4914" s="34" t="s">
        <v>1812</v>
      </c>
      <c r="E4914" s="22" t="s">
        <v>2363</v>
      </c>
      <c r="F4914" s="22" t="s">
        <v>4</v>
      </c>
      <c r="G4914" s="663">
        <v>0.46</v>
      </c>
      <c r="H4914" s="764">
        <f t="shared" si="11"/>
        <v>0.46</v>
      </c>
      <c r="I4914" s="771">
        <v>24.5</v>
      </c>
    </row>
    <row r="4915" spans="1:9" ht="15">
      <c r="A4915" s="147" t="s">
        <v>2362</v>
      </c>
      <c r="B4915" s="26">
        <v>24</v>
      </c>
      <c r="C4915" s="148">
        <v>30</v>
      </c>
      <c r="D4915" s="34" t="s">
        <v>1812</v>
      </c>
      <c r="E4915" s="22" t="s">
        <v>2363</v>
      </c>
      <c r="F4915" s="22" t="s">
        <v>4</v>
      </c>
      <c r="G4915" s="663">
        <v>0.59</v>
      </c>
      <c r="H4915" s="764">
        <f t="shared" si="11"/>
        <v>0.59</v>
      </c>
      <c r="I4915" s="771">
        <v>31.666599999999999</v>
      </c>
    </row>
    <row r="4916" spans="1:9" ht="15">
      <c r="A4916" s="147" t="s">
        <v>2362</v>
      </c>
      <c r="B4916" s="26">
        <v>36</v>
      </c>
      <c r="C4916" s="148">
        <v>30</v>
      </c>
      <c r="D4916" s="34" t="s">
        <v>1812</v>
      </c>
      <c r="E4916" s="22" t="s">
        <v>2363</v>
      </c>
      <c r="F4916" s="22" t="s">
        <v>4</v>
      </c>
      <c r="G4916" s="663">
        <v>0.98</v>
      </c>
      <c r="H4916" s="764">
        <f t="shared" si="11"/>
        <v>0.98</v>
      </c>
      <c r="I4916" s="771">
        <v>52.666600000000003</v>
      </c>
    </row>
    <row r="4917" spans="1:9" ht="15">
      <c r="A4917" s="147" t="s">
        <v>2362</v>
      </c>
      <c r="B4917" s="26">
        <v>50</v>
      </c>
      <c r="C4917" s="148">
        <v>30</v>
      </c>
      <c r="D4917" s="34" t="s">
        <v>1812</v>
      </c>
      <c r="E4917" s="22" t="s">
        <v>2363</v>
      </c>
      <c r="F4917" s="22" t="s">
        <v>4</v>
      </c>
      <c r="G4917" s="663">
        <v>1.43</v>
      </c>
      <c r="H4917" s="764">
        <f t="shared" si="11"/>
        <v>1.42</v>
      </c>
      <c r="I4917" s="771">
        <v>76.5</v>
      </c>
    </row>
    <row r="4918" spans="1:9" ht="15">
      <c r="A4918" s="147" t="s">
        <v>2364</v>
      </c>
      <c r="B4918" s="26">
        <v>4</v>
      </c>
      <c r="C4918" s="148">
        <v>30</v>
      </c>
      <c r="D4918" s="34" t="s">
        <v>1206</v>
      </c>
      <c r="E4918" s="22" t="s">
        <v>2365</v>
      </c>
      <c r="F4918" s="22" t="s">
        <v>4</v>
      </c>
      <c r="G4918" s="663">
        <v>0.19</v>
      </c>
      <c r="H4918" s="764">
        <f t="shared" si="11"/>
        <v>0.19</v>
      </c>
      <c r="I4918" s="734">
        <v>10.1</v>
      </c>
    </row>
    <row r="4919" spans="1:9" ht="15">
      <c r="A4919" s="147" t="s">
        <v>2364</v>
      </c>
      <c r="B4919" s="26">
        <v>6</v>
      </c>
      <c r="C4919" s="148">
        <v>30</v>
      </c>
      <c r="D4919" s="34" t="s">
        <v>1206</v>
      </c>
      <c r="E4919" s="22" t="s">
        <v>2365</v>
      </c>
      <c r="F4919" s="22" t="s">
        <v>4</v>
      </c>
      <c r="G4919" s="663">
        <v>0.23</v>
      </c>
      <c r="H4919" s="764">
        <f t="shared" si="11"/>
        <v>0.23</v>
      </c>
      <c r="I4919" s="735">
        <v>11.933</v>
      </c>
    </row>
    <row r="4920" spans="1:9" ht="15">
      <c r="A4920" s="147" t="s">
        <v>2364</v>
      </c>
      <c r="B4920" s="26">
        <v>9</v>
      </c>
      <c r="C4920" s="148">
        <v>30</v>
      </c>
      <c r="D4920" s="34" t="s">
        <v>1812</v>
      </c>
      <c r="E4920" s="22" t="s">
        <v>2365</v>
      </c>
      <c r="F4920" s="22" t="s">
        <v>4</v>
      </c>
      <c r="G4920" s="663">
        <v>0.3</v>
      </c>
      <c r="H4920" s="764">
        <f t="shared" si="11"/>
        <v>0.3</v>
      </c>
      <c r="I4920" s="734">
        <v>15.965999999999999</v>
      </c>
    </row>
    <row r="4921" spans="1:9" ht="15">
      <c r="A4921" s="147" t="s">
        <v>2364</v>
      </c>
      <c r="B4921" s="26">
        <v>12</v>
      </c>
      <c r="C4921" s="148">
        <v>30</v>
      </c>
      <c r="D4921" s="34" t="s">
        <v>1812</v>
      </c>
      <c r="E4921" s="22" t="s">
        <v>2365</v>
      </c>
      <c r="F4921" s="22" t="s">
        <v>4</v>
      </c>
      <c r="G4921" s="663">
        <v>0.37</v>
      </c>
      <c r="H4921" s="764">
        <f t="shared" si="11"/>
        <v>0.36</v>
      </c>
      <c r="I4921" s="734">
        <v>19.366</v>
      </c>
    </row>
    <row r="4922" spans="1:9" ht="15">
      <c r="A4922" s="147" t="s">
        <v>2364</v>
      </c>
      <c r="B4922" s="26">
        <v>15</v>
      </c>
      <c r="C4922" s="148">
        <v>30</v>
      </c>
      <c r="D4922" s="34" t="s">
        <v>1812</v>
      </c>
      <c r="E4922" s="22" t="s">
        <v>2365</v>
      </c>
      <c r="F4922" s="22" t="s">
        <v>4</v>
      </c>
      <c r="G4922" s="663">
        <v>0.44</v>
      </c>
      <c r="H4922" s="764">
        <f t="shared" si="11"/>
        <v>0.43</v>
      </c>
      <c r="I4922" s="734">
        <v>23.2</v>
      </c>
    </row>
    <row r="4923" spans="1:9" ht="15">
      <c r="A4923" s="147" t="s">
        <v>2364</v>
      </c>
      <c r="B4923" s="26">
        <v>19</v>
      </c>
      <c r="C4923" s="148">
        <v>30</v>
      </c>
      <c r="D4923" s="34" t="s">
        <v>1812</v>
      </c>
      <c r="E4923" s="22" t="s">
        <v>2365</v>
      </c>
      <c r="F4923" s="22" t="s">
        <v>4</v>
      </c>
      <c r="G4923" s="663">
        <v>0.52</v>
      </c>
      <c r="H4923" s="764">
        <f t="shared" si="11"/>
        <v>0.51</v>
      </c>
      <c r="I4923" s="735">
        <v>27.033000000000001</v>
      </c>
    </row>
    <row r="4924" spans="1:9" ht="15">
      <c r="A4924" s="147" t="s">
        <v>2364</v>
      </c>
      <c r="B4924" s="26">
        <v>25</v>
      </c>
      <c r="C4924" s="148">
        <v>30</v>
      </c>
      <c r="D4924" s="34" t="s">
        <v>1812</v>
      </c>
      <c r="E4924" s="22" t="s">
        <v>2365</v>
      </c>
      <c r="F4924" s="22" t="s">
        <v>4</v>
      </c>
      <c r="G4924" s="663">
        <v>0.66</v>
      </c>
      <c r="H4924" s="764">
        <f t="shared" si="11"/>
        <v>0.65</v>
      </c>
      <c r="I4924" s="734">
        <v>34.9</v>
      </c>
    </row>
    <row r="4925" spans="1:9" ht="15">
      <c r="A4925" s="147" t="s">
        <v>2364</v>
      </c>
      <c r="B4925" s="26">
        <v>32</v>
      </c>
      <c r="C4925" s="148">
        <v>30</v>
      </c>
      <c r="D4925" s="34" t="s">
        <v>1812</v>
      </c>
      <c r="E4925" s="22" t="s">
        <v>2365</v>
      </c>
      <c r="F4925" s="22" t="s">
        <v>4</v>
      </c>
      <c r="G4925" s="663">
        <v>0.97</v>
      </c>
      <c r="H4925" s="764">
        <f t="shared" si="11"/>
        <v>0.97</v>
      </c>
      <c r="I4925" s="734">
        <v>52.033000000000001</v>
      </c>
    </row>
    <row r="4926" spans="1:9" ht="15">
      <c r="A4926" s="147" t="s">
        <v>2364</v>
      </c>
      <c r="B4926" s="26">
        <v>38</v>
      </c>
      <c r="C4926" s="148">
        <v>30</v>
      </c>
      <c r="D4926" s="34" t="s">
        <v>1812</v>
      </c>
      <c r="E4926" s="22" t="s">
        <v>2365</v>
      </c>
      <c r="F4926" s="22" t="s">
        <v>4</v>
      </c>
      <c r="G4926" s="663">
        <v>1.2</v>
      </c>
      <c r="H4926" s="764">
        <f t="shared" si="11"/>
        <v>1.2</v>
      </c>
      <c r="I4926" s="735">
        <v>64.766000000000005</v>
      </c>
    </row>
    <row r="4927" spans="1:9" ht="15">
      <c r="A4927" s="147" t="s">
        <v>2364</v>
      </c>
      <c r="B4927" s="26">
        <v>50</v>
      </c>
      <c r="C4927" s="148">
        <v>30</v>
      </c>
      <c r="D4927" s="34" t="s">
        <v>1812</v>
      </c>
      <c r="E4927" s="22" t="s">
        <v>2365</v>
      </c>
      <c r="F4927" s="22" t="s">
        <v>4</v>
      </c>
      <c r="G4927" s="663">
        <v>1.76</v>
      </c>
      <c r="H4927" s="764">
        <f t="shared" si="11"/>
        <v>1.76</v>
      </c>
      <c r="I4927" s="734">
        <v>94.8</v>
      </c>
    </row>
    <row r="4930" spans="1:7" ht="15.75">
      <c r="A4930" s="402" t="s">
        <v>106</v>
      </c>
      <c r="B4930" s="402" t="s">
        <v>52</v>
      </c>
      <c r="C4930" s="402" t="s">
        <v>1710</v>
      </c>
      <c r="D4930" s="90" t="s">
        <v>1186</v>
      </c>
      <c r="E4930" s="90" t="s">
        <v>1652</v>
      </c>
      <c r="F4930" s="90" t="s">
        <v>1653</v>
      </c>
      <c r="G4930" s="90" t="s">
        <v>1825</v>
      </c>
    </row>
    <row r="4931" spans="1:7" ht="15">
      <c r="A4931" s="24">
        <v>3705</v>
      </c>
      <c r="B4931" s="26">
        <v>6</v>
      </c>
      <c r="C4931" s="24" t="s">
        <v>2137</v>
      </c>
      <c r="D4931" s="151">
        <v>30</v>
      </c>
      <c r="E4931" s="152">
        <v>1</v>
      </c>
      <c r="F4931" s="67">
        <f>D4931*E4931</f>
        <v>30</v>
      </c>
      <c r="G4931" s="46">
        <v>0.28999999999999998</v>
      </c>
    </row>
    <row r="4932" spans="1:7" ht="15">
      <c r="A4932" s="24"/>
      <c r="B4932" s="138"/>
      <c r="C4932" s="44" t="s">
        <v>1993</v>
      </c>
      <c r="D4932" s="8"/>
      <c r="E4932" s="41"/>
      <c r="F4932" s="45">
        <v>1</v>
      </c>
      <c r="G4932" s="46">
        <v>12</v>
      </c>
    </row>
    <row r="4935" spans="1:7" ht="15.75">
      <c r="A4935" s="402" t="s">
        <v>106</v>
      </c>
      <c r="B4935" s="402" t="s">
        <v>52</v>
      </c>
      <c r="C4935" s="402" t="s">
        <v>1710</v>
      </c>
      <c r="D4935" s="90" t="s">
        <v>1186</v>
      </c>
      <c r="E4935" s="90" t="s">
        <v>1652</v>
      </c>
      <c r="F4935" s="90" t="s">
        <v>1653</v>
      </c>
      <c r="G4935" s="90" t="s">
        <v>1825</v>
      </c>
    </row>
    <row r="4936" spans="1:7" ht="15">
      <c r="A4936" s="24">
        <v>3709</v>
      </c>
      <c r="B4936" s="26">
        <v>25</v>
      </c>
      <c r="C4936" s="24" t="s">
        <v>304</v>
      </c>
      <c r="D4936" s="8">
        <v>30</v>
      </c>
      <c r="E4936" s="41">
        <v>4</v>
      </c>
      <c r="F4936" s="8">
        <f>D4936*E4936</f>
        <v>120</v>
      </c>
      <c r="G4936" s="25">
        <v>0.89</v>
      </c>
    </row>
    <row r="4937" spans="1:7" ht="15">
      <c r="A4937" s="24"/>
      <c r="B4937" s="26"/>
      <c r="C4937" s="44" t="s">
        <v>1993</v>
      </c>
      <c r="D4937" s="36"/>
      <c r="E4937" s="68"/>
      <c r="F4937" s="45">
        <v>1</v>
      </c>
      <c r="G4937" s="25">
        <v>12</v>
      </c>
    </row>
    <row r="4940" spans="1:7" ht="15.75">
      <c r="A4940" s="402" t="s">
        <v>106</v>
      </c>
      <c r="B4940" s="402" t="s">
        <v>1710</v>
      </c>
      <c r="C4940" s="90" t="s">
        <v>1186</v>
      </c>
      <c r="D4940" s="90" t="s">
        <v>1652</v>
      </c>
      <c r="E4940" s="90" t="s">
        <v>1653</v>
      </c>
      <c r="F4940" s="90" t="s">
        <v>1825</v>
      </c>
    </row>
    <row r="4941" spans="1:7" ht="15">
      <c r="A4941" s="24" t="s">
        <v>1802</v>
      </c>
      <c r="B4941" s="44" t="s">
        <v>78</v>
      </c>
      <c r="C4941" s="8">
        <v>14</v>
      </c>
      <c r="D4941" s="41">
        <v>2</v>
      </c>
      <c r="E4941" s="67">
        <f>D4941*C4941</f>
        <v>28</v>
      </c>
      <c r="F4941" s="46">
        <v>1.62</v>
      </c>
    </row>
    <row r="4942" spans="1:7" ht="15">
      <c r="A4942" s="24" t="s">
        <v>306</v>
      </c>
      <c r="B4942" s="44" t="s">
        <v>78</v>
      </c>
      <c r="C4942" s="8">
        <v>14</v>
      </c>
      <c r="D4942" s="41">
        <v>2</v>
      </c>
      <c r="E4942" s="67">
        <f>D4942*C4942</f>
        <v>28</v>
      </c>
      <c r="F4942" s="46">
        <v>2.15</v>
      </c>
    </row>
    <row r="4943" spans="1:7" ht="15">
      <c r="A4943" s="24" t="s">
        <v>1006</v>
      </c>
      <c r="B4943" s="44" t="s">
        <v>78</v>
      </c>
      <c r="C4943" s="8">
        <v>14</v>
      </c>
      <c r="D4943" s="41">
        <v>2</v>
      </c>
      <c r="E4943" s="67">
        <f>D4943*C4943</f>
        <v>28</v>
      </c>
      <c r="F4943" s="46">
        <v>2.89</v>
      </c>
    </row>
    <row r="4944" spans="1:7" ht="15">
      <c r="A4944" s="24" t="s">
        <v>2368</v>
      </c>
      <c r="B4944" s="44" t="s">
        <v>78</v>
      </c>
      <c r="C4944" s="8">
        <v>14</v>
      </c>
      <c r="D4944" s="41">
        <v>2</v>
      </c>
      <c r="E4944" s="67">
        <f>D4944*C4944</f>
        <v>28</v>
      </c>
      <c r="F4944" s="46">
        <v>1.86</v>
      </c>
    </row>
    <row r="4945" spans="1:6" ht="15">
      <c r="A4945" s="24"/>
      <c r="B4945" s="44" t="s">
        <v>1993</v>
      </c>
      <c r="C4945" s="8"/>
      <c r="D4945" s="41"/>
      <c r="E4945" s="45">
        <v>1</v>
      </c>
      <c r="F4945" s="46">
        <v>12</v>
      </c>
    </row>
    <row r="4949" spans="1:6" ht="15.75">
      <c r="A4949" s="402" t="s">
        <v>106</v>
      </c>
      <c r="B4949" s="402" t="s">
        <v>1710</v>
      </c>
      <c r="C4949" s="90" t="s">
        <v>1653</v>
      </c>
      <c r="D4949" s="90" t="s">
        <v>1825</v>
      </c>
    </row>
    <row r="4950" spans="1:6" ht="15">
      <c r="A4950" s="24" t="s">
        <v>536</v>
      </c>
      <c r="B4950" s="24" t="s">
        <v>16</v>
      </c>
      <c r="C4950" s="67">
        <v>5</v>
      </c>
      <c r="D4950" s="25">
        <v>4.45</v>
      </c>
    </row>
    <row r="4951" spans="1:6" ht="15">
      <c r="A4951" s="24"/>
      <c r="B4951" s="44" t="s">
        <v>1075</v>
      </c>
      <c r="C4951" s="45">
        <v>1</v>
      </c>
      <c r="D4951" s="46">
        <v>12</v>
      </c>
    </row>
    <row r="4952" spans="1:6" ht="15">
      <c r="A4952" s="24"/>
      <c r="B4952" s="44" t="s">
        <v>1993</v>
      </c>
      <c r="C4952" s="45">
        <v>1</v>
      </c>
      <c r="D4952" s="46">
        <v>12</v>
      </c>
    </row>
    <row r="4956" spans="1:6" ht="14.25" thickBot="1">
      <c r="A4956" s="773" t="s">
        <v>2375</v>
      </c>
    </row>
    <row r="4957" spans="1:6" ht="14.25" thickBot="1">
      <c r="A4957" s="774" t="s">
        <v>2376</v>
      </c>
      <c r="B4957" s="775" t="s">
        <v>2395</v>
      </c>
      <c r="C4957" s="775" t="s">
        <v>2378</v>
      </c>
      <c r="D4957" s="775" t="s">
        <v>2379</v>
      </c>
    </row>
    <row r="4958" spans="1:6" ht="15.75" thickTop="1" thickBot="1">
      <c r="A4958" s="777" t="s">
        <v>2380</v>
      </c>
      <c r="B4958" s="780" t="s">
        <v>2396</v>
      </c>
      <c r="C4958" s="779" t="s">
        <v>2382</v>
      </c>
      <c r="D4958" s="779" t="s">
        <v>2383</v>
      </c>
    </row>
    <row r="4959" spans="1:6" ht="15" thickBot="1">
      <c r="A4959" s="777" t="s">
        <v>2384</v>
      </c>
      <c r="B4959" s="780" t="s">
        <v>2397</v>
      </c>
      <c r="C4959" s="781" t="s">
        <v>2386</v>
      </c>
      <c r="D4959" s="781" t="s">
        <v>2387</v>
      </c>
    </row>
    <row r="4960" spans="1:6" ht="15" thickBot="1">
      <c r="A4960" s="777" t="s">
        <v>2388</v>
      </c>
      <c r="B4960" s="780" t="s">
        <v>2398</v>
      </c>
      <c r="C4960" s="781" t="s">
        <v>2390</v>
      </c>
      <c r="D4960" s="781" t="s">
        <v>2391</v>
      </c>
    </row>
    <row r="4961" spans="1:4" ht="14.25" thickBot="1">
      <c r="A4961" s="2801" t="s">
        <v>2392</v>
      </c>
      <c r="B4961" s="2802"/>
      <c r="C4961" s="781" t="s">
        <v>2393</v>
      </c>
      <c r="D4961" s="781" t="s">
        <v>2394</v>
      </c>
    </row>
    <row r="4962" spans="1:4">
      <c r="A4962" s="776"/>
    </row>
    <row r="4963" spans="1:4" ht="14.25" thickBot="1">
      <c r="A4963" s="773" t="s">
        <v>2375</v>
      </c>
    </row>
    <row r="4964" spans="1:4" ht="14.25" thickBot="1">
      <c r="A4964" s="774" t="s">
        <v>2376</v>
      </c>
      <c r="B4964" s="775" t="s">
        <v>2377</v>
      </c>
      <c r="C4964" s="775" t="s">
        <v>2378</v>
      </c>
      <c r="D4964" s="775" t="s">
        <v>2379</v>
      </c>
    </row>
    <row r="4965" spans="1:4" ht="15.75" thickTop="1" thickBot="1">
      <c r="A4965" s="777" t="s">
        <v>2380</v>
      </c>
      <c r="B4965" s="778" t="s">
        <v>2381</v>
      </c>
      <c r="C4965" s="779" t="s">
        <v>2382</v>
      </c>
      <c r="D4965" s="779" t="s">
        <v>2383</v>
      </c>
    </row>
    <row r="4966" spans="1:4" ht="15" thickBot="1">
      <c r="A4966" s="777" t="s">
        <v>2384</v>
      </c>
      <c r="B4966" s="778" t="s">
        <v>2385</v>
      </c>
      <c r="C4966" s="779" t="s">
        <v>2386</v>
      </c>
      <c r="D4966" s="779" t="s">
        <v>2387</v>
      </c>
    </row>
    <row r="4967" spans="1:4" ht="15" thickBot="1">
      <c r="A4967" s="777" t="s">
        <v>2388</v>
      </c>
      <c r="B4967" s="778" t="s">
        <v>2389</v>
      </c>
      <c r="C4967" s="779" t="s">
        <v>2390</v>
      </c>
      <c r="D4967" s="779" t="s">
        <v>2391</v>
      </c>
    </row>
    <row r="4968" spans="1:4" ht="14.25" thickBot="1">
      <c r="A4968" s="2801" t="s">
        <v>2392</v>
      </c>
      <c r="B4968" s="2802"/>
      <c r="C4968" s="779" t="s">
        <v>2393</v>
      </c>
      <c r="D4968" s="779" t="s">
        <v>2394</v>
      </c>
    </row>
    <row r="4969" spans="1:4">
      <c r="A4969" s="776"/>
    </row>
    <row r="4971" spans="1:4" ht="15.75">
      <c r="A4971" s="402" t="s">
        <v>106</v>
      </c>
      <c r="B4971" s="402" t="s">
        <v>1710</v>
      </c>
      <c r="C4971" s="90" t="s">
        <v>1653</v>
      </c>
      <c r="D4971" s="90" t="s">
        <v>1825</v>
      </c>
    </row>
    <row r="4972" spans="1:4" ht="15">
      <c r="A4972" s="24" t="s">
        <v>2049</v>
      </c>
      <c r="B4972" s="24" t="s">
        <v>2400</v>
      </c>
      <c r="C4972" s="67">
        <v>30</v>
      </c>
      <c r="D4972" s="25">
        <v>4.7300000000000004</v>
      </c>
    </row>
    <row r="4973" spans="1:4" ht="15">
      <c r="A4973" s="24"/>
      <c r="B4973" s="44" t="s">
        <v>1075</v>
      </c>
      <c r="C4973" s="45">
        <v>1</v>
      </c>
      <c r="D4973" s="46">
        <v>12</v>
      </c>
    </row>
    <row r="4974" spans="1:4" ht="15">
      <c r="A4974" s="56"/>
      <c r="B4974" s="24" t="s">
        <v>31</v>
      </c>
      <c r="C4974" s="45">
        <v>1</v>
      </c>
      <c r="D4974" s="46">
        <v>20</v>
      </c>
    </row>
    <row r="4977" spans="1:7" ht="14.25" thickBot="1">
      <c r="A4977" s="773" t="s">
        <v>2401</v>
      </c>
    </row>
    <row r="4978" spans="1:7" ht="14.25" thickBot="1">
      <c r="A4978" s="774" t="s">
        <v>2376</v>
      </c>
      <c r="B4978" s="775" t="s">
        <v>2395</v>
      </c>
      <c r="C4978" s="775" t="s">
        <v>2378</v>
      </c>
      <c r="D4978" s="775" t="s">
        <v>2379</v>
      </c>
    </row>
    <row r="4979" spans="1:7" ht="15.75" thickTop="1" thickBot="1">
      <c r="A4979" s="777" t="s">
        <v>2380</v>
      </c>
      <c r="B4979" s="780" t="s">
        <v>2396</v>
      </c>
      <c r="C4979" s="779" t="s">
        <v>2403</v>
      </c>
      <c r="D4979" s="779" t="s">
        <v>2404</v>
      </c>
    </row>
    <row r="4980" spans="1:7" ht="15" thickBot="1">
      <c r="A4980" s="777" t="s">
        <v>2384</v>
      </c>
      <c r="B4980" s="780" t="s">
        <v>2397</v>
      </c>
      <c r="C4980" s="781" t="s">
        <v>2386</v>
      </c>
      <c r="D4980" s="781" t="s">
        <v>2387</v>
      </c>
    </row>
    <row r="4981" spans="1:7" ht="15" thickBot="1">
      <c r="A4981" s="777" t="s">
        <v>2388</v>
      </c>
      <c r="B4981" s="780" t="s">
        <v>2398</v>
      </c>
      <c r="C4981" s="781" t="s">
        <v>2402</v>
      </c>
      <c r="D4981" s="781" t="s">
        <v>2405</v>
      </c>
    </row>
    <row r="4982" spans="1:7" ht="14.25" thickBot="1">
      <c r="A4982" s="2801" t="s">
        <v>2392</v>
      </c>
      <c r="B4982" s="2802"/>
      <c r="C4982" s="781" t="s">
        <v>2393</v>
      </c>
      <c r="D4982" s="781" t="s">
        <v>2394</v>
      </c>
    </row>
    <row r="4984" spans="1:7" ht="15.75">
      <c r="A4984" s="402" t="s">
        <v>106</v>
      </c>
      <c r="B4984" s="402" t="s">
        <v>52</v>
      </c>
      <c r="C4984" s="402" t="s">
        <v>1710</v>
      </c>
      <c r="D4984" s="90" t="s">
        <v>1186</v>
      </c>
      <c r="E4984" s="90" t="s">
        <v>1652</v>
      </c>
      <c r="F4984" s="90" t="s">
        <v>1653</v>
      </c>
      <c r="G4984" s="90" t="s">
        <v>1825</v>
      </c>
    </row>
    <row r="4985" spans="1:7" ht="15">
      <c r="A4985" s="24">
        <v>5291</v>
      </c>
      <c r="B4985" s="26">
        <v>8</v>
      </c>
      <c r="C4985" s="24" t="s">
        <v>498</v>
      </c>
      <c r="D4985" s="67">
        <v>50</v>
      </c>
      <c r="E4985" s="68">
        <v>1</v>
      </c>
      <c r="F4985" s="67">
        <f>D4985*E4985</f>
        <v>50</v>
      </c>
      <c r="G4985" s="46">
        <v>0.45</v>
      </c>
    </row>
    <row r="4986" spans="1:7" ht="15">
      <c r="A4986" s="24"/>
      <c r="B4986" s="138"/>
      <c r="C4986" s="44" t="s">
        <v>1993</v>
      </c>
      <c r="D4986" s="8"/>
      <c r="E4986" s="41"/>
      <c r="F4986" s="45">
        <v>1</v>
      </c>
      <c r="G4986" s="46">
        <v>12</v>
      </c>
    </row>
    <row r="4987" spans="1:7" ht="15">
      <c r="A4987" s="56"/>
      <c r="B4987" s="44"/>
      <c r="C4987" s="44" t="s">
        <v>2238</v>
      </c>
      <c r="D4987" s="8"/>
      <c r="E4987" s="152"/>
      <c r="F4987" s="8"/>
      <c r="G4987" s="46">
        <v>27</v>
      </c>
    </row>
    <row r="4989" spans="1:7" ht="14.25" thickBot="1"/>
    <row r="4990" spans="1:7" ht="15" thickTop="1" thickBot="1">
      <c r="A4990" s="787" t="s">
        <v>2376</v>
      </c>
      <c r="B4990" s="788" t="s">
        <v>2377</v>
      </c>
      <c r="C4990" s="788" t="s">
        <v>2409</v>
      </c>
      <c r="D4990" s="788" t="s">
        <v>2410</v>
      </c>
    </row>
    <row r="4991" spans="1:7" ht="18" thickTop="1" thickBot="1">
      <c r="A4991" s="789" t="s">
        <v>2380</v>
      </c>
      <c r="B4991" s="790" t="s">
        <v>2381</v>
      </c>
      <c r="C4991" s="791" t="s">
        <v>2414</v>
      </c>
      <c r="D4991" s="791" t="s">
        <v>2411</v>
      </c>
    </row>
    <row r="4992" spans="1:7" ht="15.75" thickTop="1" thickBot="1">
      <c r="A4992" s="789" t="s">
        <v>2384</v>
      </c>
      <c r="B4992" s="790" t="s">
        <v>2385</v>
      </c>
      <c r="C4992" s="791" t="s">
        <v>2386</v>
      </c>
      <c r="D4992" s="791" t="s">
        <v>2387</v>
      </c>
    </row>
    <row r="4993" spans="1:7" ht="18" thickTop="1" thickBot="1">
      <c r="A4993" s="789" t="s">
        <v>2388</v>
      </c>
      <c r="B4993" s="790" t="s">
        <v>2389</v>
      </c>
      <c r="C4993" s="791" t="s">
        <v>2412</v>
      </c>
      <c r="D4993" s="791" t="s">
        <v>2413</v>
      </c>
    </row>
    <row r="4994" spans="1:7" ht="15" thickTop="1" thickBot="1">
      <c r="A4994" s="2810" t="s">
        <v>2392</v>
      </c>
      <c r="B4994" s="2811"/>
      <c r="C4994" s="791" t="s">
        <v>2393</v>
      </c>
      <c r="D4994" s="791" t="s">
        <v>2394</v>
      </c>
    </row>
    <row r="4995" spans="1:7" ht="14.25" thickTop="1"/>
    <row r="4996" spans="1:7" ht="14.25" thickBot="1"/>
    <row r="4997" spans="1:7" ht="15" thickTop="1" thickBot="1">
      <c r="A4997" s="787"/>
      <c r="B4997" s="788" t="s">
        <v>2409</v>
      </c>
      <c r="C4997" s="788" t="s">
        <v>2410</v>
      </c>
    </row>
    <row r="4998" spans="1:7" ht="15" thickTop="1" thickBot="1">
      <c r="A4998" s="792" t="s">
        <v>2415</v>
      </c>
      <c r="B4998" s="791" t="s">
        <v>2393</v>
      </c>
      <c r="C4998" s="791" t="s">
        <v>2394</v>
      </c>
    </row>
    <row r="4999" spans="1:7" ht="15" thickTop="1" thickBot="1">
      <c r="A4999" s="792" t="s">
        <v>2416</v>
      </c>
      <c r="B4999" s="791" t="s">
        <v>2394</v>
      </c>
      <c r="C4999" s="791" t="s">
        <v>2417</v>
      </c>
    </row>
    <row r="5000" spans="1:7" ht="14.25" thickTop="1"/>
    <row r="5003" spans="1:7" ht="15.75">
      <c r="A5003" s="402" t="s">
        <v>106</v>
      </c>
      <c r="B5003" s="402" t="s">
        <v>52</v>
      </c>
      <c r="C5003" s="402" t="s">
        <v>1710</v>
      </c>
      <c r="D5003" s="90" t="s">
        <v>1186</v>
      </c>
      <c r="E5003" s="90" t="s">
        <v>1652</v>
      </c>
      <c r="F5003" s="90" t="s">
        <v>1653</v>
      </c>
      <c r="G5003" s="90" t="s">
        <v>1825</v>
      </c>
    </row>
    <row r="5004" spans="1:7" ht="15">
      <c r="A5004" s="24">
        <v>3705</v>
      </c>
      <c r="B5004" s="26">
        <v>25</v>
      </c>
      <c r="C5004" s="24" t="s">
        <v>537</v>
      </c>
      <c r="D5004" s="151">
        <v>30</v>
      </c>
      <c r="E5004" s="152">
        <v>2</v>
      </c>
      <c r="F5004" s="67">
        <f>D5004*E5004</f>
        <v>60</v>
      </c>
      <c r="G5004" s="46">
        <v>0.6</v>
      </c>
    </row>
    <row r="5005" spans="1:7" ht="15">
      <c r="A5005" s="24"/>
      <c r="B5005" s="138"/>
      <c r="C5005" s="44" t="s">
        <v>1993</v>
      </c>
      <c r="D5005" s="8"/>
      <c r="E5005" s="41"/>
      <c r="F5005" s="45">
        <v>1</v>
      </c>
      <c r="G5005" s="46">
        <v>12</v>
      </c>
    </row>
    <row r="5007" spans="1:7" ht="14.25">
      <c r="A5007" s="28" t="s">
        <v>2418</v>
      </c>
    </row>
    <row r="5008" spans="1:7" ht="15">
      <c r="A5008" s="714" t="s">
        <v>1603</v>
      </c>
      <c r="B5008" s="714" t="s">
        <v>2316</v>
      </c>
      <c r="C5008" s="715" t="s">
        <v>2887</v>
      </c>
      <c r="D5008" s="793" t="s">
        <v>5284</v>
      </c>
    </row>
    <row r="5009" spans="1:6" ht="14.25">
      <c r="A5009" s="726" t="s">
        <v>2419</v>
      </c>
      <c r="B5009" s="720" t="s">
        <v>2341</v>
      </c>
      <c r="C5009" s="794">
        <v>1.06</v>
      </c>
      <c r="D5009" s="794" t="s">
        <v>2420</v>
      </c>
    </row>
    <row r="5010" spans="1:6" ht="14.25">
      <c r="A5010" s="726" t="s">
        <v>1533</v>
      </c>
      <c r="B5010" s="720" t="s">
        <v>2341</v>
      </c>
      <c r="C5010" s="794">
        <v>3.58</v>
      </c>
      <c r="D5010" s="794" t="s">
        <v>2421</v>
      </c>
    </row>
    <row r="5012" spans="1:6" ht="14.25" thickBot="1">
      <c r="A5012" s="773" t="s">
        <v>2422</v>
      </c>
    </row>
    <row r="5013" spans="1:6" ht="14.25" thickBot="1">
      <c r="A5013" s="774" t="s">
        <v>2376</v>
      </c>
      <c r="B5013" s="775" t="s">
        <v>2395</v>
      </c>
      <c r="C5013" s="775" t="s">
        <v>2378</v>
      </c>
      <c r="D5013" s="775" t="s">
        <v>2379</v>
      </c>
    </row>
    <row r="5014" spans="1:6" ht="15.75" thickTop="1" thickBot="1">
      <c r="A5014" s="777" t="s">
        <v>2380</v>
      </c>
      <c r="B5014" s="780" t="s">
        <v>2396</v>
      </c>
      <c r="C5014" s="779" t="s">
        <v>2423</v>
      </c>
      <c r="D5014" s="779" t="s">
        <v>2404</v>
      </c>
    </row>
    <row r="5015" spans="1:6" ht="15" thickBot="1">
      <c r="A5015" s="777" t="s">
        <v>2384</v>
      </c>
      <c r="B5015" s="780" t="s">
        <v>2397</v>
      </c>
      <c r="C5015" s="795" t="s">
        <v>2386</v>
      </c>
      <c r="D5015" s="795" t="s">
        <v>2424</v>
      </c>
    </row>
    <row r="5016" spans="1:6" ht="15" thickBot="1">
      <c r="A5016" s="777" t="s">
        <v>2388</v>
      </c>
      <c r="B5016" s="780" t="s">
        <v>2398</v>
      </c>
      <c r="C5016" s="795" t="s">
        <v>2402</v>
      </c>
      <c r="D5016" s="795" t="s">
        <v>2405</v>
      </c>
    </row>
    <row r="5017" spans="1:6" ht="14.25" thickBot="1">
      <c r="A5017" s="2801" t="s">
        <v>2392</v>
      </c>
      <c r="B5017" s="2802"/>
      <c r="C5017" s="795" t="s">
        <v>2393</v>
      </c>
      <c r="D5017" s="795" t="s">
        <v>2394</v>
      </c>
    </row>
    <row r="5020" spans="1:6" ht="15.75">
      <c r="A5020" s="402" t="s">
        <v>106</v>
      </c>
      <c r="B5020" s="402" t="s">
        <v>1710</v>
      </c>
      <c r="C5020" s="90" t="s">
        <v>1186</v>
      </c>
      <c r="D5020" s="90" t="s">
        <v>1652</v>
      </c>
      <c r="E5020" s="90" t="s">
        <v>1653</v>
      </c>
      <c r="F5020" s="90" t="s">
        <v>1825</v>
      </c>
    </row>
    <row r="5021" spans="1:6" ht="15">
      <c r="A5021" s="24">
        <v>5613</v>
      </c>
      <c r="B5021" s="24" t="s">
        <v>1761</v>
      </c>
      <c r="C5021" s="151">
        <v>50</v>
      </c>
      <c r="D5021" s="152">
        <v>7</v>
      </c>
      <c r="E5021" s="67">
        <f>C5021*D5021</f>
        <v>350</v>
      </c>
      <c r="F5021" s="46">
        <v>0.56000000000000005</v>
      </c>
    </row>
    <row r="5022" spans="1:6" ht="15">
      <c r="A5022" s="24"/>
      <c r="B5022" s="44" t="s">
        <v>1993</v>
      </c>
      <c r="C5022" s="8"/>
      <c r="D5022" s="41"/>
      <c r="E5022" s="45">
        <v>1</v>
      </c>
      <c r="F5022" s="46">
        <v>12</v>
      </c>
    </row>
    <row r="5026" spans="1:6" ht="15.75">
      <c r="A5026" s="402" t="s">
        <v>106</v>
      </c>
      <c r="B5026" s="402" t="s">
        <v>1710</v>
      </c>
      <c r="C5026" s="90" t="s">
        <v>1186</v>
      </c>
      <c r="D5026" s="90" t="s">
        <v>1652</v>
      </c>
      <c r="E5026" s="90" t="s">
        <v>1653</v>
      </c>
      <c r="F5026" s="90" t="s">
        <v>1825</v>
      </c>
    </row>
    <row r="5027" spans="1:6" ht="15">
      <c r="A5027" s="24" t="s">
        <v>93</v>
      </c>
      <c r="B5027" s="44" t="s">
        <v>78</v>
      </c>
      <c r="C5027" s="8">
        <v>14</v>
      </c>
      <c r="D5027" s="41">
        <v>2</v>
      </c>
      <c r="E5027" s="67">
        <f>D5027*C5027</f>
        <v>28</v>
      </c>
      <c r="F5027" s="46">
        <v>1.06</v>
      </c>
    </row>
    <row r="5028" spans="1:6" ht="15">
      <c r="A5028" s="24" t="s">
        <v>1533</v>
      </c>
      <c r="B5028" s="44" t="s">
        <v>78</v>
      </c>
      <c r="C5028" s="8">
        <v>14</v>
      </c>
      <c r="D5028" s="41">
        <v>2</v>
      </c>
      <c r="E5028" s="67">
        <f>D5028*C5028</f>
        <v>28</v>
      </c>
      <c r="F5028" s="46">
        <v>3.58</v>
      </c>
    </row>
    <row r="5029" spans="1:6" ht="15">
      <c r="A5029" s="24" t="s">
        <v>1533</v>
      </c>
      <c r="B5029" s="44" t="s">
        <v>78</v>
      </c>
      <c r="C5029" s="8">
        <v>8</v>
      </c>
      <c r="D5029" s="41">
        <v>1</v>
      </c>
      <c r="E5029" s="67">
        <f>D5029*C5029</f>
        <v>8</v>
      </c>
      <c r="F5029" s="46">
        <v>3.58</v>
      </c>
    </row>
    <row r="5030" spans="1:6" ht="15">
      <c r="A5030" s="24"/>
      <c r="B5030" s="44" t="s">
        <v>1993</v>
      </c>
      <c r="C5030" s="8"/>
      <c r="D5030" s="41"/>
      <c r="E5030" s="45"/>
      <c r="F5030" s="46">
        <v>24</v>
      </c>
    </row>
    <row r="5034" spans="1:6" ht="15.75">
      <c r="A5034" s="402" t="s">
        <v>106</v>
      </c>
      <c r="B5034" s="402" t="s">
        <v>52</v>
      </c>
      <c r="C5034" s="402" t="s">
        <v>128</v>
      </c>
      <c r="D5034" s="402" t="s">
        <v>54</v>
      </c>
      <c r="E5034" s="90" t="s">
        <v>2020</v>
      </c>
      <c r="F5034" s="90" t="s">
        <v>2245</v>
      </c>
    </row>
    <row r="5035" spans="1:6" ht="15">
      <c r="A5035" s="62" t="s">
        <v>5285</v>
      </c>
      <c r="B5035" s="44">
        <v>9</v>
      </c>
      <c r="C5035" s="24" t="s">
        <v>2432</v>
      </c>
      <c r="D5035" s="261">
        <v>1140</v>
      </c>
      <c r="E5035" s="46">
        <v>1.43</v>
      </c>
      <c r="F5035" s="46">
        <f>E5035*D5035</f>
        <v>1630.1999999999998</v>
      </c>
    </row>
    <row r="5036" spans="1:6" ht="15">
      <c r="A5036" s="62" t="s">
        <v>5285</v>
      </c>
      <c r="B5036" s="44">
        <v>9</v>
      </c>
      <c r="C5036" s="24" t="s">
        <v>2433</v>
      </c>
      <c r="D5036" s="261">
        <v>370</v>
      </c>
      <c r="E5036" s="46">
        <v>1.43</v>
      </c>
      <c r="F5036" s="46">
        <f>E5036*D5036</f>
        <v>529.1</v>
      </c>
    </row>
    <row r="5037" spans="1:6" ht="15">
      <c r="A5037" s="62" t="s">
        <v>5285</v>
      </c>
      <c r="B5037" s="44">
        <v>9</v>
      </c>
      <c r="C5037" s="24" t="s">
        <v>2330</v>
      </c>
      <c r="D5037" s="261">
        <v>370</v>
      </c>
      <c r="E5037" s="46">
        <v>1.43</v>
      </c>
      <c r="F5037" s="46">
        <f>E5037*D5037</f>
        <v>529.1</v>
      </c>
    </row>
    <row r="5038" spans="1:6" ht="15">
      <c r="A5038" s="62" t="s">
        <v>5285</v>
      </c>
      <c r="B5038" s="44">
        <v>6</v>
      </c>
      <c r="C5038" s="24" t="s">
        <v>2327</v>
      </c>
      <c r="D5038" s="261">
        <v>200</v>
      </c>
      <c r="E5038" s="46">
        <v>1.23</v>
      </c>
      <c r="F5038" s="46">
        <f>E5038*D5038</f>
        <v>246</v>
      </c>
    </row>
    <row r="5039" spans="1:6" ht="15">
      <c r="A5039" s="24"/>
      <c r="B5039" s="138"/>
      <c r="C5039" s="44" t="s">
        <v>2014</v>
      </c>
      <c r="D5039" s="45">
        <v>4</v>
      </c>
      <c r="E5039" s="46">
        <v>140</v>
      </c>
      <c r="F5039" s="46">
        <f>E5039*D5039</f>
        <v>560</v>
      </c>
    </row>
    <row r="5040" spans="1:6" ht="15.75">
      <c r="A5040" s="24"/>
      <c r="B5040" s="138"/>
      <c r="C5040" s="44"/>
      <c r="D5040" s="45"/>
      <c r="E5040" s="282" t="s">
        <v>2438</v>
      </c>
      <c r="F5040" s="46">
        <f>SUM(F5035:F5039)</f>
        <v>3494.3999999999996</v>
      </c>
    </row>
    <row r="5042" spans="1:11" ht="16.5" thickBot="1">
      <c r="A5042" s="402"/>
      <c r="B5042" s="402" t="s">
        <v>52</v>
      </c>
      <c r="C5042" s="402" t="s">
        <v>128</v>
      </c>
      <c r="D5042" s="402" t="s">
        <v>54</v>
      </c>
      <c r="E5042" s="90" t="s">
        <v>1825</v>
      </c>
      <c r="F5042" s="90" t="s">
        <v>2442</v>
      </c>
      <c r="G5042" s="156" t="s">
        <v>2443</v>
      </c>
      <c r="H5042" s="156" t="s">
        <v>2444</v>
      </c>
    </row>
    <row r="5043" spans="1:11" ht="15">
      <c r="A5043" s="2803" t="s">
        <v>2439</v>
      </c>
      <c r="B5043" s="812" t="s">
        <v>1941</v>
      </c>
      <c r="C5043" s="813" t="s">
        <v>2373</v>
      </c>
      <c r="D5043" s="814">
        <v>5000</v>
      </c>
      <c r="E5043" s="815">
        <v>1.9</v>
      </c>
      <c r="F5043" s="816">
        <f t="shared" ref="F5043:F5048" si="12">E5043*D5043</f>
        <v>9500</v>
      </c>
      <c r="G5043" s="817">
        <v>103</v>
      </c>
      <c r="H5043" s="820">
        <f t="shared" ref="H5043:H5048" si="13">G5043*D5043</f>
        <v>515000</v>
      </c>
    </row>
    <row r="5044" spans="1:11" ht="15.75" thickBot="1">
      <c r="A5044" s="2804"/>
      <c r="B5044" s="806" t="s">
        <v>1941</v>
      </c>
      <c r="C5044" s="807" t="s">
        <v>129</v>
      </c>
      <c r="D5044" s="808">
        <v>7000</v>
      </c>
      <c r="E5044" s="809">
        <v>1.32</v>
      </c>
      <c r="F5044" s="810">
        <f t="shared" si="12"/>
        <v>9240</v>
      </c>
      <c r="G5044" s="811">
        <v>78</v>
      </c>
      <c r="H5044" s="821">
        <f t="shared" si="13"/>
        <v>546000</v>
      </c>
    </row>
    <row r="5045" spans="1:11" ht="15">
      <c r="A5045" s="2803" t="s">
        <v>2440</v>
      </c>
      <c r="B5045" s="812" t="s">
        <v>1941</v>
      </c>
      <c r="C5045" s="813" t="s">
        <v>2373</v>
      </c>
      <c r="D5045" s="814">
        <v>1870</v>
      </c>
      <c r="E5045" s="815">
        <v>1.9</v>
      </c>
      <c r="F5045" s="816">
        <f t="shared" si="12"/>
        <v>3553</v>
      </c>
      <c r="G5045" s="817">
        <v>103</v>
      </c>
      <c r="H5045" s="820">
        <f t="shared" si="13"/>
        <v>192610</v>
      </c>
    </row>
    <row r="5046" spans="1:11" ht="15.75" thickBot="1">
      <c r="A5046" s="2804"/>
      <c r="B5046" s="806" t="s">
        <v>1941</v>
      </c>
      <c r="C5046" s="807" t="s">
        <v>129</v>
      </c>
      <c r="D5046" s="808">
        <v>3950</v>
      </c>
      <c r="E5046" s="809">
        <v>1.32</v>
      </c>
      <c r="F5046" s="810">
        <f t="shared" si="12"/>
        <v>5214</v>
      </c>
      <c r="G5046" s="811">
        <v>78</v>
      </c>
      <c r="H5046" s="821">
        <f t="shared" si="13"/>
        <v>308100</v>
      </c>
    </row>
    <row r="5047" spans="1:11" ht="15.75">
      <c r="A5047" s="2803" t="s">
        <v>2441</v>
      </c>
      <c r="B5047" s="812" t="s">
        <v>1941</v>
      </c>
      <c r="C5047" s="813" t="s">
        <v>2373</v>
      </c>
      <c r="D5047" s="818">
        <f>D5043-D5045</f>
        <v>3130</v>
      </c>
      <c r="E5047" s="815">
        <v>1.9</v>
      </c>
      <c r="F5047" s="816">
        <f t="shared" si="12"/>
        <v>5947</v>
      </c>
      <c r="G5047" s="817">
        <v>103</v>
      </c>
      <c r="H5047" s="822">
        <f t="shared" si="13"/>
        <v>322390</v>
      </c>
    </row>
    <row r="5048" spans="1:11" ht="16.5" thickBot="1">
      <c r="A5048" s="2804"/>
      <c r="B5048" s="806" t="s">
        <v>1941</v>
      </c>
      <c r="C5048" s="807" t="s">
        <v>129</v>
      </c>
      <c r="D5048" s="819">
        <f>D5044-D5046</f>
        <v>3050</v>
      </c>
      <c r="E5048" s="809">
        <v>1.32</v>
      </c>
      <c r="F5048" s="810">
        <f t="shared" si="12"/>
        <v>4026</v>
      </c>
      <c r="G5048" s="811">
        <v>78</v>
      </c>
      <c r="H5048" s="823">
        <f t="shared" si="13"/>
        <v>237900</v>
      </c>
    </row>
    <row r="5050" spans="1:11" ht="15.75">
      <c r="A5050" s="402" t="s">
        <v>106</v>
      </c>
      <c r="B5050" s="402" t="s">
        <v>128</v>
      </c>
      <c r="C5050" s="402" t="s">
        <v>54</v>
      </c>
      <c r="D5050" s="402" t="s">
        <v>2448</v>
      </c>
      <c r="E5050" s="39"/>
      <c r="F5050" s="39"/>
      <c r="G5050" s="39"/>
      <c r="H5050" s="38"/>
      <c r="I5050" s="15"/>
      <c r="J5050" s="483"/>
      <c r="K5050" s="489"/>
    </row>
    <row r="5051" spans="1:11" ht="15.75">
      <c r="A5051" s="24" t="s">
        <v>2447</v>
      </c>
      <c r="B5051" s="24" t="s">
        <v>2400</v>
      </c>
      <c r="C5051" s="67">
        <v>30</v>
      </c>
      <c r="D5051" s="121" t="s">
        <v>2449</v>
      </c>
      <c r="E5051" s="46" t="e">
        <f>D5051*C5051</f>
        <v>#VALUE!</v>
      </c>
      <c r="F5051" s="162" t="s">
        <v>2219</v>
      </c>
      <c r="G5051" s="39"/>
      <c r="H5051" s="38"/>
      <c r="I5051" s="46">
        <v>4.45</v>
      </c>
      <c r="J5051" s="483">
        <v>4.45</v>
      </c>
      <c r="K5051" s="489">
        <v>320</v>
      </c>
    </row>
    <row r="5052" spans="1:11" ht="15">
      <c r="A5052" s="24"/>
      <c r="B5052" s="44" t="s">
        <v>1075</v>
      </c>
      <c r="C5052" s="45">
        <v>1</v>
      </c>
      <c r="D5052" s="207" t="s">
        <v>1824</v>
      </c>
      <c r="E5052" s="46" t="e">
        <f>D5052*C5052</f>
        <v>#VALUE!</v>
      </c>
      <c r="F5052" s="112"/>
      <c r="G5052" s="39"/>
      <c r="H5052" s="38"/>
      <c r="I5052" s="179"/>
      <c r="J5052" s="483">
        <v>12</v>
      </c>
      <c r="K5052" s="489">
        <v>1000</v>
      </c>
    </row>
    <row r="5056" spans="1:11" ht="15.75">
      <c r="A5056" s="402" t="s">
        <v>105</v>
      </c>
      <c r="B5056" s="402" t="s">
        <v>106</v>
      </c>
      <c r="C5056" s="402" t="s">
        <v>128</v>
      </c>
      <c r="D5056" s="90" t="s">
        <v>1186</v>
      </c>
      <c r="E5056" s="90" t="s">
        <v>1652</v>
      </c>
      <c r="F5056" s="90" t="s">
        <v>1653</v>
      </c>
      <c r="G5056" s="90" t="s">
        <v>1825</v>
      </c>
    </row>
    <row r="5057" spans="1:9" ht="15">
      <c r="A5057" s="33" t="s">
        <v>2450</v>
      </c>
      <c r="B5057" s="24" t="s">
        <v>1801</v>
      </c>
      <c r="C5057" s="44" t="s">
        <v>78</v>
      </c>
      <c r="D5057" s="8">
        <v>14</v>
      </c>
      <c r="E5057" s="41">
        <v>21</v>
      </c>
      <c r="F5057" s="67">
        <f>D5057*E5057</f>
        <v>294</v>
      </c>
      <c r="G5057" s="46">
        <v>1.6</v>
      </c>
    </row>
    <row r="5058" spans="1:9" ht="15">
      <c r="A5058" s="33" t="s">
        <v>2450</v>
      </c>
      <c r="B5058" s="24"/>
      <c r="C5058" s="44" t="s">
        <v>1993</v>
      </c>
      <c r="D5058" s="8"/>
      <c r="E5058" s="41"/>
      <c r="F5058" s="45">
        <v>1</v>
      </c>
      <c r="G5058" s="46">
        <v>12</v>
      </c>
    </row>
    <row r="5061" spans="1:9" ht="15.75">
      <c r="A5061" s="402" t="s">
        <v>106</v>
      </c>
      <c r="B5061" s="402" t="s">
        <v>52</v>
      </c>
      <c r="C5061" s="402" t="s">
        <v>1710</v>
      </c>
      <c r="D5061" s="90" t="s">
        <v>1186</v>
      </c>
      <c r="E5061" s="90" t="s">
        <v>1652</v>
      </c>
      <c r="F5061" s="90" t="s">
        <v>1653</v>
      </c>
    </row>
    <row r="5062" spans="1:9" ht="15">
      <c r="A5062" s="24" t="s">
        <v>2286</v>
      </c>
      <c r="B5062" s="44">
        <v>9</v>
      </c>
      <c r="C5062" s="24" t="s">
        <v>2456</v>
      </c>
      <c r="D5062" s="151">
        <v>10</v>
      </c>
      <c r="E5062" s="152">
        <v>15</v>
      </c>
      <c r="F5062" s="67">
        <f>D5062*E5062</f>
        <v>150</v>
      </c>
    </row>
    <row r="5063" spans="1:9" ht="15">
      <c r="A5063" s="24" t="s">
        <v>2286</v>
      </c>
      <c r="B5063" s="44">
        <v>9</v>
      </c>
      <c r="C5063" s="24" t="s">
        <v>2457</v>
      </c>
      <c r="D5063" s="151">
        <v>10</v>
      </c>
      <c r="E5063" s="152">
        <v>38</v>
      </c>
      <c r="F5063" s="67">
        <f>D5063*E5063</f>
        <v>380</v>
      </c>
    </row>
    <row r="5064" spans="1:9" ht="15">
      <c r="A5064" s="24" t="s">
        <v>2286</v>
      </c>
      <c r="B5064" s="44">
        <v>9</v>
      </c>
      <c r="C5064" s="24" t="s">
        <v>2458</v>
      </c>
      <c r="D5064" s="151">
        <v>10</v>
      </c>
      <c r="E5064" s="152">
        <v>16</v>
      </c>
      <c r="F5064" s="67">
        <f>D5064*E5064</f>
        <v>160</v>
      </c>
    </row>
    <row r="5067" spans="1:9" ht="15.75">
      <c r="A5067" s="402" t="s">
        <v>105</v>
      </c>
      <c r="B5067" s="402" t="s">
        <v>106</v>
      </c>
      <c r="C5067" s="402" t="s">
        <v>52</v>
      </c>
      <c r="D5067" s="402" t="s">
        <v>1710</v>
      </c>
      <c r="E5067" s="90" t="s">
        <v>1186</v>
      </c>
      <c r="F5067" s="90" t="s">
        <v>1652</v>
      </c>
      <c r="G5067" s="90" t="s">
        <v>1653</v>
      </c>
      <c r="H5067" s="90" t="s">
        <v>1825</v>
      </c>
    </row>
    <row r="5068" spans="1:9" ht="15">
      <c r="A5068" s="33" t="s">
        <v>2452</v>
      </c>
      <c r="B5068" s="24" t="s">
        <v>2286</v>
      </c>
      <c r="C5068" s="44">
        <v>6</v>
      </c>
      <c r="D5068" s="24" t="s">
        <v>2326</v>
      </c>
      <c r="E5068" s="151">
        <v>10</v>
      </c>
      <c r="F5068" s="152">
        <v>4</v>
      </c>
      <c r="G5068" s="67">
        <f>E5068*F5068</f>
        <v>40</v>
      </c>
      <c r="H5068" s="46">
        <v>2.1800000000000002</v>
      </c>
    </row>
    <row r="5069" spans="1:9" ht="15">
      <c r="A5069" s="33" t="s">
        <v>2452</v>
      </c>
      <c r="B5069" s="24"/>
      <c r="C5069" s="138"/>
      <c r="D5069" s="44" t="s">
        <v>1993</v>
      </c>
      <c r="E5069" s="8"/>
      <c r="F5069" s="41"/>
      <c r="G5069" s="45">
        <v>1</v>
      </c>
      <c r="H5069" s="46">
        <v>12</v>
      </c>
    </row>
    <row r="5071" spans="1:9" ht="15.75">
      <c r="A5071" s="402" t="s">
        <v>105</v>
      </c>
      <c r="B5071" s="402" t="s">
        <v>106</v>
      </c>
      <c r="C5071" s="402" t="s">
        <v>52</v>
      </c>
      <c r="D5071" s="402" t="s">
        <v>1710</v>
      </c>
      <c r="E5071" s="90" t="s">
        <v>1186</v>
      </c>
      <c r="F5071" s="90" t="s">
        <v>1652</v>
      </c>
      <c r="G5071" s="90" t="s">
        <v>1653</v>
      </c>
      <c r="H5071" s="90" t="s">
        <v>1825</v>
      </c>
      <c r="I5071" s="90" t="s">
        <v>2459</v>
      </c>
    </row>
    <row r="5072" spans="1:9" ht="15.75">
      <c r="A5072" s="33" t="s">
        <v>2455</v>
      </c>
      <c r="B5072" s="24" t="s">
        <v>2286</v>
      </c>
      <c r="C5072" s="44">
        <v>9</v>
      </c>
      <c r="D5072" s="24" t="s">
        <v>2456</v>
      </c>
      <c r="E5072" s="151">
        <v>10</v>
      </c>
      <c r="F5072" s="152">
        <v>15</v>
      </c>
      <c r="G5072" s="67">
        <f>E5072*F5072</f>
        <v>150</v>
      </c>
      <c r="H5072" s="46">
        <v>2.64</v>
      </c>
      <c r="I5072" s="90" t="s">
        <v>2460</v>
      </c>
    </row>
    <row r="5073" spans="1:12" ht="15.75">
      <c r="A5073" s="33" t="s">
        <v>2455</v>
      </c>
      <c r="B5073" s="24" t="s">
        <v>2286</v>
      </c>
      <c r="C5073" s="44">
        <v>9</v>
      </c>
      <c r="D5073" s="24" t="s">
        <v>2457</v>
      </c>
      <c r="E5073" s="151">
        <v>10</v>
      </c>
      <c r="F5073" s="152">
        <v>38</v>
      </c>
      <c r="G5073" s="67">
        <f>E5073*F5073</f>
        <v>380</v>
      </c>
      <c r="H5073" s="46">
        <v>2.64</v>
      </c>
      <c r="I5073" s="90" t="s">
        <v>2461</v>
      </c>
    </row>
    <row r="5074" spans="1:12" ht="15.75">
      <c r="A5074" s="33" t="s">
        <v>2455</v>
      </c>
      <c r="B5074" s="24" t="s">
        <v>2286</v>
      </c>
      <c r="C5074" s="44">
        <v>9</v>
      </c>
      <c r="D5074" s="24" t="s">
        <v>2458</v>
      </c>
      <c r="E5074" s="151">
        <v>10</v>
      </c>
      <c r="F5074" s="152">
        <v>16</v>
      </c>
      <c r="G5074" s="67">
        <f>E5074*F5074</f>
        <v>160</v>
      </c>
      <c r="H5074" s="46">
        <v>2.64</v>
      </c>
      <c r="I5074" s="90" t="s">
        <v>2462</v>
      </c>
    </row>
    <row r="5075" spans="1:12" ht="15.75">
      <c r="A5075" s="33" t="s">
        <v>2455</v>
      </c>
      <c r="B5075" s="24"/>
      <c r="C5075" s="138"/>
      <c r="D5075" s="44" t="s">
        <v>1993</v>
      </c>
      <c r="E5075" s="8"/>
      <c r="F5075" s="41"/>
      <c r="G5075" s="45">
        <v>1</v>
      </c>
      <c r="H5075" s="46">
        <v>12</v>
      </c>
      <c r="I5075" s="90"/>
    </row>
    <row r="5078" spans="1:12" s="825" customFormat="1" ht="13.5" customHeight="1">
      <c r="A5078" s="2805" t="s">
        <v>2463</v>
      </c>
      <c r="B5078" s="2809" t="s">
        <v>1400</v>
      </c>
      <c r="C5078" s="2799" t="s">
        <v>2464</v>
      </c>
      <c r="D5078" s="2799"/>
      <c r="E5078" s="2807" t="s">
        <v>2465</v>
      </c>
      <c r="F5078" s="2794" t="s">
        <v>1401</v>
      </c>
      <c r="G5078" s="2799" t="s">
        <v>1181</v>
      </c>
      <c r="H5078" s="2794" t="s">
        <v>2466</v>
      </c>
      <c r="I5078" s="2799" t="s">
        <v>1752</v>
      </c>
      <c r="J5078" s="2800" t="s">
        <v>2467</v>
      </c>
      <c r="K5078" s="2784" t="s">
        <v>1403</v>
      </c>
      <c r="L5078" s="363"/>
    </row>
    <row r="5079" spans="1:12" s="825" customFormat="1" ht="13.5" customHeight="1">
      <c r="A5079" s="2806"/>
      <c r="B5079" s="2809"/>
      <c r="C5079" s="2799"/>
      <c r="D5079" s="2799"/>
      <c r="E5079" s="2808"/>
      <c r="F5079" s="2794"/>
      <c r="G5079" s="2799"/>
      <c r="H5079" s="2794"/>
      <c r="I5079" s="2799"/>
      <c r="J5079" s="2800"/>
      <c r="K5079" s="2785"/>
      <c r="L5079" s="364"/>
    </row>
    <row r="5080" spans="1:12" s="825" customFormat="1" ht="13.5" customHeight="1">
      <c r="A5080" s="824" t="s">
        <v>2468</v>
      </c>
      <c r="B5080" s="2786" t="s">
        <v>2469</v>
      </c>
      <c r="C5080" s="2787" t="s">
        <v>2470</v>
      </c>
      <c r="D5080" s="2788"/>
      <c r="E5080" s="2789">
        <v>8</v>
      </c>
      <c r="F5080" s="2791" t="s">
        <v>2471</v>
      </c>
      <c r="G5080" s="824" t="s">
        <v>1405</v>
      </c>
      <c r="H5080" s="2791">
        <v>8</v>
      </c>
      <c r="I5080" s="2795" t="s">
        <v>2472</v>
      </c>
      <c r="J5080" s="2797">
        <v>61.12</v>
      </c>
      <c r="L5080" s="365"/>
    </row>
    <row r="5081" spans="1:12" s="825" customFormat="1" ht="13.5" customHeight="1">
      <c r="A5081" s="826" t="s">
        <v>2473</v>
      </c>
      <c r="B5081" s="2786"/>
      <c r="C5081" s="2792" t="s">
        <v>2474</v>
      </c>
      <c r="D5081" s="2793"/>
      <c r="E5081" s="2790"/>
      <c r="F5081" s="2791"/>
      <c r="G5081" s="826">
        <v>0</v>
      </c>
      <c r="H5081" s="2791"/>
      <c r="I5081" s="2796"/>
      <c r="J5081" s="2798"/>
      <c r="K5081" s="365"/>
      <c r="L5081" s="365"/>
    </row>
    <row r="5082" spans="1:12" s="825" customFormat="1" ht="13.5" customHeight="1">
      <c r="A5082" s="824" t="s">
        <v>2475</v>
      </c>
      <c r="B5082" s="2786" t="s">
        <v>2489</v>
      </c>
      <c r="C5082" s="2787" t="s">
        <v>2490</v>
      </c>
      <c r="D5082" s="2788"/>
      <c r="E5082" s="2789">
        <v>14</v>
      </c>
      <c r="F5082" s="2791" t="s">
        <v>2491</v>
      </c>
      <c r="G5082" s="824" t="s">
        <v>1405</v>
      </c>
      <c r="H5082" s="2791">
        <v>8</v>
      </c>
      <c r="I5082" s="2795" t="s">
        <v>2472</v>
      </c>
      <c r="J5082" s="2797">
        <v>22.23</v>
      </c>
      <c r="K5082" s="365"/>
      <c r="L5082" s="365"/>
    </row>
    <row r="5083" spans="1:12" s="825" customFormat="1" ht="13.5" customHeight="1">
      <c r="A5083" s="826" t="s">
        <v>2478</v>
      </c>
      <c r="B5083" s="2786"/>
      <c r="C5083" s="2792" t="s">
        <v>2492</v>
      </c>
      <c r="D5083" s="2793"/>
      <c r="E5083" s="2790"/>
      <c r="F5083" s="2791"/>
      <c r="G5083" s="826">
        <v>0</v>
      </c>
      <c r="H5083" s="2791"/>
      <c r="I5083" s="2796"/>
      <c r="J5083" s="2798"/>
      <c r="K5083" s="365"/>
      <c r="L5083" s="365"/>
    </row>
    <row r="5084" spans="1:12" s="825" customFormat="1" ht="13.5" customHeight="1">
      <c r="A5084" s="824" t="s">
        <v>2475</v>
      </c>
      <c r="B5084" s="2786" t="s">
        <v>22</v>
      </c>
      <c r="C5084" s="2787" t="s">
        <v>2476</v>
      </c>
      <c r="D5084" s="2788"/>
      <c r="E5084" s="2789">
        <v>20</v>
      </c>
      <c r="F5084" s="2791" t="s">
        <v>2477</v>
      </c>
      <c r="G5084" s="824" t="s">
        <v>1405</v>
      </c>
      <c r="H5084" s="2791">
        <v>24</v>
      </c>
      <c r="I5084" s="2868"/>
      <c r="J5084" s="2797">
        <v>4.45</v>
      </c>
      <c r="K5084" s="365"/>
      <c r="L5084" s="365"/>
    </row>
    <row r="5085" spans="1:12" s="825" customFormat="1" ht="13.5" customHeight="1">
      <c r="A5085" s="826" t="s">
        <v>2478</v>
      </c>
      <c r="B5085" s="2786"/>
      <c r="C5085" s="2792" t="s">
        <v>2479</v>
      </c>
      <c r="D5085" s="2793"/>
      <c r="E5085" s="2790"/>
      <c r="F5085" s="2791"/>
      <c r="G5085" s="826">
        <v>0</v>
      </c>
      <c r="H5085" s="2791"/>
      <c r="I5085" s="2868"/>
      <c r="J5085" s="2798"/>
      <c r="K5085" s="365"/>
      <c r="L5085" s="365"/>
    </row>
    <row r="5086" spans="1:12" s="825" customFormat="1" ht="13.5" customHeight="1">
      <c r="A5086" s="824" t="s">
        <v>2475</v>
      </c>
      <c r="B5086" s="2786" t="s">
        <v>2480</v>
      </c>
      <c r="C5086" s="2787" t="s">
        <v>2481</v>
      </c>
      <c r="D5086" s="2788"/>
      <c r="E5086" s="2789">
        <v>193</v>
      </c>
      <c r="F5086" s="2791" t="s">
        <v>2482</v>
      </c>
      <c r="G5086" s="824" t="s">
        <v>1405</v>
      </c>
      <c r="H5086" s="2791">
        <v>26</v>
      </c>
      <c r="I5086" s="2868"/>
      <c r="J5086" s="2797">
        <v>3.34</v>
      </c>
      <c r="K5086" s="365"/>
      <c r="L5086" s="365"/>
    </row>
    <row r="5087" spans="1:12" s="825" customFormat="1" ht="13.5" customHeight="1">
      <c r="A5087" s="826" t="s">
        <v>2478</v>
      </c>
      <c r="B5087" s="2786"/>
      <c r="C5087" s="2792" t="s">
        <v>2483</v>
      </c>
      <c r="D5087" s="2793"/>
      <c r="E5087" s="2790"/>
      <c r="F5087" s="2791"/>
      <c r="G5087" s="826">
        <v>0</v>
      </c>
      <c r="H5087" s="2791"/>
      <c r="I5087" s="2868"/>
      <c r="J5087" s="2798"/>
      <c r="K5087" s="365"/>
      <c r="L5087" s="365"/>
    </row>
    <row r="5088" spans="1:12" s="825" customFormat="1" ht="13.5" customHeight="1">
      <c r="A5088" s="824" t="s">
        <v>2475</v>
      </c>
      <c r="B5088" s="2786" t="s">
        <v>2484</v>
      </c>
      <c r="C5088" s="2787" t="s">
        <v>2485</v>
      </c>
      <c r="D5088" s="2788"/>
      <c r="E5088" s="2789">
        <v>26</v>
      </c>
      <c r="F5088" s="2791" t="s">
        <v>1923</v>
      </c>
      <c r="G5088" s="824" t="s">
        <v>1405</v>
      </c>
      <c r="H5088" s="2791">
        <v>45</v>
      </c>
      <c r="I5088" s="2868"/>
      <c r="J5088" s="2797">
        <v>7.2299999999999995</v>
      </c>
      <c r="K5088" s="365"/>
      <c r="L5088" s="365"/>
    </row>
    <row r="5089" spans="1:12" s="825" customFormat="1" ht="13.5" customHeight="1">
      <c r="A5089" s="826" t="s">
        <v>2478</v>
      </c>
      <c r="B5089" s="2786"/>
      <c r="C5089" s="2792" t="s">
        <v>2486</v>
      </c>
      <c r="D5089" s="2793"/>
      <c r="E5089" s="2790"/>
      <c r="F5089" s="2791"/>
      <c r="G5089" s="826">
        <v>0</v>
      </c>
      <c r="H5089" s="2791"/>
      <c r="I5089" s="2868"/>
      <c r="J5089" s="2798"/>
      <c r="K5089" s="365"/>
      <c r="L5089" s="365"/>
    </row>
    <row r="5090" spans="1:12" s="825" customFormat="1" ht="13.5" customHeight="1">
      <c r="A5090" s="824" t="s">
        <v>2475</v>
      </c>
      <c r="B5090" s="2786" t="s">
        <v>731</v>
      </c>
      <c r="C5090" s="2787" t="s">
        <v>2487</v>
      </c>
      <c r="D5090" s="2788"/>
      <c r="E5090" s="2789">
        <v>12</v>
      </c>
      <c r="F5090" s="2791" t="s">
        <v>2482</v>
      </c>
      <c r="G5090" s="824" t="s">
        <v>1405</v>
      </c>
      <c r="H5090" s="2791">
        <v>40</v>
      </c>
      <c r="I5090" s="2868"/>
      <c r="J5090" s="2797">
        <v>9.31</v>
      </c>
      <c r="K5090" s="366"/>
      <c r="L5090" s="366"/>
    </row>
    <row r="5091" spans="1:12" s="825" customFormat="1" ht="13.5" customHeight="1">
      <c r="A5091" s="826" t="s">
        <v>2478</v>
      </c>
      <c r="B5091" s="2786"/>
      <c r="C5091" s="2792" t="s">
        <v>2488</v>
      </c>
      <c r="D5091" s="2793"/>
      <c r="E5091" s="2790"/>
      <c r="F5091" s="2791"/>
      <c r="G5091" s="826">
        <v>0</v>
      </c>
      <c r="H5091" s="2791"/>
      <c r="I5091" s="2868"/>
      <c r="J5091" s="2798"/>
      <c r="K5091" s="827"/>
      <c r="L5091" s="827"/>
    </row>
    <row r="5092" spans="1:12" s="825" customFormat="1" ht="13.5" customHeight="1">
      <c r="A5092" s="824" t="s">
        <v>2493</v>
      </c>
      <c r="B5092" s="2786" t="s">
        <v>738</v>
      </c>
      <c r="C5092" s="2787" t="s">
        <v>2494</v>
      </c>
      <c r="D5092" s="2788"/>
      <c r="E5092" s="2789">
        <v>66</v>
      </c>
      <c r="F5092" s="2791" t="s">
        <v>2495</v>
      </c>
      <c r="G5092" s="824" t="s">
        <v>2496</v>
      </c>
      <c r="H5092" s="2791">
        <v>20</v>
      </c>
      <c r="I5092" s="2868"/>
      <c r="J5092" s="2797">
        <v>4.17</v>
      </c>
      <c r="K5092" s="828" t="s">
        <v>5286</v>
      </c>
      <c r="L5092" s="365"/>
    </row>
    <row r="5093" spans="1:12" s="825" customFormat="1" ht="13.5" customHeight="1">
      <c r="A5093" s="826" t="s">
        <v>2497</v>
      </c>
      <c r="B5093" s="2786"/>
      <c r="C5093" s="2792" t="s">
        <v>2498</v>
      </c>
      <c r="D5093" s="2793"/>
      <c r="E5093" s="2790"/>
      <c r="F5093" s="2791"/>
      <c r="G5093" s="826">
        <v>0</v>
      </c>
      <c r="H5093" s="2791"/>
      <c r="I5093" s="2868"/>
      <c r="J5093" s="2798"/>
      <c r="K5093" s="365"/>
      <c r="L5093" s="365"/>
    </row>
    <row r="5094" spans="1:12" s="825" customFormat="1" ht="13.5" customHeight="1">
      <c r="A5094" s="824" t="s">
        <v>2499</v>
      </c>
      <c r="B5094" s="2786" t="s">
        <v>536</v>
      </c>
      <c r="C5094" s="2787" t="s">
        <v>2500</v>
      </c>
      <c r="D5094" s="2788"/>
      <c r="E5094" s="2789">
        <v>69</v>
      </c>
      <c r="F5094" s="2791" t="s">
        <v>2501</v>
      </c>
      <c r="G5094" s="824" t="s">
        <v>2496</v>
      </c>
      <c r="H5094" s="2791">
        <v>23</v>
      </c>
      <c r="I5094" s="2795" t="s">
        <v>2502</v>
      </c>
      <c r="J5094" s="2797">
        <v>4.45</v>
      </c>
      <c r="K5094" s="828" t="s">
        <v>5286</v>
      </c>
      <c r="L5094" s="365"/>
    </row>
    <row r="5095" spans="1:12" s="825" customFormat="1" ht="13.5" customHeight="1">
      <c r="A5095" s="826" t="s">
        <v>2503</v>
      </c>
      <c r="B5095" s="2786"/>
      <c r="C5095" s="2792" t="s">
        <v>2504</v>
      </c>
      <c r="D5095" s="2793"/>
      <c r="E5095" s="2790"/>
      <c r="F5095" s="2791"/>
      <c r="G5095" s="826">
        <v>0</v>
      </c>
      <c r="H5095" s="2791"/>
      <c r="I5095" s="2796"/>
      <c r="J5095" s="2798"/>
      <c r="K5095" s="829" t="s">
        <v>5287</v>
      </c>
      <c r="L5095" s="365"/>
    </row>
    <row r="5096" spans="1:12" s="825" customFormat="1" ht="13.5" customHeight="1">
      <c r="A5096" s="824" t="s">
        <v>2499</v>
      </c>
      <c r="B5096" s="2786" t="s">
        <v>80</v>
      </c>
      <c r="C5096" s="2787" t="s">
        <v>2505</v>
      </c>
      <c r="D5096" s="2788"/>
      <c r="E5096" s="2789">
        <v>21</v>
      </c>
      <c r="F5096" s="2791" t="s">
        <v>2501</v>
      </c>
      <c r="G5096" s="824" t="s">
        <v>1405</v>
      </c>
      <c r="H5096" s="2791">
        <v>24</v>
      </c>
      <c r="I5096" s="2795" t="s">
        <v>2506</v>
      </c>
      <c r="J5096" s="2797">
        <v>4.87</v>
      </c>
      <c r="K5096" s="828" t="s">
        <v>5286</v>
      </c>
      <c r="L5096" s="365"/>
    </row>
    <row r="5097" spans="1:12" s="825" customFormat="1" ht="13.5" customHeight="1">
      <c r="A5097" s="826" t="s">
        <v>2503</v>
      </c>
      <c r="B5097" s="2786"/>
      <c r="C5097" s="2792" t="s">
        <v>2507</v>
      </c>
      <c r="D5097" s="2793"/>
      <c r="E5097" s="2790"/>
      <c r="F5097" s="2791"/>
      <c r="G5097" s="826">
        <v>0</v>
      </c>
      <c r="H5097" s="2791"/>
      <c r="I5097" s="2796"/>
      <c r="J5097" s="2798"/>
      <c r="K5097" s="827"/>
      <c r="L5097" s="365"/>
    </row>
    <row r="5098" spans="1:12" s="825" customFormat="1" ht="13.5" customHeight="1">
      <c r="A5098" s="824" t="s">
        <v>2499</v>
      </c>
      <c r="B5098" s="2786" t="s">
        <v>736</v>
      </c>
      <c r="C5098" s="2787" t="s">
        <v>2508</v>
      </c>
      <c r="D5098" s="2788"/>
      <c r="E5098" s="2789">
        <v>12</v>
      </c>
      <c r="F5098" s="2791" t="s">
        <v>2509</v>
      </c>
      <c r="G5098" s="824" t="s">
        <v>2496</v>
      </c>
      <c r="H5098" s="2791">
        <v>16</v>
      </c>
      <c r="I5098" s="2795" t="s">
        <v>2506</v>
      </c>
      <c r="J5098" s="2797">
        <v>4.17</v>
      </c>
      <c r="K5098" s="828" t="s">
        <v>5286</v>
      </c>
      <c r="L5098" s="366"/>
    </row>
    <row r="5099" spans="1:12" s="825" customFormat="1" ht="13.5" customHeight="1">
      <c r="A5099" s="826" t="s">
        <v>2503</v>
      </c>
      <c r="B5099" s="2786"/>
      <c r="C5099" s="2792" t="s">
        <v>2510</v>
      </c>
      <c r="D5099" s="2793"/>
      <c r="E5099" s="2790"/>
      <c r="F5099" s="2791"/>
      <c r="G5099" s="826">
        <v>0</v>
      </c>
      <c r="H5099" s="2791"/>
      <c r="I5099" s="2796"/>
      <c r="J5099" s="2798"/>
      <c r="K5099" s="365"/>
      <c r="L5099" s="827"/>
    </row>
    <row r="5100" spans="1:12" s="825" customFormat="1" ht="13.5" customHeight="1">
      <c r="A5100" s="824" t="s">
        <v>2511</v>
      </c>
      <c r="B5100" s="2786" t="s">
        <v>2512</v>
      </c>
      <c r="C5100" s="2787" t="s">
        <v>2513</v>
      </c>
      <c r="D5100" s="2788"/>
      <c r="E5100" s="2789">
        <v>24</v>
      </c>
      <c r="F5100" s="2791" t="s">
        <v>2514</v>
      </c>
      <c r="G5100" s="824" t="s">
        <v>1405</v>
      </c>
      <c r="H5100" s="2791">
        <v>150</v>
      </c>
      <c r="I5100" s="2868"/>
      <c r="J5100" s="2797">
        <v>12.23</v>
      </c>
      <c r="K5100" s="366"/>
      <c r="L5100" s="365"/>
    </row>
    <row r="5101" spans="1:12" s="825" customFormat="1" ht="13.5" customHeight="1">
      <c r="A5101" s="826" t="s">
        <v>2515</v>
      </c>
      <c r="B5101" s="2786"/>
      <c r="C5101" s="2792" t="s">
        <v>2516</v>
      </c>
      <c r="D5101" s="2793"/>
      <c r="E5101" s="2790"/>
      <c r="F5101" s="2791"/>
      <c r="G5101" s="826">
        <v>0</v>
      </c>
      <c r="H5101" s="2791"/>
      <c r="I5101" s="2868"/>
      <c r="J5101" s="2798"/>
      <c r="K5101" s="827"/>
      <c r="L5101" s="365"/>
    </row>
    <row r="5102" spans="1:12" s="825" customFormat="1" ht="13.5" customHeight="1">
      <c r="A5102" s="824" t="s">
        <v>2511</v>
      </c>
      <c r="B5102" s="2786" t="s">
        <v>1253</v>
      </c>
      <c r="C5102" s="2787" t="s">
        <v>2517</v>
      </c>
      <c r="D5102" s="2788"/>
      <c r="E5102" s="2789">
        <v>15</v>
      </c>
      <c r="F5102" s="2791" t="s">
        <v>1407</v>
      </c>
      <c r="G5102" s="824" t="s">
        <v>1405</v>
      </c>
      <c r="H5102" s="2791">
        <v>173</v>
      </c>
      <c r="I5102" s="2868"/>
      <c r="J5102" s="2797">
        <v>9.0299999999999994</v>
      </c>
      <c r="K5102" s="366"/>
      <c r="L5102" s="365"/>
    </row>
    <row r="5103" spans="1:12" s="825" customFormat="1" ht="13.5" customHeight="1">
      <c r="A5103" s="826" t="s">
        <v>2515</v>
      </c>
      <c r="B5103" s="2786"/>
      <c r="C5103" s="2792" t="s">
        <v>2518</v>
      </c>
      <c r="D5103" s="2793"/>
      <c r="E5103" s="2790"/>
      <c r="F5103" s="2791"/>
      <c r="G5103" s="826">
        <v>0</v>
      </c>
      <c r="H5103" s="2791"/>
      <c r="I5103" s="2868"/>
      <c r="J5103" s="2798"/>
      <c r="K5103" s="827"/>
      <c r="L5103" s="365"/>
    </row>
    <row r="5104" spans="1:12" s="825" customFormat="1" ht="13.5" customHeight="1">
      <c r="A5104" s="824" t="s">
        <v>2519</v>
      </c>
      <c r="B5104" s="2786" t="s">
        <v>2520</v>
      </c>
      <c r="C5104" s="2787" t="s">
        <v>2521</v>
      </c>
      <c r="D5104" s="2788"/>
      <c r="E5104" s="2789">
        <v>40</v>
      </c>
      <c r="F5104" s="2791" t="s">
        <v>1407</v>
      </c>
      <c r="G5104" s="824" t="s">
        <v>1405</v>
      </c>
      <c r="H5104" s="2791">
        <v>53</v>
      </c>
      <c r="I5104" s="2868"/>
      <c r="J5104" s="2797">
        <v>5.7</v>
      </c>
      <c r="K5104" s="366"/>
      <c r="L5104" s="365"/>
    </row>
    <row r="5105" spans="1:12" s="825" customFormat="1" ht="13.5" customHeight="1">
      <c r="A5105" s="826" t="s">
        <v>2522</v>
      </c>
      <c r="B5105" s="2786"/>
      <c r="C5105" s="2792" t="s">
        <v>2523</v>
      </c>
      <c r="D5105" s="2793"/>
      <c r="E5105" s="2790"/>
      <c r="F5105" s="2791"/>
      <c r="G5105" s="826">
        <v>0</v>
      </c>
      <c r="H5105" s="2791"/>
      <c r="I5105" s="2868"/>
      <c r="J5105" s="2798"/>
      <c r="K5105" s="827"/>
      <c r="L5105" s="365"/>
    </row>
    <row r="5106" spans="1:12" s="825" customFormat="1" ht="13.5" customHeight="1">
      <c r="A5106" s="824" t="s">
        <v>2524</v>
      </c>
      <c r="B5106" s="2786" t="s">
        <v>2525</v>
      </c>
      <c r="C5106" s="2787" t="s">
        <v>2526</v>
      </c>
      <c r="D5106" s="2788"/>
      <c r="E5106" s="2789">
        <v>27</v>
      </c>
      <c r="F5106" s="2791" t="s">
        <v>2527</v>
      </c>
      <c r="G5106" s="824" t="s">
        <v>1405</v>
      </c>
      <c r="H5106" s="2791">
        <v>49</v>
      </c>
      <c r="I5106" s="2868"/>
      <c r="J5106" s="2797">
        <v>10</v>
      </c>
      <c r="K5106" s="366"/>
      <c r="L5106" s="365"/>
    </row>
    <row r="5107" spans="1:12" s="825" customFormat="1" ht="13.5" customHeight="1">
      <c r="A5107" s="826" t="s">
        <v>2528</v>
      </c>
      <c r="B5107" s="2786"/>
      <c r="C5107" s="2792" t="s">
        <v>2529</v>
      </c>
      <c r="D5107" s="2793"/>
      <c r="E5107" s="2790"/>
      <c r="F5107" s="2791"/>
      <c r="G5107" s="826">
        <v>0</v>
      </c>
      <c r="H5107" s="2791"/>
      <c r="I5107" s="2868"/>
      <c r="J5107" s="2798"/>
      <c r="K5107" s="827"/>
      <c r="L5107" s="365"/>
    </row>
    <row r="5108" spans="1:12" s="825" customFormat="1" ht="13.5" customHeight="1">
      <c r="A5108" s="824" t="s">
        <v>2530</v>
      </c>
      <c r="B5108" s="2786" t="s">
        <v>793</v>
      </c>
      <c r="C5108" s="2787" t="s">
        <v>2531</v>
      </c>
      <c r="D5108" s="2788"/>
      <c r="E5108" s="2789">
        <v>24</v>
      </c>
      <c r="F5108" s="2791" t="s">
        <v>2532</v>
      </c>
      <c r="G5108" s="824" t="s">
        <v>1405</v>
      </c>
      <c r="H5108" s="2791">
        <v>100</v>
      </c>
      <c r="I5108" s="2868"/>
      <c r="J5108" s="2797">
        <v>9.31</v>
      </c>
      <c r="K5108" s="366"/>
      <c r="L5108" s="365"/>
    </row>
    <row r="5109" spans="1:12" s="825" customFormat="1" ht="13.5" customHeight="1">
      <c r="A5109" s="826" t="s">
        <v>2533</v>
      </c>
      <c r="B5109" s="2786"/>
      <c r="C5109" s="2792" t="s">
        <v>2534</v>
      </c>
      <c r="D5109" s="2793"/>
      <c r="E5109" s="2790"/>
      <c r="F5109" s="2791"/>
      <c r="G5109" s="826">
        <v>0</v>
      </c>
      <c r="H5109" s="2791"/>
      <c r="I5109" s="2868"/>
      <c r="J5109" s="2798"/>
      <c r="K5109" s="827"/>
      <c r="L5109" s="365"/>
    </row>
    <row r="5110" spans="1:12" s="825" customFormat="1" ht="13.5" customHeight="1">
      <c r="A5110" s="824" t="s">
        <v>2535</v>
      </c>
      <c r="B5110" s="2786" t="s">
        <v>743</v>
      </c>
      <c r="C5110" s="2787" t="s">
        <v>2536</v>
      </c>
      <c r="D5110" s="2788"/>
      <c r="E5110" s="2789" t="s">
        <v>2690</v>
      </c>
      <c r="F5110" s="2791" t="s">
        <v>1404</v>
      </c>
      <c r="G5110" s="824" t="s">
        <v>1405</v>
      </c>
      <c r="H5110" s="2791">
        <v>220</v>
      </c>
      <c r="I5110" s="2868"/>
      <c r="J5110" s="2797">
        <v>13.62</v>
      </c>
      <c r="K5110" s="365"/>
      <c r="L5110" s="366"/>
    </row>
    <row r="5111" spans="1:12" s="825" customFormat="1" ht="13.5" customHeight="1">
      <c r="A5111" s="826" t="s">
        <v>2537</v>
      </c>
      <c r="B5111" s="2786"/>
      <c r="C5111" s="2792" t="s">
        <v>2538</v>
      </c>
      <c r="D5111" s="2793"/>
      <c r="E5111" s="2790"/>
      <c r="F5111" s="2791"/>
      <c r="G5111" s="826">
        <v>0</v>
      </c>
      <c r="H5111" s="2791"/>
      <c r="I5111" s="2868"/>
      <c r="J5111" s="2798"/>
      <c r="K5111" s="365"/>
      <c r="L5111" s="827"/>
    </row>
    <row r="5112" spans="1:12" s="825" customFormat="1" ht="13.5" customHeight="1">
      <c r="A5112" s="824" t="s">
        <v>2535</v>
      </c>
      <c r="B5112" s="2786" t="s">
        <v>797</v>
      </c>
      <c r="C5112" s="2787" t="s">
        <v>2539</v>
      </c>
      <c r="D5112" s="2788"/>
      <c r="E5112" s="2789">
        <v>6</v>
      </c>
      <c r="F5112" s="2791" t="s">
        <v>1404</v>
      </c>
      <c r="G5112" s="824" t="s">
        <v>1405</v>
      </c>
      <c r="H5112" s="2791">
        <v>230</v>
      </c>
      <c r="I5112" s="2868"/>
      <c r="J5112" s="2797">
        <v>16.950000000000003</v>
      </c>
      <c r="K5112" s="365"/>
      <c r="L5112" s="366"/>
    </row>
    <row r="5113" spans="1:12" s="825" customFormat="1" ht="13.5" customHeight="1">
      <c r="A5113" s="826" t="s">
        <v>2540</v>
      </c>
      <c r="B5113" s="2786"/>
      <c r="C5113" s="2792" t="s">
        <v>2541</v>
      </c>
      <c r="D5113" s="2793"/>
      <c r="E5113" s="2790"/>
      <c r="F5113" s="2791"/>
      <c r="G5113" s="826">
        <v>0</v>
      </c>
      <c r="H5113" s="2791"/>
      <c r="I5113" s="2868"/>
      <c r="J5113" s="2798"/>
      <c r="K5113" s="365"/>
      <c r="L5113" s="827"/>
    </row>
    <row r="5114" spans="1:12" s="825" customFormat="1" ht="13.5" customHeight="1">
      <c r="A5114" s="824" t="s">
        <v>2542</v>
      </c>
      <c r="B5114" s="2786" t="s">
        <v>2543</v>
      </c>
      <c r="C5114" s="2787" t="s">
        <v>2544</v>
      </c>
      <c r="D5114" s="2788"/>
      <c r="E5114" s="2789">
        <v>15</v>
      </c>
      <c r="F5114" s="2791" t="s">
        <v>2495</v>
      </c>
      <c r="G5114" s="824" t="s">
        <v>1405</v>
      </c>
      <c r="H5114" s="2791">
        <v>46</v>
      </c>
      <c r="I5114" s="2868"/>
      <c r="J5114" s="2797">
        <v>10.42</v>
      </c>
      <c r="K5114" s="366"/>
      <c r="L5114" s="365"/>
    </row>
    <row r="5115" spans="1:12" s="825" customFormat="1" ht="13.5" customHeight="1">
      <c r="A5115" s="826" t="s">
        <v>2545</v>
      </c>
      <c r="B5115" s="2786"/>
      <c r="C5115" s="2792" t="s">
        <v>2546</v>
      </c>
      <c r="D5115" s="2793"/>
      <c r="E5115" s="2790"/>
      <c r="F5115" s="2791"/>
      <c r="G5115" s="826">
        <v>0</v>
      </c>
      <c r="H5115" s="2791"/>
      <c r="I5115" s="2868"/>
      <c r="J5115" s="2798"/>
      <c r="K5115" s="827"/>
      <c r="L5115" s="365"/>
    </row>
    <row r="5116" spans="1:12" s="825" customFormat="1" ht="13.5" customHeight="1">
      <c r="A5116" s="824" t="s">
        <v>2524</v>
      </c>
      <c r="B5116" s="2786" t="s">
        <v>2525</v>
      </c>
      <c r="C5116" s="2787" t="s">
        <v>2526</v>
      </c>
      <c r="D5116" s="2788"/>
      <c r="E5116" s="2789">
        <v>27</v>
      </c>
      <c r="F5116" s="2791" t="s">
        <v>2527</v>
      </c>
      <c r="G5116" s="824" t="s">
        <v>1405</v>
      </c>
      <c r="H5116" s="2791">
        <v>49</v>
      </c>
      <c r="I5116" s="2868"/>
      <c r="J5116" s="2797">
        <v>10</v>
      </c>
      <c r="K5116" s="366"/>
      <c r="L5116" s="365"/>
    </row>
    <row r="5117" spans="1:12" s="825" customFormat="1" ht="13.5" customHeight="1">
      <c r="A5117" s="826" t="s">
        <v>2528</v>
      </c>
      <c r="B5117" s="2786"/>
      <c r="C5117" s="2792" t="s">
        <v>2529</v>
      </c>
      <c r="D5117" s="2793"/>
      <c r="E5117" s="2790"/>
      <c r="F5117" s="2791"/>
      <c r="G5117" s="826">
        <v>0</v>
      </c>
      <c r="H5117" s="2791"/>
      <c r="I5117" s="2868"/>
      <c r="J5117" s="2798"/>
      <c r="K5117" s="827"/>
      <c r="L5117" s="365"/>
    </row>
    <row r="5123" spans="1:9">
      <c r="A5123" s="2809" t="s">
        <v>1400</v>
      </c>
      <c r="B5123" s="2799" t="s">
        <v>2464</v>
      </c>
      <c r="C5123" s="2799"/>
      <c r="D5123" s="2794" t="s">
        <v>1401</v>
      </c>
      <c r="E5123" s="2799" t="s">
        <v>1181</v>
      </c>
      <c r="F5123" s="2799" t="s">
        <v>1752</v>
      </c>
      <c r="G5123" s="2799" t="s">
        <v>2549</v>
      </c>
      <c r="H5123" s="2800" t="s">
        <v>2467</v>
      </c>
      <c r="I5123" s="2784" t="s">
        <v>1403</v>
      </c>
    </row>
    <row r="5124" spans="1:9">
      <c r="A5124" s="2809"/>
      <c r="B5124" s="2799"/>
      <c r="C5124" s="2799"/>
      <c r="D5124" s="2794"/>
      <c r="E5124" s="2799"/>
      <c r="F5124" s="2799"/>
      <c r="G5124" s="2799"/>
      <c r="H5124" s="2800"/>
      <c r="I5124" s="2785"/>
    </row>
    <row r="5125" spans="1:9">
      <c r="A5125" s="2786" t="s">
        <v>2469</v>
      </c>
      <c r="B5125" s="2787" t="s">
        <v>2470</v>
      </c>
      <c r="C5125" s="2788"/>
      <c r="D5125" s="2791" t="s">
        <v>2471</v>
      </c>
      <c r="E5125" s="824" t="s">
        <v>1405</v>
      </c>
      <c r="F5125" s="2795" t="s">
        <v>2472</v>
      </c>
      <c r="G5125" s="2869"/>
      <c r="H5125" s="2797">
        <v>61.12</v>
      </c>
      <c r="I5125" s="825"/>
    </row>
    <row r="5126" spans="1:9">
      <c r="A5126" s="2786"/>
      <c r="B5126" s="2792" t="s">
        <v>2474</v>
      </c>
      <c r="C5126" s="2793"/>
      <c r="D5126" s="2791"/>
      <c r="E5126" s="826">
        <v>0</v>
      </c>
      <c r="F5126" s="2796"/>
      <c r="G5126" s="2870"/>
      <c r="H5126" s="2798"/>
      <c r="I5126" s="365"/>
    </row>
    <row r="5127" spans="1:9">
      <c r="A5127" s="2786" t="s">
        <v>2489</v>
      </c>
      <c r="B5127" s="2787" t="s">
        <v>2490</v>
      </c>
      <c r="C5127" s="2788"/>
      <c r="D5127" s="2791" t="s">
        <v>2491</v>
      </c>
      <c r="E5127" s="824" t="s">
        <v>1405</v>
      </c>
      <c r="F5127" s="2795" t="s">
        <v>2472</v>
      </c>
      <c r="G5127" s="2869"/>
      <c r="H5127" s="2797">
        <v>22.23</v>
      </c>
      <c r="I5127" s="365"/>
    </row>
    <row r="5128" spans="1:9">
      <c r="A5128" s="2786"/>
      <c r="B5128" s="2792" t="s">
        <v>2492</v>
      </c>
      <c r="C5128" s="2793"/>
      <c r="D5128" s="2791"/>
      <c r="E5128" s="826">
        <v>0</v>
      </c>
      <c r="F5128" s="2796"/>
      <c r="G5128" s="2870"/>
      <c r="H5128" s="2798"/>
      <c r="I5128" s="365"/>
    </row>
    <row r="5129" spans="1:9">
      <c r="A5129" s="2786" t="s">
        <v>22</v>
      </c>
      <c r="B5129" s="2787" t="s">
        <v>2476</v>
      </c>
      <c r="C5129" s="2788"/>
      <c r="D5129" s="2791" t="s">
        <v>2477</v>
      </c>
      <c r="E5129" s="824" t="s">
        <v>1405</v>
      </c>
      <c r="F5129" s="2868"/>
      <c r="G5129" s="2869"/>
      <c r="H5129" s="2797">
        <v>4.45</v>
      </c>
      <c r="I5129" s="365"/>
    </row>
    <row r="5130" spans="1:9">
      <c r="A5130" s="2786"/>
      <c r="B5130" s="2792" t="s">
        <v>2479</v>
      </c>
      <c r="C5130" s="2793"/>
      <c r="D5130" s="2791"/>
      <c r="E5130" s="826">
        <v>0</v>
      </c>
      <c r="F5130" s="2868"/>
      <c r="G5130" s="2870"/>
      <c r="H5130" s="2798"/>
      <c r="I5130" s="365"/>
    </row>
    <row r="5131" spans="1:9">
      <c r="A5131" s="2786" t="s">
        <v>2480</v>
      </c>
      <c r="B5131" s="2787" t="s">
        <v>2481</v>
      </c>
      <c r="C5131" s="2788"/>
      <c r="D5131" s="2791" t="s">
        <v>2482</v>
      </c>
      <c r="E5131" s="824" t="s">
        <v>1405</v>
      </c>
      <c r="F5131" s="2868"/>
      <c r="G5131" s="2869"/>
      <c r="H5131" s="2797">
        <v>3.34</v>
      </c>
      <c r="I5131" s="365"/>
    </row>
    <row r="5132" spans="1:9">
      <c r="A5132" s="2786"/>
      <c r="B5132" s="2792" t="s">
        <v>2483</v>
      </c>
      <c r="C5132" s="2793"/>
      <c r="D5132" s="2791"/>
      <c r="E5132" s="826">
        <v>0</v>
      </c>
      <c r="F5132" s="2868"/>
      <c r="G5132" s="2870"/>
      <c r="H5132" s="2798"/>
      <c r="I5132" s="365"/>
    </row>
    <row r="5133" spans="1:9">
      <c r="A5133" s="2786" t="s">
        <v>2484</v>
      </c>
      <c r="B5133" s="2787" t="s">
        <v>2485</v>
      </c>
      <c r="C5133" s="2788"/>
      <c r="D5133" s="2791" t="s">
        <v>1923</v>
      </c>
      <c r="E5133" s="824" t="s">
        <v>1405</v>
      </c>
      <c r="F5133" s="2868"/>
      <c r="G5133" s="2869"/>
      <c r="H5133" s="2797">
        <v>7.2299999999999995</v>
      </c>
      <c r="I5133" s="365"/>
    </row>
    <row r="5134" spans="1:9">
      <c r="A5134" s="2786"/>
      <c r="B5134" s="2792" t="s">
        <v>2486</v>
      </c>
      <c r="C5134" s="2793"/>
      <c r="D5134" s="2791"/>
      <c r="E5134" s="826">
        <v>0</v>
      </c>
      <c r="F5134" s="2868"/>
      <c r="G5134" s="2870"/>
      <c r="H5134" s="2798"/>
      <c r="I5134" s="365"/>
    </row>
    <row r="5135" spans="1:9">
      <c r="A5135" s="2786" t="s">
        <v>731</v>
      </c>
      <c r="B5135" s="2787" t="s">
        <v>2487</v>
      </c>
      <c r="C5135" s="2788"/>
      <c r="D5135" s="2791" t="s">
        <v>2482</v>
      </c>
      <c r="E5135" s="824" t="s">
        <v>1405</v>
      </c>
      <c r="F5135" s="2868"/>
      <c r="G5135" s="2869"/>
      <c r="H5135" s="2797">
        <v>9.31</v>
      </c>
      <c r="I5135" s="366"/>
    </row>
    <row r="5136" spans="1:9">
      <c r="A5136" s="2786"/>
      <c r="B5136" s="2792" t="s">
        <v>2488</v>
      </c>
      <c r="C5136" s="2793"/>
      <c r="D5136" s="2791"/>
      <c r="E5136" s="826">
        <v>0</v>
      </c>
      <c r="F5136" s="2868"/>
      <c r="G5136" s="2870"/>
      <c r="H5136" s="2798"/>
      <c r="I5136" s="827"/>
    </row>
    <row r="5137" spans="1:9">
      <c r="A5137" s="2786" t="s">
        <v>738</v>
      </c>
      <c r="B5137" s="2787" t="s">
        <v>2494</v>
      </c>
      <c r="C5137" s="2788"/>
      <c r="D5137" s="2791" t="s">
        <v>2495</v>
      </c>
      <c r="E5137" s="824" t="s">
        <v>2496</v>
      </c>
      <c r="F5137" s="2868"/>
      <c r="G5137" s="2869"/>
      <c r="H5137" s="2797">
        <v>4.17</v>
      </c>
      <c r="I5137" s="828" t="s">
        <v>5286</v>
      </c>
    </row>
    <row r="5138" spans="1:9">
      <c r="A5138" s="2786"/>
      <c r="B5138" s="2792" t="s">
        <v>2498</v>
      </c>
      <c r="C5138" s="2793"/>
      <c r="D5138" s="2791"/>
      <c r="E5138" s="826">
        <v>0</v>
      </c>
      <c r="F5138" s="2868"/>
      <c r="G5138" s="2870"/>
      <c r="H5138" s="2798"/>
      <c r="I5138" s="365"/>
    </row>
    <row r="5139" spans="1:9">
      <c r="A5139" s="2786" t="s">
        <v>536</v>
      </c>
      <c r="B5139" s="2787" t="s">
        <v>2500</v>
      </c>
      <c r="C5139" s="2788"/>
      <c r="D5139" s="2791" t="s">
        <v>2501</v>
      </c>
      <c r="E5139" s="824" t="s">
        <v>2496</v>
      </c>
      <c r="F5139" s="2795" t="s">
        <v>2502</v>
      </c>
      <c r="G5139" s="2869"/>
      <c r="H5139" s="2797">
        <v>4.45</v>
      </c>
      <c r="I5139" s="828" t="s">
        <v>5286</v>
      </c>
    </row>
    <row r="5140" spans="1:9">
      <c r="A5140" s="2786"/>
      <c r="B5140" s="2792" t="s">
        <v>2504</v>
      </c>
      <c r="C5140" s="2793"/>
      <c r="D5140" s="2791"/>
      <c r="E5140" s="826">
        <v>0</v>
      </c>
      <c r="F5140" s="2796"/>
      <c r="G5140" s="2870"/>
      <c r="H5140" s="2798"/>
      <c r="I5140" s="829" t="s">
        <v>5287</v>
      </c>
    </row>
    <row r="5141" spans="1:9">
      <c r="A5141" s="2786" t="s">
        <v>80</v>
      </c>
      <c r="B5141" s="2787" t="s">
        <v>2505</v>
      </c>
      <c r="C5141" s="2788"/>
      <c r="D5141" s="2791" t="s">
        <v>2501</v>
      </c>
      <c r="E5141" s="824" t="s">
        <v>1405</v>
      </c>
      <c r="F5141" s="2795" t="s">
        <v>2506</v>
      </c>
      <c r="G5141" s="2869"/>
      <c r="H5141" s="2797">
        <v>4.87</v>
      </c>
      <c r="I5141" s="828" t="s">
        <v>5286</v>
      </c>
    </row>
    <row r="5142" spans="1:9">
      <c r="A5142" s="2786"/>
      <c r="B5142" s="2792" t="s">
        <v>2507</v>
      </c>
      <c r="C5142" s="2793"/>
      <c r="D5142" s="2791"/>
      <c r="E5142" s="826">
        <v>0</v>
      </c>
      <c r="F5142" s="2796"/>
      <c r="G5142" s="2870"/>
      <c r="H5142" s="2798"/>
      <c r="I5142" s="827"/>
    </row>
    <row r="5143" spans="1:9">
      <c r="A5143" s="2786" t="s">
        <v>736</v>
      </c>
      <c r="B5143" s="2787" t="s">
        <v>2508</v>
      </c>
      <c r="C5143" s="2788"/>
      <c r="D5143" s="2791" t="s">
        <v>2509</v>
      </c>
      <c r="E5143" s="824" t="s">
        <v>2496</v>
      </c>
      <c r="F5143" s="2795" t="s">
        <v>2506</v>
      </c>
      <c r="G5143" s="2869"/>
      <c r="H5143" s="2797">
        <v>4.17</v>
      </c>
      <c r="I5143" s="828" t="s">
        <v>5286</v>
      </c>
    </row>
    <row r="5144" spans="1:9">
      <c r="A5144" s="2786"/>
      <c r="B5144" s="2792" t="s">
        <v>2510</v>
      </c>
      <c r="C5144" s="2793"/>
      <c r="D5144" s="2791"/>
      <c r="E5144" s="826">
        <v>0</v>
      </c>
      <c r="F5144" s="2796"/>
      <c r="G5144" s="2870"/>
      <c r="H5144" s="2798"/>
      <c r="I5144" s="365"/>
    </row>
    <row r="5145" spans="1:9">
      <c r="A5145" s="2786" t="s">
        <v>2512</v>
      </c>
      <c r="B5145" s="2787" t="s">
        <v>2513</v>
      </c>
      <c r="C5145" s="2788"/>
      <c r="D5145" s="2791" t="s">
        <v>2514</v>
      </c>
      <c r="E5145" s="824" t="s">
        <v>1405</v>
      </c>
      <c r="F5145" s="2868"/>
      <c r="G5145" s="2869">
        <v>980</v>
      </c>
      <c r="H5145" s="2797">
        <v>12.23</v>
      </c>
      <c r="I5145" s="366"/>
    </row>
    <row r="5146" spans="1:9">
      <c r="A5146" s="2786"/>
      <c r="B5146" s="2792" t="s">
        <v>2516</v>
      </c>
      <c r="C5146" s="2793"/>
      <c r="D5146" s="2791"/>
      <c r="E5146" s="826">
        <v>0</v>
      </c>
      <c r="F5146" s="2868"/>
      <c r="G5146" s="2870"/>
      <c r="H5146" s="2798"/>
      <c r="I5146" s="827"/>
    </row>
    <row r="5147" spans="1:9">
      <c r="A5147" s="2786" t="s">
        <v>1253</v>
      </c>
      <c r="B5147" s="2787" t="s">
        <v>2517</v>
      </c>
      <c r="C5147" s="2788"/>
      <c r="D5147" s="2791" t="s">
        <v>1407</v>
      </c>
      <c r="E5147" s="824" t="s">
        <v>1405</v>
      </c>
      <c r="F5147" s="2868"/>
      <c r="G5147" s="2869"/>
      <c r="H5147" s="2797">
        <v>9.0299999999999994</v>
      </c>
      <c r="I5147" s="366"/>
    </row>
    <row r="5148" spans="1:9">
      <c r="A5148" s="2786"/>
      <c r="B5148" s="2792" t="s">
        <v>2518</v>
      </c>
      <c r="C5148" s="2793"/>
      <c r="D5148" s="2791"/>
      <c r="E5148" s="826">
        <v>0</v>
      </c>
      <c r="F5148" s="2868"/>
      <c r="G5148" s="2870"/>
      <c r="H5148" s="2798"/>
      <c r="I5148" s="827"/>
    </row>
    <row r="5149" spans="1:9">
      <c r="A5149" s="2786" t="s">
        <v>2520</v>
      </c>
      <c r="B5149" s="2787" t="s">
        <v>2521</v>
      </c>
      <c r="C5149" s="2788"/>
      <c r="D5149" s="2791" t="s">
        <v>1407</v>
      </c>
      <c r="E5149" s="824" t="s">
        <v>1405</v>
      </c>
      <c r="F5149" s="2868"/>
      <c r="G5149" s="2869"/>
      <c r="H5149" s="2797">
        <v>5.7</v>
      </c>
      <c r="I5149" s="366"/>
    </row>
    <row r="5150" spans="1:9">
      <c r="A5150" s="2786"/>
      <c r="B5150" s="2792" t="s">
        <v>2523</v>
      </c>
      <c r="C5150" s="2793"/>
      <c r="D5150" s="2791"/>
      <c r="E5150" s="826">
        <v>0</v>
      </c>
      <c r="F5150" s="2868"/>
      <c r="G5150" s="2870"/>
      <c r="H5150" s="2798"/>
      <c r="I5150" s="827"/>
    </row>
    <row r="5151" spans="1:9">
      <c r="A5151" s="2786" t="s">
        <v>2525</v>
      </c>
      <c r="B5151" s="2787" t="s">
        <v>2526</v>
      </c>
      <c r="C5151" s="2788"/>
      <c r="D5151" s="2791" t="s">
        <v>2527</v>
      </c>
      <c r="E5151" s="824" t="s">
        <v>1405</v>
      </c>
      <c r="F5151" s="2868"/>
      <c r="G5151" s="2869"/>
      <c r="H5151" s="2797">
        <v>10</v>
      </c>
      <c r="I5151" s="366"/>
    </row>
    <row r="5152" spans="1:9">
      <c r="A5152" s="2786"/>
      <c r="B5152" s="2792" t="s">
        <v>2529</v>
      </c>
      <c r="C5152" s="2793"/>
      <c r="D5152" s="2791"/>
      <c r="E5152" s="826">
        <v>0</v>
      </c>
      <c r="F5152" s="2868"/>
      <c r="G5152" s="2870"/>
      <c r="H5152" s="2798"/>
      <c r="I5152" s="827"/>
    </row>
    <row r="5153" spans="1:10">
      <c r="A5153" s="2786" t="s">
        <v>793</v>
      </c>
      <c r="B5153" s="2787" t="s">
        <v>2531</v>
      </c>
      <c r="C5153" s="2788"/>
      <c r="D5153" s="2791" t="s">
        <v>2532</v>
      </c>
      <c r="E5153" s="824" t="s">
        <v>1405</v>
      </c>
      <c r="F5153" s="2868"/>
      <c r="G5153" s="2869">
        <v>750</v>
      </c>
      <c r="H5153" s="2797">
        <v>9.31</v>
      </c>
      <c r="I5153" s="366"/>
    </row>
    <row r="5154" spans="1:10">
      <c r="A5154" s="2786"/>
      <c r="B5154" s="2792" t="s">
        <v>2534</v>
      </c>
      <c r="C5154" s="2793"/>
      <c r="D5154" s="2791"/>
      <c r="E5154" s="826">
        <v>0</v>
      </c>
      <c r="F5154" s="2868"/>
      <c r="G5154" s="2870"/>
      <c r="H5154" s="2798"/>
      <c r="I5154" s="827"/>
    </row>
    <row r="5155" spans="1:10">
      <c r="A5155" s="2786" t="s">
        <v>743</v>
      </c>
      <c r="B5155" s="2787" t="s">
        <v>2536</v>
      </c>
      <c r="C5155" s="2788"/>
      <c r="D5155" s="2791" t="s">
        <v>1404</v>
      </c>
      <c r="E5155" s="824" t="s">
        <v>1405</v>
      </c>
      <c r="F5155" s="2868"/>
      <c r="G5155" s="2869">
        <v>1150</v>
      </c>
      <c r="H5155" s="2797">
        <v>13.62</v>
      </c>
      <c r="I5155" s="365"/>
    </row>
    <row r="5156" spans="1:10">
      <c r="A5156" s="2786"/>
      <c r="B5156" s="2792" t="s">
        <v>2538</v>
      </c>
      <c r="C5156" s="2793"/>
      <c r="D5156" s="2791"/>
      <c r="E5156" s="826">
        <v>0</v>
      </c>
      <c r="F5156" s="2868"/>
      <c r="G5156" s="2870"/>
      <c r="H5156" s="2798"/>
      <c r="I5156" s="365"/>
    </row>
    <row r="5157" spans="1:10">
      <c r="A5157" s="2786" t="s">
        <v>797</v>
      </c>
      <c r="B5157" s="2787" t="s">
        <v>2539</v>
      </c>
      <c r="C5157" s="2788"/>
      <c r="D5157" s="2791" t="s">
        <v>1404</v>
      </c>
      <c r="E5157" s="824" t="s">
        <v>1405</v>
      </c>
      <c r="F5157" s="2868"/>
      <c r="G5157" s="2869"/>
      <c r="H5157" s="2797">
        <v>16.950000000000003</v>
      </c>
      <c r="I5157" s="365"/>
    </row>
    <row r="5158" spans="1:10">
      <c r="A5158" s="2786"/>
      <c r="B5158" s="2792" t="s">
        <v>2541</v>
      </c>
      <c r="C5158" s="2793"/>
      <c r="D5158" s="2791"/>
      <c r="E5158" s="826">
        <v>0</v>
      </c>
      <c r="F5158" s="2868"/>
      <c r="G5158" s="2870"/>
      <c r="H5158" s="2798"/>
      <c r="I5158" s="365"/>
    </row>
    <row r="5159" spans="1:10">
      <c r="A5159" s="2786" t="s">
        <v>2543</v>
      </c>
      <c r="B5159" s="2787" t="s">
        <v>2544</v>
      </c>
      <c r="C5159" s="2788"/>
      <c r="D5159" s="2791" t="s">
        <v>2495</v>
      </c>
      <c r="E5159" s="824" t="s">
        <v>1405</v>
      </c>
      <c r="F5159" s="2868"/>
      <c r="G5159" s="2869"/>
      <c r="H5159" s="2797">
        <v>10.42</v>
      </c>
      <c r="I5159" s="366"/>
    </row>
    <row r="5160" spans="1:10">
      <c r="A5160" s="2786"/>
      <c r="B5160" s="2792" t="s">
        <v>2546</v>
      </c>
      <c r="C5160" s="2793"/>
      <c r="D5160" s="2791"/>
      <c r="E5160" s="826">
        <v>0</v>
      </c>
      <c r="F5160" s="2868"/>
      <c r="G5160" s="2870"/>
      <c r="H5160" s="2798"/>
      <c r="I5160" s="827"/>
    </row>
    <row r="5161" spans="1:10">
      <c r="A5161" s="2786" t="s">
        <v>2525</v>
      </c>
      <c r="B5161" s="2787" t="s">
        <v>2526</v>
      </c>
      <c r="C5161" s="2788"/>
      <c r="D5161" s="2791" t="s">
        <v>2527</v>
      </c>
      <c r="E5161" s="824" t="s">
        <v>1405</v>
      </c>
      <c r="F5161" s="2868"/>
      <c r="G5161" s="2869"/>
      <c r="H5161" s="2797">
        <v>10</v>
      </c>
      <c r="I5161" s="366"/>
    </row>
    <row r="5162" spans="1:10">
      <c r="A5162" s="2786"/>
      <c r="B5162" s="2792" t="s">
        <v>2529</v>
      </c>
      <c r="C5162" s="2793"/>
      <c r="D5162" s="2791"/>
      <c r="E5162" s="826">
        <v>0</v>
      </c>
      <c r="F5162" s="2868"/>
      <c r="G5162" s="2870"/>
      <c r="H5162" s="2798"/>
      <c r="I5162" s="827"/>
    </row>
    <row r="5163" spans="1:10">
      <c r="A5163" s="2786" t="s">
        <v>1755</v>
      </c>
      <c r="B5163" s="2787"/>
      <c r="C5163" s="2788"/>
      <c r="D5163" s="2791"/>
      <c r="E5163" s="824" t="s">
        <v>2551</v>
      </c>
      <c r="F5163" s="2868"/>
      <c r="G5163" s="2869">
        <v>360</v>
      </c>
      <c r="H5163" s="2797">
        <v>10</v>
      </c>
      <c r="I5163" s="366"/>
    </row>
    <row r="5164" spans="1:10">
      <c r="A5164" s="2786"/>
      <c r="B5164" s="2792" t="s">
        <v>2550</v>
      </c>
      <c r="C5164" s="2793"/>
      <c r="D5164" s="2791"/>
      <c r="E5164" s="826">
        <v>0</v>
      </c>
      <c r="F5164" s="2868"/>
      <c r="G5164" s="2870"/>
      <c r="H5164" s="2798"/>
      <c r="I5164" s="827"/>
    </row>
    <row r="5165" spans="1:10" s="825" customFormat="1" ht="13.5" customHeight="1">
      <c r="A5165" s="2876" t="s">
        <v>1157</v>
      </c>
      <c r="B5165" s="2787" t="s">
        <v>2547</v>
      </c>
      <c r="C5165" s="2788"/>
      <c r="D5165" s="2791" t="s">
        <v>1923</v>
      </c>
      <c r="E5165" s="824" t="s">
        <v>1405</v>
      </c>
      <c r="F5165" s="2868"/>
      <c r="G5165" s="2869"/>
      <c r="H5165" s="2797" t="s">
        <v>5288</v>
      </c>
      <c r="I5165" s="2873"/>
      <c r="J5165" s="366"/>
    </row>
    <row r="5166" spans="1:10" s="825" customFormat="1" ht="13.5" customHeight="1">
      <c r="A5166" s="2876"/>
      <c r="B5166" s="2792" t="s">
        <v>2548</v>
      </c>
      <c r="C5166" s="2793"/>
      <c r="D5166" s="2791"/>
      <c r="E5166" s="826">
        <v>0</v>
      </c>
      <c r="F5166" s="2868"/>
      <c r="G5166" s="2870"/>
      <c r="H5166" s="2798"/>
      <c r="I5166" s="2873"/>
      <c r="J5166" s="827"/>
    </row>
    <row r="5169" spans="1:8" ht="15.75">
      <c r="A5169" s="402" t="s">
        <v>105</v>
      </c>
      <c r="B5169" s="402" t="s">
        <v>106</v>
      </c>
      <c r="C5169" s="402" t="s">
        <v>52</v>
      </c>
      <c r="D5169" s="402" t="s">
        <v>1710</v>
      </c>
      <c r="E5169" s="90" t="s">
        <v>1186</v>
      </c>
      <c r="F5169" s="90" t="s">
        <v>1652</v>
      </c>
      <c r="G5169" s="90" t="s">
        <v>1653</v>
      </c>
      <c r="H5169" s="90" t="s">
        <v>1825</v>
      </c>
    </row>
    <row r="5170" spans="1:8" ht="15">
      <c r="A5170" s="6" t="s">
        <v>2552</v>
      </c>
      <c r="B5170" s="24">
        <v>14552</v>
      </c>
      <c r="C5170" s="26">
        <v>10</v>
      </c>
      <c r="D5170" s="24" t="s">
        <v>431</v>
      </c>
      <c r="E5170" s="151">
        <v>30</v>
      </c>
      <c r="F5170" s="152">
        <v>17</v>
      </c>
      <c r="G5170" s="67">
        <f>E5170*F5170</f>
        <v>510</v>
      </c>
      <c r="H5170" s="25">
        <v>0.69</v>
      </c>
    </row>
    <row r="5171" spans="1:8" ht="15">
      <c r="A5171" s="6" t="s">
        <v>2552</v>
      </c>
      <c r="B5171" s="95"/>
      <c r="C5171" s="138"/>
      <c r="D5171" s="44" t="s">
        <v>1993</v>
      </c>
      <c r="E5171" s="8"/>
      <c r="F5171" s="41"/>
      <c r="G5171" s="45">
        <v>1</v>
      </c>
      <c r="H5171" s="46">
        <v>12</v>
      </c>
    </row>
    <row r="5177" spans="1:8" ht="15.75">
      <c r="A5177" s="402" t="s">
        <v>106</v>
      </c>
      <c r="B5177" s="402" t="s">
        <v>1098</v>
      </c>
      <c r="C5177" s="402" t="s">
        <v>2556</v>
      </c>
      <c r="D5177" s="402" t="s">
        <v>54</v>
      </c>
    </row>
    <row r="5178" spans="1:8" ht="15">
      <c r="A5178" s="24" t="s">
        <v>1346</v>
      </c>
      <c r="B5178" s="44" t="s">
        <v>1030</v>
      </c>
      <c r="C5178" s="267" t="s">
        <v>1445</v>
      </c>
      <c r="D5178" s="261">
        <v>81</v>
      </c>
    </row>
    <row r="5179" spans="1:8" ht="15">
      <c r="A5179" s="24" t="s">
        <v>1346</v>
      </c>
      <c r="B5179" s="44" t="s">
        <v>1032</v>
      </c>
      <c r="C5179" s="267" t="s">
        <v>1445</v>
      </c>
      <c r="D5179" s="261">
        <v>141</v>
      </c>
    </row>
    <row r="5180" spans="1:8" ht="15">
      <c r="A5180" s="24" t="s">
        <v>1346</v>
      </c>
      <c r="B5180" s="44" t="s">
        <v>1033</v>
      </c>
      <c r="C5180" s="267" t="s">
        <v>1445</v>
      </c>
      <c r="D5180" s="261">
        <v>42</v>
      </c>
    </row>
    <row r="5181" spans="1:8" ht="15">
      <c r="A5181" s="24" t="s">
        <v>1346</v>
      </c>
      <c r="B5181" s="44" t="s">
        <v>1034</v>
      </c>
      <c r="C5181" s="267" t="s">
        <v>1445</v>
      </c>
      <c r="D5181" s="261">
        <v>36</v>
      </c>
    </row>
    <row r="5182" spans="1:8" ht="15">
      <c r="A5182" s="24" t="s">
        <v>1346</v>
      </c>
      <c r="B5182" s="44" t="s">
        <v>1030</v>
      </c>
      <c r="C5182" s="267" t="s">
        <v>1446</v>
      </c>
      <c r="D5182" s="261">
        <v>15</v>
      </c>
    </row>
    <row r="5183" spans="1:8" ht="15">
      <c r="A5183" s="24" t="s">
        <v>1346</v>
      </c>
      <c r="B5183" s="44" t="s">
        <v>1032</v>
      </c>
      <c r="C5183" s="267" t="s">
        <v>1446</v>
      </c>
      <c r="D5183" s="261">
        <v>70</v>
      </c>
    </row>
    <row r="5184" spans="1:8" ht="15">
      <c r="A5184" s="24" t="s">
        <v>1346</v>
      </c>
      <c r="B5184" s="44" t="s">
        <v>1033</v>
      </c>
      <c r="C5184" s="267" t="s">
        <v>1446</v>
      </c>
      <c r="D5184" s="261">
        <v>60</v>
      </c>
    </row>
    <row r="5185" spans="1:8" ht="15">
      <c r="A5185" s="24" t="s">
        <v>1346</v>
      </c>
      <c r="B5185" s="44" t="s">
        <v>1034</v>
      </c>
      <c r="C5185" s="267" t="s">
        <v>1446</v>
      </c>
      <c r="D5185" s="261">
        <v>55</v>
      </c>
    </row>
    <row r="5186" spans="1:8" ht="15">
      <c r="A5186" s="24" t="s">
        <v>1346</v>
      </c>
      <c r="B5186" s="44" t="s">
        <v>1454</v>
      </c>
      <c r="C5186" s="267" t="s">
        <v>1347</v>
      </c>
      <c r="D5186" s="261">
        <v>80</v>
      </c>
    </row>
    <row r="5187" spans="1:8" ht="15">
      <c r="A5187" s="24" t="s">
        <v>1346</v>
      </c>
      <c r="B5187" s="44" t="s">
        <v>1030</v>
      </c>
      <c r="C5187" s="267" t="s">
        <v>1347</v>
      </c>
      <c r="D5187" s="261">
        <v>265</v>
      </c>
    </row>
    <row r="5188" spans="1:8" ht="15">
      <c r="A5188" s="24" t="s">
        <v>1346</v>
      </c>
      <c r="B5188" s="44" t="s">
        <v>1032</v>
      </c>
      <c r="C5188" s="267" t="s">
        <v>1347</v>
      </c>
      <c r="D5188" s="261">
        <v>470</v>
      </c>
    </row>
    <row r="5189" spans="1:8" ht="15">
      <c r="A5189" s="24" t="s">
        <v>1346</v>
      </c>
      <c r="B5189" s="44" t="s">
        <v>1033</v>
      </c>
      <c r="C5189" s="267" t="s">
        <v>1347</v>
      </c>
      <c r="D5189" s="261">
        <v>160</v>
      </c>
    </row>
    <row r="5190" spans="1:8" ht="15">
      <c r="A5190" s="24" t="s">
        <v>1346</v>
      </c>
      <c r="B5190" s="44" t="s">
        <v>1034</v>
      </c>
      <c r="C5190" s="267" t="s">
        <v>1347</v>
      </c>
      <c r="D5190" s="261">
        <v>60</v>
      </c>
    </row>
    <row r="5191" spans="1:8" ht="15">
      <c r="A5191" s="371"/>
      <c r="B5191" s="305"/>
      <c r="C5191" s="305"/>
      <c r="D5191" s="307"/>
      <c r="E5191" s="308"/>
      <c r="F5191" s="306"/>
    </row>
    <row r="5192" spans="1:8" ht="15.75">
      <c r="A5192" s="402" t="s">
        <v>106</v>
      </c>
      <c r="B5192" s="402" t="s">
        <v>128</v>
      </c>
      <c r="C5192" s="402" t="s">
        <v>54</v>
      </c>
    </row>
    <row r="5193" spans="1:8" ht="15">
      <c r="A5193" s="24">
        <v>5654</v>
      </c>
      <c r="B5193" s="44" t="s">
        <v>1064</v>
      </c>
      <c r="C5193" s="151">
        <v>200</v>
      </c>
    </row>
    <row r="5194" spans="1:8" ht="15">
      <c r="A5194" s="24">
        <v>5654</v>
      </c>
      <c r="B5194" s="44" t="s">
        <v>2013</v>
      </c>
      <c r="C5194" s="151">
        <v>200</v>
      </c>
    </row>
    <row r="5197" spans="1:8" ht="15.75">
      <c r="A5197" s="6" t="s">
        <v>2553</v>
      </c>
      <c r="B5197" s="99" t="s">
        <v>455</v>
      </c>
      <c r="C5197" s="99" t="s">
        <v>1035</v>
      </c>
      <c r="D5197" s="99" t="s">
        <v>1353</v>
      </c>
      <c r="E5197" s="402" t="s">
        <v>54</v>
      </c>
      <c r="F5197" s="90" t="s">
        <v>2558</v>
      </c>
      <c r="G5197" s="90" t="s">
        <v>846</v>
      </c>
      <c r="H5197" s="236"/>
    </row>
    <row r="5198" spans="1:8" ht="15">
      <c r="A5198" s="6" t="s">
        <v>2553</v>
      </c>
      <c r="B5198" s="24" t="s">
        <v>1346</v>
      </c>
      <c r="C5198" s="44" t="s">
        <v>1030</v>
      </c>
      <c r="D5198" s="267" t="s">
        <v>1445</v>
      </c>
      <c r="E5198" s="261">
        <v>81</v>
      </c>
      <c r="F5198" s="46">
        <v>0.49</v>
      </c>
      <c r="G5198" s="46">
        <f t="shared" ref="G5198:G5212" si="14">F5198*E5198</f>
        <v>39.69</v>
      </c>
      <c r="H5198" s="236"/>
    </row>
    <row r="5199" spans="1:8" ht="15">
      <c r="A5199" s="6" t="s">
        <v>2553</v>
      </c>
      <c r="B5199" s="24" t="s">
        <v>1346</v>
      </c>
      <c r="C5199" s="44" t="s">
        <v>1032</v>
      </c>
      <c r="D5199" s="267" t="s">
        <v>1445</v>
      </c>
      <c r="E5199" s="261">
        <v>141</v>
      </c>
      <c r="F5199" s="46">
        <v>0.51</v>
      </c>
      <c r="G5199" s="46">
        <f t="shared" si="14"/>
        <v>71.91</v>
      </c>
      <c r="H5199" s="236"/>
    </row>
    <row r="5200" spans="1:8" ht="15">
      <c r="A5200" s="6" t="s">
        <v>2553</v>
      </c>
      <c r="B5200" s="24" t="s">
        <v>1346</v>
      </c>
      <c r="C5200" s="44" t="s">
        <v>1033</v>
      </c>
      <c r="D5200" s="267" t="s">
        <v>1445</v>
      </c>
      <c r="E5200" s="261">
        <v>42</v>
      </c>
      <c r="F5200" s="46">
        <v>0.53</v>
      </c>
      <c r="G5200" s="46">
        <f t="shared" si="14"/>
        <v>22.26</v>
      </c>
      <c r="H5200" s="236"/>
    </row>
    <row r="5201" spans="1:9" ht="15">
      <c r="A5201" s="6" t="s">
        <v>2553</v>
      </c>
      <c r="B5201" s="24" t="s">
        <v>1346</v>
      </c>
      <c r="C5201" s="44" t="s">
        <v>1034</v>
      </c>
      <c r="D5201" s="267" t="s">
        <v>1445</v>
      </c>
      <c r="E5201" s="261">
        <v>36</v>
      </c>
      <c r="F5201" s="46">
        <v>0.54</v>
      </c>
      <c r="G5201" s="46">
        <f t="shared" si="14"/>
        <v>19.440000000000001</v>
      </c>
      <c r="H5201" s="236"/>
    </row>
    <row r="5202" spans="1:9" ht="15">
      <c r="A5202" s="6" t="s">
        <v>2553</v>
      </c>
      <c r="B5202" s="24" t="s">
        <v>1346</v>
      </c>
      <c r="C5202" s="44" t="s">
        <v>1030</v>
      </c>
      <c r="D5202" s="267" t="s">
        <v>1446</v>
      </c>
      <c r="E5202" s="261">
        <v>15</v>
      </c>
      <c r="F5202" s="46">
        <v>0.49</v>
      </c>
      <c r="G5202" s="46">
        <f t="shared" si="14"/>
        <v>7.35</v>
      </c>
      <c r="H5202" s="236"/>
    </row>
    <row r="5203" spans="1:9" ht="15">
      <c r="A5203" s="6" t="s">
        <v>2553</v>
      </c>
      <c r="B5203" s="24" t="s">
        <v>1346</v>
      </c>
      <c r="C5203" s="44" t="s">
        <v>1032</v>
      </c>
      <c r="D5203" s="267" t="s">
        <v>1446</v>
      </c>
      <c r="E5203" s="261">
        <v>70</v>
      </c>
      <c r="F5203" s="46">
        <v>0.51</v>
      </c>
      <c r="G5203" s="46">
        <f t="shared" si="14"/>
        <v>35.700000000000003</v>
      </c>
      <c r="H5203" s="236"/>
    </row>
    <row r="5204" spans="1:9" ht="15">
      <c r="A5204" s="6" t="s">
        <v>2553</v>
      </c>
      <c r="B5204" s="24" t="s">
        <v>1346</v>
      </c>
      <c r="C5204" s="44" t="s">
        <v>1033</v>
      </c>
      <c r="D5204" s="267" t="s">
        <v>1446</v>
      </c>
      <c r="E5204" s="261">
        <v>60</v>
      </c>
      <c r="F5204" s="46">
        <v>0.53</v>
      </c>
      <c r="G5204" s="46">
        <f t="shared" si="14"/>
        <v>31.8</v>
      </c>
      <c r="H5204" s="236"/>
    </row>
    <row r="5205" spans="1:9" ht="15">
      <c r="A5205" s="6" t="s">
        <v>2553</v>
      </c>
      <c r="B5205" s="24" t="s">
        <v>1346</v>
      </c>
      <c r="C5205" s="44" t="s">
        <v>1034</v>
      </c>
      <c r="D5205" s="267" t="s">
        <v>1446</v>
      </c>
      <c r="E5205" s="261">
        <v>55</v>
      </c>
      <c r="F5205" s="46">
        <v>0.54</v>
      </c>
      <c r="G5205" s="46">
        <f t="shared" si="14"/>
        <v>29.700000000000003</v>
      </c>
      <c r="H5205" s="236"/>
    </row>
    <row r="5206" spans="1:9" ht="15">
      <c r="A5206" s="6" t="s">
        <v>2553</v>
      </c>
      <c r="B5206" s="24" t="s">
        <v>1346</v>
      </c>
      <c r="C5206" s="44" t="s">
        <v>1454</v>
      </c>
      <c r="D5206" s="267" t="s">
        <v>1347</v>
      </c>
      <c r="E5206" s="261">
        <v>80</v>
      </c>
      <c r="F5206" s="46">
        <v>0.48</v>
      </c>
      <c r="G5206" s="46">
        <f t="shared" si="14"/>
        <v>38.4</v>
      </c>
      <c r="H5206" s="236"/>
    </row>
    <row r="5207" spans="1:9" ht="15">
      <c r="A5207" s="6" t="s">
        <v>2553</v>
      </c>
      <c r="B5207" s="24" t="s">
        <v>1346</v>
      </c>
      <c r="C5207" s="44" t="s">
        <v>1030</v>
      </c>
      <c r="D5207" s="267" t="s">
        <v>1347</v>
      </c>
      <c r="E5207" s="261">
        <v>265</v>
      </c>
      <c r="F5207" s="46">
        <v>0.49</v>
      </c>
      <c r="G5207" s="46">
        <f t="shared" si="14"/>
        <v>129.85</v>
      </c>
      <c r="H5207" s="236"/>
    </row>
    <row r="5208" spans="1:9" ht="15">
      <c r="A5208" s="6" t="s">
        <v>2553</v>
      </c>
      <c r="B5208" s="24" t="s">
        <v>1346</v>
      </c>
      <c r="C5208" s="44" t="s">
        <v>1032</v>
      </c>
      <c r="D5208" s="267" t="s">
        <v>1347</v>
      </c>
      <c r="E5208" s="261">
        <v>470</v>
      </c>
      <c r="F5208" s="46">
        <v>0.51</v>
      </c>
      <c r="G5208" s="46">
        <f t="shared" si="14"/>
        <v>239.70000000000002</v>
      </c>
      <c r="H5208" s="236"/>
    </row>
    <row r="5209" spans="1:9" ht="15">
      <c r="A5209" s="6" t="s">
        <v>2553</v>
      </c>
      <c r="B5209" s="24" t="s">
        <v>1346</v>
      </c>
      <c r="C5209" s="44" t="s">
        <v>1033</v>
      </c>
      <c r="D5209" s="267" t="s">
        <v>1347</v>
      </c>
      <c r="E5209" s="261">
        <v>160</v>
      </c>
      <c r="F5209" s="46">
        <v>0.53</v>
      </c>
      <c r="G5209" s="46">
        <f t="shared" si="14"/>
        <v>84.800000000000011</v>
      </c>
      <c r="H5209" s="236"/>
    </row>
    <row r="5210" spans="1:9" ht="15">
      <c r="A5210" s="6" t="s">
        <v>2553</v>
      </c>
      <c r="B5210" s="24" t="s">
        <v>1346</v>
      </c>
      <c r="C5210" s="44" t="s">
        <v>1034</v>
      </c>
      <c r="D5210" s="267" t="s">
        <v>1347</v>
      </c>
      <c r="E5210" s="261">
        <v>60</v>
      </c>
      <c r="F5210" s="46">
        <v>0.54</v>
      </c>
      <c r="G5210" s="46">
        <f t="shared" si="14"/>
        <v>32.400000000000006</v>
      </c>
      <c r="H5210" s="236"/>
    </row>
    <row r="5211" spans="1:9" ht="15">
      <c r="A5211" s="6" t="s">
        <v>2553</v>
      </c>
      <c r="B5211" s="24"/>
      <c r="C5211" s="138"/>
      <c r="D5211" s="44" t="s">
        <v>2014</v>
      </c>
      <c r="E5211" s="45">
        <v>9</v>
      </c>
      <c r="F5211" s="46">
        <v>7</v>
      </c>
      <c r="G5211" s="46">
        <f t="shared" si="14"/>
        <v>63</v>
      </c>
      <c r="H5211" s="236"/>
    </row>
    <row r="5212" spans="1:9" ht="15">
      <c r="A5212" s="6" t="s">
        <v>2553</v>
      </c>
      <c r="B5212" s="24"/>
      <c r="C5212" s="138"/>
      <c r="D5212" s="44" t="s">
        <v>1993</v>
      </c>
      <c r="E5212" s="45">
        <v>1</v>
      </c>
      <c r="F5212" s="46">
        <v>12</v>
      </c>
      <c r="G5212" s="46">
        <f t="shared" si="14"/>
        <v>12</v>
      </c>
      <c r="H5212" s="236"/>
    </row>
    <row r="5213" spans="1:9" ht="15">
      <c r="A5213" s="302" t="s">
        <v>2553</v>
      </c>
      <c r="B5213" s="371"/>
      <c r="C5213" s="305"/>
      <c r="D5213" s="305" t="s">
        <v>1227</v>
      </c>
      <c r="E5213" s="307" t="s">
        <v>1228</v>
      </c>
      <c r="F5213" s="308"/>
      <c r="G5213" s="306"/>
      <c r="H5213" s="315">
        <v>0</v>
      </c>
      <c r="I5213" s="831"/>
    </row>
    <row r="5214" spans="1:9" ht="15.75">
      <c r="A5214" s="6" t="s">
        <v>2555</v>
      </c>
      <c r="B5214" s="402" t="s">
        <v>106</v>
      </c>
      <c r="C5214" s="402" t="s">
        <v>1710</v>
      </c>
      <c r="D5214" s="90" t="s">
        <v>1186</v>
      </c>
      <c r="E5214" s="90" t="s">
        <v>1652</v>
      </c>
      <c r="F5214" s="90" t="s">
        <v>1653</v>
      </c>
      <c r="G5214" s="90" t="s">
        <v>1825</v>
      </c>
      <c r="H5214" s="90" t="s">
        <v>846</v>
      </c>
    </row>
    <row r="5215" spans="1:9" ht="15">
      <c r="A5215" s="6" t="s">
        <v>2555</v>
      </c>
      <c r="B5215" s="24">
        <v>5654</v>
      </c>
      <c r="C5215" s="44" t="s">
        <v>1064</v>
      </c>
      <c r="D5215" s="151">
        <v>50</v>
      </c>
      <c r="E5215" s="152">
        <v>4</v>
      </c>
      <c r="F5215" s="67">
        <f>D5215*E5215</f>
        <v>200</v>
      </c>
      <c r="G5215" s="46">
        <v>0.3</v>
      </c>
      <c r="H5215" s="46">
        <f>G5215*F5215</f>
        <v>60</v>
      </c>
    </row>
    <row r="5216" spans="1:9" ht="15">
      <c r="A5216" s="6" t="s">
        <v>2555</v>
      </c>
      <c r="B5216" s="24">
        <v>5654</v>
      </c>
      <c r="C5216" s="44" t="s">
        <v>2013</v>
      </c>
      <c r="D5216" s="151">
        <v>50</v>
      </c>
      <c r="E5216" s="152">
        <v>4</v>
      </c>
      <c r="F5216" s="67">
        <f>D5216*E5216</f>
        <v>200</v>
      </c>
      <c r="G5216" s="46">
        <v>0.3</v>
      </c>
      <c r="H5216" s="46">
        <f>G5216*F5216</f>
        <v>60</v>
      </c>
    </row>
    <row r="5217" spans="1:8" ht="15">
      <c r="A5217" s="6" t="s">
        <v>2555</v>
      </c>
      <c r="B5217" s="24"/>
      <c r="C5217" s="44" t="s">
        <v>1993</v>
      </c>
      <c r="D5217" s="8"/>
      <c r="E5217" s="41"/>
      <c r="F5217" s="45">
        <v>1</v>
      </c>
      <c r="G5217" s="46">
        <v>12</v>
      </c>
      <c r="H5217" s="46">
        <f>G5217*F5217</f>
        <v>12</v>
      </c>
    </row>
    <row r="5221" spans="1:8" ht="15.75">
      <c r="A5221" s="99" t="s">
        <v>455</v>
      </c>
      <c r="B5221" s="99" t="s">
        <v>1035</v>
      </c>
      <c r="C5221" s="99" t="s">
        <v>1353</v>
      </c>
      <c r="D5221" s="402" t="s">
        <v>54</v>
      </c>
      <c r="E5221" s="90" t="s">
        <v>2558</v>
      </c>
      <c r="F5221" s="90" t="s">
        <v>846</v>
      </c>
      <c r="G5221" s="34" t="s">
        <v>1027</v>
      </c>
      <c r="H5221" s="39"/>
    </row>
    <row r="5222" spans="1:8" ht="15">
      <c r="A5222" s="24" t="s">
        <v>1346</v>
      </c>
      <c r="B5222" s="44" t="s">
        <v>1030</v>
      </c>
      <c r="C5222" s="267" t="s">
        <v>1445</v>
      </c>
      <c r="D5222" s="664">
        <v>81</v>
      </c>
      <c r="E5222" s="46">
        <v>0.49</v>
      </c>
      <c r="F5222" s="46">
        <f t="shared" ref="F5222:F5235" si="15">E5222*D5222</f>
        <v>39.69</v>
      </c>
    </row>
    <row r="5223" spans="1:8" ht="15">
      <c r="A5223" s="24" t="s">
        <v>1346</v>
      </c>
      <c r="B5223" s="44" t="s">
        <v>1032</v>
      </c>
      <c r="C5223" s="267" t="s">
        <v>1445</v>
      </c>
      <c r="D5223" s="664">
        <v>141</v>
      </c>
      <c r="E5223" s="46">
        <v>0.51</v>
      </c>
      <c r="F5223" s="46">
        <f t="shared" si="15"/>
        <v>71.91</v>
      </c>
    </row>
    <row r="5224" spans="1:8" ht="15">
      <c r="A5224" s="24" t="s">
        <v>1346</v>
      </c>
      <c r="B5224" s="44" t="s">
        <v>1033</v>
      </c>
      <c r="C5224" s="267" t="s">
        <v>1445</v>
      </c>
      <c r="D5224" s="664">
        <v>42</v>
      </c>
      <c r="E5224" s="46">
        <v>0.53</v>
      </c>
      <c r="F5224" s="46">
        <f t="shared" si="15"/>
        <v>22.26</v>
      </c>
    </row>
    <row r="5225" spans="1:8" ht="15">
      <c r="A5225" s="24" t="s">
        <v>1346</v>
      </c>
      <c r="B5225" s="44" t="s">
        <v>1034</v>
      </c>
      <c r="C5225" s="267" t="s">
        <v>1445</v>
      </c>
      <c r="D5225" s="664">
        <v>36</v>
      </c>
      <c r="E5225" s="46">
        <v>0.54</v>
      </c>
      <c r="F5225" s="46">
        <f t="shared" si="15"/>
        <v>19.440000000000001</v>
      </c>
    </row>
    <row r="5226" spans="1:8" ht="15">
      <c r="A5226" s="24" t="s">
        <v>1346</v>
      </c>
      <c r="B5226" s="44" t="s">
        <v>1030</v>
      </c>
      <c r="C5226" s="267" t="s">
        <v>1446</v>
      </c>
      <c r="D5226" s="664">
        <v>55</v>
      </c>
      <c r="E5226" s="46">
        <v>0.49</v>
      </c>
      <c r="F5226" s="46">
        <f t="shared" si="15"/>
        <v>26.95</v>
      </c>
    </row>
    <row r="5227" spans="1:8" ht="15">
      <c r="A5227" s="24" t="s">
        <v>1346</v>
      </c>
      <c r="B5227" s="44" t="s">
        <v>1032</v>
      </c>
      <c r="C5227" s="267" t="s">
        <v>1446</v>
      </c>
      <c r="D5227" s="664">
        <v>220</v>
      </c>
      <c r="E5227" s="46">
        <v>0.51</v>
      </c>
      <c r="F5227" s="46">
        <f t="shared" si="15"/>
        <v>112.2</v>
      </c>
    </row>
    <row r="5228" spans="1:8" ht="15">
      <c r="A5228" s="24" t="s">
        <v>1346</v>
      </c>
      <c r="B5228" s="44" t="s">
        <v>1033</v>
      </c>
      <c r="C5228" s="267" t="s">
        <v>1446</v>
      </c>
      <c r="D5228" s="664">
        <v>80</v>
      </c>
      <c r="E5228" s="46">
        <v>0.53</v>
      </c>
      <c r="F5228" s="46">
        <f t="shared" si="15"/>
        <v>42.400000000000006</v>
      </c>
    </row>
    <row r="5229" spans="1:8" ht="15">
      <c r="A5229" s="24" t="s">
        <v>1346</v>
      </c>
      <c r="B5229" s="44" t="s">
        <v>1034</v>
      </c>
      <c r="C5229" s="267" t="s">
        <v>1446</v>
      </c>
      <c r="D5229" s="664">
        <v>55</v>
      </c>
      <c r="E5229" s="46">
        <v>0.54</v>
      </c>
      <c r="F5229" s="46">
        <f t="shared" si="15"/>
        <v>29.700000000000003</v>
      </c>
    </row>
    <row r="5230" spans="1:8" ht="15">
      <c r="A5230" s="24" t="s">
        <v>1346</v>
      </c>
      <c r="B5230" s="44" t="s">
        <v>1030</v>
      </c>
      <c r="C5230" s="267" t="s">
        <v>1347</v>
      </c>
      <c r="D5230" s="664">
        <v>330</v>
      </c>
      <c r="E5230" s="46">
        <v>0.49</v>
      </c>
      <c r="F5230" s="46">
        <f t="shared" si="15"/>
        <v>161.69999999999999</v>
      </c>
    </row>
    <row r="5231" spans="1:8" ht="15">
      <c r="A5231" s="24" t="s">
        <v>1346</v>
      </c>
      <c r="B5231" s="44" t="s">
        <v>1032</v>
      </c>
      <c r="C5231" s="267" t="s">
        <v>1347</v>
      </c>
      <c r="D5231" s="664">
        <v>520</v>
      </c>
      <c r="E5231" s="46">
        <v>0.51</v>
      </c>
      <c r="F5231" s="46">
        <f t="shared" si="15"/>
        <v>265.2</v>
      </c>
    </row>
    <row r="5232" spans="1:8" ht="15">
      <c r="A5232" s="24" t="s">
        <v>1346</v>
      </c>
      <c r="B5232" s="44" t="s">
        <v>1033</v>
      </c>
      <c r="C5232" s="267" t="s">
        <v>1347</v>
      </c>
      <c r="D5232" s="664">
        <v>200</v>
      </c>
      <c r="E5232" s="46">
        <v>0.53</v>
      </c>
      <c r="F5232" s="46">
        <f t="shared" si="15"/>
        <v>106</v>
      </c>
    </row>
    <row r="5233" spans="1:7" ht="15">
      <c r="A5233" s="24" t="s">
        <v>1346</v>
      </c>
      <c r="B5233" s="44" t="s">
        <v>1034</v>
      </c>
      <c r="C5233" s="267" t="s">
        <v>1347</v>
      </c>
      <c r="D5233" s="664">
        <v>115</v>
      </c>
      <c r="E5233" s="46">
        <v>0.54</v>
      </c>
      <c r="F5233" s="46">
        <f t="shared" si="15"/>
        <v>62.1</v>
      </c>
    </row>
    <row r="5234" spans="1:7" ht="15">
      <c r="A5234" s="95"/>
      <c r="B5234" s="138"/>
      <c r="C5234" s="44" t="s">
        <v>2014</v>
      </c>
      <c r="D5234" s="45">
        <v>6</v>
      </c>
      <c r="E5234" s="46">
        <v>7</v>
      </c>
      <c r="F5234" s="46">
        <f t="shared" si="15"/>
        <v>42</v>
      </c>
    </row>
    <row r="5235" spans="1:7" ht="15">
      <c r="A5235" s="24"/>
      <c r="B5235" s="138"/>
      <c r="C5235" s="44" t="s">
        <v>1993</v>
      </c>
      <c r="D5235" s="45">
        <v>1</v>
      </c>
      <c r="E5235" s="46">
        <v>12</v>
      </c>
      <c r="F5235" s="46">
        <f t="shared" si="15"/>
        <v>12</v>
      </c>
    </row>
    <row r="5238" spans="1:7" ht="15.75">
      <c r="A5238" s="402" t="s">
        <v>106</v>
      </c>
      <c r="B5238" s="402" t="s">
        <v>1710</v>
      </c>
      <c r="C5238" s="90" t="s">
        <v>1186</v>
      </c>
      <c r="D5238" s="90" t="s">
        <v>1652</v>
      </c>
      <c r="E5238" s="90" t="s">
        <v>1653</v>
      </c>
      <c r="F5238" s="90" t="s">
        <v>1825</v>
      </c>
      <c r="G5238" s="90" t="s">
        <v>846</v>
      </c>
    </row>
    <row r="5239" spans="1:7" ht="15">
      <c r="A5239" s="24">
        <v>5654</v>
      </c>
      <c r="B5239" s="44" t="s">
        <v>1064</v>
      </c>
      <c r="C5239" s="151">
        <v>50</v>
      </c>
      <c r="D5239" s="152">
        <v>7</v>
      </c>
      <c r="E5239" s="67">
        <f>C5239*D5239</f>
        <v>350</v>
      </c>
      <c r="F5239" s="46">
        <v>0.3</v>
      </c>
      <c r="G5239" s="46">
        <f>F5239*E5239</f>
        <v>105</v>
      </c>
    </row>
    <row r="5240" spans="1:7" ht="15">
      <c r="A5240" s="24">
        <v>5654</v>
      </c>
      <c r="B5240" s="44" t="s">
        <v>2013</v>
      </c>
      <c r="C5240" s="151">
        <v>50</v>
      </c>
      <c r="D5240" s="152">
        <v>3</v>
      </c>
      <c r="E5240" s="67">
        <f>C5240*D5240</f>
        <v>150</v>
      </c>
      <c r="F5240" s="46">
        <v>0.3</v>
      </c>
      <c r="G5240" s="46">
        <f>F5240*E5240</f>
        <v>45</v>
      </c>
    </row>
    <row r="5241" spans="1:7" ht="15">
      <c r="A5241" s="24"/>
      <c r="B5241" s="44" t="s">
        <v>1993</v>
      </c>
      <c r="C5241" s="8"/>
      <c r="D5241" s="41"/>
      <c r="E5241" s="45">
        <v>1</v>
      </c>
      <c r="F5241" s="46">
        <v>12</v>
      </c>
      <c r="G5241" s="46">
        <f>F5241*E5241</f>
        <v>12</v>
      </c>
    </row>
    <row r="5244" spans="1:7">
      <c r="A5244" t="s">
        <v>2563</v>
      </c>
    </row>
    <row r="5245" spans="1:7" ht="30">
      <c r="A5245" s="844" t="s">
        <v>1400</v>
      </c>
      <c r="B5245" s="845" t="s">
        <v>2464</v>
      </c>
      <c r="C5245" s="846" t="s">
        <v>2561</v>
      </c>
      <c r="D5245" s="847" t="s">
        <v>1181</v>
      </c>
      <c r="E5245" s="848" t="s">
        <v>2467</v>
      </c>
      <c r="F5245" s="847" t="s">
        <v>1752</v>
      </c>
      <c r="G5245" s="836" t="s">
        <v>2562</v>
      </c>
    </row>
    <row r="5246" spans="1:7" s="843" customFormat="1" ht="24" customHeight="1">
      <c r="A5246" s="837" t="s">
        <v>804</v>
      </c>
      <c r="B5246" s="837" t="s">
        <v>2504</v>
      </c>
      <c r="C5246" s="838" t="s">
        <v>2501</v>
      </c>
      <c r="D5246" s="839" t="s">
        <v>2564</v>
      </c>
      <c r="E5246" s="840">
        <v>5</v>
      </c>
      <c r="F5246" s="841" t="s">
        <v>2502</v>
      </c>
      <c r="G5246" s="842" t="s">
        <v>5289</v>
      </c>
    </row>
    <row r="5247" spans="1:7" s="843" customFormat="1" ht="24" customHeight="1">
      <c r="A5247" s="837">
        <v>2440</v>
      </c>
      <c r="B5247" s="837" t="s">
        <v>2483</v>
      </c>
      <c r="C5247" s="838" t="s">
        <v>2482</v>
      </c>
      <c r="D5247" s="839" t="s">
        <v>2565</v>
      </c>
      <c r="E5247" s="840">
        <v>3.8899999999999997</v>
      </c>
      <c r="F5247" s="837"/>
      <c r="G5247" s="837"/>
    </row>
    <row r="5248" spans="1:7" s="843" customFormat="1" ht="24" customHeight="1">
      <c r="A5248" s="837">
        <v>5600</v>
      </c>
      <c r="B5248" s="837" t="s">
        <v>2486</v>
      </c>
      <c r="C5248" s="838" t="s">
        <v>1923</v>
      </c>
      <c r="D5248" s="839" t="s">
        <v>2565</v>
      </c>
      <c r="E5248" s="840">
        <v>7.7799999999999994</v>
      </c>
      <c r="F5248" s="837"/>
      <c r="G5248" s="837"/>
    </row>
    <row r="5249" spans="1:7" s="843" customFormat="1" ht="24" customHeight="1">
      <c r="A5249" s="837" t="s">
        <v>2566</v>
      </c>
      <c r="B5249" s="837" t="s">
        <v>2488</v>
      </c>
      <c r="C5249" s="838" t="s">
        <v>2482</v>
      </c>
      <c r="D5249" s="839" t="s">
        <v>2565</v>
      </c>
      <c r="E5249" s="840">
        <v>10</v>
      </c>
      <c r="F5249" s="837"/>
      <c r="G5249" s="837"/>
    </row>
    <row r="5250" spans="1:7" s="843" customFormat="1" ht="24" customHeight="1">
      <c r="A5250" s="837" t="s">
        <v>2567</v>
      </c>
      <c r="B5250" s="837" t="s">
        <v>2492</v>
      </c>
      <c r="C5250" s="838" t="s">
        <v>2491</v>
      </c>
      <c r="D5250" s="839" t="s">
        <v>2565</v>
      </c>
      <c r="E5250" s="840">
        <v>25</v>
      </c>
      <c r="F5250" s="841" t="s">
        <v>2472</v>
      </c>
      <c r="G5250" s="841"/>
    </row>
    <row r="5251" spans="1:7" s="843" customFormat="1" ht="24" customHeight="1">
      <c r="A5251" s="837" t="s">
        <v>2568</v>
      </c>
      <c r="B5251" s="837" t="s">
        <v>2479</v>
      </c>
      <c r="C5251" s="838" t="s">
        <v>2477</v>
      </c>
      <c r="D5251" s="839" t="s">
        <v>2565</v>
      </c>
      <c r="E5251" s="840">
        <v>5</v>
      </c>
      <c r="F5251" s="837"/>
      <c r="G5251" s="837"/>
    </row>
    <row r="5252" spans="1:7" s="843" customFormat="1" ht="24" customHeight="1">
      <c r="A5252" s="837">
        <v>5049</v>
      </c>
      <c r="B5252" s="837" t="s">
        <v>2523</v>
      </c>
      <c r="C5252" s="838" t="s">
        <v>1407</v>
      </c>
      <c r="D5252" s="839" t="s">
        <v>2565</v>
      </c>
      <c r="E5252" s="840">
        <v>6.25</v>
      </c>
      <c r="F5252" s="837"/>
      <c r="G5252" s="837"/>
    </row>
    <row r="5253" spans="1:7" s="843" customFormat="1" ht="24" customHeight="1">
      <c r="A5253" s="837" t="s">
        <v>2569</v>
      </c>
      <c r="B5253" s="837" t="s">
        <v>2538</v>
      </c>
      <c r="C5253" s="838" t="s">
        <v>1404</v>
      </c>
      <c r="D5253" s="839" t="s">
        <v>2565</v>
      </c>
      <c r="E5253" s="840">
        <v>15.28</v>
      </c>
      <c r="F5253" s="837"/>
      <c r="G5253" s="837"/>
    </row>
    <row r="5255" spans="1:7">
      <c r="A5255" t="s">
        <v>2570</v>
      </c>
    </row>
    <row r="5256" spans="1:7" s="843" customFormat="1" ht="30">
      <c r="A5256" s="844" t="s">
        <v>1400</v>
      </c>
      <c r="B5256" s="845" t="s">
        <v>2464</v>
      </c>
      <c r="C5256" s="846" t="s">
        <v>2561</v>
      </c>
      <c r="D5256" s="847" t="s">
        <v>1181</v>
      </c>
      <c r="E5256" s="848" t="s">
        <v>2467</v>
      </c>
      <c r="F5256" s="847" t="s">
        <v>1752</v>
      </c>
      <c r="G5256" s="847" t="s">
        <v>2562</v>
      </c>
    </row>
    <row r="5257" spans="1:7" ht="36">
      <c r="A5257" s="837" t="s">
        <v>804</v>
      </c>
      <c r="B5257" s="837" t="s">
        <v>2504</v>
      </c>
      <c r="C5257" s="838" t="s">
        <v>2501</v>
      </c>
      <c r="D5257" s="839" t="s">
        <v>2564</v>
      </c>
      <c r="E5257" s="840">
        <v>5</v>
      </c>
      <c r="F5257" s="841" t="s">
        <v>2502</v>
      </c>
      <c r="G5257" s="842" t="s">
        <v>5289</v>
      </c>
    </row>
    <row r="5258" spans="1:7" s="843" customFormat="1" ht="24" customHeight="1">
      <c r="A5258" s="837" t="s">
        <v>2571</v>
      </c>
      <c r="B5258" s="837" t="s">
        <v>2518</v>
      </c>
      <c r="C5258" s="838" t="s">
        <v>1407</v>
      </c>
      <c r="D5258" s="839" t="s">
        <v>2565</v>
      </c>
      <c r="E5258" s="840">
        <v>9.0299999999999994</v>
      </c>
      <c r="F5258" s="837"/>
      <c r="G5258" s="837"/>
    </row>
    <row r="5260" spans="1:7">
      <c r="A5260" t="s">
        <v>2572</v>
      </c>
    </row>
    <row r="5261" spans="1:7" s="843" customFormat="1" ht="30">
      <c r="A5261" s="844" t="s">
        <v>1400</v>
      </c>
      <c r="B5261" s="845" t="s">
        <v>2464</v>
      </c>
      <c r="C5261" s="846" t="s">
        <v>2561</v>
      </c>
      <c r="D5261" s="847" t="s">
        <v>1181</v>
      </c>
      <c r="E5261" s="848" t="s">
        <v>2467</v>
      </c>
      <c r="F5261" s="847" t="s">
        <v>1752</v>
      </c>
      <c r="G5261" s="847" t="s">
        <v>2562</v>
      </c>
    </row>
    <row r="5262" spans="1:7" s="843" customFormat="1" ht="24" customHeight="1">
      <c r="A5262" s="837" t="s">
        <v>2573</v>
      </c>
      <c r="B5262" s="837" t="s">
        <v>2574</v>
      </c>
      <c r="C5262" s="838" t="s">
        <v>2575</v>
      </c>
      <c r="D5262" s="849" t="s">
        <v>5290</v>
      </c>
      <c r="E5262" s="840">
        <v>5</v>
      </c>
      <c r="F5262" s="837"/>
      <c r="G5262" s="837"/>
    </row>
    <row r="5263" spans="1:7" s="843" customFormat="1" ht="24" customHeight="1">
      <c r="A5263" s="837">
        <v>2440</v>
      </c>
      <c r="B5263" s="837" t="s">
        <v>2483</v>
      </c>
      <c r="C5263" s="838" t="s">
        <v>2482</v>
      </c>
      <c r="D5263" s="839" t="s">
        <v>2565</v>
      </c>
      <c r="E5263" s="840">
        <v>3.8899999999999997</v>
      </c>
      <c r="F5263" s="837"/>
      <c r="G5263" s="837"/>
    </row>
    <row r="5264" spans="1:7" s="843" customFormat="1" ht="24" customHeight="1">
      <c r="A5264" s="837" t="s">
        <v>2576</v>
      </c>
      <c r="B5264" s="837" t="s">
        <v>2510</v>
      </c>
      <c r="C5264" s="838" t="s">
        <v>2509</v>
      </c>
      <c r="D5264" s="839" t="s">
        <v>2564</v>
      </c>
      <c r="E5264" s="840">
        <v>4.59</v>
      </c>
      <c r="F5264" s="841" t="s">
        <v>2506</v>
      </c>
      <c r="G5264" s="850" t="s">
        <v>5291</v>
      </c>
    </row>
    <row r="5265" spans="1:7" s="843" customFormat="1" ht="24" customHeight="1">
      <c r="A5265" s="837" t="s">
        <v>2577</v>
      </c>
      <c r="B5265" s="837" t="s">
        <v>2474</v>
      </c>
      <c r="C5265" s="838" t="s">
        <v>2471</v>
      </c>
      <c r="D5265" s="839" t="s">
        <v>2565</v>
      </c>
      <c r="E5265" s="840">
        <v>63.89</v>
      </c>
      <c r="F5265" s="841" t="s">
        <v>2472</v>
      </c>
      <c r="G5265" s="841"/>
    </row>
    <row r="5266" spans="1:7" s="843" customFormat="1" ht="24" customHeight="1">
      <c r="A5266" s="837" t="s">
        <v>2578</v>
      </c>
      <c r="B5266" s="837" t="s">
        <v>2546</v>
      </c>
      <c r="C5266" s="838" t="s">
        <v>2495</v>
      </c>
      <c r="D5266" s="839" t="s">
        <v>2565</v>
      </c>
      <c r="E5266" s="840">
        <v>10.56</v>
      </c>
      <c r="F5266" s="837"/>
      <c r="G5266" s="837"/>
    </row>
    <row r="5267" spans="1:7" s="843" customFormat="1" ht="24" customHeight="1">
      <c r="A5267" s="837">
        <v>5081</v>
      </c>
      <c r="B5267" s="837" t="s">
        <v>2529</v>
      </c>
      <c r="C5267" s="838" t="s">
        <v>2527</v>
      </c>
      <c r="D5267" s="839" t="s">
        <v>2565</v>
      </c>
      <c r="E5267" s="840">
        <v>10.7</v>
      </c>
      <c r="F5267" s="837"/>
      <c r="G5267" s="837"/>
    </row>
    <row r="5268" spans="1:7" s="843" customFormat="1" ht="24" customHeight="1">
      <c r="A5268" s="837">
        <v>3950</v>
      </c>
      <c r="B5268" s="837" t="s">
        <v>2516</v>
      </c>
      <c r="C5268" s="838" t="s">
        <v>2514</v>
      </c>
      <c r="D5268" s="839" t="s">
        <v>2565</v>
      </c>
      <c r="E5268" s="840">
        <v>12.64</v>
      </c>
      <c r="F5268" s="837"/>
      <c r="G5268" s="837"/>
    </row>
    <row r="5270" spans="1:7">
      <c r="A5270" t="s">
        <v>2579</v>
      </c>
    </row>
    <row r="5271" spans="1:7" s="843" customFormat="1" ht="30">
      <c r="A5271" s="844" t="s">
        <v>1400</v>
      </c>
      <c r="B5271" s="845" t="s">
        <v>2464</v>
      </c>
      <c r="C5271" s="846" t="s">
        <v>2561</v>
      </c>
      <c r="D5271" s="847" t="s">
        <v>1181</v>
      </c>
      <c r="E5271" s="848" t="s">
        <v>2467</v>
      </c>
      <c r="F5271" s="847" t="s">
        <v>1752</v>
      </c>
      <c r="G5271" s="847" t="s">
        <v>2562</v>
      </c>
    </row>
    <row r="5272" spans="1:7" s="843" customFormat="1" ht="24" customHeight="1">
      <c r="A5272" s="837" t="s">
        <v>792</v>
      </c>
      <c r="B5272" s="837" t="s">
        <v>2534</v>
      </c>
      <c r="C5272" s="838" t="s">
        <v>2532</v>
      </c>
      <c r="D5272" s="839" t="s">
        <v>2565</v>
      </c>
      <c r="E5272" s="840">
        <v>10</v>
      </c>
      <c r="F5272" s="837"/>
      <c r="G5272" s="837"/>
    </row>
    <row r="5273" spans="1:7" s="843" customFormat="1" ht="24" customHeight="1">
      <c r="A5273" s="837" t="s">
        <v>804</v>
      </c>
      <c r="B5273" s="837" t="s">
        <v>2504</v>
      </c>
      <c r="C5273" s="838" t="s">
        <v>2501</v>
      </c>
      <c r="D5273" s="839" t="s">
        <v>2564</v>
      </c>
      <c r="E5273" s="840">
        <v>5</v>
      </c>
      <c r="F5273" s="841" t="s">
        <v>2502</v>
      </c>
      <c r="G5273" s="842" t="s">
        <v>5289</v>
      </c>
    </row>
    <row r="5274" spans="1:7" s="843" customFormat="1" ht="24" customHeight="1">
      <c r="A5274" s="837" t="s">
        <v>805</v>
      </c>
      <c r="B5274" s="837" t="s">
        <v>2498</v>
      </c>
      <c r="C5274" s="838" t="s">
        <v>2495</v>
      </c>
      <c r="D5274" s="839" t="s">
        <v>2564</v>
      </c>
      <c r="E5274" s="840">
        <v>4.45</v>
      </c>
      <c r="F5274" s="837"/>
      <c r="G5274" s="850" t="s">
        <v>5291</v>
      </c>
    </row>
    <row r="5275" spans="1:7" s="843" customFormat="1" ht="24" customHeight="1">
      <c r="A5275" s="837">
        <v>5049</v>
      </c>
      <c r="B5275" s="837" t="s">
        <v>2523</v>
      </c>
      <c r="C5275" s="838" t="s">
        <v>1407</v>
      </c>
      <c r="D5275" s="839" t="s">
        <v>2565</v>
      </c>
      <c r="E5275" s="840">
        <v>6.25</v>
      </c>
      <c r="F5275" s="837"/>
      <c r="G5275" s="837"/>
    </row>
    <row r="5277" spans="1:7">
      <c r="A5277" t="s">
        <v>2580</v>
      </c>
    </row>
    <row r="5278" spans="1:7" s="843" customFormat="1" ht="30">
      <c r="A5278" s="844" t="s">
        <v>1400</v>
      </c>
      <c r="B5278" s="845" t="s">
        <v>2464</v>
      </c>
      <c r="C5278" s="846" t="s">
        <v>2561</v>
      </c>
      <c r="D5278" s="847" t="s">
        <v>1181</v>
      </c>
      <c r="E5278" s="848" t="s">
        <v>2467</v>
      </c>
      <c r="F5278" s="847" t="s">
        <v>1752</v>
      </c>
      <c r="G5278" s="847" t="s">
        <v>2562</v>
      </c>
    </row>
    <row r="5279" spans="1:7" s="843" customFormat="1" ht="24" customHeight="1">
      <c r="A5279" s="837" t="s">
        <v>2568</v>
      </c>
      <c r="B5279" s="837" t="s">
        <v>2479</v>
      </c>
      <c r="C5279" s="838" t="s">
        <v>2477</v>
      </c>
      <c r="D5279" s="839" t="s">
        <v>2565</v>
      </c>
      <c r="E5279" s="840">
        <v>5</v>
      </c>
      <c r="F5279" s="837"/>
      <c r="G5279" s="837"/>
    </row>
    <row r="5280" spans="1:7" s="843" customFormat="1" ht="24" customHeight="1">
      <c r="A5280" s="837" t="s">
        <v>792</v>
      </c>
      <c r="B5280" s="837" t="s">
        <v>2534</v>
      </c>
      <c r="C5280" s="838" t="s">
        <v>2532</v>
      </c>
      <c r="D5280" s="839" t="s">
        <v>2565</v>
      </c>
      <c r="E5280" s="840">
        <v>10</v>
      </c>
      <c r="F5280" s="837"/>
      <c r="G5280" s="837"/>
    </row>
    <row r="5281" spans="1:251" s="843" customFormat="1" ht="24" customHeight="1">
      <c r="A5281" s="837">
        <v>5600</v>
      </c>
      <c r="B5281" s="837" t="s">
        <v>2486</v>
      </c>
      <c r="C5281" s="838" t="s">
        <v>1923</v>
      </c>
      <c r="D5281" s="839" t="s">
        <v>2565</v>
      </c>
      <c r="E5281" s="840">
        <v>7.7799999999999994</v>
      </c>
      <c r="F5281" s="837"/>
      <c r="G5281" s="837"/>
    </row>
    <row r="5283" spans="1:251">
      <c r="A5283" t="s">
        <v>2581</v>
      </c>
    </row>
    <row r="5284" spans="1:251" s="843" customFormat="1" ht="30">
      <c r="A5284" s="844" t="s">
        <v>1400</v>
      </c>
      <c r="B5284" s="845" t="s">
        <v>2464</v>
      </c>
      <c r="C5284" s="846" t="s">
        <v>2561</v>
      </c>
      <c r="D5284" s="847" t="s">
        <v>1181</v>
      </c>
      <c r="E5284" s="848" t="s">
        <v>2467</v>
      </c>
      <c r="F5284" s="847" t="s">
        <v>1752</v>
      </c>
      <c r="G5284" s="847" t="s">
        <v>2562</v>
      </c>
    </row>
    <row r="5285" spans="1:251" s="843" customFormat="1" ht="24" customHeight="1">
      <c r="A5285" s="837" t="s">
        <v>804</v>
      </c>
      <c r="B5285" s="837" t="s">
        <v>2504</v>
      </c>
      <c r="C5285" s="838" t="s">
        <v>2501</v>
      </c>
      <c r="D5285" s="839" t="s">
        <v>2564</v>
      </c>
      <c r="E5285" s="840">
        <v>5</v>
      </c>
      <c r="F5285" s="841" t="s">
        <v>2502</v>
      </c>
      <c r="G5285" s="842" t="s">
        <v>5289</v>
      </c>
    </row>
    <row r="5287" spans="1:251">
      <c r="A5287" t="s">
        <v>2582</v>
      </c>
    </row>
    <row r="5288" spans="1:251" ht="30">
      <c r="A5288" s="728" t="s">
        <v>1603</v>
      </c>
      <c r="B5288" s="728" t="s">
        <v>2317</v>
      </c>
      <c r="C5288" s="728" t="s">
        <v>2316</v>
      </c>
      <c r="D5288" s="851" t="s">
        <v>5281</v>
      </c>
      <c r="E5288" s="853" t="s">
        <v>1623</v>
      </c>
      <c r="F5288" s="729" t="s">
        <v>5282</v>
      </c>
      <c r="G5288" s="729" t="s">
        <v>5292</v>
      </c>
      <c r="H5288" s="766"/>
      <c r="I5288" s="766"/>
      <c r="J5288" s="766"/>
      <c r="K5288" s="766"/>
      <c r="L5288" s="766"/>
      <c r="M5288" s="766"/>
      <c r="N5288" s="766"/>
      <c r="O5288" s="766"/>
      <c r="P5288" s="766"/>
      <c r="Q5288" s="766"/>
      <c r="R5288" s="766"/>
      <c r="S5288" s="766"/>
      <c r="T5288" s="766"/>
      <c r="U5288" s="766"/>
      <c r="V5288" s="766"/>
      <c r="W5288" s="766"/>
      <c r="X5288" s="766"/>
      <c r="Y5288" s="766"/>
      <c r="Z5288" s="766"/>
      <c r="AA5288" s="766"/>
      <c r="AB5288" s="766"/>
      <c r="AC5288" s="766"/>
      <c r="AD5288" s="766"/>
      <c r="AE5288" s="766"/>
      <c r="AF5288" s="766"/>
      <c r="AG5288" s="766"/>
      <c r="AH5288" s="766"/>
      <c r="AI5288" s="766"/>
      <c r="AJ5288" s="766"/>
      <c r="AK5288" s="766"/>
      <c r="AL5288" s="766"/>
      <c r="AM5288" s="766"/>
      <c r="AN5288" s="766"/>
      <c r="AO5288" s="766"/>
      <c r="AP5288" s="766"/>
      <c r="AQ5288" s="766"/>
      <c r="AR5288" s="766"/>
      <c r="AS5288" s="766"/>
      <c r="AT5288" s="766"/>
      <c r="AU5288" s="766"/>
      <c r="AV5288" s="766"/>
      <c r="AW5288" s="766"/>
      <c r="AX5288" s="766"/>
      <c r="AY5288" s="766"/>
      <c r="AZ5288" s="766"/>
      <c r="BA5288" s="766"/>
      <c r="BB5288" s="766"/>
      <c r="BC5288" s="766"/>
      <c r="BD5288" s="766"/>
      <c r="BE5288" s="766"/>
      <c r="BF5288" s="766"/>
      <c r="BG5288" s="766"/>
      <c r="BH5288" s="766"/>
      <c r="BI5288" s="766"/>
      <c r="BJ5288" s="766"/>
      <c r="BK5288" s="766"/>
      <c r="BL5288" s="766"/>
      <c r="BM5288" s="766"/>
      <c r="BN5288" s="766"/>
      <c r="BO5288" s="766"/>
      <c r="BP5288" s="766"/>
      <c r="BQ5288" s="766"/>
      <c r="BR5288" s="766"/>
      <c r="BS5288" s="766"/>
      <c r="BT5288" s="766"/>
      <c r="BU5288" s="766"/>
      <c r="BV5288" s="766"/>
      <c r="BW5288" s="766"/>
      <c r="BX5288" s="766"/>
      <c r="BY5288" s="766"/>
      <c r="BZ5288" s="766"/>
      <c r="CA5288" s="766"/>
      <c r="CB5288" s="766"/>
      <c r="CC5288" s="766"/>
      <c r="CD5288" s="766"/>
      <c r="CE5288" s="766"/>
      <c r="CF5288" s="766"/>
      <c r="CG5288" s="766"/>
      <c r="CH5288" s="766"/>
      <c r="CI5288" s="766"/>
      <c r="CJ5288" s="766"/>
      <c r="CK5288" s="766"/>
      <c r="CL5288" s="766"/>
      <c r="CM5288" s="766"/>
      <c r="CN5288" s="766"/>
      <c r="CO5288" s="766"/>
      <c r="CP5288" s="766"/>
      <c r="CQ5288" s="766"/>
      <c r="CR5288" s="766"/>
      <c r="CS5288" s="766"/>
      <c r="CT5288" s="766"/>
      <c r="CU5288" s="766"/>
      <c r="CV5288" s="766"/>
      <c r="CW5288" s="766"/>
      <c r="CX5288" s="766"/>
      <c r="CY5288" s="766"/>
      <c r="CZ5288" s="766"/>
      <c r="DA5288" s="766"/>
      <c r="DB5288" s="766"/>
      <c r="DC5288" s="766"/>
      <c r="DD5288" s="766"/>
      <c r="DE5288" s="766"/>
      <c r="DF5288" s="766"/>
      <c r="DG5288" s="766"/>
      <c r="DH5288" s="766"/>
      <c r="DI5288" s="766"/>
      <c r="DJ5288" s="766"/>
      <c r="DK5288" s="766"/>
      <c r="DL5288" s="766"/>
      <c r="DM5288" s="766"/>
      <c r="DN5288" s="766"/>
      <c r="DO5288" s="766"/>
      <c r="DP5288" s="766"/>
      <c r="DQ5288" s="766"/>
      <c r="DR5288" s="766"/>
      <c r="DS5288" s="766"/>
      <c r="DT5288" s="766"/>
      <c r="DU5288" s="766"/>
      <c r="DV5288" s="766"/>
      <c r="DW5288" s="766"/>
      <c r="DX5288" s="766"/>
      <c r="DY5288" s="766"/>
      <c r="DZ5288" s="766"/>
      <c r="EA5288" s="766"/>
      <c r="EB5288" s="766"/>
      <c r="EC5288" s="766"/>
      <c r="ED5288" s="766"/>
      <c r="EE5288" s="766"/>
      <c r="EF5288" s="766"/>
      <c r="EG5288" s="766"/>
      <c r="EH5288" s="766"/>
      <c r="EI5288" s="766"/>
      <c r="EJ5288" s="766"/>
      <c r="EK5288" s="766"/>
      <c r="EL5288" s="766"/>
      <c r="EM5288" s="766"/>
      <c r="EN5288" s="766"/>
      <c r="EO5288" s="766"/>
      <c r="EP5288" s="766"/>
      <c r="EQ5288" s="766"/>
      <c r="ER5288" s="766"/>
      <c r="ES5288" s="766"/>
      <c r="ET5288" s="766"/>
      <c r="EU5288" s="766"/>
      <c r="EV5288" s="766"/>
      <c r="EW5288" s="766"/>
      <c r="EX5288" s="766"/>
      <c r="EY5288" s="766"/>
      <c r="EZ5288" s="766"/>
      <c r="FA5288" s="766"/>
      <c r="FB5288" s="766"/>
      <c r="FC5288" s="766"/>
      <c r="FD5288" s="766"/>
      <c r="FE5288" s="766"/>
      <c r="FF5288" s="766"/>
      <c r="FG5288" s="766"/>
      <c r="FH5288" s="766"/>
      <c r="FI5288" s="766"/>
      <c r="FJ5288" s="766"/>
      <c r="FK5288" s="766"/>
      <c r="FL5288" s="766"/>
      <c r="FM5288" s="766"/>
      <c r="FN5288" s="766"/>
      <c r="FO5288" s="766"/>
      <c r="FP5288" s="766"/>
      <c r="FQ5288" s="766"/>
      <c r="FR5288" s="766"/>
      <c r="FS5288" s="766"/>
      <c r="FT5288" s="766"/>
      <c r="FU5288" s="766"/>
      <c r="FV5288" s="766"/>
      <c r="FW5288" s="766"/>
      <c r="FX5288" s="766"/>
      <c r="FY5288" s="766"/>
      <c r="FZ5288" s="766"/>
      <c r="GA5288" s="766"/>
      <c r="GB5288" s="766"/>
      <c r="GC5288" s="766"/>
      <c r="GD5288" s="766"/>
      <c r="GE5288" s="766"/>
      <c r="GF5288" s="766"/>
      <c r="GG5288" s="766"/>
      <c r="GH5288" s="766"/>
      <c r="GI5288" s="766"/>
      <c r="GJ5288" s="766"/>
      <c r="GK5288" s="766"/>
      <c r="GL5288" s="766"/>
      <c r="GM5288" s="766"/>
      <c r="GN5288" s="766"/>
      <c r="GO5288" s="766"/>
      <c r="GP5288" s="766"/>
      <c r="GQ5288" s="766"/>
      <c r="GR5288" s="766"/>
      <c r="GS5288" s="766"/>
      <c r="GT5288" s="766"/>
      <c r="GU5288" s="766"/>
      <c r="GV5288" s="766"/>
      <c r="GW5288" s="766"/>
      <c r="GX5288" s="766"/>
      <c r="GY5288" s="766"/>
      <c r="GZ5288" s="766"/>
      <c r="HA5288" s="766"/>
      <c r="HB5288" s="766"/>
      <c r="HC5288" s="766"/>
      <c r="HD5288" s="766"/>
      <c r="HE5288" s="766"/>
      <c r="HF5288" s="766"/>
      <c r="HG5288" s="766"/>
      <c r="HH5288" s="766"/>
      <c r="HI5288" s="766"/>
      <c r="HJ5288" s="766"/>
      <c r="HK5288" s="766"/>
      <c r="HL5288" s="766"/>
      <c r="HM5288" s="766"/>
      <c r="HN5288" s="766"/>
      <c r="HO5288" s="766"/>
      <c r="HP5288" s="766"/>
      <c r="HQ5288" s="766"/>
      <c r="HR5288" s="766"/>
      <c r="HS5288" s="766"/>
      <c r="HT5288" s="766"/>
      <c r="HU5288" s="766"/>
      <c r="HV5288" s="766"/>
      <c r="HW5288" s="766"/>
      <c r="HX5288" s="766"/>
      <c r="HY5288" s="766"/>
      <c r="HZ5288" s="766"/>
      <c r="IA5288" s="766"/>
      <c r="IB5288" s="766"/>
      <c r="IC5288" s="766"/>
      <c r="ID5288" s="766"/>
      <c r="IE5288" s="766"/>
      <c r="IF5288" s="766"/>
      <c r="IG5288" s="766"/>
      <c r="IH5288" s="766"/>
      <c r="II5288" s="766"/>
      <c r="IJ5288" s="766"/>
      <c r="IK5288" s="766"/>
      <c r="IL5288" s="766"/>
      <c r="IM5288" s="766"/>
      <c r="IN5288" s="766"/>
      <c r="IO5288" s="766"/>
      <c r="IP5288" s="766"/>
      <c r="IQ5288" s="766"/>
    </row>
    <row r="5289" spans="1:251" ht="14.25">
      <c r="A5289" s="726" t="s">
        <v>2583</v>
      </c>
      <c r="B5289" s="720" t="s">
        <v>129</v>
      </c>
      <c r="C5289" s="720" t="s">
        <v>2341</v>
      </c>
      <c r="D5289" s="852">
        <v>5</v>
      </c>
      <c r="E5289" s="854">
        <v>5.93</v>
      </c>
      <c r="F5289" s="720" t="s">
        <v>2584</v>
      </c>
      <c r="G5289" s="722">
        <v>125</v>
      </c>
    </row>
    <row r="5290" spans="1:251" ht="14.25">
      <c r="A5290" s="726" t="s">
        <v>2585</v>
      </c>
      <c r="B5290" s="720" t="s">
        <v>2586</v>
      </c>
      <c r="C5290" s="720" t="s">
        <v>2341</v>
      </c>
      <c r="D5290" s="852">
        <v>5.0599999999999996</v>
      </c>
      <c r="E5290" s="854">
        <v>5.99</v>
      </c>
      <c r="F5290" s="720" t="s">
        <v>2584</v>
      </c>
      <c r="G5290" s="722">
        <v>125</v>
      </c>
    </row>
    <row r="5291" spans="1:251" ht="14.25">
      <c r="A5291" s="726" t="s">
        <v>2590</v>
      </c>
      <c r="B5291" s="720" t="s">
        <v>2351</v>
      </c>
      <c r="C5291" s="720" t="s">
        <v>2341</v>
      </c>
      <c r="D5291" s="852">
        <v>7.39</v>
      </c>
      <c r="E5291" s="854" t="s">
        <v>2345</v>
      </c>
      <c r="F5291" s="720" t="s">
        <v>2346</v>
      </c>
      <c r="G5291" s="727" t="s">
        <v>2346</v>
      </c>
    </row>
    <row r="5292" spans="1:251" ht="14.25">
      <c r="A5292" s="726" t="s">
        <v>2587</v>
      </c>
      <c r="B5292" s="720" t="s">
        <v>129</v>
      </c>
      <c r="C5292" s="720" t="s">
        <v>2341</v>
      </c>
      <c r="D5292" s="852">
        <v>4.38</v>
      </c>
      <c r="E5292" s="854">
        <v>5.12</v>
      </c>
      <c r="F5292" s="720" t="s">
        <v>2588</v>
      </c>
      <c r="G5292" s="722">
        <v>125</v>
      </c>
    </row>
    <row r="5293" spans="1:251" ht="14.25">
      <c r="A5293" s="720" t="s">
        <v>2589</v>
      </c>
      <c r="B5293" s="720" t="s">
        <v>200</v>
      </c>
      <c r="C5293" s="727" t="s">
        <v>2341</v>
      </c>
      <c r="D5293" s="852">
        <v>6.3199999999999994</v>
      </c>
      <c r="E5293" s="854" t="s">
        <v>2345</v>
      </c>
      <c r="F5293" s="720" t="s">
        <v>2346</v>
      </c>
      <c r="G5293" s="720" t="s">
        <v>2346</v>
      </c>
    </row>
    <row r="5297" spans="1:117" ht="15.75">
      <c r="A5297" s="402" t="s">
        <v>106</v>
      </c>
      <c r="B5297" s="402" t="s">
        <v>52</v>
      </c>
      <c r="C5297" s="402" t="s">
        <v>1710</v>
      </c>
      <c r="D5297" s="90" t="s">
        <v>1186</v>
      </c>
      <c r="E5297" s="90" t="s">
        <v>1652</v>
      </c>
      <c r="F5297" s="90" t="s">
        <v>1653</v>
      </c>
      <c r="G5297" s="90" t="s">
        <v>1825</v>
      </c>
    </row>
    <row r="5298" spans="1:117" ht="15">
      <c r="A5298" s="24" t="s">
        <v>2593</v>
      </c>
      <c r="B5298" s="26">
        <v>30</v>
      </c>
      <c r="C5298" s="24" t="s">
        <v>2594</v>
      </c>
      <c r="D5298" s="151">
        <v>30</v>
      </c>
      <c r="E5298" s="152">
        <v>1</v>
      </c>
      <c r="F5298" s="67">
        <f>D5298*E5298</f>
        <v>30</v>
      </c>
      <c r="G5298" s="25">
        <v>4.26</v>
      </c>
    </row>
    <row r="5299" spans="1:117" ht="15">
      <c r="A5299" s="24"/>
      <c r="B5299" s="138"/>
      <c r="C5299" s="44" t="s">
        <v>1993</v>
      </c>
      <c r="D5299" s="8"/>
      <c r="E5299" s="41"/>
      <c r="F5299" s="45">
        <v>1</v>
      </c>
      <c r="G5299" s="46">
        <v>12</v>
      </c>
    </row>
    <row r="5300" spans="1:117" ht="15">
      <c r="A5300" s="12"/>
      <c r="B5300" s="769"/>
      <c r="C5300" s="612"/>
      <c r="D5300" s="453"/>
      <c r="E5300" s="454"/>
      <c r="F5300" s="770"/>
      <c r="G5300" s="180"/>
    </row>
    <row r="5301" spans="1:117">
      <c r="A5301" t="s">
        <v>2595</v>
      </c>
    </row>
    <row r="5302" spans="1:117" s="694" customFormat="1" ht="31.5">
      <c r="A5302" s="859" t="s">
        <v>1369</v>
      </c>
      <c r="B5302" s="855" t="s">
        <v>377</v>
      </c>
      <c r="C5302" s="856" t="s">
        <v>2</v>
      </c>
      <c r="D5302" s="857" t="s">
        <v>1734</v>
      </c>
      <c r="E5302" s="858" t="s">
        <v>3117</v>
      </c>
    </row>
    <row r="5303" spans="1:117" s="696" customFormat="1" ht="15" customHeight="1">
      <c r="A5303" s="147" t="s">
        <v>2266</v>
      </c>
      <c r="B5303" s="26">
        <v>6</v>
      </c>
      <c r="C5303" s="148">
        <v>20</v>
      </c>
      <c r="D5303" s="34" t="s">
        <v>1812</v>
      </c>
      <c r="E5303" s="624">
        <v>1.56</v>
      </c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  <c r="Y5303" s="18"/>
      <c r="Z5303" s="18"/>
      <c r="AA5303" s="18"/>
      <c r="AB5303" s="18"/>
      <c r="AC5303" s="18"/>
      <c r="AD5303" s="18"/>
      <c r="AE5303" s="18"/>
      <c r="AF5303" s="18"/>
      <c r="AG5303" s="18"/>
      <c r="AH5303" s="18"/>
      <c r="AI5303" s="18"/>
      <c r="AJ5303" s="18"/>
      <c r="AK5303" s="18"/>
      <c r="AL5303" s="18"/>
      <c r="AM5303" s="18"/>
      <c r="AN5303" s="18"/>
      <c r="AO5303" s="18"/>
      <c r="AP5303" s="18"/>
      <c r="AQ5303" s="18"/>
      <c r="AR5303" s="18"/>
      <c r="AS5303" s="18"/>
      <c r="AT5303" s="18"/>
      <c r="AU5303" s="18"/>
      <c r="AV5303" s="18"/>
      <c r="AW5303" s="18"/>
      <c r="AX5303" s="18"/>
      <c r="AY5303" s="18"/>
      <c r="AZ5303" s="18"/>
      <c r="BA5303" s="18"/>
      <c r="BB5303" s="18"/>
      <c r="BC5303" s="18"/>
      <c r="BD5303" s="18"/>
      <c r="BE5303" s="18"/>
      <c r="BF5303" s="18"/>
      <c r="BG5303" s="18"/>
      <c r="BH5303" s="18"/>
      <c r="BI5303" s="18"/>
      <c r="BJ5303" s="18"/>
      <c r="BK5303" s="18"/>
      <c r="BL5303" s="18"/>
      <c r="BM5303" s="18"/>
      <c r="BN5303" s="18"/>
      <c r="BO5303" s="18"/>
      <c r="BP5303" s="18"/>
      <c r="BQ5303" s="18"/>
      <c r="BR5303" s="18"/>
      <c r="BS5303" s="18"/>
      <c r="BT5303" s="18"/>
      <c r="BU5303" s="18"/>
      <c r="BV5303" s="18"/>
      <c r="BW5303" s="18"/>
      <c r="BX5303" s="18"/>
      <c r="BY5303" s="18"/>
      <c r="BZ5303" s="18"/>
      <c r="CA5303" s="18"/>
      <c r="CB5303" s="18"/>
      <c r="CC5303" s="18"/>
      <c r="CD5303" s="18"/>
      <c r="CE5303" s="18"/>
      <c r="CF5303" s="18"/>
      <c r="CG5303" s="18"/>
      <c r="CH5303" s="18"/>
      <c r="CI5303" s="18"/>
      <c r="CJ5303" s="18"/>
      <c r="CK5303" s="18"/>
      <c r="CL5303" s="18"/>
      <c r="CM5303" s="18"/>
      <c r="CN5303" s="18"/>
      <c r="CO5303" s="18"/>
      <c r="CP5303" s="18"/>
      <c r="CQ5303" s="18"/>
      <c r="CR5303" s="18"/>
      <c r="CS5303" s="18"/>
      <c r="CT5303" s="18"/>
      <c r="CU5303" s="18"/>
      <c r="CV5303" s="18"/>
      <c r="CW5303" s="18"/>
      <c r="CX5303" s="18"/>
      <c r="CY5303" s="18"/>
      <c r="CZ5303" s="18"/>
      <c r="DA5303" s="18"/>
      <c r="DB5303" s="18"/>
      <c r="DC5303" s="18"/>
      <c r="DD5303" s="18"/>
      <c r="DE5303" s="18"/>
      <c r="DF5303" s="18"/>
      <c r="DG5303" s="18"/>
      <c r="DH5303" s="18"/>
      <c r="DI5303" s="18"/>
      <c r="DJ5303" s="18"/>
      <c r="DK5303" s="18"/>
      <c r="DL5303" s="18"/>
      <c r="DM5303" s="18"/>
    </row>
    <row r="5305" spans="1:117">
      <c r="A5305" t="s">
        <v>2596</v>
      </c>
    </row>
    <row r="5306" spans="1:117" s="694" customFormat="1" ht="31.5">
      <c r="A5306" s="859" t="s">
        <v>1369</v>
      </c>
      <c r="B5306" s="855" t="s">
        <v>377</v>
      </c>
      <c r="C5306" s="856" t="s">
        <v>2</v>
      </c>
      <c r="D5306" s="857" t="s">
        <v>1734</v>
      </c>
      <c r="E5306" s="858" t="s">
        <v>3117</v>
      </c>
    </row>
    <row r="5307" spans="1:117" s="696" customFormat="1" ht="15" customHeight="1">
      <c r="A5307" s="147" t="s">
        <v>2597</v>
      </c>
      <c r="B5307" s="26">
        <v>12</v>
      </c>
      <c r="C5307" s="148">
        <v>100</v>
      </c>
      <c r="D5307" s="34" t="s">
        <v>1812</v>
      </c>
      <c r="E5307" s="624">
        <v>0.55000000000000004</v>
      </c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  <c r="Y5307" s="18"/>
      <c r="Z5307" s="18"/>
      <c r="AA5307" s="18"/>
      <c r="AB5307" s="18"/>
      <c r="AC5307" s="18"/>
      <c r="AD5307" s="18"/>
      <c r="AE5307" s="18"/>
      <c r="AF5307" s="18"/>
      <c r="AG5307" s="18"/>
      <c r="AH5307" s="18"/>
      <c r="AI5307" s="18"/>
      <c r="AJ5307" s="18"/>
      <c r="AK5307" s="18"/>
      <c r="AL5307" s="18"/>
      <c r="AM5307" s="18"/>
      <c r="AN5307" s="18"/>
      <c r="AO5307" s="18"/>
      <c r="AP5307" s="18"/>
      <c r="AQ5307" s="18"/>
      <c r="AR5307" s="18"/>
      <c r="AS5307" s="18"/>
      <c r="AT5307" s="18"/>
      <c r="AU5307" s="18"/>
      <c r="AV5307" s="18"/>
      <c r="AW5307" s="18"/>
      <c r="AX5307" s="18"/>
      <c r="AY5307" s="18"/>
      <c r="AZ5307" s="18"/>
      <c r="BA5307" s="18"/>
      <c r="BB5307" s="18"/>
      <c r="BC5307" s="18"/>
      <c r="BD5307" s="18"/>
      <c r="BE5307" s="18"/>
      <c r="BF5307" s="18"/>
      <c r="BG5307" s="18"/>
      <c r="BH5307" s="18"/>
      <c r="BI5307" s="18"/>
      <c r="BJ5307" s="18"/>
      <c r="BK5307" s="18"/>
      <c r="BL5307" s="18"/>
      <c r="BM5307" s="18"/>
      <c r="BN5307" s="18"/>
      <c r="BO5307" s="18"/>
      <c r="BP5307" s="18"/>
      <c r="BQ5307" s="18"/>
      <c r="BR5307" s="18"/>
      <c r="BS5307" s="18"/>
      <c r="BT5307" s="18"/>
      <c r="BU5307" s="18"/>
      <c r="BV5307" s="18"/>
      <c r="BW5307" s="18"/>
      <c r="BX5307" s="18"/>
      <c r="BY5307" s="18"/>
      <c r="BZ5307" s="18"/>
      <c r="CA5307" s="18"/>
      <c r="CB5307" s="18"/>
      <c r="CC5307" s="18"/>
      <c r="CD5307" s="18"/>
      <c r="CE5307" s="18"/>
      <c r="CF5307" s="18"/>
      <c r="CG5307" s="18"/>
      <c r="CH5307" s="18"/>
      <c r="CI5307" s="18"/>
      <c r="CJ5307" s="18"/>
      <c r="CK5307" s="18"/>
      <c r="CL5307" s="18"/>
      <c r="CM5307" s="18"/>
      <c r="CN5307" s="18"/>
      <c r="CO5307" s="18"/>
      <c r="CP5307" s="18"/>
      <c r="CQ5307" s="18"/>
      <c r="CR5307" s="18"/>
      <c r="CS5307" s="18"/>
      <c r="CT5307" s="18"/>
      <c r="CU5307" s="18"/>
      <c r="CV5307" s="18"/>
      <c r="CW5307" s="18"/>
      <c r="CX5307" s="18"/>
      <c r="CY5307" s="18"/>
      <c r="CZ5307" s="18"/>
      <c r="DA5307" s="18"/>
      <c r="DB5307" s="18"/>
      <c r="DC5307" s="18"/>
      <c r="DD5307" s="18"/>
      <c r="DE5307" s="18"/>
      <c r="DF5307" s="18"/>
      <c r="DG5307" s="18"/>
      <c r="DH5307" s="18"/>
      <c r="DI5307" s="18"/>
      <c r="DJ5307" s="18"/>
      <c r="DK5307" s="18"/>
      <c r="DL5307" s="18"/>
      <c r="DM5307" s="18"/>
    </row>
    <row r="5311" spans="1:117" ht="15.75">
      <c r="A5311" s="859" t="s">
        <v>2604</v>
      </c>
      <c r="B5311" s="861" t="s">
        <v>64</v>
      </c>
      <c r="C5311" s="861" t="s">
        <v>1067</v>
      </c>
      <c r="D5311" s="861" t="s">
        <v>163</v>
      </c>
      <c r="E5311" s="861" t="s">
        <v>2605</v>
      </c>
      <c r="F5311" s="861" t="s">
        <v>2606</v>
      </c>
    </row>
    <row r="5312" spans="1:117" ht="15">
      <c r="A5312" s="33" t="s">
        <v>2599</v>
      </c>
      <c r="B5312" s="24" t="s">
        <v>536</v>
      </c>
      <c r="C5312" s="24" t="s">
        <v>114</v>
      </c>
      <c r="D5312" s="67">
        <v>50</v>
      </c>
      <c r="E5312" s="68">
        <v>1</v>
      </c>
      <c r="F5312" s="67">
        <f>D5312*E5312</f>
        <v>50</v>
      </c>
    </row>
    <row r="5313" spans="1:7" ht="15">
      <c r="A5313" s="33" t="s">
        <v>2599</v>
      </c>
      <c r="B5313" s="24" t="s">
        <v>536</v>
      </c>
      <c r="C5313" s="24" t="s">
        <v>2600</v>
      </c>
      <c r="D5313" s="67">
        <v>50</v>
      </c>
      <c r="E5313" s="68">
        <v>10</v>
      </c>
      <c r="F5313" s="67">
        <f>D5313*E5313</f>
        <v>500</v>
      </c>
    </row>
    <row r="5314" spans="1:7" ht="15">
      <c r="A5314" s="33" t="s">
        <v>2599</v>
      </c>
      <c r="B5314" s="24" t="s">
        <v>536</v>
      </c>
      <c r="C5314" s="24" t="s">
        <v>77</v>
      </c>
      <c r="D5314" s="67">
        <v>50</v>
      </c>
      <c r="E5314" s="68">
        <v>1</v>
      </c>
      <c r="F5314" s="67">
        <f>D5314*E5314</f>
        <v>50</v>
      </c>
    </row>
    <row r="5315" spans="1:7" ht="15">
      <c r="A5315" s="33" t="s">
        <v>2599</v>
      </c>
      <c r="B5315" s="24" t="s">
        <v>536</v>
      </c>
      <c r="C5315" s="24" t="s">
        <v>2601</v>
      </c>
      <c r="D5315" s="67">
        <v>50</v>
      </c>
      <c r="E5315" s="68">
        <v>1</v>
      </c>
      <c r="F5315" s="67">
        <f>D5315*E5315</f>
        <v>50</v>
      </c>
    </row>
    <row r="5316" spans="1:7" ht="15">
      <c r="A5316" s="33" t="s">
        <v>2599</v>
      </c>
      <c r="B5316" s="20"/>
      <c r="C5316" s="24"/>
      <c r="D5316" s="151"/>
      <c r="E5316" s="152"/>
      <c r="F5316" s="151"/>
    </row>
    <row r="5317" spans="1:7" ht="15">
      <c r="A5317" s="33" t="s">
        <v>2599</v>
      </c>
      <c r="B5317" s="24">
        <v>2440</v>
      </c>
      <c r="C5317" s="24" t="s">
        <v>114</v>
      </c>
      <c r="D5317" s="67">
        <v>58</v>
      </c>
      <c r="E5317" s="68">
        <v>2</v>
      </c>
      <c r="F5317" s="67">
        <f>D5317*E5317</f>
        <v>116</v>
      </c>
    </row>
    <row r="5318" spans="1:7" ht="15">
      <c r="A5318" s="33" t="s">
        <v>2599</v>
      </c>
      <c r="B5318" s="24">
        <v>2440</v>
      </c>
      <c r="C5318" s="24" t="s">
        <v>2008</v>
      </c>
      <c r="D5318" s="67">
        <v>58</v>
      </c>
      <c r="E5318" s="68">
        <v>3</v>
      </c>
      <c r="F5318" s="67">
        <f>D5318*E5318</f>
        <v>174</v>
      </c>
    </row>
    <row r="5319" spans="1:7" ht="15">
      <c r="A5319" s="33" t="s">
        <v>2599</v>
      </c>
      <c r="B5319" s="24">
        <v>2440</v>
      </c>
      <c r="C5319" s="24" t="s">
        <v>859</v>
      </c>
      <c r="D5319" s="67">
        <v>58</v>
      </c>
      <c r="E5319" s="68">
        <v>6</v>
      </c>
      <c r="F5319" s="67">
        <f>D5319*E5319</f>
        <v>348</v>
      </c>
    </row>
    <row r="5320" spans="1:7" ht="15">
      <c r="A5320" s="33" t="s">
        <v>2599</v>
      </c>
      <c r="B5320" s="24">
        <v>2440</v>
      </c>
      <c r="C5320" s="24" t="s">
        <v>2602</v>
      </c>
      <c r="D5320" s="67">
        <v>58</v>
      </c>
      <c r="E5320" s="68">
        <v>2</v>
      </c>
      <c r="F5320" s="67">
        <f>D5320*E5320</f>
        <v>116</v>
      </c>
    </row>
    <row r="5321" spans="1:7" ht="15">
      <c r="A5321" s="860"/>
      <c r="B5321" s="371"/>
      <c r="C5321" s="305"/>
      <c r="D5321" s="307"/>
      <c r="E5321" s="308"/>
      <c r="F5321" s="306"/>
    </row>
    <row r="5322" spans="1:7" ht="15">
      <c r="A5322" s="33" t="s">
        <v>2603</v>
      </c>
      <c r="B5322" s="24">
        <v>2440</v>
      </c>
      <c r="C5322" s="24" t="s">
        <v>859</v>
      </c>
      <c r="D5322" s="67">
        <v>58</v>
      </c>
      <c r="E5322" s="68">
        <v>20</v>
      </c>
      <c r="F5322" s="67">
        <f>D5322*E5322</f>
        <v>1160</v>
      </c>
    </row>
    <row r="5323" spans="1:7" ht="15">
      <c r="A5323" s="33" t="s">
        <v>2603</v>
      </c>
      <c r="B5323" s="24">
        <v>2440</v>
      </c>
      <c r="C5323" s="24" t="s">
        <v>1547</v>
      </c>
      <c r="D5323" s="67">
        <v>58</v>
      </c>
      <c r="E5323" s="68">
        <v>2</v>
      </c>
      <c r="F5323" s="67">
        <f>D5323*E5323</f>
        <v>116</v>
      </c>
    </row>
    <row r="5324" spans="1:7" ht="15">
      <c r="A5324" s="33" t="s">
        <v>2603</v>
      </c>
      <c r="B5324" s="24">
        <v>2440</v>
      </c>
      <c r="C5324" s="24" t="s">
        <v>1922</v>
      </c>
      <c r="D5324" s="67">
        <v>58</v>
      </c>
      <c r="E5324" s="68">
        <v>2</v>
      </c>
      <c r="F5324" s="67">
        <f>D5324*E5324</f>
        <v>116</v>
      </c>
    </row>
    <row r="5328" spans="1:7" ht="15.75">
      <c r="A5328" s="402" t="s">
        <v>106</v>
      </c>
      <c r="B5328" s="402" t="s">
        <v>52</v>
      </c>
      <c r="C5328" s="402" t="s">
        <v>1710</v>
      </c>
      <c r="D5328" s="90" t="s">
        <v>1186</v>
      </c>
      <c r="E5328" s="90" t="s">
        <v>1652</v>
      </c>
      <c r="F5328" s="90" t="s">
        <v>1653</v>
      </c>
      <c r="G5328" s="90" t="s">
        <v>1825</v>
      </c>
    </row>
    <row r="5329" spans="1:9" ht="15">
      <c r="A5329" s="24">
        <v>2250</v>
      </c>
      <c r="B5329" s="44">
        <v>18</v>
      </c>
      <c r="C5329" s="24" t="s">
        <v>2610</v>
      </c>
      <c r="D5329" s="151">
        <v>30</v>
      </c>
      <c r="E5329" s="152">
        <v>1</v>
      </c>
      <c r="F5329" s="8">
        <f>D5329*E5329</f>
        <v>30</v>
      </c>
      <c r="G5329" s="46">
        <v>0.46</v>
      </c>
    </row>
    <row r="5330" spans="1:9" ht="15">
      <c r="A5330" s="24">
        <v>2250</v>
      </c>
      <c r="B5330" s="44">
        <v>24</v>
      </c>
      <c r="C5330" s="24" t="s">
        <v>2610</v>
      </c>
      <c r="D5330" s="151">
        <v>30</v>
      </c>
      <c r="E5330" s="152">
        <v>1</v>
      </c>
      <c r="F5330" s="8">
        <f>D5330*E5330</f>
        <v>30</v>
      </c>
      <c r="G5330" s="46">
        <v>0.59</v>
      </c>
    </row>
    <row r="5331" spans="1:9" ht="15">
      <c r="A5331" s="20"/>
      <c r="B5331" s="26"/>
      <c r="C5331" s="24"/>
      <c r="D5331" s="8"/>
      <c r="E5331" s="41"/>
      <c r="F5331" s="8"/>
      <c r="G5331" s="34"/>
    </row>
    <row r="5332" spans="1:9" ht="15">
      <c r="A5332" s="864" t="s">
        <v>2583</v>
      </c>
      <c r="B5332" s="26"/>
      <c r="C5332" s="865" t="s">
        <v>129</v>
      </c>
      <c r="D5332" s="8"/>
      <c r="E5332" s="41"/>
      <c r="F5332" s="8">
        <v>1</v>
      </c>
      <c r="G5332" s="866">
        <v>5</v>
      </c>
    </row>
    <row r="5333" spans="1:9" ht="15">
      <c r="A5333" s="864" t="s">
        <v>2585</v>
      </c>
      <c r="B5333" s="26"/>
      <c r="C5333" s="865" t="s">
        <v>129</v>
      </c>
      <c r="D5333" s="8"/>
      <c r="E5333" s="41"/>
      <c r="F5333" s="8">
        <v>1</v>
      </c>
      <c r="G5333" s="866">
        <v>5.0599999999999996</v>
      </c>
    </row>
    <row r="5334" spans="1:9" ht="15">
      <c r="A5334" s="864" t="s">
        <v>2611</v>
      </c>
      <c r="B5334" s="26"/>
      <c r="C5334" s="865" t="s">
        <v>129</v>
      </c>
      <c r="D5334" s="8"/>
      <c r="E5334" s="41"/>
      <c r="F5334" s="8">
        <v>1</v>
      </c>
      <c r="G5334" s="866">
        <v>4.38</v>
      </c>
    </row>
    <row r="5335" spans="1:9" ht="15">
      <c r="A5335" s="865" t="s">
        <v>2589</v>
      </c>
      <c r="B5335" s="44"/>
      <c r="C5335" s="865" t="s">
        <v>200</v>
      </c>
      <c r="D5335" s="151"/>
      <c r="E5335" s="152"/>
      <c r="F5335" s="8">
        <v>1</v>
      </c>
      <c r="G5335" s="866">
        <v>6.3199999999999994</v>
      </c>
    </row>
    <row r="5336" spans="1:9" ht="22.5">
      <c r="A5336" s="24"/>
      <c r="B5336" s="863"/>
      <c r="C5336" s="24" t="s">
        <v>1993</v>
      </c>
      <c r="D5336" s="8"/>
      <c r="E5336" s="152" ph="1"/>
      <c r="F5336" s="45"/>
      <c r="G5336" s="46">
        <v>24</v>
      </c>
    </row>
    <row r="5337" spans="1:9" ht="14.25">
      <c r="A5337" s="677"/>
      <c r="B5337" s="677"/>
      <c r="C5337" s="677"/>
      <c r="D5337" s="677"/>
      <c r="E5337" s="677"/>
      <c r="F5337" s="677"/>
      <c r="G5337" s="677"/>
    </row>
    <row r="5338" spans="1:9" ht="15.75">
      <c r="A5338" s="402" t="s">
        <v>105</v>
      </c>
      <c r="B5338" s="402" t="s">
        <v>106</v>
      </c>
      <c r="C5338" s="402" t="s">
        <v>1710</v>
      </c>
      <c r="D5338" s="90" t="s">
        <v>1186</v>
      </c>
      <c r="E5338" s="90" t="s">
        <v>1652</v>
      </c>
      <c r="F5338" s="90" t="s">
        <v>1653</v>
      </c>
      <c r="G5338" s="90" t="s">
        <v>1825</v>
      </c>
      <c r="H5338" s="90"/>
      <c r="I5338" s="847" t="s">
        <v>986</v>
      </c>
    </row>
    <row r="5339" spans="1:9" ht="15.75">
      <c r="A5339" s="6" t="s">
        <v>2613</v>
      </c>
      <c r="B5339" s="24" t="s">
        <v>536</v>
      </c>
      <c r="C5339" s="24" t="s">
        <v>114</v>
      </c>
      <c r="D5339" s="67">
        <v>50</v>
      </c>
      <c r="E5339" s="68">
        <v>1</v>
      </c>
      <c r="F5339" s="67">
        <f>D5339*E5339</f>
        <v>50</v>
      </c>
      <c r="G5339" s="25">
        <v>4.45</v>
      </c>
      <c r="H5339" s="46">
        <f>G5339*F5339</f>
        <v>222.5</v>
      </c>
      <c r="I5339" s="90" t="s">
        <v>2615</v>
      </c>
    </row>
    <row r="5340" spans="1:9" ht="15.75">
      <c r="A5340" s="6" t="s">
        <v>2613</v>
      </c>
      <c r="B5340" s="24" t="s">
        <v>536</v>
      </c>
      <c r="C5340" s="24" t="s">
        <v>2600</v>
      </c>
      <c r="D5340" s="67">
        <v>50</v>
      </c>
      <c r="E5340" s="68">
        <v>10</v>
      </c>
      <c r="F5340" s="67">
        <f>D5340*E5340</f>
        <v>500</v>
      </c>
      <c r="G5340" s="25">
        <v>4.45</v>
      </c>
      <c r="H5340" s="46">
        <f>G5340*F5340</f>
        <v>2225</v>
      </c>
      <c r="I5340" s="90" t="s">
        <v>2615</v>
      </c>
    </row>
    <row r="5341" spans="1:9" ht="15.75">
      <c r="A5341" s="6" t="s">
        <v>2613</v>
      </c>
      <c r="B5341" s="24" t="s">
        <v>536</v>
      </c>
      <c r="C5341" s="24" t="s">
        <v>77</v>
      </c>
      <c r="D5341" s="67">
        <v>50</v>
      </c>
      <c r="E5341" s="68">
        <v>1</v>
      </c>
      <c r="F5341" s="67">
        <f>D5341*E5341</f>
        <v>50</v>
      </c>
      <c r="G5341" s="25">
        <v>4.45</v>
      </c>
      <c r="H5341" s="46">
        <f>G5341*F5341</f>
        <v>222.5</v>
      </c>
      <c r="I5341" s="90" t="s">
        <v>2615</v>
      </c>
    </row>
    <row r="5342" spans="1:9" ht="15.75">
      <c r="A5342" s="6" t="s">
        <v>2613</v>
      </c>
      <c r="B5342" s="24" t="s">
        <v>536</v>
      </c>
      <c r="C5342" s="24" t="s">
        <v>2601</v>
      </c>
      <c r="D5342" s="67">
        <v>50</v>
      </c>
      <c r="E5342" s="68">
        <v>1</v>
      </c>
      <c r="F5342" s="67">
        <f>D5342*E5342</f>
        <v>50</v>
      </c>
      <c r="G5342" s="25">
        <v>4.45</v>
      </c>
      <c r="H5342" s="46">
        <f>G5342*F5342</f>
        <v>222.5</v>
      </c>
      <c r="I5342" s="90" t="s">
        <v>2615</v>
      </c>
    </row>
    <row r="5343" spans="1:9" ht="15">
      <c r="A5343" s="6" t="s">
        <v>2613</v>
      </c>
      <c r="B5343" s="20"/>
      <c r="C5343" s="24"/>
      <c r="D5343" s="151"/>
      <c r="E5343" s="152"/>
      <c r="F5343" s="151"/>
      <c r="G5343" s="153"/>
      <c r="H5343" s="39"/>
    </row>
    <row r="5344" spans="1:9" ht="15.75">
      <c r="A5344" s="6" t="s">
        <v>2613</v>
      </c>
      <c r="B5344" s="24">
        <v>2440</v>
      </c>
      <c r="C5344" s="24" t="s">
        <v>114</v>
      </c>
      <c r="D5344" s="67">
        <v>58</v>
      </c>
      <c r="E5344" s="68">
        <v>2</v>
      </c>
      <c r="F5344" s="67">
        <f>D5344*E5344</f>
        <v>116</v>
      </c>
      <c r="G5344" s="46">
        <v>3.34</v>
      </c>
      <c r="H5344" s="46">
        <f>G5344*F5344</f>
        <v>387.44</v>
      </c>
      <c r="I5344" s="90" t="s">
        <v>2615</v>
      </c>
    </row>
    <row r="5345" spans="1:9" ht="15.75">
      <c r="A5345" s="6" t="s">
        <v>2613</v>
      </c>
      <c r="B5345" s="24">
        <v>2440</v>
      </c>
      <c r="C5345" s="24" t="s">
        <v>2008</v>
      </c>
      <c r="D5345" s="67">
        <v>58</v>
      </c>
      <c r="E5345" s="68">
        <v>3</v>
      </c>
      <c r="F5345" s="67">
        <f>D5345*E5345</f>
        <v>174</v>
      </c>
      <c r="G5345" s="46">
        <v>3.34</v>
      </c>
      <c r="H5345" s="46">
        <f>G5345*F5345</f>
        <v>581.16</v>
      </c>
      <c r="I5345" s="90" t="s">
        <v>2615</v>
      </c>
    </row>
    <row r="5346" spans="1:9" ht="15.75">
      <c r="A5346" s="6" t="s">
        <v>2613</v>
      </c>
      <c r="B5346" s="24">
        <v>2440</v>
      </c>
      <c r="C5346" s="24" t="s">
        <v>859</v>
      </c>
      <c r="D5346" s="67">
        <v>58</v>
      </c>
      <c r="E5346" s="68">
        <v>6</v>
      </c>
      <c r="F5346" s="67">
        <f>D5346*E5346</f>
        <v>348</v>
      </c>
      <c r="G5346" s="46">
        <v>3.34</v>
      </c>
      <c r="H5346" s="46">
        <f>G5346*F5346</f>
        <v>1162.32</v>
      </c>
      <c r="I5346" s="90" t="s">
        <v>2615</v>
      </c>
    </row>
    <row r="5347" spans="1:9" ht="15.75">
      <c r="A5347" s="6" t="s">
        <v>2613</v>
      </c>
      <c r="B5347" s="24">
        <v>2440</v>
      </c>
      <c r="C5347" s="24" t="s">
        <v>2602</v>
      </c>
      <c r="D5347" s="67">
        <v>58</v>
      </c>
      <c r="E5347" s="68">
        <v>2</v>
      </c>
      <c r="F5347" s="67">
        <f>D5347*E5347</f>
        <v>116</v>
      </c>
      <c r="G5347" s="46">
        <v>3.34</v>
      </c>
      <c r="H5347" s="46">
        <f>G5347*F5347</f>
        <v>387.44</v>
      </c>
      <c r="I5347" s="90" t="s">
        <v>2615</v>
      </c>
    </row>
    <row r="5348" spans="1:9" ht="15.75">
      <c r="A5348" s="302"/>
      <c r="B5348" s="371"/>
      <c r="C5348" s="305"/>
      <c r="D5348" s="307"/>
      <c r="E5348" s="308"/>
      <c r="F5348" s="306"/>
      <c r="G5348" s="315"/>
      <c r="H5348" s="310"/>
      <c r="I5348" s="372"/>
    </row>
    <row r="5349" spans="1:9" ht="15.75">
      <c r="A5349" s="402" t="s">
        <v>105</v>
      </c>
      <c r="B5349" s="402" t="s">
        <v>106</v>
      </c>
      <c r="C5349" s="402" t="s">
        <v>1710</v>
      </c>
      <c r="D5349" s="90" t="s">
        <v>1186</v>
      </c>
      <c r="E5349" s="90" t="s">
        <v>1652</v>
      </c>
      <c r="F5349" s="90" t="s">
        <v>1653</v>
      </c>
      <c r="G5349" s="90" t="s">
        <v>1825</v>
      </c>
      <c r="H5349" s="39"/>
      <c r="I5349" s="90"/>
    </row>
    <row r="5350" spans="1:9" ht="15.75">
      <c r="A5350" s="6" t="s">
        <v>2614</v>
      </c>
      <c r="B5350" s="24">
        <v>2440</v>
      </c>
      <c r="C5350" s="24" t="s">
        <v>859</v>
      </c>
      <c r="D5350" s="67">
        <v>58</v>
      </c>
      <c r="E5350" s="68">
        <v>20</v>
      </c>
      <c r="F5350" s="67">
        <f>D5350*E5350</f>
        <v>1160</v>
      </c>
      <c r="G5350" s="46">
        <v>3.34</v>
      </c>
      <c r="H5350" s="46">
        <f>G5350*F5350</f>
        <v>3874.3999999999996</v>
      </c>
      <c r="I5350" s="90" t="s">
        <v>2616</v>
      </c>
    </row>
    <row r="5351" spans="1:9" ht="15.75">
      <c r="A5351" s="6" t="s">
        <v>2614</v>
      </c>
      <c r="B5351" s="24">
        <v>2440</v>
      </c>
      <c r="C5351" s="24" t="s">
        <v>1547</v>
      </c>
      <c r="D5351" s="67">
        <v>58</v>
      </c>
      <c r="E5351" s="68">
        <v>2</v>
      </c>
      <c r="F5351" s="67">
        <f>D5351*E5351</f>
        <v>116</v>
      </c>
      <c r="G5351" s="46">
        <v>3.34</v>
      </c>
      <c r="H5351" s="46">
        <f>G5351*F5351</f>
        <v>387.44</v>
      </c>
      <c r="I5351" s="90" t="s">
        <v>771</v>
      </c>
    </row>
    <row r="5352" spans="1:9" ht="15.75">
      <c r="A5352" s="6" t="s">
        <v>2614</v>
      </c>
      <c r="B5352" s="24">
        <v>2440</v>
      </c>
      <c r="C5352" s="24" t="s">
        <v>1922</v>
      </c>
      <c r="D5352" s="67">
        <v>58</v>
      </c>
      <c r="E5352" s="68">
        <v>2</v>
      </c>
      <c r="F5352" s="67">
        <f>D5352*E5352</f>
        <v>116</v>
      </c>
      <c r="G5352" s="46">
        <v>3.34</v>
      </c>
      <c r="H5352" s="46">
        <f>G5352*F5352</f>
        <v>387.44</v>
      </c>
      <c r="I5352" s="90" t="s">
        <v>771</v>
      </c>
    </row>
    <row r="5353" spans="1:9" ht="15.75">
      <c r="A5353" s="302"/>
      <c r="B5353" s="304"/>
      <c r="C5353" s="305"/>
      <c r="D5353" s="307"/>
      <c r="E5353" s="308"/>
      <c r="F5353" s="306"/>
      <c r="G5353" s="315"/>
      <c r="H5353" s="310"/>
      <c r="I5353" s="372"/>
    </row>
    <row r="5356" spans="1:9" ht="15.75">
      <c r="A5356" s="402" t="s">
        <v>106</v>
      </c>
      <c r="B5356" s="402" t="s">
        <v>1710</v>
      </c>
      <c r="C5356" s="90" t="s">
        <v>1653</v>
      </c>
      <c r="D5356" s="90" t="s">
        <v>1825</v>
      </c>
      <c r="E5356" s="90" t="s">
        <v>846</v>
      </c>
    </row>
    <row r="5357" spans="1:9" ht="15">
      <c r="A5357" s="24" t="s">
        <v>1941</v>
      </c>
      <c r="B5357" s="44" t="s">
        <v>2373</v>
      </c>
      <c r="C5357" s="8">
        <v>3130</v>
      </c>
      <c r="D5357" s="207">
        <v>1.9</v>
      </c>
      <c r="E5357" s="46">
        <f>D5357*C5357</f>
        <v>5947</v>
      </c>
    </row>
    <row r="5358" spans="1:9" ht="15">
      <c r="A5358" s="24" t="s">
        <v>1941</v>
      </c>
      <c r="B5358" s="44" t="s">
        <v>129</v>
      </c>
      <c r="C5358" s="8">
        <v>3050</v>
      </c>
      <c r="D5358" s="207">
        <v>1.32</v>
      </c>
      <c r="E5358" s="46">
        <f>D5358*C5358</f>
        <v>4026</v>
      </c>
    </row>
    <row r="5359" spans="1:9" ht="15.75">
      <c r="A5359" s="24"/>
      <c r="B5359" s="44"/>
      <c r="C5359" s="8"/>
      <c r="D5359" s="282" t="s">
        <v>375</v>
      </c>
      <c r="E5359" s="163">
        <f>SUM(E5357:E5358)</f>
        <v>9973</v>
      </c>
    </row>
    <row r="5361" spans="1:120" ht="15">
      <c r="A5361" s="12" t="s">
        <v>2618</v>
      </c>
    </row>
    <row r="5362" spans="1:120" ht="30">
      <c r="A5362" s="844" t="s">
        <v>1400</v>
      </c>
      <c r="B5362" s="845" t="s">
        <v>2464</v>
      </c>
      <c r="C5362" s="846" t="s">
        <v>2561</v>
      </c>
      <c r="D5362" s="847" t="s">
        <v>1181</v>
      </c>
      <c r="E5362" s="848" t="s">
        <v>2467</v>
      </c>
      <c r="F5362" s="847" t="s">
        <v>1752</v>
      </c>
      <c r="G5362" s="836" t="s">
        <v>2562</v>
      </c>
    </row>
    <row r="5363" spans="1:120" s="843" customFormat="1" ht="24" customHeight="1">
      <c r="A5363" s="837" t="s">
        <v>2569</v>
      </c>
      <c r="B5363" s="837" t="s">
        <v>2538</v>
      </c>
      <c r="C5363" s="837" t="s">
        <v>1404</v>
      </c>
      <c r="D5363" s="837" t="s">
        <v>2565</v>
      </c>
      <c r="E5363" s="840">
        <v>15.28</v>
      </c>
      <c r="F5363" s="837"/>
      <c r="G5363" s="837"/>
    </row>
    <row r="5366" spans="1:120" ht="30">
      <c r="A5366" s="844" t="s">
        <v>1400</v>
      </c>
      <c r="B5366" s="845" t="s">
        <v>2464</v>
      </c>
      <c r="C5366" s="846" t="s">
        <v>2561</v>
      </c>
      <c r="D5366" s="847" t="s">
        <v>1181</v>
      </c>
      <c r="E5366" s="848" t="s">
        <v>2467</v>
      </c>
      <c r="F5366" s="847" t="s">
        <v>2619</v>
      </c>
      <c r="G5366" s="836" t="s">
        <v>2562</v>
      </c>
    </row>
    <row r="5367" spans="1:120" s="843" customFormat="1" ht="66.75" customHeight="1">
      <c r="A5367" s="837" t="s">
        <v>2569</v>
      </c>
      <c r="B5367" s="837" t="s">
        <v>2538</v>
      </c>
      <c r="C5367" s="837" t="s">
        <v>1404</v>
      </c>
      <c r="D5367" s="837" t="s">
        <v>2565</v>
      </c>
      <c r="E5367" s="840">
        <v>12.64</v>
      </c>
      <c r="F5367" s="837" t="s">
        <v>2620</v>
      </c>
      <c r="G5367" s="837"/>
    </row>
    <row r="5369" spans="1:120">
      <c r="A5369" t="s">
        <v>2623</v>
      </c>
    </row>
    <row r="5370" spans="1:120" s="694" customFormat="1" ht="31.5">
      <c r="A5370" s="672" t="s">
        <v>1369</v>
      </c>
      <c r="B5370" s="650" t="s">
        <v>377</v>
      </c>
      <c r="C5370" s="651" t="s">
        <v>2</v>
      </c>
      <c r="D5370" s="652" t="s">
        <v>1734</v>
      </c>
      <c r="E5370" s="693" t="s">
        <v>2264</v>
      </c>
      <c r="F5370" s="693" t="s">
        <v>1181</v>
      </c>
      <c r="G5370" s="653" t="s">
        <v>3117</v>
      </c>
      <c r="H5370" s="654" t="s">
        <v>1403</v>
      </c>
    </row>
    <row r="5371" spans="1:120" s="696" customFormat="1" ht="15" customHeight="1">
      <c r="A5371" s="34">
        <v>2255</v>
      </c>
      <c r="B5371" s="26">
        <v>18</v>
      </c>
      <c r="C5371" s="148">
        <v>30</v>
      </c>
      <c r="D5371" s="34" t="s">
        <v>1812</v>
      </c>
      <c r="E5371" s="22" t="s">
        <v>2621</v>
      </c>
      <c r="F5371" s="22" t="s">
        <v>2622</v>
      </c>
      <c r="G5371" s="663">
        <v>0.5</v>
      </c>
      <c r="H5371" s="871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  <c r="Y5371" s="18"/>
      <c r="Z5371" s="18"/>
      <c r="AA5371" s="18"/>
      <c r="AB5371" s="18"/>
      <c r="AC5371" s="18"/>
      <c r="AD5371" s="18"/>
      <c r="AE5371" s="18"/>
      <c r="AF5371" s="18"/>
      <c r="AG5371" s="18"/>
      <c r="AH5371" s="18"/>
      <c r="AI5371" s="18"/>
      <c r="AJ5371" s="18"/>
      <c r="AK5371" s="18"/>
      <c r="AL5371" s="18"/>
      <c r="AM5371" s="18"/>
      <c r="AN5371" s="18"/>
      <c r="AO5371" s="18"/>
      <c r="AP5371" s="18"/>
      <c r="AQ5371" s="18"/>
      <c r="AR5371" s="18"/>
      <c r="AS5371" s="18"/>
      <c r="AT5371" s="18"/>
      <c r="AU5371" s="18"/>
      <c r="AV5371" s="18"/>
      <c r="AW5371" s="18"/>
      <c r="AX5371" s="18"/>
      <c r="AY5371" s="18"/>
      <c r="AZ5371" s="18"/>
      <c r="BA5371" s="18"/>
      <c r="BB5371" s="18"/>
      <c r="BC5371" s="18"/>
      <c r="BD5371" s="18"/>
      <c r="BE5371" s="18"/>
      <c r="BF5371" s="18"/>
      <c r="BG5371" s="18"/>
      <c r="BH5371" s="18"/>
      <c r="BI5371" s="18"/>
      <c r="BJ5371" s="18"/>
      <c r="BK5371" s="18"/>
      <c r="BL5371" s="18"/>
      <c r="BM5371" s="18"/>
      <c r="BN5371" s="18"/>
      <c r="BO5371" s="18"/>
      <c r="BP5371" s="18"/>
      <c r="BQ5371" s="18"/>
      <c r="BR5371" s="18"/>
      <c r="BS5371" s="18"/>
      <c r="BT5371" s="18"/>
      <c r="BU5371" s="18"/>
      <c r="BV5371" s="18"/>
      <c r="BW5371" s="18"/>
      <c r="BX5371" s="18"/>
      <c r="BY5371" s="18"/>
      <c r="BZ5371" s="18"/>
      <c r="CA5371" s="18"/>
      <c r="CB5371" s="18"/>
      <c r="CC5371" s="18"/>
      <c r="CD5371" s="18"/>
      <c r="CE5371" s="18"/>
      <c r="CF5371" s="18"/>
      <c r="CG5371" s="18"/>
      <c r="CH5371" s="18"/>
      <c r="CI5371" s="18"/>
      <c r="CJ5371" s="18"/>
      <c r="CK5371" s="18"/>
      <c r="CL5371" s="18"/>
      <c r="CM5371" s="18"/>
      <c r="CN5371" s="18"/>
      <c r="CO5371" s="18"/>
      <c r="CP5371" s="18"/>
      <c r="CQ5371" s="18"/>
      <c r="CR5371" s="18"/>
      <c r="CS5371" s="18"/>
      <c r="CT5371" s="18"/>
      <c r="CU5371" s="18"/>
      <c r="CV5371" s="18"/>
      <c r="CW5371" s="18"/>
      <c r="CX5371" s="18"/>
      <c r="CY5371" s="18"/>
      <c r="CZ5371" s="18"/>
      <c r="DA5371" s="18"/>
      <c r="DB5371" s="18"/>
      <c r="DC5371" s="18"/>
      <c r="DD5371" s="18"/>
      <c r="DE5371" s="18"/>
      <c r="DF5371" s="18"/>
      <c r="DG5371" s="18"/>
      <c r="DH5371" s="18"/>
      <c r="DI5371" s="18"/>
      <c r="DJ5371" s="18"/>
      <c r="DK5371" s="18"/>
      <c r="DL5371" s="18"/>
      <c r="DM5371" s="18"/>
      <c r="DN5371" s="18"/>
      <c r="DO5371" s="18"/>
      <c r="DP5371" s="18"/>
    </row>
    <row r="5372" spans="1:120" s="696" customFormat="1" ht="15" customHeight="1">
      <c r="A5372" s="34">
        <v>2255</v>
      </c>
      <c r="B5372" s="26">
        <v>24</v>
      </c>
      <c r="C5372" s="148">
        <v>30</v>
      </c>
      <c r="D5372" s="34" t="s">
        <v>1812</v>
      </c>
      <c r="E5372" s="22" t="s">
        <v>2621</v>
      </c>
      <c r="F5372" s="22" t="s">
        <v>2622</v>
      </c>
      <c r="G5372" s="663">
        <v>0.66</v>
      </c>
      <c r="H5372" s="871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  <c r="Y5372" s="18"/>
      <c r="Z5372" s="18"/>
      <c r="AA5372" s="18"/>
      <c r="AB5372" s="18"/>
      <c r="AC5372" s="18"/>
      <c r="AD5372" s="18"/>
      <c r="AE5372" s="18"/>
      <c r="AF5372" s="18"/>
      <c r="AG5372" s="18"/>
      <c r="AH5372" s="18"/>
      <c r="AI5372" s="18"/>
      <c r="AJ5372" s="18"/>
      <c r="AK5372" s="18"/>
      <c r="AL5372" s="18"/>
      <c r="AM5372" s="18"/>
      <c r="AN5372" s="18"/>
      <c r="AO5372" s="18"/>
      <c r="AP5372" s="18"/>
      <c r="AQ5372" s="18"/>
      <c r="AR5372" s="18"/>
      <c r="AS5372" s="18"/>
      <c r="AT5372" s="18"/>
      <c r="AU5372" s="18"/>
      <c r="AV5372" s="18"/>
      <c r="AW5372" s="18"/>
      <c r="AX5372" s="18"/>
      <c r="AY5372" s="18"/>
      <c r="AZ5372" s="18"/>
      <c r="BA5372" s="18"/>
      <c r="BB5372" s="18"/>
      <c r="BC5372" s="18"/>
      <c r="BD5372" s="18"/>
      <c r="BE5372" s="18"/>
      <c r="BF5372" s="18"/>
      <c r="BG5372" s="18"/>
      <c r="BH5372" s="18"/>
      <c r="BI5372" s="18"/>
      <c r="BJ5372" s="18"/>
      <c r="BK5372" s="18"/>
      <c r="BL5372" s="18"/>
      <c r="BM5372" s="18"/>
      <c r="BN5372" s="18"/>
      <c r="BO5372" s="18"/>
      <c r="BP5372" s="18"/>
      <c r="BQ5372" s="18"/>
      <c r="BR5372" s="18"/>
      <c r="BS5372" s="18"/>
      <c r="BT5372" s="18"/>
      <c r="BU5372" s="18"/>
      <c r="BV5372" s="18"/>
      <c r="BW5372" s="18"/>
      <c r="BX5372" s="18"/>
      <c r="BY5372" s="18"/>
      <c r="BZ5372" s="18"/>
      <c r="CA5372" s="18"/>
      <c r="CB5372" s="18"/>
      <c r="CC5372" s="18"/>
      <c r="CD5372" s="18"/>
      <c r="CE5372" s="18"/>
      <c r="CF5372" s="18"/>
      <c r="CG5372" s="18"/>
      <c r="CH5372" s="18"/>
      <c r="CI5372" s="18"/>
      <c r="CJ5372" s="18"/>
      <c r="CK5372" s="18"/>
      <c r="CL5372" s="18"/>
      <c r="CM5372" s="18"/>
      <c r="CN5372" s="18"/>
      <c r="CO5372" s="18"/>
      <c r="CP5372" s="18"/>
      <c r="CQ5372" s="18"/>
      <c r="CR5372" s="18"/>
      <c r="CS5372" s="18"/>
      <c r="CT5372" s="18"/>
      <c r="CU5372" s="18"/>
      <c r="CV5372" s="18"/>
      <c r="CW5372" s="18"/>
      <c r="CX5372" s="18"/>
      <c r="CY5372" s="18"/>
      <c r="CZ5372" s="18"/>
      <c r="DA5372" s="18"/>
      <c r="DB5372" s="18"/>
      <c r="DC5372" s="18"/>
      <c r="DD5372" s="18"/>
      <c r="DE5372" s="18"/>
      <c r="DF5372" s="18"/>
      <c r="DG5372" s="18"/>
      <c r="DH5372" s="18"/>
      <c r="DI5372" s="18"/>
      <c r="DJ5372" s="18"/>
      <c r="DK5372" s="18"/>
      <c r="DL5372" s="18"/>
      <c r="DM5372" s="18"/>
      <c r="DN5372" s="18"/>
      <c r="DO5372" s="18"/>
      <c r="DP5372" s="18"/>
    </row>
    <row r="5375" spans="1:120" ht="15">
      <c r="A5375" s="24" t="s">
        <v>1801</v>
      </c>
      <c r="B5375" s="44" t="s">
        <v>78</v>
      </c>
      <c r="C5375" s="67">
        <v>112</v>
      </c>
    </row>
    <row r="5379" spans="1:7" ht="15.75">
      <c r="A5379" s="402" t="s">
        <v>106</v>
      </c>
      <c r="B5379" s="402" t="s">
        <v>1710</v>
      </c>
      <c r="C5379" s="90" t="s">
        <v>2637</v>
      </c>
      <c r="D5379" s="385" t="s">
        <v>2638</v>
      </c>
    </row>
    <row r="5380" spans="1:7" ht="15">
      <c r="A5380" s="24" t="s">
        <v>536</v>
      </c>
      <c r="B5380" s="873" t="s">
        <v>2626</v>
      </c>
      <c r="C5380" s="873" t="s">
        <v>2632</v>
      </c>
      <c r="D5380" s="874" t="s">
        <v>2631</v>
      </c>
    </row>
    <row r="5381" spans="1:7" ht="15">
      <c r="A5381" s="24" t="s">
        <v>536</v>
      </c>
      <c r="B5381" s="873" t="s">
        <v>2627</v>
      </c>
      <c r="C5381" s="873" t="s">
        <v>2633</v>
      </c>
      <c r="D5381" s="874">
        <v>270</v>
      </c>
    </row>
    <row r="5382" spans="1:7" ht="15">
      <c r="A5382" s="24" t="s">
        <v>536</v>
      </c>
      <c r="B5382" s="873" t="s">
        <v>2628</v>
      </c>
      <c r="C5382" s="873" t="s">
        <v>2634</v>
      </c>
      <c r="D5382" s="874">
        <v>105</v>
      </c>
    </row>
    <row r="5383" spans="1:7" ht="15">
      <c r="A5383" s="24" t="s">
        <v>536</v>
      </c>
      <c r="B5383" s="873" t="s">
        <v>2629</v>
      </c>
      <c r="C5383" s="873" t="s">
        <v>2635</v>
      </c>
      <c r="D5383" s="874">
        <v>183</v>
      </c>
    </row>
    <row r="5384" spans="1:7" ht="15">
      <c r="A5384" s="24" t="s">
        <v>536</v>
      </c>
      <c r="B5384" s="873" t="s">
        <v>2630</v>
      </c>
      <c r="C5384" s="873" t="s">
        <v>2636</v>
      </c>
      <c r="D5384" s="874">
        <v>69</v>
      </c>
    </row>
    <row r="5388" spans="1:7" ht="15.75">
      <c r="A5388" s="402" t="s">
        <v>105</v>
      </c>
      <c r="B5388" s="402" t="s">
        <v>106</v>
      </c>
      <c r="C5388" s="402" t="s">
        <v>1710</v>
      </c>
      <c r="D5388" s="90" t="s">
        <v>2637</v>
      </c>
      <c r="E5388" s="90" t="s">
        <v>2638</v>
      </c>
      <c r="F5388" s="848" t="s">
        <v>2467</v>
      </c>
      <c r="G5388" s="848" t="s">
        <v>2645</v>
      </c>
    </row>
    <row r="5389" spans="1:7" ht="15">
      <c r="A5389" s="33" t="s">
        <v>2625</v>
      </c>
      <c r="B5389" s="24" t="s">
        <v>536</v>
      </c>
      <c r="C5389" s="873" t="s">
        <v>2626</v>
      </c>
      <c r="D5389" s="873" t="s">
        <v>2643</v>
      </c>
      <c r="E5389" s="67">
        <v>206</v>
      </c>
      <c r="F5389" s="25">
        <v>5</v>
      </c>
      <c r="G5389" s="848" t="s">
        <v>2649</v>
      </c>
    </row>
    <row r="5390" spans="1:7" ht="15">
      <c r="A5390" s="33" t="s">
        <v>2625</v>
      </c>
      <c r="B5390" s="24" t="s">
        <v>536</v>
      </c>
      <c r="C5390" s="873" t="s">
        <v>2627</v>
      </c>
      <c r="D5390" s="873" t="s">
        <v>2633</v>
      </c>
      <c r="E5390" s="67">
        <v>270</v>
      </c>
      <c r="F5390" s="25">
        <v>5</v>
      </c>
      <c r="G5390" s="848" t="s">
        <v>2646</v>
      </c>
    </row>
    <row r="5391" spans="1:7" ht="15">
      <c r="A5391" s="33" t="s">
        <v>2625</v>
      </c>
      <c r="B5391" s="24" t="s">
        <v>536</v>
      </c>
      <c r="C5391" s="873" t="s">
        <v>2628</v>
      </c>
      <c r="D5391" s="873" t="s">
        <v>2634</v>
      </c>
      <c r="E5391" s="67">
        <v>105</v>
      </c>
      <c r="F5391" s="25">
        <v>5</v>
      </c>
      <c r="G5391" s="848" t="s">
        <v>2647</v>
      </c>
    </row>
    <row r="5392" spans="1:7" ht="15">
      <c r="A5392" s="33" t="s">
        <v>2625</v>
      </c>
      <c r="B5392" s="24" t="s">
        <v>536</v>
      </c>
      <c r="C5392" s="873" t="s">
        <v>2629</v>
      </c>
      <c r="D5392" s="873" t="s">
        <v>2635</v>
      </c>
      <c r="E5392" s="67">
        <v>183</v>
      </c>
      <c r="F5392" s="25">
        <v>5</v>
      </c>
      <c r="G5392" s="848" t="s">
        <v>2644</v>
      </c>
    </row>
    <row r="5393" spans="1:7" ht="15">
      <c r="A5393" s="33" t="s">
        <v>2625</v>
      </c>
      <c r="B5393" s="24" t="s">
        <v>536</v>
      </c>
      <c r="C5393" s="873" t="s">
        <v>2630</v>
      </c>
      <c r="D5393" s="873" t="s">
        <v>2636</v>
      </c>
      <c r="E5393" s="67">
        <v>69</v>
      </c>
      <c r="F5393" s="25">
        <v>5</v>
      </c>
      <c r="G5393" s="848" t="s">
        <v>2648</v>
      </c>
    </row>
    <row r="5396" spans="1:7" ht="15.75">
      <c r="A5396" s="402" t="s">
        <v>105</v>
      </c>
      <c r="B5396" s="402" t="s">
        <v>106</v>
      </c>
      <c r="C5396" s="402" t="s">
        <v>1710</v>
      </c>
      <c r="D5396" s="90" t="s">
        <v>1186</v>
      </c>
      <c r="E5396" s="90" t="s">
        <v>1652</v>
      </c>
      <c r="F5396" s="90" t="s">
        <v>1653</v>
      </c>
      <c r="G5396" s="90" t="s">
        <v>1825</v>
      </c>
    </row>
    <row r="5397" spans="1:7" ht="15">
      <c r="A5397" s="6" t="s">
        <v>2624</v>
      </c>
      <c r="B5397" s="24" t="s">
        <v>1801</v>
      </c>
      <c r="C5397" s="44" t="s">
        <v>78</v>
      </c>
      <c r="D5397" s="8">
        <v>14</v>
      </c>
      <c r="E5397" s="41">
        <v>7</v>
      </c>
      <c r="F5397" s="67">
        <f>D5397*E5397</f>
        <v>98</v>
      </c>
      <c r="G5397" s="46">
        <v>1.6</v>
      </c>
    </row>
    <row r="5398" spans="1:7" ht="15">
      <c r="A5398" s="6" t="s">
        <v>2624</v>
      </c>
      <c r="B5398" s="24"/>
      <c r="C5398" s="138"/>
      <c r="D5398" s="44" t="s">
        <v>1993</v>
      </c>
      <c r="E5398" s="41"/>
      <c r="F5398" s="45">
        <v>1</v>
      </c>
      <c r="G5398" s="46">
        <v>12</v>
      </c>
    </row>
    <row r="5401" spans="1:7">
      <c r="A5401" s="883" t="s">
        <v>2658</v>
      </c>
    </row>
    <row r="5402" spans="1:7" ht="15.75">
      <c r="A5402" s="402" t="s">
        <v>106</v>
      </c>
      <c r="B5402" s="402" t="s">
        <v>52</v>
      </c>
      <c r="C5402" s="402" t="s">
        <v>1710</v>
      </c>
      <c r="D5402" s="90" t="s">
        <v>1186</v>
      </c>
      <c r="E5402" s="90" t="s">
        <v>1652</v>
      </c>
      <c r="F5402" s="90" t="s">
        <v>1653</v>
      </c>
      <c r="G5402" s="90" t="s">
        <v>1825</v>
      </c>
    </row>
    <row r="5403" spans="1:7" ht="15">
      <c r="A5403" s="24">
        <v>11706</v>
      </c>
      <c r="B5403" s="44">
        <v>19</v>
      </c>
      <c r="C5403" s="44" t="s">
        <v>2657</v>
      </c>
      <c r="D5403" s="8">
        <v>10</v>
      </c>
      <c r="E5403" s="41">
        <v>1</v>
      </c>
      <c r="F5403" s="67">
        <f>D5403*E5403</f>
        <v>10</v>
      </c>
      <c r="G5403" s="46">
        <v>2.4</v>
      </c>
    </row>
    <row r="5404" spans="1:7" ht="15">
      <c r="A5404" s="24"/>
      <c r="B5404" s="138"/>
      <c r="C5404" s="44" t="s">
        <v>1993</v>
      </c>
      <c r="D5404" s="8"/>
      <c r="E5404" s="41"/>
      <c r="F5404" s="45">
        <v>1</v>
      </c>
      <c r="G5404" s="46">
        <v>12</v>
      </c>
    </row>
    <row r="5407" spans="1:7">
      <c r="A5407" s="883" t="s">
        <v>2659</v>
      </c>
    </row>
    <row r="5408" spans="1:7" s="694" customFormat="1" ht="31.5">
      <c r="A5408" s="859" t="s">
        <v>1369</v>
      </c>
      <c r="B5408" s="855" t="s">
        <v>377</v>
      </c>
      <c r="C5408" s="856" t="s">
        <v>2</v>
      </c>
      <c r="D5408" s="857" t="s">
        <v>1734</v>
      </c>
      <c r="E5408" s="858" t="s">
        <v>3117</v>
      </c>
      <c r="F5408" s="858" t="s">
        <v>5293</v>
      </c>
    </row>
    <row r="5409" spans="1:117" s="696" customFormat="1" ht="15" customHeight="1">
      <c r="A5409" s="147" t="s">
        <v>2660</v>
      </c>
      <c r="B5409" s="26">
        <v>10</v>
      </c>
      <c r="C5409" s="148">
        <v>100</v>
      </c>
      <c r="D5409" s="34" t="s">
        <v>1812</v>
      </c>
      <c r="E5409" s="624">
        <v>0.55000000000000004</v>
      </c>
      <c r="F5409" s="858" t="s">
        <v>5294</v>
      </c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  <c r="Y5409" s="18"/>
      <c r="Z5409" s="18"/>
      <c r="AA5409" s="18"/>
      <c r="AB5409" s="18"/>
      <c r="AC5409" s="18"/>
      <c r="AD5409" s="18"/>
      <c r="AE5409" s="18"/>
      <c r="AF5409" s="18"/>
      <c r="AG5409" s="18"/>
      <c r="AH5409" s="18"/>
      <c r="AI5409" s="18"/>
      <c r="AJ5409" s="18"/>
      <c r="AK5409" s="18"/>
      <c r="AL5409" s="18"/>
      <c r="AM5409" s="18"/>
      <c r="AN5409" s="18"/>
      <c r="AO5409" s="18"/>
      <c r="AP5409" s="18"/>
      <c r="AQ5409" s="18"/>
      <c r="AR5409" s="18"/>
      <c r="AS5409" s="18"/>
      <c r="AT5409" s="18"/>
      <c r="AU5409" s="18"/>
      <c r="AV5409" s="18"/>
      <c r="AW5409" s="18"/>
      <c r="AX5409" s="18"/>
      <c r="AY5409" s="18"/>
      <c r="AZ5409" s="18"/>
      <c r="BA5409" s="18"/>
      <c r="BB5409" s="18"/>
      <c r="BC5409" s="18"/>
      <c r="BD5409" s="18"/>
      <c r="BE5409" s="18"/>
      <c r="BF5409" s="18"/>
      <c r="BG5409" s="18"/>
      <c r="BH5409" s="18"/>
      <c r="BI5409" s="18"/>
      <c r="BJ5409" s="18"/>
      <c r="BK5409" s="18"/>
      <c r="BL5409" s="18"/>
      <c r="BM5409" s="18"/>
      <c r="BN5409" s="18"/>
      <c r="BO5409" s="18"/>
      <c r="BP5409" s="18"/>
      <c r="BQ5409" s="18"/>
      <c r="BR5409" s="18"/>
      <c r="BS5409" s="18"/>
      <c r="BT5409" s="18"/>
      <c r="BU5409" s="18"/>
      <c r="BV5409" s="18"/>
      <c r="BW5409" s="18"/>
      <c r="BX5409" s="18"/>
      <c r="BY5409" s="18"/>
      <c r="BZ5409" s="18"/>
      <c r="CA5409" s="18"/>
      <c r="CB5409" s="18"/>
      <c r="CC5409" s="18"/>
      <c r="CD5409" s="18"/>
      <c r="CE5409" s="18"/>
      <c r="CF5409" s="18"/>
      <c r="CG5409" s="18"/>
      <c r="CH5409" s="18"/>
      <c r="CI5409" s="18"/>
      <c r="CJ5409" s="18"/>
      <c r="CK5409" s="18"/>
      <c r="CL5409" s="18"/>
      <c r="CM5409" s="18"/>
      <c r="CN5409" s="18"/>
      <c r="CO5409" s="18"/>
      <c r="CP5409" s="18"/>
      <c r="CQ5409" s="18"/>
      <c r="CR5409" s="18"/>
      <c r="CS5409" s="18"/>
      <c r="CT5409" s="18"/>
      <c r="CU5409" s="18"/>
      <c r="CV5409" s="18"/>
      <c r="CW5409" s="18"/>
      <c r="CX5409" s="18"/>
      <c r="CY5409" s="18"/>
      <c r="CZ5409" s="18"/>
      <c r="DA5409" s="18"/>
      <c r="DB5409" s="18"/>
      <c r="DC5409" s="18"/>
      <c r="DD5409" s="18"/>
      <c r="DE5409" s="18"/>
      <c r="DF5409" s="18"/>
      <c r="DG5409" s="18"/>
      <c r="DH5409" s="18"/>
      <c r="DI5409" s="18"/>
      <c r="DJ5409" s="18"/>
      <c r="DK5409" s="18"/>
      <c r="DL5409" s="18"/>
      <c r="DM5409" s="18"/>
    </row>
    <row r="5412" spans="1:117" ht="15.75">
      <c r="A5412" s="402" t="s">
        <v>106</v>
      </c>
      <c r="B5412" s="402" t="s">
        <v>52</v>
      </c>
      <c r="C5412" s="402" t="s">
        <v>1710</v>
      </c>
      <c r="D5412" s="90" t="s">
        <v>1186</v>
      </c>
      <c r="E5412" s="90" t="s">
        <v>1652</v>
      </c>
      <c r="F5412" s="90" t="s">
        <v>1653</v>
      </c>
      <c r="G5412" s="90" t="s">
        <v>1825</v>
      </c>
    </row>
    <row r="5413" spans="1:117" ht="15">
      <c r="A5413" s="24">
        <v>5659</v>
      </c>
      <c r="B5413" s="44" t="s">
        <v>502</v>
      </c>
      <c r="C5413" s="44" t="s">
        <v>2662</v>
      </c>
      <c r="D5413" s="8">
        <v>50</v>
      </c>
      <c r="E5413" s="41">
        <v>1</v>
      </c>
      <c r="F5413" s="67">
        <f>D5413*E5413</f>
        <v>50</v>
      </c>
      <c r="G5413" s="46">
        <v>0.66</v>
      </c>
    </row>
    <row r="5414" spans="1:117" ht="15">
      <c r="A5414" s="24">
        <v>5659</v>
      </c>
      <c r="B5414" s="44" t="s">
        <v>2664</v>
      </c>
      <c r="C5414" s="44" t="s">
        <v>2662</v>
      </c>
      <c r="D5414" s="8">
        <v>50</v>
      </c>
      <c r="E5414" s="41">
        <v>1</v>
      </c>
      <c r="F5414" s="67">
        <f>D5414*E5414</f>
        <v>50</v>
      </c>
      <c r="G5414" s="46">
        <v>1.1599999999999999</v>
      </c>
    </row>
    <row r="5415" spans="1:117" ht="15">
      <c r="A5415" s="24"/>
      <c r="B5415" s="138"/>
      <c r="C5415" s="44" t="s">
        <v>1993</v>
      </c>
      <c r="D5415" s="8"/>
      <c r="E5415" s="41"/>
      <c r="F5415" s="45">
        <v>1</v>
      </c>
      <c r="G5415" s="46">
        <v>12</v>
      </c>
    </row>
    <row r="5417" spans="1:117">
      <c r="A5417" t="s">
        <v>2671</v>
      </c>
    </row>
    <row r="5418" spans="1:117" s="843" customFormat="1" ht="30">
      <c r="A5418" s="844" t="s">
        <v>1400</v>
      </c>
      <c r="B5418" s="845" t="s">
        <v>2670</v>
      </c>
      <c r="C5418" s="846" t="s">
        <v>2561</v>
      </c>
      <c r="D5418" s="847" t="s">
        <v>1181</v>
      </c>
      <c r="E5418" s="884" t="s">
        <v>2667</v>
      </c>
      <c r="F5418" s="884" t="s">
        <v>2668</v>
      </c>
      <c r="G5418" s="884" t="s">
        <v>2669</v>
      </c>
      <c r="H5418" s="884" t="s">
        <v>2666</v>
      </c>
      <c r="I5418" s="847" t="s">
        <v>2562</v>
      </c>
    </row>
    <row r="5419" spans="1:117" s="843" customFormat="1" ht="24" customHeight="1">
      <c r="A5419" s="837" t="s">
        <v>804</v>
      </c>
      <c r="B5419" s="837" t="s">
        <v>2665</v>
      </c>
      <c r="C5419" s="837" t="s">
        <v>2501</v>
      </c>
      <c r="D5419" s="837" t="s">
        <v>2564</v>
      </c>
      <c r="E5419" s="840">
        <v>9.17</v>
      </c>
      <c r="F5419" s="840">
        <v>7.09</v>
      </c>
      <c r="G5419" s="840">
        <v>6.39</v>
      </c>
      <c r="H5419" s="840">
        <v>5</v>
      </c>
      <c r="I5419" s="842" t="s">
        <v>5289</v>
      </c>
    </row>
    <row r="5423" spans="1:117" ht="15.75">
      <c r="A5423" s="844" t="s">
        <v>1400</v>
      </c>
      <c r="B5423" s="402" t="s">
        <v>1710</v>
      </c>
      <c r="C5423" s="402" t="s">
        <v>54</v>
      </c>
      <c r="D5423" s="90" t="s">
        <v>1825</v>
      </c>
    </row>
    <row r="5424" spans="1:117" ht="15">
      <c r="A5424" s="24">
        <v>3000</v>
      </c>
      <c r="B5424" s="873" t="s">
        <v>2675</v>
      </c>
      <c r="C5424" s="67">
        <v>5</v>
      </c>
      <c r="D5424" s="25">
        <v>15.28</v>
      </c>
    </row>
    <row r="5425" spans="1:10" ht="15">
      <c r="A5425" s="24"/>
      <c r="B5425" s="44" t="s">
        <v>1075</v>
      </c>
      <c r="C5425" s="45">
        <v>1</v>
      </c>
      <c r="D5425" s="46">
        <v>12</v>
      </c>
    </row>
    <row r="5426" spans="1:10" ht="15">
      <c r="A5426" s="24"/>
      <c r="B5426" s="44" t="s">
        <v>1993</v>
      </c>
      <c r="C5426" s="45">
        <v>1</v>
      </c>
      <c r="D5426" s="46">
        <v>12</v>
      </c>
    </row>
    <row r="5430" spans="1:10">
      <c r="A5430" s="886" t="s">
        <v>105</v>
      </c>
      <c r="B5430" s="886" t="s">
        <v>1400</v>
      </c>
      <c r="C5430" s="886" t="s">
        <v>389</v>
      </c>
      <c r="D5430" s="886" t="s">
        <v>128</v>
      </c>
      <c r="E5430" s="886" t="s">
        <v>54</v>
      </c>
      <c r="F5430" s="887" t="s">
        <v>2020</v>
      </c>
      <c r="G5430" s="887" t="s">
        <v>2676</v>
      </c>
      <c r="H5430" s="888"/>
      <c r="I5430" s="888"/>
      <c r="J5430" s="888"/>
    </row>
    <row r="5431" spans="1:10">
      <c r="A5431" s="4" t="s">
        <v>2672</v>
      </c>
      <c r="B5431" s="889" t="s">
        <v>2678</v>
      </c>
      <c r="C5431" s="260">
        <v>9</v>
      </c>
      <c r="D5431" s="889" t="s">
        <v>2432</v>
      </c>
      <c r="E5431" s="890">
        <v>400</v>
      </c>
      <c r="F5431" s="891">
        <v>1.43</v>
      </c>
      <c r="G5431" s="892" t="s">
        <v>5295</v>
      </c>
      <c r="H5431" s="888"/>
      <c r="I5431" s="888"/>
      <c r="J5431" s="888"/>
    </row>
    <row r="5432" spans="1:10">
      <c r="A5432" s="4" t="s">
        <v>2672</v>
      </c>
      <c r="B5432" s="47"/>
      <c r="C5432" s="893"/>
      <c r="D5432" s="260" t="s">
        <v>2014</v>
      </c>
      <c r="E5432" s="894">
        <v>1</v>
      </c>
      <c r="F5432" s="891">
        <v>140</v>
      </c>
      <c r="G5432" s="892"/>
      <c r="H5432" s="888"/>
      <c r="I5432" s="888"/>
      <c r="J5432" s="888"/>
    </row>
    <row r="5433" spans="1:10">
      <c r="A5433" s="4"/>
      <c r="B5433" s="895"/>
      <c r="C5433" s="896"/>
      <c r="D5433" s="897"/>
      <c r="E5433" s="898"/>
      <c r="F5433" s="899"/>
      <c r="G5433" s="900"/>
      <c r="H5433" s="901"/>
      <c r="I5433" s="888"/>
      <c r="J5433" s="888"/>
    </row>
    <row r="5434" spans="1:10">
      <c r="A5434" s="886" t="s">
        <v>105</v>
      </c>
      <c r="B5434" s="902" t="s">
        <v>106</v>
      </c>
      <c r="C5434" s="902" t="s">
        <v>52</v>
      </c>
      <c r="D5434" s="902" t="s">
        <v>1710</v>
      </c>
      <c r="E5434" s="887" t="s">
        <v>1186</v>
      </c>
      <c r="F5434" s="887" t="s">
        <v>1652</v>
      </c>
      <c r="G5434" s="887" t="s">
        <v>1653</v>
      </c>
      <c r="H5434" s="887" t="s">
        <v>1825</v>
      </c>
      <c r="I5434" s="887" t="s">
        <v>2676</v>
      </c>
      <c r="J5434" s="888"/>
    </row>
    <row r="5435" spans="1:10">
      <c r="A5435" s="4" t="s">
        <v>2672</v>
      </c>
      <c r="B5435" s="47" t="s">
        <v>2286</v>
      </c>
      <c r="C5435" s="284" t="s">
        <v>2677</v>
      </c>
      <c r="D5435" s="47" t="s">
        <v>2457</v>
      </c>
      <c r="E5435" s="903">
        <v>10</v>
      </c>
      <c r="F5435" s="904">
        <v>12</v>
      </c>
      <c r="G5435" s="50">
        <f>E5435*F5435</f>
        <v>120</v>
      </c>
      <c r="H5435" s="891">
        <v>2.1800000000000002</v>
      </c>
      <c r="I5435" s="892" t="s">
        <v>5296</v>
      </c>
      <c r="J5435" s="888"/>
    </row>
    <row r="5436" spans="1:10">
      <c r="A5436" s="4" t="s">
        <v>2672</v>
      </c>
      <c r="B5436" s="47"/>
      <c r="C5436" s="893"/>
      <c r="D5436" s="260" t="s">
        <v>1993</v>
      </c>
      <c r="E5436" s="905"/>
      <c r="F5436" s="906"/>
      <c r="G5436" s="894">
        <v>1</v>
      </c>
      <c r="H5436" s="891">
        <v>12</v>
      </c>
      <c r="I5436" s="892"/>
      <c r="J5436" s="888"/>
    </row>
    <row r="5439" spans="1:10" s="888" customFormat="1" ht="12.75">
      <c r="A5439" s="902" t="s">
        <v>106</v>
      </c>
      <c r="B5439" s="902" t="s">
        <v>107</v>
      </c>
      <c r="C5439" s="902" t="s">
        <v>1710</v>
      </c>
      <c r="D5439" s="887" t="s">
        <v>1186</v>
      </c>
      <c r="E5439" s="887" t="s">
        <v>1652</v>
      </c>
      <c r="F5439" s="887" t="s">
        <v>1653</v>
      </c>
      <c r="G5439" s="887" t="s">
        <v>1825</v>
      </c>
    </row>
    <row r="5440" spans="1:10" s="888" customFormat="1" ht="12.75">
      <c r="A5440" s="47" t="s">
        <v>962</v>
      </c>
      <c r="B5440" s="907">
        <v>130</v>
      </c>
      <c r="C5440" s="909" t="s">
        <v>2681</v>
      </c>
      <c r="D5440" s="903">
        <v>50</v>
      </c>
      <c r="E5440" s="904">
        <v>2</v>
      </c>
      <c r="F5440" s="905">
        <f>D5440*E5440</f>
        <v>100</v>
      </c>
      <c r="G5440" s="891">
        <v>15.98</v>
      </c>
    </row>
    <row r="5441" spans="1:7" s="888" customFormat="1" ht="12.75">
      <c r="A5441" s="47"/>
      <c r="B5441" s="893"/>
      <c r="C5441" s="260" t="s">
        <v>1993</v>
      </c>
      <c r="D5441" s="905"/>
      <c r="E5441" s="906"/>
      <c r="F5441" s="894">
        <v>1</v>
      </c>
      <c r="G5441" s="891">
        <v>20</v>
      </c>
    </row>
    <row r="5442" spans="1:7" s="888" customFormat="1" ht="12"/>
    <row r="5443" spans="1:7" s="888" customFormat="1" ht="12"/>
    <row r="5444" spans="1:7" s="888" customFormat="1" ht="12.75">
      <c r="A5444" s="902" t="s">
        <v>106</v>
      </c>
      <c r="B5444" s="886" t="s">
        <v>128</v>
      </c>
      <c r="C5444" s="886" t="s">
        <v>54</v>
      </c>
      <c r="D5444" s="886"/>
    </row>
    <row r="5445" spans="1:7" s="888" customFormat="1" ht="12.75">
      <c r="A5445" s="47" t="s">
        <v>536</v>
      </c>
      <c r="B5445" s="908" t="s">
        <v>2626</v>
      </c>
      <c r="C5445" s="50">
        <v>202</v>
      </c>
    </row>
    <row r="5446" spans="1:7" s="888" customFormat="1" ht="12.75">
      <c r="A5446" s="47" t="s">
        <v>536</v>
      </c>
      <c r="B5446" s="908" t="s">
        <v>2627</v>
      </c>
      <c r="C5446" s="50">
        <v>276</v>
      </c>
    </row>
    <row r="5447" spans="1:7" s="888" customFormat="1" ht="12.75">
      <c r="A5447" s="47" t="s">
        <v>536</v>
      </c>
      <c r="B5447" s="908" t="s">
        <v>2628</v>
      </c>
      <c r="C5447" s="50">
        <v>104</v>
      </c>
    </row>
    <row r="5448" spans="1:7" s="888" customFormat="1" ht="12.75">
      <c r="A5448" s="47" t="s">
        <v>536</v>
      </c>
      <c r="B5448" s="908" t="s">
        <v>2629</v>
      </c>
      <c r="C5448" s="50">
        <v>52</v>
      </c>
    </row>
    <row r="5449" spans="1:7" s="888" customFormat="1" ht="12.75">
      <c r="A5449" s="47" t="s">
        <v>536</v>
      </c>
      <c r="B5449" s="908" t="s">
        <v>2630</v>
      </c>
      <c r="C5449" s="50">
        <v>57</v>
      </c>
    </row>
    <row r="5450" spans="1:7" s="888" customFormat="1" ht="12.75">
      <c r="A5450" s="47" t="s">
        <v>536</v>
      </c>
      <c r="B5450" s="908" t="s">
        <v>2682</v>
      </c>
      <c r="C5450" s="50">
        <v>50</v>
      </c>
    </row>
    <row r="5451" spans="1:7" s="888" customFormat="1" ht="12.75">
      <c r="A5451" s="47" t="s">
        <v>536</v>
      </c>
      <c r="B5451" s="908" t="s">
        <v>2629</v>
      </c>
      <c r="C5451" s="50">
        <v>600</v>
      </c>
    </row>
    <row r="5452" spans="1:7" s="888" customFormat="1" ht="12"/>
    <row r="5453" spans="1:7" s="888" customFormat="1" ht="12"/>
    <row r="5454" spans="1:7" s="888" customFormat="1" ht="15.75">
      <c r="A5454" s="402" t="s">
        <v>105</v>
      </c>
      <c r="B5454" s="402" t="s">
        <v>106</v>
      </c>
      <c r="C5454" s="402" t="s">
        <v>1710</v>
      </c>
      <c r="D5454" s="90" t="s">
        <v>2638</v>
      </c>
      <c r="E5454" s="848" t="s">
        <v>2467</v>
      </c>
      <c r="F5454" s="848" t="s">
        <v>2683</v>
      </c>
    </row>
    <row r="5455" spans="1:7" ht="15">
      <c r="A5455" s="33" t="s">
        <v>2625</v>
      </c>
      <c r="B5455" s="24" t="s">
        <v>536</v>
      </c>
      <c r="C5455" s="873" t="s">
        <v>2626</v>
      </c>
      <c r="D5455" s="67">
        <v>202</v>
      </c>
      <c r="E5455" s="25">
        <v>5</v>
      </c>
      <c r="F5455" s="112" t="s">
        <v>2685</v>
      </c>
    </row>
    <row r="5456" spans="1:7" ht="15">
      <c r="A5456" s="33" t="s">
        <v>2625</v>
      </c>
      <c r="B5456" s="24" t="s">
        <v>536</v>
      </c>
      <c r="C5456" s="873" t="s">
        <v>2627</v>
      </c>
      <c r="D5456" s="67">
        <v>276</v>
      </c>
      <c r="E5456" s="25">
        <v>5</v>
      </c>
      <c r="F5456" s="112" t="s">
        <v>2685</v>
      </c>
    </row>
    <row r="5457" spans="1:7" ht="15">
      <c r="A5457" s="33" t="s">
        <v>2625</v>
      </c>
      <c r="B5457" s="24" t="s">
        <v>536</v>
      </c>
      <c r="C5457" s="873" t="s">
        <v>2628</v>
      </c>
      <c r="D5457" s="67">
        <v>104</v>
      </c>
      <c r="E5457" s="25">
        <v>5</v>
      </c>
      <c r="F5457" s="112" t="s">
        <v>2685</v>
      </c>
    </row>
    <row r="5458" spans="1:7" ht="15">
      <c r="A5458" s="33" t="s">
        <v>2625</v>
      </c>
      <c r="B5458" s="24" t="s">
        <v>536</v>
      </c>
      <c r="C5458" s="873" t="s">
        <v>2629</v>
      </c>
      <c r="D5458" s="67">
        <v>52</v>
      </c>
      <c r="E5458" s="25">
        <v>5</v>
      </c>
      <c r="F5458" s="112" t="s">
        <v>2685</v>
      </c>
    </row>
    <row r="5459" spans="1:7" ht="15">
      <c r="A5459" s="33" t="s">
        <v>2625</v>
      </c>
      <c r="B5459" s="24" t="s">
        <v>536</v>
      </c>
      <c r="C5459" s="873" t="s">
        <v>2630</v>
      </c>
      <c r="D5459" s="67">
        <v>57</v>
      </c>
      <c r="E5459" s="25">
        <v>5</v>
      </c>
      <c r="F5459" s="112" t="s">
        <v>2685</v>
      </c>
    </row>
    <row r="5460" spans="1:7" ht="15">
      <c r="A5460" s="33" t="s">
        <v>2625</v>
      </c>
      <c r="B5460" s="24" t="s">
        <v>536</v>
      </c>
      <c r="C5460" s="873" t="s">
        <v>2682</v>
      </c>
      <c r="D5460" s="67">
        <v>47</v>
      </c>
      <c r="E5460" s="25">
        <v>5</v>
      </c>
      <c r="F5460" s="112" t="s">
        <v>2685</v>
      </c>
    </row>
    <row r="5461" spans="1:7" ht="15">
      <c r="A5461" s="33"/>
      <c r="B5461" s="24"/>
      <c r="C5461" s="873"/>
      <c r="D5461" s="67"/>
      <c r="E5461" s="25"/>
      <c r="F5461" s="46"/>
    </row>
    <row r="5462" spans="1:7" ht="15">
      <c r="A5462" s="33" t="s">
        <v>2625</v>
      </c>
      <c r="B5462" s="24" t="s">
        <v>536</v>
      </c>
      <c r="C5462" s="873" t="s">
        <v>2629</v>
      </c>
      <c r="D5462" s="67">
        <v>600</v>
      </c>
      <c r="E5462" s="25">
        <v>5</v>
      </c>
      <c r="F5462" s="112" t="s">
        <v>2684</v>
      </c>
    </row>
    <row r="5466" spans="1:7" s="888" customFormat="1" ht="12.75">
      <c r="A5466" s="902" t="s">
        <v>106</v>
      </c>
      <c r="B5466" s="902" t="s">
        <v>52</v>
      </c>
      <c r="C5466" s="902" t="s">
        <v>1710</v>
      </c>
      <c r="D5466" s="887" t="s">
        <v>1186</v>
      </c>
      <c r="E5466" s="887" t="s">
        <v>1652</v>
      </c>
      <c r="F5466" s="887" t="s">
        <v>1653</v>
      </c>
      <c r="G5466" s="887" t="s">
        <v>1825</v>
      </c>
    </row>
    <row r="5467" spans="1:7" s="888" customFormat="1" ht="12.75">
      <c r="A5467" s="47">
        <v>11700</v>
      </c>
      <c r="B5467" s="48">
        <v>6</v>
      </c>
      <c r="C5467" s="47" t="s">
        <v>185</v>
      </c>
      <c r="D5467" s="905">
        <v>10</v>
      </c>
      <c r="E5467" s="906">
        <v>1</v>
      </c>
      <c r="F5467" s="905">
        <f>D5467*E5467</f>
        <v>10</v>
      </c>
      <c r="G5467" s="891">
        <v>1.23</v>
      </c>
    </row>
    <row r="5468" spans="1:7" s="888" customFormat="1" ht="12.75">
      <c r="A5468" s="47">
        <v>11700</v>
      </c>
      <c r="B5468" s="48">
        <v>3</v>
      </c>
      <c r="C5468" s="47" t="s">
        <v>185</v>
      </c>
      <c r="D5468" s="905">
        <v>40</v>
      </c>
      <c r="E5468" s="906">
        <v>1</v>
      </c>
      <c r="F5468" s="905">
        <f>D5468*E5468</f>
        <v>40</v>
      </c>
      <c r="G5468" s="891">
        <v>1.17</v>
      </c>
    </row>
    <row r="5469" spans="1:7" s="888" customFormat="1" ht="12.75">
      <c r="A5469" s="47">
        <v>14552</v>
      </c>
      <c r="B5469" s="48">
        <v>38</v>
      </c>
      <c r="C5469" s="47" t="s">
        <v>431</v>
      </c>
      <c r="D5469" s="903">
        <v>30</v>
      </c>
      <c r="E5469" s="904">
        <v>1</v>
      </c>
      <c r="F5469" s="905">
        <f>D5469*E5469</f>
        <v>30</v>
      </c>
      <c r="G5469" s="891">
        <v>1.78</v>
      </c>
    </row>
    <row r="5470" spans="1:7" s="888" customFormat="1" ht="12.75">
      <c r="A5470" s="47"/>
      <c r="B5470" s="893"/>
      <c r="C5470" s="260" t="s">
        <v>1993</v>
      </c>
      <c r="D5470" s="905"/>
      <c r="E5470" s="906"/>
      <c r="F5470" s="894">
        <v>1</v>
      </c>
      <c r="G5470" s="891">
        <v>12</v>
      </c>
    </row>
    <row r="5472" spans="1:7" s="888" customFormat="1" ht="12.75">
      <c r="A5472" s="886" t="s">
        <v>1400</v>
      </c>
      <c r="B5472" s="902" t="s">
        <v>1710</v>
      </c>
      <c r="C5472" s="902" t="s">
        <v>54</v>
      </c>
      <c r="D5472" s="887" t="s">
        <v>1825</v>
      </c>
    </row>
    <row r="5473" spans="1:10" s="888" customFormat="1" ht="12.75">
      <c r="A5473" s="47" t="s">
        <v>536</v>
      </c>
      <c r="B5473" s="908" t="s">
        <v>2694</v>
      </c>
      <c r="C5473" s="50">
        <v>20</v>
      </c>
      <c r="D5473" s="51">
        <v>5</v>
      </c>
    </row>
    <row r="5474" spans="1:10" s="888" customFormat="1" ht="12.75">
      <c r="A5474" s="47"/>
      <c r="B5474" s="260" t="s">
        <v>1075</v>
      </c>
      <c r="C5474" s="894">
        <v>1</v>
      </c>
      <c r="D5474" s="891">
        <v>12</v>
      </c>
    </row>
    <row r="5475" spans="1:10" s="888" customFormat="1" ht="12.75">
      <c r="A5475" s="47"/>
      <c r="B5475" s="260" t="s">
        <v>1993</v>
      </c>
      <c r="C5475" s="894">
        <v>1</v>
      </c>
      <c r="D5475" s="891">
        <v>20</v>
      </c>
    </row>
    <row r="5476" spans="1:10" s="888" customFormat="1" ht="12"/>
    <row r="5477" spans="1:10" s="888" customFormat="1" ht="12"/>
    <row r="5478" spans="1:10" s="888" customFormat="1" ht="12"/>
    <row r="5479" spans="1:10" s="888" customFormat="1" ht="12.75">
      <c r="A5479" s="886" t="s">
        <v>105</v>
      </c>
      <c r="B5479" s="902" t="s">
        <v>106</v>
      </c>
      <c r="C5479" s="902" t="s">
        <v>52</v>
      </c>
      <c r="D5479" s="902" t="s">
        <v>1710</v>
      </c>
      <c r="E5479" s="887" t="s">
        <v>1186</v>
      </c>
      <c r="F5479" s="887" t="s">
        <v>1652</v>
      </c>
      <c r="G5479" s="887" t="s">
        <v>1653</v>
      </c>
      <c r="H5479" s="887" t="s">
        <v>1825</v>
      </c>
      <c r="I5479" s="887" t="s">
        <v>2245</v>
      </c>
      <c r="J5479" s="887" t="s">
        <v>2683</v>
      </c>
    </row>
    <row r="5480" spans="1:10" s="888" customFormat="1" ht="12.75">
      <c r="A5480" s="4" t="s">
        <v>2686</v>
      </c>
      <c r="B5480" s="47">
        <v>12701</v>
      </c>
      <c r="C5480" s="48">
        <v>9</v>
      </c>
      <c r="D5480" s="47" t="s">
        <v>294</v>
      </c>
      <c r="E5480" s="50">
        <v>10</v>
      </c>
      <c r="F5480" s="911">
        <v>400</v>
      </c>
      <c r="G5480" s="905">
        <f>E5480*F5480</f>
        <v>4000</v>
      </c>
      <c r="H5480" s="51">
        <v>0.79</v>
      </c>
      <c r="I5480" s="891">
        <f>H5480*G5480</f>
        <v>3160</v>
      </c>
      <c r="J5480" s="47" t="s">
        <v>2696</v>
      </c>
    </row>
    <row r="5481" spans="1:10" s="888" customFormat="1" ht="12.75">
      <c r="A5481" s="4" t="s">
        <v>2686</v>
      </c>
      <c r="B5481" s="47">
        <v>12701</v>
      </c>
      <c r="C5481" s="48">
        <v>9</v>
      </c>
      <c r="D5481" s="47" t="s">
        <v>2688</v>
      </c>
      <c r="E5481" s="50">
        <v>10</v>
      </c>
      <c r="F5481" s="911">
        <v>8</v>
      </c>
      <c r="G5481" s="905">
        <f>E5481*F5481</f>
        <v>80</v>
      </c>
      <c r="H5481" s="51">
        <v>0.79</v>
      </c>
      <c r="I5481" s="891">
        <f>H5481*G5481</f>
        <v>63.2</v>
      </c>
      <c r="J5481" s="47" t="s">
        <v>152</v>
      </c>
    </row>
    <row r="5482" spans="1:10" s="888" customFormat="1" ht="12.75">
      <c r="A5482" s="4" t="s">
        <v>2686</v>
      </c>
      <c r="B5482" s="47">
        <v>12701</v>
      </c>
      <c r="C5482" s="48">
        <v>4</v>
      </c>
      <c r="D5482" s="47" t="s">
        <v>294</v>
      </c>
      <c r="E5482" s="50">
        <v>40</v>
      </c>
      <c r="F5482" s="911">
        <v>1</v>
      </c>
      <c r="G5482" s="905">
        <f>E5482*F5482</f>
        <v>40</v>
      </c>
      <c r="H5482" s="51">
        <v>0.68</v>
      </c>
      <c r="I5482" s="891">
        <f>H5482*G5482</f>
        <v>27.200000000000003</v>
      </c>
      <c r="J5482" s="47" t="s">
        <v>152</v>
      </c>
    </row>
    <row r="5483" spans="1:10" s="888" customFormat="1" ht="12.75">
      <c r="A5483" s="4" t="s">
        <v>2686</v>
      </c>
      <c r="B5483" s="47">
        <v>12701</v>
      </c>
      <c r="C5483" s="48">
        <v>6</v>
      </c>
      <c r="D5483" s="47" t="s">
        <v>294</v>
      </c>
      <c r="E5483" s="50">
        <v>10</v>
      </c>
      <c r="F5483" s="911">
        <v>3</v>
      </c>
      <c r="G5483" s="905">
        <f>E5483*F5483</f>
        <v>30</v>
      </c>
      <c r="H5483" s="51">
        <v>0.7</v>
      </c>
      <c r="I5483" s="891">
        <f>H5483*G5483</f>
        <v>21</v>
      </c>
      <c r="J5483" s="47" t="s">
        <v>152</v>
      </c>
    </row>
    <row r="5484" spans="1:10" s="888" customFormat="1" ht="12.75">
      <c r="A5484" s="4"/>
      <c r="B5484" s="889"/>
      <c r="C5484" s="48"/>
      <c r="D5484" s="47"/>
      <c r="E5484" s="50"/>
      <c r="F5484" s="911"/>
      <c r="G5484" s="50"/>
      <c r="H5484" s="917"/>
      <c r="I5484" s="39"/>
      <c r="J5484" s="47"/>
    </row>
    <row r="5485" spans="1:10" s="888" customFormat="1" ht="12.75">
      <c r="A5485" s="4" t="s">
        <v>2686</v>
      </c>
      <c r="B5485" s="47">
        <v>11700</v>
      </c>
      <c r="C5485" s="48">
        <v>6</v>
      </c>
      <c r="D5485" s="47" t="s">
        <v>185</v>
      </c>
      <c r="E5485" s="50">
        <v>10</v>
      </c>
      <c r="F5485" s="911">
        <v>30</v>
      </c>
      <c r="G5485" s="905">
        <f>E5485*F5485</f>
        <v>300</v>
      </c>
      <c r="H5485" s="51">
        <v>1.23</v>
      </c>
      <c r="I5485" s="891">
        <f>H5485*G5485</f>
        <v>369</v>
      </c>
      <c r="J5485" s="47" t="s">
        <v>152</v>
      </c>
    </row>
    <row r="5486" spans="1:10" s="888" customFormat="1" ht="12.75">
      <c r="A5486" s="4"/>
      <c r="B5486" s="912"/>
      <c r="C5486" s="913"/>
      <c r="D5486" s="914"/>
      <c r="E5486" s="898"/>
      <c r="F5486" s="899"/>
      <c r="G5486" s="915"/>
      <c r="H5486" s="916"/>
      <c r="I5486" s="213"/>
      <c r="J5486" s="47"/>
    </row>
    <row r="5487" spans="1:10" s="888" customFormat="1" ht="12.75">
      <c r="A5487" s="4" t="s">
        <v>2686</v>
      </c>
      <c r="B5487" s="47">
        <v>14552</v>
      </c>
      <c r="C5487" s="48">
        <v>38</v>
      </c>
      <c r="D5487" s="47" t="s">
        <v>431</v>
      </c>
      <c r="E5487" s="903">
        <v>30</v>
      </c>
      <c r="F5487" s="904">
        <v>35</v>
      </c>
      <c r="G5487" s="905">
        <f>E5487*F5487</f>
        <v>1050</v>
      </c>
      <c r="H5487" s="891">
        <v>1.78</v>
      </c>
      <c r="I5487" s="891">
        <f>H5487*G5487</f>
        <v>1869</v>
      </c>
      <c r="J5487" s="47" t="s">
        <v>152</v>
      </c>
    </row>
    <row r="5488" spans="1:10" s="888" customFormat="1" ht="12.75">
      <c r="A5488" s="4" t="s">
        <v>2686</v>
      </c>
      <c r="B5488" s="47">
        <v>14552</v>
      </c>
      <c r="C5488" s="48">
        <v>25</v>
      </c>
      <c r="D5488" s="47" t="s">
        <v>431</v>
      </c>
      <c r="E5488" s="903">
        <v>30</v>
      </c>
      <c r="F5488" s="904">
        <v>3</v>
      </c>
      <c r="G5488" s="905">
        <f>E5488*F5488</f>
        <v>90</v>
      </c>
      <c r="H5488" s="891">
        <v>1.21</v>
      </c>
      <c r="I5488" s="891">
        <f>H5488*G5488</f>
        <v>108.89999999999999</v>
      </c>
      <c r="J5488" s="47" t="s">
        <v>152</v>
      </c>
    </row>
    <row r="5489" spans="1:10" s="888" customFormat="1" ht="12.75">
      <c r="A5489" s="4"/>
      <c r="B5489" s="47"/>
      <c r="C5489" s="48"/>
      <c r="D5489" s="47"/>
      <c r="E5489" s="903"/>
      <c r="F5489" s="904"/>
      <c r="G5489" s="905"/>
      <c r="H5489" s="918" t="s">
        <v>2695</v>
      </c>
      <c r="I5489" s="919">
        <f>SUM(I5480:I5488)</f>
        <v>5618.2999999999993</v>
      </c>
      <c r="J5489" s="47"/>
    </row>
    <row r="5490" spans="1:10" s="888" customFormat="1" ht="12"/>
    <row r="5491" spans="1:10" s="888" customFormat="1" ht="12"/>
    <row r="5492" spans="1:10">
      <c r="A5492" s="902" t="s">
        <v>106</v>
      </c>
      <c r="B5492" s="902" t="s">
        <v>52</v>
      </c>
      <c r="C5492" s="902" t="s">
        <v>1710</v>
      </c>
      <c r="D5492" s="887" t="s">
        <v>1186</v>
      </c>
      <c r="E5492" s="887" t="s">
        <v>1652</v>
      </c>
      <c r="F5492" s="887" t="s">
        <v>1653</v>
      </c>
      <c r="G5492" s="887" t="s">
        <v>1825</v>
      </c>
    </row>
    <row r="5493" spans="1:10">
      <c r="A5493" s="47">
        <v>4141</v>
      </c>
      <c r="B5493" s="260">
        <v>9</v>
      </c>
      <c r="C5493" s="47" t="s">
        <v>2700</v>
      </c>
      <c r="D5493" s="50">
        <v>20</v>
      </c>
      <c r="E5493" s="911">
        <v>2</v>
      </c>
      <c r="F5493" s="905">
        <f>D5493*E5493</f>
        <v>40</v>
      </c>
      <c r="G5493" s="891">
        <v>1.63</v>
      </c>
    </row>
    <row r="5494" spans="1:10">
      <c r="A5494" s="47">
        <v>4141</v>
      </c>
      <c r="B5494" s="260">
        <v>9</v>
      </c>
      <c r="C5494" s="47" t="s">
        <v>2701</v>
      </c>
      <c r="D5494" s="50">
        <v>20</v>
      </c>
      <c r="E5494" s="911">
        <v>2</v>
      </c>
      <c r="F5494" s="905">
        <f>D5494*E5494</f>
        <v>40</v>
      </c>
      <c r="G5494" s="891">
        <v>1.63</v>
      </c>
    </row>
    <row r="5495" spans="1:10">
      <c r="A5495" s="47"/>
      <c r="B5495" s="893"/>
      <c r="C5495" s="260" t="s">
        <v>1993</v>
      </c>
      <c r="D5495" s="905"/>
      <c r="E5495" s="906"/>
      <c r="F5495" s="894">
        <v>1</v>
      </c>
      <c r="G5495" s="891">
        <v>12</v>
      </c>
    </row>
    <row r="5497" spans="1:10">
      <c r="A5497" s="902" t="s">
        <v>106</v>
      </c>
      <c r="B5497" s="902" t="s">
        <v>52</v>
      </c>
      <c r="C5497" s="902" t="s">
        <v>1710</v>
      </c>
      <c r="D5497" s="887" t="s">
        <v>1186</v>
      </c>
      <c r="E5497" s="887" t="s">
        <v>1652</v>
      </c>
      <c r="F5497" s="887" t="s">
        <v>1653</v>
      </c>
      <c r="G5497" s="887" t="s">
        <v>1825</v>
      </c>
    </row>
    <row r="5498" spans="1:10">
      <c r="A5498" s="47" t="s">
        <v>2698</v>
      </c>
      <c r="B5498" s="48">
        <v>10</v>
      </c>
      <c r="C5498" s="47" t="s">
        <v>1661</v>
      </c>
      <c r="D5498" s="50">
        <v>100</v>
      </c>
      <c r="E5498" s="911">
        <v>1</v>
      </c>
      <c r="F5498" s="905">
        <f>D5498*E5498</f>
        <v>100</v>
      </c>
      <c r="G5498" s="51">
        <v>0.55000000000000004</v>
      </c>
    </row>
    <row r="5499" spans="1:10">
      <c r="A5499" s="47"/>
      <c r="B5499" s="893"/>
      <c r="C5499" s="260" t="s">
        <v>1993</v>
      </c>
      <c r="D5499" s="905"/>
      <c r="E5499" s="906"/>
      <c r="F5499" s="894">
        <v>1</v>
      </c>
      <c r="G5499" s="891">
        <v>12</v>
      </c>
    </row>
    <row r="5500" spans="1:10">
      <c r="A5500" s="920"/>
      <c r="B5500" s="921"/>
      <c r="C5500" s="921" t="s">
        <v>1227</v>
      </c>
      <c r="D5500" s="922" t="s">
        <v>1228</v>
      </c>
      <c r="E5500" s="923"/>
      <c r="F5500" s="924"/>
      <c r="G5500" s="925">
        <v>0</v>
      </c>
    </row>
    <row r="5501" spans="1:10">
      <c r="A5501" s="888"/>
      <c r="B5501" s="888"/>
      <c r="C5501" s="888"/>
      <c r="D5501" s="888"/>
      <c r="E5501" s="888"/>
      <c r="F5501" s="888"/>
      <c r="G5501" s="888"/>
      <c r="H5501" s="888"/>
    </row>
    <row r="5502" spans="1:10">
      <c r="A5502" s="902" t="s">
        <v>105</v>
      </c>
      <c r="B5502" s="902" t="s">
        <v>106</v>
      </c>
      <c r="C5502" s="902" t="s">
        <v>1710</v>
      </c>
      <c r="D5502" s="887" t="s">
        <v>1186</v>
      </c>
      <c r="E5502" s="887" t="s">
        <v>1652</v>
      </c>
      <c r="F5502" s="887" t="s">
        <v>1653</v>
      </c>
      <c r="G5502" s="887" t="s">
        <v>1825</v>
      </c>
      <c r="H5502" s="887" t="s">
        <v>2245</v>
      </c>
    </row>
    <row r="5503" spans="1:10">
      <c r="A5503" s="4" t="s">
        <v>2625</v>
      </c>
      <c r="B5503" s="47" t="s">
        <v>536</v>
      </c>
      <c r="C5503" s="908" t="s">
        <v>2626</v>
      </c>
      <c r="D5503" s="50">
        <v>50</v>
      </c>
      <c r="E5503" s="911">
        <v>2</v>
      </c>
      <c r="F5503" s="905">
        <f t="shared" ref="F5503:F5513" si="16">D5503*E5503</f>
        <v>100</v>
      </c>
      <c r="G5503" s="51">
        <v>5</v>
      </c>
      <c r="H5503" s="51">
        <f t="shared" ref="H5503:H5513" si="17">G5503*F5503</f>
        <v>500</v>
      </c>
    </row>
    <row r="5504" spans="1:10">
      <c r="A5504" s="4" t="s">
        <v>2625</v>
      </c>
      <c r="B5504" s="47" t="s">
        <v>536</v>
      </c>
      <c r="C5504" s="908" t="s">
        <v>2626</v>
      </c>
      <c r="D5504" s="50">
        <v>68</v>
      </c>
      <c r="E5504" s="911">
        <v>1</v>
      </c>
      <c r="F5504" s="905">
        <f t="shared" si="16"/>
        <v>68</v>
      </c>
      <c r="G5504" s="51">
        <v>5</v>
      </c>
      <c r="H5504" s="51">
        <f t="shared" si="17"/>
        <v>340</v>
      </c>
    </row>
    <row r="5505" spans="1:8">
      <c r="A5505" s="4" t="s">
        <v>2625</v>
      </c>
      <c r="B5505" s="47" t="s">
        <v>536</v>
      </c>
      <c r="C5505" s="908" t="s">
        <v>2626</v>
      </c>
      <c r="D5505" s="50">
        <v>34</v>
      </c>
      <c r="E5505" s="911">
        <v>1</v>
      </c>
      <c r="F5505" s="905">
        <f t="shared" si="16"/>
        <v>34</v>
      </c>
      <c r="G5505" s="51">
        <v>5</v>
      </c>
      <c r="H5505" s="51">
        <f t="shared" si="17"/>
        <v>170</v>
      </c>
    </row>
    <row r="5506" spans="1:8">
      <c r="A5506" s="4" t="s">
        <v>2625</v>
      </c>
      <c r="B5506" s="47" t="s">
        <v>536</v>
      </c>
      <c r="C5506" s="908" t="s">
        <v>2627</v>
      </c>
      <c r="D5506" s="50">
        <v>50</v>
      </c>
      <c r="E5506" s="911">
        <v>3</v>
      </c>
      <c r="F5506" s="905">
        <f t="shared" si="16"/>
        <v>150</v>
      </c>
      <c r="G5506" s="51">
        <v>5</v>
      </c>
      <c r="H5506" s="51">
        <f t="shared" si="17"/>
        <v>750</v>
      </c>
    </row>
    <row r="5507" spans="1:8">
      <c r="A5507" s="4" t="s">
        <v>2625</v>
      </c>
      <c r="B5507" s="47" t="s">
        <v>536</v>
      </c>
      <c r="C5507" s="908" t="s">
        <v>2627</v>
      </c>
      <c r="D5507" s="50">
        <v>51</v>
      </c>
      <c r="E5507" s="911">
        <v>1</v>
      </c>
      <c r="F5507" s="905">
        <f t="shared" si="16"/>
        <v>51</v>
      </c>
      <c r="G5507" s="51">
        <v>5</v>
      </c>
      <c r="H5507" s="51">
        <f t="shared" si="17"/>
        <v>255</v>
      </c>
    </row>
    <row r="5508" spans="1:8">
      <c r="A5508" s="4" t="s">
        <v>2625</v>
      </c>
      <c r="B5508" s="47" t="s">
        <v>536</v>
      </c>
      <c r="C5508" s="908" t="s">
        <v>2703</v>
      </c>
      <c r="D5508" s="50">
        <v>75</v>
      </c>
      <c r="E5508" s="911">
        <v>1</v>
      </c>
      <c r="F5508" s="905">
        <f t="shared" si="16"/>
        <v>75</v>
      </c>
      <c r="G5508" s="51">
        <v>5</v>
      </c>
      <c r="H5508" s="51">
        <f t="shared" si="17"/>
        <v>375</v>
      </c>
    </row>
    <row r="5509" spans="1:8">
      <c r="A5509" s="4" t="s">
        <v>2625</v>
      </c>
      <c r="B5509" s="47" t="s">
        <v>536</v>
      </c>
      <c r="C5509" s="908" t="s">
        <v>2628</v>
      </c>
      <c r="D5509" s="50">
        <v>50</v>
      </c>
      <c r="E5509" s="911">
        <v>1</v>
      </c>
      <c r="F5509" s="905">
        <f t="shared" si="16"/>
        <v>50</v>
      </c>
      <c r="G5509" s="51">
        <v>5</v>
      </c>
      <c r="H5509" s="51">
        <f t="shared" si="17"/>
        <v>250</v>
      </c>
    </row>
    <row r="5510" spans="1:8">
      <c r="A5510" s="4" t="s">
        <v>2625</v>
      </c>
      <c r="B5510" s="47" t="s">
        <v>536</v>
      </c>
      <c r="C5510" s="908" t="s">
        <v>2628</v>
      </c>
      <c r="D5510" s="50">
        <v>54</v>
      </c>
      <c r="E5510" s="911">
        <v>1</v>
      </c>
      <c r="F5510" s="905">
        <f t="shared" si="16"/>
        <v>54</v>
      </c>
      <c r="G5510" s="51">
        <v>5</v>
      </c>
      <c r="H5510" s="51">
        <f t="shared" si="17"/>
        <v>270</v>
      </c>
    </row>
    <row r="5511" spans="1:8">
      <c r="A5511" s="4" t="s">
        <v>2625</v>
      </c>
      <c r="B5511" s="47" t="s">
        <v>536</v>
      </c>
      <c r="C5511" s="908" t="s">
        <v>2629</v>
      </c>
      <c r="D5511" s="50">
        <v>52</v>
      </c>
      <c r="E5511" s="911">
        <v>1</v>
      </c>
      <c r="F5511" s="905">
        <f t="shared" si="16"/>
        <v>52</v>
      </c>
      <c r="G5511" s="51">
        <v>5</v>
      </c>
      <c r="H5511" s="51">
        <f t="shared" si="17"/>
        <v>260</v>
      </c>
    </row>
    <row r="5512" spans="1:8">
      <c r="A5512" s="4" t="s">
        <v>2625</v>
      </c>
      <c r="B5512" s="47" t="s">
        <v>536</v>
      </c>
      <c r="C5512" s="909" t="s">
        <v>2630</v>
      </c>
      <c r="D5512" s="50">
        <v>57</v>
      </c>
      <c r="E5512" s="911">
        <v>1</v>
      </c>
      <c r="F5512" s="905">
        <f t="shared" si="16"/>
        <v>57</v>
      </c>
      <c r="G5512" s="51">
        <v>5</v>
      </c>
      <c r="H5512" s="51">
        <f t="shared" si="17"/>
        <v>285</v>
      </c>
    </row>
    <row r="5513" spans="1:8">
      <c r="A5513" s="4" t="s">
        <v>2625</v>
      </c>
      <c r="B5513" s="47" t="s">
        <v>536</v>
      </c>
      <c r="C5513" s="908" t="s">
        <v>2682</v>
      </c>
      <c r="D5513" s="50">
        <v>47</v>
      </c>
      <c r="E5513" s="911">
        <v>1</v>
      </c>
      <c r="F5513" s="905">
        <f t="shared" si="16"/>
        <v>47</v>
      </c>
      <c r="G5513" s="51">
        <v>5</v>
      </c>
      <c r="H5513" s="51">
        <f t="shared" si="17"/>
        <v>235</v>
      </c>
    </row>
    <row r="5514" spans="1:8">
      <c r="A5514" s="4"/>
      <c r="B5514" s="47"/>
      <c r="C5514" s="908"/>
      <c r="D5514" s="50"/>
      <c r="E5514" s="911"/>
      <c r="F5514" s="905"/>
      <c r="G5514" s="926" t="s">
        <v>375</v>
      </c>
      <c r="H5514" s="927">
        <f>SUM(H5503:H5513)</f>
        <v>3690</v>
      </c>
    </row>
    <row r="5517" spans="1:8">
      <c r="A5517" s="902" t="s">
        <v>105</v>
      </c>
      <c r="B5517" s="902" t="s">
        <v>106</v>
      </c>
      <c r="C5517" s="902" t="s">
        <v>52</v>
      </c>
      <c r="D5517" s="902" t="s">
        <v>1710</v>
      </c>
      <c r="E5517" s="887" t="s">
        <v>1653</v>
      </c>
      <c r="F5517" s="887" t="s">
        <v>2020</v>
      </c>
    </row>
    <row r="5518" spans="1:8">
      <c r="A5518" s="4" t="s">
        <v>2430</v>
      </c>
      <c r="B5518" s="889" t="s">
        <v>2678</v>
      </c>
      <c r="C5518" s="260">
        <v>9</v>
      </c>
      <c r="D5518" s="889" t="s">
        <v>2432</v>
      </c>
      <c r="E5518" s="890">
        <v>361</v>
      </c>
      <c r="F5518" s="891">
        <v>1.43</v>
      </c>
    </row>
    <row r="5521" spans="1:9">
      <c r="A5521" s="902" t="s">
        <v>106</v>
      </c>
      <c r="B5521" s="902" t="s">
        <v>52</v>
      </c>
      <c r="C5521" s="902" t="s">
        <v>1710</v>
      </c>
      <c r="D5521" s="887" t="s">
        <v>1186</v>
      </c>
      <c r="E5521" s="887" t="s">
        <v>1652</v>
      </c>
      <c r="F5521" s="887" t="s">
        <v>1653</v>
      </c>
      <c r="G5521" s="887" t="s">
        <v>1825</v>
      </c>
    </row>
    <row r="5522" spans="1:9">
      <c r="A5522" s="47">
        <v>5291</v>
      </c>
      <c r="B5522" s="48">
        <v>10</v>
      </c>
      <c r="C5522" s="47" t="s">
        <v>29</v>
      </c>
      <c r="D5522" s="905">
        <v>20</v>
      </c>
      <c r="E5522" s="906">
        <v>2</v>
      </c>
      <c r="F5522" s="905">
        <f t="shared" ref="F5522:F5527" si="18">D5522*E5522</f>
        <v>40</v>
      </c>
      <c r="G5522" s="891">
        <v>0.72</v>
      </c>
    </row>
    <row r="5523" spans="1:9">
      <c r="A5523" s="47">
        <v>5291</v>
      </c>
      <c r="B5523" s="48">
        <v>10</v>
      </c>
      <c r="C5523" s="47" t="s">
        <v>499</v>
      </c>
      <c r="D5523" s="905">
        <v>20</v>
      </c>
      <c r="E5523" s="906">
        <v>2</v>
      </c>
      <c r="F5523" s="905">
        <f t="shared" si="18"/>
        <v>40</v>
      </c>
      <c r="G5523" s="891">
        <v>0.72</v>
      </c>
    </row>
    <row r="5524" spans="1:9">
      <c r="A5524" s="47">
        <v>5291</v>
      </c>
      <c r="B5524" s="48">
        <v>8</v>
      </c>
      <c r="C5524" s="47" t="s">
        <v>29</v>
      </c>
      <c r="D5524" s="905">
        <v>50</v>
      </c>
      <c r="E5524" s="906">
        <v>1</v>
      </c>
      <c r="F5524" s="905">
        <f t="shared" si="18"/>
        <v>50</v>
      </c>
      <c r="G5524" s="891">
        <v>0.49</v>
      </c>
    </row>
    <row r="5525" spans="1:9">
      <c r="A5525" s="47">
        <v>5291</v>
      </c>
      <c r="B5525" s="48">
        <v>8</v>
      </c>
      <c r="C5525" s="47" t="s">
        <v>499</v>
      </c>
      <c r="D5525" s="905">
        <v>50</v>
      </c>
      <c r="E5525" s="906">
        <v>1</v>
      </c>
      <c r="F5525" s="905">
        <f t="shared" si="18"/>
        <v>50</v>
      </c>
      <c r="G5525" s="891">
        <v>0.49</v>
      </c>
    </row>
    <row r="5526" spans="1:9">
      <c r="A5526" s="47">
        <v>5291</v>
      </c>
      <c r="B5526" s="48">
        <v>8</v>
      </c>
      <c r="C5526" s="47" t="s">
        <v>1158</v>
      </c>
      <c r="D5526" s="905">
        <v>50</v>
      </c>
      <c r="E5526" s="906">
        <v>1</v>
      </c>
      <c r="F5526" s="905">
        <f t="shared" si="18"/>
        <v>50</v>
      </c>
      <c r="G5526" s="891">
        <v>0.49</v>
      </c>
    </row>
    <row r="5527" spans="1:9">
      <c r="A5527" s="47">
        <v>5291</v>
      </c>
      <c r="B5527" s="48">
        <v>8</v>
      </c>
      <c r="C5527" s="47" t="s">
        <v>211</v>
      </c>
      <c r="D5527" s="905">
        <v>50</v>
      </c>
      <c r="E5527" s="906">
        <v>1</v>
      </c>
      <c r="F5527" s="905">
        <f t="shared" si="18"/>
        <v>50</v>
      </c>
      <c r="G5527" s="891">
        <v>0.49</v>
      </c>
    </row>
    <row r="5528" spans="1:9">
      <c r="A5528" s="47"/>
      <c r="B5528" s="893"/>
      <c r="C5528" s="260" t="s">
        <v>1993</v>
      </c>
      <c r="D5528" s="905"/>
      <c r="E5528" s="906"/>
      <c r="F5528" s="894">
        <v>1</v>
      </c>
      <c r="G5528" s="891">
        <v>12</v>
      </c>
    </row>
    <row r="5530" spans="1:9">
      <c r="A5530" t="s">
        <v>2712</v>
      </c>
    </row>
    <row r="5531" spans="1:9" ht="25.5">
      <c r="A5531" s="933" t="s">
        <v>1369</v>
      </c>
      <c r="B5531" s="958" t="s">
        <v>377</v>
      </c>
      <c r="C5531" s="959" t="s">
        <v>2</v>
      </c>
      <c r="D5531" s="960" t="s">
        <v>1734</v>
      </c>
      <c r="E5531" s="1156" t="s">
        <v>2264</v>
      </c>
      <c r="F5531" s="1156" t="s">
        <v>1181</v>
      </c>
      <c r="G5531" s="961" t="s">
        <v>3117</v>
      </c>
    </row>
    <row r="5532" spans="1:9" s="932" customFormat="1" ht="15" customHeight="1">
      <c r="A5532" s="934" t="s">
        <v>5297</v>
      </c>
      <c r="B5532" s="48">
        <v>16</v>
      </c>
      <c r="C5532" s="935" t="s">
        <v>5298</v>
      </c>
      <c r="D5532" s="52" t="s">
        <v>5299</v>
      </c>
      <c r="E5532" s="936" t="s">
        <v>5300</v>
      </c>
      <c r="F5532" s="52" t="s">
        <v>5301</v>
      </c>
      <c r="G5532" s="937">
        <v>5.15</v>
      </c>
      <c r="H5532" s="930"/>
      <c r="I5532" s="931"/>
    </row>
    <row r="5534" spans="1:9">
      <c r="A5534" t="s">
        <v>2713</v>
      </c>
    </row>
    <row r="5535" spans="1:9" ht="25.5">
      <c r="A5535" s="938" t="s">
        <v>1603</v>
      </c>
      <c r="B5535" s="938" t="s">
        <v>2317</v>
      </c>
      <c r="C5535" s="938" t="s">
        <v>2316</v>
      </c>
      <c r="D5535" s="939" t="s">
        <v>2887</v>
      </c>
      <c r="E5535" s="940" t="s">
        <v>1623</v>
      </c>
      <c r="F5535" s="940" t="s">
        <v>5282</v>
      </c>
      <c r="G5535" s="940" t="s">
        <v>5292</v>
      </c>
      <c r="H5535" s="940" t="s">
        <v>5302</v>
      </c>
    </row>
    <row r="5536" spans="1:9">
      <c r="A5536" s="941" t="s">
        <v>1802</v>
      </c>
      <c r="B5536" s="942" t="s">
        <v>129</v>
      </c>
      <c r="C5536" s="942" t="s">
        <v>2341</v>
      </c>
      <c r="D5536" s="943">
        <v>1.62</v>
      </c>
      <c r="E5536" s="943">
        <v>2.17</v>
      </c>
      <c r="F5536" s="942" t="s">
        <v>2342</v>
      </c>
      <c r="G5536" s="944">
        <v>125</v>
      </c>
      <c r="H5536" s="944" t="s">
        <v>2714</v>
      </c>
    </row>
    <row r="5537" spans="1:8">
      <c r="A5537" s="945" t="s">
        <v>1684</v>
      </c>
      <c r="B5537" s="942" t="s">
        <v>129</v>
      </c>
      <c r="C5537" s="942" t="s">
        <v>2341</v>
      </c>
      <c r="D5537" s="943">
        <v>1.02</v>
      </c>
      <c r="E5537" s="943">
        <v>1.58</v>
      </c>
      <c r="F5537" s="942" t="s">
        <v>2342</v>
      </c>
      <c r="G5537" s="944">
        <v>125</v>
      </c>
      <c r="H5537" s="944" t="s">
        <v>2715</v>
      </c>
    </row>
    <row r="5538" spans="1:8">
      <c r="A5538" s="941" t="s">
        <v>1717</v>
      </c>
      <c r="B5538" s="942" t="s">
        <v>129</v>
      </c>
      <c r="C5538" s="942" t="s">
        <v>2341</v>
      </c>
      <c r="D5538" s="943">
        <v>1.04</v>
      </c>
      <c r="E5538" s="943">
        <v>1.6</v>
      </c>
      <c r="F5538" s="942" t="s">
        <v>2342</v>
      </c>
      <c r="G5538" s="944">
        <v>125</v>
      </c>
      <c r="H5538" s="944" t="s">
        <v>2716</v>
      </c>
    </row>
    <row r="5541" spans="1:8">
      <c r="A5541" s="902" t="s">
        <v>105</v>
      </c>
      <c r="B5541" s="902" t="s">
        <v>106</v>
      </c>
      <c r="C5541" s="902" t="s">
        <v>1710</v>
      </c>
      <c r="D5541" s="887" t="s">
        <v>1186</v>
      </c>
      <c r="E5541" s="887" t="s">
        <v>1652</v>
      </c>
      <c r="F5541" s="887" t="s">
        <v>1653</v>
      </c>
      <c r="G5541" s="887" t="s">
        <v>1825</v>
      </c>
      <c r="H5541" s="887" t="s">
        <v>2245</v>
      </c>
    </row>
    <row r="5542" spans="1:8">
      <c r="A5542" s="4" t="s">
        <v>2717</v>
      </c>
      <c r="B5542" s="47" t="s">
        <v>536</v>
      </c>
      <c r="C5542" s="908" t="s">
        <v>2718</v>
      </c>
      <c r="D5542" s="50">
        <v>50</v>
      </c>
      <c r="E5542" s="911">
        <v>1</v>
      </c>
      <c r="F5542" s="905">
        <f>D5542*E5542</f>
        <v>50</v>
      </c>
      <c r="G5542" s="51">
        <v>5</v>
      </c>
      <c r="H5542" s="946" t="s">
        <v>2722</v>
      </c>
    </row>
    <row r="5543" spans="1:8">
      <c r="A5543" s="4" t="s">
        <v>2717</v>
      </c>
      <c r="B5543" s="47" t="s">
        <v>536</v>
      </c>
      <c r="C5543" s="908" t="s">
        <v>2682</v>
      </c>
      <c r="D5543" s="50">
        <v>50</v>
      </c>
      <c r="E5543" s="911">
        <v>1</v>
      </c>
      <c r="F5543" s="905">
        <f>D5543*E5543</f>
        <v>50</v>
      </c>
      <c r="G5543" s="51">
        <v>5</v>
      </c>
      <c r="H5543" s="946" t="s">
        <v>2723</v>
      </c>
    </row>
    <row r="5544" spans="1:8">
      <c r="A5544" s="4" t="s">
        <v>2717</v>
      </c>
      <c r="B5544" s="47" t="s">
        <v>536</v>
      </c>
      <c r="C5544" s="909" t="s">
        <v>2630</v>
      </c>
      <c r="D5544" s="50">
        <v>50</v>
      </c>
      <c r="E5544" s="911">
        <v>1</v>
      </c>
      <c r="F5544" s="905">
        <f>D5544*E5544</f>
        <v>50</v>
      </c>
      <c r="G5544" s="51">
        <v>5</v>
      </c>
      <c r="H5544" s="946" t="s">
        <v>2722</v>
      </c>
    </row>
    <row r="5545" spans="1:8">
      <c r="A5545" s="4" t="s">
        <v>2717</v>
      </c>
      <c r="B5545" s="47"/>
      <c r="C5545" s="260" t="s">
        <v>1993</v>
      </c>
      <c r="D5545" s="905"/>
      <c r="E5545" s="906"/>
      <c r="F5545" s="894">
        <v>1</v>
      </c>
      <c r="G5545" s="891">
        <v>20</v>
      </c>
      <c r="H5545" s="946"/>
    </row>
    <row r="5546" spans="1:8">
      <c r="A5546" s="888"/>
      <c r="B5546" s="888"/>
      <c r="C5546" s="888"/>
      <c r="D5546" s="888"/>
      <c r="E5546" s="888"/>
      <c r="F5546" s="888"/>
      <c r="G5546" s="888"/>
      <c r="H5546" s="888"/>
    </row>
    <row r="5547" spans="1:8">
      <c r="A5547" s="888"/>
      <c r="B5547" s="888"/>
      <c r="C5547" s="888"/>
      <c r="D5547" s="888"/>
      <c r="E5547" s="888"/>
      <c r="F5547" s="888"/>
      <c r="G5547" s="888"/>
      <c r="H5547" s="888"/>
    </row>
    <row r="5548" spans="1:8">
      <c r="A5548" s="888"/>
      <c r="B5548" s="888"/>
      <c r="C5548" s="888"/>
      <c r="D5548" s="888"/>
      <c r="E5548" s="888"/>
      <c r="F5548" s="888"/>
      <c r="G5548" s="888"/>
      <c r="H5548" s="888"/>
    </row>
    <row r="5549" spans="1:8" s="888" customFormat="1" ht="12.75">
      <c r="A5549" s="902" t="s">
        <v>105</v>
      </c>
      <c r="B5549" s="902" t="s">
        <v>106</v>
      </c>
      <c r="C5549" s="902" t="s">
        <v>52</v>
      </c>
      <c r="D5549" s="902" t="s">
        <v>1710</v>
      </c>
      <c r="E5549" s="887" t="s">
        <v>1186</v>
      </c>
      <c r="F5549" s="887" t="s">
        <v>1652</v>
      </c>
      <c r="G5549" s="887" t="s">
        <v>1653</v>
      </c>
      <c r="H5549" s="887" t="s">
        <v>1825</v>
      </c>
    </row>
    <row r="5550" spans="1:8" s="888" customFormat="1" ht="12.75">
      <c r="A5550" s="947" t="s">
        <v>2720</v>
      </c>
      <c r="B5550" s="47">
        <v>14552</v>
      </c>
      <c r="C5550" s="48">
        <v>10</v>
      </c>
      <c r="D5550" s="47" t="s">
        <v>2721</v>
      </c>
      <c r="E5550" s="948">
        <v>30</v>
      </c>
      <c r="F5550" s="949">
        <v>67</v>
      </c>
      <c r="G5550" s="49">
        <f>E5550*F5550</f>
        <v>2010</v>
      </c>
      <c r="H5550" s="950">
        <v>0.69</v>
      </c>
    </row>
    <row r="5551" spans="1:8" s="888" customFormat="1" ht="12.75">
      <c r="A5551" s="947" t="s">
        <v>2720</v>
      </c>
      <c r="B5551" s="47">
        <v>14552</v>
      </c>
      <c r="C5551" s="48">
        <v>10</v>
      </c>
      <c r="D5551" s="47" t="s">
        <v>1662</v>
      </c>
      <c r="E5551" s="948">
        <v>30</v>
      </c>
      <c r="F5551" s="949">
        <v>40</v>
      </c>
      <c r="G5551" s="49">
        <f>E5551*F5551</f>
        <v>1200</v>
      </c>
      <c r="H5551" s="950">
        <v>0.69</v>
      </c>
    </row>
    <row r="5552" spans="1:8" s="888" customFormat="1" ht="12"/>
    <row r="5553" spans="1:8" s="888" customFormat="1" ht="12"/>
    <row r="5555" spans="1:8">
      <c r="A5555" s="902" t="s">
        <v>105</v>
      </c>
      <c r="B5555" s="902" t="s">
        <v>106</v>
      </c>
      <c r="C5555" s="902" t="s">
        <v>1710</v>
      </c>
      <c r="D5555" s="887" t="s">
        <v>1186</v>
      </c>
      <c r="E5555" s="887" t="s">
        <v>1652</v>
      </c>
      <c r="F5555" s="887" t="s">
        <v>1653</v>
      </c>
      <c r="G5555" s="887" t="s">
        <v>1825</v>
      </c>
    </row>
    <row r="5556" spans="1:8">
      <c r="A5556" s="4" t="s">
        <v>2719</v>
      </c>
      <c r="B5556" s="47" t="s">
        <v>1802</v>
      </c>
      <c r="C5556" s="260" t="s">
        <v>78</v>
      </c>
      <c r="D5556" s="905">
        <v>14</v>
      </c>
      <c r="E5556" s="906">
        <v>7</v>
      </c>
      <c r="F5556" s="50">
        <f>E5556*D5556</f>
        <v>98</v>
      </c>
      <c r="G5556" s="891">
        <v>1.62</v>
      </c>
    </row>
    <row r="5557" spans="1:8">
      <c r="A5557" s="4" t="s">
        <v>2719</v>
      </c>
      <c r="B5557" s="47" t="s">
        <v>1684</v>
      </c>
      <c r="C5557" s="260" t="s">
        <v>78</v>
      </c>
      <c r="D5557" s="905">
        <v>14</v>
      </c>
      <c r="E5557" s="906">
        <v>2</v>
      </c>
      <c r="F5557" s="50">
        <f>E5557*D5557</f>
        <v>28</v>
      </c>
      <c r="G5557" s="891">
        <v>1.02</v>
      </c>
    </row>
    <row r="5558" spans="1:8">
      <c r="A5558" s="4" t="s">
        <v>2719</v>
      </c>
      <c r="B5558" s="47"/>
      <c r="C5558" s="260" t="s">
        <v>1993</v>
      </c>
      <c r="D5558" s="905"/>
      <c r="E5558" s="906"/>
      <c r="F5558" s="894">
        <v>1</v>
      </c>
      <c r="G5558" s="891">
        <v>12</v>
      </c>
    </row>
    <row r="5559" spans="1:8">
      <c r="A5559" s="888"/>
      <c r="B5559" s="888"/>
      <c r="C5559" s="888"/>
      <c r="D5559" s="888"/>
      <c r="E5559" s="888"/>
      <c r="F5559" s="888"/>
      <c r="G5559" s="888"/>
      <c r="H5559" s="888"/>
    </row>
    <row r="5561" spans="1:8" s="843" customFormat="1" ht="25.5">
      <c r="A5561" s="886" t="s">
        <v>1400</v>
      </c>
      <c r="B5561" s="951" t="s">
        <v>2464</v>
      </c>
      <c r="C5561" s="952" t="s">
        <v>2724</v>
      </c>
      <c r="D5561" s="951" t="s">
        <v>1181</v>
      </c>
      <c r="E5561" s="953" t="s">
        <v>2467</v>
      </c>
      <c r="F5561" s="847" t="s">
        <v>1752</v>
      </c>
      <c r="G5561" s="847" t="s">
        <v>2562</v>
      </c>
    </row>
    <row r="5562" spans="1:8" s="843" customFormat="1" ht="24" customHeight="1">
      <c r="A5562" s="954">
        <v>2440</v>
      </c>
      <c r="B5562" s="954" t="s">
        <v>2483</v>
      </c>
      <c r="C5562" s="955" t="s">
        <v>2482</v>
      </c>
      <c r="D5562" s="956" t="s">
        <v>2725</v>
      </c>
      <c r="E5562" s="957">
        <v>3.8899999999999997</v>
      </c>
      <c r="F5562" s="837"/>
      <c r="G5562" s="837"/>
    </row>
    <row r="5564" spans="1:8">
      <c r="A5564" t="s">
        <v>2734</v>
      </c>
    </row>
    <row r="5565" spans="1:8" ht="25.5">
      <c r="A5565" s="938" t="s">
        <v>1603</v>
      </c>
      <c r="B5565" s="938" t="s">
        <v>2317</v>
      </c>
      <c r="C5565" s="938" t="s">
        <v>2316</v>
      </c>
      <c r="D5565" s="939" t="s">
        <v>5303</v>
      </c>
      <c r="E5565" s="940" t="s">
        <v>5304</v>
      </c>
      <c r="F5565" s="940" t="s">
        <v>5282</v>
      </c>
      <c r="G5565" s="940" t="s">
        <v>5292</v>
      </c>
    </row>
    <row r="5566" spans="1:8">
      <c r="A5566" s="941" t="s">
        <v>2729</v>
      </c>
      <c r="B5566" s="942" t="s">
        <v>129</v>
      </c>
      <c r="C5566" s="942" t="s">
        <v>2730</v>
      </c>
      <c r="D5566" s="943">
        <v>3.71</v>
      </c>
      <c r="E5566" s="943">
        <v>4.26</v>
      </c>
      <c r="F5566" s="942" t="s">
        <v>2731</v>
      </c>
      <c r="G5566" s="944">
        <v>125</v>
      </c>
    </row>
    <row r="5567" spans="1:8">
      <c r="A5567" s="941" t="s">
        <v>2732</v>
      </c>
      <c r="B5567" s="942" t="s">
        <v>129</v>
      </c>
      <c r="C5567" s="942" t="s">
        <v>2730</v>
      </c>
      <c r="D5567" s="943">
        <v>3.71</v>
      </c>
      <c r="E5567" s="943">
        <v>4.26</v>
      </c>
      <c r="F5567" s="942" t="s">
        <v>2731</v>
      </c>
      <c r="G5567" s="944">
        <v>125</v>
      </c>
    </row>
    <row r="5569" spans="1:8">
      <c r="A5569" s="938" t="s">
        <v>1603</v>
      </c>
      <c r="B5569" s="938" t="s">
        <v>2317</v>
      </c>
      <c r="C5569" s="938" t="s">
        <v>2</v>
      </c>
      <c r="D5569" s="939" t="s">
        <v>2887</v>
      </c>
      <c r="E5569" s="940" t="s">
        <v>5305</v>
      </c>
    </row>
    <row r="5570" spans="1:8">
      <c r="A5570" s="941" t="s">
        <v>2729</v>
      </c>
      <c r="B5570" s="942" t="s">
        <v>129</v>
      </c>
      <c r="C5570" s="942" t="s">
        <v>2733</v>
      </c>
      <c r="D5570" s="943">
        <v>4.63</v>
      </c>
      <c r="E5570" s="944">
        <v>125</v>
      </c>
    </row>
    <row r="5571" spans="1:8">
      <c r="A5571" s="941" t="s">
        <v>2732</v>
      </c>
      <c r="B5571" s="942" t="s">
        <v>129</v>
      </c>
      <c r="C5571" s="942" t="s">
        <v>2733</v>
      </c>
      <c r="D5571" s="943">
        <v>4.63</v>
      </c>
      <c r="E5571" s="944">
        <v>125</v>
      </c>
    </row>
    <row r="5574" spans="1:8" s="888" customFormat="1" ht="12.75">
      <c r="A5574" s="902" t="s">
        <v>105</v>
      </c>
      <c r="B5574" s="902" t="s">
        <v>106</v>
      </c>
      <c r="C5574" s="902" t="s">
        <v>52</v>
      </c>
      <c r="D5574" s="902" t="s">
        <v>1710</v>
      </c>
      <c r="E5574" s="887" t="s">
        <v>1186</v>
      </c>
      <c r="F5574" s="887" t="s">
        <v>1652</v>
      </c>
      <c r="G5574" s="887" t="s">
        <v>1653</v>
      </c>
      <c r="H5574" s="887" t="s">
        <v>1825</v>
      </c>
    </row>
    <row r="5575" spans="1:8" s="888" customFormat="1" ht="12.75">
      <c r="A5575" s="4" t="s">
        <v>2728</v>
      </c>
      <c r="B5575" s="47">
        <v>3806</v>
      </c>
      <c r="C5575" s="260">
        <v>38</v>
      </c>
      <c r="D5575" s="47" t="s">
        <v>338</v>
      </c>
      <c r="E5575" s="903">
        <v>30</v>
      </c>
      <c r="F5575" s="904">
        <v>3</v>
      </c>
      <c r="G5575" s="50">
        <f>E5575*F5575</f>
        <v>90</v>
      </c>
      <c r="H5575" s="891">
        <v>0.73</v>
      </c>
    </row>
    <row r="5576" spans="1:8" s="888" customFormat="1" ht="12.75">
      <c r="A5576" s="4" t="s">
        <v>2728</v>
      </c>
      <c r="B5576" s="47"/>
      <c r="C5576" s="893"/>
      <c r="D5576" s="260" t="s">
        <v>1993</v>
      </c>
      <c r="E5576" s="905"/>
      <c r="F5576" s="906"/>
      <c r="G5576" s="894">
        <v>1</v>
      </c>
      <c r="H5576" s="891">
        <v>12</v>
      </c>
    </row>
    <row r="5579" spans="1:8">
      <c r="A5579" t="s">
        <v>2735</v>
      </c>
    </row>
    <row r="5580" spans="1:8" s="888" customFormat="1" ht="25.5">
      <c r="A5580" s="933" t="s">
        <v>1369</v>
      </c>
      <c r="B5580" s="958" t="s">
        <v>377</v>
      </c>
      <c r="C5580" s="959" t="s">
        <v>2</v>
      </c>
      <c r="D5580" s="960" t="s">
        <v>1734</v>
      </c>
      <c r="E5580" s="961" t="s">
        <v>3117</v>
      </c>
      <c r="F5580" s="962" t="s">
        <v>2254</v>
      </c>
    </row>
    <row r="5581" spans="1:8" s="888" customFormat="1" ht="14.25">
      <c r="A5581" s="909" t="s">
        <v>18</v>
      </c>
      <c r="B5581" s="963">
        <v>30</v>
      </c>
      <c r="C5581" s="964">
        <v>30</v>
      </c>
      <c r="D5581" s="965" t="s">
        <v>2736</v>
      </c>
      <c r="E5581" s="966">
        <v>4.26</v>
      </c>
      <c r="F5581" s="965" t="s">
        <v>2737</v>
      </c>
    </row>
    <row r="5583" spans="1:8">
      <c r="A5583" s="902" t="s">
        <v>105</v>
      </c>
      <c r="B5583" s="902" t="s">
        <v>106</v>
      </c>
      <c r="C5583" s="902" t="s">
        <v>52</v>
      </c>
      <c r="D5583" s="902" t="s">
        <v>1710</v>
      </c>
      <c r="E5583" s="887" t="s">
        <v>1186</v>
      </c>
      <c r="F5583" s="887" t="s">
        <v>1652</v>
      </c>
      <c r="G5583" s="887" t="s">
        <v>1653</v>
      </c>
      <c r="H5583" s="887" t="s">
        <v>1825</v>
      </c>
    </row>
    <row r="5584" spans="1:8">
      <c r="A5584" s="4" t="s">
        <v>2726</v>
      </c>
      <c r="B5584" s="47" t="s">
        <v>18</v>
      </c>
      <c r="C5584" s="260">
        <v>30</v>
      </c>
      <c r="D5584" s="47" t="s">
        <v>2727</v>
      </c>
      <c r="E5584" s="903">
        <v>30</v>
      </c>
      <c r="F5584" s="904">
        <v>1</v>
      </c>
      <c r="G5584" s="50">
        <f>E5584*F5584</f>
        <v>30</v>
      </c>
      <c r="H5584" s="891">
        <v>4.26</v>
      </c>
    </row>
    <row r="5585" spans="1:8">
      <c r="A5585" s="4" t="s">
        <v>2726</v>
      </c>
      <c r="B5585" s="47"/>
      <c r="C5585" s="893"/>
      <c r="D5585" s="260" t="s">
        <v>1993</v>
      </c>
      <c r="E5585" s="905"/>
      <c r="F5585" s="906"/>
      <c r="G5585" s="894">
        <v>1</v>
      </c>
      <c r="H5585" s="891">
        <v>12</v>
      </c>
    </row>
    <row r="5587" spans="1:8">
      <c r="A5587" s="902" t="s">
        <v>106</v>
      </c>
      <c r="B5587" s="902" t="s">
        <v>52</v>
      </c>
      <c r="C5587" s="902" t="s">
        <v>1710</v>
      </c>
      <c r="D5587" s="887" t="s">
        <v>1186</v>
      </c>
      <c r="E5587" s="887" t="s">
        <v>1652</v>
      </c>
      <c r="F5587" s="887" t="s">
        <v>1653</v>
      </c>
      <c r="G5587" s="967" t="s">
        <v>2740</v>
      </c>
    </row>
    <row r="5588" spans="1:8" s="888" customFormat="1" ht="12.75">
      <c r="A5588" s="47">
        <v>3717</v>
      </c>
      <c r="B5588" s="48">
        <v>19</v>
      </c>
      <c r="C5588" s="47" t="s">
        <v>1830</v>
      </c>
      <c r="D5588" s="903">
        <v>30</v>
      </c>
      <c r="E5588" s="904">
        <v>15</v>
      </c>
      <c r="F5588" s="905">
        <f>D5588*E5588</f>
        <v>450</v>
      </c>
      <c r="G5588" s="968" t="s">
        <v>2741</v>
      </c>
    </row>
    <row r="5589" spans="1:8" s="888" customFormat="1" ht="12.75">
      <c r="A5589" s="47">
        <v>3717</v>
      </c>
      <c r="B5589" s="48">
        <v>19</v>
      </c>
      <c r="C5589" s="47" t="s">
        <v>1830</v>
      </c>
      <c r="D5589" s="903">
        <v>30</v>
      </c>
      <c r="E5589" s="904">
        <v>10</v>
      </c>
      <c r="F5589" s="905">
        <f>D5589*E5589</f>
        <v>300</v>
      </c>
      <c r="G5589" s="968" t="s">
        <v>2742</v>
      </c>
    </row>
    <row r="5590" spans="1:8" s="888" customFormat="1" ht="12"/>
    <row r="5592" spans="1:8">
      <c r="A5592" s="902" t="s">
        <v>106</v>
      </c>
      <c r="B5592" s="902" t="s">
        <v>52</v>
      </c>
      <c r="C5592" s="902" t="s">
        <v>1710</v>
      </c>
      <c r="D5592" s="887" t="s">
        <v>1186</v>
      </c>
      <c r="E5592" s="887" t="s">
        <v>1652</v>
      </c>
      <c r="F5592" s="887" t="s">
        <v>1653</v>
      </c>
      <c r="G5592" s="887" t="s">
        <v>1825</v>
      </c>
      <c r="H5592" s="887" t="s">
        <v>2743</v>
      </c>
    </row>
    <row r="5593" spans="1:8">
      <c r="A5593" s="47">
        <v>3717</v>
      </c>
      <c r="B5593" s="48">
        <v>19</v>
      </c>
      <c r="C5593" s="47" t="s">
        <v>1830</v>
      </c>
      <c r="D5593" s="903">
        <v>30</v>
      </c>
      <c r="E5593" s="904">
        <v>15</v>
      </c>
      <c r="F5593" s="50">
        <f>D5593*E5593</f>
        <v>450</v>
      </c>
      <c r="G5593" s="891">
        <v>0.44</v>
      </c>
      <c r="H5593" s="950" t="s">
        <v>771</v>
      </c>
    </row>
    <row r="5594" spans="1:8">
      <c r="A5594" s="47">
        <v>3717</v>
      </c>
      <c r="B5594" s="48">
        <v>19</v>
      </c>
      <c r="C5594" s="47" t="s">
        <v>1830</v>
      </c>
      <c r="D5594" s="903">
        <v>30</v>
      </c>
      <c r="E5594" s="904">
        <v>10</v>
      </c>
      <c r="F5594" s="50">
        <f>D5594*E5594</f>
        <v>300</v>
      </c>
      <c r="G5594" s="891">
        <v>0.44</v>
      </c>
      <c r="H5594" s="950" t="s">
        <v>2744</v>
      </c>
    </row>
    <row r="5595" spans="1:8">
      <c r="A5595" s="47"/>
      <c r="B5595" s="893"/>
      <c r="C5595" s="260" t="s">
        <v>1993</v>
      </c>
      <c r="D5595" s="905"/>
      <c r="E5595" s="906"/>
      <c r="F5595" s="894">
        <v>1</v>
      </c>
      <c r="G5595" s="891">
        <v>12</v>
      </c>
      <c r="H5595" s="39"/>
    </row>
    <row r="5598" spans="1:8" s="888" customFormat="1" ht="25.5">
      <c r="A5598" s="933" t="s">
        <v>1369</v>
      </c>
      <c r="B5598" s="958" t="s">
        <v>377</v>
      </c>
      <c r="C5598" s="959" t="s">
        <v>2</v>
      </c>
      <c r="D5598" s="960" t="s">
        <v>1734</v>
      </c>
      <c r="E5598" s="961" t="s">
        <v>3117</v>
      </c>
      <c r="F5598" s="962" t="s">
        <v>2254</v>
      </c>
    </row>
    <row r="5599" spans="1:8" s="888" customFormat="1" ht="14.25">
      <c r="A5599" s="909" t="s">
        <v>18</v>
      </c>
      <c r="B5599" s="963">
        <v>30</v>
      </c>
      <c r="C5599" s="964">
        <v>30</v>
      </c>
      <c r="D5599" s="965" t="s">
        <v>2736</v>
      </c>
      <c r="E5599" s="966">
        <v>4.26</v>
      </c>
      <c r="F5599" s="965" t="s">
        <v>2737</v>
      </c>
    </row>
    <row r="5602" spans="1:7" s="888" customFormat="1" ht="25.5">
      <c r="A5602" s="933" t="s">
        <v>1369</v>
      </c>
      <c r="B5602" s="958" t="s">
        <v>377</v>
      </c>
      <c r="C5602" s="959" t="s">
        <v>2</v>
      </c>
      <c r="D5602" s="962" t="s">
        <v>2254</v>
      </c>
      <c r="E5602" s="961" t="s">
        <v>3117</v>
      </c>
    </row>
    <row r="5603" spans="1:7" s="888" customFormat="1" ht="12.75">
      <c r="A5603" s="909" t="s">
        <v>18</v>
      </c>
      <c r="B5603" s="963">
        <v>30</v>
      </c>
      <c r="C5603" s="964">
        <v>30</v>
      </c>
      <c r="D5603" s="965" t="s">
        <v>2737</v>
      </c>
      <c r="E5603" s="966">
        <v>4.26</v>
      </c>
    </row>
    <row r="5605" spans="1:7">
      <c r="A5605" t="s">
        <v>2746</v>
      </c>
    </row>
    <row r="5606" spans="1:7" ht="25.5">
      <c r="A5606" s="1616" t="s">
        <v>1369</v>
      </c>
      <c r="B5606" s="974" t="s">
        <v>377</v>
      </c>
      <c r="C5606" s="975" t="s">
        <v>2</v>
      </c>
      <c r="D5606" s="976" t="s">
        <v>1734</v>
      </c>
      <c r="E5606" s="977" t="s">
        <v>2264</v>
      </c>
      <c r="F5606" s="977" t="s">
        <v>1181</v>
      </c>
      <c r="G5606" s="978" t="s">
        <v>3117</v>
      </c>
    </row>
    <row r="5607" spans="1:7">
      <c r="A5607" s="934" t="s">
        <v>5306</v>
      </c>
      <c r="B5607" s="979">
        <v>4</v>
      </c>
      <c r="C5607" s="980">
        <v>15</v>
      </c>
      <c r="D5607" s="52" t="s">
        <v>1812</v>
      </c>
      <c r="E5607" s="52" t="s">
        <v>5307</v>
      </c>
      <c r="F5607" s="52" t="s">
        <v>2745</v>
      </c>
      <c r="G5607" s="981">
        <v>0.5</v>
      </c>
    </row>
    <row r="5608" spans="1:7">
      <c r="A5608" s="934" t="s">
        <v>5306</v>
      </c>
      <c r="B5608" s="979">
        <v>6</v>
      </c>
      <c r="C5608" s="980">
        <v>15</v>
      </c>
      <c r="D5608" s="52" t="s">
        <v>1812</v>
      </c>
      <c r="E5608" s="52" t="s">
        <v>5307</v>
      </c>
      <c r="F5608" s="52" t="s">
        <v>2745</v>
      </c>
      <c r="G5608" s="981">
        <v>0.57999999999999996</v>
      </c>
    </row>
    <row r="5609" spans="1:7">
      <c r="A5609" s="934" t="s">
        <v>5306</v>
      </c>
      <c r="B5609" s="979">
        <v>9</v>
      </c>
      <c r="C5609" s="980">
        <v>15</v>
      </c>
      <c r="D5609" s="52" t="s">
        <v>1812</v>
      </c>
      <c r="E5609" s="52" t="s">
        <v>5307</v>
      </c>
      <c r="F5609" s="52" t="s">
        <v>2745</v>
      </c>
      <c r="G5609" s="981">
        <v>0.82000000000000006</v>
      </c>
    </row>
    <row r="5610" spans="1:7">
      <c r="A5610" s="934" t="s">
        <v>5306</v>
      </c>
      <c r="B5610" s="979">
        <v>12</v>
      </c>
      <c r="C5610" s="980">
        <v>15</v>
      </c>
      <c r="D5610" s="52" t="s">
        <v>1812</v>
      </c>
      <c r="E5610" s="52" t="s">
        <v>5307</v>
      </c>
      <c r="F5610" s="52" t="s">
        <v>2745</v>
      </c>
      <c r="G5610" s="981">
        <v>1.02</v>
      </c>
    </row>
    <row r="5611" spans="1:7">
      <c r="A5611" s="934" t="s">
        <v>5306</v>
      </c>
      <c r="B5611" s="979">
        <v>15</v>
      </c>
      <c r="C5611" s="980">
        <v>15</v>
      </c>
      <c r="D5611" s="52" t="s">
        <v>1812</v>
      </c>
      <c r="E5611" s="52" t="s">
        <v>5307</v>
      </c>
      <c r="F5611" s="52" t="s">
        <v>2745</v>
      </c>
      <c r="G5611" s="981">
        <v>1.3</v>
      </c>
    </row>
    <row r="5612" spans="1:7">
      <c r="A5612" s="934" t="s">
        <v>5306</v>
      </c>
      <c r="B5612" s="979">
        <v>18</v>
      </c>
      <c r="C5612" s="980">
        <v>15</v>
      </c>
      <c r="D5612" s="52" t="s">
        <v>1812</v>
      </c>
      <c r="E5612" s="52" t="s">
        <v>5307</v>
      </c>
      <c r="F5612" s="52" t="s">
        <v>2745</v>
      </c>
      <c r="G5612" s="981">
        <v>1.52</v>
      </c>
    </row>
    <row r="5613" spans="1:7">
      <c r="A5613" s="934" t="s">
        <v>5306</v>
      </c>
      <c r="B5613" s="979">
        <v>24</v>
      </c>
      <c r="C5613" s="980">
        <v>15</v>
      </c>
      <c r="D5613" s="52" t="s">
        <v>1812</v>
      </c>
      <c r="E5613" s="52" t="s">
        <v>5307</v>
      </c>
      <c r="F5613" s="52" t="s">
        <v>2745</v>
      </c>
      <c r="G5613" s="981">
        <v>1.92</v>
      </c>
    </row>
    <row r="5614" spans="1:7">
      <c r="A5614" s="934" t="s">
        <v>5306</v>
      </c>
      <c r="B5614" s="979">
        <v>36</v>
      </c>
      <c r="C5614" s="980">
        <v>15</v>
      </c>
      <c r="D5614" s="52" t="s">
        <v>1812</v>
      </c>
      <c r="E5614" s="52" t="s">
        <v>5307</v>
      </c>
      <c r="F5614" s="52" t="s">
        <v>2745</v>
      </c>
      <c r="G5614" s="981">
        <v>3.05</v>
      </c>
    </row>
    <row r="5615" spans="1:7">
      <c r="A5615" s="934" t="s">
        <v>5306</v>
      </c>
      <c r="B5615" s="979">
        <v>50</v>
      </c>
      <c r="C5615" s="980">
        <v>15</v>
      </c>
      <c r="D5615" s="52" t="s">
        <v>1812</v>
      </c>
      <c r="E5615" s="52" t="s">
        <v>5307</v>
      </c>
      <c r="F5615" s="52" t="s">
        <v>2745</v>
      </c>
      <c r="G5615" s="981">
        <v>4.1899999999999995</v>
      </c>
    </row>
    <row r="5618" spans="1:8" s="888" customFormat="1" ht="12.75">
      <c r="A5618" s="902" t="s">
        <v>105</v>
      </c>
      <c r="B5618" s="902" t="s">
        <v>106</v>
      </c>
      <c r="C5618" s="902" t="s">
        <v>1710</v>
      </c>
      <c r="D5618" s="887" t="s">
        <v>1186</v>
      </c>
      <c r="E5618" s="887" t="s">
        <v>1652</v>
      </c>
      <c r="F5618" s="887" t="s">
        <v>1653</v>
      </c>
      <c r="G5618" s="887" t="s">
        <v>1825</v>
      </c>
    </row>
    <row r="5619" spans="1:8" s="888" customFormat="1" ht="12.75">
      <c r="A5619" s="4" t="s">
        <v>2747</v>
      </c>
      <c r="B5619" s="47" t="s">
        <v>1801</v>
      </c>
      <c r="C5619" s="260" t="s">
        <v>78</v>
      </c>
      <c r="D5619" s="905">
        <v>14</v>
      </c>
      <c r="E5619" s="906">
        <v>18</v>
      </c>
      <c r="F5619" s="50">
        <f>D5619*E5619</f>
        <v>252</v>
      </c>
      <c r="G5619" s="891">
        <v>1.6</v>
      </c>
    </row>
    <row r="5620" spans="1:8" s="888" customFormat="1" ht="12.75">
      <c r="A5620" s="4" t="s">
        <v>2747</v>
      </c>
      <c r="B5620" s="47"/>
      <c r="C5620" s="260" t="s">
        <v>1993</v>
      </c>
      <c r="D5620" s="905"/>
      <c r="E5620" s="906"/>
      <c r="F5620" s="894">
        <v>1</v>
      </c>
      <c r="G5620" s="891">
        <v>12</v>
      </c>
    </row>
    <row r="5621" spans="1:8" s="888" customFormat="1" ht="12"/>
    <row r="5624" spans="1:8" s="888" customFormat="1" ht="12.75">
      <c r="A5624" s="902" t="s">
        <v>105</v>
      </c>
      <c r="B5624" s="902" t="s">
        <v>106</v>
      </c>
      <c r="C5624" s="47"/>
      <c r="D5624" s="887" t="s">
        <v>1186</v>
      </c>
      <c r="E5624" s="887" t="s">
        <v>1652</v>
      </c>
      <c r="F5624" s="887" t="s">
        <v>1653</v>
      </c>
      <c r="G5624" s="887" t="s">
        <v>1825</v>
      </c>
      <c r="H5624" s="887" t="s">
        <v>2751</v>
      </c>
    </row>
    <row r="5625" spans="1:8" s="888" customFormat="1" ht="12.75">
      <c r="A5625" s="4" t="s">
        <v>2750</v>
      </c>
      <c r="B5625" s="47">
        <v>2440</v>
      </c>
      <c r="C5625" s="47" t="s">
        <v>859</v>
      </c>
      <c r="D5625" s="50">
        <v>58</v>
      </c>
      <c r="E5625" s="911">
        <v>20</v>
      </c>
      <c r="F5625" s="50">
        <f>D5625*E5625</f>
        <v>1160</v>
      </c>
      <c r="G5625" s="891">
        <v>3.89</v>
      </c>
      <c r="H5625" s="887" t="s">
        <v>771</v>
      </c>
    </row>
    <row r="5626" spans="1:8" s="888" customFormat="1" ht="12.75">
      <c r="A5626" s="4" t="s">
        <v>2750</v>
      </c>
      <c r="B5626" s="47" t="s">
        <v>536</v>
      </c>
      <c r="C5626" s="908" t="s">
        <v>2749</v>
      </c>
      <c r="D5626" s="982">
        <v>49.5</v>
      </c>
      <c r="E5626" s="911">
        <v>1</v>
      </c>
      <c r="F5626" s="983">
        <f>D5626*E5626</f>
        <v>49.5</v>
      </c>
      <c r="G5626" s="51">
        <v>5</v>
      </c>
      <c r="H5626" s="887" t="s">
        <v>2752</v>
      </c>
    </row>
    <row r="5627" spans="1:8" s="888" customFormat="1" ht="12"/>
    <row r="5628" spans="1:8" s="888" customFormat="1" ht="12">
      <c r="A5628" s="888" t="s">
        <v>2759</v>
      </c>
    </row>
    <row r="5629" spans="1:8" s="986" customFormat="1" ht="35.1" customHeight="1">
      <c r="A5629" s="938" t="s">
        <v>1603</v>
      </c>
      <c r="B5629" s="938" t="s">
        <v>2200</v>
      </c>
      <c r="C5629" s="938" t="s">
        <v>2317</v>
      </c>
      <c r="D5629" s="939" t="s">
        <v>2911</v>
      </c>
      <c r="E5629" s="939" t="s">
        <v>5308</v>
      </c>
      <c r="F5629" s="988" t="s">
        <v>2758</v>
      </c>
      <c r="G5629" s="984" t="s">
        <v>5309</v>
      </c>
      <c r="H5629" s="985" t="s">
        <v>1183</v>
      </c>
    </row>
    <row r="5630" spans="1:8" s="888" customFormat="1" ht="12.75">
      <c r="A5630" s="989">
        <v>13231</v>
      </c>
      <c r="B5630" s="987" t="s">
        <v>2753</v>
      </c>
      <c r="C5630" s="987" t="s">
        <v>78</v>
      </c>
      <c r="D5630" s="987" t="s">
        <v>2754</v>
      </c>
      <c r="E5630" s="990">
        <v>4.8599999999999994</v>
      </c>
      <c r="F5630" s="990" t="s">
        <v>2756</v>
      </c>
      <c r="G5630" s="987" t="s">
        <v>2755</v>
      </c>
    </row>
    <row r="5631" spans="1:8" s="888" customFormat="1" ht="12.75">
      <c r="A5631" s="989">
        <v>13230</v>
      </c>
      <c r="B5631" s="987" t="s">
        <v>2753</v>
      </c>
      <c r="C5631" s="987" t="s">
        <v>78</v>
      </c>
      <c r="D5631" s="987" t="s">
        <v>2754</v>
      </c>
      <c r="E5631" s="990">
        <v>4.5199999999999996</v>
      </c>
      <c r="F5631" s="990" t="s">
        <v>2757</v>
      </c>
      <c r="G5631" s="987" t="s">
        <v>2755</v>
      </c>
    </row>
    <row r="5632" spans="1:8" s="888" customFormat="1" ht="12"/>
    <row r="5633" spans="1:10" s="888" customFormat="1" ht="12"/>
    <row r="5636" spans="1:10" s="1331" customFormat="1" ht="12.75">
      <c r="A5636" s="909" t="s">
        <v>2760</v>
      </c>
      <c r="B5636" s="909" t="s">
        <v>107</v>
      </c>
      <c r="C5636" s="909" t="s">
        <v>2762</v>
      </c>
      <c r="D5636" s="909" t="s">
        <v>2764</v>
      </c>
      <c r="E5636" s="909" t="s">
        <v>2200</v>
      </c>
    </row>
    <row r="5637" spans="1:10" s="1331" customFormat="1" ht="12.75">
      <c r="A5637" s="909" t="s">
        <v>2770</v>
      </c>
      <c r="B5637" s="909" t="s">
        <v>2761</v>
      </c>
      <c r="C5637" s="909" t="s">
        <v>2763</v>
      </c>
      <c r="D5637" s="909" t="s">
        <v>2765</v>
      </c>
      <c r="E5637" s="1617" t="s">
        <v>2766</v>
      </c>
    </row>
    <row r="5638" spans="1:10" s="1019" customFormat="1" ht="12.75">
      <c r="A5638" s="1217" t="s">
        <v>2768</v>
      </c>
      <c r="B5638" s="1217"/>
      <c r="C5638" s="1217"/>
      <c r="D5638" s="1217"/>
      <c r="E5638" s="1217"/>
    </row>
    <row r="5639" spans="1:10" s="1019" customFormat="1" ht="12.75">
      <c r="A5639" s="1217" t="s">
        <v>2767</v>
      </c>
      <c r="B5639" s="1217"/>
      <c r="C5639" s="1217"/>
      <c r="D5639" s="1217"/>
      <c r="E5639" s="1217"/>
    </row>
    <row r="5640" spans="1:10" s="1019" customFormat="1" ht="12.75">
      <c r="A5640" s="1217" t="s">
        <v>2769</v>
      </c>
      <c r="B5640" s="1217"/>
      <c r="C5640" s="1217"/>
      <c r="D5640" s="1217"/>
      <c r="E5640" s="1217"/>
    </row>
    <row r="5643" spans="1:10" s="888" customFormat="1" ht="12.75">
      <c r="A5643" s="902" t="s">
        <v>105</v>
      </c>
      <c r="B5643" s="902" t="s">
        <v>106</v>
      </c>
      <c r="C5643" s="902" t="s">
        <v>52</v>
      </c>
      <c r="D5643" s="902" t="s">
        <v>1710</v>
      </c>
      <c r="E5643" s="887" t="s">
        <v>1186</v>
      </c>
      <c r="F5643" s="887" t="s">
        <v>1652</v>
      </c>
      <c r="G5643" s="887" t="s">
        <v>1653</v>
      </c>
      <c r="H5643" s="887" t="s">
        <v>1825</v>
      </c>
      <c r="I5643" s="887" t="s">
        <v>846</v>
      </c>
      <c r="J5643" s="213"/>
    </row>
    <row r="5644" spans="1:10" s="888" customFormat="1" ht="12.75">
      <c r="A5644" s="4" t="s">
        <v>2771</v>
      </c>
      <c r="B5644" s="47">
        <v>2200</v>
      </c>
      <c r="C5644" s="260">
        <v>18</v>
      </c>
      <c r="D5644" s="47" t="s">
        <v>855</v>
      </c>
      <c r="E5644" s="903">
        <v>15</v>
      </c>
      <c r="F5644" s="904">
        <v>60</v>
      </c>
      <c r="G5644" s="905">
        <f>E5644*F5644</f>
        <v>900</v>
      </c>
      <c r="H5644" s="891">
        <v>1.52</v>
      </c>
      <c r="I5644" s="891">
        <f>H5644*G5644</f>
        <v>1368</v>
      </c>
    </row>
    <row r="5645" spans="1:10" s="888" customFormat="1" ht="12.75">
      <c r="A5645" s="4" t="s">
        <v>2771</v>
      </c>
      <c r="B5645" s="47"/>
      <c r="C5645" s="893"/>
      <c r="D5645" s="260" t="s">
        <v>1993</v>
      </c>
      <c r="E5645" s="905"/>
      <c r="F5645" s="906"/>
      <c r="G5645" s="894">
        <v>1</v>
      </c>
      <c r="H5645" s="891">
        <v>12</v>
      </c>
      <c r="I5645" s="891">
        <f>H5645*G5645</f>
        <v>12</v>
      </c>
    </row>
    <row r="5646" spans="1:10" s="888" customFormat="1" ht="12.75">
      <c r="A5646" s="4"/>
      <c r="B5646" s="47"/>
      <c r="C5646" s="893"/>
      <c r="D5646" s="260"/>
      <c r="E5646" s="905"/>
      <c r="F5646" s="906"/>
      <c r="G5646" s="894"/>
      <c r="H5646" s="918" t="s">
        <v>2774</v>
      </c>
      <c r="I5646" s="919">
        <f>SUM(I5644:I5645)</f>
        <v>1380</v>
      </c>
    </row>
    <row r="5648" spans="1:10" ht="21" customHeight="1"/>
    <row r="5649" spans="1:9">
      <c r="A5649" t="s">
        <v>2776</v>
      </c>
    </row>
    <row r="5650" spans="1:9" s="888" customFormat="1" ht="12.75">
      <c r="A5650" s="902" t="s">
        <v>106</v>
      </c>
      <c r="B5650" s="887" t="s">
        <v>52</v>
      </c>
      <c r="C5650" s="887" t="s">
        <v>1186</v>
      </c>
      <c r="D5650" s="887" t="s">
        <v>1734</v>
      </c>
      <c r="E5650" s="887" t="s">
        <v>1825</v>
      </c>
    </row>
    <row r="5651" spans="1:9" s="888" customFormat="1" ht="12.75">
      <c r="A5651" s="47" t="s">
        <v>2777</v>
      </c>
      <c r="B5651" s="48" t="s">
        <v>2778</v>
      </c>
      <c r="C5651" s="905">
        <v>25</v>
      </c>
      <c r="D5651" s="906" t="s">
        <v>2779</v>
      </c>
      <c r="E5651" s="51">
        <v>1.71</v>
      </c>
    </row>
    <row r="5653" spans="1:9">
      <c r="A5653" t="s">
        <v>2780</v>
      </c>
    </row>
    <row r="5654" spans="1:9" ht="25.5">
      <c r="A5654" s="938" t="s">
        <v>1603</v>
      </c>
      <c r="B5654" s="938" t="s">
        <v>2317</v>
      </c>
      <c r="C5654" s="939" t="s">
        <v>5310</v>
      </c>
      <c r="D5654" s="939" t="s">
        <v>5308</v>
      </c>
      <c r="E5654" s="940" t="s">
        <v>1623</v>
      </c>
      <c r="F5654" s="940" t="s">
        <v>5282</v>
      </c>
      <c r="G5654" s="940" t="s">
        <v>5292</v>
      </c>
      <c r="H5654" s="988" t="s">
        <v>2782</v>
      </c>
      <c r="I5654" s="988" t="s">
        <v>2795</v>
      </c>
    </row>
    <row r="5655" spans="1:9">
      <c r="A5655" s="989" t="s">
        <v>2781</v>
      </c>
      <c r="B5655" s="987" t="s">
        <v>78</v>
      </c>
      <c r="C5655" s="49" t="s">
        <v>1519</v>
      </c>
      <c r="D5655" s="990">
        <v>4.74</v>
      </c>
      <c r="E5655" s="943">
        <v>6.23</v>
      </c>
      <c r="F5655" s="942" t="s">
        <v>2792</v>
      </c>
      <c r="G5655" s="944">
        <v>115</v>
      </c>
      <c r="H5655" s="990" t="s">
        <v>2784</v>
      </c>
      <c r="I5655" s="990" t="s">
        <v>2796</v>
      </c>
    </row>
    <row r="5656" spans="1:9">
      <c r="A5656" s="989" t="s">
        <v>2783</v>
      </c>
      <c r="B5656" s="987" t="s">
        <v>78</v>
      </c>
      <c r="C5656" s="1002">
        <v>13.7</v>
      </c>
      <c r="D5656" s="990">
        <v>1.67</v>
      </c>
      <c r="E5656" s="943">
        <v>2.78</v>
      </c>
      <c r="F5656" s="942" t="s">
        <v>2793</v>
      </c>
      <c r="G5656" s="944">
        <v>167</v>
      </c>
      <c r="H5656" s="990" t="s">
        <v>2785</v>
      </c>
      <c r="I5656" s="990" t="s">
        <v>2797</v>
      </c>
    </row>
    <row r="5657" spans="1:9">
      <c r="A5657" s="989" t="s">
        <v>2786</v>
      </c>
      <c r="B5657" s="987" t="s">
        <v>78</v>
      </c>
      <c r="C5657" s="49">
        <v>14</v>
      </c>
      <c r="D5657" s="990">
        <v>1.17</v>
      </c>
      <c r="E5657" s="943">
        <v>1.73</v>
      </c>
      <c r="F5657" s="942" t="s">
        <v>2794</v>
      </c>
      <c r="G5657" s="944">
        <v>167</v>
      </c>
      <c r="H5657" s="990" t="s">
        <v>2787</v>
      </c>
      <c r="I5657" s="990" t="s">
        <v>2798</v>
      </c>
    </row>
    <row r="5658" spans="1:9">
      <c r="A5658" s="989" t="s">
        <v>2788</v>
      </c>
      <c r="B5658" s="987" t="s">
        <v>78</v>
      </c>
      <c r="C5658" s="49">
        <v>14</v>
      </c>
      <c r="D5658" s="990">
        <v>1.63</v>
      </c>
      <c r="E5658" s="943">
        <v>2.19</v>
      </c>
      <c r="F5658" s="942" t="s">
        <v>2794</v>
      </c>
      <c r="G5658" s="944">
        <v>167</v>
      </c>
      <c r="H5658" s="990" t="s">
        <v>2787</v>
      </c>
      <c r="I5658" s="990" t="s">
        <v>2799</v>
      </c>
    </row>
    <row r="5659" spans="1:9">
      <c r="A5659" s="1003"/>
      <c r="B5659" s="1004"/>
      <c r="C5659" s="1005"/>
      <c r="D5659" s="1006"/>
      <c r="E5659" s="1006"/>
    </row>
    <row r="5660" spans="1:9">
      <c r="A5660" s="883">
        <v>20220530</v>
      </c>
    </row>
    <row r="5661" spans="1:9" s="888" customFormat="1" ht="12.75">
      <c r="A5661" s="902" t="s">
        <v>106</v>
      </c>
      <c r="B5661" s="902" t="s">
        <v>52</v>
      </c>
      <c r="C5661" s="902" t="s">
        <v>1710</v>
      </c>
      <c r="D5661" s="887" t="s">
        <v>1186</v>
      </c>
      <c r="E5661" s="887" t="s">
        <v>1652</v>
      </c>
      <c r="F5661" s="887" t="s">
        <v>1653</v>
      </c>
      <c r="G5661" s="887" t="s">
        <v>1825</v>
      </c>
      <c r="H5661" s="213"/>
    </row>
    <row r="5662" spans="1:9" s="888" customFormat="1" ht="12.75">
      <c r="A5662" s="47">
        <v>2200</v>
      </c>
      <c r="B5662" s="260">
        <v>18</v>
      </c>
      <c r="C5662" s="47" t="s">
        <v>2789</v>
      </c>
      <c r="D5662" s="903">
        <v>15</v>
      </c>
      <c r="E5662" s="904">
        <v>1</v>
      </c>
      <c r="F5662" s="905">
        <f>D5662*E5662</f>
        <v>15</v>
      </c>
      <c r="G5662" s="891">
        <v>1.52</v>
      </c>
      <c r="H5662" s="891">
        <f>G5662*F5662</f>
        <v>22.8</v>
      </c>
    </row>
    <row r="5663" spans="1:9" s="888" customFormat="1" ht="12.75">
      <c r="A5663" s="47"/>
      <c r="B5663" s="893"/>
      <c r="C5663" s="260" t="s">
        <v>1993</v>
      </c>
      <c r="D5663" s="905"/>
      <c r="E5663" s="906"/>
      <c r="F5663" s="894">
        <v>1</v>
      </c>
      <c r="G5663" s="891">
        <v>12</v>
      </c>
      <c r="H5663" s="891">
        <f>G5663*F5663</f>
        <v>12</v>
      </c>
    </row>
    <row r="5664" spans="1:9" s="888" customFormat="1" ht="12"/>
    <row r="5665" spans="1:8" s="888" customFormat="1" ht="12"/>
    <row r="5666" spans="1:8" ht="25.5">
      <c r="A5666" s="938" t="s">
        <v>1603</v>
      </c>
      <c r="B5666" s="938" t="s">
        <v>2317</v>
      </c>
      <c r="C5666" s="938" t="s">
        <v>2316</v>
      </c>
      <c r="D5666" s="939" t="s">
        <v>2887</v>
      </c>
      <c r="E5666" s="940" t="s">
        <v>1623</v>
      </c>
      <c r="F5666" s="940" t="s">
        <v>5282</v>
      </c>
      <c r="G5666" s="940" t="s">
        <v>5292</v>
      </c>
      <c r="H5666" s="940" t="s">
        <v>5302</v>
      </c>
    </row>
    <row r="5667" spans="1:8">
      <c r="A5667" s="941" t="s">
        <v>1802</v>
      </c>
      <c r="B5667" s="942" t="s">
        <v>129</v>
      </c>
      <c r="C5667" s="942" t="s">
        <v>2341</v>
      </c>
      <c r="D5667" s="943">
        <v>1.62</v>
      </c>
      <c r="E5667" s="943">
        <v>2.17</v>
      </c>
      <c r="F5667" s="942" t="s">
        <v>2342</v>
      </c>
      <c r="G5667" s="944">
        <v>125</v>
      </c>
      <c r="H5667" s="944" t="s">
        <v>2714</v>
      </c>
    </row>
    <row r="5670" spans="1:8">
      <c r="A5670" s="902" t="s">
        <v>106</v>
      </c>
      <c r="B5670" s="902" t="s">
        <v>1710</v>
      </c>
      <c r="C5670" s="887" t="s">
        <v>1186</v>
      </c>
      <c r="D5670" s="887" t="s">
        <v>1652</v>
      </c>
      <c r="E5670" s="887" t="s">
        <v>1653</v>
      </c>
      <c r="F5670" s="887" t="s">
        <v>1825</v>
      </c>
    </row>
    <row r="5671" spans="1:8" s="888" customFormat="1" ht="12.75">
      <c r="A5671" s="889" t="s">
        <v>2801</v>
      </c>
      <c r="B5671" s="260"/>
      <c r="C5671" s="903"/>
      <c r="D5671" s="903"/>
      <c r="E5671" s="903"/>
      <c r="F5671" s="916" t="s">
        <v>10</v>
      </c>
    </row>
    <row r="5672" spans="1:8" s="888" customFormat="1" ht="12.75">
      <c r="A5672" s="1008" t="s">
        <v>2781</v>
      </c>
      <c r="B5672" s="260" t="s">
        <v>78</v>
      </c>
      <c r="C5672" s="905"/>
      <c r="D5672" s="906"/>
      <c r="E5672" s="50">
        <v>10</v>
      </c>
      <c r="F5672" s="1009">
        <v>4.74</v>
      </c>
    </row>
    <row r="5673" spans="1:8" s="888" customFormat="1" ht="12.75">
      <c r="A5673" s="1008" t="s">
        <v>2786</v>
      </c>
      <c r="B5673" s="260" t="s">
        <v>78</v>
      </c>
      <c r="C5673" s="903">
        <v>14</v>
      </c>
      <c r="D5673" s="904">
        <v>1</v>
      </c>
      <c r="E5673" s="905">
        <f>C5673*D5673</f>
        <v>14</v>
      </c>
      <c r="F5673" s="1009">
        <v>1.17</v>
      </c>
    </row>
    <row r="5674" spans="1:8" s="888" customFormat="1" ht="12.75">
      <c r="A5674" s="1008" t="s">
        <v>2788</v>
      </c>
      <c r="B5674" s="260" t="s">
        <v>78</v>
      </c>
      <c r="C5674" s="903">
        <v>14</v>
      </c>
      <c r="D5674" s="904">
        <v>1</v>
      </c>
      <c r="E5674" s="905">
        <f>C5674*D5674</f>
        <v>14</v>
      </c>
      <c r="F5674" s="1009">
        <v>1.63</v>
      </c>
    </row>
    <row r="5675" spans="1:8" s="888" customFormat="1" ht="12.75">
      <c r="A5675" s="889" t="s">
        <v>2802</v>
      </c>
      <c r="B5675" s="260"/>
      <c r="C5675" s="903"/>
      <c r="D5675" s="903"/>
      <c r="E5675" s="903"/>
      <c r="F5675" s="916" t="s">
        <v>10</v>
      </c>
    </row>
    <row r="5676" spans="1:8" s="888" customFormat="1" ht="12.75">
      <c r="A5676" s="1008" t="s">
        <v>2783</v>
      </c>
      <c r="B5676" s="260" t="s">
        <v>78</v>
      </c>
      <c r="C5676" s="903">
        <v>13.7</v>
      </c>
      <c r="D5676" s="904">
        <v>1</v>
      </c>
      <c r="E5676" s="983">
        <f>C5676*D5676</f>
        <v>13.7</v>
      </c>
      <c r="F5676" s="1009">
        <v>1.67</v>
      </c>
    </row>
    <row r="5677" spans="1:8" s="888" customFormat="1" ht="12.75">
      <c r="A5677" s="47"/>
      <c r="B5677" s="260" t="s">
        <v>1993</v>
      </c>
      <c r="C5677" s="905"/>
      <c r="D5677" s="906"/>
      <c r="E5677" s="894">
        <v>1</v>
      </c>
      <c r="F5677" s="891">
        <v>24</v>
      </c>
    </row>
    <row r="5678" spans="1:8" s="888" customFormat="1" ht="12"/>
    <row r="5680" spans="1:8" s="888" customFormat="1" ht="12"/>
    <row r="5681" spans="1:9" s="888" customFormat="1" ht="12.75">
      <c r="A5681" s="902" t="s">
        <v>105</v>
      </c>
      <c r="B5681" s="902" t="s">
        <v>106</v>
      </c>
      <c r="C5681" s="902" t="s">
        <v>52</v>
      </c>
      <c r="D5681" s="902" t="s">
        <v>1710</v>
      </c>
      <c r="E5681" s="887" t="s">
        <v>1186</v>
      </c>
      <c r="F5681" s="887" t="s">
        <v>1652</v>
      </c>
      <c r="G5681" s="887" t="s">
        <v>1653</v>
      </c>
      <c r="H5681" s="887" t="s">
        <v>1825</v>
      </c>
      <c r="I5681" s="887" t="s">
        <v>1168</v>
      </c>
    </row>
    <row r="5682" spans="1:9" s="888" customFormat="1" ht="12.75">
      <c r="A5682" s="947" t="s">
        <v>2805</v>
      </c>
      <c r="B5682" s="889" t="s">
        <v>2806</v>
      </c>
      <c r="C5682" s="47"/>
      <c r="D5682" s="260"/>
      <c r="E5682" s="903"/>
      <c r="F5682" s="903"/>
      <c r="G5682" s="903"/>
      <c r="H5682" s="916" t="s">
        <v>10</v>
      </c>
      <c r="I5682" s="887"/>
    </row>
    <row r="5683" spans="1:9">
      <c r="A5683" s="947" t="s">
        <v>2805</v>
      </c>
      <c r="B5683" s="47" t="s">
        <v>2807</v>
      </c>
      <c r="C5683" s="1014">
        <v>3</v>
      </c>
      <c r="D5683" s="260" t="s">
        <v>2808</v>
      </c>
      <c r="E5683" s="905">
        <v>30</v>
      </c>
      <c r="F5683" s="906">
        <v>1</v>
      </c>
      <c r="G5683" s="50">
        <f>E5683*F5683</f>
        <v>30</v>
      </c>
      <c r="H5683" s="891">
        <v>3.87</v>
      </c>
      <c r="I5683" s="47" t="s">
        <v>2812</v>
      </c>
    </row>
    <row r="5684" spans="1:9">
      <c r="A5684" s="947" t="s">
        <v>2805</v>
      </c>
      <c r="B5684" s="47" t="s">
        <v>2807</v>
      </c>
      <c r="C5684" s="1014">
        <v>2</v>
      </c>
      <c r="D5684" s="260" t="s">
        <v>2808</v>
      </c>
      <c r="E5684" s="905">
        <v>30</v>
      </c>
      <c r="F5684" s="906">
        <v>1</v>
      </c>
      <c r="G5684" s="50">
        <f>E5684*F5684</f>
        <v>30</v>
      </c>
      <c r="H5684" s="891">
        <v>3.45</v>
      </c>
      <c r="I5684" s="47" t="s">
        <v>2812</v>
      </c>
    </row>
    <row r="5685" spans="1:9">
      <c r="A5685" s="947" t="s">
        <v>2805</v>
      </c>
      <c r="B5685" s="47" t="s">
        <v>2807</v>
      </c>
      <c r="C5685" s="1014">
        <v>1.5</v>
      </c>
      <c r="D5685" s="260" t="s">
        <v>2808</v>
      </c>
      <c r="E5685" s="905">
        <v>120</v>
      </c>
      <c r="F5685" s="906">
        <v>1</v>
      </c>
      <c r="G5685" s="50">
        <f>E5685*F5685</f>
        <v>120</v>
      </c>
      <c r="H5685" s="891">
        <v>3.13</v>
      </c>
      <c r="I5685" s="47" t="s">
        <v>2812</v>
      </c>
    </row>
    <row r="5686" spans="1:9">
      <c r="A5686" s="947" t="s">
        <v>2805</v>
      </c>
      <c r="B5686" s="889" t="s">
        <v>2809</v>
      </c>
      <c r="C5686" s="47"/>
      <c r="D5686" s="260"/>
      <c r="E5686" s="903"/>
      <c r="F5686" s="903"/>
      <c r="G5686" s="903"/>
      <c r="H5686" s="916" t="s">
        <v>10</v>
      </c>
      <c r="I5686" s="47"/>
    </row>
    <row r="5687" spans="1:9">
      <c r="A5687" s="947" t="s">
        <v>2805</v>
      </c>
      <c r="B5687" s="47">
        <v>5650</v>
      </c>
      <c r="C5687" s="1014" t="s">
        <v>2810</v>
      </c>
      <c r="D5687" s="260" t="s">
        <v>2811</v>
      </c>
      <c r="E5687" s="905">
        <v>50</v>
      </c>
      <c r="F5687" s="906">
        <v>1</v>
      </c>
      <c r="G5687" s="50">
        <f>E5687*F5687</f>
        <v>50</v>
      </c>
      <c r="H5687" s="891">
        <v>0.69</v>
      </c>
      <c r="I5687" s="47" t="s">
        <v>2813</v>
      </c>
    </row>
    <row r="5688" spans="1:9">
      <c r="A5688" s="947" t="s">
        <v>2805</v>
      </c>
      <c r="B5688" s="47"/>
      <c r="C5688" s="893"/>
      <c r="D5688" s="260" t="s">
        <v>1993</v>
      </c>
      <c r="E5688" s="905"/>
      <c r="F5688" s="906"/>
      <c r="G5688" s="894">
        <v>1</v>
      </c>
      <c r="H5688" s="891">
        <v>12</v>
      </c>
      <c r="I5688" s="47"/>
    </row>
    <row r="5692" spans="1:9" s="888" customFormat="1" ht="12.75">
      <c r="A5692" s="902" t="s">
        <v>106</v>
      </c>
      <c r="B5692" s="902" t="s">
        <v>52</v>
      </c>
      <c r="C5692" s="902" t="s">
        <v>1710</v>
      </c>
      <c r="D5692" s="887" t="s">
        <v>1186</v>
      </c>
      <c r="E5692" s="887" t="s">
        <v>1652</v>
      </c>
      <c r="F5692" s="887" t="s">
        <v>1653</v>
      </c>
      <c r="G5692" s="887" t="s">
        <v>1825</v>
      </c>
    </row>
    <row r="5693" spans="1:9" s="888" customFormat="1" ht="12.75">
      <c r="A5693" s="47" t="s">
        <v>2807</v>
      </c>
      <c r="B5693" s="1014">
        <v>3</v>
      </c>
      <c r="C5693" s="260" t="s">
        <v>2808</v>
      </c>
      <c r="D5693" s="905">
        <v>30</v>
      </c>
      <c r="E5693" s="906">
        <v>1</v>
      </c>
      <c r="F5693" s="905">
        <f>D5693*E5693</f>
        <v>30</v>
      </c>
      <c r="G5693" s="891">
        <v>3.87</v>
      </c>
    </row>
    <row r="5694" spans="1:9" s="888" customFormat="1" ht="12.75">
      <c r="A5694" s="47" t="s">
        <v>2807</v>
      </c>
      <c r="B5694" s="1014">
        <v>2</v>
      </c>
      <c r="C5694" s="260" t="s">
        <v>2808</v>
      </c>
      <c r="D5694" s="905">
        <v>30</v>
      </c>
      <c r="E5694" s="906">
        <v>1</v>
      </c>
      <c r="F5694" s="905">
        <f>D5694*E5694</f>
        <v>30</v>
      </c>
      <c r="G5694" s="891">
        <v>3.45</v>
      </c>
    </row>
    <row r="5695" spans="1:9" s="888" customFormat="1" ht="12.75">
      <c r="A5695" s="47" t="s">
        <v>2807</v>
      </c>
      <c r="B5695" s="1014">
        <v>1.5</v>
      </c>
      <c r="C5695" s="260" t="s">
        <v>2808</v>
      </c>
      <c r="D5695" s="905"/>
      <c r="E5695" s="906"/>
      <c r="F5695" s="905">
        <v>5</v>
      </c>
      <c r="G5695" s="891">
        <v>4.7</v>
      </c>
    </row>
    <row r="5696" spans="1:9" s="888" customFormat="1" ht="12.75">
      <c r="A5696" s="889"/>
      <c r="B5696" s="47"/>
      <c r="C5696" s="260"/>
      <c r="D5696" s="903"/>
      <c r="E5696" s="903"/>
      <c r="F5696" s="903"/>
      <c r="G5696" s="916"/>
    </row>
    <row r="5697" spans="1:8" s="888" customFormat="1" ht="12.75">
      <c r="A5697" s="47">
        <v>5650</v>
      </c>
      <c r="B5697" s="1014" t="s">
        <v>2810</v>
      </c>
      <c r="C5697" s="260" t="s">
        <v>2814</v>
      </c>
      <c r="D5697" s="905">
        <v>50</v>
      </c>
      <c r="E5697" s="906">
        <v>1</v>
      </c>
      <c r="F5697" s="905">
        <f>D5697*E5697</f>
        <v>50</v>
      </c>
      <c r="G5697" s="891">
        <v>0.69</v>
      </c>
    </row>
    <row r="5698" spans="1:8" s="888" customFormat="1" ht="12.75">
      <c r="A5698" s="47"/>
      <c r="B5698" s="893"/>
      <c r="C5698" s="260" t="s">
        <v>1993</v>
      </c>
      <c r="D5698" s="905"/>
      <c r="E5698" s="906"/>
      <c r="F5698" s="894">
        <v>2</v>
      </c>
      <c r="G5698" s="891">
        <v>24</v>
      </c>
    </row>
    <row r="5700" spans="1:8">
      <c r="A5700" t="s">
        <v>2815</v>
      </c>
    </row>
    <row r="5701" spans="1:8" s="888" customFormat="1" ht="25.5">
      <c r="A5701" s="1616" t="s">
        <v>1369</v>
      </c>
      <c r="B5701" s="974" t="s">
        <v>377</v>
      </c>
      <c r="C5701" s="975" t="s">
        <v>2</v>
      </c>
      <c r="D5701" s="976" t="s">
        <v>1734</v>
      </c>
      <c r="E5701" s="977" t="s">
        <v>2264</v>
      </c>
      <c r="F5701" s="977" t="s">
        <v>1181</v>
      </c>
      <c r="G5701" s="978" t="s">
        <v>3117</v>
      </c>
    </row>
    <row r="5702" spans="1:8" s="888" customFormat="1" ht="12.75">
      <c r="A5702" s="934" t="s">
        <v>321</v>
      </c>
      <c r="B5702" s="48">
        <v>4</v>
      </c>
      <c r="C5702" s="980">
        <v>30</v>
      </c>
      <c r="D5702" s="52" t="s">
        <v>1812</v>
      </c>
      <c r="E5702" s="1015" t="s">
        <v>2365</v>
      </c>
      <c r="F5702" s="1015" t="s">
        <v>4</v>
      </c>
      <c r="G5702" s="981">
        <v>0.18000000000000002</v>
      </c>
    </row>
    <row r="5703" spans="1:8" s="888" customFormat="1" ht="12.75">
      <c r="A5703" s="934" t="s">
        <v>321</v>
      </c>
      <c r="B5703" s="48">
        <v>6</v>
      </c>
      <c r="C5703" s="980">
        <v>30</v>
      </c>
      <c r="D5703" s="52" t="s">
        <v>1812</v>
      </c>
      <c r="E5703" s="1015" t="s">
        <v>2365</v>
      </c>
      <c r="F5703" s="1015" t="s">
        <v>4</v>
      </c>
      <c r="G5703" s="981">
        <v>0.2</v>
      </c>
    </row>
    <row r="5705" spans="1:8" s="888" customFormat="1" ht="25.5">
      <c r="A5705" s="1616" t="s">
        <v>1369</v>
      </c>
      <c r="B5705" s="974" t="s">
        <v>377</v>
      </c>
      <c r="C5705" s="975" t="s">
        <v>2</v>
      </c>
      <c r="D5705" s="976" t="s">
        <v>1734</v>
      </c>
      <c r="E5705" s="977" t="s">
        <v>2264</v>
      </c>
      <c r="F5705" s="977" t="s">
        <v>1181</v>
      </c>
      <c r="G5705" s="978" t="s">
        <v>3117</v>
      </c>
    </row>
    <row r="5706" spans="1:8" s="888" customFormat="1" ht="12.75">
      <c r="A5706" s="934" t="s">
        <v>2816</v>
      </c>
      <c r="B5706" s="48">
        <v>4</v>
      </c>
      <c r="C5706" s="980">
        <v>30</v>
      </c>
      <c r="D5706" s="52" t="s">
        <v>1812</v>
      </c>
      <c r="E5706" s="1015" t="s">
        <v>2817</v>
      </c>
      <c r="F5706" s="1015" t="s">
        <v>4</v>
      </c>
      <c r="G5706" s="981">
        <v>0.13</v>
      </c>
    </row>
    <row r="5707" spans="1:8" s="888" customFormat="1" ht="12.75">
      <c r="A5707" s="934" t="s">
        <v>2816</v>
      </c>
      <c r="B5707" s="48">
        <v>6</v>
      </c>
      <c r="C5707" s="980">
        <v>30</v>
      </c>
      <c r="D5707" s="52" t="s">
        <v>1812</v>
      </c>
      <c r="E5707" s="1015" t="s">
        <v>2817</v>
      </c>
      <c r="F5707" s="1015" t="s">
        <v>4</v>
      </c>
      <c r="G5707" s="981">
        <v>0.15</v>
      </c>
    </row>
    <row r="5708" spans="1:8" s="1019" customFormat="1" ht="16.5">
      <c r="A5708" s="909">
        <v>3745</v>
      </c>
      <c r="B5708" s="963">
        <v>6</v>
      </c>
      <c r="C5708" s="1020">
        <v>20</v>
      </c>
      <c r="D5708" s="965" t="s">
        <v>2736</v>
      </c>
      <c r="E5708" s="1016" t="s">
        <v>5311</v>
      </c>
      <c r="F5708" s="1017" t="s">
        <v>2824</v>
      </c>
      <c r="G5708" s="966">
        <v>0.67</v>
      </c>
      <c r="H5708" s="1018"/>
    </row>
    <row r="5712" spans="1:8">
      <c r="A5712" s="902" t="s">
        <v>106</v>
      </c>
      <c r="B5712" s="902" t="s">
        <v>52</v>
      </c>
      <c r="C5712" s="902" t="s">
        <v>1710</v>
      </c>
      <c r="D5712" s="887" t="s">
        <v>1186</v>
      </c>
      <c r="E5712" s="887" t="s">
        <v>1652</v>
      </c>
      <c r="F5712" s="887" t="s">
        <v>1653</v>
      </c>
      <c r="G5712" s="887" t="s">
        <v>1825</v>
      </c>
    </row>
    <row r="5713" spans="1:7">
      <c r="A5713" s="47">
        <v>3030</v>
      </c>
      <c r="B5713" s="260">
        <v>4</v>
      </c>
      <c r="C5713" s="260" t="s">
        <v>2820</v>
      </c>
      <c r="D5713" s="903">
        <v>30</v>
      </c>
      <c r="E5713" s="904">
        <v>1</v>
      </c>
      <c r="F5713" s="905">
        <f>D5713*E5713</f>
        <v>30</v>
      </c>
      <c r="G5713" s="1009">
        <v>0.18</v>
      </c>
    </row>
    <row r="5714" spans="1:7">
      <c r="A5714" s="47">
        <v>3030</v>
      </c>
      <c r="B5714" s="260">
        <v>6</v>
      </c>
      <c r="C5714" s="260" t="s">
        <v>2820</v>
      </c>
      <c r="D5714" s="903">
        <v>30</v>
      </c>
      <c r="E5714" s="904">
        <v>1</v>
      </c>
      <c r="F5714" s="905">
        <f>D5714*E5714</f>
        <v>30</v>
      </c>
      <c r="G5714" s="1009">
        <v>0.2</v>
      </c>
    </row>
    <row r="5715" spans="1:7">
      <c r="A5715" s="47">
        <v>3030</v>
      </c>
      <c r="B5715" s="260">
        <v>4</v>
      </c>
      <c r="C5715" s="260" t="s">
        <v>2821</v>
      </c>
      <c r="D5715" s="903">
        <v>30</v>
      </c>
      <c r="E5715" s="904">
        <v>1</v>
      </c>
      <c r="F5715" s="905">
        <f>D5715*E5715</f>
        <v>30</v>
      </c>
      <c r="G5715" s="1009">
        <v>0.18</v>
      </c>
    </row>
    <row r="5716" spans="1:7">
      <c r="A5716" s="47">
        <v>3030</v>
      </c>
      <c r="B5716" s="260">
        <v>6</v>
      </c>
      <c r="C5716" s="260" t="s">
        <v>2821</v>
      </c>
      <c r="D5716" s="903">
        <v>30</v>
      </c>
      <c r="E5716" s="904">
        <v>1</v>
      </c>
      <c r="F5716" s="905">
        <f>D5716*E5716</f>
        <v>30</v>
      </c>
      <c r="G5716" s="1009">
        <v>0.2</v>
      </c>
    </row>
    <row r="5717" spans="1:7">
      <c r="A5717" s="889"/>
      <c r="B5717" s="47"/>
      <c r="C5717" s="260"/>
      <c r="D5717" s="903"/>
      <c r="E5717" s="903"/>
      <c r="F5717" s="903"/>
      <c r="G5717" s="916"/>
    </row>
    <row r="5718" spans="1:7">
      <c r="A5718" s="47">
        <v>1515</v>
      </c>
      <c r="B5718" s="260">
        <v>6</v>
      </c>
      <c r="C5718" s="260" t="s">
        <v>2823</v>
      </c>
      <c r="D5718" s="903">
        <v>30</v>
      </c>
      <c r="E5718" s="904">
        <v>1</v>
      </c>
      <c r="F5718" s="905">
        <f>D5718*E5718</f>
        <v>30</v>
      </c>
      <c r="G5718" s="1009">
        <v>0.15</v>
      </c>
    </row>
    <row r="5719" spans="1:7">
      <c r="A5719" s="889"/>
      <c r="B5719" s="47"/>
      <c r="C5719" s="260"/>
      <c r="D5719" s="903"/>
      <c r="E5719" s="903"/>
      <c r="F5719" s="903"/>
      <c r="G5719" s="916"/>
    </row>
    <row r="5720" spans="1:7">
      <c r="A5720" s="47">
        <v>3745</v>
      </c>
      <c r="B5720" s="260">
        <v>6</v>
      </c>
      <c r="C5720" s="260" t="s">
        <v>2826</v>
      </c>
      <c r="D5720" s="903">
        <v>20</v>
      </c>
      <c r="E5720" s="904">
        <v>1</v>
      </c>
      <c r="F5720" s="905">
        <f>D5720*E5720</f>
        <v>20</v>
      </c>
      <c r="G5720" s="1009">
        <v>0.67</v>
      </c>
    </row>
    <row r="5721" spans="1:7">
      <c r="A5721" s="47">
        <v>3745</v>
      </c>
      <c r="B5721" s="260">
        <v>6</v>
      </c>
      <c r="C5721" s="260" t="s">
        <v>2827</v>
      </c>
      <c r="D5721" s="903">
        <v>20</v>
      </c>
      <c r="E5721" s="904">
        <v>1</v>
      </c>
      <c r="F5721" s="905">
        <f>D5721*E5721</f>
        <v>20</v>
      </c>
      <c r="G5721" s="1009">
        <v>0.67</v>
      </c>
    </row>
    <row r="5722" spans="1:7">
      <c r="A5722" s="47"/>
      <c r="B5722" s="893"/>
      <c r="C5722" s="260" t="s">
        <v>1993</v>
      </c>
      <c r="D5722" s="905"/>
      <c r="E5722" s="906"/>
      <c r="F5722" s="894">
        <v>1</v>
      </c>
      <c r="G5722" s="891">
        <v>24</v>
      </c>
    </row>
    <row r="5724" spans="1:7">
      <c r="A5724" s="902" t="s">
        <v>2839</v>
      </c>
      <c r="B5724" s="902" t="s">
        <v>2840</v>
      </c>
    </row>
    <row r="5725" spans="1:7">
      <c r="A5725" s="47" t="s">
        <v>2841</v>
      </c>
      <c r="B5725" s="990">
        <v>199.2</v>
      </c>
    </row>
    <row r="5726" spans="1:7">
      <c r="A5726" s="47" t="s">
        <v>2842</v>
      </c>
      <c r="B5726" s="990">
        <v>172.8</v>
      </c>
    </row>
    <row r="5727" spans="1:7">
      <c r="A5727" s="1050" t="s">
        <v>2843</v>
      </c>
      <c r="B5727" s="1049">
        <f>SUM(B5725:B5726)</f>
        <v>372</v>
      </c>
    </row>
    <row r="5731" spans="1:3">
      <c r="A5731" s="967" t="s">
        <v>2848</v>
      </c>
    </row>
    <row r="5734" spans="1:3">
      <c r="A5734" s="902" t="s">
        <v>2839</v>
      </c>
      <c r="B5734" s="902" t="s">
        <v>2840</v>
      </c>
    </row>
    <row r="5735" spans="1:3">
      <c r="A5735" s="47" t="s">
        <v>2850</v>
      </c>
      <c r="B5735" s="990">
        <v>34.799999999999997</v>
      </c>
    </row>
    <row r="5736" spans="1:3">
      <c r="A5736" s="47" t="s">
        <v>2849</v>
      </c>
      <c r="B5736" s="990">
        <v>1380</v>
      </c>
    </row>
    <row r="5737" spans="1:3">
      <c r="A5737" s="1050" t="s">
        <v>2843</v>
      </c>
      <c r="B5737" s="1049">
        <f>SUM(B5735:B5736)</f>
        <v>1414.8</v>
      </c>
    </row>
    <row r="5741" spans="1:3" s="1019" customFormat="1" ht="12.75">
      <c r="A5741" s="909"/>
      <c r="B5741" s="1052" t="s">
        <v>5312</v>
      </c>
      <c r="C5741" s="902" t="s">
        <v>5313</v>
      </c>
    </row>
    <row r="5742" spans="1:3" s="1019" customFormat="1" ht="14.25">
      <c r="A5742" s="1053" t="s">
        <v>2852</v>
      </c>
      <c r="B5742" s="909" t="s">
        <v>5314</v>
      </c>
      <c r="C5742" s="909" t="s">
        <v>5314</v>
      </c>
    </row>
    <row r="5743" spans="1:3" s="1019" customFormat="1" ht="14.25">
      <c r="A5743" s="1053" t="s">
        <v>2853</v>
      </c>
      <c r="B5743" s="909" t="s">
        <v>5314</v>
      </c>
      <c r="C5743" s="1054" t="s">
        <v>5315</v>
      </c>
    </row>
    <row r="5744" spans="1:3" s="888" customFormat="1" ht="12"/>
    <row r="5745" spans="1:2" s="888" customFormat="1" ht="12">
      <c r="A5745" s="888" t="s">
        <v>2851</v>
      </c>
    </row>
    <row r="5746" spans="1:2" s="888" customFormat="1" ht="12">
      <c r="A5746" s="888" t="s">
        <v>5316</v>
      </c>
    </row>
    <row r="5747" spans="1:2" s="888" customFormat="1" ht="12"/>
    <row r="5748" spans="1:2" s="888" customFormat="1" ht="12"/>
    <row r="5749" spans="1:2" s="888" customFormat="1" ht="12">
      <c r="A5749" s="888" t="s">
        <v>5317</v>
      </c>
    </row>
    <row r="5750" spans="1:2" s="888" customFormat="1" ht="12"/>
    <row r="5751" spans="1:2" s="888" customFormat="1" ht="12">
      <c r="A5751" s="1055" t="s">
        <v>5318</v>
      </c>
    </row>
    <row r="5752" spans="1:2" s="888" customFormat="1" ht="12">
      <c r="A5752" s="967" t="s">
        <v>5319</v>
      </c>
      <c r="B5752" s="967" t="s">
        <v>5320</v>
      </c>
    </row>
    <row r="5753" spans="1:2" s="888" customFormat="1" ht="14.25">
      <c r="A5753" s="909" t="s">
        <v>5314</v>
      </c>
      <c r="B5753" s="909" t="s">
        <v>5314</v>
      </c>
    </row>
    <row r="5754" spans="1:2" s="888" customFormat="1" ht="12"/>
    <row r="5755" spans="1:2" s="888" customFormat="1" ht="12">
      <c r="A5755" s="1055" t="s">
        <v>5321</v>
      </c>
    </row>
    <row r="5756" spans="1:2" s="888" customFormat="1" ht="12">
      <c r="A5756" s="967" t="s">
        <v>5322</v>
      </c>
      <c r="B5756" s="967" t="s">
        <v>5323</v>
      </c>
    </row>
    <row r="5757" spans="1:2" s="888" customFormat="1" ht="14.25">
      <c r="A5757" s="909" t="s">
        <v>5314</v>
      </c>
      <c r="B5757" s="1054" t="s">
        <v>5315</v>
      </c>
    </row>
    <row r="5758" spans="1:2" s="888" customFormat="1" ht="12"/>
    <row r="5759" spans="1:2" s="888" customFormat="1" ht="12"/>
    <row r="5761" spans="1:14" ht="15">
      <c r="A5761" s="902" t="s">
        <v>106</v>
      </c>
      <c r="B5761" s="902" t="s">
        <v>2861</v>
      </c>
      <c r="C5761" s="902" t="s">
        <v>2862</v>
      </c>
      <c r="D5761" s="1056" t="s">
        <v>54</v>
      </c>
      <c r="E5761" s="1056" t="s">
        <v>2863</v>
      </c>
      <c r="F5761" s="39"/>
      <c r="G5761" s="39"/>
      <c r="H5761" s="38"/>
      <c r="I5761" s="6"/>
      <c r="J5761" s="524"/>
      <c r="K5761" s="489"/>
    </row>
    <row r="5762" spans="1:14" ht="15.75">
      <c r="A5762" s="47" t="s">
        <v>1346</v>
      </c>
      <c r="B5762" s="260" t="s">
        <v>1454</v>
      </c>
      <c r="C5762" s="267" t="s">
        <v>1446</v>
      </c>
      <c r="D5762" s="1057">
        <v>40</v>
      </c>
      <c r="E5762" s="1058" t="s">
        <v>855</v>
      </c>
      <c r="F5762" s="162" t="s">
        <v>2219</v>
      </c>
      <c r="G5762" s="39"/>
      <c r="H5762" s="38"/>
      <c r="I5762" s="46"/>
      <c r="J5762" s="483"/>
      <c r="K5762" s="532" t="s">
        <v>855</v>
      </c>
    </row>
    <row r="5763" spans="1:14" ht="15.75">
      <c r="A5763" s="47" t="s">
        <v>1346</v>
      </c>
      <c r="B5763" s="260" t="s">
        <v>1030</v>
      </c>
      <c r="C5763" s="267" t="s">
        <v>1446</v>
      </c>
      <c r="D5763" s="1057">
        <v>248</v>
      </c>
      <c r="E5763" s="1059">
        <v>26.2</v>
      </c>
      <c r="F5763" s="162" t="s">
        <v>2219</v>
      </c>
      <c r="G5763" s="39"/>
      <c r="H5763" s="38"/>
      <c r="I5763" s="46" t="e">
        <f>#REF!*(VLOOKUP(#REF!,$C$2:$F$6,3,FALSE))</f>
        <v>#REF!</v>
      </c>
      <c r="J5763" s="483">
        <v>0.43</v>
      </c>
      <c r="K5763" s="489">
        <v>26.2</v>
      </c>
    </row>
    <row r="5764" spans="1:14" ht="15.75">
      <c r="A5764" s="47" t="s">
        <v>1346</v>
      </c>
      <c r="B5764" s="260" t="s">
        <v>1032</v>
      </c>
      <c r="C5764" s="267" t="s">
        <v>1446</v>
      </c>
      <c r="D5764" s="1057">
        <v>434</v>
      </c>
      <c r="E5764" s="1059">
        <v>27.3</v>
      </c>
      <c r="F5764" s="162" t="s">
        <v>2219</v>
      </c>
      <c r="G5764" s="39"/>
      <c r="H5764" s="38"/>
      <c r="I5764" s="46" t="e">
        <f>#REF!*(VLOOKUP(#REF!,$C$2:$F$6,3,FALSE))</f>
        <v>#REF!</v>
      </c>
      <c r="J5764" s="483">
        <v>0.45</v>
      </c>
      <c r="K5764" s="489">
        <v>27.3</v>
      </c>
    </row>
    <row r="5765" spans="1:14" ht="15.75">
      <c r="A5765" s="47" t="s">
        <v>1346</v>
      </c>
      <c r="B5765" s="260" t="s">
        <v>1033</v>
      </c>
      <c r="C5765" s="267" t="s">
        <v>1446</v>
      </c>
      <c r="D5765" s="1057">
        <v>96</v>
      </c>
      <c r="E5765" s="1059">
        <v>28.2</v>
      </c>
      <c r="F5765" s="162" t="s">
        <v>2219</v>
      </c>
      <c r="G5765" s="39"/>
      <c r="H5765" s="38"/>
      <c r="I5765" s="46" t="e">
        <f>#REF!*(VLOOKUP(#REF!,$C$2:$F$6,3,FALSE))</f>
        <v>#REF!</v>
      </c>
      <c r="J5765" s="483">
        <v>0.47</v>
      </c>
      <c r="K5765" s="489">
        <v>28.2</v>
      </c>
    </row>
    <row r="5766" spans="1:14" ht="15.75">
      <c r="A5766" s="47" t="s">
        <v>1346</v>
      </c>
      <c r="B5766" s="260" t="s">
        <v>1034</v>
      </c>
      <c r="C5766" s="267" t="s">
        <v>1446</v>
      </c>
      <c r="D5766" s="1057">
        <v>4</v>
      </c>
      <c r="E5766" s="1059">
        <v>29</v>
      </c>
      <c r="F5766" s="162" t="s">
        <v>2219</v>
      </c>
      <c r="G5766" s="39"/>
      <c r="H5766" s="38"/>
      <c r="I5766" s="46" t="e">
        <f>#REF!*(VLOOKUP(#REF!,$C$2:$F$6,3,FALSE))</f>
        <v>#REF!</v>
      </c>
      <c r="J5766" s="483">
        <v>0.48</v>
      </c>
      <c r="K5766" s="489">
        <v>29</v>
      </c>
    </row>
    <row r="5767" spans="1:14" ht="15.75">
      <c r="A5767" s="47" t="s">
        <v>1346</v>
      </c>
      <c r="B5767" s="260" t="s">
        <v>1454</v>
      </c>
      <c r="C5767" s="267" t="s">
        <v>1347</v>
      </c>
      <c r="D5767" s="1057">
        <v>20</v>
      </c>
      <c r="E5767" s="1059">
        <v>26.2</v>
      </c>
      <c r="F5767" s="162" t="s">
        <v>2219</v>
      </c>
      <c r="G5767" s="39"/>
      <c r="H5767" s="38"/>
      <c r="I5767" s="46" t="e">
        <f>#REF!*(VLOOKUP(#REF!,$C$2:$F$6,3,FALSE))</f>
        <v>#REF!</v>
      </c>
      <c r="J5767" s="483">
        <v>0.43</v>
      </c>
      <c r="K5767" s="489">
        <v>26.2</v>
      </c>
    </row>
    <row r="5768" spans="1:14" ht="15.75">
      <c r="A5768" s="47" t="s">
        <v>1346</v>
      </c>
      <c r="B5768" s="260" t="s">
        <v>1032</v>
      </c>
      <c r="C5768" s="267" t="s">
        <v>1347</v>
      </c>
      <c r="D5768" s="1057">
        <v>35</v>
      </c>
      <c r="E5768" s="1059">
        <v>26.2</v>
      </c>
      <c r="F5768" s="162" t="s">
        <v>2219</v>
      </c>
      <c r="G5768" s="39"/>
      <c r="H5768" s="38"/>
      <c r="I5768" s="46" t="e">
        <f>#REF!*(VLOOKUP(#REF!,$C$2:$F$6,3,FALSE))</f>
        <v>#REF!</v>
      </c>
      <c r="J5768" s="483">
        <v>0.43</v>
      </c>
      <c r="K5768" s="489">
        <v>26.2</v>
      </c>
    </row>
    <row r="5769" spans="1:14" ht="15.75">
      <c r="A5769" s="47"/>
      <c r="B5769" s="893"/>
      <c r="C5769" s="967" t="s">
        <v>5324</v>
      </c>
      <c r="D5769" s="1060">
        <v>5</v>
      </c>
      <c r="E5769" s="1059">
        <v>2500</v>
      </c>
      <c r="F5769" s="162" t="s">
        <v>2219</v>
      </c>
      <c r="G5769" s="39"/>
      <c r="H5769" s="38"/>
      <c r="I5769" s="46" t="e">
        <f>#REF!*(VLOOKUP(#REF!,$C$2:$F$6,3,FALSE))</f>
        <v>#REF!</v>
      </c>
      <c r="J5769" s="483" t="e">
        <f>I5769*D5769</f>
        <v>#REF!</v>
      </c>
      <c r="K5769" s="489">
        <v>500</v>
      </c>
    </row>
    <row r="5770" spans="1:14" ht="15">
      <c r="A5770" s="371"/>
      <c r="B5770" s="305"/>
      <c r="C5770" s="305" t="s">
        <v>1227</v>
      </c>
      <c r="D5770" s="307" t="s">
        <v>1228</v>
      </c>
      <c r="E5770" s="308"/>
      <c r="F5770" s="306"/>
      <c r="G5770" s="315">
        <v>0</v>
      </c>
      <c r="H5770" s="310"/>
      <c r="I5770" s="310"/>
      <c r="J5770" s="310"/>
      <c r="K5770" s="309"/>
      <c r="L5770" s="302"/>
      <c r="M5770" s="485">
        <v>0</v>
      </c>
      <c r="N5770" s="535">
        <v>0</v>
      </c>
    </row>
    <row r="5771" spans="1:14" ht="15">
      <c r="A5771" s="902" t="s">
        <v>106</v>
      </c>
      <c r="B5771" s="902" t="s">
        <v>53</v>
      </c>
      <c r="C5771" s="44" t="s">
        <v>54</v>
      </c>
      <c r="D5771" s="151"/>
      <c r="E5771" s="151"/>
      <c r="F5771" s="151"/>
      <c r="G5771" s="17" t="s">
        <v>134</v>
      </c>
      <c r="H5771" s="39"/>
      <c r="I5771" s="39"/>
      <c r="J5771" s="39"/>
      <c r="K5771" s="38"/>
      <c r="L5771" s="6"/>
      <c r="M5771" s="524"/>
      <c r="N5771" s="489"/>
    </row>
    <row r="5772" spans="1:14" ht="15.75">
      <c r="A5772" s="24">
        <v>5654</v>
      </c>
      <c r="B5772" s="44" t="s">
        <v>2013</v>
      </c>
      <c r="C5772" s="151">
        <v>50</v>
      </c>
      <c r="D5772" s="152">
        <v>1</v>
      </c>
      <c r="E5772" s="67">
        <f>C5772*D5772</f>
        <v>50</v>
      </c>
      <c r="F5772" s="46">
        <v>0.3</v>
      </c>
      <c r="G5772" s="46">
        <f>F5772*E5772</f>
        <v>15</v>
      </c>
      <c r="H5772" s="162" t="s">
        <v>2219</v>
      </c>
      <c r="I5772" s="39"/>
      <c r="J5772" s="38"/>
      <c r="K5772" s="46" t="e">
        <f>F5772*(VLOOKUP(#REF!,$C$2:$F$6,3,FALSE))</f>
        <v>#REF!</v>
      </c>
      <c r="L5772" s="483">
        <v>0.26</v>
      </c>
      <c r="M5772" s="489">
        <v>15.8</v>
      </c>
    </row>
    <row r="5774" spans="1:14" s="888" customFormat="1" ht="12.75">
      <c r="A5774" s="902" t="s">
        <v>106</v>
      </c>
      <c r="B5774" s="902" t="s">
        <v>52</v>
      </c>
      <c r="C5774" s="902" t="s">
        <v>1710</v>
      </c>
      <c r="D5774" s="887" t="s">
        <v>1186</v>
      </c>
      <c r="E5774" s="887" t="s">
        <v>1652</v>
      </c>
      <c r="F5774" s="887" t="s">
        <v>1653</v>
      </c>
      <c r="G5774" s="887" t="s">
        <v>1825</v>
      </c>
    </row>
    <row r="5775" spans="1:14" s="888" customFormat="1" ht="12.75">
      <c r="A5775" s="47">
        <v>12720</v>
      </c>
      <c r="B5775" s="260">
        <v>9</v>
      </c>
      <c r="C5775" s="260" t="s">
        <v>2858</v>
      </c>
      <c r="D5775" s="905">
        <v>10</v>
      </c>
      <c r="E5775" s="906">
        <v>1</v>
      </c>
      <c r="F5775" s="905">
        <f>D5775*E5775</f>
        <v>10</v>
      </c>
      <c r="G5775" s="1061">
        <v>0.97</v>
      </c>
    </row>
    <row r="5776" spans="1:14" s="888" customFormat="1" ht="12.75">
      <c r="A5776" s="47"/>
      <c r="B5776" s="893"/>
      <c r="C5776" s="260" t="s">
        <v>1993</v>
      </c>
      <c r="D5776" s="905"/>
      <c r="E5776" s="906"/>
      <c r="F5776" s="894">
        <v>1</v>
      </c>
      <c r="G5776" s="891">
        <v>12</v>
      </c>
    </row>
    <row r="5777" spans="1:6" s="888" customFormat="1" ht="12"/>
    <row r="5778" spans="1:6" s="888" customFormat="1" ht="12"/>
    <row r="5779" spans="1:6" s="888" customFormat="1" ht="12"/>
    <row r="5780" spans="1:6" s="888" customFormat="1" ht="12.75">
      <c r="A5780" s="887" t="s">
        <v>105</v>
      </c>
      <c r="B5780" s="887" t="s">
        <v>455</v>
      </c>
      <c r="C5780" s="887" t="s">
        <v>1035</v>
      </c>
      <c r="D5780" s="887" t="s">
        <v>1353</v>
      </c>
      <c r="E5780" s="902" t="s">
        <v>54</v>
      </c>
      <c r="F5780" s="887" t="s">
        <v>2558</v>
      </c>
    </row>
    <row r="5781" spans="1:6" s="888" customFormat="1" ht="12.75">
      <c r="A5781" s="4" t="s">
        <v>2864</v>
      </c>
      <c r="B5781" s="47" t="s">
        <v>1346</v>
      </c>
      <c r="C5781" s="260" t="s">
        <v>1454</v>
      </c>
      <c r="D5781" s="267" t="s">
        <v>1446</v>
      </c>
      <c r="E5781" s="1062">
        <v>40</v>
      </c>
      <c r="F5781" s="891">
        <v>0.48</v>
      </c>
    </row>
    <row r="5782" spans="1:6" s="888" customFormat="1" ht="12.75">
      <c r="A5782" s="4" t="s">
        <v>2864</v>
      </c>
      <c r="B5782" s="47" t="s">
        <v>1346</v>
      </c>
      <c r="C5782" s="260" t="s">
        <v>1030</v>
      </c>
      <c r="D5782" s="267" t="s">
        <v>1446</v>
      </c>
      <c r="E5782" s="1062">
        <v>248</v>
      </c>
      <c r="F5782" s="891">
        <v>0.49</v>
      </c>
    </row>
    <row r="5783" spans="1:6" s="888" customFormat="1" ht="12.75">
      <c r="A5783" s="4" t="s">
        <v>2864</v>
      </c>
      <c r="B5783" s="47" t="s">
        <v>1346</v>
      </c>
      <c r="C5783" s="260" t="s">
        <v>1032</v>
      </c>
      <c r="D5783" s="267" t="s">
        <v>1446</v>
      </c>
      <c r="E5783" s="1062">
        <v>434</v>
      </c>
      <c r="F5783" s="891">
        <v>0.51</v>
      </c>
    </row>
    <row r="5784" spans="1:6" s="888" customFormat="1" ht="12.75">
      <c r="A5784" s="4" t="s">
        <v>2864</v>
      </c>
      <c r="B5784" s="47" t="s">
        <v>1346</v>
      </c>
      <c r="C5784" s="260" t="s">
        <v>1033</v>
      </c>
      <c r="D5784" s="267" t="s">
        <v>1446</v>
      </c>
      <c r="E5784" s="1062">
        <v>96</v>
      </c>
      <c r="F5784" s="891">
        <v>0.53</v>
      </c>
    </row>
    <row r="5785" spans="1:6" s="888" customFormat="1" ht="12.75">
      <c r="A5785" s="4" t="s">
        <v>2864</v>
      </c>
      <c r="B5785" s="47" t="s">
        <v>1346</v>
      </c>
      <c r="C5785" s="260" t="s">
        <v>1034</v>
      </c>
      <c r="D5785" s="267" t="s">
        <v>1446</v>
      </c>
      <c r="E5785" s="1062">
        <v>4</v>
      </c>
      <c r="F5785" s="891">
        <v>0.54</v>
      </c>
    </row>
    <row r="5786" spans="1:6" s="888" customFormat="1" ht="12.75">
      <c r="A5786" s="4" t="s">
        <v>2864</v>
      </c>
      <c r="B5786" s="47" t="s">
        <v>1346</v>
      </c>
      <c r="C5786" s="260" t="s">
        <v>1454</v>
      </c>
      <c r="D5786" s="267" t="s">
        <v>1347</v>
      </c>
      <c r="E5786" s="1062">
        <v>20</v>
      </c>
      <c r="F5786" s="891">
        <v>0.48</v>
      </c>
    </row>
    <row r="5787" spans="1:6" s="888" customFormat="1" ht="12.75">
      <c r="A5787" s="4" t="s">
        <v>2864</v>
      </c>
      <c r="B5787" s="47" t="s">
        <v>1346</v>
      </c>
      <c r="C5787" s="260" t="s">
        <v>1032</v>
      </c>
      <c r="D5787" s="267" t="s">
        <v>1347</v>
      </c>
      <c r="E5787" s="1062">
        <v>35</v>
      </c>
      <c r="F5787" s="891">
        <v>0.51</v>
      </c>
    </row>
    <row r="5788" spans="1:6" s="888" customFormat="1" ht="12.75">
      <c r="A5788" s="4" t="s">
        <v>2864</v>
      </c>
      <c r="B5788" s="47"/>
      <c r="C5788" s="893"/>
      <c r="D5788" s="260" t="s">
        <v>2014</v>
      </c>
      <c r="E5788" s="894" t="s">
        <v>2865</v>
      </c>
      <c r="F5788" s="891">
        <v>35</v>
      </c>
    </row>
    <row r="5789" spans="1:6" s="888" customFormat="1" ht="12.75">
      <c r="A5789" s="4" t="s">
        <v>2864</v>
      </c>
      <c r="B5789" s="47"/>
      <c r="C5789" s="893"/>
      <c r="D5789" s="260" t="s">
        <v>1993</v>
      </c>
      <c r="E5789" s="894">
        <v>1</v>
      </c>
      <c r="F5789" s="891">
        <v>12</v>
      </c>
    </row>
    <row r="5790" spans="1:6" s="888" customFormat="1" ht="12"/>
    <row r="5791" spans="1:6" s="888" customFormat="1" ht="12"/>
    <row r="5792" spans="1:6" s="888" customFormat="1" ht="12"/>
    <row r="5793" spans="1:7" s="888" customFormat="1" ht="12"/>
    <row r="5795" spans="1:7">
      <c r="A5795" s="4" t="s">
        <v>2867</v>
      </c>
      <c r="B5795" s="902" t="s">
        <v>106</v>
      </c>
      <c r="C5795" s="902" t="s">
        <v>1710</v>
      </c>
      <c r="D5795" s="887" t="s">
        <v>1186</v>
      </c>
      <c r="E5795" s="887" t="s">
        <v>1652</v>
      </c>
      <c r="F5795" s="887" t="s">
        <v>1653</v>
      </c>
      <c r="G5795" s="887" t="s">
        <v>1825</v>
      </c>
    </row>
    <row r="5796" spans="1:7">
      <c r="A5796" s="4" t="s">
        <v>2866</v>
      </c>
      <c r="B5796" s="47">
        <v>5654</v>
      </c>
      <c r="C5796" s="260" t="s">
        <v>2013</v>
      </c>
      <c r="D5796" s="903">
        <v>50</v>
      </c>
      <c r="E5796" s="904">
        <v>1</v>
      </c>
      <c r="F5796" s="50">
        <f>D5796*E5796</f>
        <v>50</v>
      </c>
      <c r="G5796" s="891">
        <v>0.3</v>
      </c>
    </row>
    <row r="5797" spans="1:7">
      <c r="A5797" s="4" t="s">
        <v>2866</v>
      </c>
      <c r="B5797" s="47"/>
      <c r="C5797" s="260" t="s">
        <v>1993</v>
      </c>
      <c r="D5797" s="905"/>
      <c r="E5797" s="906"/>
      <c r="F5797" s="894">
        <v>1</v>
      </c>
      <c r="G5797" s="891">
        <v>12</v>
      </c>
    </row>
    <row r="5799" spans="1:7">
      <c r="A5799" s="883" t="s">
        <v>2871</v>
      </c>
    </row>
    <row r="5800" spans="1:7">
      <c r="A5800" s="1064" t="s">
        <v>2869</v>
      </c>
    </row>
    <row r="5801" spans="1:7">
      <c r="A5801" s="939" t="s">
        <v>5325</v>
      </c>
      <c r="B5801" s="939" t="s">
        <v>5326</v>
      </c>
      <c r="C5801" s="939" t="s">
        <v>5327</v>
      </c>
      <c r="D5801" s="939" t="s">
        <v>5328</v>
      </c>
    </row>
    <row r="5802" spans="1:7">
      <c r="A5802" s="943" t="s">
        <v>2870</v>
      </c>
      <c r="B5802" s="943">
        <v>2.4300000000000002</v>
      </c>
      <c r="C5802" s="943">
        <v>2.16</v>
      </c>
      <c r="D5802" s="943">
        <v>1.88</v>
      </c>
    </row>
    <row r="5805" spans="1:7" s="888" customFormat="1" ht="12.75">
      <c r="A5805" s="902" t="s">
        <v>106</v>
      </c>
      <c r="B5805" s="902" t="s">
        <v>1710</v>
      </c>
      <c r="C5805" s="902" t="s">
        <v>181</v>
      </c>
      <c r="D5805" s="887" t="s">
        <v>1825</v>
      </c>
    </row>
    <row r="5806" spans="1:7" s="888" customFormat="1" ht="12.75">
      <c r="A5806" s="1008" t="s">
        <v>2781</v>
      </c>
      <c r="B5806" s="260" t="s">
        <v>78</v>
      </c>
      <c r="C5806" s="50">
        <v>56</v>
      </c>
      <c r="D5806" s="1009">
        <v>4.74</v>
      </c>
    </row>
    <row r="5807" spans="1:7" s="888" customFormat="1" ht="12.75">
      <c r="A5807" s="1008" t="s">
        <v>2788</v>
      </c>
      <c r="B5807" s="260" t="s">
        <v>78</v>
      </c>
      <c r="C5807" s="905">
        <v>56</v>
      </c>
      <c r="D5807" s="1009">
        <v>1.63</v>
      </c>
    </row>
    <row r="5808" spans="1:7" s="888" customFormat="1" ht="12.75">
      <c r="A5808" s="1008" t="s">
        <v>2786</v>
      </c>
      <c r="B5808" s="260" t="s">
        <v>78</v>
      </c>
      <c r="C5808" s="905">
        <v>56</v>
      </c>
      <c r="D5808" s="1009">
        <v>1.17</v>
      </c>
    </row>
    <row r="5809" spans="1:11" s="888" customFormat="1" ht="12.75">
      <c r="A5809" s="47"/>
      <c r="B5809" s="260" t="s">
        <v>1993</v>
      </c>
      <c r="C5809" s="894">
        <v>1</v>
      </c>
      <c r="D5809" s="891">
        <v>24</v>
      </c>
    </row>
    <row r="5810" spans="1:11" s="888" customFormat="1" ht="12"/>
    <row r="5811" spans="1:11" s="888" customFormat="1" ht="12.75">
      <c r="A5811" s="1066" t="s">
        <v>2894</v>
      </c>
    </row>
    <row r="5812" spans="1:11" s="888" customFormat="1" ht="15">
      <c r="A5812" s="728" t="s">
        <v>1603</v>
      </c>
      <c r="B5812" s="728" t="s">
        <v>2317</v>
      </c>
      <c r="C5812" s="728" t="s">
        <v>2887</v>
      </c>
      <c r="D5812" s="728" t="s">
        <v>2888</v>
      </c>
      <c r="E5812" s="1065"/>
    </row>
    <row r="5813" spans="1:11" ht="14.25">
      <c r="A5813" s="1067">
        <v>71035</v>
      </c>
      <c r="B5813" s="720" t="s">
        <v>129</v>
      </c>
      <c r="C5813" s="943">
        <f t="shared" ref="C5813:C5819" si="19">ROUNDUP(E5813/0.45/120,2)</f>
        <v>3.65</v>
      </c>
      <c r="D5813" s="943" t="s">
        <v>2893</v>
      </c>
      <c r="E5813">
        <v>197</v>
      </c>
      <c r="F5813" t="s">
        <v>2874</v>
      </c>
      <c r="G5813" t="s">
        <v>2875</v>
      </c>
      <c r="H5813" t="s">
        <v>2876</v>
      </c>
      <c r="I5813" t="s">
        <v>2873</v>
      </c>
    </row>
    <row r="5814" spans="1:11" ht="14.25">
      <c r="A5814" s="1067">
        <v>71214</v>
      </c>
      <c r="B5814" s="720" t="s">
        <v>129</v>
      </c>
      <c r="C5814" s="943">
        <f t="shared" si="19"/>
        <v>3.19</v>
      </c>
      <c r="D5814" s="943" t="s">
        <v>2889</v>
      </c>
      <c r="E5814">
        <v>172</v>
      </c>
      <c r="F5814" t="s">
        <v>2878</v>
      </c>
      <c r="G5814" t="s">
        <v>2875</v>
      </c>
      <c r="H5814" t="s">
        <v>2876</v>
      </c>
      <c r="I5814" t="s">
        <v>2877</v>
      </c>
    </row>
    <row r="5815" spans="1:11" ht="14.25">
      <c r="A5815" s="1067">
        <v>23280</v>
      </c>
      <c r="B5815" s="720" t="s">
        <v>129</v>
      </c>
      <c r="C5815" s="943">
        <f t="shared" si="19"/>
        <v>0.97</v>
      </c>
      <c r="D5815" s="943" t="s">
        <v>2890</v>
      </c>
      <c r="E5815">
        <v>52</v>
      </c>
      <c r="F5815" t="s">
        <v>2880</v>
      </c>
      <c r="G5815" t="s">
        <v>2881</v>
      </c>
      <c r="H5815" t="s">
        <v>2876</v>
      </c>
      <c r="I5815" t="s">
        <v>2879</v>
      </c>
    </row>
    <row r="5816" spans="1:11" ht="14.25">
      <c r="A5816" s="1067">
        <v>22734</v>
      </c>
      <c r="B5816" s="720" t="s">
        <v>129</v>
      </c>
      <c r="C5816" s="943">
        <f t="shared" si="19"/>
        <v>1.65</v>
      </c>
      <c r="D5816" s="943" t="s">
        <v>2891</v>
      </c>
      <c r="E5816">
        <v>89</v>
      </c>
      <c r="F5816" t="s">
        <v>2883</v>
      </c>
      <c r="G5816" t="s">
        <v>2875</v>
      </c>
      <c r="H5816" t="s">
        <v>2876</v>
      </c>
      <c r="I5816" t="s">
        <v>2882</v>
      </c>
    </row>
    <row r="5817" spans="1:11" ht="14.25">
      <c r="A5817" s="1067">
        <v>2841</v>
      </c>
      <c r="B5817" s="720" t="s">
        <v>129</v>
      </c>
      <c r="C5817" s="943">
        <f t="shared" si="19"/>
        <v>0.89</v>
      </c>
      <c r="D5817" s="943" t="s">
        <v>2891</v>
      </c>
      <c r="E5817">
        <v>48</v>
      </c>
      <c r="F5817" t="s">
        <v>2884</v>
      </c>
      <c r="G5817" t="s">
        <v>2875</v>
      </c>
      <c r="H5817" t="s">
        <v>2876</v>
      </c>
      <c r="I5817" t="s">
        <v>2882</v>
      </c>
    </row>
    <row r="5818" spans="1:11" ht="14.25">
      <c r="A5818" s="1067">
        <v>22936</v>
      </c>
      <c r="B5818" s="720" t="s">
        <v>129</v>
      </c>
      <c r="C5818" s="943">
        <f t="shared" si="19"/>
        <v>1</v>
      </c>
      <c r="D5818" s="943" t="s">
        <v>2890</v>
      </c>
      <c r="E5818">
        <v>54</v>
      </c>
      <c r="F5818" t="s">
        <v>2885</v>
      </c>
      <c r="G5818" t="s">
        <v>2881</v>
      </c>
      <c r="H5818" t="s">
        <v>2876</v>
      </c>
      <c r="I5818" t="s">
        <v>2879</v>
      </c>
    </row>
    <row r="5819" spans="1:11" ht="14.25">
      <c r="A5819" s="1067">
        <v>2191</v>
      </c>
      <c r="B5819" s="720" t="s">
        <v>129</v>
      </c>
      <c r="C5819" s="943">
        <f t="shared" si="19"/>
        <v>0.97</v>
      </c>
      <c r="D5819" s="943" t="s">
        <v>2892</v>
      </c>
      <c r="E5819">
        <v>52</v>
      </c>
      <c r="F5819" t="s">
        <v>2880</v>
      </c>
      <c r="G5819" t="s">
        <v>2881</v>
      </c>
      <c r="H5819" t="s">
        <v>2876</v>
      </c>
      <c r="I5819" t="s">
        <v>2886</v>
      </c>
    </row>
    <row r="5821" spans="1:11" s="888" customFormat="1" ht="13.5" customHeight="1">
      <c r="A5821" s="1066" t="s">
        <v>2896</v>
      </c>
    </row>
    <row r="5822" spans="1:11" s="888" customFormat="1" ht="15">
      <c r="A5822" s="728" t="s">
        <v>1603</v>
      </c>
      <c r="B5822" s="728" t="s">
        <v>2317</v>
      </c>
      <c r="C5822" s="728" t="s">
        <v>2887</v>
      </c>
      <c r="D5822" s="940" t="s">
        <v>1623</v>
      </c>
      <c r="E5822" s="962" t="s">
        <v>2254</v>
      </c>
      <c r="F5822" s="728" t="s">
        <v>2888</v>
      </c>
      <c r="G5822" s="1065"/>
    </row>
    <row r="5823" spans="1:11" ht="14.25">
      <c r="A5823" s="1067">
        <v>71035</v>
      </c>
      <c r="B5823" s="720" t="s">
        <v>129</v>
      </c>
      <c r="C5823" s="943">
        <f t="shared" ref="C5823:C5829" si="20">ROUNDUP(G5823/0.45/120,2)</f>
        <v>3.65</v>
      </c>
      <c r="D5823" s="943">
        <f>ROUNDUP((G5823+70)/0.55/120,2)</f>
        <v>4.05</v>
      </c>
      <c r="E5823" s="965" t="s">
        <v>2897</v>
      </c>
      <c r="F5823" s="943" t="s">
        <v>2893</v>
      </c>
      <c r="G5823">
        <v>197</v>
      </c>
      <c r="H5823" t="s">
        <v>2874</v>
      </c>
      <c r="I5823" t="s">
        <v>2875</v>
      </c>
      <c r="J5823" t="s">
        <v>2876</v>
      </c>
      <c r="K5823" t="s">
        <v>2873</v>
      </c>
    </row>
    <row r="5824" spans="1:11" ht="14.25">
      <c r="A5824" s="1067">
        <v>71214</v>
      </c>
      <c r="B5824" s="720" t="s">
        <v>129</v>
      </c>
      <c r="C5824" s="943">
        <f t="shared" si="20"/>
        <v>3.19</v>
      </c>
      <c r="D5824" s="943">
        <f>ROUNDUP((G5824+70)/0.55/120,2)</f>
        <v>3.67</v>
      </c>
      <c r="E5824" s="965" t="s">
        <v>2897</v>
      </c>
      <c r="F5824" s="943" t="s">
        <v>2889</v>
      </c>
      <c r="G5824">
        <v>172</v>
      </c>
      <c r="H5824" t="s">
        <v>2878</v>
      </c>
      <c r="I5824" t="s">
        <v>2875</v>
      </c>
      <c r="J5824" t="s">
        <v>2876</v>
      </c>
      <c r="K5824" t="s">
        <v>2877</v>
      </c>
    </row>
    <row r="5825" spans="1:11" ht="14.25">
      <c r="A5825" s="1067">
        <v>23280</v>
      </c>
      <c r="B5825" s="720" t="s">
        <v>129</v>
      </c>
      <c r="C5825" s="943">
        <f t="shared" si="20"/>
        <v>0.97</v>
      </c>
      <c r="D5825" s="943">
        <f>ROUNDUP((G5825+60)/0.55/120,2)</f>
        <v>1.7</v>
      </c>
      <c r="E5825" s="965" t="s">
        <v>2898</v>
      </c>
      <c r="F5825" s="943" t="s">
        <v>2890</v>
      </c>
      <c r="G5825">
        <v>52</v>
      </c>
      <c r="H5825" t="s">
        <v>2880</v>
      </c>
      <c r="I5825" t="s">
        <v>2881</v>
      </c>
      <c r="J5825" t="s">
        <v>2876</v>
      </c>
      <c r="K5825" t="s">
        <v>2879</v>
      </c>
    </row>
    <row r="5826" spans="1:11" ht="14.25">
      <c r="A5826" s="1067">
        <v>22734</v>
      </c>
      <c r="B5826" s="720" t="s">
        <v>129</v>
      </c>
      <c r="C5826" s="943">
        <f t="shared" si="20"/>
        <v>1.65</v>
      </c>
      <c r="D5826" s="943">
        <f>ROUNDUP((G5826+70)/0.55/120,2)</f>
        <v>2.4099999999999997</v>
      </c>
      <c r="E5826" s="965" t="s">
        <v>2897</v>
      </c>
      <c r="F5826" s="943" t="s">
        <v>2891</v>
      </c>
      <c r="G5826">
        <v>89</v>
      </c>
      <c r="H5826" t="s">
        <v>2883</v>
      </c>
      <c r="I5826" t="s">
        <v>2875</v>
      </c>
      <c r="J5826" t="s">
        <v>2876</v>
      </c>
      <c r="K5826" t="s">
        <v>2882</v>
      </c>
    </row>
    <row r="5827" spans="1:11" ht="14.25">
      <c r="A5827" s="1067">
        <v>2841</v>
      </c>
      <c r="B5827" s="720" t="s">
        <v>129</v>
      </c>
      <c r="C5827" s="943">
        <f t="shared" si="20"/>
        <v>0.89</v>
      </c>
      <c r="D5827" s="943">
        <f>ROUNDUP((G5827+70)/0.55/120,2)</f>
        <v>1.79</v>
      </c>
      <c r="E5827" s="965" t="s">
        <v>2897</v>
      </c>
      <c r="F5827" s="943" t="s">
        <v>2891</v>
      </c>
      <c r="G5827">
        <v>48</v>
      </c>
      <c r="H5827" t="s">
        <v>2884</v>
      </c>
      <c r="I5827" t="s">
        <v>2875</v>
      </c>
      <c r="J5827" t="s">
        <v>2876</v>
      </c>
      <c r="K5827" t="s">
        <v>2882</v>
      </c>
    </row>
    <row r="5828" spans="1:11" ht="14.25">
      <c r="A5828" s="1067">
        <v>22936</v>
      </c>
      <c r="B5828" s="720" t="s">
        <v>129</v>
      </c>
      <c r="C5828" s="943">
        <f t="shared" si="20"/>
        <v>1</v>
      </c>
      <c r="D5828" s="943">
        <f>ROUNDUP((G5828+60)/0.55/120,2)</f>
        <v>1.73</v>
      </c>
      <c r="E5828" s="965" t="s">
        <v>2898</v>
      </c>
      <c r="F5828" s="943" t="s">
        <v>2890</v>
      </c>
      <c r="G5828">
        <v>54</v>
      </c>
      <c r="H5828" t="s">
        <v>2885</v>
      </c>
      <c r="I5828" t="s">
        <v>2881</v>
      </c>
      <c r="J5828" t="s">
        <v>2876</v>
      </c>
      <c r="K5828" t="s">
        <v>2879</v>
      </c>
    </row>
    <row r="5829" spans="1:11" ht="14.25">
      <c r="A5829" s="1067">
        <v>2191</v>
      </c>
      <c r="B5829" s="720" t="s">
        <v>129</v>
      </c>
      <c r="C5829" s="943">
        <f t="shared" si="20"/>
        <v>0.97</v>
      </c>
      <c r="D5829" s="943">
        <f>ROUNDUP((G5829+60)/0.55/120,2)</f>
        <v>1.7</v>
      </c>
      <c r="E5829" s="965" t="s">
        <v>2898</v>
      </c>
      <c r="F5829" s="943" t="s">
        <v>2892</v>
      </c>
      <c r="G5829">
        <v>52</v>
      </c>
      <c r="H5829" t="s">
        <v>2880</v>
      </c>
      <c r="I5829" t="s">
        <v>2881</v>
      </c>
      <c r="J5829" t="s">
        <v>2876</v>
      </c>
      <c r="K5829" t="s">
        <v>2886</v>
      </c>
    </row>
    <row r="5833" spans="1:11">
      <c r="A5833" s="902" t="s">
        <v>106</v>
      </c>
      <c r="B5833" s="902" t="s">
        <v>52</v>
      </c>
      <c r="C5833" s="902" t="s">
        <v>1710</v>
      </c>
      <c r="D5833" s="887" t="s">
        <v>1186</v>
      </c>
      <c r="E5833" s="887" t="s">
        <v>1652</v>
      </c>
      <c r="F5833" s="887" t="s">
        <v>1653</v>
      </c>
      <c r="G5833" s="967" t="s">
        <v>640</v>
      </c>
    </row>
    <row r="5834" spans="1:11">
      <c r="A5834" s="47">
        <v>1140</v>
      </c>
      <c r="B5834" s="260">
        <v>30</v>
      </c>
      <c r="C5834" s="47" t="s">
        <v>2901</v>
      </c>
      <c r="D5834" s="903">
        <v>30</v>
      </c>
      <c r="E5834" s="904">
        <v>34</v>
      </c>
      <c r="F5834" s="50">
        <f>D5834*E5834</f>
        <v>1020</v>
      </c>
      <c r="G5834" s="50" t="s">
        <v>2903</v>
      </c>
    </row>
    <row r="5835" spans="1:11">
      <c r="A5835" s="47">
        <v>1140</v>
      </c>
      <c r="B5835" s="260">
        <v>30</v>
      </c>
      <c r="C5835" s="47" t="s">
        <v>137</v>
      </c>
      <c r="D5835" s="903">
        <v>30</v>
      </c>
      <c r="E5835" s="904">
        <v>55</v>
      </c>
      <c r="F5835" s="50">
        <f>D5835*E5835</f>
        <v>1650</v>
      </c>
      <c r="G5835" s="50" t="s">
        <v>2903</v>
      </c>
    </row>
    <row r="5836" spans="1:11">
      <c r="A5836" s="47">
        <v>1140</v>
      </c>
      <c r="B5836" s="260">
        <v>30</v>
      </c>
      <c r="C5836" s="47" t="s">
        <v>2727</v>
      </c>
      <c r="D5836" s="903">
        <v>30</v>
      </c>
      <c r="E5836" s="904">
        <v>25</v>
      </c>
      <c r="F5836" s="50">
        <f>D5836*E5836</f>
        <v>750</v>
      </c>
      <c r="G5836" s="50" t="s">
        <v>2903</v>
      </c>
    </row>
    <row r="5837" spans="1:11">
      <c r="A5837" s="47"/>
      <c r="B5837" s="260"/>
      <c r="C5837" s="968" t="s">
        <v>557</v>
      </c>
      <c r="D5837" s="903"/>
      <c r="E5837" s="904"/>
      <c r="F5837" s="50"/>
      <c r="G5837" s="50" t="s">
        <v>2904</v>
      </c>
    </row>
    <row r="5842" spans="1:117" s="888" customFormat="1" ht="12.75">
      <c r="A5842" s="902" t="s">
        <v>105</v>
      </c>
      <c r="B5842" s="902" t="s">
        <v>106</v>
      </c>
      <c r="C5842" s="902" t="s">
        <v>52</v>
      </c>
      <c r="D5842" s="902" t="s">
        <v>1710</v>
      </c>
      <c r="E5842" s="887" t="s">
        <v>1186</v>
      </c>
      <c r="F5842" s="887" t="s">
        <v>1652</v>
      </c>
      <c r="G5842" s="887" t="s">
        <v>1653</v>
      </c>
      <c r="H5842" s="887" t="s">
        <v>1825</v>
      </c>
      <c r="I5842" s="887" t="s">
        <v>1168</v>
      </c>
    </row>
    <row r="5843" spans="1:117" s="888" customFormat="1" ht="12.75">
      <c r="A5843" s="947" t="s">
        <v>2900</v>
      </c>
      <c r="B5843" s="47" t="s">
        <v>18</v>
      </c>
      <c r="C5843" s="260">
        <v>30</v>
      </c>
      <c r="D5843" s="47" t="s">
        <v>2901</v>
      </c>
      <c r="E5843" s="903">
        <v>30</v>
      </c>
      <c r="F5843" s="904">
        <v>34</v>
      </c>
      <c r="G5843" s="50">
        <f>E5843*F5843</f>
        <v>1020</v>
      </c>
      <c r="H5843" s="891">
        <v>4.26</v>
      </c>
      <c r="I5843" s="950" t="s">
        <v>2905</v>
      </c>
    </row>
    <row r="5844" spans="1:117" s="888" customFormat="1" ht="12.75">
      <c r="A5844" s="947" t="s">
        <v>2900</v>
      </c>
      <c r="B5844" s="47" t="s">
        <v>18</v>
      </c>
      <c r="C5844" s="260">
        <v>30</v>
      </c>
      <c r="D5844" s="47" t="s">
        <v>137</v>
      </c>
      <c r="E5844" s="903">
        <v>30</v>
      </c>
      <c r="F5844" s="904">
        <v>55</v>
      </c>
      <c r="G5844" s="50">
        <f>E5844*F5844</f>
        <v>1650</v>
      </c>
      <c r="H5844" s="891">
        <v>4.26</v>
      </c>
      <c r="I5844" s="950" t="s">
        <v>2906</v>
      </c>
    </row>
    <row r="5845" spans="1:117" s="888" customFormat="1" ht="12.75">
      <c r="A5845" s="947" t="s">
        <v>2900</v>
      </c>
      <c r="B5845" s="47" t="s">
        <v>18</v>
      </c>
      <c r="C5845" s="260">
        <v>30</v>
      </c>
      <c r="D5845" s="47" t="s">
        <v>2727</v>
      </c>
      <c r="E5845" s="903">
        <v>30</v>
      </c>
      <c r="F5845" s="904">
        <v>25</v>
      </c>
      <c r="G5845" s="50">
        <f>E5845*F5845</f>
        <v>750</v>
      </c>
      <c r="H5845" s="891">
        <v>4.26</v>
      </c>
      <c r="I5845" s="950" t="s">
        <v>2907</v>
      </c>
    </row>
    <row r="5846" spans="1:117" s="888" customFormat="1" ht="12.75">
      <c r="A5846" s="947" t="s">
        <v>2900</v>
      </c>
      <c r="B5846" s="47"/>
      <c r="C5846" s="893"/>
      <c r="D5846" s="260" t="s">
        <v>2902</v>
      </c>
      <c r="E5846" s="905"/>
      <c r="F5846" s="906"/>
      <c r="G5846" s="894">
        <v>1</v>
      </c>
      <c r="H5846" s="891">
        <v>250</v>
      </c>
      <c r="I5846" s="950"/>
    </row>
    <row r="5847" spans="1:117" s="888" customFormat="1" ht="12"/>
    <row r="5848" spans="1:117" s="888" customFormat="1" ht="12">
      <c r="A5848" s="888" t="s">
        <v>2915</v>
      </c>
    </row>
    <row r="5849" spans="1:117" s="888" customFormat="1" ht="25.5">
      <c r="A5849" s="902" t="s">
        <v>106</v>
      </c>
      <c r="B5849" s="938" t="s">
        <v>2317</v>
      </c>
      <c r="C5849" s="938" t="s">
        <v>2911</v>
      </c>
      <c r="D5849" s="939" t="s">
        <v>5329</v>
      </c>
      <c r="E5849" s="1068" t="s">
        <v>1623</v>
      </c>
      <c r="F5849" s="940" t="s">
        <v>5282</v>
      </c>
      <c r="G5849" s="940" t="s">
        <v>5292</v>
      </c>
    </row>
    <row r="5850" spans="1:117" s="888" customFormat="1" ht="12.75">
      <c r="A5850" s="942" t="s">
        <v>2909</v>
      </c>
      <c r="B5850" s="1077" t="s">
        <v>129</v>
      </c>
      <c r="C5850" s="1078" t="s">
        <v>2912</v>
      </c>
      <c r="D5850" s="943">
        <f>ROUNDUP(D5852/0.6/120,2)</f>
        <v>2.3499999999999996</v>
      </c>
      <c r="E5850" s="943">
        <f>ROUNDUP((D5852+30)/0.6/120,2)</f>
        <v>2.7699999999999996</v>
      </c>
      <c r="F5850" s="1078">
        <v>300</v>
      </c>
      <c r="G5850" s="944">
        <v>125</v>
      </c>
    </row>
    <row r="5851" spans="1:117" s="888" customFormat="1" ht="12.75">
      <c r="A5851" s="942" t="s">
        <v>2910</v>
      </c>
      <c r="B5851" s="1077" t="s">
        <v>56</v>
      </c>
      <c r="C5851" s="1078" t="s">
        <v>2912</v>
      </c>
      <c r="D5851" s="943">
        <f>ROUNDUP(D5853/0.6/120,2)</f>
        <v>3.07</v>
      </c>
      <c r="E5851" s="943" t="s">
        <v>2345</v>
      </c>
      <c r="F5851" s="1078" t="s">
        <v>2346</v>
      </c>
      <c r="G5851" s="1079" t="s">
        <v>2346</v>
      </c>
    </row>
    <row r="5852" spans="1:117" ht="14.25">
      <c r="A5852" s="766"/>
      <c r="B5852" s="1069"/>
      <c r="C5852" s="1070" t="s">
        <v>2913</v>
      </c>
      <c r="D5852" s="1618">
        <v>169</v>
      </c>
      <c r="E5852" s="1071"/>
      <c r="F5852" s="1072"/>
      <c r="G5852" s="761"/>
    </row>
    <row r="5853" spans="1:117" ht="14.25">
      <c r="A5853" s="766"/>
      <c r="B5853" s="1069"/>
      <c r="C5853" s="1070" t="s">
        <v>2914</v>
      </c>
      <c r="D5853" s="1618">
        <v>221</v>
      </c>
      <c r="E5853" s="1071"/>
      <c r="F5853" s="1072"/>
      <c r="G5853" s="761"/>
    </row>
    <row r="5854" spans="1:117" ht="14.25">
      <c r="A5854" s="1074" t="s">
        <v>2916</v>
      </c>
      <c r="B5854" s="1069"/>
      <c r="C5854" s="1072"/>
      <c r="D5854" s="1073"/>
      <c r="E5854" s="1071"/>
      <c r="F5854" s="1072"/>
      <c r="G5854" s="761"/>
    </row>
    <row r="5855" spans="1:117" s="1075" customFormat="1" ht="38.25">
      <c r="A5855" s="933" t="s">
        <v>1369</v>
      </c>
      <c r="B5855" s="958" t="s">
        <v>377</v>
      </c>
      <c r="C5855" s="959" t="s">
        <v>2</v>
      </c>
      <c r="D5855" s="960" t="s">
        <v>1734</v>
      </c>
      <c r="E5855" s="961" t="s">
        <v>2917</v>
      </c>
      <c r="F5855" s="961" t="s">
        <v>2921</v>
      </c>
    </row>
    <row r="5856" spans="1:117" s="1076" customFormat="1" ht="15" customHeight="1">
      <c r="A5856" s="934" t="s">
        <v>2353</v>
      </c>
      <c r="B5856" s="48">
        <v>12</v>
      </c>
      <c r="C5856" s="980">
        <v>10</v>
      </c>
      <c r="D5856" s="52" t="s">
        <v>1812</v>
      </c>
      <c r="E5856" s="981">
        <v>0.97</v>
      </c>
      <c r="F5856" s="52" t="s">
        <v>2918</v>
      </c>
      <c r="G5856" s="912"/>
      <c r="H5856" s="912"/>
      <c r="I5856" s="912"/>
      <c r="J5856" s="912"/>
      <c r="K5856" s="912"/>
      <c r="L5856" s="912"/>
      <c r="M5856" s="912"/>
      <c r="N5856" s="912"/>
      <c r="O5856" s="912"/>
      <c r="P5856" s="912"/>
      <c r="Q5856" s="912"/>
      <c r="R5856" s="912"/>
      <c r="S5856" s="912"/>
      <c r="T5856" s="912"/>
      <c r="U5856" s="912"/>
      <c r="V5856" s="912"/>
      <c r="W5856" s="912"/>
      <c r="X5856" s="912"/>
      <c r="Y5856" s="912"/>
      <c r="Z5856" s="912"/>
      <c r="AA5856" s="912"/>
      <c r="AB5856" s="912"/>
      <c r="AC5856" s="912"/>
      <c r="AD5856" s="912"/>
      <c r="AE5856" s="912"/>
      <c r="AF5856" s="912"/>
      <c r="AG5856" s="912"/>
      <c r="AH5856" s="912"/>
      <c r="AI5856" s="912"/>
      <c r="AJ5856" s="912"/>
      <c r="AK5856" s="912"/>
      <c r="AL5856" s="912"/>
      <c r="AM5856" s="912"/>
      <c r="AN5856" s="912"/>
      <c r="AO5856" s="912"/>
      <c r="AP5856" s="912"/>
      <c r="AQ5856" s="912"/>
      <c r="AR5856" s="912"/>
      <c r="AS5856" s="912"/>
      <c r="AT5856" s="912"/>
      <c r="AU5856" s="912"/>
      <c r="AV5856" s="912"/>
      <c r="AW5856" s="912"/>
      <c r="AX5856" s="912"/>
      <c r="AY5856" s="912"/>
      <c r="AZ5856" s="912"/>
      <c r="BA5856" s="912"/>
      <c r="BB5856" s="912"/>
      <c r="BC5856" s="912"/>
      <c r="BD5856" s="912"/>
      <c r="BE5856" s="912"/>
      <c r="BF5856" s="912"/>
      <c r="BG5856" s="912"/>
      <c r="BH5856" s="912"/>
      <c r="BI5856" s="912"/>
      <c r="BJ5856" s="912"/>
      <c r="BK5856" s="912"/>
      <c r="BL5856" s="912"/>
      <c r="BM5856" s="912"/>
      <c r="BN5856" s="912"/>
      <c r="BO5856" s="912"/>
      <c r="BP5856" s="912"/>
      <c r="BQ5856" s="912"/>
      <c r="BR5856" s="912"/>
      <c r="BS5856" s="912"/>
      <c r="BT5856" s="912"/>
      <c r="BU5856" s="912"/>
      <c r="BV5856" s="912"/>
      <c r="BW5856" s="912"/>
      <c r="BX5856" s="912"/>
      <c r="BY5856" s="912"/>
      <c r="BZ5856" s="912"/>
      <c r="CA5856" s="912"/>
      <c r="CB5856" s="912"/>
      <c r="CC5856" s="912"/>
      <c r="CD5856" s="912"/>
      <c r="CE5856" s="912"/>
      <c r="CF5856" s="912"/>
      <c r="CG5856" s="912"/>
      <c r="CH5856" s="912"/>
      <c r="CI5856" s="912"/>
      <c r="CJ5856" s="912"/>
      <c r="CK5856" s="912"/>
      <c r="CL5856" s="912"/>
      <c r="CM5856" s="912"/>
      <c r="CN5856" s="912"/>
      <c r="CO5856" s="912"/>
      <c r="CP5856" s="912"/>
      <c r="CQ5856" s="912"/>
      <c r="CR5856" s="912"/>
      <c r="CS5856" s="912"/>
      <c r="CT5856" s="912"/>
      <c r="CU5856" s="912"/>
      <c r="CV5856" s="912"/>
      <c r="CW5856" s="912"/>
      <c r="CX5856" s="912"/>
      <c r="CY5856" s="912"/>
      <c r="CZ5856" s="912"/>
      <c r="DA5856" s="912"/>
      <c r="DB5856" s="912"/>
      <c r="DC5856" s="912"/>
      <c r="DD5856" s="912"/>
      <c r="DE5856" s="912"/>
      <c r="DF5856" s="912"/>
      <c r="DG5856" s="912"/>
      <c r="DH5856" s="912"/>
      <c r="DI5856" s="912"/>
      <c r="DJ5856" s="912"/>
      <c r="DK5856" s="912"/>
      <c r="DL5856" s="912"/>
      <c r="DM5856" s="912"/>
    </row>
    <row r="5857" spans="1:117" s="1076" customFormat="1" ht="15" customHeight="1">
      <c r="A5857" s="934" t="s">
        <v>2356</v>
      </c>
      <c r="B5857" s="48">
        <v>12</v>
      </c>
      <c r="C5857" s="980">
        <v>10</v>
      </c>
      <c r="D5857" s="52" t="s">
        <v>1812</v>
      </c>
      <c r="E5857" s="981">
        <v>1.61</v>
      </c>
      <c r="F5857" s="52" t="s">
        <v>2919</v>
      </c>
      <c r="G5857" s="912"/>
      <c r="H5857" s="912"/>
      <c r="I5857" s="912"/>
      <c r="J5857" s="912"/>
      <c r="K5857" s="912"/>
      <c r="L5857" s="912"/>
      <c r="M5857" s="912"/>
      <c r="N5857" s="912"/>
      <c r="O5857" s="912"/>
      <c r="P5857" s="912"/>
      <c r="Q5857" s="912"/>
      <c r="R5857" s="912"/>
      <c r="S5857" s="912"/>
      <c r="T5857" s="912"/>
      <c r="U5857" s="912"/>
      <c r="V5857" s="912"/>
      <c r="W5857" s="912"/>
      <c r="X5857" s="912"/>
      <c r="Y5857" s="912"/>
      <c r="Z5857" s="912"/>
      <c r="AA5857" s="912"/>
      <c r="AB5857" s="912"/>
      <c r="AC5857" s="912"/>
      <c r="AD5857" s="912"/>
      <c r="AE5857" s="912"/>
      <c r="AF5857" s="912"/>
      <c r="AG5857" s="912"/>
      <c r="AH5857" s="912"/>
      <c r="AI5857" s="912"/>
      <c r="AJ5857" s="912"/>
      <c r="AK5857" s="912"/>
      <c r="AL5857" s="912"/>
      <c r="AM5857" s="912"/>
      <c r="AN5857" s="912"/>
      <c r="AO5857" s="912"/>
      <c r="AP5857" s="912"/>
      <c r="AQ5857" s="912"/>
      <c r="AR5857" s="912"/>
      <c r="AS5857" s="912"/>
      <c r="AT5857" s="912"/>
      <c r="AU5857" s="912"/>
      <c r="AV5857" s="912"/>
      <c r="AW5857" s="912"/>
      <c r="AX5857" s="912"/>
      <c r="AY5857" s="912"/>
      <c r="AZ5857" s="912"/>
      <c r="BA5857" s="912"/>
      <c r="BB5857" s="912"/>
      <c r="BC5857" s="912"/>
      <c r="BD5857" s="912"/>
      <c r="BE5857" s="912"/>
      <c r="BF5857" s="912"/>
      <c r="BG5857" s="912"/>
      <c r="BH5857" s="912"/>
      <c r="BI5857" s="912"/>
      <c r="BJ5857" s="912"/>
      <c r="BK5857" s="912"/>
      <c r="BL5857" s="912"/>
      <c r="BM5857" s="912"/>
      <c r="BN5857" s="912"/>
      <c r="BO5857" s="912"/>
      <c r="BP5857" s="912"/>
      <c r="BQ5857" s="912"/>
      <c r="BR5857" s="912"/>
      <c r="BS5857" s="912"/>
      <c r="BT5857" s="912"/>
      <c r="BU5857" s="912"/>
      <c r="BV5857" s="912"/>
      <c r="BW5857" s="912"/>
      <c r="BX5857" s="912"/>
      <c r="BY5857" s="912"/>
      <c r="BZ5857" s="912"/>
      <c r="CA5857" s="912"/>
      <c r="CB5857" s="912"/>
      <c r="CC5857" s="912"/>
      <c r="CD5857" s="912"/>
      <c r="CE5857" s="912"/>
      <c r="CF5857" s="912"/>
      <c r="CG5857" s="912"/>
      <c r="CH5857" s="912"/>
      <c r="CI5857" s="912"/>
      <c r="CJ5857" s="912"/>
      <c r="CK5857" s="912"/>
      <c r="CL5857" s="912"/>
      <c r="CM5857" s="912"/>
      <c r="CN5857" s="912"/>
      <c r="CO5857" s="912"/>
      <c r="CP5857" s="912"/>
      <c r="CQ5857" s="912"/>
      <c r="CR5857" s="912"/>
      <c r="CS5857" s="912"/>
      <c r="CT5857" s="912"/>
      <c r="CU5857" s="912"/>
      <c r="CV5857" s="912"/>
      <c r="CW5857" s="912"/>
      <c r="CX5857" s="912"/>
      <c r="CY5857" s="912"/>
      <c r="CZ5857" s="912"/>
      <c r="DA5857" s="912"/>
      <c r="DB5857" s="912"/>
      <c r="DC5857" s="912"/>
      <c r="DD5857" s="912"/>
      <c r="DE5857" s="912"/>
      <c r="DF5857" s="912"/>
      <c r="DG5857" s="912"/>
      <c r="DH5857" s="912"/>
      <c r="DI5857" s="912"/>
      <c r="DJ5857" s="912"/>
      <c r="DK5857" s="912"/>
      <c r="DL5857" s="912"/>
      <c r="DM5857" s="912"/>
    </row>
    <row r="5858" spans="1:117" s="888" customFormat="1" ht="12"/>
    <row r="5859" spans="1:117" s="888" customFormat="1" ht="12">
      <c r="A5859" s="888" t="s">
        <v>2920</v>
      </c>
    </row>
    <row r="5860" spans="1:117" s="888" customFormat="1" ht="12"/>
    <row r="5861" spans="1:117" ht="14.25">
      <c r="A5861" s="1074" t="s">
        <v>2922</v>
      </c>
    </row>
    <row r="5862" spans="1:117" s="888" customFormat="1" ht="38.25">
      <c r="A5862" s="938" t="s">
        <v>1603</v>
      </c>
      <c r="B5862" s="938" t="s">
        <v>2316</v>
      </c>
      <c r="C5862" s="939" t="s">
        <v>2887</v>
      </c>
      <c r="D5862" s="940" t="s">
        <v>5330</v>
      </c>
      <c r="E5862" s="940" t="s">
        <v>5331</v>
      </c>
      <c r="F5862" s="940" t="s">
        <v>5332</v>
      </c>
    </row>
    <row r="5863" spans="1:117" s="888" customFormat="1" ht="12.75">
      <c r="A5863" s="945" t="s">
        <v>1684</v>
      </c>
      <c r="B5863" s="942" t="s">
        <v>2341</v>
      </c>
      <c r="C5863" s="943">
        <v>1.02</v>
      </c>
      <c r="D5863" s="943">
        <v>1.58</v>
      </c>
      <c r="E5863" s="942" t="s">
        <v>2342</v>
      </c>
      <c r="F5863" s="944">
        <v>125</v>
      </c>
    </row>
    <row r="5866" spans="1:117">
      <c r="A5866" s="902" t="s">
        <v>105</v>
      </c>
      <c r="B5866" s="902" t="s">
        <v>106</v>
      </c>
      <c r="C5866" s="902" t="s">
        <v>1710</v>
      </c>
      <c r="D5866" s="887" t="s">
        <v>1186</v>
      </c>
      <c r="E5866" s="887" t="s">
        <v>1652</v>
      </c>
      <c r="F5866" s="887" t="s">
        <v>1653</v>
      </c>
      <c r="G5866" s="887" t="s">
        <v>1825</v>
      </c>
    </row>
    <row r="5867" spans="1:117">
      <c r="A5867" s="947" t="s">
        <v>2908</v>
      </c>
      <c r="B5867" s="47" t="s">
        <v>1684</v>
      </c>
      <c r="C5867" s="260" t="s">
        <v>78</v>
      </c>
      <c r="D5867" s="905">
        <v>14</v>
      </c>
      <c r="E5867" s="906">
        <v>2</v>
      </c>
      <c r="F5867" s="50">
        <f>E5867*D5867</f>
        <v>28</v>
      </c>
      <c r="G5867" s="891">
        <v>1.02</v>
      </c>
    </row>
    <row r="5868" spans="1:117">
      <c r="A5868" s="947" t="s">
        <v>2908</v>
      </c>
      <c r="B5868" s="47"/>
      <c r="C5868" s="260" t="s">
        <v>1993</v>
      </c>
      <c r="D5868" s="905"/>
      <c r="E5868" s="906"/>
      <c r="F5868" s="894">
        <v>1</v>
      </c>
      <c r="G5868" s="891">
        <v>12</v>
      </c>
    </row>
    <row r="5871" spans="1:117">
      <c r="A5871" s="902" t="s">
        <v>106</v>
      </c>
      <c r="B5871" s="902" t="s">
        <v>52</v>
      </c>
      <c r="C5871" s="902" t="s">
        <v>1710</v>
      </c>
      <c r="D5871" s="887" t="s">
        <v>1186</v>
      </c>
      <c r="E5871" s="887" t="s">
        <v>1652</v>
      </c>
      <c r="F5871" s="887" t="s">
        <v>1653</v>
      </c>
    </row>
    <row r="5872" spans="1:117">
      <c r="A5872" s="47" t="s">
        <v>18</v>
      </c>
      <c r="B5872" s="260">
        <v>30</v>
      </c>
      <c r="C5872" s="47" t="s">
        <v>137</v>
      </c>
      <c r="D5872" s="903">
        <v>30</v>
      </c>
      <c r="E5872" s="904">
        <v>16</v>
      </c>
      <c r="F5872" s="905">
        <f>D5872*E5872</f>
        <v>480</v>
      </c>
    </row>
    <row r="5875" spans="1:8" s="888" customFormat="1" ht="12.75">
      <c r="A5875" s="902" t="s">
        <v>105</v>
      </c>
      <c r="B5875" s="902" t="s">
        <v>106</v>
      </c>
      <c r="C5875" s="902" t="s">
        <v>52</v>
      </c>
      <c r="D5875" s="902" t="s">
        <v>1710</v>
      </c>
      <c r="E5875" s="887" t="s">
        <v>1186</v>
      </c>
      <c r="F5875" s="887" t="s">
        <v>1652</v>
      </c>
      <c r="G5875" s="887" t="s">
        <v>1653</v>
      </c>
      <c r="H5875" s="887" t="s">
        <v>1825</v>
      </c>
    </row>
    <row r="5876" spans="1:8" s="888" customFormat="1" ht="12.75">
      <c r="A5876" s="947" t="s">
        <v>2927</v>
      </c>
      <c r="B5876" s="47" t="s">
        <v>18</v>
      </c>
      <c r="C5876" s="260">
        <v>30</v>
      </c>
      <c r="D5876" s="47" t="s">
        <v>137</v>
      </c>
      <c r="E5876" s="903">
        <v>30</v>
      </c>
      <c r="F5876" s="904">
        <v>16</v>
      </c>
      <c r="G5876" s="50">
        <f>E5876*F5876</f>
        <v>480</v>
      </c>
      <c r="H5876" s="891">
        <v>4.26</v>
      </c>
    </row>
    <row r="5877" spans="1:8" s="888" customFormat="1" ht="12"/>
    <row r="5878" spans="1:8" s="888" customFormat="1" ht="12"/>
    <row r="5879" spans="1:8" s="888" customFormat="1" ht="12.75">
      <c r="A5879" s="902" t="s">
        <v>105</v>
      </c>
      <c r="B5879" s="902" t="s">
        <v>106</v>
      </c>
      <c r="C5879" s="902" t="s">
        <v>1710</v>
      </c>
      <c r="D5879" s="887" t="s">
        <v>1186</v>
      </c>
      <c r="E5879" s="887" t="s">
        <v>1652</v>
      </c>
      <c r="F5879" s="887" t="s">
        <v>1653</v>
      </c>
      <c r="G5879" s="887" t="s">
        <v>1825</v>
      </c>
    </row>
    <row r="5880" spans="1:8" s="888" customFormat="1" ht="12.75">
      <c r="A5880" s="947" t="s">
        <v>2923</v>
      </c>
      <c r="B5880" s="47" t="s">
        <v>2925</v>
      </c>
      <c r="C5880" s="47" t="s">
        <v>2926</v>
      </c>
      <c r="D5880" s="905">
        <v>50</v>
      </c>
      <c r="E5880" s="906">
        <v>4</v>
      </c>
      <c r="F5880" s="905">
        <f>E5880*D5880</f>
        <v>200</v>
      </c>
      <c r="G5880" s="891">
        <v>15.28</v>
      </c>
    </row>
    <row r="5883" spans="1:8" ht="15">
      <c r="A5883" s="902" t="s">
        <v>106</v>
      </c>
      <c r="B5883" s="902" t="s">
        <v>1710</v>
      </c>
      <c r="C5883" s="887" t="s">
        <v>1652</v>
      </c>
      <c r="D5883" s="1086" t="s">
        <v>2939</v>
      </c>
      <c r="E5883" s="151"/>
      <c r="F5883" s="152"/>
    </row>
    <row r="5884" spans="1:8" ht="15">
      <c r="A5884" s="47" t="s">
        <v>536</v>
      </c>
      <c r="B5884" s="908" t="s">
        <v>2228</v>
      </c>
      <c r="C5884" s="905">
        <v>200</v>
      </c>
      <c r="D5884" s="39"/>
      <c r="E5884" s="67">
        <v>50</v>
      </c>
      <c r="F5884" s="68">
        <v>4</v>
      </c>
    </row>
    <row r="5885" spans="1:8" ht="15">
      <c r="A5885" s="47" t="s">
        <v>536</v>
      </c>
      <c r="B5885" s="908" t="s">
        <v>2931</v>
      </c>
      <c r="C5885" s="905">
        <v>150</v>
      </c>
      <c r="D5885" s="39"/>
      <c r="E5885" s="67">
        <v>50</v>
      </c>
      <c r="F5885" s="68">
        <v>3</v>
      </c>
    </row>
    <row r="5886" spans="1:8" ht="15">
      <c r="A5886" s="47" t="s">
        <v>536</v>
      </c>
      <c r="B5886" s="908" t="s">
        <v>2933</v>
      </c>
      <c r="C5886" s="905">
        <v>50</v>
      </c>
      <c r="D5886" s="39"/>
      <c r="E5886" s="872">
        <v>50</v>
      </c>
      <c r="F5886" s="68">
        <v>1</v>
      </c>
    </row>
    <row r="5887" spans="1:8" ht="15">
      <c r="A5887" s="47" t="s">
        <v>536</v>
      </c>
      <c r="B5887" s="908" t="s">
        <v>2934</v>
      </c>
      <c r="C5887" s="905">
        <v>50</v>
      </c>
      <c r="D5887" s="39" t="s">
        <v>2940</v>
      </c>
      <c r="E5887" s="872">
        <v>50</v>
      </c>
      <c r="F5887" s="68">
        <v>1</v>
      </c>
    </row>
    <row r="5888" spans="1:8" ht="15">
      <c r="A5888" s="47" t="s">
        <v>536</v>
      </c>
      <c r="B5888" s="908" t="s">
        <v>2935</v>
      </c>
      <c r="C5888" s="905">
        <v>50</v>
      </c>
      <c r="D5888" s="39" t="s">
        <v>2940</v>
      </c>
      <c r="E5888" s="872">
        <v>50</v>
      </c>
      <c r="F5888" s="68">
        <v>1</v>
      </c>
    </row>
    <row r="5889" spans="1:8" ht="15">
      <c r="A5889" s="47" t="s">
        <v>536</v>
      </c>
      <c r="B5889" s="908" t="s">
        <v>434</v>
      </c>
      <c r="C5889" s="905">
        <v>50</v>
      </c>
      <c r="D5889" s="39" t="s">
        <v>2940</v>
      </c>
      <c r="E5889" s="872">
        <v>50</v>
      </c>
      <c r="F5889" s="68">
        <v>1</v>
      </c>
    </row>
    <row r="5890" spans="1:8" ht="15">
      <c r="A5890" s="47" t="s">
        <v>536</v>
      </c>
      <c r="B5890" s="908" t="s">
        <v>2936</v>
      </c>
      <c r="C5890" s="905">
        <v>50</v>
      </c>
      <c r="D5890" s="39" t="s">
        <v>2940</v>
      </c>
      <c r="E5890" s="872">
        <v>50</v>
      </c>
      <c r="F5890" s="68">
        <v>1</v>
      </c>
    </row>
    <row r="5891" spans="1:8" ht="15">
      <c r="A5891" s="47" t="s">
        <v>536</v>
      </c>
      <c r="B5891" s="908" t="s">
        <v>2937</v>
      </c>
      <c r="C5891" s="905">
        <v>50</v>
      </c>
      <c r="D5891" s="1086" t="s">
        <v>2941</v>
      </c>
      <c r="E5891" s="872">
        <v>50</v>
      </c>
      <c r="F5891" s="68">
        <v>1</v>
      </c>
    </row>
    <row r="5895" spans="1:8" s="888" customFormat="1" ht="12.75">
      <c r="A5895" s="902" t="s">
        <v>106</v>
      </c>
      <c r="B5895" s="902" t="s">
        <v>106</v>
      </c>
      <c r="C5895" s="902" t="s">
        <v>1710</v>
      </c>
      <c r="D5895" s="887" t="s">
        <v>1186</v>
      </c>
      <c r="E5895" s="887" t="s">
        <v>1652</v>
      </c>
      <c r="F5895" s="887" t="s">
        <v>1653</v>
      </c>
      <c r="G5895" s="887" t="s">
        <v>1825</v>
      </c>
      <c r="H5895" s="887" t="s">
        <v>2683</v>
      </c>
    </row>
    <row r="5896" spans="1:8" s="888" customFormat="1" ht="12.75">
      <c r="A5896" s="947" t="s">
        <v>2930</v>
      </c>
      <c r="B5896" s="47" t="s">
        <v>536</v>
      </c>
      <c r="C5896" s="908" t="s">
        <v>2228</v>
      </c>
      <c r="D5896" s="50">
        <v>50</v>
      </c>
      <c r="E5896" s="911">
        <v>4</v>
      </c>
      <c r="F5896" s="905">
        <v>200</v>
      </c>
      <c r="G5896" s="51">
        <v>5</v>
      </c>
      <c r="H5896" s="39" t="s">
        <v>2955</v>
      </c>
    </row>
    <row r="5897" spans="1:8" s="888" customFormat="1" ht="12.75">
      <c r="A5897" s="947" t="s">
        <v>2930</v>
      </c>
      <c r="B5897" s="47" t="s">
        <v>536</v>
      </c>
      <c r="C5897" s="908" t="s">
        <v>2931</v>
      </c>
      <c r="D5897" s="50">
        <v>50</v>
      </c>
      <c r="E5897" s="911">
        <v>3</v>
      </c>
      <c r="F5897" s="905">
        <v>150</v>
      </c>
      <c r="G5897" s="51">
        <v>5</v>
      </c>
      <c r="H5897" s="1088" t="s">
        <v>2956</v>
      </c>
    </row>
    <row r="5898" spans="1:8" s="888" customFormat="1" ht="12.75">
      <c r="A5898" s="947" t="s">
        <v>2932</v>
      </c>
      <c r="B5898" s="47" t="s">
        <v>536</v>
      </c>
      <c r="C5898" s="908" t="s">
        <v>2933</v>
      </c>
      <c r="D5898" s="1087">
        <v>50</v>
      </c>
      <c r="E5898" s="911">
        <v>1</v>
      </c>
      <c r="F5898" s="905">
        <v>50</v>
      </c>
      <c r="G5898" s="51">
        <v>5</v>
      </c>
      <c r="H5898" s="39" t="s">
        <v>2955</v>
      </c>
    </row>
    <row r="5899" spans="1:8" s="888" customFormat="1" ht="12.75">
      <c r="A5899" s="947" t="s">
        <v>2932</v>
      </c>
      <c r="B5899" s="47" t="s">
        <v>536</v>
      </c>
      <c r="C5899" s="908" t="s">
        <v>2934</v>
      </c>
      <c r="D5899" s="1087">
        <v>50</v>
      </c>
      <c r="E5899" s="911">
        <v>1</v>
      </c>
      <c r="F5899" s="905">
        <v>50</v>
      </c>
      <c r="G5899" s="51">
        <v>5</v>
      </c>
      <c r="H5899" s="39" t="s">
        <v>2955</v>
      </c>
    </row>
    <row r="5900" spans="1:8" s="888" customFormat="1" ht="12.75">
      <c r="A5900" s="947" t="s">
        <v>2932</v>
      </c>
      <c r="B5900" s="47" t="s">
        <v>536</v>
      </c>
      <c r="C5900" s="908" t="s">
        <v>2935</v>
      </c>
      <c r="D5900" s="1087">
        <v>50</v>
      </c>
      <c r="E5900" s="911">
        <v>1</v>
      </c>
      <c r="F5900" s="905">
        <v>50</v>
      </c>
      <c r="G5900" s="51">
        <v>5</v>
      </c>
      <c r="H5900" s="39" t="s">
        <v>2955</v>
      </c>
    </row>
    <row r="5901" spans="1:8" s="888" customFormat="1" ht="12.75">
      <c r="A5901" s="947" t="s">
        <v>2932</v>
      </c>
      <c r="B5901" s="47" t="s">
        <v>536</v>
      </c>
      <c r="C5901" s="908" t="s">
        <v>434</v>
      </c>
      <c r="D5901" s="1087">
        <v>50</v>
      </c>
      <c r="E5901" s="911">
        <v>1</v>
      </c>
      <c r="F5901" s="905">
        <v>50</v>
      </c>
      <c r="G5901" s="51">
        <v>5</v>
      </c>
      <c r="H5901" s="39" t="s">
        <v>2955</v>
      </c>
    </row>
    <row r="5902" spans="1:8" s="888" customFormat="1" ht="12.75">
      <c r="A5902" s="947" t="s">
        <v>2932</v>
      </c>
      <c r="B5902" s="47" t="s">
        <v>536</v>
      </c>
      <c r="C5902" s="908" t="s">
        <v>2936</v>
      </c>
      <c r="D5902" s="1087">
        <v>50</v>
      </c>
      <c r="E5902" s="911">
        <v>1</v>
      </c>
      <c r="F5902" s="905">
        <v>50</v>
      </c>
      <c r="G5902" s="51">
        <v>5</v>
      </c>
      <c r="H5902" s="39" t="s">
        <v>2955</v>
      </c>
    </row>
    <row r="5903" spans="1:8" s="888" customFormat="1" ht="12.75">
      <c r="A5903" s="947" t="s">
        <v>2932</v>
      </c>
      <c r="B5903" s="47" t="s">
        <v>536</v>
      </c>
      <c r="C5903" s="908" t="s">
        <v>2937</v>
      </c>
      <c r="D5903" s="1087">
        <v>50</v>
      </c>
      <c r="E5903" s="911">
        <v>1</v>
      </c>
      <c r="F5903" s="905">
        <v>50</v>
      </c>
      <c r="G5903" s="51">
        <v>5</v>
      </c>
      <c r="H5903" s="1088" t="s">
        <v>2942</v>
      </c>
    </row>
    <row r="5904" spans="1:8" s="888" customFormat="1" ht="12"/>
    <row r="5908" spans="1:8" s="888" customFormat="1" thickBot="1">
      <c r="A5908" s="1102" t="s">
        <v>2945</v>
      </c>
      <c r="B5908" s="1100" t="s">
        <v>106</v>
      </c>
      <c r="C5908" s="1100" t="s">
        <v>52</v>
      </c>
      <c r="D5908" s="1100" t="s">
        <v>1710</v>
      </c>
      <c r="E5908" s="1101" t="s">
        <v>1186</v>
      </c>
      <c r="F5908" s="1101" t="s">
        <v>1652</v>
      </c>
      <c r="G5908" s="1101" t="s">
        <v>1653</v>
      </c>
      <c r="H5908" s="1102" t="s">
        <v>2949</v>
      </c>
    </row>
    <row r="5909" spans="1:8" s="888" customFormat="1" thickTop="1">
      <c r="A5909" s="914" t="s">
        <v>2946</v>
      </c>
      <c r="B5909" s="914" t="s">
        <v>18</v>
      </c>
      <c r="C5909" s="897">
        <v>30</v>
      </c>
      <c r="D5909" s="914" t="s">
        <v>137</v>
      </c>
      <c r="E5909" s="915">
        <v>30</v>
      </c>
      <c r="F5909" s="1096">
        <v>23</v>
      </c>
      <c r="G5909" s="1097">
        <f t="shared" ref="G5909:G5914" si="21">E5909*F5909</f>
        <v>690</v>
      </c>
      <c r="H5909" s="1098" t="s">
        <v>2950</v>
      </c>
    </row>
    <row r="5910" spans="1:8" s="888" customFormat="1" ht="12.75">
      <c r="A5910" s="47" t="s">
        <v>2946</v>
      </c>
      <c r="B5910" s="47" t="s">
        <v>18</v>
      </c>
      <c r="C5910" s="260">
        <v>30</v>
      </c>
      <c r="D5910" s="47" t="s">
        <v>2727</v>
      </c>
      <c r="E5910" s="903">
        <v>30</v>
      </c>
      <c r="F5910" s="904">
        <v>25</v>
      </c>
      <c r="G5910" s="50">
        <f t="shared" si="21"/>
        <v>750</v>
      </c>
      <c r="H5910" s="1095" t="s">
        <v>2950</v>
      </c>
    </row>
    <row r="5911" spans="1:8" s="888" customFormat="1" ht="12.75">
      <c r="A5911" s="47" t="s">
        <v>2946</v>
      </c>
      <c r="B5911" s="47" t="s">
        <v>18</v>
      </c>
      <c r="C5911" s="260">
        <v>30</v>
      </c>
      <c r="D5911" s="47" t="s">
        <v>2901</v>
      </c>
      <c r="E5911" s="903">
        <v>30</v>
      </c>
      <c r="F5911" s="904">
        <v>34</v>
      </c>
      <c r="G5911" s="50">
        <f t="shared" si="21"/>
        <v>1020</v>
      </c>
      <c r="H5911" s="1095" t="s">
        <v>2951</v>
      </c>
    </row>
    <row r="5912" spans="1:8" s="888" customFormat="1" thickBot="1">
      <c r="A5912" s="1104" t="s">
        <v>2946</v>
      </c>
      <c r="B5912" s="1104" t="s">
        <v>18</v>
      </c>
      <c r="C5912" s="1103">
        <v>30</v>
      </c>
      <c r="D5912" s="1104" t="s">
        <v>137</v>
      </c>
      <c r="E5912" s="1105">
        <v>30</v>
      </c>
      <c r="F5912" s="1106">
        <v>32</v>
      </c>
      <c r="G5912" s="1107">
        <f t="shared" si="21"/>
        <v>960</v>
      </c>
      <c r="H5912" s="1108" t="s">
        <v>2952</v>
      </c>
    </row>
    <row r="5913" spans="1:8" s="888" customFormat="1" ht="14.25" thickTop="1" thickBot="1">
      <c r="A5913" s="1110" t="s">
        <v>2947</v>
      </c>
      <c r="B5913" s="1110" t="s">
        <v>18</v>
      </c>
      <c r="C5913" s="1109">
        <v>30</v>
      </c>
      <c r="D5913" s="1110" t="s">
        <v>137</v>
      </c>
      <c r="E5913" s="1111">
        <v>30</v>
      </c>
      <c r="F5913" s="1112">
        <v>16</v>
      </c>
      <c r="G5913" s="1113">
        <f t="shared" si="21"/>
        <v>480</v>
      </c>
      <c r="H5913" s="1114" t="s">
        <v>2953</v>
      </c>
    </row>
    <row r="5914" spans="1:8" s="888" customFormat="1" thickTop="1">
      <c r="A5914" s="914" t="s">
        <v>2948</v>
      </c>
      <c r="B5914" s="1099" t="s">
        <v>18</v>
      </c>
      <c r="C5914" s="897">
        <v>30</v>
      </c>
      <c r="D5914" s="914" t="s">
        <v>137</v>
      </c>
      <c r="E5914" s="915">
        <v>30</v>
      </c>
      <c r="F5914" s="1096">
        <v>10</v>
      </c>
      <c r="G5914" s="1097">
        <f t="shared" si="21"/>
        <v>300</v>
      </c>
      <c r="H5914" s="1098" t="s">
        <v>2954</v>
      </c>
    </row>
    <row r="5915" spans="1:8" s="888" customFormat="1" ht="12.75">
      <c r="A5915" s="1089"/>
      <c r="B5915" s="1090"/>
      <c r="C5915" s="1091"/>
      <c r="D5915" s="1091"/>
      <c r="E5915" s="1092"/>
      <c r="F5915" s="1093"/>
      <c r="G5915" s="1094"/>
    </row>
    <row r="5916" spans="1:8" s="888" customFormat="1" ht="12"/>
    <row r="5917" spans="1:8" s="888" customFormat="1" ht="12"/>
    <row r="5918" spans="1:8" s="888" customFormat="1" ht="12.75">
      <c r="A5918" s="902" t="s">
        <v>106</v>
      </c>
      <c r="B5918" s="902" t="s">
        <v>52</v>
      </c>
      <c r="C5918" s="902" t="s">
        <v>1710</v>
      </c>
      <c r="D5918" s="887" t="s">
        <v>1186</v>
      </c>
      <c r="E5918" s="887" t="s">
        <v>1652</v>
      </c>
      <c r="F5918" s="887" t="s">
        <v>1653</v>
      </c>
      <c r="G5918" s="887" t="s">
        <v>1825</v>
      </c>
    </row>
    <row r="5919" spans="1:8" s="888" customFormat="1" ht="12.75">
      <c r="A5919" s="47">
        <v>1515</v>
      </c>
      <c r="B5919" s="260">
        <v>6</v>
      </c>
      <c r="C5919" s="260" t="s">
        <v>2944</v>
      </c>
      <c r="D5919" s="903">
        <v>30</v>
      </c>
      <c r="E5919" s="904">
        <v>2</v>
      </c>
      <c r="F5919" s="905">
        <f>D5919*E5919</f>
        <v>60</v>
      </c>
      <c r="G5919" s="1009">
        <v>0.15</v>
      </c>
    </row>
    <row r="5920" spans="1:8" s="888" customFormat="1" ht="12.75">
      <c r="A5920" s="47"/>
      <c r="B5920" s="893"/>
      <c r="C5920" s="260" t="s">
        <v>1993</v>
      </c>
      <c r="D5920" s="905"/>
      <c r="E5920" s="906"/>
      <c r="F5920" s="894">
        <v>1</v>
      </c>
      <c r="G5920" s="891">
        <v>12</v>
      </c>
    </row>
    <row r="5925" spans="1:118" s="888" customFormat="1" ht="12.75">
      <c r="A5925" s="902" t="s">
        <v>105</v>
      </c>
      <c r="B5925" s="902" t="s">
        <v>106</v>
      </c>
      <c r="C5925" s="902" t="s">
        <v>52</v>
      </c>
      <c r="D5925" s="902" t="s">
        <v>1710</v>
      </c>
      <c r="E5925" s="887" t="s">
        <v>1186</v>
      </c>
      <c r="F5925" s="887" t="s">
        <v>1652</v>
      </c>
      <c r="G5925" s="887" t="s">
        <v>1653</v>
      </c>
      <c r="H5925" s="887" t="s">
        <v>2962</v>
      </c>
    </row>
    <row r="5926" spans="1:118" s="888" customFormat="1" ht="12.75">
      <c r="A5926" s="947" t="s">
        <v>2960</v>
      </c>
      <c r="B5926" s="47">
        <v>5291</v>
      </c>
      <c r="C5926" s="48">
        <v>8</v>
      </c>
      <c r="D5926" s="47" t="s">
        <v>499</v>
      </c>
      <c r="E5926" s="50">
        <v>50</v>
      </c>
      <c r="F5926" s="911">
        <v>13</v>
      </c>
      <c r="G5926" s="50">
        <f>E5926*F5926</f>
        <v>650</v>
      </c>
      <c r="H5926" s="891">
        <v>0.61</v>
      </c>
    </row>
    <row r="5927" spans="1:118" s="888" customFormat="1" ht="12.75">
      <c r="A5927" s="947" t="s">
        <v>2960</v>
      </c>
      <c r="B5927" s="47">
        <v>5291</v>
      </c>
      <c r="C5927" s="48">
        <v>6</v>
      </c>
      <c r="D5927" s="47" t="s">
        <v>499</v>
      </c>
      <c r="E5927" s="50">
        <v>50</v>
      </c>
      <c r="F5927" s="911">
        <v>31</v>
      </c>
      <c r="G5927" s="50">
        <f>E5927*F5927</f>
        <v>1550</v>
      </c>
      <c r="H5927" s="891">
        <v>0.4</v>
      </c>
    </row>
    <row r="5928" spans="1:118" s="888" customFormat="1" ht="12.75">
      <c r="A5928" s="947" t="s">
        <v>2960</v>
      </c>
      <c r="B5928" s="47">
        <v>5291</v>
      </c>
      <c r="C5928" s="48">
        <v>6</v>
      </c>
      <c r="D5928" s="47" t="s">
        <v>29</v>
      </c>
      <c r="E5928" s="50">
        <v>50</v>
      </c>
      <c r="F5928" s="911">
        <v>50</v>
      </c>
      <c r="G5928" s="50">
        <f>E5928*F5928</f>
        <v>2500</v>
      </c>
      <c r="H5928" s="891">
        <v>0.4</v>
      </c>
    </row>
    <row r="5929" spans="1:118" s="888" customFormat="1" ht="12.75">
      <c r="A5929" s="1118"/>
      <c r="B5929" s="1116"/>
      <c r="C5929" s="921"/>
      <c r="D5929" s="921"/>
      <c r="E5929" s="922"/>
      <c r="F5929" s="923"/>
      <c r="G5929" s="1117"/>
      <c r="H5929" s="925"/>
    </row>
    <row r="5930" spans="1:118" s="888" customFormat="1" ht="12.75">
      <c r="A5930" s="902" t="s">
        <v>105</v>
      </c>
      <c r="B5930" s="902" t="s">
        <v>106</v>
      </c>
      <c r="C5930" s="902" t="s">
        <v>52</v>
      </c>
      <c r="D5930" s="902" t="s">
        <v>1710</v>
      </c>
      <c r="E5930" s="887" t="s">
        <v>1186</v>
      </c>
      <c r="F5930" s="887" t="s">
        <v>1652</v>
      </c>
      <c r="G5930" s="887" t="s">
        <v>1653</v>
      </c>
      <c r="H5930" s="887" t="s">
        <v>2963</v>
      </c>
    </row>
    <row r="5931" spans="1:118" s="888" customFormat="1" ht="12.75">
      <c r="A5931" s="947" t="s">
        <v>2961</v>
      </c>
      <c r="B5931" s="47" t="s">
        <v>18</v>
      </c>
      <c r="C5931" s="260">
        <v>30</v>
      </c>
      <c r="D5931" s="47" t="s">
        <v>137</v>
      </c>
      <c r="E5931" s="903">
        <v>30</v>
      </c>
      <c r="F5931" s="904">
        <v>10</v>
      </c>
      <c r="G5931" s="50">
        <f>E5931*F5931</f>
        <v>300</v>
      </c>
      <c r="H5931" s="891">
        <v>4.6100000000000003</v>
      </c>
    </row>
    <row r="5932" spans="1:118" s="888" customFormat="1" ht="12"/>
    <row r="5933" spans="1:118" s="888" customFormat="1" ht="12">
      <c r="A5933" s="888" t="s">
        <v>2966</v>
      </c>
    </row>
    <row r="5934" spans="1:118" s="694" customFormat="1" ht="25.5">
      <c r="A5934" s="933" t="s">
        <v>1369</v>
      </c>
      <c r="B5934" s="958" t="s">
        <v>377</v>
      </c>
      <c r="C5934" s="959" t="s">
        <v>2</v>
      </c>
      <c r="D5934" s="960" t="s">
        <v>1734</v>
      </c>
      <c r="E5934" s="961" t="s">
        <v>3117</v>
      </c>
      <c r="F5934" s="654"/>
    </row>
    <row r="5935" spans="1:118" s="696" customFormat="1" ht="15" customHeight="1">
      <c r="A5935" s="934" t="s">
        <v>2358</v>
      </c>
      <c r="B5935" s="48">
        <v>10</v>
      </c>
      <c r="C5935" s="980">
        <v>30</v>
      </c>
      <c r="D5935" s="52" t="s">
        <v>1812</v>
      </c>
      <c r="E5935" s="966">
        <v>0.69000000000000006</v>
      </c>
      <c r="F5935" s="1119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  <c r="Y5935" s="18"/>
      <c r="Z5935" s="18"/>
      <c r="AA5935" s="18"/>
      <c r="AB5935" s="18"/>
      <c r="AC5935" s="18"/>
      <c r="AD5935" s="18"/>
      <c r="AE5935" s="18"/>
      <c r="AF5935" s="18"/>
      <c r="AG5935" s="18"/>
      <c r="AH5935" s="18"/>
      <c r="AI5935" s="18"/>
      <c r="AJ5935" s="18"/>
      <c r="AK5935" s="18"/>
      <c r="AL5935" s="18"/>
      <c r="AM5935" s="18"/>
      <c r="AN5935" s="18"/>
      <c r="AO5935" s="18"/>
      <c r="AP5935" s="18"/>
      <c r="AQ5935" s="18"/>
      <c r="AR5935" s="18"/>
      <c r="AS5935" s="18"/>
      <c r="AT5935" s="18"/>
      <c r="AU5935" s="18"/>
      <c r="AV5935" s="18"/>
      <c r="AW5935" s="18"/>
      <c r="AX5935" s="18"/>
      <c r="AY5935" s="18"/>
      <c r="AZ5935" s="18"/>
      <c r="BA5935" s="18"/>
      <c r="BB5935" s="18"/>
      <c r="BC5935" s="18"/>
      <c r="BD5935" s="18"/>
      <c r="BE5935" s="18"/>
      <c r="BF5935" s="18"/>
      <c r="BG5935" s="18"/>
      <c r="BH5935" s="18"/>
      <c r="BI5935" s="18"/>
      <c r="BJ5935" s="18"/>
      <c r="BK5935" s="18"/>
      <c r="BL5935" s="18"/>
      <c r="BM5935" s="18"/>
      <c r="BN5935" s="18"/>
      <c r="BO5935" s="18"/>
      <c r="BP5935" s="18"/>
      <c r="BQ5935" s="18"/>
      <c r="BR5935" s="18"/>
      <c r="BS5935" s="18"/>
      <c r="BT5935" s="18"/>
      <c r="BU5935" s="18"/>
      <c r="BV5935" s="18"/>
      <c r="BW5935" s="18"/>
      <c r="BX5935" s="18"/>
      <c r="BY5935" s="18"/>
      <c r="BZ5935" s="18"/>
      <c r="CA5935" s="18"/>
      <c r="CB5935" s="18"/>
      <c r="CC5935" s="18"/>
      <c r="CD5935" s="18"/>
      <c r="CE5935" s="18"/>
      <c r="CF5935" s="18"/>
      <c r="CG5935" s="18"/>
      <c r="CH5935" s="18"/>
      <c r="CI5935" s="18"/>
      <c r="CJ5935" s="18"/>
      <c r="CK5935" s="18"/>
      <c r="CL5935" s="18"/>
      <c r="CM5935" s="18"/>
      <c r="CN5935" s="18"/>
      <c r="CO5935" s="18"/>
      <c r="CP5935" s="18"/>
      <c r="CQ5935" s="18"/>
      <c r="CR5935" s="18"/>
      <c r="CS5935" s="18"/>
      <c r="CT5935" s="18"/>
      <c r="CU5935" s="18"/>
      <c r="CV5935" s="18"/>
      <c r="CW5935" s="18"/>
      <c r="CX5935" s="18"/>
      <c r="CY5935" s="18"/>
      <c r="CZ5935" s="18"/>
      <c r="DA5935" s="18"/>
      <c r="DB5935" s="18"/>
      <c r="DC5935" s="18"/>
      <c r="DD5935" s="18"/>
      <c r="DE5935" s="18"/>
      <c r="DF5935" s="18"/>
      <c r="DG5935" s="18"/>
      <c r="DH5935" s="18"/>
      <c r="DI5935" s="18"/>
      <c r="DJ5935" s="18"/>
      <c r="DK5935" s="18"/>
      <c r="DL5935" s="18"/>
      <c r="DM5935" s="18"/>
      <c r="DN5935" s="18"/>
    </row>
    <row r="5939" spans="1:4">
      <c r="A5939" s="902" t="s">
        <v>106</v>
      </c>
      <c r="B5939" s="902" t="s">
        <v>1710</v>
      </c>
      <c r="C5939" s="887" t="s">
        <v>1653</v>
      </c>
      <c r="D5939" s="887" t="s">
        <v>1825</v>
      </c>
    </row>
    <row r="5940" spans="1:4">
      <c r="A5940" s="47">
        <v>5081</v>
      </c>
      <c r="B5940" s="47" t="s">
        <v>207</v>
      </c>
      <c r="C5940" s="905">
        <v>15</v>
      </c>
      <c r="D5940" s="891">
        <v>10</v>
      </c>
    </row>
    <row r="5941" spans="1:4">
      <c r="A5941" s="47">
        <v>5081</v>
      </c>
      <c r="B5941" s="47" t="s">
        <v>1901</v>
      </c>
      <c r="C5941" s="905">
        <v>12</v>
      </c>
      <c r="D5941" s="891">
        <v>10</v>
      </c>
    </row>
    <row r="5942" spans="1:4">
      <c r="A5942" s="47">
        <v>5081</v>
      </c>
      <c r="B5942" s="47" t="s">
        <v>437</v>
      </c>
      <c r="C5942" s="905">
        <v>12</v>
      </c>
      <c r="D5942" s="891">
        <v>10</v>
      </c>
    </row>
    <row r="5943" spans="1:4">
      <c r="A5943" s="47">
        <v>5081</v>
      </c>
      <c r="B5943" s="47" t="s">
        <v>2965</v>
      </c>
      <c r="C5943" s="905">
        <v>12</v>
      </c>
      <c r="D5943" s="891">
        <v>10</v>
      </c>
    </row>
    <row r="5944" spans="1:4">
      <c r="A5944" s="47">
        <v>5081</v>
      </c>
      <c r="B5944" s="47" t="s">
        <v>2967</v>
      </c>
      <c r="C5944" s="905">
        <v>12</v>
      </c>
      <c r="D5944" s="891">
        <v>10</v>
      </c>
    </row>
    <row r="5945" spans="1:4">
      <c r="A5945" s="47"/>
      <c r="B5945" s="260" t="s">
        <v>1075</v>
      </c>
      <c r="C5945" s="894">
        <v>5</v>
      </c>
      <c r="D5945" s="891">
        <v>12</v>
      </c>
    </row>
    <row r="5946" spans="1:4">
      <c r="A5946" s="47"/>
      <c r="B5946" s="260" t="s">
        <v>1993</v>
      </c>
      <c r="C5946" s="894">
        <v>1</v>
      </c>
      <c r="D5946" s="891">
        <v>20</v>
      </c>
    </row>
    <row r="5950" spans="1:4" ht="14.25" thickBot="1">
      <c r="A5950" s="629"/>
    </row>
    <row r="5951" spans="1:4" ht="14.25" thickBot="1">
      <c r="A5951" s="1120" t="s">
        <v>455</v>
      </c>
      <c r="B5951" s="1121" t="s">
        <v>1710</v>
      </c>
      <c r="C5951" s="1121" t="s">
        <v>1653</v>
      </c>
      <c r="D5951" s="1121" t="s">
        <v>2968</v>
      </c>
    </row>
    <row r="5952" spans="1:4" ht="14.25" thickBot="1">
      <c r="A5952" s="1122">
        <v>5081</v>
      </c>
      <c r="B5952" s="1123" t="s">
        <v>328</v>
      </c>
      <c r="C5952" s="1124" t="s">
        <v>2969</v>
      </c>
      <c r="D5952" s="1125">
        <v>10</v>
      </c>
    </row>
    <row r="5953" spans="1:4" ht="14.25" thickBot="1">
      <c r="A5953" s="1122">
        <v>5081</v>
      </c>
      <c r="B5953" s="1123" t="s">
        <v>2970</v>
      </c>
      <c r="C5953" s="1124" t="s">
        <v>2971</v>
      </c>
      <c r="D5953" s="1125">
        <v>10</v>
      </c>
    </row>
    <row r="5954" spans="1:4" ht="14.25" thickBot="1">
      <c r="A5954" s="1122">
        <v>5081</v>
      </c>
      <c r="B5954" s="1123" t="s">
        <v>478</v>
      </c>
      <c r="C5954" s="1124" t="s">
        <v>2971</v>
      </c>
      <c r="D5954" s="1125">
        <v>10</v>
      </c>
    </row>
    <row r="5955" spans="1:4" ht="14.25" thickBot="1">
      <c r="A5955" s="1122">
        <v>5081</v>
      </c>
      <c r="B5955" s="1123" t="s">
        <v>2972</v>
      </c>
      <c r="C5955" s="1124" t="s">
        <v>2971</v>
      </c>
      <c r="D5955" s="1125">
        <v>10</v>
      </c>
    </row>
    <row r="5956" spans="1:4" ht="14.25" thickBot="1">
      <c r="A5956" s="1122">
        <v>5081</v>
      </c>
      <c r="B5956" s="1123" t="s">
        <v>2976</v>
      </c>
      <c r="C5956" s="1124" t="s">
        <v>2971</v>
      </c>
      <c r="D5956" s="1125">
        <v>10</v>
      </c>
    </row>
    <row r="5957" spans="1:4" ht="14.25" thickBot="1">
      <c r="A5957" s="1122">
        <v>5081</v>
      </c>
      <c r="B5957" s="1123" t="s">
        <v>116</v>
      </c>
      <c r="C5957" s="1124" t="s">
        <v>2971</v>
      </c>
      <c r="D5957" s="1125"/>
    </row>
    <row r="5958" spans="1:4" ht="14.25" thickBot="1">
      <c r="A5958" s="1126"/>
      <c r="B5958" s="1123" t="s">
        <v>2973</v>
      </c>
      <c r="C5958" s="1124" t="s">
        <v>2974</v>
      </c>
      <c r="D5958" s="1125">
        <v>60</v>
      </c>
    </row>
    <row r="5959" spans="1:4" ht="14.25" thickBot="1">
      <c r="A5959" s="1126"/>
      <c r="B5959" s="1123" t="s">
        <v>2975</v>
      </c>
      <c r="C5959" s="1124" t="s">
        <v>482</v>
      </c>
      <c r="D5959" s="1125">
        <v>20</v>
      </c>
    </row>
    <row r="5960" spans="1:4">
      <c r="A5960" s="629"/>
    </row>
    <row r="5962" spans="1:4" ht="14.25" thickBot="1"/>
    <row r="5963" spans="1:4" ht="14.25" thickBot="1">
      <c r="A5963" s="1120" t="s">
        <v>455</v>
      </c>
      <c r="B5963" s="1121" t="s">
        <v>1710</v>
      </c>
      <c r="C5963" s="1121" t="s">
        <v>1653</v>
      </c>
    </row>
    <row r="5964" spans="1:4" ht="14.25" thickBot="1">
      <c r="A5964" s="1122">
        <v>5081</v>
      </c>
      <c r="B5964" s="1123" t="s">
        <v>328</v>
      </c>
      <c r="C5964" s="1124" t="s">
        <v>2969</v>
      </c>
    </row>
    <row r="5965" spans="1:4" ht="14.25" thickBot="1">
      <c r="A5965" s="1122">
        <v>5081</v>
      </c>
      <c r="B5965" s="1123" t="s">
        <v>2970</v>
      </c>
      <c r="C5965" s="1124" t="s">
        <v>2971</v>
      </c>
    </row>
    <row r="5966" spans="1:4" ht="14.25" thickBot="1">
      <c r="A5966" s="1122">
        <v>5081</v>
      </c>
      <c r="B5966" s="1123" t="s">
        <v>478</v>
      </c>
      <c r="C5966" s="1124" t="s">
        <v>2971</v>
      </c>
    </row>
    <row r="5967" spans="1:4" ht="14.25" thickBot="1">
      <c r="A5967" s="1122">
        <v>5081</v>
      </c>
      <c r="B5967" s="1123" t="s">
        <v>2972</v>
      </c>
      <c r="C5967" s="1124" t="s">
        <v>2971</v>
      </c>
    </row>
    <row r="5968" spans="1:4" ht="14.25" thickBot="1">
      <c r="A5968" s="1122">
        <v>5081</v>
      </c>
      <c r="B5968" s="1123" t="s">
        <v>2976</v>
      </c>
      <c r="C5968" s="1124" t="s">
        <v>2971</v>
      </c>
    </row>
    <row r="5969" spans="1:5" ht="14.25" thickBot="1">
      <c r="A5969" s="1122">
        <v>5081</v>
      </c>
      <c r="B5969" s="1123" t="s">
        <v>116</v>
      </c>
      <c r="C5969" s="1124" t="s">
        <v>2971</v>
      </c>
    </row>
    <row r="5970" spans="1:5" ht="14.25" thickBot="1">
      <c r="A5970" s="1122" t="s">
        <v>2977</v>
      </c>
      <c r="B5970" s="1123" t="s">
        <v>334</v>
      </c>
      <c r="C5970" s="1124" t="s">
        <v>2978</v>
      </c>
    </row>
    <row r="5973" spans="1:5">
      <c r="A5973" s="902" t="s">
        <v>106</v>
      </c>
      <c r="B5973" s="902" t="s">
        <v>52</v>
      </c>
      <c r="C5973" s="902" t="s">
        <v>1710</v>
      </c>
      <c r="D5973" s="902" t="s">
        <v>54</v>
      </c>
      <c r="E5973" s="887" t="s">
        <v>1825</v>
      </c>
    </row>
    <row r="5974" spans="1:5">
      <c r="A5974" s="47">
        <v>5081</v>
      </c>
      <c r="B5974" s="907">
        <v>140</v>
      </c>
      <c r="C5974" s="47" t="s">
        <v>207</v>
      </c>
      <c r="D5974" s="905">
        <v>20</v>
      </c>
      <c r="E5974" s="891">
        <v>10</v>
      </c>
    </row>
    <row r="5975" spans="1:5">
      <c r="A5975" s="47">
        <v>5081</v>
      </c>
      <c r="B5975" s="907">
        <v>140</v>
      </c>
      <c r="C5975" s="47" t="s">
        <v>1901</v>
      </c>
      <c r="D5975" s="905">
        <v>12</v>
      </c>
      <c r="E5975" s="891">
        <v>10</v>
      </c>
    </row>
    <row r="5976" spans="1:5">
      <c r="A5976" s="47">
        <v>5081</v>
      </c>
      <c r="B5976" s="907">
        <v>140</v>
      </c>
      <c r="C5976" s="47" t="s">
        <v>437</v>
      </c>
      <c r="D5976" s="905">
        <v>12</v>
      </c>
      <c r="E5976" s="891">
        <v>10</v>
      </c>
    </row>
    <row r="5977" spans="1:5">
      <c r="A5977" s="47">
        <v>5081</v>
      </c>
      <c r="B5977" s="907">
        <v>140</v>
      </c>
      <c r="C5977" s="47" t="s">
        <v>2965</v>
      </c>
      <c r="D5977" s="905">
        <v>12</v>
      </c>
      <c r="E5977" s="891">
        <v>10</v>
      </c>
    </row>
    <row r="5978" spans="1:5">
      <c r="A5978" s="47">
        <v>5081</v>
      </c>
      <c r="B5978" s="907">
        <v>140</v>
      </c>
      <c r="C5978" s="47" t="s">
        <v>116</v>
      </c>
      <c r="D5978" s="905">
        <v>12</v>
      </c>
      <c r="E5978" s="891">
        <v>10</v>
      </c>
    </row>
    <row r="5979" spans="1:5">
      <c r="A5979" s="47"/>
      <c r="B5979" s="907"/>
      <c r="C5979" s="47"/>
      <c r="D5979" s="903"/>
      <c r="E5979" s="52"/>
    </row>
    <row r="5980" spans="1:5">
      <c r="A5980" s="47" t="s">
        <v>2981</v>
      </c>
      <c r="B5980" s="907">
        <v>150</v>
      </c>
      <c r="C5980" s="260" t="s">
        <v>334</v>
      </c>
      <c r="D5980" s="905">
        <v>1</v>
      </c>
      <c r="E5980" s="891">
        <v>7.09</v>
      </c>
    </row>
    <row r="5981" spans="1:5">
      <c r="A5981" s="47"/>
      <c r="B5981" s="893"/>
      <c r="C5981" s="260" t="s">
        <v>1075</v>
      </c>
      <c r="D5981" s="894" t="s">
        <v>2980</v>
      </c>
      <c r="E5981" s="891">
        <v>72</v>
      </c>
    </row>
    <row r="5982" spans="1:5">
      <c r="A5982" s="47"/>
      <c r="B5982" s="893"/>
      <c r="C5982" s="260" t="s">
        <v>1993</v>
      </c>
      <c r="D5982" s="894">
        <v>1</v>
      </c>
      <c r="E5982" s="891">
        <v>20</v>
      </c>
    </row>
    <row r="5985" spans="1:8">
      <c r="A5985" s="902" t="s">
        <v>105</v>
      </c>
      <c r="B5985" s="902" t="s">
        <v>106</v>
      </c>
      <c r="C5985" s="902" t="s">
        <v>52</v>
      </c>
      <c r="D5985" s="902" t="s">
        <v>1710</v>
      </c>
      <c r="E5985" s="887" t="s">
        <v>1186</v>
      </c>
      <c r="F5985" s="887" t="s">
        <v>1652</v>
      </c>
      <c r="G5985" s="887" t="s">
        <v>1653</v>
      </c>
      <c r="H5985" s="887" t="s">
        <v>1825</v>
      </c>
    </row>
    <row r="5986" spans="1:8">
      <c r="A5986" s="947" t="s">
        <v>2984</v>
      </c>
      <c r="B5986" s="47">
        <v>14552</v>
      </c>
      <c r="C5986" s="48">
        <v>10</v>
      </c>
      <c r="D5986" s="47" t="s">
        <v>2212</v>
      </c>
      <c r="E5986" s="903">
        <v>30</v>
      </c>
      <c r="F5986" s="904">
        <v>22</v>
      </c>
      <c r="G5986" s="50">
        <f>E5986*F5986</f>
        <v>660</v>
      </c>
      <c r="H5986" s="51">
        <v>0.69</v>
      </c>
    </row>
    <row r="5987" spans="1:8">
      <c r="A5987" s="947" t="s">
        <v>2984</v>
      </c>
      <c r="B5987" s="47"/>
      <c r="C5987" s="893"/>
      <c r="D5987" s="260" t="s">
        <v>1993</v>
      </c>
      <c r="E5987" s="905"/>
      <c r="F5987" s="906"/>
      <c r="G5987" s="894">
        <v>1</v>
      </c>
      <c r="H5987" s="891">
        <v>12</v>
      </c>
    </row>
    <row r="5991" spans="1:8">
      <c r="A5991" s="902" t="s">
        <v>105</v>
      </c>
      <c r="B5991" s="902" t="s">
        <v>106</v>
      </c>
      <c r="C5991" s="902" t="s">
        <v>52</v>
      </c>
      <c r="D5991" s="902" t="s">
        <v>1710</v>
      </c>
      <c r="E5991" s="887" t="s">
        <v>1186</v>
      </c>
      <c r="F5991" s="887" t="s">
        <v>1652</v>
      </c>
      <c r="G5991" s="887" t="s">
        <v>1653</v>
      </c>
      <c r="H5991" s="887" t="s">
        <v>1825</v>
      </c>
    </row>
    <row r="5992" spans="1:8">
      <c r="A5992" s="4" t="s">
        <v>2982</v>
      </c>
      <c r="B5992" s="47">
        <v>12701</v>
      </c>
      <c r="C5992" s="48">
        <v>6</v>
      </c>
      <c r="D5992" s="47" t="s">
        <v>294</v>
      </c>
      <c r="E5992" s="50">
        <v>10</v>
      </c>
      <c r="F5992" s="911">
        <v>4</v>
      </c>
      <c r="G5992" s="905">
        <f>E5992*F5992</f>
        <v>40</v>
      </c>
      <c r="H5992" s="51">
        <v>0.7</v>
      </c>
    </row>
    <row r="5993" spans="1:8">
      <c r="A5993" s="4" t="s">
        <v>2982</v>
      </c>
      <c r="B5993" s="47"/>
      <c r="C5993" s="893"/>
      <c r="D5993" s="260" t="s">
        <v>1993</v>
      </c>
      <c r="E5993" s="905"/>
      <c r="F5993" s="906"/>
      <c r="G5993" s="894">
        <v>1</v>
      </c>
      <c r="H5993" s="891">
        <v>12</v>
      </c>
    </row>
    <row r="5997" spans="1:8">
      <c r="A5997" s="902" t="s">
        <v>2839</v>
      </c>
      <c r="B5997" s="902" t="s">
        <v>2840</v>
      </c>
    </row>
    <row r="5998" spans="1:8">
      <c r="A5998" s="47" t="s">
        <v>2985</v>
      </c>
      <c r="B5998" s="990">
        <v>99</v>
      </c>
    </row>
    <row r="5999" spans="1:8">
      <c r="A5999" s="47" t="s">
        <v>2986</v>
      </c>
      <c r="B5999" s="990">
        <v>2016.5</v>
      </c>
    </row>
    <row r="6000" spans="1:8">
      <c r="A6000" s="47" t="s">
        <v>2987</v>
      </c>
      <c r="B6000" s="990">
        <v>1383</v>
      </c>
    </row>
    <row r="6001" spans="1:6">
      <c r="A6001" s="1050" t="s">
        <v>2843</v>
      </c>
      <c r="B6001" s="1049">
        <f>SUM(B5998:B6000)</f>
        <v>3498.5</v>
      </c>
    </row>
    <row r="6004" spans="1:6" ht="15.75">
      <c r="A6004" s="416" t="s">
        <v>2992</v>
      </c>
      <c r="B6004" s="416" t="s">
        <v>245</v>
      </c>
      <c r="C6004" s="416" t="s">
        <v>2163</v>
      </c>
      <c r="D6004" s="660" t="s">
        <v>1055</v>
      </c>
    </row>
    <row r="6005" spans="1:6" s="888" customFormat="1" ht="12.75">
      <c r="A6005" s="887" t="s">
        <v>455</v>
      </c>
      <c r="B6005" s="968"/>
      <c r="C6005" s="968"/>
      <c r="D6005" s="1128" t="s">
        <v>1055</v>
      </c>
      <c r="E6005" s="1128" t="s">
        <v>980</v>
      </c>
      <c r="F6005" s="1128" t="s">
        <v>2213</v>
      </c>
    </row>
    <row r="6006" spans="1:6" s="888" customFormat="1" ht="12.75">
      <c r="A6006" s="909" t="s">
        <v>2988</v>
      </c>
      <c r="B6006" s="1129">
        <v>1350</v>
      </c>
      <c r="C6006" s="1129">
        <f>B6006+20</f>
        <v>1370</v>
      </c>
      <c r="D6006" s="891">
        <f>ROUNDUP(C6006/0.8/120,2)</f>
        <v>14.28</v>
      </c>
      <c r="E6006" s="2874" t="s">
        <v>2993</v>
      </c>
      <c r="F6006" s="950" t="s">
        <v>2219</v>
      </c>
    </row>
    <row r="6007" spans="1:6" s="888" customFormat="1" ht="12.75">
      <c r="A6007" s="909" t="s">
        <v>2989</v>
      </c>
      <c r="B6007" s="1129">
        <v>1760</v>
      </c>
      <c r="C6007" s="1129">
        <f>B6007+20</f>
        <v>1780</v>
      </c>
      <c r="D6007" s="891">
        <f>ROUNDUP(C6007/0.8/120,2)</f>
        <v>18.55</v>
      </c>
      <c r="E6007" s="2875"/>
      <c r="F6007" s="950" t="s">
        <v>2219</v>
      </c>
    </row>
    <row r="6008" spans="1:6" s="888" customFormat="1" thickBot="1">
      <c r="A6008" s="1130" t="s">
        <v>2990</v>
      </c>
      <c r="B6008" s="1131">
        <v>1880</v>
      </c>
      <c r="C6008" s="1131">
        <f>B6008+20</f>
        <v>1900</v>
      </c>
      <c r="D6008" s="1132">
        <f>ROUNDUP(C6008/0.8/120,2)</f>
        <v>19.8</v>
      </c>
      <c r="E6008" s="2875"/>
      <c r="F6008" s="1133" t="s">
        <v>2219</v>
      </c>
    </row>
    <row r="6009" spans="1:6" s="888" customFormat="1" ht="47.25" customHeight="1">
      <c r="A6009" s="1134" t="s">
        <v>2991</v>
      </c>
      <c r="B6009" s="1135">
        <v>2500</v>
      </c>
      <c r="C6009" s="1135">
        <f>B6009+20</f>
        <v>2520</v>
      </c>
      <c r="D6009" s="1136">
        <f>ROUNDUP(C6009/0.8/120,2)</f>
        <v>26.25</v>
      </c>
      <c r="E6009" s="1138" t="s">
        <v>2994</v>
      </c>
      <c r="F6009" s="1137" t="s">
        <v>2218</v>
      </c>
    </row>
    <row r="6010" spans="1:6" s="888" customFormat="1" ht="12"/>
    <row r="6013" spans="1:6" s="888" customFormat="1" ht="12.75">
      <c r="A6013" s="902" t="s">
        <v>105</v>
      </c>
      <c r="B6013" s="902" t="s">
        <v>106</v>
      </c>
      <c r="C6013" s="902" t="s">
        <v>1710</v>
      </c>
      <c r="D6013" s="887" t="s">
        <v>1653</v>
      </c>
      <c r="E6013" s="1128" t="s">
        <v>1055</v>
      </c>
    </row>
    <row r="6014" spans="1:6" s="888" customFormat="1" ht="12.75">
      <c r="A6014" s="947" t="s">
        <v>2995</v>
      </c>
      <c r="B6014" s="47" t="s">
        <v>2989</v>
      </c>
      <c r="C6014" s="47" t="s">
        <v>2997</v>
      </c>
      <c r="D6014" s="50">
        <v>5</v>
      </c>
      <c r="E6014" s="891">
        <v>18.55</v>
      </c>
    </row>
    <row r="6015" spans="1:6" s="888" customFormat="1" ht="12.75">
      <c r="A6015" s="947" t="s">
        <v>2995</v>
      </c>
      <c r="B6015" s="47"/>
      <c r="C6015" s="260" t="s">
        <v>1075</v>
      </c>
      <c r="D6015" s="894">
        <v>1</v>
      </c>
      <c r="E6015" s="891">
        <v>25</v>
      </c>
    </row>
    <row r="6016" spans="1:6" s="888" customFormat="1" ht="12.75">
      <c r="A6016" s="947" t="s">
        <v>2995</v>
      </c>
      <c r="B6016" s="47"/>
      <c r="C6016" s="260" t="s">
        <v>1993</v>
      </c>
      <c r="D6016" s="894">
        <v>1</v>
      </c>
      <c r="E6016" s="891">
        <v>12</v>
      </c>
    </row>
    <row r="6017" spans="1:7" s="888" customFormat="1" ht="12"/>
    <row r="6020" spans="1:7">
      <c r="A6020" s="902" t="s">
        <v>106</v>
      </c>
      <c r="B6020" s="902" t="s">
        <v>52</v>
      </c>
      <c r="C6020" s="902" t="s">
        <v>1710</v>
      </c>
      <c r="D6020" s="887" t="s">
        <v>1186</v>
      </c>
      <c r="E6020" s="887" t="s">
        <v>1652</v>
      </c>
      <c r="F6020" s="887" t="s">
        <v>1653</v>
      </c>
      <c r="G6020" s="887" t="s">
        <v>1825</v>
      </c>
    </row>
    <row r="6021" spans="1:7">
      <c r="A6021" s="47" t="s">
        <v>1264</v>
      </c>
      <c r="B6021" s="48" t="s">
        <v>19</v>
      </c>
      <c r="C6021" s="47" t="s">
        <v>2998</v>
      </c>
      <c r="D6021" s="905">
        <v>25</v>
      </c>
      <c r="E6021" s="906">
        <v>2</v>
      </c>
      <c r="F6021" s="905">
        <f>D6021*E6021</f>
        <v>50</v>
      </c>
      <c r="G6021" s="891">
        <v>1.71</v>
      </c>
    </row>
    <row r="6022" spans="1:7" ht="20.25">
      <c r="A6022" s="1059"/>
      <c r="B6022" s="260"/>
      <c r="C6022" s="260" t="s">
        <v>1993</v>
      </c>
      <c r="D6022" s="905"/>
      <c r="E6022" s="904" ph="1"/>
      <c r="F6022" s="894">
        <v>1</v>
      </c>
      <c r="G6022" s="891">
        <v>12</v>
      </c>
    </row>
    <row r="6024" spans="1:7" s="888" customFormat="1" ht="12.75">
      <c r="A6024" s="902" t="s">
        <v>106</v>
      </c>
      <c r="B6024" s="902" t="s">
        <v>1710</v>
      </c>
      <c r="C6024" s="887" t="s">
        <v>1186</v>
      </c>
      <c r="D6024" s="887" t="s">
        <v>1652</v>
      </c>
      <c r="E6024" s="887" t="s">
        <v>1653</v>
      </c>
      <c r="F6024" s="887" t="s">
        <v>1825</v>
      </c>
      <c r="G6024" s="967" t="s">
        <v>245</v>
      </c>
    </row>
    <row r="6025" spans="1:7" s="888" customFormat="1" ht="12.75">
      <c r="A6025" s="47" t="s">
        <v>1801</v>
      </c>
      <c r="B6025" s="260" t="s">
        <v>78</v>
      </c>
      <c r="C6025" s="905">
        <v>14</v>
      </c>
      <c r="D6025" s="906">
        <v>17</v>
      </c>
      <c r="E6025" s="905">
        <f>C6025*D6025</f>
        <v>238</v>
      </c>
      <c r="F6025" s="891">
        <v>1.6</v>
      </c>
      <c r="G6025" s="905" t="s">
        <v>3008</v>
      </c>
    </row>
    <row r="6026" spans="1:7" s="888" customFormat="1" ht="12.75">
      <c r="A6026" s="47" t="s">
        <v>1684</v>
      </c>
      <c r="B6026" s="260" t="s">
        <v>167</v>
      </c>
      <c r="C6026" s="905">
        <v>14</v>
      </c>
      <c r="D6026" s="906">
        <v>6</v>
      </c>
      <c r="E6026" s="905">
        <f>D6026*C6026</f>
        <v>84</v>
      </c>
      <c r="F6026" s="891">
        <v>1.02</v>
      </c>
      <c r="G6026" s="905" t="s">
        <v>3009</v>
      </c>
    </row>
    <row r="6027" spans="1:7" s="888" customFormat="1" ht="12.75">
      <c r="A6027" s="47" t="s">
        <v>3007</v>
      </c>
      <c r="B6027" s="260" t="s">
        <v>56</v>
      </c>
      <c r="C6027" s="905">
        <v>14</v>
      </c>
      <c r="D6027" s="906">
        <v>4</v>
      </c>
      <c r="E6027" s="905">
        <f>D6027*C6027</f>
        <v>56</v>
      </c>
      <c r="F6027" s="891">
        <v>1.86</v>
      </c>
      <c r="G6027" s="905" t="s">
        <v>3010</v>
      </c>
    </row>
    <row r="6028" spans="1:7" s="888" customFormat="1" ht="12.75">
      <c r="A6028" s="47"/>
      <c r="B6028" s="260" t="s">
        <v>2124</v>
      </c>
      <c r="C6028" s="905"/>
      <c r="D6028" s="906"/>
      <c r="E6028" s="894">
        <v>1</v>
      </c>
      <c r="F6028" s="891">
        <v>125</v>
      </c>
      <c r="G6028" s="894" t="s">
        <v>3011</v>
      </c>
    </row>
    <row r="6029" spans="1:7" s="888" customFormat="1" ht="12.75">
      <c r="A6029" s="47"/>
      <c r="B6029" s="260" t="s">
        <v>1993</v>
      </c>
      <c r="C6029" s="905"/>
      <c r="D6029" s="906"/>
      <c r="E6029" s="894">
        <v>1</v>
      </c>
      <c r="F6029" s="891">
        <v>12</v>
      </c>
      <c r="G6029" s="894"/>
    </row>
    <row r="6033" spans="1:8" s="888" customFormat="1" ht="12.75">
      <c r="A6033" s="902" t="s">
        <v>105</v>
      </c>
      <c r="B6033" s="902" t="s">
        <v>106</v>
      </c>
      <c r="C6033" s="902" t="s">
        <v>52</v>
      </c>
      <c r="D6033" s="902" t="s">
        <v>1710</v>
      </c>
      <c r="E6033" s="887" t="s">
        <v>1186</v>
      </c>
      <c r="F6033" s="887" t="s">
        <v>1652</v>
      </c>
      <c r="G6033" s="887" t="s">
        <v>1653</v>
      </c>
      <c r="H6033" s="887" t="s">
        <v>1825</v>
      </c>
    </row>
    <row r="6034" spans="1:8" s="888" customFormat="1" ht="12.75">
      <c r="A6034" s="947" t="s">
        <v>3004</v>
      </c>
      <c r="B6034" s="47" t="s">
        <v>1264</v>
      </c>
      <c r="C6034" s="48" t="s">
        <v>19</v>
      </c>
      <c r="D6034" s="47" t="s">
        <v>2998</v>
      </c>
      <c r="E6034" s="50">
        <v>25</v>
      </c>
      <c r="F6034" s="911">
        <v>2</v>
      </c>
      <c r="G6034" s="50">
        <f>E6034*F6034</f>
        <v>50</v>
      </c>
      <c r="H6034" s="51">
        <v>1.71</v>
      </c>
    </row>
    <row r="6035" spans="1:8" s="888" customFormat="1" ht="20.25">
      <c r="A6035" s="947" t="s">
        <v>3004</v>
      </c>
      <c r="B6035" s="1141"/>
      <c r="C6035" s="260"/>
      <c r="D6035" s="260" t="s">
        <v>1993</v>
      </c>
      <c r="E6035" s="905"/>
      <c r="F6035" s="904" ph="1"/>
      <c r="G6035" s="894">
        <v>1</v>
      </c>
      <c r="H6035" s="891">
        <v>12</v>
      </c>
    </row>
    <row r="6036" spans="1:8" s="888" customFormat="1" ht="12"/>
    <row r="6037" spans="1:8" s="888" customFormat="1" ht="12"/>
    <row r="6040" spans="1:8">
      <c r="A6040" s="902" t="s">
        <v>105</v>
      </c>
      <c r="B6040" s="902" t="s">
        <v>106</v>
      </c>
      <c r="C6040" s="902" t="s">
        <v>52</v>
      </c>
      <c r="D6040" s="902" t="s">
        <v>1710</v>
      </c>
      <c r="E6040" s="887" t="s">
        <v>1186</v>
      </c>
      <c r="F6040" s="887" t="s">
        <v>1652</v>
      </c>
      <c r="G6040" s="887" t="s">
        <v>1653</v>
      </c>
      <c r="H6040" s="887" t="s">
        <v>1825</v>
      </c>
    </row>
    <row r="6041" spans="1:8">
      <c r="A6041" s="947" t="s">
        <v>3015</v>
      </c>
      <c r="B6041" s="639" t="s">
        <v>3014</v>
      </c>
      <c r="C6041" s="907">
        <v>152</v>
      </c>
      <c r="D6041" s="47" t="s">
        <v>859</v>
      </c>
      <c r="E6041" s="50">
        <v>58</v>
      </c>
      <c r="F6041" s="911">
        <v>20</v>
      </c>
      <c r="G6041" s="50">
        <f>E6041*F6041</f>
        <v>1160</v>
      </c>
      <c r="H6041" s="891">
        <v>3.89</v>
      </c>
    </row>
    <row r="6044" spans="1:8" s="888" customFormat="1" ht="12.75">
      <c r="A6044" s="902" t="s">
        <v>106</v>
      </c>
      <c r="B6044" s="902" t="s">
        <v>1710</v>
      </c>
      <c r="C6044" s="887" t="s">
        <v>1186</v>
      </c>
      <c r="D6044" s="887" t="s">
        <v>1652</v>
      </c>
      <c r="E6044" s="887" t="s">
        <v>1653</v>
      </c>
      <c r="F6044" s="887" t="s">
        <v>1825</v>
      </c>
    </row>
    <row r="6045" spans="1:8" s="888" customFormat="1" ht="12.75">
      <c r="A6045" s="47" t="s">
        <v>3022</v>
      </c>
      <c r="B6045" s="47" t="s">
        <v>3024</v>
      </c>
      <c r="C6045" s="903">
        <v>60</v>
      </c>
      <c r="D6045" s="904">
        <v>1</v>
      </c>
      <c r="E6045" s="905">
        <f>C6045*D6045</f>
        <v>60</v>
      </c>
      <c r="F6045" s="891">
        <v>6.88</v>
      </c>
    </row>
    <row r="6046" spans="1:8" s="888" customFormat="1" ht="12.75">
      <c r="A6046" s="47"/>
      <c r="B6046" s="260" t="s">
        <v>1993</v>
      </c>
      <c r="C6046" s="905"/>
      <c r="D6046" s="906"/>
      <c r="E6046" s="894">
        <v>1</v>
      </c>
      <c r="F6046" s="891">
        <v>12</v>
      </c>
    </row>
    <row r="6050" spans="1:8" s="888" customFormat="1" ht="12.75">
      <c r="A6050" s="902" t="s">
        <v>106</v>
      </c>
      <c r="B6050" s="902" t="s">
        <v>1710</v>
      </c>
      <c r="C6050" s="887" t="s">
        <v>1186</v>
      </c>
      <c r="D6050" s="887" t="s">
        <v>1652</v>
      </c>
      <c r="E6050" s="887" t="s">
        <v>1653</v>
      </c>
      <c r="F6050" s="887" t="s">
        <v>1825</v>
      </c>
    </row>
    <row r="6051" spans="1:8" s="888" customFormat="1" ht="12.75">
      <c r="A6051" s="47" t="s">
        <v>3027</v>
      </c>
      <c r="B6051" s="47" t="s">
        <v>17</v>
      </c>
      <c r="C6051" s="905">
        <v>50</v>
      </c>
      <c r="D6051" s="906">
        <v>1</v>
      </c>
      <c r="E6051" s="905">
        <f>C6051*D6051</f>
        <v>50</v>
      </c>
      <c r="F6051" s="891">
        <v>0.26</v>
      </c>
    </row>
    <row r="6052" spans="1:8" s="888" customFormat="1" ht="12.75">
      <c r="A6052" s="47" t="s">
        <v>765</v>
      </c>
      <c r="B6052" s="47" t="s">
        <v>17</v>
      </c>
      <c r="C6052" s="905">
        <v>50</v>
      </c>
      <c r="D6052" s="906">
        <v>1</v>
      </c>
      <c r="E6052" s="905">
        <f>C6052*D6052</f>
        <v>50</v>
      </c>
      <c r="F6052" s="891">
        <v>0.28000000000000003</v>
      </c>
    </row>
    <row r="6053" spans="1:8" s="888" customFormat="1" ht="12.75">
      <c r="A6053" s="47" t="s">
        <v>1219</v>
      </c>
      <c r="B6053" s="47" t="s">
        <v>17</v>
      </c>
      <c r="C6053" s="905">
        <v>50</v>
      </c>
      <c r="D6053" s="906">
        <v>1</v>
      </c>
      <c r="E6053" s="905">
        <f>C6053*D6053</f>
        <v>50</v>
      </c>
      <c r="F6053" s="891">
        <v>0.3</v>
      </c>
    </row>
    <row r="6054" spans="1:8" s="888" customFormat="1" ht="12.75">
      <c r="A6054" s="47"/>
      <c r="B6054" s="260" t="s">
        <v>1993</v>
      </c>
      <c r="C6054" s="905"/>
      <c r="D6054" s="906"/>
      <c r="E6054" s="894">
        <v>1</v>
      </c>
      <c r="F6054" s="891">
        <v>12</v>
      </c>
    </row>
    <row r="6055" spans="1:8" s="888" customFormat="1" ht="12"/>
    <row r="6056" spans="1:8" s="888" customFormat="1" ht="12"/>
    <row r="6058" spans="1:8" s="888" customFormat="1" ht="12.75">
      <c r="A6058" s="902" t="s">
        <v>106</v>
      </c>
      <c r="B6058" s="902" t="s">
        <v>52</v>
      </c>
      <c r="C6058" s="902" t="s">
        <v>1710</v>
      </c>
      <c r="D6058" s="887" t="s">
        <v>1186</v>
      </c>
      <c r="E6058" s="887" t="s">
        <v>1652</v>
      </c>
      <c r="F6058" s="887" t="s">
        <v>1653</v>
      </c>
      <c r="G6058" s="887" t="s">
        <v>1825</v>
      </c>
      <c r="H6058" s="887" t="s">
        <v>3030</v>
      </c>
    </row>
    <row r="6059" spans="1:8" s="888" customFormat="1" ht="12.75">
      <c r="A6059" s="47">
        <v>12720</v>
      </c>
      <c r="B6059" s="260">
        <v>6</v>
      </c>
      <c r="C6059" s="260" t="s">
        <v>3029</v>
      </c>
      <c r="D6059" s="905">
        <v>10</v>
      </c>
      <c r="E6059" s="906">
        <v>25</v>
      </c>
      <c r="F6059" s="905">
        <f>D6059*E6059</f>
        <v>250</v>
      </c>
      <c r="G6059" s="1061">
        <v>0.85</v>
      </c>
      <c r="H6059" s="47" t="s">
        <v>3031</v>
      </c>
    </row>
    <row r="6060" spans="1:8" s="888" customFormat="1" ht="12.75">
      <c r="A6060" s="47">
        <v>12720</v>
      </c>
      <c r="B6060" s="260">
        <v>6</v>
      </c>
      <c r="C6060" s="260" t="s">
        <v>185</v>
      </c>
      <c r="D6060" s="905">
        <v>10</v>
      </c>
      <c r="E6060" s="906">
        <v>50</v>
      </c>
      <c r="F6060" s="905">
        <f>D6060*E6060</f>
        <v>500</v>
      </c>
      <c r="G6060" s="1061">
        <v>0.85</v>
      </c>
      <c r="H6060" s="47" t="s">
        <v>3032</v>
      </c>
    </row>
    <row r="6061" spans="1:8" s="888" customFormat="1" ht="12.75">
      <c r="A6061" s="47"/>
      <c r="B6061" s="893"/>
      <c r="C6061" s="260" t="s">
        <v>1993</v>
      </c>
      <c r="D6061" s="905"/>
      <c r="E6061" s="906"/>
      <c r="F6061" s="894">
        <v>1</v>
      </c>
      <c r="G6061" s="891">
        <v>12</v>
      </c>
      <c r="H6061" s="1145"/>
    </row>
    <row r="6062" spans="1:8" s="888" customFormat="1" ht="12"/>
    <row r="6063" spans="1:8" s="888" customFormat="1" ht="12"/>
    <row r="6064" spans="1:8">
      <c r="A6064" s="902" t="s">
        <v>106</v>
      </c>
      <c r="B6064" s="902" t="s">
        <v>377</v>
      </c>
      <c r="C6064" s="887" t="s">
        <v>1186</v>
      </c>
      <c r="D6064" s="887" t="s">
        <v>2200</v>
      </c>
      <c r="E6064" s="887" t="s">
        <v>3037</v>
      </c>
      <c r="F6064" s="887" t="s">
        <v>3038</v>
      </c>
      <c r="G6064" s="887" t="s">
        <v>3039</v>
      </c>
      <c r="H6064" s="887" t="s">
        <v>3040</v>
      </c>
    </row>
    <row r="6065" spans="1:13">
      <c r="A6065" s="47" t="s">
        <v>3033</v>
      </c>
      <c r="B6065" s="1146" t="s">
        <v>3034</v>
      </c>
      <c r="C6065" s="1146" t="s">
        <v>3035</v>
      </c>
      <c r="D6065" s="1146" t="s">
        <v>3036</v>
      </c>
      <c r="E6065" s="891">
        <v>9.9</v>
      </c>
      <c r="F6065" s="891">
        <v>17.190000000000001</v>
      </c>
      <c r="G6065" s="891">
        <v>10.53</v>
      </c>
      <c r="H6065" s="950" t="s">
        <v>3041</v>
      </c>
    </row>
    <row r="6066" spans="1:13">
      <c r="A6066" s="902" t="s">
        <v>106</v>
      </c>
      <c r="B6066" s="902" t="s">
        <v>377</v>
      </c>
      <c r="C6066" s="887" t="s">
        <v>1186</v>
      </c>
      <c r="D6066" s="887" t="s">
        <v>2200</v>
      </c>
      <c r="E6066" s="887" t="s">
        <v>3046</v>
      </c>
      <c r="F6066" s="887" t="s">
        <v>3038</v>
      </c>
      <c r="G6066" s="887" t="s">
        <v>3039</v>
      </c>
      <c r="H6066" s="887" t="s">
        <v>3040</v>
      </c>
    </row>
    <row r="6067" spans="1:13">
      <c r="A6067" s="47" t="s">
        <v>3042</v>
      </c>
      <c r="B6067" s="1146" t="s">
        <v>3043</v>
      </c>
      <c r="C6067" s="1146" t="s">
        <v>3044</v>
      </c>
      <c r="D6067" s="1146" t="s">
        <v>3045</v>
      </c>
      <c r="E6067" s="891">
        <v>7.3</v>
      </c>
      <c r="F6067" s="891">
        <v>14.59</v>
      </c>
      <c r="G6067" s="891">
        <v>7.92</v>
      </c>
      <c r="H6067" s="950" t="s">
        <v>3047</v>
      </c>
    </row>
    <row r="6068" spans="1:13">
      <c r="A6068" s="902" t="s">
        <v>106</v>
      </c>
      <c r="B6068" s="902" t="s">
        <v>377</v>
      </c>
      <c r="C6068" s="887" t="s">
        <v>1186</v>
      </c>
      <c r="D6068" s="887" t="s">
        <v>2200</v>
      </c>
      <c r="E6068" s="887" t="s">
        <v>3050</v>
      </c>
      <c r="F6068" s="887" t="s">
        <v>3038</v>
      </c>
      <c r="G6068" s="887" t="s">
        <v>3039</v>
      </c>
      <c r="H6068" s="887" t="s">
        <v>3040</v>
      </c>
    </row>
    <row r="6069" spans="1:13">
      <c r="A6069" s="47" t="s">
        <v>3048</v>
      </c>
      <c r="B6069" s="1146" t="s">
        <v>3034</v>
      </c>
      <c r="C6069" s="1146" t="s">
        <v>3044</v>
      </c>
      <c r="D6069" s="1146" t="s">
        <v>3049</v>
      </c>
      <c r="E6069" s="891">
        <v>8.34</v>
      </c>
      <c r="F6069" s="1058" t="s">
        <v>3051</v>
      </c>
      <c r="G6069" s="1058" t="s">
        <v>3051</v>
      </c>
      <c r="H6069" s="950" t="s">
        <v>3052</v>
      </c>
    </row>
    <row r="6071" spans="1:13">
      <c r="A6071" s="967" t="s">
        <v>64</v>
      </c>
      <c r="B6071" s="902" t="s">
        <v>377</v>
      </c>
      <c r="C6071" s="902" t="s">
        <v>128</v>
      </c>
      <c r="D6071" s="902" t="s">
        <v>54</v>
      </c>
      <c r="E6071" s="902" t="s">
        <v>3058</v>
      </c>
    </row>
    <row r="6072" spans="1:13" s="888" customFormat="1" ht="12.75">
      <c r="A6072" s="47" t="s">
        <v>3057</v>
      </c>
      <c r="B6072" s="1146" t="s">
        <v>3034</v>
      </c>
      <c r="C6072" s="260" t="s">
        <v>3054</v>
      </c>
      <c r="D6072" s="50">
        <v>10</v>
      </c>
      <c r="E6072" s="346" t="s">
        <v>3059</v>
      </c>
      <c r="F6072" s="1009">
        <v>9.9</v>
      </c>
      <c r="G6072" s="891">
        <f>F6072*D6072</f>
        <v>99</v>
      </c>
      <c r="H6072" s="1147" t="s">
        <v>2219</v>
      </c>
      <c r="I6072" s="239"/>
      <c r="J6072" s="1148"/>
      <c r="K6072" s="1149" t="e">
        <f>F6072*(VLOOKUP(#REF!,$C$2:$F$6,3,FALSE))</f>
        <v>#REF!</v>
      </c>
      <c r="L6072" s="1150">
        <v>9.31</v>
      </c>
      <c r="M6072" s="1151">
        <v>950</v>
      </c>
    </row>
    <row r="6073" spans="1:13" s="888" customFormat="1" ht="12.75">
      <c r="A6073" s="47" t="s">
        <v>3057</v>
      </c>
      <c r="B6073" s="1146" t="s">
        <v>3034</v>
      </c>
      <c r="C6073" s="260" t="s">
        <v>3056</v>
      </c>
      <c r="D6073" s="50">
        <v>10</v>
      </c>
      <c r="E6073" s="346" t="s">
        <v>3059</v>
      </c>
      <c r="F6073" s="1009">
        <v>9.9</v>
      </c>
      <c r="G6073" s="891">
        <f>F6073*D6073</f>
        <v>99</v>
      </c>
      <c r="H6073" s="1147" t="s">
        <v>2219</v>
      </c>
      <c r="I6073" s="239"/>
      <c r="J6073" s="1148"/>
      <c r="K6073" s="1149" t="e">
        <f>F6073*(VLOOKUP(#REF!,$C$2:$F$6,3,FALSE))</f>
        <v>#REF!</v>
      </c>
      <c r="L6073" s="1150">
        <v>9.31</v>
      </c>
      <c r="M6073" s="1151">
        <v>950</v>
      </c>
    </row>
    <row r="6074" spans="1:13" s="888" customFormat="1" ht="12.75">
      <c r="A6074" s="47"/>
      <c r="B6074" s="893"/>
      <c r="C6074" s="260" t="s">
        <v>1075</v>
      </c>
      <c r="D6074" s="894">
        <v>2</v>
      </c>
      <c r="E6074" s="346" t="s">
        <v>3060</v>
      </c>
      <c r="F6074" s="891">
        <v>12</v>
      </c>
      <c r="G6074" s="891">
        <f>F6074*D6074</f>
        <v>24</v>
      </c>
      <c r="H6074" s="950"/>
      <c r="I6074" s="39"/>
      <c r="J6074" s="1148"/>
      <c r="K6074" s="891" t="e">
        <f>F6074*(VLOOKUP(#REF!,$C$2:$F$6,3,FALSE))</f>
        <v>#REF!</v>
      </c>
      <c r="L6074" s="1150">
        <v>24</v>
      </c>
      <c r="M6074" s="1151">
        <v>1000</v>
      </c>
    </row>
    <row r="6075" spans="1:13" s="888" customFormat="1" ht="12.75">
      <c r="A6075" s="47"/>
      <c r="B6075" s="893"/>
      <c r="C6075" s="260" t="s">
        <v>1993</v>
      </c>
      <c r="D6075" s="894">
        <v>1</v>
      </c>
      <c r="E6075" s="1153">
        <v>1000</v>
      </c>
      <c r="F6075" s="891">
        <v>12</v>
      </c>
      <c r="G6075" s="891">
        <f>F6075*D6075</f>
        <v>12</v>
      </c>
      <c r="H6075" s="950"/>
      <c r="I6075" s="39"/>
      <c r="J6075" s="1148"/>
      <c r="K6075" s="891" t="e">
        <f>F6075*(VLOOKUP(#REF!,$C$2:$F$6,3,FALSE))</f>
        <v>#REF!</v>
      </c>
      <c r="L6075" s="1150">
        <v>12</v>
      </c>
      <c r="M6075" s="1152">
        <v>1000</v>
      </c>
    </row>
    <row r="6078" spans="1:13" s="888" customFormat="1" ht="12.75">
      <c r="A6078" s="902" t="s">
        <v>106</v>
      </c>
      <c r="B6078" s="902" t="s">
        <v>377</v>
      </c>
      <c r="C6078" s="902" t="s">
        <v>128</v>
      </c>
      <c r="D6078" s="902" t="s">
        <v>54</v>
      </c>
      <c r="E6078" s="887" t="s">
        <v>1825</v>
      </c>
      <c r="F6078" s="887"/>
    </row>
    <row r="6079" spans="1:13" s="888" customFormat="1" ht="12.75">
      <c r="A6079" s="47" t="s">
        <v>3033</v>
      </c>
      <c r="B6079" s="1146" t="s">
        <v>3034</v>
      </c>
      <c r="C6079" s="260" t="s">
        <v>3054</v>
      </c>
      <c r="D6079" s="905">
        <v>10</v>
      </c>
      <c r="E6079" s="1061">
        <v>9.9</v>
      </c>
      <c r="F6079" s="891">
        <f>E6079*D6079</f>
        <v>99</v>
      </c>
    </row>
    <row r="6080" spans="1:13" s="888" customFormat="1" ht="12.75">
      <c r="A6080" s="47" t="s">
        <v>3033</v>
      </c>
      <c r="B6080" s="1146" t="s">
        <v>3034</v>
      </c>
      <c r="C6080" s="260" t="s">
        <v>3055</v>
      </c>
      <c r="D6080" s="905">
        <v>10</v>
      </c>
      <c r="E6080" s="1061">
        <v>9.9</v>
      </c>
      <c r="F6080" s="891">
        <f>E6080*D6080</f>
        <v>99</v>
      </c>
    </row>
    <row r="6081" spans="1:120" s="888" customFormat="1" ht="12.75">
      <c r="A6081" s="47"/>
      <c r="B6081" s="893"/>
      <c r="C6081" s="260" t="s">
        <v>1075</v>
      </c>
      <c r="D6081" s="894" t="s">
        <v>3061</v>
      </c>
      <c r="E6081" s="891">
        <v>24</v>
      </c>
      <c r="F6081" s="891">
        <v>24</v>
      </c>
    </row>
    <row r="6082" spans="1:120" s="888" customFormat="1" ht="12.75">
      <c r="A6082" s="47"/>
      <c r="B6082" s="893"/>
      <c r="C6082" s="260" t="s">
        <v>1993</v>
      </c>
      <c r="D6082" s="894">
        <v>1</v>
      </c>
      <c r="E6082" s="891">
        <v>12</v>
      </c>
      <c r="F6082" s="891">
        <f>E6082*D6082</f>
        <v>12</v>
      </c>
    </row>
    <row r="6083" spans="1:120" s="888" customFormat="1" ht="12.75">
      <c r="A6083" s="47"/>
      <c r="B6083" s="893"/>
      <c r="C6083" s="260" t="s">
        <v>3062</v>
      </c>
      <c r="D6083" s="894">
        <v>1</v>
      </c>
      <c r="E6083" s="1058" t="s">
        <v>3063</v>
      </c>
      <c r="F6083" s="891"/>
    </row>
    <row r="6084" spans="1:120" s="888" customFormat="1" ht="12"/>
    <row r="6085" spans="1:120" s="888" customFormat="1" ht="12.75">
      <c r="A6085" s="902" t="s">
        <v>106</v>
      </c>
      <c r="B6085" s="902" t="s">
        <v>52</v>
      </c>
      <c r="C6085" s="902" t="s">
        <v>1710</v>
      </c>
      <c r="D6085" s="887" t="s">
        <v>1186</v>
      </c>
      <c r="E6085" s="887" t="s">
        <v>1652</v>
      </c>
      <c r="F6085" s="887" t="s">
        <v>1653</v>
      </c>
      <c r="G6085" s="887" t="s">
        <v>1825</v>
      </c>
    </row>
    <row r="6086" spans="1:120" s="888" customFormat="1" ht="12.75">
      <c r="A6086" s="47">
        <v>14552</v>
      </c>
      <c r="B6086" s="48">
        <v>38</v>
      </c>
      <c r="C6086" s="47" t="s">
        <v>431</v>
      </c>
      <c r="D6086" s="903">
        <v>30</v>
      </c>
      <c r="E6086" s="904">
        <v>6</v>
      </c>
      <c r="F6086" s="905">
        <f>D6086*E6086</f>
        <v>180</v>
      </c>
      <c r="G6086" s="891">
        <v>1.78</v>
      </c>
    </row>
    <row r="6087" spans="1:120" s="888" customFormat="1" ht="12.75">
      <c r="A6087" s="47">
        <v>14552</v>
      </c>
      <c r="B6087" s="48">
        <v>10</v>
      </c>
      <c r="C6087" s="47" t="s">
        <v>431</v>
      </c>
      <c r="D6087" s="903">
        <v>30</v>
      </c>
      <c r="E6087" s="904">
        <v>16</v>
      </c>
      <c r="F6087" s="50">
        <f>D6087*E6087</f>
        <v>480</v>
      </c>
      <c r="G6087" s="51">
        <v>0.69</v>
      </c>
    </row>
    <row r="6088" spans="1:120" s="888" customFormat="1" ht="12.75">
      <c r="A6088" s="47"/>
      <c r="B6088" s="893"/>
      <c r="C6088" s="260" t="s">
        <v>1993</v>
      </c>
      <c r="D6088" s="905"/>
      <c r="E6088" s="906"/>
      <c r="F6088" s="894">
        <v>1</v>
      </c>
      <c r="G6088" s="891">
        <v>12</v>
      </c>
    </row>
    <row r="6089" spans="1:120" s="888" customFormat="1" ht="12"/>
    <row r="6090" spans="1:120" s="1075" customFormat="1" ht="25.5">
      <c r="A6090" s="933" t="s">
        <v>1369</v>
      </c>
      <c r="B6090" s="958" t="s">
        <v>377</v>
      </c>
      <c r="C6090" s="959" t="s">
        <v>322</v>
      </c>
      <c r="D6090" s="960" t="s">
        <v>1734</v>
      </c>
      <c r="E6090" s="1156" t="s">
        <v>2264</v>
      </c>
      <c r="F6090" s="1156" t="s">
        <v>1181</v>
      </c>
      <c r="G6090" s="961" t="s">
        <v>3117</v>
      </c>
      <c r="H6090" s="962" t="s">
        <v>1403</v>
      </c>
    </row>
    <row r="6091" spans="1:120" s="1155" customFormat="1" ht="15" customHeight="1">
      <c r="A6091" s="934" t="s">
        <v>3068</v>
      </c>
      <c r="B6091" s="48">
        <v>32</v>
      </c>
      <c r="C6091" s="980">
        <v>30</v>
      </c>
      <c r="D6091" s="52" t="s">
        <v>1812</v>
      </c>
      <c r="E6091" s="52" t="s">
        <v>3069</v>
      </c>
      <c r="F6091" s="52" t="s">
        <v>3070</v>
      </c>
      <c r="G6091" s="966">
        <v>1.99</v>
      </c>
      <c r="H6091" s="1154"/>
      <c r="I6091" s="912"/>
      <c r="J6091" s="912"/>
      <c r="K6091" s="912"/>
      <c r="L6091" s="912"/>
      <c r="M6091" s="912"/>
      <c r="N6091" s="912"/>
      <c r="O6091" s="912"/>
      <c r="P6091" s="912"/>
      <c r="Q6091" s="912"/>
      <c r="R6091" s="912"/>
      <c r="S6091" s="912"/>
      <c r="T6091" s="912"/>
      <c r="U6091" s="912"/>
      <c r="V6091" s="912"/>
      <c r="W6091" s="912"/>
      <c r="X6091" s="912"/>
      <c r="Y6091" s="912"/>
      <c r="Z6091" s="912"/>
      <c r="AA6091" s="912"/>
      <c r="AB6091" s="912"/>
      <c r="AC6091" s="912"/>
      <c r="AD6091" s="912"/>
      <c r="AE6091" s="912"/>
      <c r="AF6091" s="912"/>
      <c r="AG6091" s="912"/>
      <c r="AH6091" s="912"/>
      <c r="AI6091" s="912"/>
      <c r="AJ6091" s="912"/>
      <c r="AK6091" s="912"/>
      <c r="AL6091" s="912"/>
      <c r="AM6091" s="912"/>
      <c r="AN6091" s="912"/>
      <c r="AO6091" s="912"/>
      <c r="AP6091" s="912"/>
      <c r="AQ6091" s="912"/>
      <c r="AR6091" s="912"/>
      <c r="AS6091" s="912"/>
      <c r="AT6091" s="912"/>
      <c r="AU6091" s="912"/>
      <c r="AV6091" s="912"/>
      <c r="AW6091" s="912"/>
      <c r="AX6091" s="912"/>
      <c r="AY6091" s="912"/>
      <c r="AZ6091" s="912"/>
      <c r="BA6091" s="912"/>
      <c r="BB6091" s="912"/>
      <c r="BC6091" s="912"/>
      <c r="BD6091" s="912"/>
      <c r="BE6091" s="912"/>
      <c r="BF6091" s="912"/>
      <c r="BG6091" s="912"/>
      <c r="BH6091" s="912"/>
      <c r="BI6091" s="912"/>
      <c r="BJ6091" s="912"/>
      <c r="BK6091" s="912"/>
      <c r="BL6091" s="912"/>
      <c r="BM6091" s="912"/>
      <c r="BN6091" s="912"/>
      <c r="BO6091" s="912"/>
      <c r="BP6091" s="912"/>
      <c r="BQ6091" s="912"/>
      <c r="BR6091" s="912"/>
      <c r="BS6091" s="912"/>
      <c r="BT6091" s="912"/>
      <c r="BU6091" s="912"/>
      <c r="BV6091" s="912"/>
      <c r="BW6091" s="912"/>
      <c r="BX6091" s="912"/>
      <c r="BY6091" s="912"/>
      <c r="BZ6091" s="912"/>
      <c r="CA6091" s="912"/>
      <c r="CB6091" s="912"/>
      <c r="CC6091" s="912"/>
      <c r="CD6091" s="912"/>
      <c r="CE6091" s="912"/>
      <c r="CF6091" s="912"/>
      <c r="CG6091" s="912"/>
      <c r="CH6091" s="912"/>
      <c r="CI6091" s="912"/>
      <c r="CJ6091" s="912"/>
      <c r="CK6091" s="912"/>
      <c r="CL6091" s="912"/>
      <c r="CM6091" s="912"/>
      <c r="CN6091" s="912"/>
      <c r="CO6091" s="912"/>
      <c r="CP6091" s="912"/>
      <c r="CQ6091" s="912"/>
      <c r="CR6091" s="912"/>
      <c r="CS6091" s="912"/>
      <c r="CT6091" s="912"/>
      <c r="CU6091" s="912"/>
      <c r="CV6091" s="912"/>
      <c r="CW6091" s="912"/>
      <c r="CX6091" s="912"/>
      <c r="CY6091" s="912"/>
      <c r="CZ6091" s="912"/>
      <c r="DA6091" s="912"/>
      <c r="DB6091" s="912"/>
      <c r="DC6091" s="912"/>
      <c r="DD6091" s="912"/>
      <c r="DE6091" s="912"/>
      <c r="DF6091" s="912"/>
      <c r="DG6091" s="912"/>
      <c r="DH6091" s="912"/>
      <c r="DI6091" s="912"/>
      <c r="DJ6091" s="912"/>
      <c r="DK6091" s="912"/>
      <c r="DL6091" s="912"/>
      <c r="DM6091" s="912"/>
      <c r="DN6091" s="912"/>
      <c r="DO6091" s="912"/>
      <c r="DP6091" s="912"/>
    </row>
    <row r="6094" spans="1:120" s="888" customFormat="1" ht="12.75">
      <c r="A6094" s="902" t="s">
        <v>106</v>
      </c>
      <c r="B6094" s="902" t="s">
        <v>52</v>
      </c>
      <c r="C6094" s="902" t="s">
        <v>1710</v>
      </c>
      <c r="D6094" s="887" t="s">
        <v>1186</v>
      </c>
      <c r="E6094" s="887" t="s">
        <v>1652</v>
      </c>
      <c r="F6094" s="887" t="s">
        <v>1653</v>
      </c>
      <c r="G6094" s="887" t="s">
        <v>1825</v>
      </c>
      <c r="H6094" s="887" t="s">
        <v>2751</v>
      </c>
    </row>
    <row r="6095" spans="1:120" s="888" customFormat="1" ht="12.75">
      <c r="A6095" s="47">
        <v>3705</v>
      </c>
      <c r="B6095" s="48">
        <v>12</v>
      </c>
      <c r="C6095" s="47" t="s">
        <v>498</v>
      </c>
      <c r="D6095" s="903">
        <v>30</v>
      </c>
      <c r="E6095" s="904">
        <v>6</v>
      </c>
      <c r="F6095" s="905">
        <f>D6095*E6095</f>
        <v>180</v>
      </c>
      <c r="G6095" s="891">
        <v>0.38</v>
      </c>
      <c r="H6095" s="950" t="s">
        <v>3071</v>
      </c>
    </row>
    <row r="6096" spans="1:120" s="888" customFormat="1" ht="12.75">
      <c r="A6096" s="47"/>
      <c r="B6096" s="893"/>
      <c r="C6096" s="260" t="s">
        <v>1993</v>
      </c>
      <c r="D6096" s="905"/>
      <c r="E6096" s="906"/>
      <c r="F6096" s="894">
        <v>1</v>
      </c>
      <c r="G6096" s="891">
        <v>12</v>
      </c>
      <c r="H6096" s="950"/>
    </row>
    <row r="6099" spans="1:8" s="888" customFormat="1" ht="12.75">
      <c r="A6099" s="902" t="s">
        <v>105</v>
      </c>
      <c r="B6099" s="902" t="s">
        <v>106</v>
      </c>
      <c r="C6099" s="902" t="s">
        <v>52</v>
      </c>
      <c r="D6099" s="902" t="s">
        <v>1710</v>
      </c>
      <c r="E6099" s="887" t="s">
        <v>1186</v>
      </c>
      <c r="F6099" s="887" t="s">
        <v>1652</v>
      </c>
      <c r="G6099" s="887" t="s">
        <v>1653</v>
      </c>
      <c r="H6099" s="887" t="s">
        <v>1825</v>
      </c>
    </row>
    <row r="6100" spans="1:8" s="888" customFormat="1" ht="12.75">
      <c r="A6100" s="4" t="s">
        <v>3072</v>
      </c>
      <c r="B6100" s="47" t="s">
        <v>3073</v>
      </c>
      <c r="C6100" s="907">
        <v>152</v>
      </c>
      <c r="D6100" s="47" t="s">
        <v>859</v>
      </c>
      <c r="E6100" s="905">
        <v>58</v>
      </c>
      <c r="F6100" s="906">
        <v>14</v>
      </c>
      <c r="G6100" s="905">
        <f>E6100*F6100</f>
        <v>812</v>
      </c>
      <c r="H6100" s="891">
        <v>3.89</v>
      </c>
    </row>
    <row r="6101" spans="1:8" s="888" customFormat="1" ht="12.75">
      <c r="A6101" s="4" t="s">
        <v>3072</v>
      </c>
      <c r="B6101" s="47" t="s">
        <v>3073</v>
      </c>
      <c r="C6101" s="907">
        <v>152</v>
      </c>
      <c r="D6101" s="47" t="s">
        <v>859</v>
      </c>
      <c r="E6101" s="905">
        <v>60</v>
      </c>
      <c r="F6101" s="906">
        <v>1</v>
      </c>
      <c r="G6101" s="905">
        <f>E6101*F6101</f>
        <v>60</v>
      </c>
      <c r="H6101" s="891">
        <v>3.89</v>
      </c>
    </row>
    <row r="6102" spans="1:8" s="888" customFormat="1" ht="12.75">
      <c r="A6102" s="4" t="s">
        <v>3072</v>
      </c>
      <c r="B6102" s="47" t="s">
        <v>3073</v>
      </c>
      <c r="C6102" s="907">
        <v>152</v>
      </c>
      <c r="D6102" s="47" t="s">
        <v>859</v>
      </c>
      <c r="E6102" s="905">
        <v>61</v>
      </c>
      <c r="F6102" s="906">
        <v>2</v>
      </c>
      <c r="G6102" s="905">
        <f>E6102*F6102</f>
        <v>122</v>
      </c>
      <c r="H6102" s="891">
        <v>3.89</v>
      </c>
    </row>
    <row r="6103" spans="1:8" s="888" customFormat="1" ht="12.75">
      <c r="A6103" s="4" t="s">
        <v>3072</v>
      </c>
      <c r="B6103" s="47" t="s">
        <v>3073</v>
      </c>
      <c r="C6103" s="907">
        <v>152</v>
      </c>
      <c r="D6103" s="47" t="s">
        <v>859</v>
      </c>
      <c r="E6103" s="905">
        <v>68</v>
      </c>
      <c r="F6103" s="906">
        <v>3</v>
      </c>
      <c r="G6103" s="905">
        <f>E6103*F6103</f>
        <v>204</v>
      </c>
      <c r="H6103" s="891">
        <v>3.89</v>
      </c>
    </row>
    <row r="6104" spans="1:8" s="888" customFormat="1" ht="12.75">
      <c r="A6104" s="4"/>
      <c r="B6104" s="47"/>
      <c r="C6104" s="907"/>
      <c r="D6104" s="47"/>
      <c r="E6104" s="905"/>
      <c r="F6104" s="1157" t="s">
        <v>181</v>
      </c>
      <c r="G6104" s="1158">
        <f>SUM(G6100:G6103)</f>
        <v>1198</v>
      </c>
      <c r="H6104" s="891"/>
    </row>
    <row r="6107" spans="1:8">
      <c r="A6107" s="902" t="s">
        <v>105</v>
      </c>
      <c r="B6107" s="902" t="s">
        <v>106</v>
      </c>
      <c r="C6107" s="902" t="s">
        <v>52</v>
      </c>
      <c r="D6107" s="902" t="s">
        <v>1710</v>
      </c>
      <c r="E6107" s="887" t="s">
        <v>1186</v>
      </c>
      <c r="F6107" s="887" t="s">
        <v>1652</v>
      </c>
      <c r="G6107" s="887" t="s">
        <v>1653</v>
      </c>
      <c r="H6107" s="887" t="s">
        <v>1825</v>
      </c>
    </row>
    <row r="6108" spans="1:8">
      <c r="A6108" s="4" t="s">
        <v>3074</v>
      </c>
      <c r="B6108" s="639">
        <v>1515</v>
      </c>
      <c r="C6108" s="260">
        <v>4</v>
      </c>
      <c r="D6108" s="260" t="s">
        <v>2944</v>
      </c>
      <c r="E6108" s="903">
        <v>30</v>
      </c>
      <c r="F6108" s="904">
        <v>1</v>
      </c>
      <c r="G6108" s="905">
        <f>E6108*F6108</f>
        <v>30</v>
      </c>
      <c r="H6108" s="1009">
        <v>0.13</v>
      </c>
    </row>
    <row r="6109" spans="1:8">
      <c r="A6109" s="4" t="s">
        <v>3074</v>
      </c>
      <c r="B6109" s="47"/>
      <c r="C6109" s="893"/>
      <c r="D6109" s="260" t="s">
        <v>1993</v>
      </c>
      <c r="E6109" s="905"/>
      <c r="F6109" s="906"/>
      <c r="G6109" s="894">
        <v>1</v>
      </c>
      <c r="H6109" s="891">
        <v>12</v>
      </c>
    </row>
    <row r="6112" spans="1:8" s="888" customFormat="1" ht="12">
      <c r="A6112" s="888" t="s">
        <v>3075</v>
      </c>
    </row>
    <row r="6113" spans="1:8" s="888" customFormat="1" ht="25.5">
      <c r="A6113" s="902" t="s">
        <v>106</v>
      </c>
      <c r="B6113" s="938" t="s">
        <v>2317</v>
      </c>
      <c r="C6113" s="938" t="s">
        <v>2911</v>
      </c>
      <c r="D6113" s="939" t="s">
        <v>1514</v>
      </c>
      <c r="E6113" s="1068" t="s">
        <v>1623</v>
      </c>
      <c r="F6113" s="940" t="s">
        <v>5282</v>
      </c>
      <c r="G6113" s="940" t="s">
        <v>5292</v>
      </c>
      <c r="H6113" s="940" t="s">
        <v>5333</v>
      </c>
    </row>
    <row r="6114" spans="1:8" s="888" customFormat="1" ht="12.75">
      <c r="A6114" s="942" t="s">
        <v>3076</v>
      </c>
      <c r="B6114" s="1077" t="s">
        <v>129</v>
      </c>
      <c r="C6114" s="1078" t="s">
        <v>2754</v>
      </c>
      <c r="D6114" s="943">
        <f>ROUNDUP(70/0.6/120,2)</f>
        <v>0.98</v>
      </c>
      <c r="E6114" s="943">
        <f>ROUNDUP((70+70)/0.6/120,2)</f>
        <v>1.95</v>
      </c>
      <c r="F6114" s="1078">
        <v>100</v>
      </c>
      <c r="G6114" s="944">
        <v>75</v>
      </c>
      <c r="H6114" s="944" t="s">
        <v>3078</v>
      </c>
    </row>
    <row r="6115" spans="1:8" s="888" customFormat="1" ht="12.75">
      <c r="A6115" s="942" t="s">
        <v>3077</v>
      </c>
      <c r="B6115" s="1077" t="s">
        <v>129</v>
      </c>
      <c r="C6115" s="1078" t="s">
        <v>2754</v>
      </c>
      <c r="D6115" s="943">
        <f>ROUNDUP(89/0.6/120,2)</f>
        <v>1.24</v>
      </c>
      <c r="E6115" s="943">
        <f>ROUNDUP((89+70)/0.6/120,2)</f>
        <v>2.21</v>
      </c>
      <c r="F6115" s="1078">
        <v>100</v>
      </c>
      <c r="G6115" s="944">
        <v>75</v>
      </c>
      <c r="H6115" s="944" t="s">
        <v>3079</v>
      </c>
    </row>
    <row r="6117" spans="1:8" ht="14.25" thickBot="1">
      <c r="A6117" t="s">
        <v>3081</v>
      </c>
    </row>
    <row r="6118" spans="1:8" ht="14.25" thickBot="1">
      <c r="A6118" s="1120" t="s">
        <v>455</v>
      </c>
      <c r="B6118" s="1121" t="s">
        <v>3082</v>
      </c>
      <c r="C6118" s="1121" t="s">
        <v>3083</v>
      </c>
      <c r="D6118" s="1121" t="s">
        <v>3084</v>
      </c>
    </row>
    <row r="6119" spans="1:8" ht="26.25" thickBot="1">
      <c r="A6119" s="1159" t="s">
        <v>3086</v>
      </c>
      <c r="B6119" s="1160">
        <v>18.55</v>
      </c>
      <c r="C6119" s="1161" t="s">
        <v>3087</v>
      </c>
      <c r="D6119" s="1159" t="s">
        <v>3085</v>
      </c>
    </row>
    <row r="6121" spans="1:8">
      <c r="A6121" s="902" t="s">
        <v>106</v>
      </c>
      <c r="B6121" s="902" t="s">
        <v>52</v>
      </c>
      <c r="C6121" s="902" t="s">
        <v>1710</v>
      </c>
      <c r="D6121" s="902" t="s">
        <v>54</v>
      </c>
      <c r="E6121" s="887" t="s">
        <v>1825</v>
      </c>
    </row>
    <row r="6122" spans="1:8">
      <c r="A6122" s="47" t="s">
        <v>1157</v>
      </c>
      <c r="B6122" s="907">
        <v>148</v>
      </c>
      <c r="C6122" s="47" t="s">
        <v>629</v>
      </c>
      <c r="D6122" s="905" t="s">
        <v>3088</v>
      </c>
      <c r="E6122" s="891">
        <v>12.92</v>
      </c>
    </row>
    <row r="6123" spans="1:8">
      <c r="A6123" s="47"/>
      <c r="B6123" s="893"/>
      <c r="C6123" s="260" t="s">
        <v>3089</v>
      </c>
      <c r="D6123" s="894">
        <v>1</v>
      </c>
      <c r="E6123" s="891">
        <v>12</v>
      </c>
    </row>
    <row r="6124" spans="1:8">
      <c r="A6124" s="47"/>
      <c r="B6124" s="893"/>
      <c r="C6124" s="260" t="s">
        <v>1993</v>
      </c>
      <c r="D6124" s="894">
        <v>1</v>
      </c>
      <c r="E6124" s="891">
        <v>20</v>
      </c>
    </row>
    <row r="6127" spans="1:8">
      <c r="A6127" t="s">
        <v>3093</v>
      </c>
    </row>
    <row r="6128" spans="1:8" s="1163" customFormat="1" ht="25.5">
      <c r="A6128" s="1166" t="s">
        <v>1369</v>
      </c>
      <c r="B6128" s="1167" t="s">
        <v>2</v>
      </c>
      <c r="C6128" s="1168" t="s">
        <v>1734</v>
      </c>
      <c r="D6128" s="902" t="s">
        <v>2264</v>
      </c>
      <c r="E6128" s="902" t="s">
        <v>1181</v>
      </c>
      <c r="F6128" s="1169" t="s">
        <v>3117</v>
      </c>
      <c r="G6128" s="1162" t="s">
        <v>1403</v>
      </c>
    </row>
    <row r="6129" spans="1:8" s="1165" customFormat="1" ht="15" customHeight="1">
      <c r="A6129" s="1170" t="s">
        <v>3090</v>
      </c>
      <c r="B6129" s="1171">
        <v>50</v>
      </c>
      <c r="C6129" s="1172" t="s">
        <v>1812</v>
      </c>
      <c r="D6129" s="1173" t="s">
        <v>3091</v>
      </c>
      <c r="E6129" s="1173" t="s">
        <v>3092</v>
      </c>
      <c r="F6129" s="1174">
        <v>0.35000000000000003</v>
      </c>
      <c r="G6129" s="1164"/>
    </row>
    <row r="6132" spans="1:8">
      <c r="A6132" s="902" t="s">
        <v>106</v>
      </c>
      <c r="B6132" s="902" t="s">
        <v>52</v>
      </c>
      <c r="C6132" s="902" t="s">
        <v>1710</v>
      </c>
      <c r="D6132" s="887" t="s">
        <v>1186</v>
      </c>
      <c r="E6132" s="887" t="s">
        <v>1652</v>
      </c>
      <c r="F6132" s="887" t="s">
        <v>1653</v>
      </c>
      <c r="G6132" s="887" t="s">
        <v>1825</v>
      </c>
      <c r="H6132" s="39"/>
    </row>
    <row r="6133" spans="1:8">
      <c r="A6133" s="47">
        <v>4141</v>
      </c>
      <c r="B6133" s="260">
        <v>9</v>
      </c>
      <c r="C6133" s="47" t="s">
        <v>3096</v>
      </c>
      <c r="D6133" s="50">
        <v>20</v>
      </c>
      <c r="E6133" s="911">
        <v>1</v>
      </c>
      <c r="F6133" s="905">
        <f>D6133*E6133</f>
        <v>20</v>
      </c>
      <c r="G6133" s="891">
        <v>1.63</v>
      </c>
      <c r="H6133" s="891">
        <f>G6133*F6133</f>
        <v>32.599999999999994</v>
      </c>
    </row>
    <row r="6134" spans="1:8">
      <c r="A6134" s="47">
        <v>4141</v>
      </c>
      <c r="B6134" s="260">
        <v>6</v>
      </c>
      <c r="C6134" s="47" t="s">
        <v>3096</v>
      </c>
      <c r="D6134" s="50">
        <v>20</v>
      </c>
      <c r="E6134" s="911">
        <v>1</v>
      </c>
      <c r="F6134" s="905">
        <f>D6134*E6134</f>
        <v>20</v>
      </c>
      <c r="G6134" s="891">
        <v>1.47</v>
      </c>
      <c r="H6134" s="891">
        <f>G6134*F6134</f>
        <v>29.4</v>
      </c>
    </row>
    <row r="6135" spans="1:8">
      <c r="A6135" s="47"/>
      <c r="B6135" s="893"/>
      <c r="C6135" s="260" t="s">
        <v>1993</v>
      </c>
      <c r="D6135" s="905"/>
      <c r="E6135" s="906"/>
      <c r="F6135" s="894">
        <v>1</v>
      </c>
      <c r="G6135" s="891">
        <v>12</v>
      </c>
      <c r="H6135" s="891">
        <f>G6135*F6135</f>
        <v>12</v>
      </c>
    </row>
    <row r="6137" spans="1:8" ht="14.25" thickBot="1">
      <c r="A6137" t="s">
        <v>3097</v>
      </c>
    </row>
    <row r="6138" spans="1:8" ht="14.25" thickBot="1">
      <c r="A6138" s="1120" t="s">
        <v>455</v>
      </c>
      <c r="B6138" s="1121" t="s">
        <v>3098</v>
      </c>
    </row>
    <row r="6139" spans="1:8" ht="14.25" thickBot="1">
      <c r="A6139" s="1159" t="s">
        <v>3086</v>
      </c>
      <c r="B6139" s="1160">
        <v>17.579999999999998</v>
      </c>
    </row>
    <row r="6142" spans="1:8" s="888" customFormat="1" ht="12.75">
      <c r="A6142" s="902" t="s">
        <v>455</v>
      </c>
      <c r="B6142" s="902" t="s">
        <v>1710</v>
      </c>
      <c r="C6142" s="887" t="s">
        <v>3103</v>
      </c>
      <c r="D6142" s="887" t="s">
        <v>3104</v>
      </c>
    </row>
    <row r="6143" spans="1:8" s="888" customFormat="1" ht="12.75">
      <c r="A6143" s="47" t="s">
        <v>2989</v>
      </c>
      <c r="B6143" s="47" t="s">
        <v>3001</v>
      </c>
      <c r="C6143" s="905">
        <v>600</v>
      </c>
      <c r="D6143" s="891">
        <v>17.579999999999998</v>
      </c>
    </row>
    <row r="6144" spans="1:8" s="888" customFormat="1" ht="12.75">
      <c r="A6144" s="47" t="s">
        <v>2989</v>
      </c>
      <c r="B6144" s="47" t="s">
        <v>2997</v>
      </c>
      <c r="C6144" s="905">
        <v>300</v>
      </c>
      <c r="D6144" s="891">
        <v>17.579999999999998</v>
      </c>
    </row>
    <row r="6145" spans="1:7" s="888" customFormat="1" ht="12.75">
      <c r="A6145" s="47" t="s">
        <v>2989</v>
      </c>
      <c r="B6145" s="47" t="s">
        <v>3000</v>
      </c>
      <c r="C6145" s="905">
        <v>300</v>
      </c>
      <c r="D6145" s="891">
        <v>17.579999999999998</v>
      </c>
    </row>
    <row r="6146" spans="1:7" s="888" customFormat="1" ht="12"/>
    <row r="6147" spans="1:7">
      <c r="A6147" s="902" t="s">
        <v>455</v>
      </c>
      <c r="B6147" s="902" t="s">
        <v>3107</v>
      </c>
      <c r="C6147" s="887" t="s">
        <v>1186</v>
      </c>
      <c r="D6147" s="887" t="s">
        <v>1652</v>
      </c>
      <c r="E6147" s="887" t="s">
        <v>3109</v>
      </c>
      <c r="F6147" s="887" t="s">
        <v>3110</v>
      </c>
    </row>
    <row r="6148" spans="1:7">
      <c r="A6148" s="47" t="s">
        <v>2049</v>
      </c>
      <c r="B6148" s="47" t="s">
        <v>3108</v>
      </c>
      <c r="C6148" s="905">
        <v>58</v>
      </c>
      <c r="D6148" s="906">
        <v>10</v>
      </c>
      <c r="E6148" s="905">
        <f>C6148*D6148</f>
        <v>580</v>
      </c>
      <c r="F6148" s="891">
        <v>5.57</v>
      </c>
    </row>
    <row r="6151" spans="1:7">
      <c r="A6151" s="902" t="s">
        <v>106</v>
      </c>
      <c r="B6151" s="902" t="s">
        <v>52</v>
      </c>
      <c r="C6151" s="902" t="s">
        <v>1710</v>
      </c>
      <c r="D6151" s="887" t="s">
        <v>1186</v>
      </c>
      <c r="E6151" s="887" t="s">
        <v>1652</v>
      </c>
      <c r="F6151" s="887" t="s">
        <v>1653</v>
      </c>
      <c r="G6151" s="887" t="s">
        <v>1825</v>
      </c>
    </row>
    <row r="6152" spans="1:7">
      <c r="A6152" s="47">
        <v>4145</v>
      </c>
      <c r="B6152" s="260">
        <v>12</v>
      </c>
      <c r="C6152" s="47" t="s">
        <v>3113</v>
      </c>
      <c r="D6152" s="905">
        <v>30</v>
      </c>
      <c r="E6152" s="906">
        <v>1</v>
      </c>
      <c r="F6152" s="905">
        <f>D6152*E6152</f>
        <v>30</v>
      </c>
      <c r="G6152" s="891">
        <v>1.62</v>
      </c>
    </row>
    <row r="6153" spans="1:7">
      <c r="A6153" s="47"/>
      <c r="B6153" s="893"/>
      <c r="C6153" s="260" t="s">
        <v>1993</v>
      </c>
      <c r="D6153" s="905"/>
      <c r="E6153" s="906"/>
      <c r="F6153" s="894">
        <v>1</v>
      </c>
      <c r="G6153" s="891">
        <v>12</v>
      </c>
    </row>
    <row r="6156" spans="1:7">
      <c r="A6156" s="902" t="s">
        <v>106</v>
      </c>
      <c r="B6156" s="902" t="s">
        <v>52</v>
      </c>
      <c r="C6156" s="902" t="s">
        <v>1710</v>
      </c>
      <c r="D6156" s="887" t="s">
        <v>1186</v>
      </c>
      <c r="E6156" s="887" t="s">
        <v>1652</v>
      </c>
      <c r="F6156" s="887" t="s">
        <v>1653</v>
      </c>
      <c r="G6156" s="887" t="s">
        <v>1825</v>
      </c>
    </row>
    <row r="6157" spans="1:7">
      <c r="A6157" s="47">
        <v>12701</v>
      </c>
      <c r="B6157" s="48">
        <v>9</v>
      </c>
      <c r="C6157" s="47" t="s">
        <v>294</v>
      </c>
      <c r="D6157" s="905">
        <v>10</v>
      </c>
      <c r="E6157" s="906">
        <v>27</v>
      </c>
      <c r="F6157" s="905">
        <f>D6157*E6157</f>
        <v>270</v>
      </c>
      <c r="G6157" s="891">
        <v>0.79</v>
      </c>
    </row>
    <row r="6158" spans="1:7">
      <c r="A6158" s="47"/>
      <c r="B6158" s="893"/>
      <c r="C6158" s="260" t="s">
        <v>1993</v>
      </c>
      <c r="D6158" s="905"/>
      <c r="E6158" s="906"/>
      <c r="F6158" s="894">
        <v>1</v>
      </c>
      <c r="G6158" s="891">
        <v>12</v>
      </c>
    </row>
    <row r="6160" spans="1:7">
      <c r="A6160" t="s">
        <v>3116</v>
      </c>
    </row>
    <row r="6161" spans="1:118" s="1186" customFormat="1" ht="25.5">
      <c r="A6161" s="1166" t="s">
        <v>1372</v>
      </c>
      <c r="B6161" s="1184" t="s">
        <v>377</v>
      </c>
      <c r="C6161" s="1167" t="s">
        <v>2</v>
      </c>
      <c r="D6161" s="1168" t="s">
        <v>1734</v>
      </c>
      <c r="E6161" s="1169" t="s">
        <v>3117</v>
      </c>
      <c r="F6161" s="1185" t="s">
        <v>1403</v>
      </c>
    </row>
    <row r="6162" spans="1:118" s="1019" customFormat="1" ht="15" customHeight="1">
      <c r="A6162" s="1170" t="s">
        <v>3118</v>
      </c>
      <c r="B6162" s="1187">
        <v>3</v>
      </c>
      <c r="C6162" s="1188">
        <v>50</v>
      </c>
      <c r="D6162" s="1172" t="s">
        <v>1812</v>
      </c>
      <c r="E6162" s="1174">
        <v>0.09</v>
      </c>
      <c r="F6162" s="1189"/>
      <c r="G6162" s="1190"/>
      <c r="H6162" s="1191"/>
      <c r="I6162" s="1191"/>
      <c r="J6162" s="1191"/>
      <c r="K6162" s="1191"/>
      <c r="L6162" s="1191"/>
      <c r="M6162" s="1191"/>
      <c r="N6162" s="1191"/>
      <c r="O6162" s="1191"/>
      <c r="P6162" s="1191"/>
      <c r="Q6162" s="1191"/>
      <c r="R6162" s="1191"/>
      <c r="S6162" s="1191"/>
      <c r="T6162" s="1191"/>
      <c r="U6162" s="1191"/>
      <c r="V6162" s="1191"/>
      <c r="W6162" s="1191"/>
      <c r="X6162" s="1191"/>
      <c r="Y6162" s="1191"/>
      <c r="Z6162" s="1191"/>
      <c r="AA6162" s="1191"/>
      <c r="AB6162" s="1191"/>
      <c r="AC6162" s="1191"/>
      <c r="AD6162" s="1191"/>
      <c r="AE6162" s="1191"/>
      <c r="AF6162" s="1191"/>
      <c r="AG6162" s="1191"/>
      <c r="AH6162" s="1191"/>
      <c r="AI6162" s="1191"/>
      <c r="AJ6162" s="1191"/>
      <c r="AK6162" s="1191"/>
      <c r="AL6162" s="1191"/>
      <c r="AM6162" s="1191"/>
      <c r="AN6162" s="1191"/>
      <c r="AO6162" s="1191"/>
      <c r="AP6162" s="1191"/>
      <c r="AQ6162" s="1191"/>
      <c r="AR6162" s="1191"/>
      <c r="AS6162" s="1191"/>
      <c r="AT6162" s="1191"/>
      <c r="AU6162" s="1191"/>
      <c r="AV6162" s="1191"/>
      <c r="AW6162" s="1191"/>
      <c r="AX6162" s="1191"/>
      <c r="AY6162" s="1191"/>
      <c r="AZ6162" s="1191"/>
      <c r="BA6162" s="1191"/>
      <c r="BB6162" s="1191"/>
      <c r="BC6162" s="1191"/>
      <c r="BD6162" s="1191"/>
      <c r="BE6162" s="1191"/>
      <c r="BF6162" s="1191"/>
      <c r="BG6162" s="1191"/>
      <c r="BH6162" s="1191"/>
      <c r="BI6162" s="1191"/>
      <c r="BJ6162" s="1191"/>
      <c r="BK6162" s="1191"/>
      <c r="BL6162" s="1191"/>
      <c r="BM6162" s="1191"/>
      <c r="BN6162" s="1191"/>
      <c r="BO6162" s="1191"/>
      <c r="BP6162" s="1191"/>
      <c r="BQ6162" s="1191"/>
      <c r="BR6162" s="1191"/>
      <c r="BS6162" s="1191"/>
      <c r="BT6162" s="1191"/>
      <c r="BU6162" s="1191"/>
      <c r="BV6162" s="1191"/>
      <c r="BW6162" s="1191"/>
      <c r="BX6162" s="1191"/>
      <c r="BY6162" s="1191"/>
      <c r="BZ6162" s="1191"/>
      <c r="CA6162" s="1191"/>
      <c r="CB6162" s="1191"/>
      <c r="CC6162" s="1191"/>
      <c r="CD6162" s="1191"/>
      <c r="CE6162" s="1191"/>
      <c r="CF6162" s="1191"/>
      <c r="CG6162" s="1191"/>
      <c r="CH6162" s="1191"/>
      <c r="CI6162" s="1191"/>
      <c r="CJ6162" s="1191"/>
      <c r="CK6162" s="1191"/>
      <c r="CL6162" s="1191"/>
      <c r="CM6162" s="1191"/>
      <c r="CN6162" s="1191"/>
      <c r="CO6162" s="1191"/>
      <c r="CP6162" s="1191"/>
      <c r="CQ6162" s="1191"/>
      <c r="CR6162" s="1191"/>
      <c r="CS6162" s="1191"/>
      <c r="CT6162" s="1191"/>
      <c r="CU6162" s="1191"/>
      <c r="CV6162" s="1191"/>
      <c r="CW6162" s="1191"/>
      <c r="CX6162" s="1191"/>
      <c r="CY6162" s="1191"/>
      <c r="CZ6162" s="1191"/>
      <c r="DA6162" s="1191"/>
      <c r="DB6162" s="1191"/>
      <c r="DC6162" s="1191"/>
      <c r="DD6162" s="1191"/>
      <c r="DE6162" s="1191"/>
      <c r="DF6162" s="1191"/>
      <c r="DG6162" s="1191"/>
      <c r="DH6162" s="1191"/>
      <c r="DI6162" s="1191"/>
      <c r="DJ6162" s="1191"/>
      <c r="DK6162" s="1191"/>
      <c r="DL6162" s="1191"/>
      <c r="DM6162" s="1191"/>
      <c r="DN6162" s="1191"/>
    </row>
    <row r="6163" spans="1:118" s="1019" customFormat="1" ht="15" customHeight="1">
      <c r="A6163" s="1170" t="s">
        <v>3118</v>
      </c>
      <c r="B6163" s="1187">
        <v>4</v>
      </c>
      <c r="C6163" s="1188">
        <v>50</v>
      </c>
      <c r="D6163" s="1172" t="s">
        <v>1812</v>
      </c>
      <c r="E6163" s="1174">
        <v>0.13</v>
      </c>
      <c r="F6163" s="1189"/>
      <c r="G6163" s="1192"/>
      <c r="H6163" s="1191"/>
      <c r="I6163" s="1191"/>
      <c r="J6163" s="1191"/>
      <c r="K6163" s="1191"/>
      <c r="L6163" s="1191"/>
      <c r="M6163" s="1191"/>
      <c r="N6163" s="1191"/>
      <c r="O6163" s="1191"/>
      <c r="P6163" s="1191"/>
      <c r="Q6163" s="1191"/>
      <c r="R6163" s="1191"/>
      <c r="S6163" s="1191"/>
      <c r="T6163" s="1191"/>
      <c r="U6163" s="1191"/>
      <c r="V6163" s="1191"/>
      <c r="W6163" s="1191"/>
      <c r="X6163" s="1191"/>
      <c r="Y6163" s="1191"/>
      <c r="Z6163" s="1191"/>
      <c r="AA6163" s="1191"/>
      <c r="AB6163" s="1191"/>
      <c r="AC6163" s="1191"/>
      <c r="AD6163" s="1191"/>
      <c r="AE6163" s="1191"/>
      <c r="AF6163" s="1191"/>
      <c r="AG6163" s="1191"/>
      <c r="AH6163" s="1191"/>
      <c r="AI6163" s="1191"/>
      <c r="AJ6163" s="1191"/>
      <c r="AK6163" s="1191"/>
      <c r="AL6163" s="1191"/>
      <c r="AM6163" s="1191"/>
      <c r="AN6163" s="1191"/>
      <c r="AO6163" s="1191"/>
      <c r="AP6163" s="1191"/>
      <c r="AQ6163" s="1191"/>
      <c r="AR6163" s="1191"/>
      <c r="AS6163" s="1191"/>
      <c r="AT6163" s="1191"/>
      <c r="AU6163" s="1191"/>
      <c r="AV6163" s="1191"/>
      <c r="AW6163" s="1191"/>
      <c r="AX6163" s="1191"/>
      <c r="AY6163" s="1191"/>
      <c r="AZ6163" s="1191"/>
      <c r="BA6163" s="1191"/>
      <c r="BB6163" s="1191"/>
      <c r="BC6163" s="1191"/>
      <c r="BD6163" s="1191"/>
      <c r="BE6163" s="1191"/>
      <c r="BF6163" s="1191"/>
      <c r="BG6163" s="1191"/>
      <c r="BH6163" s="1191"/>
      <c r="BI6163" s="1191"/>
      <c r="BJ6163" s="1191"/>
      <c r="BK6163" s="1191"/>
      <c r="BL6163" s="1191"/>
      <c r="BM6163" s="1191"/>
      <c r="BN6163" s="1191"/>
      <c r="BO6163" s="1191"/>
      <c r="BP6163" s="1191"/>
      <c r="BQ6163" s="1191"/>
      <c r="BR6163" s="1191"/>
      <c r="BS6163" s="1191"/>
      <c r="BT6163" s="1191"/>
      <c r="BU6163" s="1191"/>
      <c r="BV6163" s="1191"/>
      <c r="BW6163" s="1191"/>
      <c r="BX6163" s="1191"/>
      <c r="BY6163" s="1191"/>
      <c r="BZ6163" s="1191"/>
      <c r="CA6163" s="1191"/>
      <c r="CB6163" s="1191"/>
      <c r="CC6163" s="1191"/>
      <c r="CD6163" s="1191"/>
      <c r="CE6163" s="1191"/>
      <c r="CF6163" s="1191"/>
      <c r="CG6163" s="1191"/>
      <c r="CH6163" s="1191"/>
      <c r="CI6163" s="1191"/>
      <c r="CJ6163" s="1191"/>
      <c r="CK6163" s="1191"/>
      <c r="CL6163" s="1191"/>
      <c r="CM6163" s="1191"/>
      <c r="CN6163" s="1191"/>
      <c r="CO6163" s="1191"/>
      <c r="CP6163" s="1191"/>
      <c r="CQ6163" s="1191"/>
      <c r="CR6163" s="1191"/>
      <c r="CS6163" s="1191"/>
      <c r="CT6163" s="1191"/>
      <c r="CU6163" s="1191"/>
      <c r="CV6163" s="1191"/>
      <c r="CW6163" s="1191"/>
      <c r="CX6163" s="1191"/>
      <c r="CY6163" s="1191"/>
      <c r="CZ6163" s="1191"/>
      <c r="DA6163" s="1191"/>
      <c r="DB6163" s="1191"/>
      <c r="DC6163" s="1191"/>
      <c r="DD6163" s="1191"/>
      <c r="DE6163" s="1191"/>
      <c r="DF6163" s="1191"/>
      <c r="DG6163" s="1191"/>
      <c r="DH6163" s="1191"/>
      <c r="DI6163" s="1191"/>
      <c r="DJ6163" s="1191"/>
      <c r="DK6163" s="1191"/>
      <c r="DL6163" s="1191"/>
      <c r="DM6163" s="1191"/>
      <c r="DN6163" s="1191"/>
    </row>
    <row r="6164" spans="1:118" s="1019" customFormat="1" ht="15" customHeight="1">
      <c r="A6164" s="1170" t="s">
        <v>3118</v>
      </c>
      <c r="B6164" s="1187">
        <v>6</v>
      </c>
      <c r="C6164" s="1188">
        <v>50</v>
      </c>
      <c r="D6164" s="1172" t="s">
        <v>1812</v>
      </c>
      <c r="E6164" s="1174">
        <v>0.25</v>
      </c>
      <c r="F6164" s="1189"/>
      <c r="G6164" s="1190"/>
      <c r="H6164" s="1191"/>
      <c r="I6164" s="1191"/>
      <c r="J6164" s="1191"/>
      <c r="K6164" s="1191"/>
      <c r="L6164" s="1191"/>
      <c r="M6164" s="1191"/>
      <c r="N6164" s="1191"/>
      <c r="O6164" s="1191"/>
      <c r="P6164" s="1191"/>
      <c r="Q6164" s="1191"/>
      <c r="R6164" s="1191"/>
      <c r="S6164" s="1191"/>
      <c r="T6164" s="1191"/>
      <c r="U6164" s="1191"/>
      <c r="V6164" s="1191"/>
      <c r="W6164" s="1191"/>
      <c r="X6164" s="1191"/>
      <c r="Y6164" s="1191"/>
      <c r="Z6164" s="1191"/>
      <c r="AA6164" s="1191"/>
      <c r="AB6164" s="1191"/>
      <c r="AC6164" s="1191"/>
      <c r="AD6164" s="1191"/>
      <c r="AE6164" s="1191"/>
      <c r="AF6164" s="1191"/>
      <c r="AG6164" s="1191"/>
      <c r="AH6164" s="1191"/>
      <c r="AI6164" s="1191"/>
      <c r="AJ6164" s="1191"/>
      <c r="AK6164" s="1191"/>
      <c r="AL6164" s="1191"/>
      <c r="AM6164" s="1191"/>
      <c r="AN6164" s="1191"/>
      <c r="AO6164" s="1191"/>
      <c r="AP6164" s="1191"/>
      <c r="AQ6164" s="1191"/>
      <c r="AR6164" s="1191"/>
      <c r="AS6164" s="1191"/>
      <c r="AT6164" s="1191"/>
      <c r="AU6164" s="1191"/>
      <c r="AV6164" s="1191"/>
      <c r="AW6164" s="1191"/>
      <c r="AX6164" s="1191"/>
      <c r="AY6164" s="1191"/>
      <c r="AZ6164" s="1191"/>
      <c r="BA6164" s="1191"/>
      <c r="BB6164" s="1191"/>
      <c r="BC6164" s="1191"/>
      <c r="BD6164" s="1191"/>
      <c r="BE6164" s="1191"/>
      <c r="BF6164" s="1191"/>
      <c r="BG6164" s="1191"/>
      <c r="BH6164" s="1191"/>
      <c r="BI6164" s="1191"/>
      <c r="BJ6164" s="1191"/>
      <c r="BK6164" s="1191"/>
      <c r="BL6164" s="1191"/>
      <c r="BM6164" s="1191"/>
      <c r="BN6164" s="1191"/>
      <c r="BO6164" s="1191"/>
      <c r="BP6164" s="1191"/>
      <c r="BQ6164" s="1191"/>
      <c r="BR6164" s="1191"/>
      <c r="BS6164" s="1191"/>
      <c r="BT6164" s="1191"/>
      <c r="BU6164" s="1191"/>
      <c r="BV6164" s="1191"/>
      <c r="BW6164" s="1191"/>
      <c r="BX6164" s="1191"/>
      <c r="BY6164" s="1191"/>
      <c r="BZ6164" s="1191"/>
      <c r="CA6164" s="1191"/>
      <c r="CB6164" s="1191"/>
      <c r="CC6164" s="1191"/>
      <c r="CD6164" s="1191"/>
      <c r="CE6164" s="1191"/>
      <c r="CF6164" s="1191"/>
      <c r="CG6164" s="1191"/>
      <c r="CH6164" s="1191"/>
      <c r="CI6164" s="1191"/>
      <c r="CJ6164" s="1191"/>
      <c r="CK6164" s="1191"/>
      <c r="CL6164" s="1191"/>
      <c r="CM6164" s="1191"/>
      <c r="CN6164" s="1191"/>
      <c r="CO6164" s="1191"/>
      <c r="CP6164" s="1191"/>
      <c r="CQ6164" s="1191"/>
      <c r="CR6164" s="1191"/>
      <c r="CS6164" s="1191"/>
      <c r="CT6164" s="1191"/>
      <c r="CU6164" s="1191"/>
      <c r="CV6164" s="1191"/>
      <c r="CW6164" s="1191"/>
      <c r="CX6164" s="1191"/>
      <c r="CY6164" s="1191"/>
      <c r="CZ6164" s="1191"/>
      <c r="DA6164" s="1191"/>
      <c r="DB6164" s="1191"/>
      <c r="DC6164" s="1191"/>
      <c r="DD6164" s="1191"/>
      <c r="DE6164" s="1191"/>
      <c r="DF6164" s="1191"/>
      <c r="DG6164" s="1191"/>
      <c r="DH6164" s="1191"/>
      <c r="DI6164" s="1191"/>
      <c r="DJ6164" s="1191"/>
      <c r="DK6164" s="1191"/>
      <c r="DL6164" s="1191"/>
      <c r="DM6164" s="1191"/>
      <c r="DN6164" s="1191"/>
    </row>
    <row r="6165" spans="1:118" s="1019" customFormat="1" ht="15" customHeight="1">
      <c r="A6165" s="1170" t="s">
        <v>3118</v>
      </c>
      <c r="B6165" s="1187">
        <v>8</v>
      </c>
      <c r="C6165" s="1188">
        <v>50</v>
      </c>
      <c r="D6165" s="1172" t="s">
        <v>1812</v>
      </c>
      <c r="E6165" s="1174">
        <v>0.49</v>
      </c>
      <c r="F6165" s="1189"/>
      <c r="G6165" s="1192"/>
      <c r="H6165" s="1191"/>
      <c r="I6165" s="1191"/>
      <c r="J6165" s="1191"/>
      <c r="K6165" s="1191"/>
      <c r="L6165" s="1191"/>
      <c r="M6165" s="1191"/>
      <c r="N6165" s="1191"/>
      <c r="O6165" s="1191"/>
      <c r="P6165" s="1191"/>
      <c r="Q6165" s="1191"/>
      <c r="R6165" s="1191"/>
      <c r="S6165" s="1191"/>
      <c r="T6165" s="1191"/>
      <c r="U6165" s="1191"/>
      <c r="V6165" s="1191"/>
      <c r="W6165" s="1191"/>
      <c r="X6165" s="1191"/>
      <c r="Y6165" s="1191"/>
      <c r="Z6165" s="1191"/>
      <c r="AA6165" s="1191"/>
      <c r="AB6165" s="1191"/>
      <c r="AC6165" s="1191"/>
      <c r="AD6165" s="1191"/>
      <c r="AE6165" s="1191"/>
      <c r="AF6165" s="1191"/>
      <c r="AG6165" s="1191"/>
      <c r="AH6165" s="1191"/>
      <c r="AI6165" s="1191"/>
      <c r="AJ6165" s="1191"/>
      <c r="AK6165" s="1191"/>
      <c r="AL6165" s="1191"/>
      <c r="AM6165" s="1191"/>
      <c r="AN6165" s="1191"/>
      <c r="AO6165" s="1191"/>
      <c r="AP6165" s="1191"/>
      <c r="AQ6165" s="1191"/>
      <c r="AR6165" s="1191"/>
      <c r="AS6165" s="1191"/>
      <c r="AT6165" s="1191"/>
      <c r="AU6165" s="1191"/>
      <c r="AV6165" s="1191"/>
      <c r="AW6165" s="1191"/>
      <c r="AX6165" s="1191"/>
      <c r="AY6165" s="1191"/>
      <c r="AZ6165" s="1191"/>
      <c r="BA6165" s="1191"/>
      <c r="BB6165" s="1191"/>
      <c r="BC6165" s="1191"/>
      <c r="BD6165" s="1191"/>
      <c r="BE6165" s="1191"/>
      <c r="BF6165" s="1191"/>
      <c r="BG6165" s="1191"/>
      <c r="BH6165" s="1191"/>
      <c r="BI6165" s="1191"/>
      <c r="BJ6165" s="1191"/>
      <c r="BK6165" s="1191"/>
      <c r="BL6165" s="1191"/>
      <c r="BM6165" s="1191"/>
      <c r="BN6165" s="1191"/>
      <c r="BO6165" s="1191"/>
      <c r="BP6165" s="1191"/>
      <c r="BQ6165" s="1191"/>
      <c r="BR6165" s="1191"/>
      <c r="BS6165" s="1191"/>
      <c r="BT6165" s="1191"/>
      <c r="BU6165" s="1191"/>
      <c r="BV6165" s="1191"/>
      <c r="BW6165" s="1191"/>
      <c r="BX6165" s="1191"/>
      <c r="BY6165" s="1191"/>
      <c r="BZ6165" s="1191"/>
      <c r="CA6165" s="1191"/>
      <c r="CB6165" s="1191"/>
      <c r="CC6165" s="1191"/>
      <c r="CD6165" s="1191"/>
      <c r="CE6165" s="1191"/>
      <c r="CF6165" s="1191"/>
      <c r="CG6165" s="1191"/>
      <c r="CH6165" s="1191"/>
      <c r="CI6165" s="1191"/>
      <c r="CJ6165" s="1191"/>
      <c r="CK6165" s="1191"/>
      <c r="CL6165" s="1191"/>
      <c r="CM6165" s="1191"/>
      <c r="CN6165" s="1191"/>
      <c r="CO6165" s="1191"/>
      <c r="CP6165" s="1191"/>
      <c r="CQ6165" s="1191"/>
      <c r="CR6165" s="1191"/>
      <c r="CS6165" s="1191"/>
      <c r="CT6165" s="1191"/>
      <c r="CU6165" s="1191"/>
      <c r="CV6165" s="1191"/>
      <c r="CW6165" s="1191"/>
      <c r="CX6165" s="1191"/>
      <c r="CY6165" s="1191"/>
      <c r="CZ6165" s="1191"/>
      <c r="DA6165" s="1191"/>
      <c r="DB6165" s="1191"/>
      <c r="DC6165" s="1191"/>
      <c r="DD6165" s="1191"/>
      <c r="DE6165" s="1191"/>
      <c r="DF6165" s="1191"/>
      <c r="DG6165" s="1191"/>
      <c r="DH6165" s="1191"/>
      <c r="DI6165" s="1191"/>
      <c r="DJ6165" s="1191"/>
      <c r="DK6165" s="1191"/>
      <c r="DL6165" s="1191"/>
      <c r="DM6165" s="1191"/>
      <c r="DN6165" s="1191"/>
    </row>
    <row r="6166" spans="1:118" s="1019" customFormat="1" ht="15" customHeight="1">
      <c r="A6166" s="1170" t="s">
        <v>3118</v>
      </c>
      <c r="B6166" s="1187">
        <v>10</v>
      </c>
      <c r="C6166" s="1171">
        <v>20</v>
      </c>
      <c r="D6166" s="1172" t="s">
        <v>1812</v>
      </c>
      <c r="E6166" s="1174">
        <v>0.72</v>
      </c>
      <c r="F6166" s="1189"/>
      <c r="G6166" s="1190"/>
      <c r="H6166" s="1191"/>
      <c r="I6166" s="1191"/>
      <c r="J6166" s="1191"/>
      <c r="K6166" s="1191"/>
      <c r="L6166" s="1191"/>
      <c r="M6166" s="1191"/>
      <c r="N6166" s="1191"/>
      <c r="O6166" s="1191"/>
      <c r="P6166" s="1191"/>
      <c r="Q6166" s="1191"/>
      <c r="R6166" s="1191"/>
      <c r="S6166" s="1191"/>
      <c r="T6166" s="1191"/>
      <c r="U6166" s="1191"/>
      <c r="V6166" s="1191"/>
      <c r="W6166" s="1191"/>
      <c r="X6166" s="1191"/>
      <c r="Y6166" s="1191"/>
      <c r="Z6166" s="1191"/>
      <c r="AA6166" s="1191"/>
      <c r="AB6166" s="1191"/>
      <c r="AC6166" s="1191"/>
      <c r="AD6166" s="1191"/>
      <c r="AE6166" s="1191"/>
      <c r="AF6166" s="1191"/>
      <c r="AG6166" s="1191"/>
      <c r="AH6166" s="1191"/>
      <c r="AI6166" s="1191"/>
      <c r="AJ6166" s="1191"/>
      <c r="AK6166" s="1191"/>
      <c r="AL6166" s="1191"/>
      <c r="AM6166" s="1191"/>
      <c r="AN6166" s="1191"/>
      <c r="AO6166" s="1191"/>
      <c r="AP6166" s="1191"/>
      <c r="AQ6166" s="1191"/>
      <c r="AR6166" s="1191"/>
      <c r="AS6166" s="1191"/>
      <c r="AT6166" s="1191"/>
      <c r="AU6166" s="1191"/>
      <c r="AV6166" s="1191"/>
      <c r="AW6166" s="1191"/>
      <c r="AX6166" s="1191"/>
      <c r="AY6166" s="1191"/>
      <c r="AZ6166" s="1191"/>
      <c r="BA6166" s="1191"/>
      <c r="BB6166" s="1191"/>
      <c r="BC6166" s="1191"/>
      <c r="BD6166" s="1191"/>
      <c r="BE6166" s="1191"/>
      <c r="BF6166" s="1191"/>
      <c r="BG6166" s="1191"/>
      <c r="BH6166" s="1191"/>
      <c r="BI6166" s="1191"/>
      <c r="BJ6166" s="1191"/>
      <c r="BK6166" s="1191"/>
      <c r="BL6166" s="1191"/>
      <c r="BM6166" s="1191"/>
      <c r="BN6166" s="1191"/>
      <c r="BO6166" s="1191"/>
      <c r="BP6166" s="1191"/>
      <c r="BQ6166" s="1191"/>
      <c r="BR6166" s="1191"/>
      <c r="BS6166" s="1191"/>
      <c r="BT6166" s="1191"/>
      <c r="BU6166" s="1191"/>
      <c r="BV6166" s="1191"/>
      <c r="BW6166" s="1191"/>
      <c r="BX6166" s="1191"/>
      <c r="BY6166" s="1191"/>
      <c r="BZ6166" s="1191"/>
      <c r="CA6166" s="1191"/>
      <c r="CB6166" s="1191"/>
      <c r="CC6166" s="1191"/>
      <c r="CD6166" s="1191"/>
      <c r="CE6166" s="1191"/>
      <c r="CF6166" s="1191"/>
      <c r="CG6166" s="1191"/>
      <c r="CH6166" s="1191"/>
      <c r="CI6166" s="1191"/>
      <c r="CJ6166" s="1191"/>
      <c r="CK6166" s="1191"/>
      <c r="CL6166" s="1191"/>
      <c r="CM6166" s="1191"/>
      <c r="CN6166" s="1191"/>
      <c r="CO6166" s="1191"/>
      <c r="CP6166" s="1191"/>
      <c r="CQ6166" s="1191"/>
      <c r="CR6166" s="1191"/>
      <c r="CS6166" s="1191"/>
      <c r="CT6166" s="1191"/>
      <c r="CU6166" s="1191"/>
      <c r="CV6166" s="1191"/>
      <c r="CW6166" s="1191"/>
      <c r="CX6166" s="1191"/>
      <c r="CY6166" s="1191"/>
      <c r="CZ6166" s="1191"/>
      <c r="DA6166" s="1191"/>
      <c r="DB6166" s="1191"/>
      <c r="DC6166" s="1191"/>
      <c r="DD6166" s="1191"/>
      <c r="DE6166" s="1191"/>
      <c r="DF6166" s="1191"/>
      <c r="DG6166" s="1191"/>
      <c r="DH6166" s="1191"/>
      <c r="DI6166" s="1191"/>
      <c r="DJ6166" s="1191"/>
      <c r="DK6166" s="1191"/>
      <c r="DL6166" s="1191"/>
      <c r="DM6166" s="1191"/>
      <c r="DN6166" s="1191"/>
    </row>
    <row r="6169" spans="1:118" s="888" customFormat="1" ht="12.75">
      <c r="A6169" s="1059" t="s">
        <v>2899</v>
      </c>
      <c r="B6169" s="887" t="s">
        <v>3122</v>
      </c>
      <c r="C6169" s="902" t="s">
        <v>52</v>
      </c>
      <c r="D6169" s="902" t="s">
        <v>1710</v>
      </c>
      <c r="E6169" s="887" t="s">
        <v>1186</v>
      </c>
      <c r="F6169" s="887" t="s">
        <v>1652</v>
      </c>
      <c r="G6169" s="887" t="s">
        <v>1653</v>
      </c>
    </row>
    <row r="6170" spans="1:118" s="888" customFormat="1" ht="12.75">
      <c r="A6170" s="1059" t="s">
        <v>2899</v>
      </c>
      <c r="B6170" s="47" t="s">
        <v>18</v>
      </c>
      <c r="C6170" s="260">
        <v>30</v>
      </c>
      <c r="D6170" s="47" t="s">
        <v>2727</v>
      </c>
      <c r="E6170" s="903">
        <v>30</v>
      </c>
      <c r="F6170" s="904">
        <v>19</v>
      </c>
      <c r="G6170" s="50">
        <f>E6170*F6170</f>
        <v>570</v>
      </c>
    </row>
    <row r="6171" spans="1:118" s="888" customFormat="1" ht="12.75">
      <c r="A6171" s="1193"/>
      <c r="B6171" s="1116"/>
      <c r="C6171" s="921"/>
      <c r="D6171" s="921"/>
      <c r="E6171" s="1194"/>
      <c r="F6171" s="1195"/>
      <c r="G6171" s="1196"/>
    </row>
    <row r="6172" spans="1:118" s="888" customFormat="1" ht="12.75">
      <c r="A6172" s="1059" t="s">
        <v>3120</v>
      </c>
      <c r="B6172" s="887" t="s">
        <v>3123</v>
      </c>
      <c r="C6172" s="902" t="s">
        <v>52</v>
      </c>
      <c r="D6172" s="902" t="s">
        <v>1710</v>
      </c>
      <c r="E6172" s="887" t="s">
        <v>1186</v>
      </c>
      <c r="F6172" s="887" t="s">
        <v>1652</v>
      </c>
      <c r="G6172" s="887" t="s">
        <v>1653</v>
      </c>
    </row>
    <row r="6173" spans="1:118" s="888" customFormat="1" ht="12.75">
      <c r="A6173" s="1059" t="s">
        <v>3120</v>
      </c>
      <c r="B6173" s="47" t="s">
        <v>18</v>
      </c>
      <c r="C6173" s="260">
        <v>30</v>
      </c>
      <c r="D6173" s="47" t="s">
        <v>2727</v>
      </c>
      <c r="E6173" s="903">
        <v>30</v>
      </c>
      <c r="F6173" s="904">
        <v>11</v>
      </c>
      <c r="G6173" s="50">
        <f>E6173*F6173</f>
        <v>330</v>
      </c>
    </row>
    <row r="6175" spans="1:118">
      <c r="A6175" s="776" t="s">
        <v>3132</v>
      </c>
    </row>
    <row r="6176" spans="1:118" s="843" customFormat="1" ht="25.5">
      <c r="A6176" s="886" t="s">
        <v>1400</v>
      </c>
      <c r="B6176" s="952" t="s">
        <v>2724</v>
      </c>
      <c r="C6176" s="951" t="s">
        <v>1181</v>
      </c>
      <c r="D6176" s="953" t="s">
        <v>2467</v>
      </c>
      <c r="E6176" s="951" t="s">
        <v>1752</v>
      </c>
    </row>
    <row r="6177" spans="1:9" s="843" customFormat="1" ht="24" customHeight="1">
      <c r="A6177" s="954" t="s">
        <v>3124</v>
      </c>
      <c r="B6177" s="954" t="s">
        <v>3125</v>
      </c>
      <c r="C6177" s="954" t="s">
        <v>2725</v>
      </c>
      <c r="D6177" s="957">
        <f>ROUNDUP(F6177/0.8/120,2)</f>
        <v>37.5</v>
      </c>
      <c r="E6177" s="1197" t="s">
        <v>2472</v>
      </c>
      <c r="F6177" s="843">
        <v>3600</v>
      </c>
    </row>
    <row r="6178" spans="1:9" ht="14.25">
      <c r="A6178" s="954" t="s">
        <v>3131</v>
      </c>
      <c r="B6178" s="954" t="s">
        <v>3125</v>
      </c>
      <c r="C6178" s="954" t="s">
        <v>2725</v>
      </c>
      <c r="D6178" s="957">
        <v>5.25</v>
      </c>
      <c r="E6178" s="1197" t="s">
        <v>2472</v>
      </c>
      <c r="F6178" s="843">
        <v>450</v>
      </c>
      <c r="G6178" s="954"/>
    </row>
    <row r="6179" spans="1:9" s="1199" customFormat="1" ht="12.75">
      <c r="A6179" s="954" t="s">
        <v>3133</v>
      </c>
      <c r="B6179" s="954" t="s">
        <v>2471</v>
      </c>
      <c r="C6179" s="954" t="s">
        <v>2725</v>
      </c>
      <c r="D6179" s="957">
        <f>ROUNDUP(F6179/0.8/120,2)</f>
        <v>28.130000000000003</v>
      </c>
      <c r="E6179" s="1197" t="s">
        <v>2472</v>
      </c>
      <c r="F6179" s="1198">
        <v>2700</v>
      </c>
      <c r="G6179" s="1197" t="s">
        <v>2472</v>
      </c>
    </row>
    <row r="6180" spans="1:9">
      <c r="A6180" s="902" t="s">
        <v>105</v>
      </c>
      <c r="B6180" s="902" t="s">
        <v>106</v>
      </c>
      <c r="C6180" s="902" t="s">
        <v>52</v>
      </c>
      <c r="D6180" s="902" t="s">
        <v>1710</v>
      </c>
      <c r="E6180" s="887" t="s">
        <v>1186</v>
      </c>
      <c r="F6180" s="887" t="s">
        <v>1652</v>
      </c>
      <c r="G6180" s="887" t="s">
        <v>1653</v>
      </c>
      <c r="H6180" s="887" t="s">
        <v>1825</v>
      </c>
      <c r="I6180" s="887" t="s">
        <v>986</v>
      </c>
    </row>
    <row r="6181" spans="1:9">
      <c r="A6181" s="4" t="s">
        <v>3126</v>
      </c>
      <c r="B6181" s="47" t="s">
        <v>18</v>
      </c>
      <c r="C6181" s="260">
        <v>30</v>
      </c>
      <c r="D6181" s="47" t="s">
        <v>2727</v>
      </c>
      <c r="E6181" s="903">
        <v>30</v>
      </c>
      <c r="F6181" s="904">
        <v>11</v>
      </c>
      <c r="G6181" s="50">
        <f>E6181*F6181</f>
        <v>330</v>
      </c>
      <c r="H6181" s="891">
        <v>4.26</v>
      </c>
      <c r="I6181" s="1050" t="s">
        <v>3127</v>
      </c>
    </row>
    <row r="6183" spans="1:9">
      <c r="A6183" s="902" t="s">
        <v>105</v>
      </c>
      <c r="B6183" s="902" t="s">
        <v>106</v>
      </c>
      <c r="C6183" s="902" t="s">
        <v>52</v>
      </c>
      <c r="D6183" s="902" t="s">
        <v>1710</v>
      </c>
      <c r="E6183" s="887" t="s">
        <v>1186</v>
      </c>
      <c r="F6183" s="887" t="s">
        <v>1652</v>
      </c>
      <c r="G6183" s="887" t="s">
        <v>1653</v>
      </c>
      <c r="H6183" s="887" t="s">
        <v>1825</v>
      </c>
      <c r="I6183" s="887" t="s">
        <v>986</v>
      </c>
    </row>
    <row r="6184" spans="1:9">
      <c r="A6184" s="947" t="s">
        <v>3119</v>
      </c>
      <c r="B6184" s="47" t="s">
        <v>18</v>
      </c>
      <c r="C6184" s="260">
        <v>30</v>
      </c>
      <c r="D6184" s="47" t="s">
        <v>2727</v>
      </c>
      <c r="E6184" s="903">
        <v>30</v>
      </c>
      <c r="F6184" s="904">
        <v>19</v>
      </c>
      <c r="G6184" s="50">
        <f>E6184*F6184</f>
        <v>570</v>
      </c>
      <c r="H6184" s="891">
        <v>4.26</v>
      </c>
      <c r="I6184" s="1050" t="s">
        <v>3127</v>
      </c>
    </row>
    <row r="6187" spans="1:9">
      <c r="A6187" s="902" t="s">
        <v>106</v>
      </c>
      <c r="B6187" s="902" t="s">
        <v>377</v>
      </c>
      <c r="C6187" s="902" t="s">
        <v>128</v>
      </c>
      <c r="D6187" s="887" t="s">
        <v>1186</v>
      </c>
      <c r="E6187" s="887" t="s">
        <v>1652</v>
      </c>
      <c r="F6187" s="887" t="s">
        <v>3109</v>
      </c>
      <c r="G6187" s="887" t="s">
        <v>3130</v>
      </c>
    </row>
    <row r="6188" spans="1:9">
      <c r="A6188" s="47" t="s">
        <v>2049</v>
      </c>
      <c r="B6188" s="907">
        <v>152</v>
      </c>
      <c r="C6188" s="47" t="s">
        <v>3128</v>
      </c>
      <c r="D6188" s="905">
        <v>58</v>
      </c>
      <c r="E6188" s="906">
        <v>11</v>
      </c>
      <c r="F6188" s="905">
        <f>D6188*E6188</f>
        <v>638</v>
      </c>
      <c r="G6188" s="891">
        <v>5.7</v>
      </c>
    </row>
    <row r="6189" spans="1:9">
      <c r="A6189" s="47" t="s">
        <v>2049</v>
      </c>
      <c r="B6189" s="907">
        <v>152</v>
      </c>
      <c r="C6189" s="47" t="s">
        <v>3129</v>
      </c>
      <c r="D6189" s="905">
        <v>58</v>
      </c>
      <c r="E6189" s="906">
        <v>4</v>
      </c>
      <c r="F6189" s="905">
        <f>D6189*E6189</f>
        <v>232</v>
      </c>
      <c r="G6189" s="891">
        <v>8.9</v>
      </c>
    </row>
    <row r="6190" spans="1:9">
      <c r="A6190" s="47" t="s">
        <v>2049</v>
      </c>
      <c r="B6190" s="907">
        <v>152</v>
      </c>
      <c r="C6190" s="47" t="s">
        <v>114</v>
      </c>
      <c r="D6190" s="905">
        <v>58</v>
      </c>
      <c r="E6190" s="906">
        <v>7</v>
      </c>
      <c r="F6190" s="905">
        <f>D6190*E6190</f>
        <v>406</v>
      </c>
      <c r="G6190" s="891">
        <v>5.84</v>
      </c>
    </row>
    <row r="6192" spans="1:9" s="888" customFormat="1" ht="12.75">
      <c r="A6192" s="902" t="s">
        <v>106</v>
      </c>
      <c r="B6192" s="902" t="s">
        <v>377</v>
      </c>
      <c r="C6192" s="902" t="s">
        <v>128</v>
      </c>
      <c r="D6192" s="887" t="s">
        <v>1186</v>
      </c>
      <c r="E6192" s="887" t="s">
        <v>1652</v>
      </c>
      <c r="F6192" s="887" t="s">
        <v>3109</v>
      </c>
      <c r="G6192" s="887" t="s">
        <v>3130</v>
      </c>
    </row>
    <row r="6193" spans="1:7" s="888" customFormat="1" ht="12.75">
      <c r="A6193" s="47">
        <v>2440</v>
      </c>
      <c r="B6193" s="907">
        <v>140</v>
      </c>
      <c r="C6193" s="47" t="s">
        <v>3134</v>
      </c>
      <c r="D6193" s="905">
        <v>58</v>
      </c>
      <c r="E6193" s="906">
        <v>11</v>
      </c>
      <c r="F6193" s="50">
        <f>D6193*E6193</f>
        <v>638</v>
      </c>
      <c r="G6193" s="891">
        <v>4.7300000000000004</v>
      </c>
    </row>
    <row r="6194" spans="1:7" s="888" customFormat="1" ht="12.75">
      <c r="A6194" s="47">
        <v>2440</v>
      </c>
      <c r="B6194" s="907">
        <v>140</v>
      </c>
      <c r="C6194" s="47" t="s">
        <v>3135</v>
      </c>
      <c r="D6194" s="905">
        <v>58</v>
      </c>
      <c r="E6194" s="906">
        <v>4</v>
      </c>
      <c r="F6194" s="50">
        <f>D6194*E6194</f>
        <v>232</v>
      </c>
      <c r="G6194" s="891">
        <v>4.7300000000000004</v>
      </c>
    </row>
    <row r="6195" spans="1:7" s="888" customFormat="1" ht="12.75">
      <c r="A6195" s="47">
        <v>2440</v>
      </c>
      <c r="B6195" s="907">
        <v>140</v>
      </c>
      <c r="C6195" s="47" t="s">
        <v>114</v>
      </c>
      <c r="D6195" s="905">
        <v>58</v>
      </c>
      <c r="E6195" s="906">
        <v>7</v>
      </c>
      <c r="F6195" s="50">
        <f>D6195*E6195</f>
        <v>406</v>
      </c>
      <c r="G6195" s="891">
        <v>4.7300000000000004</v>
      </c>
    </row>
    <row r="6198" spans="1:7">
      <c r="A6198" s="902" t="s">
        <v>106</v>
      </c>
      <c r="B6198" s="902" t="s">
        <v>377</v>
      </c>
      <c r="C6198" s="902" t="s">
        <v>128</v>
      </c>
      <c r="D6198" s="887" t="s">
        <v>1186</v>
      </c>
      <c r="E6198" s="887" t="s">
        <v>1652</v>
      </c>
      <c r="F6198" s="887" t="s">
        <v>1653</v>
      </c>
      <c r="G6198" s="887" t="s">
        <v>1825</v>
      </c>
    </row>
    <row r="6199" spans="1:7">
      <c r="A6199" s="47" t="s">
        <v>3033</v>
      </c>
      <c r="B6199" s="1146" t="s">
        <v>3034</v>
      </c>
      <c r="C6199" s="260" t="s">
        <v>3054</v>
      </c>
      <c r="D6199" s="983">
        <v>43.5</v>
      </c>
      <c r="E6199" s="906">
        <v>1</v>
      </c>
      <c r="F6199" s="983">
        <f>D6199*E6199</f>
        <v>43.5</v>
      </c>
      <c r="G6199" s="1061">
        <v>9.9</v>
      </c>
    </row>
    <row r="6200" spans="1:7">
      <c r="A6200" s="47" t="s">
        <v>3033</v>
      </c>
      <c r="B6200" s="1146" t="s">
        <v>3034</v>
      </c>
      <c r="C6200" s="260" t="s">
        <v>3054</v>
      </c>
      <c r="D6200" s="983">
        <v>44.5</v>
      </c>
      <c r="E6200" s="906">
        <v>1</v>
      </c>
      <c r="F6200" s="983">
        <f>D6200*E6200</f>
        <v>44.5</v>
      </c>
      <c r="G6200" s="1061">
        <v>9.9</v>
      </c>
    </row>
    <row r="6201" spans="1:7">
      <c r="A6201" s="47" t="s">
        <v>3033</v>
      </c>
      <c r="B6201" s="1146" t="s">
        <v>3034</v>
      </c>
      <c r="C6201" s="260" t="s">
        <v>3054</v>
      </c>
      <c r="D6201" s="983">
        <v>45</v>
      </c>
      <c r="E6201" s="906">
        <v>1</v>
      </c>
      <c r="F6201" s="983">
        <f>D6201*E6201</f>
        <v>45</v>
      </c>
      <c r="G6201" s="1061">
        <v>9.9</v>
      </c>
    </row>
    <row r="6202" spans="1:7">
      <c r="A6202" s="47" t="s">
        <v>3033</v>
      </c>
      <c r="B6202" s="1146" t="s">
        <v>3034</v>
      </c>
      <c r="C6202" s="260" t="s">
        <v>3054</v>
      </c>
      <c r="D6202" s="983">
        <v>45</v>
      </c>
      <c r="E6202" s="906">
        <v>1</v>
      </c>
      <c r="F6202" s="983">
        <f>D6202*E6202</f>
        <v>45</v>
      </c>
      <c r="G6202" s="1061">
        <v>9.9</v>
      </c>
    </row>
    <row r="6203" spans="1:7">
      <c r="A6203" s="47" t="s">
        <v>3033</v>
      </c>
      <c r="B6203" s="1146" t="s">
        <v>3034</v>
      </c>
      <c r="C6203" s="260" t="s">
        <v>3054</v>
      </c>
      <c r="D6203" s="983">
        <v>47</v>
      </c>
      <c r="E6203" s="906">
        <v>1</v>
      </c>
      <c r="F6203" s="983">
        <f>D6203*E6203</f>
        <v>47</v>
      </c>
      <c r="G6203" s="1061">
        <v>9.9</v>
      </c>
    </row>
    <row r="6205" spans="1:7">
      <c r="A6205" s="895" t="s">
        <v>3141</v>
      </c>
    </row>
    <row r="6206" spans="1:7" s="1163" customFormat="1" ht="25.5">
      <c r="A6206" s="1166" t="s">
        <v>1369</v>
      </c>
      <c r="B6206" s="1167" t="s">
        <v>2</v>
      </c>
      <c r="C6206" s="1168" t="s">
        <v>1734</v>
      </c>
      <c r="D6206" s="902" t="s">
        <v>2264</v>
      </c>
      <c r="E6206" s="902" t="s">
        <v>1181</v>
      </c>
      <c r="F6206" s="1169" t="s">
        <v>3117</v>
      </c>
      <c r="G6206" s="1201" t="s">
        <v>1403</v>
      </c>
    </row>
    <row r="6207" spans="1:7" s="1165" customFormat="1" ht="15" customHeight="1">
      <c r="A6207" s="1170" t="s">
        <v>3140</v>
      </c>
      <c r="B6207" s="1171">
        <v>50</v>
      </c>
      <c r="C6207" s="1172" t="s">
        <v>1812</v>
      </c>
      <c r="D6207" s="1173" t="s">
        <v>3091</v>
      </c>
      <c r="E6207" s="1173" t="s">
        <v>3092</v>
      </c>
      <c r="F6207" s="1174">
        <v>0.3</v>
      </c>
      <c r="G6207" s="1164"/>
    </row>
    <row r="6210" spans="1:19">
      <c r="A6210" s="902" t="s">
        <v>106</v>
      </c>
      <c r="B6210" s="902" t="s">
        <v>52</v>
      </c>
      <c r="C6210" s="902" t="s">
        <v>128</v>
      </c>
      <c r="D6210" s="887" t="s">
        <v>1186</v>
      </c>
      <c r="E6210" s="887" t="s">
        <v>1652</v>
      </c>
      <c r="F6210" s="887" t="s">
        <v>3109</v>
      </c>
      <c r="G6210" s="887" t="s">
        <v>3130</v>
      </c>
    </row>
    <row r="6211" spans="1:19">
      <c r="A6211" s="47">
        <v>5291</v>
      </c>
      <c r="B6211" s="48">
        <v>8</v>
      </c>
      <c r="C6211" s="47" t="s">
        <v>29</v>
      </c>
      <c r="D6211" s="905">
        <v>50</v>
      </c>
      <c r="E6211" s="906">
        <v>32</v>
      </c>
      <c r="F6211" s="905">
        <f>D6211*E6211</f>
        <v>1600</v>
      </c>
      <c r="G6211" s="891">
        <v>0.62</v>
      </c>
    </row>
    <row r="6212" spans="1:19">
      <c r="A6212" s="47">
        <v>5291</v>
      </c>
      <c r="B6212" s="48">
        <v>6</v>
      </c>
      <c r="C6212" s="47" t="s">
        <v>29</v>
      </c>
      <c r="D6212" s="905">
        <v>50</v>
      </c>
      <c r="E6212" s="906">
        <v>7</v>
      </c>
      <c r="F6212" s="905">
        <f>D6212*E6212</f>
        <v>350</v>
      </c>
      <c r="G6212" s="891">
        <v>0.4</v>
      </c>
    </row>
    <row r="6213" spans="1:19">
      <c r="A6213" s="47">
        <v>3806</v>
      </c>
      <c r="B6213" s="260">
        <v>38</v>
      </c>
      <c r="C6213" s="47" t="s">
        <v>338</v>
      </c>
      <c r="D6213" s="903">
        <v>30</v>
      </c>
      <c r="E6213" s="904">
        <v>6</v>
      </c>
      <c r="F6213" s="905">
        <f>D6213*E6213</f>
        <v>180</v>
      </c>
      <c r="G6213" s="891">
        <v>0.92</v>
      </c>
    </row>
    <row r="6216" spans="1:19">
      <c r="A6216" t="s">
        <v>3144</v>
      </c>
    </row>
    <row r="6217" spans="1:19" s="888" customFormat="1" ht="12.75">
      <c r="A6217" s="902" t="s">
        <v>106</v>
      </c>
      <c r="B6217" s="887" t="s">
        <v>52</v>
      </c>
      <c r="C6217" s="887" t="s">
        <v>1186</v>
      </c>
      <c r="D6217" s="887" t="s">
        <v>1734</v>
      </c>
      <c r="E6217" s="887" t="s">
        <v>1825</v>
      </c>
    </row>
    <row r="6218" spans="1:19" s="888" customFormat="1" ht="12.75">
      <c r="A6218" s="47" t="s">
        <v>2777</v>
      </c>
      <c r="B6218" s="48" t="s">
        <v>3142</v>
      </c>
      <c r="C6218" s="905" t="s">
        <v>3143</v>
      </c>
      <c r="D6218" s="905" t="s">
        <v>3143</v>
      </c>
      <c r="E6218" s="51">
        <f>ROUNDUP(F6218/0.4/120,2)</f>
        <v>1.69</v>
      </c>
      <c r="F6218" s="888">
        <v>81</v>
      </c>
    </row>
    <row r="6223" spans="1:19">
      <c r="A6223" s="902" t="s">
        <v>106</v>
      </c>
      <c r="B6223" s="887" t="s">
        <v>52</v>
      </c>
      <c r="C6223" s="967" t="s">
        <v>3173</v>
      </c>
      <c r="D6223" s="902" t="s">
        <v>128</v>
      </c>
      <c r="E6223" s="887" t="s">
        <v>1186</v>
      </c>
      <c r="F6223" s="887" t="s">
        <v>1652</v>
      </c>
      <c r="G6223" s="887" t="s">
        <v>1653</v>
      </c>
      <c r="H6223" s="887" t="s">
        <v>3174</v>
      </c>
      <c r="I6223" s="887" t="s">
        <v>3175</v>
      </c>
    </row>
    <row r="6224" spans="1:19" s="888" customFormat="1" ht="12.75">
      <c r="A6224" s="889" t="s">
        <v>3172</v>
      </c>
      <c r="B6224" s="260">
        <v>3</v>
      </c>
      <c r="C6224" s="889" t="s">
        <v>3170</v>
      </c>
      <c r="D6224" s="47" t="s">
        <v>1473</v>
      </c>
      <c r="E6224" s="903">
        <v>25</v>
      </c>
      <c r="F6224" s="904">
        <v>1</v>
      </c>
      <c r="G6224" s="905">
        <f>E6224*F6224</f>
        <v>25</v>
      </c>
      <c r="H6224" s="47">
        <v>77</v>
      </c>
      <c r="I6224" s="950" t="s">
        <v>3162</v>
      </c>
      <c r="J6224" s="1205">
        <v>1.62</v>
      </c>
      <c r="K6224" s="891">
        <f>J6224*G6224</f>
        <v>40.5</v>
      </c>
      <c r="L6224" s="1202" t="s">
        <v>2219</v>
      </c>
      <c r="M6224" s="39"/>
      <c r="N6224" s="1148"/>
      <c r="O6224" s="891" t="e">
        <f>J6224*(VLOOKUP(#REF!,$C$2:$F$6,3,FALSE))</f>
        <v>#REF!</v>
      </c>
      <c r="P6224" s="1203">
        <v>1.43</v>
      </c>
      <c r="Q6224" s="1151">
        <v>77</v>
      </c>
      <c r="R6224" s="1204">
        <f>Q6224*G6224</f>
        <v>1925</v>
      </c>
      <c r="S6224" s="1619" t="s">
        <v>3162</v>
      </c>
    </row>
    <row r="6225" spans="1:19" s="888" customFormat="1" ht="12.75">
      <c r="A6225" s="889" t="s">
        <v>3151</v>
      </c>
      <c r="B6225" s="260">
        <v>10</v>
      </c>
      <c r="C6225" s="1206" t="s">
        <v>3171</v>
      </c>
      <c r="D6225" s="47" t="s">
        <v>3153</v>
      </c>
      <c r="E6225" s="903">
        <v>25</v>
      </c>
      <c r="F6225" s="904">
        <v>1</v>
      </c>
      <c r="G6225" s="905">
        <f>E6225*F6225</f>
        <v>25</v>
      </c>
      <c r="H6225" s="47">
        <v>54</v>
      </c>
      <c r="I6225" s="950" t="s">
        <v>3163</v>
      </c>
      <c r="J6225" s="1205">
        <v>1.1000000000000001</v>
      </c>
      <c r="K6225" s="891">
        <f>J6225*G6225</f>
        <v>27.500000000000004</v>
      </c>
      <c r="L6225" s="1202" t="s">
        <v>2219</v>
      </c>
      <c r="M6225" s="39"/>
      <c r="N6225" s="1148"/>
      <c r="O6225" s="891" t="e">
        <f>J6225*(VLOOKUP(#REF!,$C$2:$F$6,3,FALSE))</f>
        <v>#REF!</v>
      </c>
      <c r="P6225" s="1203">
        <v>0.97</v>
      </c>
      <c r="Q6225" s="1151">
        <v>54</v>
      </c>
      <c r="R6225" s="1204">
        <f>Q6225*G6225</f>
        <v>1350</v>
      </c>
      <c r="S6225" s="1619" t="s">
        <v>3163</v>
      </c>
    </row>
    <row r="6226" spans="1:19" s="888" customFormat="1" ht="12.75">
      <c r="A6226" s="889" t="s">
        <v>3167</v>
      </c>
      <c r="B6226" s="260">
        <v>7</v>
      </c>
      <c r="C6226" s="889" t="s">
        <v>3176</v>
      </c>
      <c r="D6226" s="47" t="s">
        <v>3153</v>
      </c>
      <c r="E6226" s="903">
        <v>25</v>
      </c>
      <c r="F6226" s="904">
        <v>1</v>
      </c>
      <c r="G6226" s="905">
        <f>E6226*F6226</f>
        <v>25</v>
      </c>
      <c r="H6226" s="47">
        <v>146</v>
      </c>
      <c r="I6226" s="950" t="s">
        <v>3164</v>
      </c>
      <c r="J6226" s="1205">
        <v>2.8</v>
      </c>
      <c r="K6226" s="891">
        <f>J6226*G6226</f>
        <v>70</v>
      </c>
      <c r="L6226" s="1202" t="s">
        <v>2219</v>
      </c>
      <c r="M6226" s="39"/>
      <c r="N6226" s="1148"/>
      <c r="O6226" s="891" t="e">
        <f>J6226*(VLOOKUP(#REF!,$C$2:$F$6,3,FALSE))</f>
        <v>#REF!</v>
      </c>
      <c r="P6226" s="1203">
        <v>2.46</v>
      </c>
      <c r="Q6226" s="1151">
        <v>146</v>
      </c>
      <c r="R6226" s="1204">
        <f>Q6226*G6226</f>
        <v>3650</v>
      </c>
      <c r="S6226" s="1619" t="s">
        <v>3164</v>
      </c>
    </row>
    <row r="6227" spans="1:19" s="888" customFormat="1" ht="12.75">
      <c r="A6227" s="889" t="s">
        <v>3168</v>
      </c>
      <c r="B6227" s="260">
        <v>7</v>
      </c>
      <c r="C6227" s="889" t="s">
        <v>3177</v>
      </c>
      <c r="D6227" s="47" t="s">
        <v>1473</v>
      </c>
      <c r="E6227" s="903">
        <v>25</v>
      </c>
      <c r="F6227" s="904">
        <v>1</v>
      </c>
      <c r="G6227" s="905">
        <f>E6227*F6227</f>
        <v>25</v>
      </c>
      <c r="H6227" s="47">
        <v>171</v>
      </c>
      <c r="I6227" s="950" t="s">
        <v>3165</v>
      </c>
      <c r="J6227" s="1205">
        <v>3.45</v>
      </c>
      <c r="K6227" s="891">
        <f>J6227*G6227</f>
        <v>86.25</v>
      </c>
      <c r="L6227" s="1202" t="s">
        <v>2219</v>
      </c>
      <c r="M6227" s="39"/>
      <c r="N6227" s="1148"/>
      <c r="O6227" s="891" t="e">
        <f>J6227*(VLOOKUP(#REF!,$C$2:$F$6,3,FALSE))</f>
        <v>#REF!</v>
      </c>
      <c r="P6227" s="1203">
        <v>3.04</v>
      </c>
      <c r="Q6227" s="1151">
        <v>171</v>
      </c>
      <c r="R6227" s="1204">
        <f>Q6227*G6227</f>
        <v>4275</v>
      </c>
      <c r="S6227" s="1619" t="s">
        <v>3165</v>
      </c>
    </row>
    <row r="6228" spans="1:19" s="888" customFormat="1" ht="12.75">
      <c r="A6228" s="889" t="s">
        <v>3169</v>
      </c>
      <c r="B6228" s="260">
        <v>10</v>
      </c>
      <c r="C6228" s="889" t="s">
        <v>3178</v>
      </c>
      <c r="D6228" s="47" t="s">
        <v>1473</v>
      </c>
      <c r="E6228" s="903">
        <v>25</v>
      </c>
      <c r="F6228" s="904">
        <v>1</v>
      </c>
      <c r="G6228" s="905">
        <f>E6228*F6228</f>
        <v>25</v>
      </c>
      <c r="H6228" s="47">
        <v>199</v>
      </c>
      <c r="I6228" s="950" t="s">
        <v>3166</v>
      </c>
      <c r="J6228" s="1205">
        <v>3.82</v>
      </c>
      <c r="K6228" s="891">
        <f>J6228*G6228</f>
        <v>95.5</v>
      </c>
      <c r="L6228" s="1202" t="s">
        <v>2219</v>
      </c>
      <c r="M6228" s="39"/>
      <c r="N6228" s="1148"/>
      <c r="O6228" s="891" t="e">
        <f>J6228*(VLOOKUP(#REF!,$C$2:$F$6,3,FALSE))</f>
        <v>#REF!</v>
      </c>
      <c r="P6228" s="1203">
        <v>3.36</v>
      </c>
      <c r="Q6228" s="1151">
        <v>199</v>
      </c>
      <c r="R6228" s="1204">
        <f>Q6228*G6228</f>
        <v>4975</v>
      </c>
      <c r="S6228" s="1619" t="s">
        <v>3166</v>
      </c>
    </row>
    <row r="6232" spans="1:19">
      <c r="A6232" s="902" t="s">
        <v>105</v>
      </c>
      <c r="B6232" s="902" t="s">
        <v>106</v>
      </c>
      <c r="C6232" s="902" t="s">
        <v>128</v>
      </c>
      <c r="D6232" s="887" t="s">
        <v>1186</v>
      </c>
      <c r="E6232" s="887" t="s">
        <v>1652</v>
      </c>
      <c r="F6232" s="887" t="s">
        <v>1653</v>
      </c>
      <c r="G6232" s="887" t="s">
        <v>1825</v>
      </c>
    </row>
    <row r="6233" spans="1:19">
      <c r="A6233" s="947" t="s">
        <v>3146</v>
      </c>
      <c r="B6233" s="47" t="s">
        <v>1219</v>
      </c>
      <c r="C6233" s="47" t="s">
        <v>17</v>
      </c>
      <c r="D6233" s="905">
        <v>50</v>
      </c>
      <c r="E6233" s="906">
        <v>8</v>
      </c>
      <c r="F6233" s="905">
        <f>D6233*E6233</f>
        <v>400</v>
      </c>
      <c r="G6233" s="891">
        <v>0.3</v>
      </c>
    </row>
    <row r="6234" spans="1:19">
      <c r="A6234" s="947" t="s">
        <v>3146</v>
      </c>
      <c r="B6234" s="47"/>
      <c r="C6234" s="260" t="s">
        <v>1993</v>
      </c>
      <c r="D6234" s="905"/>
      <c r="E6234" s="906"/>
      <c r="F6234" s="894">
        <v>1</v>
      </c>
      <c r="G6234" s="891">
        <v>12</v>
      </c>
    </row>
    <row r="6238" spans="1:19">
      <c r="A6238" s="902" t="s">
        <v>106</v>
      </c>
      <c r="B6238" s="902" t="s">
        <v>52</v>
      </c>
      <c r="C6238" s="902" t="s">
        <v>128</v>
      </c>
      <c r="D6238" s="887" t="s">
        <v>1186</v>
      </c>
      <c r="E6238" s="887" t="s">
        <v>1652</v>
      </c>
      <c r="F6238" s="887" t="s">
        <v>1653</v>
      </c>
      <c r="G6238" s="887" t="s">
        <v>1825</v>
      </c>
    </row>
    <row r="6239" spans="1:19">
      <c r="A6239" s="47">
        <v>5650</v>
      </c>
      <c r="B6239" s="1014" t="s">
        <v>3148</v>
      </c>
      <c r="C6239" s="260" t="s">
        <v>2811</v>
      </c>
      <c r="D6239" s="905"/>
      <c r="E6239" s="906"/>
      <c r="F6239" s="50">
        <v>5</v>
      </c>
      <c r="G6239" s="891">
        <v>0.85</v>
      </c>
    </row>
    <row r="6240" spans="1:19">
      <c r="A6240" s="47">
        <v>5650</v>
      </c>
      <c r="B6240" s="1014" t="s">
        <v>502</v>
      </c>
      <c r="C6240" s="260" t="s">
        <v>3149</v>
      </c>
      <c r="D6240" s="905"/>
      <c r="E6240" s="906"/>
      <c r="F6240" s="50">
        <v>5</v>
      </c>
      <c r="G6240" s="891">
        <v>0.99</v>
      </c>
    </row>
    <row r="6241" spans="1:8">
      <c r="A6241" s="889" t="s">
        <v>3152</v>
      </c>
      <c r="B6241" s="260">
        <v>3</v>
      </c>
      <c r="C6241" s="47" t="s">
        <v>1473</v>
      </c>
      <c r="D6241" s="903">
        <v>25</v>
      </c>
      <c r="E6241" s="904">
        <v>1</v>
      </c>
      <c r="F6241" s="50">
        <f>D6241*E6241</f>
        <v>25</v>
      </c>
      <c r="G6241" s="891">
        <v>1.62</v>
      </c>
    </row>
    <row r="6242" spans="1:8">
      <c r="A6242" s="889" t="s">
        <v>3179</v>
      </c>
      <c r="B6242" s="260">
        <v>10</v>
      </c>
      <c r="C6242" s="47" t="s">
        <v>3153</v>
      </c>
      <c r="D6242" s="903">
        <v>25</v>
      </c>
      <c r="E6242" s="904">
        <v>1</v>
      </c>
      <c r="F6242" s="50">
        <f>D6242*E6242</f>
        <v>25</v>
      </c>
      <c r="G6242" s="891">
        <v>1.1000000000000001</v>
      </c>
    </row>
    <row r="6243" spans="1:8">
      <c r="A6243" s="889" t="s">
        <v>3154</v>
      </c>
      <c r="B6243" s="260">
        <v>7</v>
      </c>
      <c r="C6243" s="47" t="s">
        <v>3153</v>
      </c>
      <c r="D6243" s="903">
        <v>25</v>
      </c>
      <c r="E6243" s="904">
        <v>1</v>
      </c>
      <c r="F6243" s="50">
        <f>D6243*E6243</f>
        <v>25</v>
      </c>
      <c r="G6243" s="891">
        <v>2.8</v>
      </c>
    </row>
    <row r="6244" spans="1:8">
      <c r="A6244" s="889" t="s">
        <v>3155</v>
      </c>
      <c r="B6244" s="260">
        <v>7</v>
      </c>
      <c r="C6244" s="47" t="s">
        <v>1473</v>
      </c>
      <c r="D6244" s="903">
        <v>25</v>
      </c>
      <c r="E6244" s="904">
        <v>1</v>
      </c>
      <c r="F6244" s="50">
        <f>D6244*E6244</f>
        <v>25</v>
      </c>
      <c r="G6244" s="891">
        <v>3.45</v>
      </c>
    </row>
    <row r="6245" spans="1:8">
      <c r="A6245" s="889" t="s">
        <v>3156</v>
      </c>
      <c r="B6245" s="260">
        <v>10</v>
      </c>
      <c r="C6245" s="47" t="s">
        <v>1473</v>
      </c>
      <c r="D6245" s="903">
        <v>25</v>
      </c>
      <c r="E6245" s="904">
        <v>1</v>
      </c>
      <c r="F6245" s="50">
        <f>D6245*E6245</f>
        <v>25</v>
      </c>
      <c r="G6245" s="891">
        <v>3.82</v>
      </c>
    </row>
    <row r="6246" spans="1:8" s="888" customFormat="1" ht="12.75">
      <c r="A6246" s="47"/>
      <c r="B6246" s="893"/>
      <c r="C6246" s="260" t="s">
        <v>1993</v>
      </c>
      <c r="D6246" s="905"/>
      <c r="E6246" s="906"/>
      <c r="F6246" s="894">
        <v>1</v>
      </c>
      <c r="G6246" s="891">
        <v>12</v>
      </c>
    </row>
    <row r="6248" spans="1:8">
      <c r="A6248" s="902" t="s">
        <v>105</v>
      </c>
      <c r="B6248" s="902" t="s">
        <v>106</v>
      </c>
      <c r="C6248" s="902" t="s">
        <v>52</v>
      </c>
      <c r="D6248" s="902" t="s">
        <v>128</v>
      </c>
      <c r="E6248" s="887" t="s">
        <v>1186</v>
      </c>
      <c r="F6248" s="887" t="s">
        <v>1652</v>
      </c>
      <c r="G6248" s="887" t="s">
        <v>1653</v>
      </c>
      <c r="H6248" s="887" t="s">
        <v>1825</v>
      </c>
    </row>
    <row r="6249" spans="1:8">
      <c r="A6249" s="947" t="s">
        <v>3183</v>
      </c>
      <c r="B6249" s="47">
        <v>3806</v>
      </c>
      <c r="C6249" s="260">
        <v>6</v>
      </c>
      <c r="D6249" s="47" t="s">
        <v>338</v>
      </c>
      <c r="E6249" s="903">
        <v>30</v>
      </c>
      <c r="F6249" s="904">
        <v>1</v>
      </c>
      <c r="G6249" s="905">
        <f>E6249*F6249</f>
        <v>30</v>
      </c>
      <c r="H6249" s="891">
        <v>0.19</v>
      </c>
    </row>
    <row r="6250" spans="1:8">
      <c r="A6250" s="947" t="s">
        <v>3183</v>
      </c>
      <c r="B6250" s="47">
        <v>3806</v>
      </c>
      <c r="C6250" s="260">
        <v>9</v>
      </c>
      <c r="D6250" s="47" t="s">
        <v>349</v>
      </c>
      <c r="E6250" s="903">
        <v>30</v>
      </c>
      <c r="F6250" s="904">
        <v>1</v>
      </c>
      <c r="G6250" s="905">
        <f>E6250*F6250</f>
        <v>30</v>
      </c>
      <c r="H6250" s="891">
        <v>0.23</v>
      </c>
    </row>
    <row r="6251" spans="1:8">
      <c r="A6251" s="947" t="s">
        <v>3183</v>
      </c>
      <c r="B6251" s="47"/>
      <c r="C6251" s="893"/>
      <c r="D6251" s="260" t="s">
        <v>1993</v>
      </c>
      <c r="E6251" s="905"/>
      <c r="F6251" s="906"/>
      <c r="G6251" s="894">
        <v>1</v>
      </c>
      <c r="H6251" s="891">
        <v>12</v>
      </c>
    </row>
    <row r="6253" spans="1:8">
      <c r="A6253" s="902" t="s">
        <v>106</v>
      </c>
      <c r="B6253" s="902" t="s">
        <v>53</v>
      </c>
      <c r="C6253" s="967" t="s">
        <v>245</v>
      </c>
    </row>
    <row r="6254" spans="1:8" s="888" customFormat="1" ht="12.75">
      <c r="A6254" s="47" t="s">
        <v>1801</v>
      </c>
      <c r="B6254" s="260" t="s">
        <v>78</v>
      </c>
      <c r="C6254" s="1059">
        <v>86</v>
      </c>
    </row>
    <row r="6255" spans="1:8" s="888" customFormat="1" ht="12.75">
      <c r="A6255" s="47" t="s">
        <v>1684</v>
      </c>
      <c r="B6255" s="260" t="s">
        <v>167</v>
      </c>
      <c r="C6255" s="1059">
        <v>55</v>
      </c>
    </row>
    <row r="6256" spans="1:8" s="888" customFormat="1" ht="12.75">
      <c r="A6256" s="47"/>
      <c r="B6256" s="260" t="s">
        <v>2124</v>
      </c>
      <c r="C6256" s="1059">
        <v>9000</v>
      </c>
    </row>
    <row r="6258" spans="1:8">
      <c r="A6258" s="902" t="s">
        <v>105</v>
      </c>
      <c r="B6258" s="902" t="s">
        <v>106</v>
      </c>
      <c r="C6258" s="902" t="s">
        <v>52</v>
      </c>
      <c r="D6258" s="902" t="s">
        <v>128</v>
      </c>
      <c r="E6258" s="887" t="s">
        <v>1186</v>
      </c>
      <c r="F6258" s="887" t="s">
        <v>1652</v>
      </c>
      <c r="G6258" s="887" t="s">
        <v>1653</v>
      </c>
      <c r="H6258" s="887" t="s">
        <v>1825</v>
      </c>
    </row>
    <row r="6259" spans="1:8">
      <c r="A6259" s="947" t="s">
        <v>3180</v>
      </c>
      <c r="B6259" s="47" t="s">
        <v>1264</v>
      </c>
      <c r="C6259" s="48" t="s">
        <v>3142</v>
      </c>
      <c r="D6259" s="47" t="s">
        <v>3182</v>
      </c>
      <c r="E6259" s="903">
        <v>25</v>
      </c>
      <c r="F6259" s="904">
        <v>1</v>
      </c>
      <c r="G6259" s="50">
        <f>E6259*F6259</f>
        <v>25</v>
      </c>
      <c r="H6259" s="51">
        <v>1.69</v>
      </c>
    </row>
    <row r="6260" spans="1:8">
      <c r="A6260" s="947" t="s">
        <v>3180</v>
      </c>
      <c r="B6260" s="47"/>
      <c r="C6260" s="893"/>
      <c r="D6260" s="260" t="s">
        <v>1993</v>
      </c>
      <c r="E6260" s="905"/>
      <c r="F6260" s="906"/>
      <c r="G6260" s="894">
        <v>1</v>
      </c>
      <c r="H6260" s="891">
        <v>12</v>
      </c>
    </row>
    <row r="6263" spans="1:8">
      <c r="A6263" s="902" t="s">
        <v>106</v>
      </c>
      <c r="B6263" s="902" t="s">
        <v>128</v>
      </c>
      <c r="C6263" s="887" t="s">
        <v>1186</v>
      </c>
      <c r="D6263" s="887" t="s">
        <v>1652</v>
      </c>
      <c r="E6263" s="887" t="s">
        <v>1653</v>
      </c>
      <c r="F6263" s="887" t="s">
        <v>1825</v>
      </c>
      <c r="G6263" s="887" t="s">
        <v>3186</v>
      </c>
    </row>
    <row r="6264" spans="1:8">
      <c r="A6264" s="47" t="s">
        <v>1801</v>
      </c>
      <c r="B6264" s="260" t="s">
        <v>78</v>
      </c>
      <c r="C6264" s="905">
        <v>14</v>
      </c>
      <c r="D6264" s="906">
        <v>4</v>
      </c>
      <c r="E6264" s="50">
        <f>C6264*D6264</f>
        <v>56</v>
      </c>
      <c r="F6264" s="891">
        <v>1.6</v>
      </c>
      <c r="G6264" s="1050" t="s">
        <v>771</v>
      </c>
    </row>
    <row r="6265" spans="1:8">
      <c r="A6265" s="47" t="s">
        <v>1684</v>
      </c>
      <c r="B6265" s="260" t="s">
        <v>167</v>
      </c>
      <c r="C6265" s="905">
        <v>14</v>
      </c>
      <c r="D6265" s="906">
        <v>4</v>
      </c>
      <c r="E6265" s="50">
        <f>D6265*C6265</f>
        <v>56</v>
      </c>
      <c r="F6265" s="891">
        <v>1.02</v>
      </c>
      <c r="G6265" s="1050" t="s">
        <v>3187</v>
      </c>
    </row>
    <row r="6266" spans="1:8">
      <c r="A6266" s="47"/>
      <c r="B6266" s="260" t="s">
        <v>2124</v>
      </c>
      <c r="C6266" s="905"/>
      <c r="D6266" s="906"/>
      <c r="E6266" s="894">
        <v>1</v>
      </c>
      <c r="F6266" s="891">
        <v>125</v>
      </c>
      <c r="G6266" s="1050"/>
    </row>
    <row r="6267" spans="1:8">
      <c r="A6267" s="47"/>
      <c r="B6267" s="260" t="s">
        <v>1993</v>
      </c>
      <c r="C6267" s="905"/>
      <c r="D6267" s="906"/>
      <c r="E6267" s="894">
        <v>1</v>
      </c>
      <c r="F6267" s="891">
        <v>12</v>
      </c>
      <c r="G6267" s="1050"/>
    </row>
    <row r="6271" spans="1:8">
      <c r="A6271" s="902" t="s">
        <v>106</v>
      </c>
      <c r="B6271" s="902" t="s">
        <v>52</v>
      </c>
      <c r="C6271" s="902" t="s">
        <v>128</v>
      </c>
      <c r="D6271" s="887" t="s">
        <v>1186</v>
      </c>
      <c r="E6271" s="887" t="s">
        <v>1652</v>
      </c>
      <c r="F6271" s="887" t="s">
        <v>1653</v>
      </c>
      <c r="G6271" s="887" t="s">
        <v>1825</v>
      </c>
    </row>
    <row r="6272" spans="1:8">
      <c r="A6272" s="47">
        <v>5291</v>
      </c>
      <c r="B6272" s="48">
        <v>6</v>
      </c>
      <c r="C6272" s="47" t="s">
        <v>29</v>
      </c>
      <c r="D6272" s="905">
        <v>50</v>
      </c>
      <c r="E6272" s="906">
        <v>10</v>
      </c>
      <c r="F6272" s="905">
        <f>D6272*E6272</f>
        <v>500</v>
      </c>
      <c r="G6272" s="891">
        <v>0.25</v>
      </c>
    </row>
    <row r="6273" spans="1:118">
      <c r="A6273" s="47"/>
      <c r="B6273" s="893"/>
      <c r="C6273" s="260" t="s">
        <v>1993</v>
      </c>
      <c r="D6273" s="905"/>
      <c r="E6273" s="906"/>
      <c r="F6273" s="894">
        <v>1</v>
      </c>
      <c r="G6273" s="891">
        <v>12</v>
      </c>
    </row>
    <row r="6275" spans="1:118">
      <c r="A6275" s="902" t="s">
        <v>106</v>
      </c>
      <c r="B6275" s="902" t="s">
        <v>52</v>
      </c>
      <c r="C6275" s="902" t="s">
        <v>128</v>
      </c>
      <c r="D6275" s="887" t="s">
        <v>1186</v>
      </c>
      <c r="E6275" s="887" t="s">
        <v>1652</v>
      </c>
      <c r="F6275" s="887" t="s">
        <v>1653</v>
      </c>
      <c r="G6275" s="887" t="s">
        <v>1825</v>
      </c>
    </row>
    <row r="6276" spans="1:118">
      <c r="A6276" s="47">
        <v>12701</v>
      </c>
      <c r="B6276" s="48">
        <v>9</v>
      </c>
      <c r="C6276" s="47" t="s">
        <v>294</v>
      </c>
      <c r="D6276" s="50">
        <v>10</v>
      </c>
      <c r="E6276" s="911">
        <v>10</v>
      </c>
      <c r="F6276" s="905">
        <f>D6276*E6276</f>
        <v>100</v>
      </c>
      <c r="G6276" s="51">
        <v>0.79</v>
      </c>
    </row>
    <row r="6277" spans="1:118">
      <c r="A6277" s="47"/>
      <c r="B6277" s="893"/>
      <c r="C6277" s="260" t="s">
        <v>1993</v>
      </c>
      <c r="D6277" s="905"/>
      <c r="E6277" s="906"/>
      <c r="F6277" s="894">
        <v>1</v>
      </c>
      <c r="G6277" s="891">
        <v>12</v>
      </c>
    </row>
    <row r="6280" spans="1:118">
      <c r="A6280" s="902" t="s">
        <v>105</v>
      </c>
      <c r="B6280" s="902" t="s">
        <v>106</v>
      </c>
      <c r="C6280" s="902" t="s">
        <v>377</v>
      </c>
      <c r="D6280" s="902" t="s">
        <v>128</v>
      </c>
      <c r="E6280" s="887" t="s">
        <v>1653</v>
      </c>
      <c r="F6280" s="887" t="s">
        <v>1825</v>
      </c>
      <c r="G6280" s="39"/>
    </row>
    <row r="6281" spans="1:118">
      <c r="A6281" s="947" t="s">
        <v>3196</v>
      </c>
      <c r="B6281" s="47">
        <v>2440</v>
      </c>
      <c r="C6281" s="907">
        <v>140</v>
      </c>
      <c r="D6281" s="1209" t="s">
        <v>364</v>
      </c>
      <c r="E6281" s="50">
        <v>5</v>
      </c>
      <c r="F6281" s="891">
        <v>3.89</v>
      </c>
      <c r="G6281" s="891">
        <f>F6281*E6281</f>
        <v>19.45</v>
      </c>
    </row>
    <row r="6282" spans="1:118">
      <c r="A6282" s="947" t="s">
        <v>3196</v>
      </c>
      <c r="B6282" s="47"/>
      <c r="C6282" s="893"/>
      <c r="D6282" s="260" t="s">
        <v>1075</v>
      </c>
      <c r="E6282" s="894">
        <v>1</v>
      </c>
      <c r="F6282" s="891">
        <v>12</v>
      </c>
      <c r="G6282" s="891">
        <f>F6282*E6282</f>
        <v>12</v>
      </c>
    </row>
    <row r="6283" spans="1:118">
      <c r="A6283" s="947" t="s">
        <v>3196</v>
      </c>
      <c r="B6283" s="47"/>
      <c r="C6283" s="893"/>
      <c r="D6283" s="260" t="s">
        <v>1993</v>
      </c>
      <c r="E6283" s="894">
        <v>1</v>
      </c>
      <c r="F6283" s="891">
        <v>12</v>
      </c>
      <c r="G6283" s="891">
        <f>F6283*E6283</f>
        <v>12</v>
      </c>
    </row>
    <row r="6286" spans="1:118">
      <c r="A6286" s="1064" t="s">
        <v>3198</v>
      </c>
    </row>
    <row r="6287" spans="1:118" s="1186" customFormat="1" ht="25.5">
      <c r="A6287" s="1166" t="s">
        <v>1369</v>
      </c>
      <c r="B6287" s="1184" t="s">
        <v>377</v>
      </c>
      <c r="C6287" s="1167" t="s">
        <v>2</v>
      </c>
      <c r="D6287" s="1168" t="s">
        <v>1734</v>
      </c>
      <c r="E6287" s="1169" t="s">
        <v>3117</v>
      </c>
      <c r="F6287" s="1210" t="s">
        <v>3199</v>
      </c>
    </row>
    <row r="6288" spans="1:118" s="1019" customFormat="1" ht="15" customHeight="1">
      <c r="A6288" s="1170" t="s">
        <v>3197</v>
      </c>
      <c r="B6288" s="1187">
        <v>24</v>
      </c>
      <c r="C6288" s="1171">
        <v>30</v>
      </c>
      <c r="D6288" s="1172" t="s">
        <v>1812</v>
      </c>
      <c r="E6288" s="1061">
        <v>1.1599999999999999</v>
      </c>
      <c r="F6288" s="1211" t="s">
        <v>3200</v>
      </c>
      <c r="G6288" s="1191"/>
      <c r="H6288" s="1191"/>
      <c r="I6288" s="1191"/>
      <c r="J6288" s="1191"/>
      <c r="K6288" s="1191"/>
      <c r="L6288" s="1191"/>
      <c r="M6288" s="1191"/>
      <c r="N6288" s="1191"/>
      <c r="O6288" s="1191"/>
      <c r="P6288" s="1191"/>
      <c r="Q6288" s="1191"/>
      <c r="R6288" s="1191"/>
      <c r="S6288" s="1191"/>
      <c r="T6288" s="1191"/>
      <c r="U6288" s="1191"/>
      <c r="V6288" s="1191"/>
      <c r="W6288" s="1191"/>
      <c r="X6288" s="1191"/>
      <c r="Y6288" s="1191"/>
      <c r="Z6288" s="1191"/>
      <c r="AA6288" s="1191"/>
      <c r="AB6288" s="1191"/>
      <c r="AC6288" s="1191"/>
      <c r="AD6288" s="1191"/>
      <c r="AE6288" s="1191"/>
      <c r="AF6288" s="1191"/>
      <c r="AG6288" s="1191"/>
      <c r="AH6288" s="1191"/>
      <c r="AI6288" s="1191"/>
      <c r="AJ6288" s="1191"/>
      <c r="AK6288" s="1191"/>
      <c r="AL6288" s="1191"/>
      <c r="AM6288" s="1191"/>
      <c r="AN6288" s="1191"/>
      <c r="AO6288" s="1191"/>
      <c r="AP6288" s="1191"/>
      <c r="AQ6288" s="1191"/>
      <c r="AR6288" s="1191"/>
      <c r="AS6288" s="1191"/>
      <c r="AT6288" s="1191"/>
      <c r="AU6288" s="1191"/>
      <c r="AV6288" s="1191"/>
      <c r="AW6288" s="1191"/>
      <c r="AX6288" s="1191"/>
      <c r="AY6288" s="1191"/>
      <c r="AZ6288" s="1191"/>
      <c r="BA6288" s="1191"/>
      <c r="BB6288" s="1191"/>
      <c r="BC6288" s="1191"/>
      <c r="BD6288" s="1191"/>
      <c r="BE6288" s="1191"/>
      <c r="BF6288" s="1191"/>
      <c r="BG6288" s="1191"/>
      <c r="BH6288" s="1191"/>
      <c r="BI6288" s="1191"/>
      <c r="BJ6288" s="1191"/>
      <c r="BK6288" s="1191"/>
      <c r="BL6288" s="1191"/>
      <c r="BM6288" s="1191"/>
      <c r="BN6288" s="1191"/>
      <c r="BO6288" s="1191"/>
      <c r="BP6288" s="1191"/>
      <c r="BQ6288" s="1191"/>
      <c r="BR6288" s="1191"/>
      <c r="BS6288" s="1191"/>
      <c r="BT6288" s="1191"/>
      <c r="BU6288" s="1191"/>
      <c r="BV6288" s="1191"/>
      <c r="BW6288" s="1191"/>
      <c r="BX6288" s="1191"/>
      <c r="BY6288" s="1191"/>
      <c r="BZ6288" s="1191"/>
      <c r="CA6288" s="1191"/>
      <c r="CB6288" s="1191"/>
      <c r="CC6288" s="1191"/>
      <c r="CD6288" s="1191"/>
      <c r="CE6288" s="1191"/>
      <c r="CF6288" s="1191"/>
      <c r="CG6288" s="1191"/>
      <c r="CH6288" s="1191"/>
      <c r="CI6288" s="1191"/>
      <c r="CJ6288" s="1191"/>
      <c r="CK6288" s="1191"/>
      <c r="CL6288" s="1191"/>
      <c r="CM6288" s="1191"/>
      <c r="CN6288" s="1191"/>
      <c r="CO6288" s="1191"/>
      <c r="CP6288" s="1191"/>
      <c r="CQ6288" s="1191"/>
      <c r="CR6288" s="1191"/>
      <c r="CS6288" s="1191"/>
      <c r="CT6288" s="1191"/>
      <c r="CU6288" s="1191"/>
      <c r="CV6288" s="1191"/>
      <c r="CW6288" s="1191"/>
      <c r="CX6288" s="1191"/>
      <c r="CY6288" s="1191"/>
      <c r="CZ6288" s="1191"/>
      <c r="DA6288" s="1191"/>
      <c r="DB6288" s="1191"/>
      <c r="DC6288" s="1191"/>
      <c r="DD6288" s="1191"/>
      <c r="DE6288" s="1191"/>
      <c r="DF6288" s="1191"/>
      <c r="DG6288" s="1191"/>
      <c r="DH6288" s="1191"/>
      <c r="DI6288" s="1191"/>
      <c r="DJ6288" s="1191"/>
      <c r="DK6288" s="1191"/>
      <c r="DL6288" s="1191"/>
      <c r="DM6288" s="1191"/>
      <c r="DN6288" s="1191"/>
    </row>
    <row r="6289" spans="1:8" s="888" customFormat="1" ht="12"/>
    <row r="6292" spans="1:8">
      <c r="A6292" s="1212" t="s">
        <v>3201</v>
      </c>
      <c r="B6292" s="921"/>
      <c r="C6292" s="921"/>
      <c r="D6292" s="922"/>
      <c r="E6292" s="923"/>
      <c r="F6292" s="924"/>
      <c r="G6292" s="925"/>
    </row>
    <row r="6293" spans="1:8">
      <c r="A6293" s="902" t="s">
        <v>106</v>
      </c>
      <c r="B6293" s="902" t="s">
        <v>377</v>
      </c>
      <c r="C6293" s="902" t="s">
        <v>128</v>
      </c>
      <c r="D6293" s="887" t="s">
        <v>1186</v>
      </c>
      <c r="E6293" s="887" t="s">
        <v>1652</v>
      </c>
      <c r="F6293" s="887" t="s">
        <v>3109</v>
      </c>
      <c r="G6293" s="887" t="s">
        <v>3130</v>
      </c>
    </row>
    <row r="6294" spans="1:8" s="317" customFormat="1">
      <c r="A6294" s="47">
        <v>2440</v>
      </c>
      <c r="B6294" s="1146">
        <v>140</v>
      </c>
      <c r="C6294" s="47" t="s">
        <v>114</v>
      </c>
      <c r="D6294" s="49">
        <v>58</v>
      </c>
      <c r="E6294" s="1213">
        <v>7</v>
      </c>
      <c r="F6294" s="1214">
        <f>D6294*E6294</f>
        <v>406</v>
      </c>
      <c r="G6294" s="950">
        <v>4.7300000000000004</v>
      </c>
    </row>
    <row r="6295" spans="1:8" s="317" customFormat="1">
      <c r="A6295" s="47">
        <v>2440</v>
      </c>
      <c r="B6295" s="1146">
        <v>140</v>
      </c>
      <c r="C6295" s="47" t="s">
        <v>3138</v>
      </c>
      <c r="D6295" s="49">
        <v>58</v>
      </c>
      <c r="E6295" s="1213">
        <v>4</v>
      </c>
      <c r="F6295" s="1214">
        <f>D6295*E6295</f>
        <v>232</v>
      </c>
      <c r="G6295" s="950">
        <v>4.7300000000000004</v>
      </c>
    </row>
    <row r="6296" spans="1:8" s="317" customFormat="1">
      <c r="A6296" s="47">
        <v>2440</v>
      </c>
      <c r="B6296" s="1146">
        <v>140</v>
      </c>
      <c r="C6296" s="47" t="s">
        <v>3139</v>
      </c>
      <c r="D6296" s="49">
        <v>58</v>
      </c>
      <c r="E6296" s="1213">
        <v>7</v>
      </c>
      <c r="F6296" s="1214">
        <f>D6296*E6296</f>
        <v>406</v>
      </c>
      <c r="G6296" s="950">
        <v>4.7300000000000004</v>
      </c>
    </row>
    <row r="6297" spans="1:8" s="317" customFormat="1">
      <c r="A6297" s="47" t="s">
        <v>3202</v>
      </c>
      <c r="B6297" s="1146">
        <v>140</v>
      </c>
      <c r="C6297" s="47" t="s">
        <v>114</v>
      </c>
      <c r="D6297" s="49">
        <v>58</v>
      </c>
      <c r="E6297" s="1213">
        <v>3</v>
      </c>
      <c r="F6297" s="1214">
        <f>D6297*E6297</f>
        <v>174</v>
      </c>
      <c r="G6297" s="950">
        <v>4.7300000000000004</v>
      </c>
    </row>
    <row r="6298" spans="1:8" s="317" customFormat="1">
      <c r="A6298" s="47" t="s">
        <v>3203</v>
      </c>
      <c r="B6298" s="1146">
        <v>140</v>
      </c>
      <c r="C6298" s="47" t="s">
        <v>114</v>
      </c>
      <c r="D6298" s="49">
        <v>58</v>
      </c>
      <c r="E6298" s="1213">
        <v>5</v>
      </c>
      <c r="F6298" s="1214">
        <f>D6298*E6298</f>
        <v>290</v>
      </c>
      <c r="G6298" s="950">
        <v>5.84</v>
      </c>
    </row>
    <row r="6299" spans="1:8">
      <c r="A6299" s="1212" t="s">
        <v>3204</v>
      </c>
      <c r="B6299" s="921"/>
      <c r="C6299" s="921"/>
      <c r="D6299" s="922"/>
      <c r="E6299" s="923"/>
      <c r="F6299" s="924"/>
      <c r="G6299" s="925"/>
    </row>
    <row r="6300" spans="1:8">
      <c r="A6300" s="902" t="s">
        <v>106</v>
      </c>
      <c r="B6300" s="902" t="s">
        <v>377</v>
      </c>
      <c r="C6300" s="902" t="s">
        <v>128</v>
      </c>
      <c r="D6300" s="887" t="s">
        <v>1186</v>
      </c>
      <c r="E6300" s="887" t="s">
        <v>1652</v>
      </c>
      <c r="F6300" s="887" t="s">
        <v>3109</v>
      </c>
      <c r="G6300" s="887" t="s">
        <v>3130</v>
      </c>
    </row>
    <row r="6301" spans="1:8">
      <c r="A6301" s="47">
        <v>2440</v>
      </c>
      <c r="B6301" s="907">
        <v>140</v>
      </c>
      <c r="C6301" s="47" t="s">
        <v>3139</v>
      </c>
      <c r="D6301" s="905">
        <v>58</v>
      </c>
      <c r="E6301" s="906">
        <v>5</v>
      </c>
      <c r="F6301" s="50">
        <f>D6301*E6301</f>
        <v>290</v>
      </c>
      <c r="G6301" s="891">
        <v>4.7300000000000004</v>
      </c>
    </row>
    <row r="6304" spans="1:8" s="888" customFormat="1" ht="12.75">
      <c r="A6304" s="1212" t="s">
        <v>3210</v>
      </c>
      <c r="B6304" s="1116"/>
      <c r="C6304" s="921"/>
      <c r="D6304" s="921"/>
      <c r="E6304" s="922"/>
      <c r="F6304" s="923"/>
      <c r="G6304" s="924"/>
      <c r="H6304" s="925"/>
    </row>
    <row r="6305" spans="1:8" s="888" customFormat="1" ht="12.75">
      <c r="A6305" s="902" t="s">
        <v>105</v>
      </c>
      <c r="B6305" s="902" t="s">
        <v>106</v>
      </c>
      <c r="C6305" s="902" t="s">
        <v>377</v>
      </c>
      <c r="D6305" s="902" t="s">
        <v>128</v>
      </c>
      <c r="E6305" s="887" t="s">
        <v>1186</v>
      </c>
      <c r="F6305" s="887" t="s">
        <v>1652</v>
      </c>
      <c r="G6305" s="887" t="s">
        <v>3109</v>
      </c>
      <c r="H6305" s="887" t="s">
        <v>3130</v>
      </c>
    </row>
    <row r="6306" spans="1:8" s="888" customFormat="1" ht="12.75">
      <c r="A6306" s="947" t="s">
        <v>3207</v>
      </c>
      <c r="B6306" s="47" t="s">
        <v>2447</v>
      </c>
      <c r="C6306" s="907">
        <v>152</v>
      </c>
      <c r="D6306" s="47" t="s">
        <v>114</v>
      </c>
      <c r="E6306" s="905">
        <v>58</v>
      </c>
      <c r="F6306" s="906">
        <v>5</v>
      </c>
      <c r="G6306" s="905">
        <f>E6306*F6306</f>
        <v>290</v>
      </c>
      <c r="H6306" s="891">
        <v>5.84</v>
      </c>
    </row>
    <row r="6307" spans="1:8" s="888" customFormat="1" ht="12.75">
      <c r="A6307" s="1212" t="s">
        <v>3209</v>
      </c>
      <c r="B6307" s="1116"/>
      <c r="C6307" s="921"/>
      <c r="D6307" s="921"/>
      <c r="E6307" s="922"/>
      <c r="F6307" s="923"/>
      <c r="G6307" s="924"/>
      <c r="H6307" s="925"/>
    </row>
    <row r="6308" spans="1:8" s="888" customFormat="1" ht="12.75">
      <c r="A6308" s="902" t="s">
        <v>3208</v>
      </c>
      <c r="B6308" s="902" t="s">
        <v>106</v>
      </c>
      <c r="C6308" s="902" t="s">
        <v>377</v>
      </c>
      <c r="D6308" s="902" t="s">
        <v>128</v>
      </c>
      <c r="E6308" s="887" t="s">
        <v>1186</v>
      </c>
      <c r="F6308" s="887" t="s">
        <v>1652</v>
      </c>
      <c r="G6308" s="887" t="s">
        <v>3109</v>
      </c>
      <c r="H6308" s="887" t="s">
        <v>3130</v>
      </c>
    </row>
    <row r="6309" spans="1:8" s="888" customFormat="1" ht="12.75">
      <c r="A6309" s="947" t="s">
        <v>3137</v>
      </c>
      <c r="B6309" s="47">
        <v>2440</v>
      </c>
      <c r="C6309" s="907">
        <v>140</v>
      </c>
      <c r="D6309" s="47" t="s">
        <v>114</v>
      </c>
      <c r="E6309" s="905">
        <v>58</v>
      </c>
      <c r="F6309" s="906">
        <v>7</v>
      </c>
      <c r="G6309" s="905">
        <f>E6309*F6309</f>
        <v>406</v>
      </c>
      <c r="H6309" s="891">
        <v>4.7300000000000004</v>
      </c>
    </row>
    <row r="6310" spans="1:8" s="888" customFormat="1" ht="12.75">
      <c r="A6310" s="947" t="s">
        <v>3137</v>
      </c>
      <c r="B6310" s="47">
        <v>2440</v>
      </c>
      <c r="C6310" s="907">
        <v>140</v>
      </c>
      <c r="D6310" s="47" t="s">
        <v>3138</v>
      </c>
      <c r="E6310" s="905">
        <v>58</v>
      </c>
      <c r="F6310" s="906">
        <v>4</v>
      </c>
      <c r="G6310" s="905">
        <f>E6310*F6310</f>
        <v>232</v>
      </c>
      <c r="H6310" s="891">
        <v>4.7300000000000004</v>
      </c>
    </row>
    <row r="6311" spans="1:8" s="888" customFormat="1" ht="12.75">
      <c r="A6311" s="947" t="s">
        <v>3137</v>
      </c>
      <c r="B6311" s="47">
        <v>2440</v>
      </c>
      <c r="C6311" s="907">
        <v>140</v>
      </c>
      <c r="D6311" s="47" t="s">
        <v>3139</v>
      </c>
      <c r="E6311" s="905">
        <v>58</v>
      </c>
      <c r="F6311" s="906">
        <v>7</v>
      </c>
      <c r="G6311" s="905">
        <f>E6311*F6311</f>
        <v>406</v>
      </c>
      <c r="H6311" s="891">
        <v>4.7300000000000004</v>
      </c>
    </row>
    <row r="6312" spans="1:8" s="888" customFormat="1" ht="12.75">
      <c r="A6312" s="1212" t="s">
        <v>3211</v>
      </c>
      <c r="B6312" s="1116"/>
      <c r="C6312" s="921"/>
      <c r="D6312" s="921"/>
      <c r="E6312" s="922"/>
      <c r="F6312" s="923"/>
      <c r="G6312" s="924"/>
      <c r="H6312" s="925"/>
    </row>
    <row r="6313" spans="1:8" s="888" customFormat="1" ht="12.75">
      <c r="A6313" s="902" t="s">
        <v>3208</v>
      </c>
      <c r="B6313" s="902" t="s">
        <v>106</v>
      </c>
      <c r="C6313" s="902" t="s">
        <v>377</v>
      </c>
      <c r="D6313" s="902" t="s">
        <v>128</v>
      </c>
      <c r="E6313" s="887" t="s">
        <v>1186</v>
      </c>
      <c r="F6313" s="887" t="s">
        <v>1652</v>
      </c>
      <c r="G6313" s="887" t="s">
        <v>3109</v>
      </c>
      <c r="H6313" s="887" t="s">
        <v>3130</v>
      </c>
    </row>
    <row r="6314" spans="1:8" s="888" customFormat="1" ht="12.75">
      <c r="A6314" s="947" t="s">
        <v>3137</v>
      </c>
      <c r="B6314" s="47">
        <v>2440</v>
      </c>
      <c r="C6314" s="907">
        <v>140</v>
      </c>
      <c r="D6314" s="47" t="s">
        <v>3139</v>
      </c>
      <c r="E6314" s="905">
        <v>58</v>
      </c>
      <c r="F6314" s="906">
        <v>5</v>
      </c>
      <c r="G6314" s="905">
        <f>E6314*F6314</f>
        <v>290</v>
      </c>
      <c r="H6314" s="891">
        <v>4.7300000000000004</v>
      </c>
    </row>
    <row r="6317" spans="1:8" s="1019" customFormat="1" ht="12.75">
      <c r="A6317" s="909" t="s">
        <v>3213</v>
      </c>
      <c r="B6317" s="1215" t="s">
        <v>5334</v>
      </c>
      <c r="C6317" s="1215" t="s">
        <v>5335</v>
      </c>
      <c r="D6317" s="1216" t="s">
        <v>3221</v>
      </c>
      <c r="E6317" s="1216" t="s">
        <v>3224</v>
      </c>
      <c r="F6317" s="1216" t="s">
        <v>73</v>
      </c>
      <c r="G6317" s="1216" t="s">
        <v>2939</v>
      </c>
    </row>
    <row r="6318" spans="1:8" s="1019" customFormat="1" ht="12.75">
      <c r="A6318" s="909" t="s">
        <v>3214</v>
      </c>
      <c r="B6318" s="1215">
        <v>1900</v>
      </c>
      <c r="C6318" s="1215">
        <v>1950</v>
      </c>
      <c r="D6318" s="909" t="s">
        <v>3237</v>
      </c>
      <c r="E6318" s="909" t="s">
        <v>3225</v>
      </c>
      <c r="F6318" s="1217" t="s">
        <v>3227</v>
      </c>
      <c r="G6318" s="1217" t="s">
        <v>3236</v>
      </c>
    </row>
    <row r="6319" spans="1:8" s="1019" customFormat="1" ht="12.75">
      <c r="A6319" s="909" t="s">
        <v>3215</v>
      </c>
      <c r="B6319" s="1215">
        <v>1800</v>
      </c>
      <c r="C6319" s="1215">
        <v>1860</v>
      </c>
      <c r="D6319" s="909" t="s">
        <v>3222</v>
      </c>
      <c r="E6319" s="909" t="s">
        <v>3225</v>
      </c>
      <c r="F6319" s="1217" t="s">
        <v>3229</v>
      </c>
      <c r="G6319" s="1217" t="s">
        <v>3235</v>
      </c>
    </row>
    <row r="6320" spans="1:8" s="1019" customFormat="1" ht="12.75">
      <c r="A6320" s="909" t="s">
        <v>3216</v>
      </c>
      <c r="B6320" s="1215">
        <v>1870</v>
      </c>
      <c r="C6320" s="1215">
        <v>1900</v>
      </c>
      <c r="D6320" s="909" t="s">
        <v>3237</v>
      </c>
      <c r="E6320" s="909" t="s">
        <v>3225</v>
      </c>
      <c r="F6320" s="1217" t="s">
        <v>3228</v>
      </c>
      <c r="G6320" s="1217" t="s">
        <v>3231</v>
      </c>
    </row>
    <row r="6321" spans="1:9" s="1019" customFormat="1" ht="12.75">
      <c r="A6321" s="909" t="s">
        <v>3217</v>
      </c>
      <c r="B6321" s="1215">
        <v>1380</v>
      </c>
      <c r="C6321" s="1215">
        <v>1500</v>
      </c>
      <c r="D6321" s="909" t="s">
        <v>3222</v>
      </c>
      <c r="E6321" s="909" t="s">
        <v>3225</v>
      </c>
      <c r="F6321" s="1217" t="s">
        <v>3229</v>
      </c>
      <c r="G6321" s="1217" t="s">
        <v>3238</v>
      </c>
    </row>
    <row r="6322" spans="1:9" s="1019" customFormat="1" ht="12.75">
      <c r="A6322" s="909" t="s">
        <v>3218</v>
      </c>
      <c r="B6322" s="1215">
        <v>1680</v>
      </c>
      <c r="C6322" s="1215">
        <v>1780</v>
      </c>
      <c r="D6322" s="909" t="s">
        <v>3222</v>
      </c>
      <c r="E6322" s="909" t="s">
        <v>3225</v>
      </c>
      <c r="F6322" s="1217" t="s">
        <v>3229</v>
      </c>
      <c r="G6322" s="1217" t="s">
        <v>3239</v>
      </c>
    </row>
    <row r="6323" spans="1:9" s="1019" customFormat="1" ht="12.75">
      <c r="A6323" s="909" t="s">
        <v>3219</v>
      </c>
      <c r="B6323" s="1215">
        <v>1700</v>
      </c>
      <c r="C6323" s="1215">
        <v>1800</v>
      </c>
      <c r="D6323" s="909" t="s">
        <v>3222</v>
      </c>
      <c r="E6323" s="909" t="s">
        <v>3225</v>
      </c>
      <c r="F6323" s="1217" t="s">
        <v>3229</v>
      </c>
      <c r="G6323" s="1217" t="s">
        <v>3235</v>
      </c>
    </row>
    <row r="6324" spans="1:9" s="1019" customFormat="1" ht="12.75"/>
    <row r="6325" spans="1:9" s="1019" customFormat="1" ht="12.75"/>
    <row r="6326" spans="1:9" s="1019" customFormat="1" ht="12.75">
      <c r="A6326" s="902" t="s">
        <v>105</v>
      </c>
      <c r="B6326" s="902" t="s">
        <v>106</v>
      </c>
      <c r="C6326" s="902" t="s">
        <v>377</v>
      </c>
      <c r="D6326" s="902" t="s">
        <v>128</v>
      </c>
      <c r="E6326" s="887" t="s">
        <v>1186</v>
      </c>
      <c r="F6326" s="887" t="s">
        <v>1652</v>
      </c>
      <c r="G6326" s="887" t="s">
        <v>1653</v>
      </c>
      <c r="H6326" s="887" t="s">
        <v>1825</v>
      </c>
    </row>
    <row r="6327" spans="1:9" s="1019" customFormat="1" ht="12.75">
      <c r="A6327" s="947" t="s">
        <v>3196</v>
      </c>
      <c r="B6327" s="47">
        <v>2440</v>
      </c>
      <c r="C6327" s="1146">
        <v>140</v>
      </c>
      <c r="D6327" s="1209" t="s">
        <v>364</v>
      </c>
      <c r="E6327" s="911"/>
      <c r="F6327" s="911"/>
      <c r="G6327" s="50">
        <v>5</v>
      </c>
      <c r="H6327" s="891">
        <v>3.89</v>
      </c>
      <c r="I6327" s="891">
        <f>H6327*G6327</f>
        <v>19.45</v>
      </c>
    </row>
    <row r="6328" spans="1:9">
      <c r="A6328" s="947" t="s">
        <v>3196</v>
      </c>
      <c r="B6328" s="47"/>
      <c r="C6328" s="893"/>
      <c r="D6328" s="260" t="s">
        <v>1075</v>
      </c>
      <c r="E6328" s="906"/>
      <c r="F6328" s="906"/>
      <c r="G6328" s="894">
        <v>1</v>
      </c>
      <c r="H6328" s="891">
        <v>12</v>
      </c>
      <c r="I6328" s="891">
        <f>H6328*G6328</f>
        <v>12</v>
      </c>
    </row>
    <row r="6329" spans="1:9">
      <c r="A6329" s="947" t="s">
        <v>3196</v>
      </c>
      <c r="B6329" s="47"/>
      <c r="C6329" s="893"/>
      <c r="D6329" s="260" t="s">
        <v>1993</v>
      </c>
      <c r="E6329" s="906"/>
      <c r="F6329" s="906"/>
      <c r="G6329" s="894">
        <v>1</v>
      </c>
      <c r="H6329" s="891">
        <v>12</v>
      </c>
      <c r="I6329" s="891">
        <f>H6329*G6329</f>
        <v>12</v>
      </c>
    </row>
    <row r="6330" spans="1:9">
      <c r="A6330" s="1118"/>
      <c r="B6330" s="1116"/>
      <c r="C6330" s="921"/>
      <c r="D6330" s="921"/>
      <c r="E6330" s="923"/>
      <c r="F6330" s="924"/>
      <c r="G6330" s="1218"/>
      <c r="H6330" s="1218"/>
    </row>
    <row r="6331" spans="1:9" s="1019" customFormat="1" ht="12.75">
      <c r="A6331" s="902" t="s">
        <v>105</v>
      </c>
      <c r="B6331" s="902" t="s">
        <v>106</v>
      </c>
      <c r="C6331" s="902" t="s">
        <v>377</v>
      </c>
      <c r="D6331" s="902" t="s">
        <v>128</v>
      </c>
      <c r="E6331" s="887" t="s">
        <v>1186</v>
      </c>
      <c r="F6331" s="887" t="s">
        <v>1652</v>
      </c>
      <c r="G6331" s="887" t="s">
        <v>1653</v>
      </c>
      <c r="H6331" s="887" t="s">
        <v>1825</v>
      </c>
    </row>
    <row r="6332" spans="1:9">
      <c r="A6332" s="947" t="s">
        <v>3212</v>
      </c>
      <c r="B6332" s="47">
        <v>14552</v>
      </c>
      <c r="C6332" s="48">
        <v>10</v>
      </c>
      <c r="D6332" s="47" t="s">
        <v>2721</v>
      </c>
      <c r="E6332" s="903">
        <v>30</v>
      </c>
      <c r="F6332" s="904">
        <v>34</v>
      </c>
      <c r="G6332" s="50">
        <f>E6332*F6332</f>
        <v>1020</v>
      </c>
      <c r="H6332" s="51">
        <v>0.69</v>
      </c>
      <c r="I6332" s="891">
        <f>H6332*G6332</f>
        <v>703.8</v>
      </c>
    </row>
    <row r="6333" spans="1:9">
      <c r="A6333" s="947" t="s">
        <v>3212</v>
      </c>
      <c r="B6333" s="47"/>
      <c r="C6333" s="893"/>
      <c r="D6333" s="260" t="s">
        <v>1993</v>
      </c>
      <c r="E6333" s="905"/>
      <c r="F6333" s="906"/>
      <c r="G6333" s="894">
        <v>1</v>
      </c>
      <c r="H6333" s="891">
        <v>12</v>
      </c>
      <c r="I6333" s="891">
        <f>H6333*G6333</f>
        <v>12</v>
      </c>
    </row>
    <row r="6334" spans="1:9">
      <c r="A6334" s="317"/>
    </row>
    <row r="6335" spans="1:9">
      <c r="A6335" s="317"/>
    </row>
    <row r="6336" spans="1:9" ht="15">
      <c r="A6336" s="1219" t="s">
        <v>3272</v>
      </c>
    </row>
    <row r="6337" spans="1:1" ht="15">
      <c r="A6337" s="1219" t="s">
        <v>3240</v>
      </c>
    </row>
    <row r="6338" spans="1:1" ht="15">
      <c r="A6338" s="1219"/>
    </row>
    <row r="6339" spans="1:1" ht="15">
      <c r="A6339" s="1219" t="s">
        <v>3241</v>
      </c>
    </row>
    <row r="6340" spans="1:1" ht="15">
      <c r="A6340" s="1219" t="s">
        <v>3232</v>
      </c>
    </row>
    <row r="6341" spans="1:1" ht="15">
      <c r="A6341" s="1219"/>
    </row>
    <row r="6342" spans="1:1" ht="15">
      <c r="A6342" s="1219" t="s">
        <v>3242</v>
      </c>
    </row>
    <row r="6343" spans="1:1" ht="15">
      <c r="A6343" s="1219" t="s">
        <v>3232</v>
      </c>
    </row>
    <row r="6344" spans="1:1" ht="15">
      <c r="A6344" s="1219"/>
    </row>
    <row r="6345" spans="1:1" ht="15">
      <c r="A6345" s="1219" t="s">
        <v>3243</v>
      </c>
    </row>
    <row r="6346" spans="1:1" ht="15">
      <c r="A6346" s="1219" t="s">
        <v>3233</v>
      </c>
    </row>
    <row r="6347" spans="1:1" ht="15">
      <c r="A6347" s="1219"/>
    </row>
    <row r="6348" spans="1:1" ht="15">
      <c r="A6348" s="1219" t="s">
        <v>3244</v>
      </c>
    </row>
    <row r="6349" spans="1:1" ht="15">
      <c r="A6349" s="1219" t="s">
        <v>3234</v>
      </c>
    </row>
    <row r="6350" spans="1:1" ht="15">
      <c r="A6350" s="1219"/>
    </row>
    <row r="6351" spans="1:1" ht="15">
      <c r="A6351" s="1219" t="s">
        <v>3245</v>
      </c>
    </row>
    <row r="6352" spans="1:1" ht="15">
      <c r="A6352" s="1219" t="s">
        <v>3232</v>
      </c>
    </row>
    <row r="6354" spans="1:7" ht="14.25" thickBot="1">
      <c r="A6354" s="629"/>
    </row>
    <row r="6355" spans="1:7" ht="14.25" thickBot="1">
      <c r="A6355" s="1220" t="s">
        <v>3246</v>
      </c>
      <c r="B6355" s="1221" t="s">
        <v>3247</v>
      </c>
      <c r="C6355" s="1221" t="s">
        <v>3248</v>
      </c>
      <c r="D6355" s="1221" t="s">
        <v>3220</v>
      </c>
      <c r="E6355" s="1221" t="s">
        <v>3223</v>
      </c>
      <c r="F6355" s="1221" t="s">
        <v>3226</v>
      </c>
      <c r="G6355" s="1221" t="s">
        <v>3230</v>
      </c>
    </row>
    <row r="6356" spans="1:7">
      <c r="A6356" s="2826" t="s">
        <v>3273</v>
      </c>
      <c r="B6356" s="2829">
        <v>1900</v>
      </c>
      <c r="C6356" s="2829">
        <v>1950</v>
      </c>
      <c r="D6356" s="1224" t="s">
        <v>3249</v>
      </c>
      <c r="E6356" s="2826" t="s">
        <v>3251</v>
      </c>
      <c r="F6356" s="1226" t="s">
        <v>3252</v>
      </c>
      <c r="G6356" s="1226" t="s">
        <v>3255</v>
      </c>
    </row>
    <row r="6357" spans="1:7">
      <c r="A6357" s="2828"/>
      <c r="B6357" s="2830"/>
      <c r="C6357" s="2830"/>
      <c r="D6357" s="1225" t="s">
        <v>3250</v>
      </c>
      <c r="E6357" s="2828"/>
      <c r="F6357" s="1226" t="s">
        <v>3253</v>
      </c>
      <c r="G6357" s="1228" t="s">
        <v>3256</v>
      </c>
    </row>
    <row r="6358" spans="1:7" ht="14.25" thickBot="1">
      <c r="A6358" s="2827"/>
      <c r="B6358" s="2831"/>
      <c r="C6358" s="2831"/>
      <c r="D6358" s="1223"/>
      <c r="E6358" s="2827"/>
      <c r="F6358" s="1227" t="s">
        <v>3254</v>
      </c>
      <c r="G6358" s="1229" t="s">
        <v>3257</v>
      </c>
    </row>
    <row r="6359" spans="1:7">
      <c r="A6359" s="2826" t="s">
        <v>3274</v>
      </c>
      <c r="B6359" s="2829">
        <v>1800</v>
      </c>
      <c r="C6359" s="2829">
        <v>1860</v>
      </c>
      <c r="D6359" s="2832" t="s">
        <v>3258</v>
      </c>
      <c r="E6359" s="2826" t="s">
        <v>3251</v>
      </c>
      <c r="F6359" s="2871" t="s">
        <v>3259</v>
      </c>
      <c r="G6359" s="1228" t="s">
        <v>3260</v>
      </c>
    </row>
    <row r="6360" spans="1:7" ht="14.25" thickBot="1">
      <c r="A6360" s="2827"/>
      <c r="B6360" s="2831"/>
      <c r="C6360" s="2831"/>
      <c r="D6360" s="2833"/>
      <c r="E6360" s="2827"/>
      <c r="F6360" s="2872"/>
      <c r="G6360" s="1229" t="s">
        <v>3257</v>
      </c>
    </row>
    <row r="6361" spans="1:7">
      <c r="A6361" s="2826" t="s">
        <v>3275</v>
      </c>
      <c r="B6361" s="2829">
        <v>1870</v>
      </c>
      <c r="C6361" s="2829">
        <v>1900</v>
      </c>
      <c r="D6361" s="1224" t="s">
        <v>3249</v>
      </c>
      <c r="E6361" s="2826" t="s">
        <v>3251</v>
      </c>
      <c r="F6361" s="1226" t="s">
        <v>3252</v>
      </c>
      <c r="G6361" s="1226" t="s">
        <v>3266</v>
      </c>
    </row>
    <row r="6362" spans="1:7">
      <c r="A6362" s="2828"/>
      <c r="B6362" s="2830"/>
      <c r="C6362" s="2830"/>
      <c r="D6362" s="1225" t="s">
        <v>3261</v>
      </c>
      <c r="E6362" s="2828"/>
      <c r="F6362" s="1226" t="s">
        <v>3262</v>
      </c>
      <c r="G6362" s="1228" t="s">
        <v>3267</v>
      </c>
    </row>
    <row r="6363" spans="1:7">
      <c r="A6363" s="2828"/>
      <c r="B6363" s="2830"/>
      <c r="C6363" s="2830"/>
      <c r="D6363" s="1222"/>
      <c r="E6363" s="2828"/>
      <c r="F6363" s="1230" t="s">
        <v>3263</v>
      </c>
      <c r="G6363" s="1231" t="s">
        <v>3268</v>
      </c>
    </row>
    <row r="6364" spans="1:7">
      <c r="A6364" s="2828"/>
      <c r="B6364" s="2830"/>
      <c r="C6364" s="2830"/>
      <c r="D6364" s="1222"/>
      <c r="E6364" s="2828"/>
      <c r="F6364" s="1230" t="s">
        <v>3264</v>
      </c>
      <c r="G6364" s="1226" t="s">
        <v>3257</v>
      </c>
    </row>
    <row r="6365" spans="1:7" ht="14.25" thickBot="1">
      <c r="A6365" s="2827"/>
      <c r="B6365" s="2831"/>
      <c r="C6365" s="2831"/>
      <c r="D6365" s="1223"/>
      <c r="E6365" s="2827"/>
      <c r="F6365" s="1227" t="s">
        <v>3265</v>
      </c>
      <c r="G6365" s="1223"/>
    </row>
    <row r="6366" spans="1:7" ht="14.25" thickBot="1">
      <c r="A6366" s="1122" t="s">
        <v>3276</v>
      </c>
      <c r="B6366" s="1232">
        <v>1380</v>
      </c>
      <c r="C6366" s="1232">
        <v>1500</v>
      </c>
      <c r="D6366" s="1233" t="s">
        <v>3258</v>
      </c>
      <c r="E6366" s="1123" t="s">
        <v>3251</v>
      </c>
      <c r="F6366" s="1229" t="s">
        <v>3259</v>
      </c>
      <c r="G6366" s="1234" t="s">
        <v>3269</v>
      </c>
    </row>
    <row r="6367" spans="1:7">
      <c r="A6367" s="2826" t="s">
        <v>3277</v>
      </c>
      <c r="B6367" s="2829">
        <v>1680</v>
      </c>
      <c r="C6367" s="2829">
        <v>1780</v>
      </c>
      <c r="D6367" s="2832" t="s">
        <v>3258</v>
      </c>
      <c r="E6367" s="2826" t="s">
        <v>3251</v>
      </c>
      <c r="F6367" s="2871" t="s">
        <v>3259</v>
      </c>
      <c r="G6367" s="1228" t="s">
        <v>3270</v>
      </c>
    </row>
    <row r="6368" spans="1:7" ht="14.25" thickBot="1">
      <c r="A6368" s="2827"/>
      <c r="B6368" s="2831"/>
      <c r="C6368" s="2831"/>
      <c r="D6368" s="2833"/>
      <c r="E6368" s="2827"/>
      <c r="F6368" s="2872"/>
      <c r="G6368" s="1229" t="s">
        <v>3257</v>
      </c>
    </row>
    <row r="6369" spans="1:8">
      <c r="A6369" s="2826" t="s">
        <v>3278</v>
      </c>
      <c r="B6369" s="2829">
        <v>1700</v>
      </c>
      <c r="C6369" s="2829">
        <v>1800</v>
      </c>
      <c r="D6369" s="2832" t="s">
        <v>3258</v>
      </c>
      <c r="E6369" s="2826" t="s">
        <v>3251</v>
      </c>
      <c r="F6369" s="2871" t="s">
        <v>3259</v>
      </c>
      <c r="G6369" s="1228" t="s">
        <v>3271</v>
      </c>
    </row>
    <row r="6370" spans="1:8" ht="14.25" thickBot="1">
      <c r="A6370" s="2827"/>
      <c r="B6370" s="2831"/>
      <c r="C6370" s="2831"/>
      <c r="D6370" s="2833"/>
      <c r="E6370" s="2827"/>
      <c r="F6370" s="2872"/>
      <c r="G6370" s="1229" t="s">
        <v>3257</v>
      </c>
    </row>
    <row r="6371" spans="1:8">
      <c r="A6371" s="629"/>
    </row>
    <row r="6373" spans="1:8" s="1238" customFormat="1" ht="12.75">
      <c r="A6373" s="902" t="s">
        <v>106</v>
      </c>
      <c r="B6373" s="939" t="s">
        <v>52</v>
      </c>
      <c r="C6373" s="1235" t="s">
        <v>3279</v>
      </c>
      <c r="D6373" s="1235" t="s">
        <v>3280</v>
      </c>
      <c r="E6373" s="1236" t="s">
        <v>3281</v>
      </c>
      <c r="F6373" s="1237" t="s">
        <v>3282</v>
      </c>
    </row>
    <row r="6374" spans="1:8" s="1238" customFormat="1" ht="12.75">
      <c r="A6374" s="1235" t="s">
        <v>3283</v>
      </c>
      <c r="B6374" s="1235" t="s">
        <v>3284</v>
      </c>
      <c r="C6374" s="1239">
        <v>16.8</v>
      </c>
      <c r="D6374" s="1239">
        <v>16.5</v>
      </c>
      <c r="E6374" s="1240">
        <v>1650</v>
      </c>
      <c r="F6374" s="1236"/>
    </row>
    <row r="6375" spans="1:8" s="1238" customFormat="1" ht="25.5">
      <c r="A6375" s="1235" t="s">
        <v>3285</v>
      </c>
      <c r="B6375" s="1235" t="s">
        <v>3284</v>
      </c>
      <c r="C6375" s="1241" t="s">
        <v>3286</v>
      </c>
      <c r="D6375" s="1239">
        <v>16.5</v>
      </c>
      <c r="E6375" s="1240">
        <v>1650</v>
      </c>
      <c r="F6375" s="1236">
        <v>300</v>
      </c>
    </row>
    <row r="6379" spans="1:8">
      <c r="A6379" t="s">
        <v>5582</v>
      </c>
    </row>
    <row r="6380" spans="1:8" s="194" customFormat="1" ht="14.25">
      <c r="A6380" s="902" t="s">
        <v>3288</v>
      </c>
      <c r="B6380" s="902" t="s">
        <v>3287</v>
      </c>
      <c r="C6380" s="1244" t="s">
        <v>3291</v>
      </c>
      <c r="D6380" s="1244" t="s">
        <v>3292</v>
      </c>
      <c r="E6380" s="902" t="s">
        <v>3293</v>
      </c>
      <c r="F6380" s="902" t="s">
        <v>3294</v>
      </c>
      <c r="G6380" s="902" t="s">
        <v>3297</v>
      </c>
      <c r="H6380" s="902" t="s">
        <v>3298</v>
      </c>
    </row>
    <row r="6381" spans="1:8" s="194" customFormat="1" ht="25.5" customHeight="1">
      <c r="A6381" s="909" t="s">
        <v>3273</v>
      </c>
      <c r="B6381" s="909" t="s">
        <v>3289</v>
      </c>
      <c r="C6381" s="1245">
        <f t="shared" ref="C6381:C6386" si="22">ROUNDUP(G6381/0.8/120,2)</f>
        <v>20.32</v>
      </c>
      <c r="D6381" s="1245">
        <f t="shared" ref="D6381:D6386" si="23">ROUNDUP((G6381+H6381)/0.8/120,2)</f>
        <v>23.44</v>
      </c>
      <c r="E6381" s="2879" t="s">
        <v>3303</v>
      </c>
      <c r="F6381" s="909" t="s">
        <v>3295</v>
      </c>
      <c r="G6381" s="1242">
        <v>1950</v>
      </c>
      <c r="H6381" s="1246">
        <v>300</v>
      </c>
    </row>
    <row r="6382" spans="1:8" s="194" customFormat="1" ht="25.5" customHeight="1">
      <c r="A6382" s="909" t="s">
        <v>3274</v>
      </c>
      <c r="B6382" s="1209" t="s">
        <v>3290</v>
      </c>
      <c r="C6382" s="1245">
        <f t="shared" si="22"/>
        <v>19.380000000000003</v>
      </c>
      <c r="D6382" s="1245">
        <f t="shared" si="23"/>
        <v>22.5</v>
      </c>
      <c r="E6382" s="2880"/>
      <c r="F6382" s="909" t="s">
        <v>3300</v>
      </c>
      <c r="G6382" s="1242">
        <v>1860</v>
      </c>
      <c r="H6382" s="1246">
        <v>300</v>
      </c>
    </row>
    <row r="6383" spans="1:8" s="194" customFormat="1" ht="25.5" customHeight="1">
      <c r="A6383" s="909" t="s">
        <v>3275</v>
      </c>
      <c r="B6383" s="909" t="s">
        <v>3289</v>
      </c>
      <c r="C6383" s="1245">
        <f t="shared" si="22"/>
        <v>19.8</v>
      </c>
      <c r="D6383" s="1245">
        <f t="shared" si="23"/>
        <v>22.92</v>
      </c>
      <c r="E6383" s="2880"/>
      <c r="F6383" s="909" t="s">
        <v>3296</v>
      </c>
      <c r="G6383" s="1242">
        <v>1900</v>
      </c>
      <c r="H6383" s="1246">
        <v>300</v>
      </c>
    </row>
    <row r="6384" spans="1:8" s="194" customFormat="1" ht="25.5" customHeight="1">
      <c r="A6384" s="909" t="s">
        <v>3276</v>
      </c>
      <c r="B6384" s="1209" t="s">
        <v>3290</v>
      </c>
      <c r="C6384" s="1245">
        <f t="shared" si="22"/>
        <v>15.629999999999999</v>
      </c>
      <c r="D6384" s="1245">
        <f t="shared" si="23"/>
        <v>18.75</v>
      </c>
      <c r="E6384" s="2880"/>
      <c r="F6384" s="909" t="s">
        <v>3299</v>
      </c>
      <c r="G6384" s="1242">
        <v>1500</v>
      </c>
      <c r="H6384" s="1246">
        <v>300</v>
      </c>
    </row>
    <row r="6385" spans="1:8" s="194" customFormat="1" ht="25.5" customHeight="1">
      <c r="A6385" s="909" t="s">
        <v>3277</v>
      </c>
      <c r="B6385" s="1209" t="s">
        <v>3290</v>
      </c>
      <c r="C6385" s="1245">
        <f t="shared" si="22"/>
        <v>18.55</v>
      </c>
      <c r="D6385" s="1245">
        <f t="shared" si="23"/>
        <v>21.67</v>
      </c>
      <c r="E6385" s="2880"/>
      <c r="F6385" s="909" t="s">
        <v>3301</v>
      </c>
      <c r="G6385" s="1242">
        <v>1780</v>
      </c>
      <c r="H6385" s="1246">
        <v>300</v>
      </c>
    </row>
    <row r="6386" spans="1:8" s="194" customFormat="1" ht="25.5" customHeight="1">
      <c r="A6386" s="909" t="s">
        <v>3278</v>
      </c>
      <c r="B6386" s="1209" t="s">
        <v>3290</v>
      </c>
      <c r="C6386" s="1245">
        <f t="shared" si="22"/>
        <v>18.75</v>
      </c>
      <c r="D6386" s="1245">
        <f t="shared" si="23"/>
        <v>21.880000000000003</v>
      </c>
      <c r="E6386" s="2881"/>
      <c r="F6386" s="909" t="s">
        <v>3302</v>
      </c>
      <c r="G6386" s="1242">
        <v>1800</v>
      </c>
      <c r="H6386" s="1246">
        <v>300</v>
      </c>
    </row>
    <row r="6387" spans="1:8" s="194" customFormat="1" ht="14.25"/>
    <row r="6388" spans="1:8" s="194" customFormat="1" ht="14.25">
      <c r="D6388" s="1243"/>
    </row>
    <row r="6390" spans="1:8" s="888" customFormat="1" ht="12.75">
      <c r="A6390" s="902" t="s">
        <v>3318</v>
      </c>
      <c r="B6390" s="902" t="s">
        <v>53</v>
      </c>
      <c r="C6390" s="902" t="s">
        <v>3319</v>
      </c>
      <c r="D6390" s="887" t="s">
        <v>3320</v>
      </c>
      <c r="E6390" s="887" t="s">
        <v>3321</v>
      </c>
    </row>
    <row r="6391" spans="1:8" s="888" customFormat="1" ht="12.75">
      <c r="A6391" s="909" t="s">
        <v>3306</v>
      </c>
      <c r="B6391" s="1209" t="s">
        <v>3307</v>
      </c>
      <c r="C6391" s="905">
        <v>12</v>
      </c>
      <c r="D6391" s="1248">
        <f>20.32+3</f>
        <v>23.32</v>
      </c>
      <c r="E6391" s="891">
        <f t="shared" ref="E6391:E6397" si="24">D6391*C6391</f>
        <v>279.84000000000003</v>
      </c>
    </row>
    <row r="6392" spans="1:8" s="888" customFormat="1" ht="12.75">
      <c r="A6392" s="909" t="s">
        <v>3308</v>
      </c>
      <c r="B6392" s="1209" t="s">
        <v>3309</v>
      </c>
      <c r="C6392" s="905">
        <v>12</v>
      </c>
      <c r="D6392" s="1248">
        <f>19.38+3</f>
        <v>22.38</v>
      </c>
      <c r="E6392" s="891">
        <f t="shared" si="24"/>
        <v>268.56</v>
      </c>
    </row>
    <row r="6393" spans="1:8" s="888" customFormat="1" ht="12.75">
      <c r="A6393" s="909" t="s">
        <v>3310</v>
      </c>
      <c r="B6393" s="1209" t="s">
        <v>3309</v>
      </c>
      <c r="C6393" s="905">
        <v>9</v>
      </c>
      <c r="D6393" s="1248">
        <f>19.8+3</f>
        <v>22.8</v>
      </c>
      <c r="E6393" s="891">
        <f t="shared" si="24"/>
        <v>205.20000000000002</v>
      </c>
    </row>
    <row r="6394" spans="1:8" s="888" customFormat="1" ht="12.75">
      <c r="A6394" s="1249" t="s">
        <v>3311</v>
      </c>
      <c r="B6394" s="1209" t="s">
        <v>3312</v>
      </c>
      <c r="C6394" s="905">
        <v>12</v>
      </c>
      <c r="D6394" s="1248">
        <f>15.63+3</f>
        <v>18.630000000000003</v>
      </c>
      <c r="E6394" s="891">
        <f t="shared" si="24"/>
        <v>223.56000000000003</v>
      </c>
    </row>
    <row r="6395" spans="1:8" s="888" customFormat="1" ht="12.75">
      <c r="A6395" s="1249" t="s">
        <v>3313</v>
      </c>
      <c r="B6395" s="1209" t="s">
        <v>3314</v>
      </c>
      <c r="C6395" s="905">
        <v>10</v>
      </c>
      <c r="D6395" s="1248">
        <f>18.55+3</f>
        <v>21.55</v>
      </c>
      <c r="E6395" s="891">
        <f t="shared" si="24"/>
        <v>215.5</v>
      </c>
    </row>
    <row r="6396" spans="1:8" s="888" customFormat="1" ht="12.75">
      <c r="A6396" s="1249" t="s">
        <v>3315</v>
      </c>
      <c r="B6396" s="1209" t="s">
        <v>3309</v>
      </c>
      <c r="C6396" s="905">
        <v>10</v>
      </c>
      <c r="D6396" s="1248">
        <f>18.75+3</f>
        <v>21.75</v>
      </c>
      <c r="E6396" s="891">
        <f t="shared" si="24"/>
        <v>217.5</v>
      </c>
    </row>
    <row r="6397" spans="1:8" s="888" customFormat="1" ht="12.75">
      <c r="A6397" s="47"/>
      <c r="B6397" s="260" t="s">
        <v>1993</v>
      </c>
      <c r="C6397" s="894">
        <v>1</v>
      </c>
      <c r="D6397" s="891">
        <v>12</v>
      </c>
      <c r="E6397" s="891">
        <f t="shared" si="24"/>
        <v>12</v>
      </c>
    </row>
    <row r="6398" spans="1:8" s="888" customFormat="1" ht="12.75">
      <c r="A6398" s="47"/>
      <c r="B6398" s="260"/>
      <c r="C6398" s="894"/>
      <c r="D6398" s="918" t="s">
        <v>375</v>
      </c>
      <c r="E6398" s="919">
        <f>SUM(E6391:E6397)</f>
        <v>1422.1600000000003</v>
      </c>
    </row>
    <row r="6402" spans="1:8" s="888" customFormat="1" ht="12.75">
      <c r="A6402" s="1166" t="s">
        <v>105</v>
      </c>
      <c r="B6402" s="902" t="s">
        <v>3335</v>
      </c>
      <c r="C6402" s="902" t="s">
        <v>53</v>
      </c>
      <c r="D6402" s="902" t="s">
        <v>54</v>
      </c>
      <c r="E6402" s="887" t="s">
        <v>1825</v>
      </c>
      <c r="F6402" s="887" t="s">
        <v>3321</v>
      </c>
    </row>
    <row r="6403" spans="1:8" s="888" customFormat="1" ht="12.75">
      <c r="A6403" s="947" t="s">
        <v>3328</v>
      </c>
      <c r="B6403" s="47" t="s">
        <v>3330</v>
      </c>
      <c r="C6403" s="47" t="s">
        <v>3331</v>
      </c>
      <c r="D6403" s="50">
        <v>30</v>
      </c>
      <c r="E6403" s="891">
        <v>0.91</v>
      </c>
      <c r="F6403" s="891">
        <f>E6403*D6403</f>
        <v>27.3</v>
      </c>
    </row>
    <row r="6404" spans="1:8" s="888" customFormat="1" ht="12.75">
      <c r="A6404" s="947" t="s">
        <v>3328</v>
      </c>
      <c r="B6404" s="47" t="s">
        <v>3330</v>
      </c>
      <c r="C6404" s="47" t="s">
        <v>3332</v>
      </c>
      <c r="D6404" s="50">
        <v>30</v>
      </c>
      <c r="E6404" s="891">
        <v>0.91</v>
      </c>
      <c r="F6404" s="891">
        <f>E6404*D6404</f>
        <v>27.3</v>
      </c>
    </row>
    <row r="6405" spans="1:8" s="888" customFormat="1" ht="12.75">
      <c r="A6405" s="947" t="s">
        <v>3328</v>
      </c>
      <c r="B6405" s="47" t="s">
        <v>3330</v>
      </c>
      <c r="C6405" s="47" t="s">
        <v>3333</v>
      </c>
      <c r="D6405" s="50">
        <v>30</v>
      </c>
      <c r="E6405" s="891">
        <v>0.91</v>
      </c>
      <c r="F6405" s="891">
        <f>E6405*D6405</f>
        <v>27.3</v>
      </c>
    </row>
    <row r="6406" spans="1:8" s="888" customFormat="1" ht="12.75">
      <c r="A6406" s="947" t="s">
        <v>3328</v>
      </c>
      <c r="B6406" s="47"/>
      <c r="C6406" s="260" t="s">
        <v>3334</v>
      </c>
      <c r="D6406" s="894">
        <v>3</v>
      </c>
      <c r="E6406" s="891">
        <v>75</v>
      </c>
      <c r="F6406" s="891">
        <f>E6406*D6406</f>
        <v>225</v>
      </c>
    </row>
    <row r="6407" spans="1:8" s="888" customFormat="1" ht="12.75">
      <c r="A6407" s="947" t="s">
        <v>3328</v>
      </c>
      <c r="B6407" s="47"/>
      <c r="C6407" s="260" t="s">
        <v>1993</v>
      </c>
      <c r="D6407" s="894">
        <v>1</v>
      </c>
      <c r="E6407" s="891">
        <v>12</v>
      </c>
      <c r="F6407" s="891">
        <f>E6407*D6407</f>
        <v>12</v>
      </c>
    </row>
    <row r="6408" spans="1:8" s="888" customFormat="1" ht="12.75">
      <c r="A6408" s="947"/>
      <c r="B6408" s="47"/>
      <c r="C6408" s="260"/>
      <c r="D6408" s="894"/>
      <c r="E6408" s="918" t="s">
        <v>375</v>
      </c>
      <c r="F6408" s="919">
        <f>SUM(F6403:F6407)</f>
        <v>318.89999999999998</v>
      </c>
    </row>
    <row r="6411" spans="1:8">
      <c r="A6411" t="s">
        <v>3339</v>
      </c>
    </row>
    <row r="6412" spans="1:8" s="1199" customFormat="1" ht="25.5">
      <c r="A6412" s="886" t="s">
        <v>1400</v>
      </c>
      <c r="B6412" s="952" t="s">
        <v>2724</v>
      </c>
      <c r="C6412" s="951" t="s">
        <v>1181</v>
      </c>
      <c r="D6412" s="887" t="s">
        <v>3083</v>
      </c>
      <c r="E6412" s="953" t="s">
        <v>2467</v>
      </c>
      <c r="F6412" s="951" t="s">
        <v>1752</v>
      </c>
      <c r="G6412" s="951" t="s">
        <v>2562</v>
      </c>
      <c r="H6412" s="1199" t="s">
        <v>5336</v>
      </c>
    </row>
    <row r="6413" spans="1:8" s="1199" customFormat="1" ht="24" customHeight="1">
      <c r="A6413" s="954">
        <v>2727</v>
      </c>
      <c r="B6413" s="954" t="s">
        <v>3336</v>
      </c>
      <c r="C6413" s="954" t="s">
        <v>3338</v>
      </c>
      <c r="D6413" s="1251" t="s">
        <v>3344</v>
      </c>
      <c r="E6413" s="957">
        <f>ROUNDUP(H6413/0.8/120,2)</f>
        <v>18.55</v>
      </c>
      <c r="F6413" s="954" t="s">
        <v>3342</v>
      </c>
      <c r="G6413" s="954"/>
      <c r="H6413" s="1199">
        <v>1780</v>
      </c>
    </row>
    <row r="6414" spans="1:8" s="1199" customFormat="1" ht="24" customHeight="1">
      <c r="A6414" s="954">
        <v>5600</v>
      </c>
      <c r="B6414" s="954" t="s">
        <v>1923</v>
      </c>
      <c r="C6414" s="954" t="s">
        <v>2725</v>
      </c>
      <c r="D6414" s="1251" t="s">
        <v>3344</v>
      </c>
      <c r="E6414" s="957">
        <f>ROUNDUP(H6414/0.7/120,2)</f>
        <v>6.67</v>
      </c>
      <c r="F6414" s="954" t="s">
        <v>3342</v>
      </c>
      <c r="G6414" s="954"/>
      <c r="H6414" s="1199">
        <v>560</v>
      </c>
    </row>
    <row r="6415" spans="1:8" s="1199" customFormat="1" ht="24" customHeight="1">
      <c r="A6415" s="954" t="s">
        <v>3337</v>
      </c>
      <c r="B6415" s="954" t="s">
        <v>2491</v>
      </c>
      <c r="C6415" s="954" t="s">
        <v>2725</v>
      </c>
      <c r="D6415" s="1251" t="s">
        <v>3345</v>
      </c>
      <c r="E6415" s="957">
        <f>ROUNDUP(H6415/0.7/120,2)</f>
        <v>6.08</v>
      </c>
      <c r="F6415" s="1197" t="s">
        <v>2506</v>
      </c>
      <c r="G6415" s="1197"/>
      <c r="H6415" s="1199">
        <v>510</v>
      </c>
    </row>
    <row r="6416" spans="1:8" s="1199" customFormat="1" ht="24" customHeight="1">
      <c r="A6416" s="954" t="s">
        <v>3343</v>
      </c>
      <c r="B6416" s="954" t="s">
        <v>3340</v>
      </c>
      <c r="C6416" s="954" t="s">
        <v>3341</v>
      </c>
      <c r="D6416" s="1251" t="s">
        <v>3346</v>
      </c>
      <c r="E6416" s="957">
        <f>ROUNDUP(H6416/0.8/120,2)</f>
        <v>13.86</v>
      </c>
      <c r="F6416" s="1197" t="s">
        <v>5337</v>
      </c>
      <c r="G6416" s="1197"/>
      <c r="H6416" s="1199">
        <f>1310+20</f>
        <v>1330</v>
      </c>
    </row>
    <row r="6417" spans="1:10" s="1199" customFormat="1" ht="24" customHeight="1">
      <c r="A6417" s="954"/>
      <c r="B6417" s="954"/>
      <c r="C6417" s="954"/>
      <c r="D6417" s="1251"/>
      <c r="E6417" s="957"/>
      <c r="F6417" s="1197"/>
      <c r="G6417" s="1197"/>
    </row>
    <row r="6418" spans="1:10" s="1199" customFormat="1" ht="25.5">
      <c r="A6418" s="886" t="s">
        <v>1400</v>
      </c>
      <c r="B6418" s="952" t="s">
        <v>2724</v>
      </c>
      <c r="C6418" s="951" t="s">
        <v>1181</v>
      </c>
      <c r="D6418" s="887" t="s">
        <v>3083</v>
      </c>
      <c r="E6418" s="1250" t="s">
        <v>3349</v>
      </c>
      <c r="F6418" s="1250" t="s">
        <v>3351</v>
      </c>
      <c r="G6418" s="1250" t="s">
        <v>3350</v>
      </c>
      <c r="H6418" s="1199" t="s">
        <v>5336</v>
      </c>
    </row>
    <row r="6419" spans="1:10" s="1199" customFormat="1" ht="24" customHeight="1">
      <c r="A6419" s="954" t="s">
        <v>3347</v>
      </c>
      <c r="B6419" s="954" t="s">
        <v>3340</v>
      </c>
      <c r="C6419" s="954" t="s">
        <v>3341</v>
      </c>
      <c r="D6419" s="1251" t="s">
        <v>3348</v>
      </c>
      <c r="E6419" s="957">
        <f>ROUNDUP(H6419/0.8/120,2)</f>
        <v>13.86</v>
      </c>
      <c r="F6419" s="957">
        <f>ROUNDUP(J6419/0.8/120,2)</f>
        <v>15.629999999999999</v>
      </c>
      <c r="G6419" s="957">
        <f>ROUNDUP(I6419/0.8/120,2)</f>
        <v>27.5</v>
      </c>
      <c r="H6419" s="1199">
        <f>1310+20</f>
        <v>1330</v>
      </c>
      <c r="I6419" s="1199">
        <f>2620+20</f>
        <v>2640</v>
      </c>
      <c r="J6419" s="1199">
        <f>1480+20</f>
        <v>1500</v>
      </c>
    </row>
    <row r="6422" spans="1:10">
      <c r="A6422" s="902" t="s">
        <v>105</v>
      </c>
      <c r="B6422" s="902" t="s">
        <v>106</v>
      </c>
      <c r="C6422" s="902" t="s">
        <v>52</v>
      </c>
      <c r="D6422" s="902" t="s">
        <v>1710</v>
      </c>
      <c r="E6422" s="887" t="s">
        <v>1186</v>
      </c>
      <c r="F6422" s="887" t="s">
        <v>1652</v>
      </c>
      <c r="G6422" s="887" t="s">
        <v>1653</v>
      </c>
      <c r="H6422" s="887" t="s">
        <v>1825</v>
      </c>
      <c r="I6422" s="916" t="s">
        <v>10</v>
      </c>
    </row>
    <row r="6423" spans="1:10">
      <c r="A6423" s="947" t="s">
        <v>3352</v>
      </c>
      <c r="B6423" s="47" t="s">
        <v>3073</v>
      </c>
      <c r="C6423" s="907">
        <v>152</v>
      </c>
      <c r="D6423" s="47" t="s">
        <v>859</v>
      </c>
      <c r="E6423" s="905">
        <v>58</v>
      </c>
      <c r="F6423" s="906">
        <v>12</v>
      </c>
      <c r="G6423" s="905">
        <f>E6423*F6423</f>
        <v>696</v>
      </c>
      <c r="H6423" s="891">
        <v>3.89</v>
      </c>
    </row>
    <row r="6424" spans="1:10">
      <c r="A6424" s="947" t="s">
        <v>3352</v>
      </c>
      <c r="B6424" s="47" t="s">
        <v>3073</v>
      </c>
      <c r="C6424" s="907">
        <v>152</v>
      </c>
      <c r="D6424" s="47" t="s">
        <v>859</v>
      </c>
      <c r="E6424" s="905">
        <v>67</v>
      </c>
      <c r="F6424" s="906">
        <v>1</v>
      </c>
      <c r="G6424" s="905">
        <f>E6424*F6424</f>
        <v>67</v>
      </c>
      <c r="H6424" s="891">
        <v>3.89</v>
      </c>
    </row>
    <row r="6425" spans="1:10">
      <c r="A6425" s="947" t="s">
        <v>3352</v>
      </c>
      <c r="B6425" s="47" t="s">
        <v>3073</v>
      </c>
      <c r="C6425" s="907">
        <v>152</v>
      </c>
      <c r="D6425" s="47" t="s">
        <v>859</v>
      </c>
      <c r="E6425" s="905">
        <v>68</v>
      </c>
      <c r="F6425" s="906">
        <v>7</v>
      </c>
      <c r="G6425" s="905">
        <f>E6425*F6425</f>
        <v>476</v>
      </c>
      <c r="H6425" s="891">
        <v>3.89</v>
      </c>
    </row>
    <row r="6426" spans="1:10" s="888" customFormat="1" ht="12.75">
      <c r="A6426" s="4"/>
      <c r="B6426" s="47"/>
      <c r="C6426" s="907"/>
      <c r="D6426" s="47"/>
      <c r="E6426" s="905"/>
      <c r="F6426" s="1157" t="s">
        <v>181</v>
      </c>
      <c r="G6426" s="1158">
        <f>SUM(G6422:G6425)</f>
        <v>1239</v>
      </c>
      <c r="H6426" s="891"/>
    </row>
    <row r="6430" spans="1:10">
      <c r="A6430" s="902" t="s">
        <v>106</v>
      </c>
      <c r="B6430" s="902" t="s">
        <v>377</v>
      </c>
      <c r="C6430" s="902" t="s">
        <v>128</v>
      </c>
      <c r="D6430" s="887" t="s">
        <v>1186</v>
      </c>
      <c r="E6430" s="887" t="s">
        <v>1652</v>
      </c>
      <c r="F6430" s="887" t="s">
        <v>1653</v>
      </c>
      <c r="G6430" s="967" t="s">
        <v>2939</v>
      </c>
    </row>
    <row r="6431" spans="1:10">
      <c r="A6431" s="47" t="s">
        <v>536</v>
      </c>
      <c r="B6431" s="1146">
        <v>160</v>
      </c>
      <c r="C6431" s="909" t="s">
        <v>859</v>
      </c>
      <c r="D6431" s="905">
        <v>50</v>
      </c>
      <c r="E6431" s="906">
        <v>2</v>
      </c>
      <c r="F6431" s="905">
        <f>D6431*E6431</f>
        <v>100</v>
      </c>
      <c r="G6431" s="1254" t="s">
        <v>2741</v>
      </c>
    </row>
    <row r="6432" spans="1:10">
      <c r="A6432" s="47" t="s">
        <v>536</v>
      </c>
      <c r="B6432" s="1146">
        <v>160</v>
      </c>
      <c r="C6432" s="909" t="s">
        <v>3358</v>
      </c>
      <c r="D6432" s="905">
        <v>50</v>
      </c>
      <c r="E6432" s="906">
        <v>1</v>
      </c>
      <c r="F6432" s="905">
        <f>D6432*E6432</f>
        <v>50</v>
      </c>
      <c r="G6432" s="1254" t="s">
        <v>2741</v>
      </c>
    </row>
    <row r="6433" spans="1:7">
      <c r="A6433" s="47" t="s">
        <v>536</v>
      </c>
      <c r="B6433" s="1146">
        <v>160</v>
      </c>
      <c r="C6433" s="909" t="s">
        <v>735</v>
      </c>
      <c r="D6433" s="905">
        <v>50</v>
      </c>
      <c r="E6433" s="906">
        <v>2</v>
      </c>
      <c r="F6433" s="905">
        <f>D6433*E6433</f>
        <v>100</v>
      </c>
      <c r="G6433" s="1254" t="s">
        <v>2741</v>
      </c>
    </row>
    <row r="6434" spans="1:7">
      <c r="A6434" s="889"/>
      <c r="B6434" s="1146"/>
      <c r="C6434" s="47"/>
      <c r="D6434" s="903"/>
      <c r="E6434" s="904"/>
      <c r="F6434" s="903"/>
      <c r="G6434" s="1254"/>
    </row>
    <row r="6435" spans="1:7">
      <c r="A6435" s="47">
        <v>2440</v>
      </c>
      <c r="B6435" s="1146">
        <v>140</v>
      </c>
      <c r="C6435" s="47" t="s">
        <v>3361</v>
      </c>
      <c r="D6435" s="905">
        <v>58</v>
      </c>
      <c r="E6435" s="906">
        <v>2</v>
      </c>
      <c r="F6435" s="905">
        <f t="shared" ref="F6435:F6444" si="25">D6435*E6435</f>
        <v>116</v>
      </c>
      <c r="G6435" s="1254" t="s">
        <v>2741</v>
      </c>
    </row>
    <row r="6436" spans="1:7">
      <c r="A6436" s="47">
        <v>2440</v>
      </c>
      <c r="B6436" s="1146">
        <v>140</v>
      </c>
      <c r="C6436" s="47" t="s">
        <v>3363</v>
      </c>
      <c r="D6436" s="905">
        <v>58</v>
      </c>
      <c r="E6436" s="906">
        <v>1</v>
      </c>
      <c r="F6436" s="905">
        <f t="shared" si="25"/>
        <v>58</v>
      </c>
      <c r="G6436" s="1254" t="s">
        <v>2741</v>
      </c>
    </row>
    <row r="6437" spans="1:7">
      <c r="A6437" s="47">
        <v>2440</v>
      </c>
      <c r="B6437" s="1146">
        <v>140</v>
      </c>
      <c r="C6437" s="47" t="s">
        <v>1547</v>
      </c>
      <c r="D6437" s="905">
        <v>58</v>
      </c>
      <c r="E6437" s="906">
        <v>2</v>
      </c>
      <c r="F6437" s="905">
        <f t="shared" si="25"/>
        <v>116</v>
      </c>
      <c r="G6437" s="1254" t="s">
        <v>2741</v>
      </c>
    </row>
    <row r="6438" spans="1:7">
      <c r="A6438" s="47">
        <v>2440</v>
      </c>
      <c r="B6438" s="1146">
        <v>140</v>
      </c>
      <c r="C6438" s="47" t="s">
        <v>2010</v>
      </c>
      <c r="D6438" s="905">
        <v>58</v>
      </c>
      <c r="E6438" s="906">
        <v>5</v>
      </c>
      <c r="F6438" s="905">
        <f t="shared" si="25"/>
        <v>290</v>
      </c>
      <c r="G6438" s="1254" t="s">
        <v>2741</v>
      </c>
    </row>
    <row r="6439" spans="1:7">
      <c r="A6439" s="47">
        <v>2440</v>
      </c>
      <c r="B6439" s="1146">
        <v>140</v>
      </c>
      <c r="C6439" s="47" t="s">
        <v>733</v>
      </c>
      <c r="D6439" s="905">
        <v>58</v>
      </c>
      <c r="E6439" s="906">
        <v>3</v>
      </c>
      <c r="F6439" s="905">
        <f t="shared" si="25"/>
        <v>174</v>
      </c>
      <c r="G6439" s="1254" t="s">
        <v>2741</v>
      </c>
    </row>
    <row r="6440" spans="1:7">
      <c r="A6440" s="47">
        <v>2440</v>
      </c>
      <c r="B6440" s="1146">
        <v>140</v>
      </c>
      <c r="C6440" s="47" t="s">
        <v>3367</v>
      </c>
      <c r="D6440" s="905">
        <v>58</v>
      </c>
      <c r="E6440" s="906">
        <v>1</v>
      </c>
      <c r="F6440" s="905">
        <f t="shared" si="25"/>
        <v>58</v>
      </c>
      <c r="G6440" s="1254" t="s">
        <v>2741</v>
      </c>
    </row>
    <row r="6441" spans="1:7">
      <c r="A6441" s="47">
        <v>2440</v>
      </c>
      <c r="B6441" s="1146">
        <v>140</v>
      </c>
      <c r="C6441" s="47" t="s">
        <v>3369</v>
      </c>
      <c r="D6441" s="905">
        <v>58</v>
      </c>
      <c r="E6441" s="906">
        <v>4</v>
      </c>
      <c r="F6441" s="905">
        <f t="shared" si="25"/>
        <v>232</v>
      </c>
      <c r="G6441" s="1254" t="s">
        <v>2741</v>
      </c>
    </row>
    <row r="6442" spans="1:7">
      <c r="A6442" s="47">
        <v>2440</v>
      </c>
      <c r="B6442" s="1146">
        <v>140</v>
      </c>
      <c r="C6442" s="47" t="s">
        <v>3371</v>
      </c>
      <c r="D6442" s="905">
        <v>58</v>
      </c>
      <c r="E6442" s="906">
        <v>5</v>
      </c>
      <c r="F6442" s="905">
        <f t="shared" si="25"/>
        <v>290</v>
      </c>
      <c r="G6442" s="1254" t="s">
        <v>2741</v>
      </c>
    </row>
    <row r="6443" spans="1:7">
      <c r="A6443" s="47">
        <v>2440</v>
      </c>
      <c r="B6443" s="1146">
        <v>140</v>
      </c>
      <c r="C6443" s="47" t="s">
        <v>2008</v>
      </c>
      <c r="D6443" s="905">
        <v>58</v>
      </c>
      <c r="E6443" s="906">
        <v>3</v>
      </c>
      <c r="F6443" s="905">
        <f t="shared" si="25"/>
        <v>174</v>
      </c>
      <c r="G6443" s="1254" t="s">
        <v>2741</v>
      </c>
    </row>
    <row r="6444" spans="1:7">
      <c r="A6444" s="47">
        <v>2440</v>
      </c>
      <c r="B6444" s="1146">
        <v>140</v>
      </c>
      <c r="C6444" s="47" t="s">
        <v>3374</v>
      </c>
      <c r="D6444" s="905">
        <v>58</v>
      </c>
      <c r="E6444" s="906">
        <v>1</v>
      </c>
      <c r="F6444" s="905">
        <f t="shared" si="25"/>
        <v>58</v>
      </c>
      <c r="G6444" s="1254" t="s">
        <v>2741</v>
      </c>
    </row>
    <row r="6450" spans="1:7" ht="38.25" thickBot="1">
      <c r="A6450" s="1255" t="s">
        <v>3376</v>
      </c>
    </row>
    <row r="6451" spans="1:7" ht="14.25" thickBot="1">
      <c r="A6451" s="1120" t="s">
        <v>455</v>
      </c>
      <c r="B6451" s="1121" t="s">
        <v>3377</v>
      </c>
      <c r="C6451" s="1121" t="s">
        <v>457</v>
      </c>
      <c r="D6451" s="1121" t="s">
        <v>1186</v>
      </c>
      <c r="E6451" s="1121" t="s">
        <v>1652</v>
      </c>
      <c r="F6451" s="1121" t="s">
        <v>1653</v>
      </c>
      <c r="G6451" s="1256" t="s">
        <v>3230</v>
      </c>
    </row>
    <row r="6452" spans="1:7" ht="14.25" thickBot="1">
      <c r="A6452" s="1122" t="s">
        <v>804</v>
      </c>
      <c r="B6452" s="1123" t="s">
        <v>3378</v>
      </c>
      <c r="C6452" s="1123" t="s">
        <v>3355</v>
      </c>
      <c r="D6452" s="1124" t="s">
        <v>3379</v>
      </c>
      <c r="E6452" s="1124" t="s">
        <v>1196</v>
      </c>
      <c r="F6452" s="1124" t="s">
        <v>3380</v>
      </c>
      <c r="G6452" s="1233" t="s">
        <v>3381</v>
      </c>
    </row>
    <row r="6453" spans="1:7" ht="14.25" thickBot="1">
      <c r="A6453" s="1122" t="s">
        <v>804</v>
      </c>
      <c r="B6453" s="1123" t="s">
        <v>3378</v>
      </c>
      <c r="C6453" s="1123" t="s">
        <v>3357</v>
      </c>
      <c r="D6453" s="1124" t="s">
        <v>3379</v>
      </c>
      <c r="E6453" s="1124" t="s">
        <v>3382</v>
      </c>
      <c r="F6453" s="1124" t="s">
        <v>3379</v>
      </c>
      <c r="G6453" s="1233" t="s">
        <v>3381</v>
      </c>
    </row>
    <row r="6454" spans="1:7">
      <c r="A6454" s="2826" t="s">
        <v>804</v>
      </c>
      <c r="B6454" s="2826" t="s">
        <v>3378</v>
      </c>
      <c r="C6454" s="2826" t="s">
        <v>3359</v>
      </c>
      <c r="D6454" s="2877" t="s">
        <v>3379</v>
      </c>
      <c r="E6454" s="2877" t="s">
        <v>1196</v>
      </c>
      <c r="F6454" s="2877" t="s">
        <v>3380</v>
      </c>
      <c r="G6454" s="1257" t="s">
        <v>3395</v>
      </c>
    </row>
    <row r="6455" spans="1:7" ht="14.25" thickBot="1">
      <c r="A6455" s="2827"/>
      <c r="B6455" s="2827"/>
      <c r="C6455" s="2827"/>
      <c r="D6455" s="2878"/>
      <c r="E6455" s="2878"/>
      <c r="F6455" s="2878"/>
      <c r="G6455" s="1233" t="s">
        <v>3383</v>
      </c>
    </row>
    <row r="6456" spans="1:7" ht="14.25" thickBot="1">
      <c r="A6456" s="1252"/>
      <c r="B6456" s="1233"/>
      <c r="C6456" s="1233"/>
      <c r="D6456" s="1229"/>
      <c r="E6456" s="1229"/>
      <c r="F6456" s="1229"/>
      <c r="G6456" s="1233"/>
    </row>
    <row r="6457" spans="1:7" ht="14.25" thickBot="1">
      <c r="A6457" s="1122">
        <v>2440</v>
      </c>
      <c r="B6457" s="1123" t="s">
        <v>3384</v>
      </c>
      <c r="C6457" s="1123" t="s">
        <v>3360</v>
      </c>
      <c r="D6457" s="1124" t="s">
        <v>3385</v>
      </c>
      <c r="E6457" s="1124" t="s">
        <v>1196</v>
      </c>
      <c r="F6457" s="1124" t="s">
        <v>3386</v>
      </c>
      <c r="G6457" s="1233" t="s">
        <v>3381</v>
      </c>
    </row>
    <row r="6458" spans="1:7" ht="14.25" thickBot="1">
      <c r="A6458" s="1122">
        <v>2440</v>
      </c>
      <c r="B6458" s="1123" t="s">
        <v>3384</v>
      </c>
      <c r="C6458" s="1123" t="s">
        <v>3362</v>
      </c>
      <c r="D6458" s="1124" t="s">
        <v>3385</v>
      </c>
      <c r="E6458" s="1124" t="s">
        <v>3382</v>
      </c>
      <c r="F6458" s="1124" t="s">
        <v>3385</v>
      </c>
      <c r="G6458" s="1233" t="s">
        <v>3381</v>
      </c>
    </row>
    <row r="6459" spans="1:7" ht="14.25" thickBot="1">
      <c r="A6459" s="1122">
        <v>2440</v>
      </c>
      <c r="B6459" s="1123" t="s">
        <v>3384</v>
      </c>
      <c r="C6459" s="1123" t="s">
        <v>3387</v>
      </c>
      <c r="D6459" s="1124" t="s">
        <v>3385</v>
      </c>
      <c r="E6459" s="1124" t="s">
        <v>1196</v>
      </c>
      <c r="F6459" s="1124" t="s">
        <v>3386</v>
      </c>
      <c r="G6459" s="1233" t="s">
        <v>3381</v>
      </c>
    </row>
    <row r="6460" spans="1:7" ht="14.25" thickBot="1">
      <c r="A6460" s="1122">
        <v>2440</v>
      </c>
      <c r="B6460" s="1123" t="s">
        <v>3384</v>
      </c>
      <c r="C6460" s="1123" t="s">
        <v>3364</v>
      </c>
      <c r="D6460" s="1124" t="s">
        <v>3385</v>
      </c>
      <c r="E6460" s="1124" t="s">
        <v>3388</v>
      </c>
      <c r="F6460" s="1124" t="s">
        <v>3389</v>
      </c>
      <c r="G6460" s="1233" t="s">
        <v>3381</v>
      </c>
    </row>
    <row r="6461" spans="1:7" ht="14.25" thickBot="1">
      <c r="A6461" s="1122">
        <v>2440</v>
      </c>
      <c r="B6461" s="1123" t="s">
        <v>3384</v>
      </c>
      <c r="C6461" s="1123" t="s">
        <v>3365</v>
      </c>
      <c r="D6461" s="1124" t="s">
        <v>3385</v>
      </c>
      <c r="E6461" s="1124" t="s">
        <v>3390</v>
      </c>
      <c r="F6461" s="1124" t="s">
        <v>3391</v>
      </c>
      <c r="G6461" s="1233" t="s">
        <v>3381</v>
      </c>
    </row>
    <row r="6462" spans="1:7" ht="14.25" thickBot="1">
      <c r="A6462" s="1122">
        <v>2440</v>
      </c>
      <c r="B6462" s="1123" t="s">
        <v>3384</v>
      </c>
      <c r="C6462" s="1123" t="s">
        <v>3366</v>
      </c>
      <c r="D6462" s="1124" t="s">
        <v>3385</v>
      </c>
      <c r="E6462" s="1124" t="s">
        <v>3382</v>
      </c>
      <c r="F6462" s="1124" t="s">
        <v>3385</v>
      </c>
      <c r="G6462" s="1233" t="s">
        <v>3381</v>
      </c>
    </row>
    <row r="6463" spans="1:7" ht="14.25" thickBot="1">
      <c r="A6463" s="1122">
        <v>2440</v>
      </c>
      <c r="B6463" s="1123" t="s">
        <v>3384</v>
      </c>
      <c r="C6463" s="1123" t="s">
        <v>3368</v>
      </c>
      <c r="D6463" s="1124" t="s">
        <v>3385</v>
      </c>
      <c r="E6463" s="1124" t="s">
        <v>3392</v>
      </c>
      <c r="F6463" s="1124" t="s">
        <v>3393</v>
      </c>
      <c r="G6463" s="1233" t="s">
        <v>3381</v>
      </c>
    </row>
    <row r="6464" spans="1:7" ht="14.25" thickBot="1">
      <c r="A6464" s="1122">
        <v>2440</v>
      </c>
      <c r="B6464" s="1123" t="s">
        <v>3384</v>
      </c>
      <c r="C6464" s="1123" t="s">
        <v>3370</v>
      </c>
      <c r="D6464" s="1124" t="s">
        <v>3385</v>
      </c>
      <c r="E6464" s="1124" t="s">
        <v>3388</v>
      </c>
      <c r="F6464" s="1124" t="s">
        <v>3389</v>
      </c>
      <c r="G6464" s="1233" t="s">
        <v>3381</v>
      </c>
    </row>
    <row r="6465" spans="1:9" ht="14.25" thickBot="1">
      <c r="A6465" s="1122">
        <v>2440</v>
      </c>
      <c r="B6465" s="1123" t="s">
        <v>3384</v>
      </c>
      <c r="C6465" s="1123" t="s">
        <v>3372</v>
      </c>
      <c r="D6465" s="1124" t="s">
        <v>3385</v>
      </c>
      <c r="E6465" s="1124" t="s">
        <v>3390</v>
      </c>
      <c r="F6465" s="1124" t="s">
        <v>3391</v>
      </c>
      <c r="G6465" s="1233" t="s">
        <v>3381</v>
      </c>
    </row>
    <row r="6466" spans="1:9" ht="14.25" thickBot="1">
      <c r="A6466" s="1122">
        <v>2440</v>
      </c>
      <c r="B6466" s="1123" t="s">
        <v>3384</v>
      </c>
      <c r="C6466" s="1123" t="s">
        <v>3373</v>
      </c>
      <c r="D6466" s="1124" t="s">
        <v>3385</v>
      </c>
      <c r="E6466" s="1124" t="s">
        <v>3382</v>
      </c>
      <c r="F6466" s="1124" t="s">
        <v>3385</v>
      </c>
      <c r="G6466" s="1233" t="s">
        <v>3381</v>
      </c>
    </row>
    <row r="6467" spans="1:9" ht="18.75">
      <c r="A6467" s="1255"/>
    </row>
    <row r="6468" spans="1:9">
      <c r="A6468" s="902" t="s">
        <v>105</v>
      </c>
      <c r="B6468" s="902" t="s">
        <v>106</v>
      </c>
      <c r="C6468" s="902" t="s">
        <v>377</v>
      </c>
      <c r="D6468" s="902" t="s">
        <v>128</v>
      </c>
      <c r="E6468" s="887" t="s">
        <v>1186</v>
      </c>
      <c r="F6468" s="887" t="s">
        <v>1652</v>
      </c>
      <c r="G6468" s="887" t="s">
        <v>1653</v>
      </c>
      <c r="H6468" s="887" t="s">
        <v>1825</v>
      </c>
      <c r="I6468" s="887" t="s">
        <v>2751</v>
      </c>
    </row>
    <row r="6469" spans="1:9">
      <c r="A6469" s="947" t="s">
        <v>3394</v>
      </c>
      <c r="B6469" s="47" t="s">
        <v>536</v>
      </c>
      <c r="C6469" s="907">
        <v>160</v>
      </c>
      <c r="D6469" s="908" t="s">
        <v>859</v>
      </c>
      <c r="E6469" s="50">
        <v>50</v>
      </c>
      <c r="F6469" s="911">
        <v>2</v>
      </c>
      <c r="G6469" s="905">
        <f>E6469*F6469</f>
        <v>100</v>
      </c>
      <c r="H6469" s="51">
        <v>5</v>
      </c>
      <c r="I6469" s="1258" t="s">
        <v>900</v>
      </c>
    </row>
    <row r="6470" spans="1:9">
      <c r="A6470" s="947" t="s">
        <v>3394</v>
      </c>
      <c r="B6470" s="47" t="s">
        <v>536</v>
      </c>
      <c r="C6470" s="907">
        <v>160</v>
      </c>
      <c r="D6470" s="908" t="s">
        <v>3358</v>
      </c>
      <c r="E6470" s="50">
        <v>50</v>
      </c>
      <c r="F6470" s="911">
        <v>1</v>
      </c>
      <c r="G6470" s="905">
        <f>E6470*F6470</f>
        <v>50</v>
      </c>
      <c r="H6470" s="51">
        <v>5</v>
      </c>
      <c r="I6470" s="1258" t="s">
        <v>900</v>
      </c>
    </row>
    <row r="6471" spans="1:9">
      <c r="A6471" s="947" t="s">
        <v>3394</v>
      </c>
      <c r="B6471" s="47" t="s">
        <v>536</v>
      </c>
      <c r="C6471" s="907">
        <v>160</v>
      </c>
      <c r="D6471" s="908" t="s">
        <v>735</v>
      </c>
      <c r="E6471" s="50">
        <v>50</v>
      </c>
      <c r="F6471" s="911">
        <v>2</v>
      </c>
      <c r="G6471" s="905">
        <f>E6471*F6471</f>
        <v>100</v>
      </c>
      <c r="H6471" s="51">
        <v>5</v>
      </c>
      <c r="I6471" s="1258" t="s">
        <v>3396</v>
      </c>
    </row>
    <row r="6472" spans="1:9">
      <c r="A6472" s="947" t="s">
        <v>3394</v>
      </c>
      <c r="B6472" s="889"/>
      <c r="C6472" s="907"/>
      <c r="D6472" s="47"/>
      <c r="E6472" s="903"/>
      <c r="F6472" s="904"/>
      <c r="G6472" s="903"/>
      <c r="H6472" s="916"/>
      <c r="I6472" s="1258"/>
    </row>
    <row r="6473" spans="1:9">
      <c r="A6473" s="947" t="s">
        <v>3394</v>
      </c>
      <c r="B6473" s="47">
        <v>2440</v>
      </c>
      <c r="C6473" s="907">
        <v>140</v>
      </c>
      <c r="D6473" s="47" t="s">
        <v>3361</v>
      </c>
      <c r="E6473" s="50">
        <v>58</v>
      </c>
      <c r="F6473" s="911">
        <v>2</v>
      </c>
      <c r="G6473" s="50">
        <f t="shared" ref="G6473:G6482" si="26">E6473*F6473</f>
        <v>116</v>
      </c>
      <c r="H6473" s="891">
        <v>3.89</v>
      </c>
      <c r="I6473" s="1258" t="s">
        <v>900</v>
      </c>
    </row>
    <row r="6474" spans="1:9">
      <c r="A6474" s="947" t="s">
        <v>3394</v>
      </c>
      <c r="B6474" s="47">
        <v>2440</v>
      </c>
      <c r="C6474" s="907">
        <v>140</v>
      </c>
      <c r="D6474" s="47" t="s">
        <v>3363</v>
      </c>
      <c r="E6474" s="50">
        <v>58</v>
      </c>
      <c r="F6474" s="911">
        <v>1</v>
      </c>
      <c r="G6474" s="50">
        <f t="shared" si="26"/>
        <v>58</v>
      </c>
      <c r="H6474" s="891">
        <v>3.89</v>
      </c>
      <c r="I6474" s="1258" t="s">
        <v>900</v>
      </c>
    </row>
    <row r="6475" spans="1:9">
      <c r="A6475" s="947" t="s">
        <v>3394</v>
      </c>
      <c r="B6475" s="47">
        <v>2440</v>
      </c>
      <c r="C6475" s="907">
        <v>140</v>
      </c>
      <c r="D6475" s="47" t="s">
        <v>1547</v>
      </c>
      <c r="E6475" s="50">
        <v>58</v>
      </c>
      <c r="F6475" s="911">
        <v>2</v>
      </c>
      <c r="G6475" s="50">
        <f t="shared" si="26"/>
        <v>116</v>
      </c>
      <c r="H6475" s="891">
        <v>3.89</v>
      </c>
      <c r="I6475" s="1258" t="s">
        <v>900</v>
      </c>
    </row>
    <row r="6476" spans="1:9">
      <c r="A6476" s="947" t="s">
        <v>3394</v>
      </c>
      <c r="B6476" s="47">
        <v>2440</v>
      </c>
      <c r="C6476" s="907">
        <v>140</v>
      </c>
      <c r="D6476" s="47" t="s">
        <v>2010</v>
      </c>
      <c r="E6476" s="50">
        <v>58</v>
      </c>
      <c r="F6476" s="911">
        <v>5</v>
      </c>
      <c r="G6476" s="50">
        <f t="shared" si="26"/>
        <v>290</v>
      </c>
      <c r="H6476" s="891">
        <v>3.89</v>
      </c>
      <c r="I6476" s="1258" t="s">
        <v>900</v>
      </c>
    </row>
    <row r="6477" spans="1:9">
      <c r="A6477" s="947" t="s">
        <v>3394</v>
      </c>
      <c r="B6477" s="47">
        <v>2440</v>
      </c>
      <c r="C6477" s="907">
        <v>140</v>
      </c>
      <c r="D6477" s="47" t="s">
        <v>733</v>
      </c>
      <c r="E6477" s="50">
        <v>58</v>
      </c>
      <c r="F6477" s="911">
        <v>3</v>
      </c>
      <c r="G6477" s="50">
        <f t="shared" si="26"/>
        <v>174</v>
      </c>
      <c r="H6477" s="891">
        <v>3.89</v>
      </c>
      <c r="I6477" s="1258" t="s">
        <v>900</v>
      </c>
    </row>
    <row r="6478" spans="1:9">
      <c r="A6478" s="947" t="s">
        <v>3394</v>
      </c>
      <c r="B6478" s="47">
        <v>2440</v>
      </c>
      <c r="C6478" s="907">
        <v>140</v>
      </c>
      <c r="D6478" s="47" t="s">
        <v>3367</v>
      </c>
      <c r="E6478" s="50">
        <v>58</v>
      </c>
      <c r="F6478" s="911">
        <v>1</v>
      </c>
      <c r="G6478" s="50">
        <f t="shared" si="26"/>
        <v>58</v>
      </c>
      <c r="H6478" s="891">
        <v>3.89</v>
      </c>
      <c r="I6478" s="1258" t="s">
        <v>900</v>
      </c>
    </row>
    <row r="6479" spans="1:9">
      <c r="A6479" s="947" t="s">
        <v>3394</v>
      </c>
      <c r="B6479" s="47">
        <v>2440</v>
      </c>
      <c r="C6479" s="907">
        <v>140</v>
      </c>
      <c r="D6479" s="47" t="s">
        <v>3369</v>
      </c>
      <c r="E6479" s="50">
        <v>58</v>
      </c>
      <c r="F6479" s="911">
        <v>4</v>
      </c>
      <c r="G6479" s="50">
        <f t="shared" si="26"/>
        <v>232</v>
      </c>
      <c r="H6479" s="891">
        <v>3.89</v>
      </c>
      <c r="I6479" s="1258" t="s">
        <v>900</v>
      </c>
    </row>
    <row r="6480" spans="1:9">
      <c r="A6480" s="947" t="s">
        <v>3394</v>
      </c>
      <c r="B6480" s="47">
        <v>2440</v>
      </c>
      <c r="C6480" s="907">
        <v>140</v>
      </c>
      <c r="D6480" s="47" t="s">
        <v>3371</v>
      </c>
      <c r="E6480" s="50">
        <v>58</v>
      </c>
      <c r="F6480" s="911">
        <v>5</v>
      </c>
      <c r="G6480" s="50">
        <f t="shared" si="26"/>
        <v>290</v>
      </c>
      <c r="H6480" s="891">
        <v>3.89</v>
      </c>
      <c r="I6480" s="1258" t="s">
        <v>900</v>
      </c>
    </row>
    <row r="6481" spans="1:9">
      <c r="A6481" s="947" t="s">
        <v>3394</v>
      </c>
      <c r="B6481" s="47">
        <v>2440</v>
      </c>
      <c r="C6481" s="907">
        <v>140</v>
      </c>
      <c r="D6481" s="47" t="s">
        <v>2008</v>
      </c>
      <c r="E6481" s="50">
        <v>58</v>
      </c>
      <c r="F6481" s="911">
        <v>3</v>
      </c>
      <c r="G6481" s="50">
        <f t="shared" si="26"/>
        <v>174</v>
      </c>
      <c r="H6481" s="891">
        <v>3.89</v>
      </c>
      <c r="I6481" s="1258" t="s">
        <v>900</v>
      </c>
    </row>
    <row r="6482" spans="1:9">
      <c r="A6482" s="947" t="s">
        <v>3394</v>
      </c>
      <c r="B6482" s="47">
        <v>2440</v>
      </c>
      <c r="C6482" s="907">
        <v>140</v>
      </c>
      <c r="D6482" s="47" t="s">
        <v>3374</v>
      </c>
      <c r="E6482" s="50">
        <v>58</v>
      </c>
      <c r="F6482" s="911">
        <v>1</v>
      </c>
      <c r="G6482" s="50">
        <f t="shared" si="26"/>
        <v>58</v>
      </c>
      <c r="H6482" s="891">
        <v>3.89</v>
      </c>
      <c r="I6482" s="1258" t="s">
        <v>900</v>
      </c>
    </row>
    <row r="6483" spans="1:9">
      <c r="A6483" s="1261"/>
      <c r="B6483" s="895"/>
      <c r="C6483" s="1262"/>
      <c r="D6483" s="895"/>
      <c r="E6483" s="1263"/>
      <c r="F6483" s="1264"/>
      <c r="G6483" s="1263"/>
      <c r="H6483" s="1149"/>
      <c r="I6483" s="1265"/>
    </row>
    <row r="6484" spans="1:9">
      <c r="A6484" s="1261"/>
      <c r="B6484" s="895"/>
      <c r="C6484" s="1262"/>
      <c r="D6484" s="895"/>
      <c r="E6484" s="1263"/>
      <c r="F6484" s="1264"/>
      <c r="G6484" s="1263"/>
      <c r="H6484" s="1149"/>
      <c r="I6484" s="1265"/>
    </row>
    <row r="6485" spans="1:9">
      <c r="A6485" s="1261" t="s">
        <v>3406</v>
      </c>
    </row>
    <row r="6486" spans="1:9" s="1186" customFormat="1" ht="25.5">
      <c r="A6486" s="1166" t="s">
        <v>1372</v>
      </c>
      <c r="B6486" s="1184" t="s">
        <v>377</v>
      </c>
      <c r="C6486" s="1167" t="s">
        <v>2</v>
      </c>
      <c r="D6486" s="1168" t="s">
        <v>1734</v>
      </c>
      <c r="E6486" s="1169" t="s">
        <v>3117</v>
      </c>
      <c r="F6486" s="1185" t="s">
        <v>1403</v>
      </c>
    </row>
    <row r="6487" spans="1:9" s="1019" customFormat="1" ht="12.75">
      <c r="A6487" s="1259" t="s">
        <v>3398</v>
      </c>
      <c r="B6487" s="1259" t="s">
        <v>3399</v>
      </c>
      <c r="C6487" s="1259" t="s">
        <v>3397</v>
      </c>
      <c r="D6487" s="1259" t="s">
        <v>1206</v>
      </c>
      <c r="E6487" s="957">
        <f t="shared" ref="E6487:E6493" si="27">ROUNDUP(F6487/0.45/120,2)</f>
        <v>1.1000000000000001</v>
      </c>
      <c r="F6487" s="1260">
        <v>59</v>
      </c>
    </row>
    <row r="6488" spans="1:9" s="1019" customFormat="1" ht="12.75">
      <c r="A6488" s="1259" t="s">
        <v>3398</v>
      </c>
      <c r="B6488" s="1259" t="s">
        <v>3400</v>
      </c>
      <c r="C6488" s="1259" t="s">
        <v>3397</v>
      </c>
      <c r="D6488" s="1259" t="s">
        <v>1206</v>
      </c>
      <c r="E6488" s="957">
        <f t="shared" si="27"/>
        <v>1.17</v>
      </c>
      <c r="F6488" s="1260">
        <v>63</v>
      </c>
    </row>
    <row r="6489" spans="1:9" s="1019" customFormat="1" ht="12.75">
      <c r="A6489" s="1259" t="s">
        <v>3398</v>
      </c>
      <c r="B6489" s="1259" t="s">
        <v>3401</v>
      </c>
      <c r="C6489" s="1259" t="s">
        <v>3397</v>
      </c>
      <c r="D6489" s="1259" t="s">
        <v>1206</v>
      </c>
      <c r="E6489" s="957">
        <f t="shared" si="27"/>
        <v>1.3800000000000001</v>
      </c>
      <c r="F6489" s="1260">
        <v>74</v>
      </c>
    </row>
    <row r="6490" spans="1:9" s="1019" customFormat="1" ht="12.75">
      <c r="A6490" s="1259" t="s">
        <v>3398</v>
      </c>
      <c r="B6490" s="1259" t="s">
        <v>3402</v>
      </c>
      <c r="C6490" s="1259" t="s">
        <v>3397</v>
      </c>
      <c r="D6490" s="1259" t="s">
        <v>1206</v>
      </c>
      <c r="E6490" s="957">
        <f t="shared" si="27"/>
        <v>1.54</v>
      </c>
      <c r="F6490" s="1260">
        <v>83</v>
      </c>
    </row>
    <row r="6491" spans="1:9" s="1019" customFormat="1" ht="12.75">
      <c r="A6491" s="1259" t="s">
        <v>3398</v>
      </c>
      <c r="B6491" s="1259" t="s">
        <v>3403</v>
      </c>
      <c r="C6491" s="1259" t="s">
        <v>3397</v>
      </c>
      <c r="D6491" s="1259" t="s">
        <v>1206</v>
      </c>
      <c r="E6491" s="957">
        <f t="shared" si="27"/>
        <v>1.76</v>
      </c>
      <c r="F6491" s="1260">
        <v>95</v>
      </c>
    </row>
    <row r="6492" spans="1:9" s="1019" customFormat="1" ht="12.75">
      <c r="A6492" s="1259" t="s">
        <v>3398</v>
      </c>
      <c r="B6492" s="1259" t="s">
        <v>3404</v>
      </c>
      <c r="C6492" s="1259" t="s">
        <v>3397</v>
      </c>
      <c r="D6492" s="1259" t="s">
        <v>1206</v>
      </c>
      <c r="E6492" s="957">
        <f t="shared" si="27"/>
        <v>2.0399999999999996</v>
      </c>
      <c r="F6492" s="1260">
        <v>110</v>
      </c>
    </row>
    <row r="6493" spans="1:9" s="1019" customFormat="1" ht="12.75">
      <c r="A6493" s="1259" t="s">
        <v>3398</v>
      </c>
      <c r="B6493" s="1259" t="s">
        <v>3405</v>
      </c>
      <c r="C6493" s="1259" t="s">
        <v>3397</v>
      </c>
      <c r="D6493" s="1259" t="s">
        <v>1206</v>
      </c>
      <c r="E6493" s="957">
        <f t="shared" si="27"/>
        <v>2.5999999999999996</v>
      </c>
      <c r="F6493" s="1260">
        <v>140</v>
      </c>
    </row>
    <row r="6496" spans="1:9">
      <c r="A6496" s="1166" t="s">
        <v>1372</v>
      </c>
      <c r="B6496" s="1184" t="s">
        <v>377</v>
      </c>
      <c r="C6496" s="1167" t="s">
        <v>128</v>
      </c>
      <c r="D6496" s="887" t="s">
        <v>1186</v>
      </c>
      <c r="E6496" s="887" t="s">
        <v>1652</v>
      </c>
      <c r="F6496" s="887" t="s">
        <v>1653</v>
      </c>
      <c r="G6496" s="887" t="s">
        <v>1825</v>
      </c>
      <c r="H6496" s="887" t="s">
        <v>2751</v>
      </c>
    </row>
    <row r="6497" spans="1:8">
      <c r="A6497" s="47">
        <v>3911</v>
      </c>
      <c r="B6497" s="48">
        <v>19</v>
      </c>
      <c r="C6497" s="47" t="s">
        <v>185</v>
      </c>
      <c r="D6497" s="50">
        <v>30</v>
      </c>
      <c r="E6497" s="911">
        <v>1</v>
      </c>
      <c r="F6497" s="905">
        <f>D6497*E6497</f>
        <v>30</v>
      </c>
      <c r="G6497" s="891">
        <v>0.78</v>
      </c>
      <c r="H6497" s="1266" t="s">
        <v>3415</v>
      </c>
    </row>
    <row r="6498" spans="1:8">
      <c r="A6498" s="889"/>
      <c r="B6498" s="48"/>
      <c r="C6498" s="47"/>
      <c r="D6498" s="50"/>
      <c r="E6498" s="911"/>
      <c r="F6498" s="50"/>
      <c r="G6498" s="917"/>
      <c r="H6498" s="1266"/>
    </row>
    <row r="6499" spans="1:8">
      <c r="A6499" s="47" t="s">
        <v>3414</v>
      </c>
      <c r="B6499" s="48"/>
      <c r="C6499" s="1214" t="s">
        <v>78</v>
      </c>
      <c r="D6499" s="50"/>
      <c r="E6499" s="911"/>
      <c r="F6499" s="905">
        <v>25</v>
      </c>
      <c r="G6499" s="51">
        <v>2.92</v>
      </c>
      <c r="H6499" s="1266" t="s">
        <v>3416</v>
      </c>
    </row>
    <row r="6500" spans="1:8">
      <c r="A6500" s="47" t="s">
        <v>3414</v>
      </c>
      <c r="B6500" s="48"/>
      <c r="C6500" s="1214" t="s">
        <v>56</v>
      </c>
      <c r="D6500" s="50"/>
      <c r="E6500" s="911"/>
      <c r="F6500" s="905">
        <v>25</v>
      </c>
      <c r="G6500" s="51">
        <v>3.89</v>
      </c>
      <c r="H6500" s="1266" t="s">
        <v>3416</v>
      </c>
    </row>
    <row r="6501" spans="1:8">
      <c r="A6501" s="889"/>
      <c r="B6501" s="48"/>
      <c r="C6501" s="47"/>
      <c r="D6501" s="50"/>
      <c r="E6501" s="911"/>
      <c r="F6501" s="50"/>
      <c r="G6501" s="917"/>
      <c r="H6501" s="1266"/>
    </row>
    <row r="6502" spans="1:8">
      <c r="A6502" s="47">
        <v>1095</v>
      </c>
      <c r="B6502" s="48">
        <v>150</v>
      </c>
      <c r="C6502" s="47" t="s">
        <v>3412</v>
      </c>
      <c r="D6502" s="50">
        <v>10</v>
      </c>
      <c r="E6502" s="911">
        <v>2</v>
      </c>
      <c r="F6502" s="905">
        <f>D6502*E6502</f>
        <v>20</v>
      </c>
      <c r="G6502" s="51">
        <v>4.67</v>
      </c>
      <c r="H6502" s="1266" t="s">
        <v>3416</v>
      </c>
    </row>
    <row r="6503" spans="1:8">
      <c r="A6503" s="47">
        <v>1095</v>
      </c>
      <c r="B6503" s="48">
        <v>220</v>
      </c>
      <c r="C6503" s="47" t="s">
        <v>3412</v>
      </c>
      <c r="D6503" s="50">
        <v>10</v>
      </c>
      <c r="E6503" s="911">
        <v>2</v>
      </c>
      <c r="F6503" s="905">
        <f>D6503*E6503</f>
        <v>20</v>
      </c>
      <c r="G6503" s="51">
        <v>6.44</v>
      </c>
      <c r="H6503" s="1266" t="s">
        <v>3416</v>
      </c>
    </row>
    <row r="6504" spans="1:8">
      <c r="A6504" s="47"/>
      <c r="B6504" s="893"/>
      <c r="C6504" s="260" t="s">
        <v>1993</v>
      </c>
      <c r="D6504" s="905"/>
      <c r="E6504" s="906"/>
      <c r="F6504" s="894">
        <v>1</v>
      </c>
      <c r="G6504" s="891">
        <v>12</v>
      </c>
      <c r="H6504" s="1266"/>
    </row>
    <row r="6509" spans="1:8">
      <c r="A6509" s="902" t="s">
        <v>106</v>
      </c>
      <c r="B6509" s="902" t="s">
        <v>2861</v>
      </c>
      <c r="C6509" s="902" t="s">
        <v>2862</v>
      </c>
      <c r="D6509" s="1056" t="s">
        <v>2863</v>
      </c>
      <c r="E6509" s="903"/>
    </row>
    <row r="6510" spans="1:8">
      <c r="A6510" s="889" t="s">
        <v>3423</v>
      </c>
      <c r="B6510" s="260" t="s">
        <v>1413</v>
      </c>
      <c r="C6510" s="267" t="s">
        <v>3422</v>
      </c>
      <c r="D6510" s="890" t="s">
        <v>855</v>
      </c>
      <c r="E6510" s="1062">
        <v>3</v>
      </c>
    </row>
    <row r="6511" spans="1:8">
      <c r="A6511" s="889"/>
      <c r="B6511" s="260"/>
      <c r="C6511" s="260"/>
      <c r="D6511" s="903"/>
      <c r="E6511" s="903"/>
    </row>
    <row r="6512" spans="1:8">
      <c r="A6512" s="889" t="s">
        <v>3424</v>
      </c>
      <c r="B6512" s="260" t="s">
        <v>1413</v>
      </c>
      <c r="C6512" s="267" t="s">
        <v>3325</v>
      </c>
      <c r="D6512" s="890" t="s">
        <v>855</v>
      </c>
      <c r="E6512" s="1062">
        <v>2</v>
      </c>
    </row>
    <row r="6513" spans="1:15">
      <c r="A6513" s="889" t="s">
        <v>3424</v>
      </c>
      <c r="B6513" s="260" t="s">
        <v>1413</v>
      </c>
      <c r="C6513" s="267" t="s">
        <v>3326</v>
      </c>
      <c r="D6513" s="890" t="s">
        <v>855</v>
      </c>
      <c r="E6513" s="1062">
        <v>2</v>
      </c>
    </row>
    <row r="6518" spans="1:15">
      <c r="A6518" s="902" t="s">
        <v>106</v>
      </c>
      <c r="B6518" s="902" t="s">
        <v>2861</v>
      </c>
      <c r="C6518" s="902" t="s">
        <v>2862</v>
      </c>
      <c r="D6518" s="902" t="s">
        <v>54</v>
      </c>
      <c r="E6518" s="887" t="s">
        <v>2020</v>
      </c>
    </row>
    <row r="6519" spans="1:15">
      <c r="A6519" s="47" t="s">
        <v>3421</v>
      </c>
      <c r="B6519" s="260" t="s">
        <v>1413</v>
      </c>
      <c r="C6519" s="267" t="s">
        <v>3422</v>
      </c>
      <c r="D6519" s="1062">
        <v>3</v>
      </c>
      <c r="E6519" s="891"/>
    </row>
    <row r="6520" spans="1:15">
      <c r="A6520" s="47"/>
      <c r="B6520" s="260"/>
      <c r="C6520" s="260"/>
      <c r="D6520" s="903"/>
      <c r="E6520" s="52"/>
    </row>
    <row r="6521" spans="1:15">
      <c r="A6521" s="47" t="s">
        <v>3324</v>
      </c>
      <c r="B6521" s="260" t="s">
        <v>1413</v>
      </c>
      <c r="C6521" s="267" t="s">
        <v>3325</v>
      </c>
      <c r="D6521" s="1062">
        <v>2</v>
      </c>
      <c r="E6521" s="891"/>
    </row>
    <row r="6522" spans="1:15">
      <c r="A6522" s="47" t="s">
        <v>3324</v>
      </c>
      <c r="B6522" s="260" t="s">
        <v>1413</v>
      </c>
      <c r="C6522" s="267" t="s">
        <v>3326</v>
      </c>
      <c r="D6522" s="1062">
        <v>2</v>
      </c>
      <c r="E6522" s="891"/>
    </row>
    <row r="6523" spans="1:15">
      <c r="A6523" s="47"/>
      <c r="B6523" s="893"/>
      <c r="C6523" s="260" t="s">
        <v>2014</v>
      </c>
      <c r="D6523" s="894" t="s">
        <v>3425</v>
      </c>
      <c r="E6523" s="891">
        <v>21</v>
      </c>
    </row>
    <row r="6524" spans="1:15">
      <c r="A6524" s="47"/>
      <c r="B6524" s="893"/>
      <c r="C6524" s="260" t="s">
        <v>1993</v>
      </c>
      <c r="D6524" s="894">
        <v>1</v>
      </c>
      <c r="E6524" s="891">
        <v>12</v>
      </c>
    </row>
    <row r="6526" spans="1:15">
      <c r="A6526" s="902" t="s">
        <v>106</v>
      </c>
      <c r="B6526" s="902" t="s">
        <v>2861</v>
      </c>
      <c r="C6526" s="902" t="s">
        <v>2862</v>
      </c>
      <c r="D6526" s="902" t="s">
        <v>54</v>
      </c>
      <c r="E6526" s="887" t="s">
        <v>2020</v>
      </c>
      <c r="F6526" s="903"/>
      <c r="G6526" s="52" t="s">
        <v>1027</v>
      </c>
      <c r="H6526" s="39"/>
      <c r="I6526" s="39"/>
      <c r="J6526" s="39"/>
      <c r="K6526" s="1148"/>
      <c r="L6526" s="4"/>
      <c r="M6526" s="1267"/>
      <c r="N6526" s="1151"/>
      <c r="O6526" s="1204"/>
    </row>
    <row r="6527" spans="1:15">
      <c r="A6527" s="47" t="s">
        <v>3421</v>
      </c>
      <c r="B6527" s="260" t="s">
        <v>1413</v>
      </c>
      <c r="C6527" s="267" t="s">
        <v>3422</v>
      </c>
      <c r="D6527" s="1062">
        <v>3</v>
      </c>
      <c r="E6527" s="891">
        <v>2.67</v>
      </c>
      <c r="F6527" s="891">
        <f>E6527*D6527</f>
        <v>8.01</v>
      </c>
      <c r="G6527" s="1202" t="s">
        <v>2219</v>
      </c>
      <c r="H6527" s="39"/>
      <c r="I6527" s="1148"/>
      <c r="J6527" s="891" t="e">
        <f>E6527*(VLOOKUP(#REF!,$C$2:$F$6,3,FALSE))</f>
        <v>#REF!</v>
      </c>
      <c r="K6527" s="1150">
        <v>2.35</v>
      </c>
      <c r="L6527" s="1268">
        <v>144.19999999999999</v>
      </c>
      <c r="M6527" s="1269">
        <f>L6527*D6527</f>
        <v>432.59999999999997</v>
      </c>
    </row>
    <row r="6528" spans="1:15">
      <c r="A6528" s="47" t="s">
        <v>3324</v>
      </c>
      <c r="B6528" s="260" t="s">
        <v>1413</v>
      </c>
      <c r="C6528" s="267" t="s">
        <v>3325</v>
      </c>
      <c r="D6528" s="1062">
        <v>2</v>
      </c>
      <c r="E6528" s="891">
        <v>2.4</v>
      </c>
      <c r="F6528" s="891">
        <f>E6528*D6528</f>
        <v>4.8</v>
      </c>
      <c r="G6528" s="1202" t="s">
        <v>2219</v>
      </c>
      <c r="H6528" s="39"/>
      <c r="I6528" s="1148"/>
      <c r="J6528" s="891" t="e">
        <f>E6528*(VLOOKUP(#REF!,$C$2:$F$6,3,FALSE))</f>
        <v>#REF!</v>
      </c>
      <c r="K6528" s="1150">
        <v>2.11</v>
      </c>
      <c r="L6528" s="1151">
        <v>129.19999999999999</v>
      </c>
      <c r="M6528" s="1269">
        <f>L6528*D6528</f>
        <v>258.39999999999998</v>
      </c>
    </row>
    <row r="6529" spans="1:13">
      <c r="A6529" s="47" t="s">
        <v>3324</v>
      </c>
      <c r="B6529" s="260" t="s">
        <v>1413</v>
      </c>
      <c r="C6529" s="267" t="s">
        <v>3326</v>
      </c>
      <c r="D6529" s="1062">
        <v>2</v>
      </c>
      <c r="E6529" s="891">
        <v>2.4</v>
      </c>
      <c r="F6529" s="891">
        <f>E6529*D6529</f>
        <v>4.8</v>
      </c>
      <c r="G6529" s="1202" t="s">
        <v>2219</v>
      </c>
      <c r="H6529" s="39"/>
      <c r="I6529" s="1148"/>
      <c r="J6529" s="891" t="e">
        <f>E6529*(VLOOKUP(#REF!,$C$2:$F$6,3,FALSE))</f>
        <v>#REF!</v>
      </c>
      <c r="K6529" s="1150">
        <v>2.11</v>
      </c>
      <c r="L6529" s="1151">
        <v>129.19999999999999</v>
      </c>
      <c r="M6529" s="1269">
        <f>L6529*D6529</f>
        <v>258.39999999999998</v>
      </c>
    </row>
    <row r="6530" spans="1:13">
      <c r="A6530" s="47"/>
      <c r="B6530" s="893"/>
      <c r="C6530" s="260" t="s">
        <v>2014</v>
      </c>
      <c r="D6530" s="894" t="s">
        <v>3425</v>
      </c>
      <c r="E6530" s="891">
        <v>21</v>
      </c>
      <c r="F6530" s="891" t="e">
        <f>E6530*D6530</f>
        <v>#VALUE!</v>
      </c>
      <c r="G6530" s="1202" t="s">
        <v>2219</v>
      </c>
      <c r="H6530" s="39"/>
      <c r="I6530" s="1148"/>
      <c r="J6530" s="891" t="e">
        <f>E6530*(VLOOKUP(#REF!,$C$2:$F$6,3,FALSE))</f>
        <v>#REF!</v>
      </c>
      <c r="K6530" s="1150" t="e">
        <f>J6530*D6530</f>
        <v>#REF!</v>
      </c>
      <c r="L6530" s="1151">
        <v>500</v>
      </c>
      <c r="M6530" s="1269" t="e">
        <f>L6530*D6530</f>
        <v>#VALUE!</v>
      </c>
    </row>
    <row r="6531" spans="1:13">
      <c r="A6531" s="47"/>
      <c r="B6531" s="893"/>
      <c r="C6531" s="260" t="s">
        <v>1993</v>
      </c>
      <c r="D6531" s="894">
        <v>1</v>
      </c>
      <c r="E6531" s="891">
        <v>12</v>
      </c>
      <c r="F6531" s="891">
        <f>E6531*D6531</f>
        <v>12</v>
      </c>
      <c r="G6531" s="39"/>
      <c r="H6531" s="39"/>
      <c r="I6531" s="1148"/>
      <c r="J6531" s="4"/>
      <c r="K6531" s="1150">
        <v>12</v>
      </c>
      <c r="L6531" s="1151">
        <v>1100</v>
      </c>
      <c r="M6531" s="1204">
        <f>L6531*D6531</f>
        <v>1100</v>
      </c>
    </row>
    <row r="6535" spans="1:13">
      <c r="A6535" s="1166" t="s">
        <v>105</v>
      </c>
      <c r="B6535" s="1166" t="s">
        <v>1372</v>
      </c>
      <c r="C6535" s="1184" t="s">
        <v>377</v>
      </c>
      <c r="D6535" s="1167" t="s">
        <v>128</v>
      </c>
      <c r="E6535" s="887" t="s">
        <v>1186</v>
      </c>
      <c r="F6535" s="887" t="s">
        <v>1652</v>
      </c>
      <c r="G6535" s="887" t="s">
        <v>1653</v>
      </c>
      <c r="H6535" s="887" t="s">
        <v>3429</v>
      </c>
    </row>
    <row r="6536" spans="1:13">
      <c r="A6536" s="947" t="s">
        <v>3428</v>
      </c>
      <c r="B6536" s="47">
        <v>5291</v>
      </c>
      <c r="C6536" s="48">
        <v>8</v>
      </c>
      <c r="D6536" s="47" t="s">
        <v>499</v>
      </c>
      <c r="E6536" s="50">
        <v>50</v>
      </c>
      <c r="F6536" s="911">
        <v>6</v>
      </c>
      <c r="G6536" s="50">
        <f>E6536*F6536</f>
        <v>300</v>
      </c>
      <c r="H6536" s="891">
        <v>0.74</v>
      </c>
    </row>
    <row r="6540" spans="1:13" s="888" customFormat="1" ht="12.75">
      <c r="A6540" s="1166" t="s">
        <v>105</v>
      </c>
      <c r="B6540" s="1166" t="s">
        <v>1372</v>
      </c>
      <c r="C6540" s="1184" t="s">
        <v>377</v>
      </c>
      <c r="D6540" s="1167" t="s">
        <v>128</v>
      </c>
      <c r="E6540" s="887" t="s">
        <v>1186</v>
      </c>
      <c r="F6540" s="887" t="s">
        <v>1652</v>
      </c>
      <c r="G6540" s="887" t="s">
        <v>1653</v>
      </c>
      <c r="H6540" s="887" t="s">
        <v>1825</v>
      </c>
      <c r="I6540" s="39"/>
    </row>
    <row r="6541" spans="1:13" s="888" customFormat="1" ht="12.75">
      <c r="A6541" s="947" t="s">
        <v>3426</v>
      </c>
      <c r="B6541" s="47" t="s">
        <v>1264</v>
      </c>
      <c r="C6541" s="48" t="s">
        <v>19</v>
      </c>
      <c r="D6541" s="47" t="s">
        <v>2998</v>
      </c>
      <c r="E6541" s="50">
        <v>20</v>
      </c>
      <c r="F6541" s="911">
        <v>4</v>
      </c>
      <c r="G6541" s="50">
        <f>E6541*F6541</f>
        <v>80</v>
      </c>
      <c r="H6541" s="51">
        <v>1.71</v>
      </c>
      <c r="I6541" s="891">
        <f>H6541*G6541</f>
        <v>136.80000000000001</v>
      </c>
    </row>
    <row r="6542" spans="1:13" s="888" customFormat="1" ht="20.25">
      <c r="A6542" s="947" t="s">
        <v>3426</v>
      </c>
      <c r="B6542" s="1141"/>
      <c r="C6542" s="260"/>
      <c r="D6542" s="260" t="s">
        <v>1993</v>
      </c>
      <c r="E6542" s="905"/>
      <c r="F6542" s="904" ph="1"/>
      <c r="G6542" s="894">
        <v>1</v>
      </c>
      <c r="H6542" s="891">
        <v>12</v>
      </c>
      <c r="I6542" s="891">
        <f>H6542*G6542</f>
        <v>12</v>
      </c>
    </row>
    <row r="6543" spans="1:13" s="888" customFormat="1" ht="12"/>
    <row r="6545" spans="1:9">
      <c r="A6545" t="s">
        <v>3431</v>
      </c>
    </row>
    <row r="6546" spans="1:9" s="1199" customFormat="1" ht="25.5">
      <c r="A6546" s="886" t="s">
        <v>1400</v>
      </c>
      <c r="B6546" s="952" t="s">
        <v>2724</v>
      </c>
      <c r="C6546" s="951" t="s">
        <v>1181</v>
      </c>
      <c r="D6546" s="1250" t="s">
        <v>3430</v>
      </c>
      <c r="E6546" s="1250" t="s">
        <v>3432</v>
      </c>
      <c r="F6546" s="951" t="s">
        <v>1752</v>
      </c>
      <c r="G6546" s="951" t="s">
        <v>2562</v>
      </c>
      <c r="H6546" s="1199" t="s">
        <v>5336</v>
      </c>
    </row>
    <row r="6547" spans="1:9" s="1199" customFormat="1" ht="24" customHeight="1">
      <c r="A6547" s="954" t="s">
        <v>3337</v>
      </c>
      <c r="B6547" s="954" t="s">
        <v>2491</v>
      </c>
      <c r="C6547" s="954" t="s">
        <v>2725</v>
      </c>
      <c r="D6547" s="957">
        <f>ROUNDUP(H6547/0.7/120,2)</f>
        <v>6.08</v>
      </c>
      <c r="E6547" s="957">
        <f>ROUNDUP(H6547/0.8/120,2)</f>
        <v>5.3199999999999994</v>
      </c>
      <c r="F6547" s="1251" t="s">
        <v>3345</v>
      </c>
      <c r="G6547" s="1197"/>
      <c r="H6547" s="1274">
        <v>510</v>
      </c>
    </row>
    <row r="6551" spans="1:9">
      <c r="A6551" s="1166" t="s">
        <v>105</v>
      </c>
      <c r="B6551" s="1166" t="s">
        <v>1372</v>
      </c>
      <c r="C6551" s="1184" t="s">
        <v>377</v>
      </c>
      <c r="D6551" s="1167" t="s">
        <v>128</v>
      </c>
      <c r="E6551" s="887" t="s">
        <v>1186</v>
      </c>
      <c r="F6551" s="887" t="s">
        <v>1652</v>
      </c>
      <c r="G6551" s="887" t="s">
        <v>1653</v>
      </c>
      <c r="H6551" s="887" t="s">
        <v>1825</v>
      </c>
      <c r="I6551" s="39"/>
    </row>
    <row r="6552" spans="1:9">
      <c r="A6552" s="947" t="s">
        <v>3434</v>
      </c>
      <c r="B6552" s="47">
        <v>5356</v>
      </c>
      <c r="C6552" s="48">
        <v>3</v>
      </c>
      <c r="D6552" s="47" t="s">
        <v>2006</v>
      </c>
      <c r="E6552" s="905">
        <v>30</v>
      </c>
      <c r="F6552" s="906">
        <v>3</v>
      </c>
      <c r="G6552" s="905">
        <f>E6552*F6552</f>
        <v>90</v>
      </c>
      <c r="H6552" s="891">
        <v>0.73</v>
      </c>
      <c r="I6552" s="891">
        <f>H6552*G6552</f>
        <v>65.7</v>
      </c>
    </row>
    <row r="6553" spans="1:9">
      <c r="A6553" s="947" t="s">
        <v>3434</v>
      </c>
      <c r="B6553" s="47">
        <v>4114</v>
      </c>
      <c r="C6553" s="260">
        <v>24</v>
      </c>
      <c r="D6553" s="260" t="s">
        <v>29</v>
      </c>
      <c r="E6553" s="905">
        <v>30</v>
      </c>
      <c r="F6553" s="906">
        <v>6</v>
      </c>
      <c r="G6553" s="905">
        <f>E6553*F6553</f>
        <v>180</v>
      </c>
      <c r="H6553" s="891">
        <v>1.1599999999999999</v>
      </c>
      <c r="I6553" s="891">
        <f>H6553*G6553</f>
        <v>208.79999999999998</v>
      </c>
    </row>
    <row r="6554" spans="1:9">
      <c r="A6554" s="947" t="s">
        <v>3434</v>
      </c>
      <c r="B6554" s="47"/>
      <c r="C6554" s="893"/>
      <c r="D6554" s="260" t="s">
        <v>1993</v>
      </c>
      <c r="E6554" s="905"/>
      <c r="F6554" s="906"/>
      <c r="G6554" s="894">
        <v>1</v>
      </c>
      <c r="H6554" s="891">
        <v>24</v>
      </c>
      <c r="I6554" s="891">
        <f>H6554*G6554</f>
        <v>24</v>
      </c>
    </row>
    <row r="6555" spans="1:9">
      <c r="A6555" s="317"/>
    </row>
    <row r="6557" spans="1:9">
      <c r="A6557" s="1166" t="s">
        <v>1372</v>
      </c>
      <c r="B6557" s="1184" t="s">
        <v>377</v>
      </c>
      <c r="C6557" s="1167" t="s">
        <v>128</v>
      </c>
      <c r="D6557" s="887" t="s">
        <v>1186</v>
      </c>
      <c r="E6557" s="887" t="s">
        <v>1652</v>
      </c>
      <c r="F6557" s="887" t="s">
        <v>1653</v>
      </c>
      <c r="G6557" s="887" t="s">
        <v>1825</v>
      </c>
    </row>
    <row r="6558" spans="1:9">
      <c r="A6558" s="47">
        <v>5291</v>
      </c>
      <c r="B6558" s="48">
        <v>6</v>
      </c>
      <c r="C6558" s="47" t="s">
        <v>29</v>
      </c>
      <c r="D6558" s="905">
        <v>50</v>
      </c>
      <c r="E6558" s="906">
        <v>2</v>
      </c>
      <c r="F6558" s="905">
        <f>D6558*E6558</f>
        <v>100</v>
      </c>
      <c r="G6558" s="891">
        <v>0.25</v>
      </c>
    </row>
    <row r="6559" spans="1:9">
      <c r="A6559" s="47"/>
      <c r="B6559" s="893"/>
      <c r="C6559" s="260" t="s">
        <v>1993</v>
      </c>
      <c r="D6559" s="905"/>
      <c r="E6559" s="906"/>
      <c r="F6559" s="894">
        <v>1</v>
      </c>
      <c r="G6559" s="891">
        <v>12</v>
      </c>
    </row>
    <row r="6562" spans="1:9">
      <c r="A6562" s="1166" t="s">
        <v>105</v>
      </c>
      <c r="B6562" s="902" t="s">
        <v>3335</v>
      </c>
      <c r="C6562" s="902" t="s">
        <v>53</v>
      </c>
      <c r="D6562" s="902" t="s">
        <v>54</v>
      </c>
      <c r="E6562" s="887" t="s">
        <v>1825</v>
      </c>
      <c r="F6562" s="887" t="s">
        <v>3321</v>
      </c>
      <c r="G6562" s="50"/>
      <c r="H6562" s="53" t="s">
        <v>134</v>
      </c>
      <c r="I6562" s="39"/>
    </row>
    <row r="6563" spans="1:9">
      <c r="A6563" s="947" t="s">
        <v>3440</v>
      </c>
      <c r="B6563" s="47" t="s">
        <v>3442</v>
      </c>
      <c r="C6563" s="47" t="s">
        <v>3443</v>
      </c>
      <c r="D6563" s="1276">
        <v>30</v>
      </c>
      <c r="E6563" s="891">
        <v>0.87</v>
      </c>
      <c r="F6563" s="891"/>
    </row>
    <row r="6564" spans="1:9">
      <c r="A6564" s="947" t="s">
        <v>3440</v>
      </c>
      <c r="B6564" s="47" t="s">
        <v>3442</v>
      </c>
      <c r="C6564" s="47" t="s">
        <v>3444</v>
      </c>
      <c r="D6564" s="1276">
        <v>30</v>
      </c>
      <c r="E6564" s="891">
        <v>0.87</v>
      </c>
      <c r="F6564" s="891"/>
    </row>
    <row r="6565" spans="1:9">
      <c r="A6565" s="947" t="s">
        <v>3440</v>
      </c>
      <c r="B6565" s="47" t="s">
        <v>3442</v>
      </c>
      <c r="C6565" s="47" t="s">
        <v>3333</v>
      </c>
      <c r="D6565" s="1276">
        <v>30</v>
      </c>
      <c r="E6565" s="891">
        <v>0.87</v>
      </c>
      <c r="F6565" s="891"/>
    </row>
    <row r="6566" spans="1:9">
      <c r="A6566" s="947" t="s">
        <v>3440</v>
      </c>
      <c r="B6566" s="47"/>
      <c r="C6566" s="260" t="s">
        <v>3334</v>
      </c>
      <c r="D6566" s="894">
        <v>3</v>
      </c>
      <c r="E6566" s="891">
        <v>65</v>
      </c>
      <c r="F6566" s="891">
        <f>E6566*D6566</f>
        <v>195</v>
      </c>
    </row>
    <row r="6567" spans="1:9">
      <c r="A6567" s="947" t="s">
        <v>3440</v>
      </c>
      <c r="B6567" s="47"/>
      <c r="C6567" s="260" t="s">
        <v>1993</v>
      </c>
      <c r="D6567" s="894">
        <v>1</v>
      </c>
      <c r="E6567" s="891">
        <v>12</v>
      </c>
      <c r="F6567" s="891">
        <f>E6567*D6567</f>
        <v>12</v>
      </c>
    </row>
    <row r="6570" spans="1:9" s="843" customFormat="1" ht="25.5">
      <c r="A6570" s="886" t="s">
        <v>1400</v>
      </c>
      <c r="B6570" s="952" t="s">
        <v>2724</v>
      </c>
      <c r="C6570" s="951" t="s">
        <v>1181</v>
      </c>
      <c r="D6570" s="953" t="s">
        <v>2467</v>
      </c>
      <c r="E6570" s="951" t="s">
        <v>3445</v>
      </c>
      <c r="F6570" s="951" t="s">
        <v>2562</v>
      </c>
      <c r="G6570" s="843" t="s">
        <v>5336</v>
      </c>
    </row>
    <row r="6571" spans="1:9" s="843" customFormat="1" ht="24" customHeight="1">
      <c r="A6571" s="954">
        <v>2440</v>
      </c>
      <c r="B6571" s="954" t="s">
        <v>2482</v>
      </c>
      <c r="C6571" s="954" t="s">
        <v>2725</v>
      </c>
      <c r="D6571" s="1277">
        <v>3.8899999999999997</v>
      </c>
      <c r="E6571" s="954" t="s">
        <v>3446</v>
      </c>
      <c r="F6571" s="954"/>
    </row>
    <row r="6573" spans="1:9">
      <c r="A6573" s="1166" t="s">
        <v>105</v>
      </c>
      <c r="B6573" s="902" t="s">
        <v>3335</v>
      </c>
      <c r="C6573" s="902" t="s">
        <v>377</v>
      </c>
      <c r="D6573" s="902" t="s">
        <v>53</v>
      </c>
      <c r="E6573" s="902" t="s">
        <v>54</v>
      </c>
      <c r="F6573" s="887" t="s">
        <v>1825</v>
      </c>
      <c r="G6573" s="887" t="s">
        <v>3452</v>
      </c>
    </row>
    <row r="6574" spans="1:9">
      <c r="A6574" s="947" t="s">
        <v>3447</v>
      </c>
      <c r="B6574" s="47">
        <v>2440</v>
      </c>
      <c r="C6574" s="907">
        <v>140</v>
      </c>
      <c r="D6574" s="47" t="s">
        <v>3448</v>
      </c>
      <c r="E6574" s="905">
        <v>30</v>
      </c>
      <c r="F6574" s="891">
        <v>3.89</v>
      </c>
      <c r="G6574" s="950" t="s">
        <v>3453</v>
      </c>
    </row>
    <row r="6575" spans="1:9">
      <c r="A6575" s="947" t="s">
        <v>3447</v>
      </c>
      <c r="B6575" s="47">
        <v>2440</v>
      </c>
      <c r="C6575" s="907">
        <v>140</v>
      </c>
      <c r="D6575" s="47" t="s">
        <v>3449</v>
      </c>
      <c r="E6575" s="905">
        <v>30</v>
      </c>
      <c r="F6575" s="891">
        <v>3.89</v>
      </c>
      <c r="G6575" s="950" t="s">
        <v>771</v>
      </c>
    </row>
    <row r="6576" spans="1:9">
      <c r="A6576" s="947" t="s">
        <v>3447</v>
      </c>
      <c r="B6576" s="47">
        <v>2440</v>
      </c>
      <c r="C6576" s="907">
        <v>140</v>
      </c>
      <c r="D6576" s="47" t="s">
        <v>3450</v>
      </c>
      <c r="E6576" s="905">
        <v>30</v>
      </c>
      <c r="F6576" s="891">
        <v>3.89</v>
      </c>
      <c r="G6576" s="950" t="s">
        <v>771</v>
      </c>
    </row>
    <row r="6577" spans="1:8">
      <c r="A6577" s="947" t="s">
        <v>3447</v>
      </c>
      <c r="B6577" s="47"/>
      <c r="C6577" s="893"/>
      <c r="D6577" s="260" t="s">
        <v>1075</v>
      </c>
      <c r="E6577" s="894" t="s">
        <v>3451</v>
      </c>
      <c r="F6577" s="891">
        <v>36</v>
      </c>
      <c r="G6577" s="891"/>
    </row>
    <row r="6578" spans="1:8">
      <c r="A6578" s="947" t="s">
        <v>3447</v>
      </c>
      <c r="B6578" s="47"/>
      <c r="C6578" s="893"/>
      <c r="D6578" s="260" t="s">
        <v>1993</v>
      </c>
      <c r="E6578" s="894">
        <v>1</v>
      </c>
      <c r="F6578" s="891">
        <v>20</v>
      </c>
      <c r="G6578" s="891"/>
    </row>
    <row r="6581" spans="1:8">
      <c r="A6581" t="s">
        <v>3458</v>
      </c>
    </row>
    <row r="6582" spans="1:8" s="1280" customFormat="1" ht="25.5">
      <c r="A6582" s="1279" t="s">
        <v>106</v>
      </c>
      <c r="B6582" s="988" t="s">
        <v>52</v>
      </c>
      <c r="C6582" s="988" t="s">
        <v>1186</v>
      </c>
      <c r="D6582" s="988" t="s">
        <v>1734</v>
      </c>
      <c r="E6582" s="988" t="s">
        <v>3456</v>
      </c>
      <c r="F6582" s="988" t="s">
        <v>3455</v>
      </c>
      <c r="G6582" s="988" t="s">
        <v>3457</v>
      </c>
    </row>
    <row r="6583" spans="1:8" s="888" customFormat="1" ht="12.75">
      <c r="A6583" s="47" t="s">
        <v>2777</v>
      </c>
      <c r="B6583" s="48" t="s">
        <v>3142</v>
      </c>
      <c r="C6583" s="905" t="s">
        <v>3143</v>
      </c>
      <c r="D6583" s="905" t="s">
        <v>3143</v>
      </c>
      <c r="E6583" s="51">
        <f>ROUNDUP(H6583/0.4/120,2)</f>
        <v>1.69</v>
      </c>
      <c r="F6583" s="51">
        <f>ROUNDUP(H6583/0.45/120,2)</f>
        <v>1.5</v>
      </c>
      <c r="G6583" s="51">
        <f>ROUNDUP(H6583/0.5/120,2)</f>
        <v>1.35</v>
      </c>
      <c r="H6583" s="888">
        <v>81</v>
      </c>
    </row>
    <row r="6586" spans="1:8">
      <c r="A6586" t="s">
        <v>3484</v>
      </c>
    </row>
    <row r="6587" spans="1:8" ht="39" thickBot="1">
      <c r="A6587" s="1281" t="s">
        <v>3470</v>
      </c>
      <c r="B6587" s="1281" t="s">
        <v>3465</v>
      </c>
      <c r="C6587" s="1282" t="s">
        <v>5338</v>
      </c>
      <c r="D6587" s="1283" t="s">
        <v>3466</v>
      </c>
      <c r="E6587" s="1284" t="s">
        <v>3467</v>
      </c>
      <c r="F6587" s="1285" t="s">
        <v>3469</v>
      </c>
      <c r="G6587" s="1291" t="s">
        <v>3474</v>
      </c>
      <c r="H6587" s="1292" t="s">
        <v>5339</v>
      </c>
    </row>
    <row r="6588" spans="1:8" s="317" customFormat="1" ht="14.25" thickTop="1">
      <c r="A6588" s="1286" t="s">
        <v>3461</v>
      </c>
      <c r="B6588" s="1287" t="s">
        <v>3472</v>
      </c>
      <c r="C6588" s="1287" t="s">
        <v>3463</v>
      </c>
      <c r="D6588" s="1288" t="s">
        <v>3464</v>
      </c>
      <c r="E6588" s="1289">
        <v>4.9314960000000001</v>
      </c>
      <c r="F6588" s="1290" t="s">
        <v>3482</v>
      </c>
      <c r="G6588" s="1290">
        <v>50</v>
      </c>
      <c r="H6588" s="1290" t="s">
        <v>3460</v>
      </c>
    </row>
    <row r="6589" spans="1:8" s="317" customFormat="1">
      <c r="A6589" s="1303"/>
      <c r="B6589" s="1304"/>
      <c r="C6589" s="1304"/>
      <c r="D6589" s="1305"/>
      <c r="E6589" s="1306"/>
      <c r="F6589" s="1307"/>
      <c r="G6589" s="1307"/>
      <c r="H6589" s="1307"/>
    </row>
    <row r="6590" spans="1:8">
      <c r="A6590" t="s">
        <v>3483</v>
      </c>
    </row>
    <row r="6591" spans="1:8" ht="39" thickBot="1">
      <c r="A6591" s="1281" t="s">
        <v>3470</v>
      </c>
      <c r="B6591" s="1281" t="s">
        <v>3465</v>
      </c>
      <c r="C6591" s="1282" t="s">
        <v>5338</v>
      </c>
      <c r="D6591" s="1283" t="s">
        <v>3466</v>
      </c>
      <c r="E6591" s="1284" t="s">
        <v>3467</v>
      </c>
      <c r="F6591" s="1285" t="s">
        <v>3469</v>
      </c>
      <c r="G6591" s="1291" t="s">
        <v>3474</v>
      </c>
      <c r="H6591" s="1292" t="s">
        <v>5339</v>
      </c>
    </row>
    <row r="6592" spans="1:8" s="317" customFormat="1" ht="14.25" thickTop="1">
      <c r="A6592" s="1286" t="s">
        <v>3461</v>
      </c>
      <c r="B6592" s="1287" t="s">
        <v>3472</v>
      </c>
      <c r="C6592" s="1287" t="s">
        <v>3463</v>
      </c>
      <c r="D6592" s="1288" t="s">
        <v>3464</v>
      </c>
      <c r="E6592" s="1289">
        <v>3.93</v>
      </c>
      <c r="F6592" s="1290" t="s">
        <v>3482</v>
      </c>
      <c r="G6592" s="1290">
        <v>50</v>
      </c>
      <c r="H6592" s="1290" t="s">
        <v>3460</v>
      </c>
    </row>
    <row r="6593" spans="1:14" ht="15.75" thickBot="1">
      <c r="A6593" s="1293"/>
    </row>
    <row r="6594" spans="1:14" ht="13.5" customHeight="1">
      <c r="A6594" s="1300" t="s">
        <v>3475</v>
      </c>
      <c r="B6594" s="2912"/>
      <c r="C6594" s="2913"/>
      <c r="D6594" s="2913"/>
      <c r="E6594" s="2914"/>
      <c r="F6594" s="2921"/>
      <c r="G6594" s="2922"/>
      <c r="H6594" s="2882" t="s">
        <v>3462</v>
      </c>
      <c r="I6594" s="2927"/>
      <c r="J6594" s="2883"/>
      <c r="K6594" s="2882" t="s">
        <v>3377</v>
      </c>
      <c r="L6594" s="2883"/>
      <c r="M6594" s="2882" t="s">
        <v>3459</v>
      </c>
      <c r="N6594" s="2883"/>
    </row>
    <row r="6595" spans="1:14" ht="14.25" customHeight="1">
      <c r="A6595" s="1301"/>
      <c r="B6595" s="2915"/>
      <c r="C6595" s="2916"/>
      <c r="D6595" s="2916"/>
      <c r="E6595" s="2917"/>
      <c r="F6595" s="2923"/>
      <c r="G6595" s="2924"/>
      <c r="H6595" s="2884"/>
      <c r="I6595" s="2928"/>
      <c r="J6595" s="2885"/>
      <c r="K6595" s="2884" t="s">
        <v>3476</v>
      </c>
      <c r="L6595" s="2885"/>
      <c r="M6595" s="2884"/>
      <c r="N6595" s="2885"/>
    </row>
    <row r="6596" spans="1:14" ht="14.25" thickBot="1">
      <c r="A6596" s="1301"/>
      <c r="B6596" s="2918"/>
      <c r="C6596" s="2919"/>
      <c r="D6596" s="2919"/>
      <c r="E6596" s="2920"/>
      <c r="F6596" s="2925"/>
      <c r="G6596" s="2926"/>
      <c r="H6596" s="2929"/>
      <c r="I6596" s="2930"/>
      <c r="J6596" s="2931"/>
      <c r="K6596" s="2886" t="s">
        <v>3477</v>
      </c>
      <c r="L6596" s="2887"/>
      <c r="M6596" s="2886"/>
      <c r="N6596" s="2887"/>
    </row>
    <row r="6597" spans="1:14" ht="15" thickTop="1" thickBot="1">
      <c r="A6597" s="1301"/>
      <c r="B6597" s="2906" t="s">
        <v>3465</v>
      </c>
      <c r="C6597" s="2932" t="s">
        <v>3478</v>
      </c>
      <c r="D6597" s="2932" t="s">
        <v>3466</v>
      </c>
      <c r="E6597" s="2882" t="s">
        <v>3479</v>
      </c>
      <c r="F6597" s="2883"/>
      <c r="G6597" s="2882" t="s">
        <v>3468</v>
      </c>
      <c r="H6597" s="2883"/>
      <c r="I6597" s="2906" t="s">
        <v>3469</v>
      </c>
      <c r="J6597" s="2898" t="s">
        <v>3377</v>
      </c>
      <c r="K6597" s="2899"/>
      <c r="L6597" s="2909" t="s">
        <v>3459</v>
      </c>
      <c r="M6597" s="2910"/>
      <c r="N6597" s="2896"/>
    </row>
    <row r="6598" spans="1:14" ht="14.25" customHeight="1">
      <c r="A6598" s="1300" t="s">
        <v>3475</v>
      </c>
      <c r="B6598" s="2907"/>
      <c r="C6598" s="2933"/>
      <c r="D6598" s="2933"/>
      <c r="E6598" s="2884" t="s">
        <v>3480</v>
      </c>
      <c r="F6598" s="2885"/>
      <c r="G6598" s="2884"/>
      <c r="H6598" s="2885"/>
      <c r="I6598" s="2907"/>
      <c r="J6598" s="2898" t="s">
        <v>3476</v>
      </c>
      <c r="K6598" s="2899"/>
      <c r="L6598" s="2898"/>
      <c r="M6598" s="2899"/>
      <c r="N6598" s="2897"/>
    </row>
    <row r="6599" spans="1:14" ht="14.25" thickBot="1">
      <c r="A6599" s="1302"/>
      <c r="B6599" s="2908"/>
      <c r="C6599" s="2934"/>
      <c r="D6599" s="2934"/>
      <c r="E6599" s="2900"/>
      <c r="F6599" s="2901"/>
      <c r="G6599" s="2904"/>
      <c r="H6599" s="2905"/>
      <c r="I6599" s="2908"/>
      <c r="J6599" s="2902" t="s">
        <v>3477</v>
      </c>
      <c r="K6599" s="2903"/>
      <c r="L6599" s="2902"/>
      <c r="M6599" s="2903"/>
      <c r="N6599" s="2897"/>
    </row>
    <row r="6600" spans="1:14" ht="18.75" thickTop="1" thickBot="1">
      <c r="A6600" s="1295" t="s">
        <v>3461</v>
      </c>
      <c r="B6600" s="1296" t="s">
        <v>3471</v>
      </c>
      <c r="C6600" s="1297" t="s">
        <v>3463</v>
      </c>
      <c r="D6600" s="1296" t="s">
        <v>3464</v>
      </c>
      <c r="E6600" s="2888" t="s">
        <v>3481</v>
      </c>
      <c r="F6600" s="2889"/>
      <c r="G6600" s="2890">
        <v>7259</v>
      </c>
      <c r="H6600" s="2891"/>
      <c r="I6600" s="1298">
        <v>622.20000000000005</v>
      </c>
      <c r="J6600" s="2892">
        <v>50</v>
      </c>
      <c r="K6600" s="2893"/>
      <c r="L6600" s="2894" t="s">
        <v>3460</v>
      </c>
      <c r="M6600" s="2895"/>
      <c r="N6600" s="1294"/>
    </row>
    <row r="6601" spans="1:14" ht="17.25">
      <c r="A6601" s="1299"/>
      <c r="B6601" s="1299"/>
      <c r="C6601" s="1299"/>
      <c r="D6601" s="1299"/>
      <c r="E6601" s="1299"/>
      <c r="F6601" s="1299"/>
      <c r="G6601" s="1299"/>
      <c r="H6601" s="1299"/>
      <c r="I6601" s="1299"/>
      <c r="J6601" s="1299"/>
      <c r="K6601" s="1299"/>
      <c r="L6601" s="1299"/>
      <c r="M6601" s="1299"/>
      <c r="N6601" s="1299"/>
    </row>
    <row r="6602" spans="1:14" ht="15">
      <c r="A6602" s="1293"/>
    </row>
    <row r="6603" spans="1:14">
      <c r="A6603" t="s">
        <v>3487</v>
      </c>
    </row>
    <row r="6604" spans="1:14" s="888" customFormat="1" ht="12.75">
      <c r="A6604" s="1166" t="s">
        <v>1372</v>
      </c>
      <c r="B6604" s="1167" t="s">
        <v>128</v>
      </c>
      <c r="C6604" s="887" t="s">
        <v>1186</v>
      </c>
      <c r="D6604" s="887" t="s">
        <v>1652</v>
      </c>
      <c r="E6604" s="887" t="s">
        <v>1653</v>
      </c>
      <c r="F6604" s="887" t="s">
        <v>1825</v>
      </c>
      <c r="G6604" s="39"/>
    </row>
    <row r="6605" spans="1:14" s="888" customFormat="1" ht="12.75">
      <c r="A6605" s="47" t="s">
        <v>1882</v>
      </c>
      <c r="B6605" s="47" t="s">
        <v>78</v>
      </c>
      <c r="C6605" s="905">
        <v>14</v>
      </c>
      <c r="D6605" s="906">
        <v>2</v>
      </c>
      <c r="E6605" s="905">
        <f>C6605*D6605</f>
        <v>28</v>
      </c>
      <c r="F6605" s="891">
        <v>2.02</v>
      </c>
      <c r="G6605" s="891">
        <f>F6605*E6605</f>
        <v>56.56</v>
      </c>
    </row>
    <row r="6606" spans="1:14" s="888" customFormat="1" ht="12.75">
      <c r="A6606" s="47" t="s">
        <v>3485</v>
      </c>
      <c r="B6606" s="47" t="s">
        <v>78</v>
      </c>
      <c r="C6606" s="905">
        <v>14</v>
      </c>
      <c r="D6606" s="906">
        <v>2</v>
      </c>
      <c r="E6606" s="905">
        <f>C6606*D6606</f>
        <v>28</v>
      </c>
      <c r="F6606" s="891">
        <v>1.19</v>
      </c>
      <c r="G6606" s="891">
        <f>F6606*E6606</f>
        <v>33.32</v>
      </c>
    </row>
    <row r="6607" spans="1:14" s="888" customFormat="1" ht="12.75">
      <c r="A6607" s="47" t="s">
        <v>3486</v>
      </c>
      <c r="B6607" s="47" t="s">
        <v>78</v>
      </c>
      <c r="C6607" s="905">
        <v>14</v>
      </c>
      <c r="D6607" s="906">
        <v>2</v>
      </c>
      <c r="E6607" s="905">
        <f>C6607*D6607</f>
        <v>28</v>
      </c>
      <c r="F6607" s="891">
        <v>0.98</v>
      </c>
      <c r="G6607" s="891">
        <f>F6607*E6607</f>
        <v>27.439999999999998</v>
      </c>
    </row>
    <row r="6608" spans="1:14" s="888" customFormat="1" ht="12.75">
      <c r="A6608" s="47"/>
      <c r="B6608" s="260" t="s">
        <v>1993</v>
      </c>
      <c r="C6608" s="905"/>
      <c r="D6608" s="906"/>
      <c r="E6608" s="894">
        <v>1</v>
      </c>
      <c r="F6608" s="891">
        <v>12</v>
      </c>
      <c r="G6608" s="891">
        <f>F6608*E6608</f>
        <v>12</v>
      </c>
    </row>
    <row r="6610" spans="1:8" s="888" customFormat="1" ht="12.75">
      <c r="A6610" s="1166" t="s">
        <v>1372</v>
      </c>
      <c r="B6610" s="1167" t="s">
        <v>128</v>
      </c>
      <c r="C6610" s="887" t="s">
        <v>1186</v>
      </c>
      <c r="D6610" s="887" t="s">
        <v>1652</v>
      </c>
      <c r="E6610" s="887" t="s">
        <v>1653</v>
      </c>
      <c r="F6610" s="887" t="s">
        <v>1825</v>
      </c>
      <c r="G6610" s="39"/>
    </row>
    <row r="6611" spans="1:8">
      <c r="A6611" s="909" t="s">
        <v>3488</v>
      </c>
      <c r="B6611" s="47" t="s">
        <v>78</v>
      </c>
      <c r="C6611" s="983">
        <v>13.7</v>
      </c>
      <c r="D6611" s="906">
        <v>2</v>
      </c>
      <c r="E6611" s="983">
        <f>C6611*D6611</f>
        <v>27.4</v>
      </c>
      <c r="F6611" s="891">
        <v>1.53</v>
      </c>
      <c r="G6611" s="891"/>
      <c r="H6611" s="317" t="s">
        <v>3489</v>
      </c>
    </row>
    <row r="6614" spans="1:8">
      <c r="A6614" s="1166" t="s">
        <v>1372</v>
      </c>
      <c r="B6614" s="1167" t="s">
        <v>128</v>
      </c>
      <c r="C6614" s="1167" t="s">
        <v>54</v>
      </c>
      <c r="D6614" s="1167" t="s">
        <v>3494</v>
      </c>
      <c r="E6614" s="1167" t="s">
        <v>375</v>
      </c>
    </row>
    <row r="6615" spans="1:8">
      <c r="A6615" s="47" t="s">
        <v>3491</v>
      </c>
      <c r="B6615" s="260" t="s">
        <v>3492</v>
      </c>
      <c r="C6615" s="905">
        <v>25</v>
      </c>
      <c r="D6615" s="891">
        <v>4.93</v>
      </c>
      <c r="E6615" s="891">
        <f>D6615*C6615</f>
        <v>123.25</v>
      </c>
    </row>
    <row r="6618" spans="1:8">
      <c r="A6618" s="887" t="s">
        <v>1372</v>
      </c>
      <c r="B6618" s="887" t="s">
        <v>457</v>
      </c>
      <c r="C6618" s="887" t="s">
        <v>1186</v>
      </c>
      <c r="D6618" s="887" t="s">
        <v>1652</v>
      </c>
      <c r="E6618" s="887" t="s">
        <v>1653</v>
      </c>
      <c r="F6618" s="887" t="s">
        <v>2968</v>
      </c>
    </row>
    <row r="6619" spans="1:8">
      <c r="A6619" s="47" t="s">
        <v>3497</v>
      </c>
      <c r="B6619" s="48"/>
      <c r="C6619" s="47"/>
      <c r="D6619" s="905"/>
      <c r="E6619" s="906"/>
      <c r="F6619" s="905"/>
      <c r="G6619" s="1311" t="s">
        <v>10</v>
      </c>
      <c r="H6619" s="39"/>
    </row>
    <row r="6620" spans="1:8">
      <c r="A6620" s="47" t="s">
        <v>3488</v>
      </c>
      <c r="B6620" s="47" t="s">
        <v>78</v>
      </c>
      <c r="C6620" s="983">
        <v>13.7</v>
      </c>
      <c r="D6620" s="906">
        <v>2</v>
      </c>
      <c r="E6620" s="983">
        <f>C6620*D6620</f>
        <v>27.4</v>
      </c>
      <c r="F6620" s="891">
        <v>1.53</v>
      </c>
      <c r="G6620" s="1205">
        <f>F6620*E6620</f>
        <v>41.921999999999997</v>
      </c>
    </row>
    <row r="6621" spans="1:8">
      <c r="A6621" s="47"/>
      <c r="B6621" s="47"/>
      <c r="C6621" s="983"/>
      <c r="D6621" s="906"/>
      <c r="E6621" s="983"/>
      <c r="F6621" s="891"/>
      <c r="G6621" s="1205"/>
    </row>
    <row r="6622" spans="1:8">
      <c r="A6622" s="47" t="s">
        <v>3496</v>
      </c>
      <c r="B6622" s="47"/>
      <c r="C6622" s="905"/>
      <c r="D6622" s="906"/>
      <c r="E6622" s="905"/>
      <c r="F6622" s="52" t="s">
        <v>10</v>
      </c>
      <c r="G6622" s="1312"/>
    </row>
    <row r="6623" spans="1:8">
      <c r="A6623" s="47" t="s">
        <v>1882</v>
      </c>
      <c r="B6623" s="47" t="s">
        <v>78</v>
      </c>
      <c r="C6623" s="905">
        <v>14</v>
      </c>
      <c r="D6623" s="906">
        <v>2</v>
      </c>
      <c r="E6623" s="905">
        <f>C6623*D6623</f>
        <v>28</v>
      </c>
      <c r="F6623" s="891">
        <v>2.02</v>
      </c>
      <c r="G6623" s="1205">
        <f>F6623*E6623</f>
        <v>56.56</v>
      </c>
    </row>
    <row r="6624" spans="1:8">
      <c r="A6624" s="47" t="s">
        <v>3485</v>
      </c>
      <c r="B6624" s="47" t="s">
        <v>78</v>
      </c>
      <c r="C6624" s="905">
        <v>14</v>
      </c>
      <c r="D6624" s="906">
        <v>2</v>
      </c>
      <c r="E6624" s="905">
        <f>C6624*D6624</f>
        <v>28</v>
      </c>
      <c r="F6624" s="891">
        <v>1.19</v>
      </c>
      <c r="G6624" s="1205">
        <f>F6624*E6624</f>
        <v>33.32</v>
      </c>
    </row>
    <row r="6625" spans="1:7">
      <c r="A6625" s="47" t="s">
        <v>3486</v>
      </c>
      <c r="B6625" s="47" t="s">
        <v>78</v>
      </c>
      <c r="C6625" s="905">
        <v>14</v>
      </c>
      <c r="D6625" s="906">
        <v>2</v>
      </c>
      <c r="E6625" s="905">
        <f>C6625*D6625</f>
        <v>28</v>
      </c>
      <c r="F6625" s="891">
        <v>0.98</v>
      </c>
      <c r="G6625" s="1205">
        <f>F6625*E6625</f>
        <v>27.439999999999998</v>
      </c>
    </row>
    <row r="6626" spans="1:7">
      <c r="A6626" s="47"/>
      <c r="B6626" s="260" t="s">
        <v>1993</v>
      </c>
      <c r="C6626" s="905"/>
      <c r="D6626" s="906"/>
      <c r="E6626" s="894">
        <v>1</v>
      </c>
      <c r="F6626" s="891">
        <v>12</v>
      </c>
      <c r="G6626" s="1205">
        <f>F6626*E6626</f>
        <v>12</v>
      </c>
    </row>
    <row r="6627" spans="1:7" ht="14.25" thickBot="1"/>
    <row r="6628" spans="1:7" ht="14.25" thickBot="1">
      <c r="A6628" s="1120" t="s">
        <v>1372</v>
      </c>
      <c r="B6628" s="1121" t="s">
        <v>457</v>
      </c>
      <c r="C6628" s="1121" t="s">
        <v>1186</v>
      </c>
      <c r="D6628" s="1121" t="s">
        <v>1652</v>
      </c>
      <c r="E6628" s="1121" t="s">
        <v>1653</v>
      </c>
      <c r="F6628" s="1121" t="s">
        <v>2968</v>
      </c>
    </row>
    <row r="6629" spans="1:7" ht="14.25" thickBot="1">
      <c r="A6629" s="1122" t="s">
        <v>3498</v>
      </c>
      <c r="B6629" s="1123" t="s">
        <v>495</v>
      </c>
      <c r="C6629" s="1124" t="s">
        <v>3499</v>
      </c>
      <c r="D6629" s="1124" t="s">
        <v>1196</v>
      </c>
      <c r="E6629" s="1124" t="s">
        <v>3500</v>
      </c>
      <c r="F6629" s="1125">
        <v>2.02</v>
      </c>
    </row>
    <row r="6630" spans="1:7" ht="14.25" thickBot="1">
      <c r="A6630" s="1122" t="s">
        <v>3501</v>
      </c>
      <c r="B6630" s="1123" t="s">
        <v>495</v>
      </c>
      <c r="C6630" s="1124" t="s">
        <v>3499</v>
      </c>
      <c r="D6630" s="1124" t="s">
        <v>1196</v>
      </c>
      <c r="E6630" s="1124" t="s">
        <v>3500</v>
      </c>
      <c r="F6630" s="1125">
        <v>1.19</v>
      </c>
    </row>
    <row r="6631" spans="1:7" ht="14.25" thickBot="1">
      <c r="A6631" s="1122" t="s">
        <v>3502</v>
      </c>
      <c r="B6631" s="1123" t="s">
        <v>495</v>
      </c>
      <c r="C6631" s="1124" t="s">
        <v>3499</v>
      </c>
      <c r="D6631" s="1124" t="s">
        <v>1196</v>
      </c>
      <c r="E6631" s="1124" t="s">
        <v>3500</v>
      </c>
      <c r="F6631" s="1125">
        <v>0.98</v>
      </c>
    </row>
    <row r="6632" spans="1:7" ht="14.25" thickBot="1">
      <c r="A6632" s="1126"/>
      <c r="B6632" s="1123" t="s">
        <v>2975</v>
      </c>
      <c r="C6632" s="1309"/>
      <c r="D6632" s="1309"/>
      <c r="E6632" s="1124" t="s">
        <v>482</v>
      </c>
      <c r="F6632" s="1125">
        <v>12</v>
      </c>
    </row>
    <row r="6633" spans="1:7">
      <c r="A6633" s="1310" t="s">
        <v>3503</v>
      </c>
    </row>
    <row r="6636" spans="1:7" ht="14.25" thickBot="1">
      <c r="A6636" s="1310"/>
    </row>
    <row r="6637" spans="1:7" ht="14.25" thickBot="1">
      <c r="A6637" s="1120" t="s">
        <v>1372</v>
      </c>
      <c r="B6637" s="1121" t="s">
        <v>457</v>
      </c>
      <c r="C6637" s="1121" t="s">
        <v>1186</v>
      </c>
      <c r="D6637" s="1121" t="s">
        <v>1652</v>
      </c>
      <c r="E6637" s="1121" t="s">
        <v>1653</v>
      </c>
      <c r="F6637" s="1121" t="s">
        <v>1825</v>
      </c>
    </row>
    <row r="6638" spans="1:7" ht="14.25" thickBot="1">
      <c r="A6638" s="1122" t="s">
        <v>3495</v>
      </c>
      <c r="B6638" s="1123" t="s">
        <v>495</v>
      </c>
      <c r="C6638" s="1124" t="s">
        <v>3504</v>
      </c>
      <c r="D6638" s="1124" t="s">
        <v>1196</v>
      </c>
      <c r="E6638" s="1124" t="s">
        <v>3505</v>
      </c>
      <c r="F6638" s="1125">
        <v>1.53</v>
      </c>
    </row>
    <row r="6639" spans="1:7">
      <c r="A6639" s="1310" t="s">
        <v>3503</v>
      </c>
    </row>
    <row r="6641" spans="1:7">
      <c r="A6641" s="1166" t="s">
        <v>1372</v>
      </c>
      <c r="B6641" s="1167" t="s">
        <v>128</v>
      </c>
      <c r="C6641" s="1167" t="s">
        <v>54</v>
      </c>
      <c r="D6641" s="1167" t="s">
        <v>3513</v>
      </c>
      <c r="E6641" s="1167" t="s">
        <v>375</v>
      </c>
      <c r="F6641" s="1167" t="s">
        <v>368</v>
      </c>
      <c r="G6641" s="1312"/>
    </row>
    <row r="6642" spans="1:7">
      <c r="A6642" s="47" t="s">
        <v>3491</v>
      </c>
      <c r="B6642" s="260" t="s">
        <v>3508</v>
      </c>
      <c r="C6642" s="905">
        <v>30</v>
      </c>
      <c r="D6642" s="891">
        <v>3.93</v>
      </c>
      <c r="E6642" s="891">
        <f>D6642*C6642</f>
        <v>117.9</v>
      </c>
      <c r="F6642" s="1313" t="s">
        <v>3514</v>
      </c>
    </row>
    <row r="6643" spans="1:7">
      <c r="A6643" s="47" t="s">
        <v>3491</v>
      </c>
      <c r="B6643" s="260" t="s">
        <v>3509</v>
      </c>
      <c r="C6643" s="905">
        <v>30</v>
      </c>
      <c r="D6643" s="891">
        <v>3.93</v>
      </c>
      <c r="E6643" s="891">
        <f>D6643*C6643</f>
        <v>117.9</v>
      </c>
      <c r="F6643" s="1313" t="s">
        <v>3514</v>
      </c>
    </row>
    <row r="6644" spans="1:7">
      <c r="A6644" s="47" t="s">
        <v>3491</v>
      </c>
      <c r="B6644" s="260" t="s">
        <v>3510</v>
      </c>
      <c r="C6644" s="905">
        <v>30</v>
      </c>
      <c r="D6644" s="891">
        <v>3.93</v>
      </c>
      <c r="E6644" s="891">
        <f>D6644*C6644</f>
        <v>117.9</v>
      </c>
      <c r="F6644" s="1313" t="s">
        <v>3514</v>
      </c>
    </row>
    <row r="6645" spans="1:7">
      <c r="A6645" s="47" t="s">
        <v>3491</v>
      </c>
      <c r="B6645" s="260" t="s">
        <v>3511</v>
      </c>
      <c r="C6645" s="905">
        <v>30</v>
      </c>
      <c r="D6645" s="891">
        <v>3.93</v>
      </c>
      <c r="E6645" s="891">
        <f>D6645*C6645</f>
        <v>117.9</v>
      </c>
      <c r="F6645" s="1313" t="s">
        <v>3514</v>
      </c>
    </row>
    <row r="6646" spans="1:7">
      <c r="A6646" s="47"/>
      <c r="B6646" s="260" t="s">
        <v>3512</v>
      </c>
      <c r="C6646" s="894">
        <v>4</v>
      </c>
      <c r="D6646" s="891">
        <v>40</v>
      </c>
      <c r="E6646" s="891">
        <f>D6646*C6646</f>
        <v>160</v>
      </c>
      <c r="F6646" s="909"/>
    </row>
    <row r="6650" spans="1:7" ht="20.25" thickBot="1">
      <c r="A6650" s="1314" t="s">
        <v>3541</v>
      </c>
      <c r="D6650" s="1314"/>
    </row>
    <row r="6651" spans="1:7" ht="18" thickBot="1">
      <c r="A6651" s="2935" t="s">
        <v>3530</v>
      </c>
      <c r="B6651" s="2936"/>
      <c r="D6651" s="2937" t="s">
        <v>3529</v>
      </c>
      <c r="E6651" s="2938"/>
    </row>
    <row r="6652" spans="1:7" ht="18" thickBot="1">
      <c r="A6652" s="1318" t="s">
        <v>3531</v>
      </c>
      <c r="B6652" s="1319" t="s">
        <v>3533</v>
      </c>
      <c r="D6652" s="1315" t="s">
        <v>3515</v>
      </c>
      <c r="E6652" s="1316" t="s">
        <v>3516</v>
      </c>
    </row>
    <row r="6653" spans="1:7" ht="18" thickBot="1">
      <c r="A6653" s="1318" t="s">
        <v>3532</v>
      </c>
      <c r="B6653" s="1319" t="s">
        <v>3534</v>
      </c>
      <c r="D6653" s="1315" t="s">
        <v>3517</v>
      </c>
      <c r="E6653" s="1316" t="s">
        <v>3518</v>
      </c>
    </row>
    <row r="6654" spans="1:7" ht="18" thickBot="1">
      <c r="A6654" s="1320" t="s">
        <v>3535</v>
      </c>
      <c r="B6654" s="1319" t="s">
        <v>3536</v>
      </c>
      <c r="D6654" s="1315" t="s">
        <v>3519</v>
      </c>
      <c r="E6654" s="1316" t="s">
        <v>3520</v>
      </c>
    </row>
    <row r="6655" spans="1:7" ht="18" thickBot="1">
      <c r="A6655" s="1320" t="s">
        <v>3537</v>
      </c>
      <c r="B6655" s="1319" t="s">
        <v>3538</v>
      </c>
      <c r="D6655" s="1315" t="s">
        <v>3521</v>
      </c>
      <c r="E6655" s="1316" t="s">
        <v>3522</v>
      </c>
    </row>
    <row r="6656" spans="1:7" ht="18" thickBot="1">
      <c r="A6656" s="1320" t="s">
        <v>3539</v>
      </c>
      <c r="B6656" s="1319" t="s">
        <v>3536</v>
      </c>
      <c r="D6656" s="1315" t="s">
        <v>3523</v>
      </c>
      <c r="E6656" s="1316" t="s">
        <v>3520</v>
      </c>
    </row>
    <row r="6657" spans="1:7" ht="18" thickBot="1">
      <c r="A6657" s="1320" t="s">
        <v>3540</v>
      </c>
      <c r="B6657" s="1321">
        <f>ROUNDUP(E6657/0.8/120,2)</f>
        <v>15.84</v>
      </c>
      <c r="D6657" s="1315" t="s">
        <v>3524</v>
      </c>
      <c r="E6657" s="1317">
        <v>1520</v>
      </c>
    </row>
    <row r="6658" spans="1:7" ht="18" thickBot="1">
      <c r="A6658" s="1320" t="s">
        <v>3542</v>
      </c>
      <c r="B6658" s="1321">
        <f>ROUNDUP((E6658+20)/0.8/120,2)</f>
        <v>8.5499999999999989</v>
      </c>
      <c r="C6658" t="s">
        <v>3543</v>
      </c>
      <c r="D6658" s="1315" t="s">
        <v>3525</v>
      </c>
      <c r="E6658" s="1317">
        <v>800</v>
      </c>
    </row>
    <row r="6659" spans="1:7" ht="18" thickBot="1">
      <c r="A6659" s="1318" t="s">
        <v>3544</v>
      </c>
      <c r="B6659" s="1321">
        <f>ROUNDUP(E6659/0.8/120,2)</f>
        <v>12.5</v>
      </c>
      <c r="D6659" s="1315" t="s">
        <v>3526</v>
      </c>
      <c r="E6659" s="1317">
        <v>1200</v>
      </c>
    </row>
    <row r="6660" spans="1:7" ht="18" thickBot="1">
      <c r="A6660" s="1318" t="s">
        <v>3545</v>
      </c>
      <c r="B6660" s="1321">
        <f>ROUNDUP(E6660/0.8/120,2)</f>
        <v>9.69</v>
      </c>
      <c r="D6660" s="1315" t="s">
        <v>3527</v>
      </c>
      <c r="E6660" s="1317">
        <v>930</v>
      </c>
    </row>
    <row r="6661" spans="1:7" ht="18" thickBot="1">
      <c r="A6661" s="1318" t="s">
        <v>3546</v>
      </c>
      <c r="B6661" s="1321">
        <f>ROUNDUP((E6661+20)/0.8/120,2)</f>
        <v>8.86</v>
      </c>
      <c r="C6661" t="s">
        <v>3543</v>
      </c>
      <c r="D6661" s="1315" t="s">
        <v>3528</v>
      </c>
      <c r="E6661" s="1317">
        <v>830</v>
      </c>
    </row>
    <row r="6664" spans="1:7">
      <c r="A6664" t="s">
        <v>3547</v>
      </c>
    </row>
    <row r="6665" spans="1:7" s="1280" customFormat="1" ht="12.75">
      <c r="A6665" s="1279" t="s">
        <v>106</v>
      </c>
      <c r="B6665" s="988" t="s">
        <v>52</v>
      </c>
      <c r="C6665" s="988" t="s">
        <v>1186</v>
      </c>
      <c r="D6665" s="988" t="s">
        <v>1734</v>
      </c>
      <c r="E6665" s="988" t="s">
        <v>1825</v>
      </c>
    </row>
    <row r="6666" spans="1:7" s="888" customFormat="1" ht="12.75">
      <c r="A6666" s="909" t="s">
        <v>3548</v>
      </c>
      <c r="B6666" s="48" t="s">
        <v>3549</v>
      </c>
      <c r="C6666" s="905" t="s">
        <v>3550</v>
      </c>
      <c r="D6666" s="905" t="s">
        <v>3550</v>
      </c>
      <c r="E6666" s="51">
        <f>ROUNDUP(F6666/0.6/120,2)</f>
        <v>2.1199999999999997</v>
      </c>
      <c r="F6666" s="888">
        <v>152</v>
      </c>
    </row>
    <row r="6670" spans="1:7" ht="20.25" thickBot="1">
      <c r="A6670" t="s">
        <v>3564</v>
      </c>
      <c r="D6670" s="1314"/>
    </row>
    <row r="6671" spans="1:7" ht="15.75" thickBot="1">
      <c r="A6671" s="1322" t="s">
        <v>3556</v>
      </c>
      <c r="B6671" s="1323" t="s">
        <v>3557</v>
      </c>
      <c r="C6671" s="1323" t="s">
        <v>1825</v>
      </c>
      <c r="E6671" s="1322" t="s">
        <v>3556</v>
      </c>
      <c r="F6671" s="1323" t="s">
        <v>3557</v>
      </c>
      <c r="G6671" s="1323" t="s">
        <v>3558</v>
      </c>
    </row>
    <row r="6672" spans="1:7" ht="15.75" thickBot="1">
      <c r="A6672" s="1324" t="s">
        <v>3560</v>
      </c>
      <c r="B6672" s="1326" t="s">
        <v>3559</v>
      </c>
      <c r="C6672" s="1321">
        <f>ROUNDUP((G6672+20)/0.8/120,2)</f>
        <v>8.5499999999999989</v>
      </c>
      <c r="D6672" s="317" t="s">
        <v>3543</v>
      </c>
      <c r="E6672" s="1324" t="s">
        <v>3576</v>
      </c>
      <c r="F6672" s="1326" t="s">
        <v>3559</v>
      </c>
      <c r="G6672" s="1325">
        <v>800</v>
      </c>
    </row>
    <row r="6673" spans="1:7" ht="15.75" thickBot="1">
      <c r="A6673" s="1324" t="s">
        <v>3561</v>
      </c>
      <c r="B6673" s="1326" t="s">
        <v>103</v>
      </c>
      <c r="C6673" s="1321">
        <f>ROUNDUP((G6673+20)/0.8/120,2)</f>
        <v>9.2799999999999994</v>
      </c>
      <c r="D6673" s="317" t="s">
        <v>3543</v>
      </c>
      <c r="E6673" s="1324" t="s">
        <v>3577</v>
      </c>
      <c r="F6673" s="1326">
        <v>1</v>
      </c>
      <c r="G6673" s="1325">
        <v>870</v>
      </c>
    </row>
    <row r="6674" spans="1:7" ht="15.75" thickBot="1">
      <c r="A6674" s="1324" t="s">
        <v>3562</v>
      </c>
      <c r="B6674" s="1326" t="s">
        <v>3559</v>
      </c>
      <c r="C6674" s="1321">
        <f>ROUNDUP((G6674+20)/0.8/120,2)</f>
        <v>6.88</v>
      </c>
      <c r="D6674" s="317" t="s">
        <v>3543</v>
      </c>
      <c r="E6674" s="1324" t="s">
        <v>3578</v>
      </c>
      <c r="F6674" s="1326" t="s">
        <v>3559</v>
      </c>
      <c r="G6674" s="1325">
        <v>640</v>
      </c>
    </row>
    <row r="6675" spans="1:7" ht="15.75" thickBot="1">
      <c r="A6675" s="1324" t="s">
        <v>3563</v>
      </c>
      <c r="B6675" s="1326" t="s">
        <v>3559</v>
      </c>
      <c r="C6675" s="1321">
        <f>ROUNDUP((G6675+20)/0.8/120,2)</f>
        <v>6.88</v>
      </c>
      <c r="D6675" s="317" t="s">
        <v>3543</v>
      </c>
      <c r="E6675" s="1324" t="s">
        <v>3579</v>
      </c>
      <c r="F6675" s="1326" t="s">
        <v>3559</v>
      </c>
      <c r="G6675" s="1325">
        <v>640</v>
      </c>
    </row>
    <row r="6678" spans="1:7">
      <c r="A6678" s="1279" t="s">
        <v>106</v>
      </c>
      <c r="B6678" s="1279" t="s">
        <v>53</v>
      </c>
      <c r="C6678" s="1279" t="s">
        <v>54</v>
      </c>
      <c r="D6678" s="1330" t="s">
        <v>2939</v>
      </c>
    </row>
    <row r="6679" spans="1:7">
      <c r="A6679" s="909" t="s">
        <v>3581</v>
      </c>
      <c r="B6679" s="1209" t="s">
        <v>207</v>
      </c>
      <c r="C6679" s="905">
        <v>50</v>
      </c>
      <c r="D6679" s="905"/>
    </row>
    <row r="6680" spans="1:7">
      <c r="A6680" s="909" t="s">
        <v>3582</v>
      </c>
      <c r="B6680" s="1209" t="s">
        <v>211</v>
      </c>
      <c r="C6680" s="905">
        <v>50</v>
      </c>
      <c r="D6680" s="905"/>
    </row>
    <row r="6681" spans="1:7">
      <c r="A6681" s="909" t="s">
        <v>3582</v>
      </c>
      <c r="B6681" s="1209" t="s">
        <v>45</v>
      </c>
      <c r="C6681" s="905">
        <v>50</v>
      </c>
      <c r="D6681" s="905"/>
    </row>
    <row r="6682" spans="1:7">
      <c r="A6682" s="909" t="s">
        <v>3582</v>
      </c>
      <c r="B6682" s="1209" t="s">
        <v>46</v>
      </c>
      <c r="C6682" s="905">
        <v>50</v>
      </c>
      <c r="D6682" s="905"/>
    </row>
    <row r="6683" spans="1:7">
      <c r="A6683" s="909" t="s">
        <v>3583</v>
      </c>
      <c r="B6683" s="1209" t="s">
        <v>101</v>
      </c>
      <c r="C6683" s="905">
        <v>50</v>
      </c>
      <c r="D6683" s="905"/>
    </row>
    <row r="6684" spans="1:7">
      <c r="A6684" s="909" t="s">
        <v>3584</v>
      </c>
      <c r="B6684" s="1209" t="s">
        <v>46</v>
      </c>
      <c r="C6684" s="905">
        <v>50</v>
      </c>
      <c r="D6684" s="905"/>
    </row>
    <row r="6685" spans="1:7">
      <c r="A6685" s="909" t="s">
        <v>3585</v>
      </c>
      <c r="B6685" s="1209" t="s">
        <v>46</v>
      </c>
      <c r="C6685" s="905">
        <v>50</v>
      </c>
      <c r="D6685" s="905"/>
    </row>
    <row r="6686" spans="1:7">
      <c r="A6686" s="909" t="s">
        <v>3585</v>
      </c>
      <c r="B6686" s="1209" t="s">
        <v>211</v>
      </c>
      <c r="C6686" s="905">
        <v>50</v>
      </c>
      <c r="D6686" s="905"/>
    </row>
    <row r="6687" spans="1:7">
      <c r="A6687" s="1331"/>
      <c r="B6687" s="1332"/>
      <c r="C6687" s="1333"/>
      <c r="D6687" s="1333"/>
    </row>
    <row r="6688" spans="1:7">
      <c r="A6688" s="1279" t="s">
        <v>106</v>
      </c>
      <c r="B6688" s="1279" t="s">
        <v>377</v>
      </c>
      <c r="C6688" s="1279" t="s">
        <v>53</v>
      </c>
      <c r="D6688" s="1279" t="s">
        <v>54</v>
      </c>
      <c r="E6688" s="988" t="s">
        <v>1825</v>
      </c>
      <c r="F6688" s="988" t="s">
        <v>3586</v>
      </c>
      <c r="G6688" s="988" t="s">
        <v>3587</v>
      </c>
    </row>
    <row r="6689" spans="1:7">
      <c r="A6689" s="639" t="s">
        <v>3566</v>
      </c>
      <c r="B6689" s="907"/>
      <c r="C6689" s="47"/>
      <c r="D6689" s="903"/>
      <c r="E6689" s="52" t="s">
        <v>10</v>
      </c>
      <c r="F6689" s="39"/>
      <c r="G6689" s="1313"/>
    </row>
    <row r="6690" spans="1:7">
      <c r="A6690" s="909" t="s">
        <v>3567</v>
      </c>
      <c r="B6690" s="1146" t="s">
        <v>3568</v>
      </c>
      <c r="C6690" s="1209" t="s">
        <v>207</v>
      </c>
      <c r="D6690" s="50">
        <v>50</v>
      </c>
      <c r="E6690" s="1248">
        <v>8.5500000000000007</v>
      </c>
      <c r="F6690" s="891">
        <f>E6690*D6690</f>
        <v>427.50000000000006</v>
      </c>
      <c r="G6690" s="1313" t="s">
        <v>152</v>
      </c>
    </row>
    <row r="6691" spans="1:7">
      <c r="A6691" s="909"/>
      <c r="B6691" s="1146"/>
      <c r="C6691" s="1209"/>
      <c r="D6691" s="50"/>
      <c r="E6691" s="1248"/>
      <c r="F6691" s="891"/>
      <c r="G6691" s="1313"/>
    </row>
    <row r="6692" spans="1:7">
      <c r="A6692" s="639" t="s">
        <v>3569</v>
      </c>
      <c r="B6692" s="907"/>
      <c r="C6692" s="47"/>
      <c r="D6692" s="903"/>
      <c r="E6692" s="52" t="s">
        <v>10</v>
      </c>
      <c r="F6692" s="39"/>
      <c r="G6692" s="1313"/>
    </row>
    <row r="6693" spans="1:7">
      <c r="A6693" s="909" t="s">
        <v>3570</v>
      </c>
      <c r="B6693" s="1146" t="s">
        <v>3034</v>
      </c>
      <c r="C6693" s="1209" t="s">
        <v>211</v>
      </c>
      <c r="D6693" s="50">
        <v>50</v>
      </c>
      <c r="E6693" s="1248">
        <v>9.2799999999999994</v>
      </c>
      <c r="F6693" s="891">
        <f>E6693*D6693</f>
        <v>463.99999999999994</v>
      </c>
      <c r="G6693" s="1313" t="s">
        <v>152</v>
      </c>
    </row>
    <row r="6694" spans="1:7">
      <c r="A6694" s="909" t="s">
        <v>3570</v>
      </c>
      <c r="B6694" s="1146" t="s">
        <v>3034</v>
      </c>
      <c r="C6694" s="1209" t="s">
        <v>45</v>
      </c>
      <c r="D6694" s="50">
        <v>50</v>
      </c>
      <c r="E6694" s="1248">
        <v>9.2799999999999994</v>
      </c>
      <c r="F6694" s="891">
        <f>E6694*D6694</f>
        <v>463.99999999999994</v>
      </c>
      <c r="G6694" s="1313" t="s">
        <v>152</v>
      </c>
    </row>
    <row r="6695" spans="1:7">
      <c r="A6695" s="909" t="s">
        <v>3570</v>
      </c>
      <c r="B6695" s="1146" t="s">
        <v>3034</v>
      </c>
      <c r="C6695" s="1209" t="s">
        <v>46</v>
      </c>
      <c r="D6695" s="50">
        <v>50</v>
      </c>
      <c r="E6695" s="1248">
        <v>9.2799999999999994</v>
      </c>
      <c r="F6695" s="891">
        <f>E6695*D6695</f>
        <v>463.99999999999994</v>
      </c>
      <c r="G6695" s="1313" t="s">
        <v>152</v>
      </c>
    </row>
    <row r="6696" spans="1:7">
      <c r="A6696" s="909"/>
      <c r="B6696" s="1146"/>
      <c r="C6696" s="1209"/>
      <c r="D6696" s="50"/>
      <c r="E6696" s="1248"/>
      <c r="F6696" s="891"/>
      <c r="G6696" s="1313"/>
    </row>
    <row r="6697" spans="1:7">
      <c r="A6697" s="639" t="s">
        <v>3571</v>
      </c>
      <c r="B6697" s="907"/>
      <c r="C6697" s="47"/>
      <c r="D6697" s="903"/>
      <c r="E6697" s="52" t="s">
        <v>10</v>
      </c>
      <c r="F6697" s="39"/>
      <c r="G6697" s="1313"/>
    </row>
    <row r="6698" spans="1:7">
      <c r="A6698" s="909" t="s">
        <v>3572</v>
      </c>
      <c r="B6698" s="1146" t="s">
        <v>3573</v>
      </c>
      <c r="C6698" s="1209" t="s">
        <v>101</v>
      </c>
      <c r="D6698" s="50">
        <v>50</v>
      </c>
      <c r="E6698" s="1248">
        <v>6.88</v>
      </c>
      <c r="F6698" s="891">
        <f>E6698*D6698</f>
        <v>344</v>
      </c>
      <c r="G6698" s="1335" t="s">
        <v>3588</v>
      </c>
    </row>
    <row r="6699" spans="1:7">
      <c r="A6699" s="909"/>
      <c r="B6699" s="1146"/>
      <c r="C6699" s="1209"/>
      <c r="D6699" s="50"/>
      <c r="E6699" s="1248"/>
      <c r="F6699" s="891"/>
      <c r="G6699" s="1313"/>
    </row>
    <row r="6700" spans="1:7">
      <c r="A6700" s="639" t="s">
        <v>3574</v>
      </c>
      <c r="B6700" s="907"/>
      <c r="C6700" s="47"/>
      <c r="D6700" s="903"/>
      <c r="E6700" s="52" t="s">
        <v>10</v>
      </c>
      <c r="F6700" s="39"/>
      <c r="G6700" s="1313"/>
    </row>
    <row r="6701" spans="1:7">
      <c r="A6701" s="909" t="s">
        <v>3575</v>
      </c>
      <c r="B6701" s="1146" t="s">
        <v>3573</v>
      </c>
      <c r="C6701" s="1209" t="s">
        <v>46</v>
      </c>
      <c r="D6701" s="50">
        <v>50</v>
      </c>
      <c r="E6701" s="1248">
        <v>6.88</v>
      </c>
      <c r="F6701" s="891">
        <f>E6701*D6701</f>
        <v>344</v>
      </c>
      <c r="G6701" s="1313" t="s">
        <v>152</v>
      </c>
    </row>
    <row r="6702" spans="1:7">
      <c r="A6702" s="909" t="s">
        <v>3580</v>
      </c>
      <c r="B6702" s="1146" t="s">
        <v>3573</v>
      </c>
      <c r="C6702" s="1209" t="s">
        <v>46</v>
      </c>
      <c r="D6702" s="50">
        <v>50</v>
      </c>
      <c r="E6702" s="1248">
        <v>6.88</v>
      </c>
      <c r="F6702" s="891">
        <f>E6702*D6702</f>
        <v>344</v>
      </c>
      <c r="G6702" s="1313" t="s">
        <v>152</v>
      </c>
    </row>
    <row r="6703" spans="1:7">
      <c r="A6703" s="909" t="s">
        <v>3580</v>
      </c>
      <c r="B6703" s="1146" t="s">
        <v>3573</v>
      </c>
      <c r="C6703" s="1209" t="s">
        <v>211</v>
      </c>
      <c r="D6703" s="50">
        <v>50</v>
      </c>
      <c r="E6703" s="1248">
        <v>6.88</v>
      </c>
      <c r="F6703" s="891">
        <f>E6703*D6703</f>
        <v>344</v>
      </c>
      <c r="G6703" s="1313" t="s">
        <v>152</v>
      </c>
    </row>
    <row r="6704" spans="1:7">
      <c r="A6704" s="909"/>
      <c r="B6704" s="1146"/>
      <c r="C6704" s="1209"/>
      <c r="D6704" s="50"/>
      <c r="E6704" s="1334" t="s">
        <v>375</v>
      </c>
      <c r="F6704" s="1334">
        <f>SUM(F6690:F6703)</f>
        <v>3195.5</v>
      </c>
      <c r="G6704" s="1313"/>
    </row>
    <row r="6707" spans="1:6">
      <c r="A6707" s="1279" t="s">
        <v>105</v>
      </c>
      <c r="B6707" s="1279" t="s">
        <v>106</v>
      </c>
      <c r="C6707" s="1279" t="s">
        <v>128</v>
      </c>
      <c r="D6707" s="1279" t="s">
        <v>54</v>
      </c>
      <c r="E6707" s="988" t="s">
        <v>1825</v>
      </c>
      <c r="F6707" s="39"/>
    </row>
    <row r="6708" spans="1:6">
      <c r="A6708" s="947" t="s">
        <v>3555</v>
      </c>
      <c r="B6708" s="47" t="s">
        <v>1006</v>
      </c>
      <c r="C6708" s="260" t="s">
        <v>78</v>
      </c>
      <c r="D6708" s="50">
        <v>14</v>
      </c>
      <c r="E6708" s="891">
        <v>3.45</v>
      </c>
      <c r="F6708" s="891">
        <f>E6708*D6708</f>
        <v>48.300000000000004</v>
      </c>
    </row>
    <row r="6709" spans="1:6">
      <c r="A6709" s="947" t="s">
        <v>3555</v>
      </c>
      <c r="B6709" s="47"/>
      <c r="C6709" s="260" t="s">
        <v>1993</v>
      </c>
      <c r="D6709" s="894">
        <v>1</v>
      </c>
      <c r="E6709" s="891">
        <v>12</v>
      </c>
      <c r="F6709" s="891">
        <f>E6709*D6709</f>
        <v>12</v>
      </c>
    </row>
    <row r="6713" spans="1:6" ht="15">
      <c r="A6713" s="1620" t="s">
        <v>804</v>
      </c>
    </row>
    <row r="6714" spans="1:6" ht="15">
      <c r="A6714" s="1620" t="s">
        <v>3589</v>
      </c>
    </row>
    <row r="6715" spans="1:6" ht="15">
      <c r="A6715" s="1620">
        <v>329</v>
      </c>
    </row>
    <row r="6716" spans="1:6" ht="15">
      <c r="A6716" s="1620" t="s">
        <v>3590</v>
      </c>
    </row>
    <row r="6717" spans="1:6" ht="15">
      <c r="A6717" s="1620" t="s">
        <v>3591</v>
      </c>
    </row>
    <row r="6718" spans="1:6" ht="15">
      <c r="A6718" s="1620" t="s">
        <v>3592</v>
      </c>
    </row>
    <row r="6719" spans="1:6" ht="15">
      <c r="A6719" s="1620" t="s">
        <v>3593</v>
      </c>
    </row>
    <row r="6720" spans="1:6" ht="15">
      <c r="A6720" s="1620" t="s">
        <v>3594</v>
      </c>
    </row>
    <row r="6721" spans="1:6" ht="15">
      <c r="A6721" s="1620">
        <v>300</v>
      </c>
    </row>
    <row r="6722" spans="1:6" ht="15">
      <c r="A6722" s="1620">
        <v>280</v>
      </c>
    </row>
    <row r="6723" spans="1:6" ht="15">
      <c r="A6723" s="1620">
        <v>187</v>
      </c>
    </row>
    <row r="6724" spans="1:6" ht="15">
      <c r="A6724" s="1620">
        <v>276</v>
      </c>
    </row>
    <row r="6725" spans="1:6" ht="15">
      <c r="A6725" s="1620" t="s">
        <v>3595</v>
      </c>
    </row>
    <row r="6726" spans="1:6" ht="15">
      <c r="A6726" s="1620"/>
    </row>
    <row r="6727" spans="1:6" ht="15">
      <c r="A6727" s="1620" t="s">
        <v>3596</v>
      </c>
    </row>
    <row r="6728" spans="1:6" ht="15">
      <c r="A6728" s="1620" t="s">
        <v>3597</v>
      </c>
    </row>
    <row r="6729" spans="1:6" ht="15">
      <c r="A6729" s="1620" t="s">
        <v>3589</v>
      </c>
    </row>
    <row r="6730" spans="1:6" ht="15">
      <c r="A6730" s="1620">
        <v>12</v>
      </c>
    </row>
    <row r="6731" spans="1:6" ht="15">
      <c r="A6731" s="1620">
        <v>1</v>
      </c>
    </row>
    <row r="6732" spans="1:6" ht="15">
      <c r="A6732" s="1620" t="s">
        <v>3598</v>
      </c>
    </row>
    <row r="6735" spans="1:6">
      <c r="A6735" s="1279" t="s">
        <v>106</v>
      </c>
      <c r="B6735" s="1279" t="s">
        <v>128</v>
      </c>
      <c r="C6735" s="1279" t="s">
        <v>54</v>
      </c>
      <c r="D6735" s="988" t="s">
        <v>1825</v>
      </c>
      <c r="E6735" s="988" t="s">
        <v>3586</v>
      </c>
      <c r="F6735" s="988" t="s">
        <v>3605</v>
      </c>
    </row>
    <row r="6736" spans="1:6">
      <c r="A6736" s="47" t="s">
        <v>536</v>
      </c>
      <c r="B6736" s="909" t="s">
        <v>82</v>
      </c>
      <c r="C6736" s="905">
        <v>50</v>
      </c>
      <c r="D6736" s="51">
        <v>5</v>
      </c>
      <c r="E6736" s="891">
        <f t="shared" ref="E6736:E6744" si="28">D6736*C6736</f>
        <v>250</v>
      </c>
      <c r="F6736" s="1337" t="s">
        <v>3622</v>
      </c>
    </row>
    <row r="6737" spans="1:7">
      <c r="A6737" s="47" t="s">
        <v>536</v>
      </c>
      <c r="B6737" s="909" t="s">
        <v>3599</v>
      </c>
      <c r="C6737" s="905">
        <v>50</v>
      </c>
      <c r="D6737" s="51">
        <v>5</v>
      </c>
      <c r="E6737" s="891">
        <f t="shared" si="28"/>
        <v>250</v>
      </c>
      <c r="F6737" s="1338" t="s">
        <v>3624</v>
      </c>
    </row>
    <row r="6738" spans="1:7">
      <c r="A6738" s="47" t="s">
        <v>536</v>
      </c>
      <c r="B6738" s="909" t="s">
        <v>629</v>
      </c>
      <c r="C6738" s="905">
        <v>50</v>
      </c>
      <c r="D6738" s="51">
        <v>5</v>
      </c>
      <c r="E6738" s="891">
        <f t="shared" si="28"/>
        <v>250</v>
      </c>
      <c r="F6738" s="1338" t="s">
        <v>3624</v>
      </c>
    </row>
    <row r="6739" spans="1:7" ht="25.5">
      <c r="A6739" s="47" t="s">
        <v>536</v>
      </c>
      <c r="B6739" s="909" t="s">
        <v>2937</v>
      </c>
      <c r="C6739" s="905">
        <v>50</v>
      </c>
      <c r="D6739" s="51">
        <v>5</v>
      </c>
      <c r="E6739" s="891">
        <f t="shared" si="28"/>
        <v>250</v>
      </c>
      <c r="F6739" s="1338" t="s">
        <v>3623</v>
      </c>
    </row>
    <row r="6740" spans="1:7">
      <c r="A6740" s="47" t="s">
        <v>536</v>
      </c>
      <c r="B6740" s="909" t="s">
        <v>3600</v>
      </c>
      <c r="C6740" s="905">
        <v>50</v>
      </c>
      <c r="D6740" s="51">
        <v>5</v>
      </c>
      <c r="E6740" s="891">
        <f t="shared" si="28"/>
        <v>250</v>
      </c>
      <c r="F6740" s="1337" t="s">
        <v>3606</v>
      </c>
    </row>
    <row r="6741" spans="1:7">
      <c r="A6741" s="47" t="s">
        <v>536</v>
      </c>
      <c r="B6741" s="909" t="s">
        <v>3601</v>
      </c>
      <c r="C6741" s="905">
        <v>50</v>
      </c>
      <c r="D6741" s="51">
        <v>5</v>
      </c>
      <c r="E6741" s="891">
        <f t="shared" si="28"/>
        <v>250</v>
      </c>
      <c r="F6741" s="1337" t="s">
        <v>3607</v>
      </c>
    </row>
    <row r="6742" spans="1:7">
      <c r="A6742" s="47" t="s">
        <v>536</v>
      </c>
      <c r="B6742" s="909" t="s">
        <v>2231</v>
      </c>
      <c r="C6742" s="905">
        <v>50</v>
      </c>
      <c r="D6742" s="51">
        <v>5</v>
      </c>
      <c r="E6742" s="891">
        <f t="shared" si="28"/>
        <v>250</v>
      </c>
      <c r="F6742" s="1338" t="s">
        <v>3624</v>
      </c>
    </row>
    <row r="6743" spans="1:7">
      <c r="A6743" s="47" t="s">
        <v>536</v>
      </c>
      <c r="B6743" s="909" t="s">
        <v>3602</v>
      </c>
      <c r="C6743" s="905">
        <v>50</v>
      </c>
      <c r="D6743" s="51">
        <v>5</v>
      </c>
      <c r="E6743" s="891">
        <f t="shared" si="28"/>
        <v>250</v>
      </c>
      <c r="F6743" s="1338" t="s">
        <v>3624</v>
      </c>
    </row>
    <row r="6744" spans="1:7">
      <c r="A6744" s="47" t="s">
        <v>536</v>
      </c>
      <c r="B6744" s="909" t="s">
        <v>114</v>
      </c>
      <c r="C6744" s="905">
        <v>100</v>
      </c>
      <c r="D6744" s="51">
        <v>5</v>
      </c>
      <c r="E6744" s="891">
        <f t="shared" si="28"/>
        <v>500</v>
      </c>
      <c r="F6744" s="1338" t="s">
        <v>3624</v>
      </c>
    </row>
    <row r="6745" spans="1:7">
      <c r="A6745" s="47" t="s">
        <v>536</v>
      </c>
      <c r="B6745" s="909" t="s">
        <v>3609</v>
      </c>
      <c r="C6745" s="905">
        <v>50</v>
      </c>
      <c r="D6745" s="51">
        <v>5</v>
      </c>
      <c r="E6745" s="891">
        <f>D6745*C6745</f>
        <v>250</v>
      </c>
      <c r="F6745" s="1338" t="s">
        <v>3624</v>
      </c>
    </row>
    <row r="6746" spans="1:7">
      <c r="A6746" s="889"/>
      <c r="B6746" s="47"/>
      <c r="C6746" s="903"/>
      <c r="D6746" s="52"/>
      <c r="E6746" s="39"/>
      <c r="F6746" s="1338"/>
    </row>
    <row r="6747" spans="1:7">
      <c r="A6747" s="47" t="s">
        <v>738</v>
      </c>
      <c r="B6747" s="909" t="s">
        <v>82</v>
      </c>
      <c r="C6747" s="905">
        <v>50</v>
      </c>
      <c r="D6747" s="891">
        <v>4.45</v>
      </c>
      <c r="E6747" s="891">
        <f>D6747*C6747</f>
        <v>222.5</v>
      </c>
      <c r="F6747" s="1338" t="s">
        <v>3624</v>
      </c>
    </row>
    <row r="6748" spans="1:7">
      <c r="A6748" s="47" t="s">
        <v>738</v>
      </c>
      <c r="B6748" s="909" t="s">
        <v>1768</v>
      </c>
      <c r="C6748" s="905">
        <v>50</v>
      </c>
      <c r="D6748" s="891">
        <v>4.45</v>
      </c>
      <c r="E6748" s="891">
        <f>D6748*C6748</f>
        <v>222.5</v>
      </c>
      <c r="F6748" s="1338" t="s">
        <v>3624</v>
      </c>
    </row>
    <row r="6749" spans="1:7">
      <c r="A6749" s="47" t="s">
        <v>738</v>
      </c>
      <c r="B6749" s="909" t="s">
        <v>114</v>
      </c>
      <c r="C6749" s="905">
        <v>50</v>
      </c>
      <c r="D6749" s="891">
        <v>4.45</v>
      </c>
      <c r="E6749" s="891">
        <f>D6749*C6749</f>
        <v>222.5</v>
      </c>
      <c r="F6749" s="1338" t="s">
        <v>3624</v>
      </c>
    </row>
    <row r="6752" spans="1:7">
      <c r="A6752" s="1166" t="s">
        <v>1372</v>
      </c>
      <c r="B6752" s="1184" t="s">
        <v>52</v>
      </c>
      <c r="C6752" s="1167" t="s">
        <v>128</v>
      </c>
      <c r="D6752" s="887" t="s">
        <v>1186</v>
      </c>
      <c r="E6752" s="887" t="s">
        <v>1652</v>
      </c>
      <c r="F6752" s="887" t="s">
        <v>1653</v>
      </c>
      <c r="G6752" s="887" t="s">
        <v>1825</v>
      </c>
    </row>
    <row r="6753" spans="1:7">
      <c r="A6753" s="47" t="s">
        <v>18</v>
      </c>
      <c r="B6753" s="260">
        <v>30</v>
      </c>
      <c r="C6753" s="47" t="s">
        <v>2727</v>
      </c>
      <c r="D6753" s="903">
        <v>30</v>
      </c>
      <c r="E6753" s="904">
        <v>1</v>
      </c>
      <c r="F6753" s="50">
        <f>D6753*E6753</f>
        <v>30</v>
      </c>
      <c r="G6753" s="891">
        <v>4.26</v>
      </c>
    </row>
    <row r="6754" spans="1:7">
      <c r="A6754" s="47"/>
      <c r="B6754" s="893"/>
      <c r="C6754" s="260" t="s">
        <v>1993</v>
      </c>
      <c r="D6754" s="905"/>
      <c r="E6754" s="906"/>
      <c r="F6754" s="894">
        <v>1</v>
      </c>
      <c r="G6754" s="891">
        <v>12</v>
      </c>
    </row>
    <row r="6757" spans="1:7">
      <c r="A6757" s="1279" t="s">
        <v>106</v>
      </c>
      <c r="B6757" s="1279" t="s">
        <v>53</v>
      </c>
      <c r="C6757" s="1279" t="s">
        <v>54</v>
      </c>
      <c r="D6757" s="988" t="s">
        <v>1825</v>
      </c>
      <c r="E6757" s="988" t="s">
        <v>3586</v>
      </c>
      <c r="F6757" s="988" t="s">
        <v>3587</v>
      </c>
      <c r="G6757" s="39"/>
    </row>
    <row r="6758" spans="1:7">
      <c r="A6758" s="909" t="s">
        <v>3567</v>
      </c>
      <c r="B6758" s="1209" t="s">
        <v>207</v>
      </c>
      <c r="C6758" s="983">
        <v>53</v>
      </c>
      <c r="D6758" s="1248">
        <v>8.5500000000000007</v>
      </c>
      <c r="E6758" s="891">
        <f>D6758*C6758</f>
        <v>453.15000000000003</v>
      </c>
      <c r="F6758" s="1338" t="s">
        <v>3621</v>
      </c>
    </row>
    <row r="6759" spans="1:7">
      <c r="A6759" s="889"/>
      <c r="B6759" s="47"/>
      <c r="C6759" s="1349"/>
      <c r="D6759" s="916"/>
      <c r="E6759" s="39"/>
      <c r="F6759" s="1338"/>
    </row>
    <row r="6760" spans="1:7">
      <c r="A6760" s="909" t="s">
        <v>3570</v>
      </c>
      <c r="B6760" s="1209" t="s">
        <v>211</v>
      </c>
      <c r="C6760" s="983">
        <v>50</v>
      </c>
      <c r="D6760" s="1248">
        <v>9.2799999999999994</v>
      </c>
      <c r="E6760" s="891">
        <f>D6760*C6760</f>
        <v>463.99999999999994</v>
      </c>
      <c r="F6760" s="1338" t="s">
        <v>3621</v>
      </c>
    </row>
    <row r="6761" spans="1:7">
      <c r="A6761" s="909" t="s">
        <v>3570</v>
      </c>
      <c r="B6761" s="1209" t="s">
        <v>45</v>
      </c>
      <c r="C6761" s="983">
        <v>51</v>
      </c>
      <c r="D6761" s="1248">
        <v>9.2799999999999994</v>
      </c>
      <c r="E6761" s="891">
        <f>D6761*C6761</f>
        <v>473.28</v>
      </c>
      <c r="F6761" s="1338" t="s">
        <v>3621</v>
      </c>
    </row>
    <row r="6762" spans="1:7">
      <c r="A6762" s="909" t="s">
        <v>3570</v>
      </c>
      <c r="B6762" s="1209" t="s">
        <v>46</v>
      </c>
      <c r="C6762" s="983">
        <v>50.8</v>
      </c>
      <c r="D6762" s="1248">
        <v>9.2799999999999994</v>
      </c>
      <c r="E6762" s="891">
        <f>D6762*C6762</f>
        <v>471.42399999999992</v>
      </c>
      <c r="F6762" s="1338" t="s">
        <v>3621</v>
      </c>
    </row>
    <row r="6763" spans="1:7">
      <c r="A6763" s="889"/>
      <c r="B6763" s="47"/>
      <c r="C6763" s="1349"/>
      <c r="D6763" s="916"/>
      <c r="E6763" s="39"/>
      <c r="F6763" s="1338"/>
    </row>
    <row r="6764" spans="1:7">
      <c r="A6764" s="909" t="s">
        <v>3572</v>
      </c>
      <c r="B6764" s="1209" t="s">
        <v>101</v>
      </c>
      <c r="C6764" s="983">
        <v>50.5</v>
      </c>
      <c r="D6764" s="1248">
        <v>6.88</v>
      </c>
      <c r="E6764" s="891">
        <f>D6764*C6764</f>
        <v>347.44</v>
      </c>
      <c r="F6764" s="1338" t="s">
        <v>3621</v>
      </c>
    </row>
    <row r="6765" spans="1:7">
      <c r="A6765" s="889"/>
      <c r="B6765" s="47"/>
      <c r="C6765" s="1349"/>
      <c r="D6765" s="916"/>
      <c r="E6765" s="39"/>
      <c r="F6765" s="1338"/>
    </row>
    <row r="6766" spans="1:7">
      <c r="A6766" s="909" t="s">
        <v>3575</v>
      </c>
      <c r="B6766" s="1209" t="s">
        <v>46</v>
      </c>
      <c r="C6766" s="983">
        <v>50.1</v>
      </c>
      <c r="D6766" s="1248">
        <v>6.88</v>
      </c>
      <c r="E6766" s="891">
        <f>D6766*C6766</f>
        <v>344.68799999999999</v>
      </c>
      <c r="F6766" s="1338" t="s">
        <v>3621</v>
      </c>
    </row>
    <row r="6767" spans="1:7">
      <c r="A6767" s="909" t="s">
        <v>3580</v>
      </c>
      <c r="B6767" s="1209" t="s">
        <v>46</v>
      </c>
      <c r="C6767" s="983">
        <v>50</v>
      </c>
      <c r="D6767" s="1248">
        <v>6.88</v>
      </c>
      <c r="E6767" s="891">
        <f>D6767*C6767</f>
        <v>344</v>
      </c>
      <c r="F6767" s="1338" t="s">
        <v>3621</v>
      </c>
    </row>
    <row r="6768" spans="1:7">
      <c r="A6768" s="909" t="s">
        <v>3580</v>
      </c>
      <c r="B6768" s="1209" t="s">
        <v>211</v>
      </c>
      <c r="C6768" s="983">
        <v>52</v>
      </c>
      <c r="D6768" s="1248">
        <v>6.88</v>
      </c>
      <c r="E6768" s="891">
        <f>D6768*C6768</f>
        <v>357.76</v>
      </c>
      <c r="F6768" s="1338" t="s">
        <v>3621</v>
      </c>
    </row>
    <row r="6769" spans="1:111">
      <c r="A6769" s="909"/>
      <c r="B6769" s="1209"/>
      <c r="C6769" s="50"/>
      <c r="D6769" s="1334" t="s">
        <v>375</v>
      </c>
      <c r="E6769" s="1334">
        <f>SUM(F6755:F6768)</f>
        <v>0</v>
      </c>
      <c r="F6769" s="1313"/>
    </row>
    <row r="6771" spans="1:111">
      <c r="A6771" s="902" t="s">
        <v>105</v>
      </c>
      <c r="B6771" s="902" t="s">
        <v>106</v>
      </c>
      <c r="C6771" s="902" t="s">
        <v>52</v>
      </c>
      <c r="D6771" s="902" t="s">
        <v>1710</v>
      </c>
      <c r="E6771" s="887" t="s">
        <v>1186</v>
      </c>
      <c r="F6771" s="887" t="s">
        <v>1652</v>
      </c>
      <c r="G6771" s="887" t="s">
        <v>1653</v>
      </c>
      <c r="H6771" s="887" t="s">
        <v>1825</v>
      </c>
      <c r="I6771" s="916" t="s">
        <v>10</v>
      </c>
    </row>
    <row r="6772" spans="1:111">
      <c r="A6772" s="4" t="s">
        <v>3625</v>
      </c>
      <c r="B6772" s="889" t="s">
        <v>79</v>
      </c>
      <c r="C6772" s="907"/>
      <c r="D6772" s="47"/>
      <c r="E6772" s="903"/>
      <c r="F6772" s="904"/>
      <c r="G6772" s="903"/>
      <c r="H6772" s="916" t="s">
        <v>10</v>
      </c>
    </row>
    <row r="6773" spans="1:111">
      <c r="A6773" s="4" t="s">
        <v>3625</v>
      </c>
      <c r="B6773" s="47" t="s">
        <v>3626</v>
      </c>
      <c r="C6773" s="907">
        <v>152</v>
      </c>
      <c r="D6773" s="47" t="s">
        <v>859</v>
      </c>
      <c r="E6773" s="50">
        <v>58</v>
      </c>
      <c r="F6773" s="911">
        <v>13</v>
      </c>
      <c r="G6773" s="50">
        <f>E6773*F6773</f>
        <v>754</v>
      </c>
      <c r="H6773" s="891">
        <v>3.89</v>
      </c>
    </row>
    <row r="6774" spans="1:111">
      <c r="A6774" s="4" t="s">
        <v>3625</v>
      </c>
      <c r="B6774" s="47" t="s">
        <v>3073</v>
      </c>
      <c r="C6774" s="907">
        <v>152</v>
      </c>
      <c r="D6774" s="47" t="s">
        <v>859</v>
      </c>
      <c r="E6774" s="50">
        <v>66</v>
      </c>
      <c r="F6774" s="911">
        <v>7</v>
      </c>
      <c r="G6774" s="50">
        <f>E6774*F6774</f>
        <v>462</v>
      </c>
      <c r="H6774" s="891">
        <v>3.89</v>
      </c>
    </row>
    <row r="6775" spans="1:111" s="888" customFormat="1" ht="12.75">
      <c r="A6775" s="4"/>
      <c r="B6775" s="47"/>
      <c r="C6775" s="907"/>
      <c r="D6775" s="47"/>
      <c r="E6775" s="905"/>
      <c r="F6775" s="1157" t="s">
        <v>181</v>
      </c>
      <c r="G6775" s="1158">
        <f>SUM(G6771:G6774)</f>
        <v>1216</v>
      </c>
      <c r="H6775" s="891"/>
    </row>
    <row r="6777" spans="1:111">
      <c r="A6777" s="1064" t="s">
        <v>3627</v>
      </c>
    </row>
    <row r="6778" spans="1:111" s="1186" customFormat="1" ht="25.5">
      <c r="A6778" s="1350" t="s">
        <v>1369</v>
      </c>
      <c r="B6778" s="1351" t="s">
        <v>377</v>
      </c>
      <c r="C6778" s="1352" t="s">
        <v>2</v>
      </c>
      <c r="D6778" s="1353" t="s">
        <v>1734</v>
      </c>
      <c r="E6778" s="1354" t="s">
        <v>3117</v>
      </c>
      <c r="F6778" s="1185" t="s">
        <v>1403</v>
      </c>
    </row>
    <row r="6779" spans="1:111" s="1019" customFormat="1" ht="15" customHeight="1">
      <c r="A6779" s="1170" t="s">
        <v>20</v>
      </c>
      <c r="B6779" s="1187">
        <v>4</v>
      </c>
      <c r="C6779" s="1171">
        <v>30</v>
      </c>
      <c r="D6779" s="1172" t="s">
        <v>1812</v>
      </c>
      <c r="E6779" s="1355">
        <v>0.3</v>
      </c>
      <c r="F6779" s="1174"/>
      <c r="G6779" s="1356"/>
      <c r="H6779" s="1191"/>
      <c r="I6779" s="1191"/>
      <c r="J6779" s="1191"/>
      <c r="K6779" s="1191"/>
      <c r="L6779" s="1191"/>
      <c r="M6779" s="1191"/>
      <c r="N6779" s="1191"/>
      <c r="O6779" s="1191"/>
      <c r="P6779" s="1191"/>
      <c r="Q6779" s="1191"/>
      <c r="R6779" s="1191"/>
      <c r="S6779" s="1191"/>
      <c r="T6779" s="1191"/>
      <c r="U6779" s="1191"/>
      <c r="V6779" s="1191"/>
      <c r="W6779" s="1191"/>
      <c r="X6779" s="1191"/>
      <c r="Y6779" s="1191"/>
      <c r="Z6779" s="1191"/>
      <c r="AA6779" s="1191"/>
      <c r="AB6779" s="1191"/>
      <c r="AC6779" s="1191"/>
      <c r="AD6779" s="1191"/>
      <c r="AE6779" s="1191"/>
      <c r="AF6779" s="1191"/>
      <c r="AG6779" s="1191"/>
      <c r="AH6779" s="1191"/>
      <c r="AI6779" s="1191"/>
      <c r="AJ6779" s="1191"/>
      <c r="AK6779" s="1191"/>
      <c r="AL6779" s="1191"/>
      <c r="AM6779" s="1191"/>
      <c r="AN6779" s="1191"/>
      <c r="AO6779" s="1191"/>
      <c r="AP6779" s="1191"/>
      <c r="AQ6779" s="1191"/>
      <c r="AR6779" s="1191"/>
      <c r="AS6779" s="1191"/>
      <c r="AT6779" s="1191"/>
      <c r="AU6779" s="1191"/>
      <c r="AV6779" s="1191"/>
      <c r="AW6779" s="1191"/>
      <c r="AX6779" s="1191"/>
      <c r="AY6779" s="1191"/>
      <c r="AZ6779" s="1191"/>
      <c r="BA6779" s="1191"/>
      <c r="BB6779" s="1191"/>
      <c r="BC6779" s="1191"/>
      <c r="BD6779" s="1191"/>
      <c r="BE6779" s="1191"/>
      <c r="BF6779" s="1191"/>
      <c r="BG6779" s="1191"/>
      <c r="BH6779" s="1191"/>
      <c r="BI6779" s="1191"/>
      <c r="BJ6779" s="1191"/>
      <c r="BK6779" s="1191"/>
      <c r="BL6779" s="1191"/>
      <c r="BM6779" s="1191"/>
      <c r="BN6779" s="1191"/>
      <c r="BO6779" s="1191"/>
      <c r="BP6779" s="1191"/>
      <c r="BQ6779" s="1191"/>
      <c r="BR6779" s="1191"/>
      <c r="BS6779" s="1191"/>
      <c r="BT6779" s="1191"/>
      <c r="BU6779" s="1191"/>
      <c r="BV6779" s="1191"/>
      <c r="BW6779" s="1191"/>
      <c r="BX6779" s="1191"/>
      <c r="BY6779" s="1191"/>
      <c r="BZ6779" s="1191"/>
      <c r="CA6779" s="1191"/>
      <c r="CB6779" s="1191"/>
      <c r="CC6779" s="1191"/>
      <c r="CD6779" s="1191"/>
      <c r="CE6779" s="1191"/>
      <c r="CF6779" s="1191"/>
      <c r="CG6779" s="1191"/>
      <c r="CH6779" s="1191"/>
      <c r="CI6779" s="1191"/>
      <c r="CJ6779" s="1191"/>
      <c r="CK6779" s="1191"/>
      <c r="CL6779" s="1191"/>
      <c r="CM6779" s="1191"/>
      <c r="CN6779" s="1191"/>
      <c r="CO6779" s="1191"/>
      <c r="CP6779" s="1191"/>
      <c r="CQ6779" s="1191"/>
      <c r="CR6779" s="1191"/>
      <c r="CS6779" s="1191"/>
      <c r="CT6779" s="1191"/>
      <c r="CU6779" s="1191"/>
      <c r="CV6779" s="1191"/>
      <c r="CW6779" s="1191"/>
      <c r="CX6779" s="1191"/>
      <c r="CY6779" s="1191"/>
      <c r="CZ6779" s="1191"/>
      <c r="DA6779" s="1191"/>
      <c r="DB6779" s="1191"/>
      <c r="DC6779" s="1191"/>
      <c r="DD6779" s="1191"/>
      <c r="DE6779" s="1191"/>
      <c r="DF6779" s="1191"/>
    </row>
    <row r="6780" spans="1:111" s="1019" customFormat="1" ht="15" customHeight="1">
      <c r="A6780" s="1170" t="s">
        <v>20</v>
      </c>
      <c r="B6780" s="1187">
        <v>6</v>
      </c>
      <c r="C6780" s="1171">
        <v>30</v>
      </c>
      <c r="D6780" s="1172" t="s">
        <v>1812</v>
      </c>
      <c r="E6780" s="1355">
        <v>0.31</v>
      </c>
      <c r="F6780" s="1174"/>
      <c r="G6780" s="1357"/>
      <c r="H6780" s="1191"/>
      <c r="I6780" s="1191"/>
      <c r="J6780" s="1191"/>
      <c r="K6780" s="1191"/>
      <c r="L6780" s="1191"/>
      <c r="M6780" s="1191"/>
      <c r="N6780" s="1191"/>
      <c r="O6780" s="1191"/>
      <c r="P6780" s="1191"/>
      <c r="Q6780" s="1191"/>
      <c r="R6780" s="1191"/>
      <c r="S6780" s="1191"/>
      <c r="T6780" s="1191"/>
      <c r="U6780" s="1191"/>
      <c r="V6780" s="1191"/>
      <c r="W6780" s="1191"/>
      <c r="X6780" s="1191"/>
      <c r="Y6780" s="1191"/>
      <c r="Z6780" s="1191"/>
      <c r="AA6780" s="1191"/>
      <c r="AB6780" s="1191"/>
      <c r="AC6780" s="1191"/>
      <c r="AD6780" s="1191"/>
      <c r="AE6780" s="1191"/>
      <c r="AF6780" s="1191"/>
      <c r="AG6780" s="1191"/>
      <c r="AH6780" s="1191"/>
      <c r="AI6780" s="1191"/>
      <c r="AJ6780" s="1191"/>
      <c r="AK6780" s="1191"/>
      <c r="AL6780" s="1191"/>
      <c r="AM6780" s="1191"/>
      <c r="AN6780" s="1191"/>
      <c r="AO6780" s="1191"/>
      <c r="AP6780" s="1191"/>
      <c r="AQ6780" s="1191"/>
      <c r="AR6780" s="1191"/>
      <c r="AS6780" s="1191"/>
      <c r="AT6780" s="1191"/>
      <c r="AU6780" s="1191"/>
      <c r="AV6780" s="1191"/>
      <c r="AW6780" s="1191"/>
      <c r="AX6780" s="1191"/>
      <c r="AY6780" s="1191"/>
      <c r="AZ6780" s="1191"/>
      <c r="BA6780" s="1191"/>
      <c r="BB6780" s="1191"/>
      <c r="BC6780" s="1191"/>
      <c r="BD6780" s="1191"/>
      <c r="BE6780" s="1191"/>
      <c r="BF6780" s="1191"/>
      <c r="BG6780" s="1191"/>
      <c r="BH6780" s="1191"/>
      <c r="BI6780" s="1191"/>
      <c r="BJ6780" s="1191"/>
      <c r="BK6780" s="1191"/>
      <c r="BL6780" s="1191"/>
      <c r="BM6780" s="1191"/>
      <c r="BN6780" s="1191"/>
      <c r="BO6780" s="1191"/>
      <c r="BP6780" s="1191"/>
      <c r="BQ6780" s="1191"/>
      <c r="BR6780" s="1191"/>
      <c r="BS6780" s="1191"/>
      <c r="BT6780" s="1191"/>
      <c r="BU6780" s="1191"/>
      <c r="BV6780" s="1191"/>
      <c r="BW6780" s="1191"/>
      <c r="BX6780" s="1191"/>
      <c r="BY6780" s="1191"/>
      <c r="BZ6780" s="1191"/>
      <c r="CA6780" s="1191"/>
      <c r="CB6780" s="1191"/>
      <c r="CC6780" s="1191"/>
      <c r="CD6780" s="1191"/>
      <c r="CE6780" s="1191"/>
      <c r="CF6780" s="1191"/>
      <c r="CG6780" s="1191"/>
      <c r="CH6780" s="1191"/>
      <c r="CI6780" s="1191"/>
      <c r="CJ6780" s="1191"/>
      <c r="CK6780" s="1191"/>
      <c r="CL6780" s="1191"/>
      <c r="CM6780" s="1191"/>
      <c r="CN6780" s="1191"/>
      <c r="CO6780" s="1191"/>
      <c r="CP6780" s="1191"/>
      <c r="CQ6780" s="1191"/>
      <c r="CR6780" s="1191"/>
      <c r="CS6780" s="1191"/>
      <c r="CT6780" s="1191"/>
      <c r="CU6780" s="1191"/>
      <c r="CV6780" s="1191"/>
      <c r="CW6780" s="1191"/>
      <c r="CX6780" s="1191"/>
      <c r="CY6780" s="1191"/>
      <c r="CZ6780" s="1191"/>
      <c r="DA6780" s="1191"/>
      <c r="DB6780" s="1191"/>
      <c r="DC6780" s="1191"/>
      <c r="DD6780" s="1191"/>
      <c r="DE6780" s="1191"/>
      <c r="DF6780" s="1191"/>
    </row>
    <row r="6781" spans="1:111" s="1019" customFormat="1" ht="15" customHeight="1">
      <c r="A6781" s="1170" t="s">
        <v>20</v>
      </c>
      <c r="B6781" s="1187">
        <v>9</v>
      </c>
      <c r="C6781" s="1171">
        <v>30</v>
      </c>
      <c r="D6781" s="1172" t="s">
        <v>1812</v>
      </c>
      <c r="E6781" s="1355">
        <v>0.33</v>
      </c>
      <c r="F6781" s="1174"/>
      <c r="G6781" s="1357"/>
      <c r="H6781" s="1191"/>
      <c r="I6781" s="1191"/>
      <c r="J6781" s="1191"/>
      <c r="K6781" s="1191"/>
      <c r="L6781" s="1191"/>
      <c r="M6781" s="1191"/>
      <c r="N6781" s="1191"/>
      <c r="O6781" s="1191"/>
      <c r="P6781" s="1191"/>
      <c r="Q6781" s="1191"/>
      <c r="R6781" s="1191"/>
      <c r="S6781" s="1191"/>
      <c r="T6781" s="1191"/>
      <c r="U6781" s="1191"/>
      <c r="V6781" s="1191"/>
      <c r="W6781" s="1191"/>
      <c r="X6781" s="1191"/>
      <c r="Y6781" s="1191"/>
      <c r="Z6781" s="1191"/>
      <c r="AA6781" s="1191"/>
      <c r="AB6781" s="1191"/>
      <c r="AC6781" s="1191"/>
      <c r="AD6781" s="1191"/>
      <c r="AE6781" s="1191"/>
      <c r="AF6781" s="1191"/>
      <c r="AG6781" s="1191"/>
      <c r="AH6781" s="1191"/>
      <c r="AI6781" s="1191"/>
      <c r="AJ6781" s="1191"/>
      <c r="AK6781" s="1191"/>
      <c r="AL6781" s="1191"/>
      <c r="AM6781" s="1191"/>
      <c r="AN6781" s="1191"/>
      <c r="AO6781" s="1191"/>
      <c r="AP6781" s="1191"/>
      <c r="AQ6781" s="1191"/>
      <c r="AR6781" s="1191"/>
      <c r="AS6781" s="1191"/>
      <c r="AT6781" s="1191"/>
      <c r="AU6781" s="1191"/>
      <c r="AV6781" s="1191"/>
      <c r="AW6781" s="1191"/>
      <c r="AX6781" s="1191"/>
      <c r="AY6781" s="1191"/>
      <c r="AZ6781" s="1191"/>
      <c r="BA6781" s="1191"/>
      <c r="BB6781" s="1191"/>
      <c r="BC6781" s="1191"/>
      <c r="BD6781" s="1191"/>
      <c r="BE6781" s="1191"/>
      <c r="BF6781" s="1191"/>
      <c r="BG6781" s="1191"/>
      <c r="BH6781" s="1191"/>
      <c r="BI6781" s="1191"/>
      <c r="BJ6781" s="1191"/>
      <c r="BK6781" s="1191"/>
      <c r="BL6781" s="1191"/>
      <c r="BM6781" s="1191"/>
      <c r="BN6781" s="1191"/>
      <c r="BO6781" s="1191"/>
      <c r="BP6781" s="1191"/>
      <c r="BQ6781" s="1191"/>
      <c r="BR6781" s="1191"/>
      <c r="BS6781" s="1191"/>
      <c r="BT6781" s="1191"/>
      <c r="BU6781" s="1191"/>
      <c r="BV6781" s="1191"/>
      <c r="BW6781" s="1191"/>
      <c r="BX6781" s="1191"/>
      <c r="BY6781" s="1191"/>
      <c r="BZ6781" s="1191"/>
      <c r="CA6781" s="1191"/>
      <c r="CB6781" s="1191"/>
      <c r="CC6781" s="1191"/>
      <c r="CD6781" s="1191"/>
      <c r="CE6781" s="1191"/>
      <c r="CF6781" s="1191"/>
      <c r="CG6781" s="1191"/>
      <c r="CH6781" s="1191"/>
      <c r="CI6781" s="1191"/>
      <c r="CJ6781" s="1191"/>
      <c r="CK6781" s="1191"/>
      <c r="CL6781" s="1191"/>
      <c r="CM6781" s="1191"/>
      <c r="CN6781" s="1191"/>
      <c r="CO6781" s="1191"/>
      <c r="CP6781" s="1191"/>
      <c r="CQ6781" s="1191"/>
      <c r="CR6781" s="1191"/>
      <c r="CS6781" s="1191"/>
      <c r="CT6781" s="1191"/>
      <c r="CU6781" s="1191"/>
      <c r="CV6781" s="1191"/>
      <c r="CW6781" s="1191"/>
      <c r="CX6781" s="1191"/>
      <c r="CY6781" s="1191"/>
      <c r="CZ6781" s="1191"/>
      <c r="DA6781" s="1191"/>
      <c r="DB6781" s="1191"/>
      <c r="DC6781" s="1191"/>
      <c r="DD6781" s="1191"/>
      <c r="DE6781" s="1191"/>
      <c r="DF6781" s="1191"/>
    </row>
    <row r="6782" spans="1:111" s="1019" customFormat="1" ht="15" customHeight="1">
      <c r="A6782" s="1170" t="s">
        <v>20</v>
      </c>
      <c r="B6782" s="1187">
        <v>12</v>
      </c>
      <c r="C6782" s="1171">
        <v>30</v>
      </c>
      <c r="D6782" s="1172" t="s">
        <v>1812</v>
      </c>
      <c r="E6782" s="1355">
        <v>0.38</v>
      </c>
      <c r="F6782" s="1174"/>
      <c r="G6782" s="1356"/>
      <c r="H6782" s="1191"/>
      <c r="I6782" s="1191"/>
      <c r="J6782" s="1191"/>
      <c r="K6782" s="1191"/>
      <c r="L6782" s="1191"/>
      <c r="M6782" s="1191"/>
      <c r="N6782" s="1191"/>
      <c r="O6782" s="1191"/>
      <c r="P6782" s="1191"/>
      <c r="Q6782" s="1191"/>
      <c r="R6782" s="1191"/>
      <c r="S6782" s="1191"/>
      <c r="T6782" s="1191"/>
      <c r="U6782" s="1191"/>
      <c r="V6782" s="1191"/>
      <c r="W6782" s="1191"/>
      <c r="X6782" s="1191"/>
      <c r="Y6782" s="1191"/>
      <c r="Z6782" s="1191"/>
      <c r="AA6782" s="1191"/>
      <c r="AB6782" s="1191"/>
      <c r="AC6782" s="1191"/>
      <c r="AD6782" s="1191"/>
      <c r="AE6782" s="1191"/>
      <c r="AF6782" s="1191"/>
      <c r="AG6782" s="1191"/>
      <c r="AH6782" s="1191"/>
      <c r="AI6782" s="1191"/>
      <c r="AJ6782" s="1191"/>
      <c r="AK6782" s="1191"/>
      <c r="AL6782" s="1191"/>
      <c r="AM6782" s="1191"/>
      <c r="AN6782" s="1191"/>
      <c r="AO6782" s="1191"/>
      <c r="AP6782" s="1191"/>
      <c r="AQ6782" s="1191"/>
      <c r="AR6782" s="1191"/>
      <c r="AS6782" s="1191"/>
      <c r="AT6782" s="1191"/>
      <c r="AU6782" s="1191"/>
      <c r="AV6782" s="1191"/>
      <c r="AW6782" s="1191"/>
      <c r="AX6782" s="1191"/>
      <c r="AY6782" s="1191"/>
      <c r="AZ6782" s="1191"/>
      <c r="BA6782" s="1191"/>
      <c r="BB6782" s="1191"/>
      <c r="BC6782" s="1191"/>
      <c r="BD6782" s="1191"/>
      <c r="BE6782" s="1191"/>
      <c r="BF6782" s="1191"/>
      <c r="BG6782" s="1191"/>
      <c r="BH6782" s="1191"/>
      <c r="BI6782" s="1191"/>
      <c r="BJ6782" s="1191"/>
      <c r="BK6782" s="1191"/>
      <c r="BL6782" s="1191"/>
      <c r="BM6782" s="1191"/>
      <c r="BN6782" s="1191"/>
      <c r="BO6782" s="1191"/>
      <c r="BP6782" s="1191"/>
      <c r="BQ6782" s="1191"/>
      <c r="BR6782" s="1191"/>
      <c r="BS6782" s="1191"/>
      <c r="BT6782" s="1191"/>
      <c r="BU6782" s="1191"/>
      <c r="BV6782" s="1191"/>
      <c r="BW6782" s="1191"/>
      <c r="BX6782" s="1191"/>
      <c r="BY6782" s="1191"/>
      <c r="BZ6782" s="1191"/>
      <c r="CA6782" s="1191"/>
      <c r="CB6782" s="1191"/>
      <c r="CC6782" s="1191"/>
      <c r="CD6782" s="1191"/>
      <c r="CE6782" s="1191"/>
      <c r="CF6782" s="1191"/>
      <c r="CG6782" s="1191"/>
      <c r="CH6782" s="1191"/>
      <c r="CI6782" s="1191"/>
      <c r="CJ6782" s="1191"/>
      <c r="CK6782" s="1191"/>
      <c r="CL6782" s="1191"/>
      <c r="CM6782" s="1191"/>
      <c r="CN6782" s="1191"/>
      <c r="CO6782" s="1191"/>
      <c r="CP6782" s="1191"/>
      <c r="CQ6782" s="1191"/>
      <c r="CR6782" s="1191"/>
      <c r="CS6782" s="1191"/>
      <c r="CT6782" s="1191"/>
      <c r="CU6782" s="1191"/>
      <c r="CV6782" s="1191"/>
      <c r="CW6782" s="1191"/>
      <c r="CX6782" s="1191"/>
      <c r="CY6782" s="1191"/>
      <c r="CZ6782" s="1191"/>
      <c r="DA6782" s="1191"/>
      <c r="DB6782" s="1191"/>
      <c r="DC6782" s="1191"/>
      <c r="DD6782" s="1191"/>
      <c r="DE6782" s="1191"/>
      <c r="DF6782" s="1191"/>
      <c r="DG6782" s="1191"/>
    </row>
    <row r="6783" spans="1:111" s="1019" customFormat="1" ht="15" customHeight="1">
      <c r="A6783" s="1170" t="s">
        <v>20</v>
      </c>
      <c r="B6783" s="1187">
        <v>15</v>
      </c>
      <c r="C6783" s="1171">
        <v>30</v>
      </c>
      <c r="D6783" s="1172" t="s">
        <v>1812</v>
      </c>
      <c r="E6783" s="1355">
        <v>0.44</v>
      </c>
      <c r="F6783" s="1174"/>
      <c r="G6783" s="1357"/>
      <c r="H6783" s="1191"/>
      <c r="I6783" s="1191"/>
      <c r="J6783" s="1191"/>
      <c r="K6783" s="1191"/>
      <c r="L6783" s="1191"/>
      <c r="M6783" s="1191"/>
      <c r="N6783" s="1191"/>
      <c r="O6783" s="1191"/>
      <c r="P6783" s="1191"/>
      <c r="Q6783" s="1191"/>
      <c r="R6783" s="1191"/>
      <c r="S6783" s="1191"/>
      <c r="T6783" s="1191"/>
      <c r="U6783" s="1191"/>
      <c r="V6783" s="1191"/>
      <c r="W6783" s="1191"/>
      <c r="X6783" s="1191"/>
      <c r="Y6783" s="1191"/>
      <c r="Z6783" s="1191"/>
      <c r="AA6783" s="1191"/>
      <c r="AB6783" s="1191"/>
      <c r="AC6783" s="1191"/>
      <c r="AD6783" s="1191"/>
      <c r="AE6783" s="1191"/>
      <c r="AF6783" s="1191"/>
      <c r="AG6783" s="1191"/>
      <c r="AH6783" s="1191"/>
      <c r="AI6783" s="1191"/>
      <c r="AJ6783" s="1191"/>
      <c r="AK6783" s="1191"/>
      <c r="AL6783" s="1191"/>
      <c r="AM6783" s="1191"/>
      <c r="AN6783" s="1191"/>
      <c r="AO6783" s="1191"/>
      <c r="AP6783" s="1191"/>
      <c r="AQ6783" s="1191"/>
      <c r="AR6783" s="1191"/>
      <c r="AS6783" s="1191"/>
      <c r="AT6783" s="1191"/>
      <c r="AU6783" s="1191"/>
      <c r="AV6783" s="1191"/>
      <c r="AW6783" s="1191"/>
      <c r="AX6783" s="1191"/>
      <c r="AY6783" s="1191"/>
      <c r="AZ6783" s="1191"/>
      <c r="BA6783" s="1191"/>
      <c r="BB6783" s="1191"/>
      <c r="BC6783" s="1191"/>
      <c r="BD6783" s="1191"/>
      <c r="BE6783" s="1191"/>
      <c r="BF6783" s="1191"/>
      <c r="BG6783" s="1191"/>
      <c r="BH6783" s="1191"/>
      <c r="BI6783" s="1191"/>
      <c r="BJ6783" s="1191"/>
      <c r="BK6783" s="1191"/>
      <c r="BL6783" s="1191"/>
      <c r="BM6783" s="1191"/>
      <c r="BN6783" s="1191"/>
      <c r="BO6783" s="1191"/>
      <c r="BP6783" s="1191"/>
      <c r="BQ6783" s="1191"/>
      <c r="BR6783" s="1191"/>
      <c r="BS6783" s="1191"/>
      <c r="BT6783" s="1191"/>
      <c r="BU6783" s="1191"/>
      <c r="BV6783" s="1191"/>
      <c r="BW6783" s="1191"/>
      <c r="BX6783" s="1191"/>
      <c r="BY6783" s="1191"/>
      <c r="BZ6783" s="1191"/>
      <c r="CA6783" s="1191"/>
      <c r="CB6783" s="1191"/>
      <c r="CC6783" s="1191"/>
      <c r="CD6783" s="1191"/>
      <c r="CE6783" s="1191"/>
      <c r="CF6783" s="1191"/>
      <c r="CG6783" s="1191"/>
      <c r="CH6783" s="1191"/>
      <c r="CI6783" s="1191"/>
      <c r="CJ6783" s="1191"/>
      <c r="CK6783" s="1191"/>
      <c r="CL6783" s="1191"/>
      <c r="CM6783" s="1191"/>
      <c r="CN6783" s="1191"/>
      <c r="CO6783" s="1191"/>
      <c r="CP6783" s="1191"/>
      <c r="CQ6783" s="1191"/>
      <c r="CR6783" s="1191"/>
      <c r="CS6783" s="1191"/>
      <c r="CT6783" s="1191"/>
      <c r="CU6783" s="1191"/>
      <c r="CV6783" s="1191"/>
      <c r="CW6783" s="1191"/>
      <c r="CX6783" s="1191"/>
      <c r="CY6783" s="1191"/>
      <c r="CZ6783" s="1191"/>
      <c r="DA6783" s="1191"/>
      <c r="DB6783" s="1191"/>
      <c r="DC6783" s="1191"/>
      <c r="DD6783" s="1191"/>
      <c r="DE6783" s="1191"/>
      <c r="DF6783" s="1191"/>
      <c r="DG6783" s="1191"/>
    </row>
    <row r="6784" spans="1:111" s="1019" customFormat="1" ht="15" customHeight="1">
      <c r="A6784" s="1170" t="s">
        <v>20</v>
      </c>
      <c r="B6784" s="1187">
        <v>19</v>
      </c>
      <c r="C6784" s="1171">
        <v>30</v>
      </c>
      <c r="D6784" s="1172" t="s">
        <v>1812</v>
      </c>
      <c r="E6784" s="1355">
        <v>0.51</v>
      </c>
      <c r="F6784" s="1174"/>
      <c r="G6784" s="1357"/>
      <c r="H6784" s="1191"/>
      <c r="I6784" s="1191"/>
      <c r="J6784" s="1191"/>
      <c r="K6784" s="1191"/>
      <c r="L6784" s="1191"/>
      <c r="M6784" s="1191"/>
      <c r="N6784" s="1191"/>
      <c r="O6784" s="1191"/>
      <c r="P6784" s="1191"/>
      <c r="Q6784" s="1191"/>
      <c r="R6784" s="1191"/>
      <c r="S6784" s="1191"/>
      <c r="T6784" s="1191"/>
      <c r="U6784" s="1191"/>
      <c r="V6784" s="1191"/>
      <c r="W6784" s="1191"/>
      <c r="X6784" s="1191"/>
      <c r="Y6784" s="1191"/>
      <c r="Z6784" s="1191"/>
      <c r="AA6784" s="1191"/>
      <c r="AB6784" s="1191"/>
      <c r="AC6784" s="1191"/>
      <c r="AD6784" s="1191"/>
      <c r="AE6784" s="1191"/>
      <c r="AF6784" s="1191"/>
      <c r="AG6784" s="1191"/>
      <c r="AH6784" s="1191"/>
      <c r="AI6784" s="1191"/>
      <c r="AJ6784" s="1191"/>
      <c r="AK6784" s="1191"/>
      <c r="AL6784" s="1191"/>
      <c r="AM6784" s="1191"/>
      <c r="AN6784" s="1191"/>
      <c r="AO6784" s="1191"/>
      <c r="AP6784" s="1191"/>
      <c r="AQ6784" s="1191"/>
      <c r="AR6784" s="1191"/>
      <c r="AS6784" s="1191"/>
      <c r="AT6784" s="1191"/>
      <c r="AU6784" s="1191"/>
      <c r="AV6784" s="1191"/>
      <c r="AW6784" s="1191"/>
      <c r="AX6784" s="1191"/>
      <c r="AY6784" s="1191"/>
      <c r="AZ6784" s="1191"/>
      <c r="BA6784" s="1191"/>
      <c r="BB6784" s="1191"/>
      <c r="BC6784" s="1191"/>
      <c r="BD6784" s="1191"/>
      <c r="BE6784" s="1191"/>
      <c r="BF6784" s="1191"/>
      <c r="BG6784" s="1191"/>
      <c r="BH6784" s="1191"/>
      <c r="BI6784" s="1191"/>
      <c r="BJ6784" s="1191"/>
      <c r="BK6784" s="1191"/>
      <c r="BL6784" s="1191"/>
      <c r="BM6784" s="1191"/>
      <c r="BN6784" s="1191"/>
      <c r="BO6784" s="1191"/>
      <c r="BP6784" s="1191"/>
      <c r="BQ6784" s="1191"/>
      <c r="BR6784" s="1191"/>
      <c r="BS6784" s="1191"/>
      <c r="BT6784" s="1191"/>
      <c r="BU6784" s="1191"/>
      <c r="BV6784" s="1191"/>
      <c r="BW6784" s="1191"/>
      <c r="BX6784" s="1191"/>
      <c r="BY6784" s="1191"/>
      <c r="BZ6784" s="1191"/>
      <c r="CA6784" s="1191"/>
      <c r="CB6784" s="1191"/>
      <c r="CC6784" s="1191"/>
      <c r="CD6784" s="1191"/>
      <c r="CE6784" s="1191"/>
      <c r="CF6784" s="1191"/>
      <c r="CG6784" s="1191"/>
      <c r="CH6784" s="1191"/>
      <c r="CI6784" s="1191"/>
      <c r="CJ6784" s="1191"/>
      <c r="CK6784" s="1191"/>
      <c r="CL6784" s="1191"/>
      <c r="CM6784" s="1191"/>
      <c r="CN6784" s="1191"/>
      <c r="CO6784" s="1191"/>
      <c r="CP6784" s="1191"/>
      <c r="CQ6784" s="1191"/>
      <c r="CR6784" s="1191"/>
      <c r="CS6784" s="1191"/>
      <c r="CT6784" s="1191"/>
      <c r="CU6784" s="1191"/>
      <c r="CV6784" s="1191"/>
      <c r="CW6784" s="1191"/>
      <c r="CX6784" s="1191"/>
      <c r="CY6784" s="1191"/>
      <c r="CZ6784" s="1191"/>
      <c r="DA6784" s="1191"/>
      <c r="DB6784" s="1191"/>
      <c r="DC6784" s="1191"/>
      <c r="DD6784" s="1191"/>
      <c r="DE6784" s="1191"/>
      <c r="DF6784" s="1191"/>
      <c r="DG6784" s="1191"/>
    </row>
    <row r="6785" spans="1:118" s="1019" customFormat="1" ht="15" customHeight="1">
      <c r="A6785" s="1170" t="s">
        <v>20</v>
      </c>
      <c r="B6785" s="1187">
        <v>25</v>
      </c>
      <c r="C6785" s="1171">
        <v>30</v>
      </c>
      <c r="D6785" s="1172" t="s">
        <v>1812</v>
      </c>
      <c r="E6785" s="1355">
        <v>0.65</v>
      </c>
      <c r="F6785" s="1174"/>
      <c r="G6785" s="1357"/>
      <c r="H6785" s="1191"/>
      <c r="I6785" s="1191"/>
      <c r="J6785" s="1191"/>
      <c r="K6785" s="1191"/>
      <c r="L6785" s="1191"/>
      <c r="M6785" s="1191"/>
      <c r="N6785" s="1191"/>
      <c r="O6785" s="1191"/>
      <c r="P6785" s="1191"/>
      <c r="Q6785" s="1191"/>
      <c r="R6785" s="1191"/>
      <c r="S6785" s="1191"/>
      <c r="T6785" s="1191"/>
      <c r="U6785" s="1191"/>
      <c r="V6785" s="1191"/>
      <c r="W6785" s="1191"/>
      <c r="X6785" s="1191"/>
      <c r="Y6785" s="1191"/>
      <c r="Z6785" s="1191"/>
      <c r="AA6785" s="1191"/>
      <c r="AB6785" s="1191"/>
      <c r="AC6785" s="1191"/>
      <c r="AD6785" s="1191"/>
      <c r="AE6785" s="1191"/>
      <c r="AF6785" s="1191"/>
      <c r="AG6785" s="1191"/>
      <c r="AH6785" s="1191"/>
      <c r="AI6785" s="1191"/>
      <c r="AJ6785" s="1191"/>
      <c r="AK6785" s="1191"/>
      <c r="AL6785" s="1191"/>
      <c r="AM6785" s="1191"/>
      <c r="AN6785" s="1191"/>
      <c r="AO6785" s="1191"/>
      <c r="AP6785" s="1191"/>
      <c r="AQ6785" s="1191"/>
      <c r="AR6785" s="1191"/>
      <c r="AS6785" s="1191"/>
      <c r="AT6785" s="1191"/>
      <c r="AU6785" s="1191"/>
      <c r="AV6785" s="1191"/>
      <c r="AW6785" s="1191"/>
      <c r="AX6785" s="1191"/>
      <c r="AY6785" s="1191"/>
      <c r="AZ6785" s="1191"/>
      <c r="BA6785" s="1191"/>
      <c r="BB6785" s="1191"/>
      <c r="BC6785" s="1191"/>
      <c r="BD6785" s="1191"/>
      <c r="BE6785" s="1191"/>
      <c r="BF6785" s="1191"/>
      <c r="BG6785" s="1191"/>
      <c r="BH6785" s="1191"/>
      <c r="BI6785" s="1191"/>
      <c r="BJ6785" s="1191"/>
      <c r="BK6785" s="1191"/>
      <c r="BL6785" s="1191"/>
      <c r="BM6785" s="1191"/>
      <c r="BN6785" s="1191"/>
      <c r="BO6785" s="1191"/>
      <c r="BP6785" s="1191"/>
      <c r="BQ6785" s="1191"/>
      <c r="BR6785" s="1191"/>
      <c r="BS6785" s="1191"/>
      <c r="BT6785" s="1191"/>
      <c r="BU6785" s="1191"/>
      <c r="BV6785" s="1191"/>
      <c r="BW6785" s="1191"/>
      <c r="BX6785" s="1191"/>
      <c r="BY6785" s="1191"/>
      <c r="BZ6785" s="1191"/>
      <c r="CA6785" s="1191"/>
      <c r="CB6785" s="1191"/>
      <c r="CC6785" s="1191"/>
      <c r="CD6785" s="1191"/>
      <c r="CE6785" s="1191"/>
      <c r="CF6785" s="1191"/>
      <c r="CG6785" s="1191"/>
      <c r="CH6785" s="1191"/>
      <c r="CI6785" s="1191"/>
      <c r="CJ6785" s="1191"/>
      <c r="CK6785" s="1191"/>
      <c r="CL6785" s="1191"/>
      <c r="CM6785" s="1191"/>
      <c r="CN6785" s="1191"/>
      <c r="CO6785" s="1191"/>
      <c r="CP6785" s="1191"/>
      <c r="CQ6785" s="1191"/>
      <c r="CR6785" s="1191"/>
      <c r="CS6785" s="1191"/>
      <c r="CT6785" s="1191"/>
      <c r="CU6785" s="1191"/>
      <c r="CV6785" s="1191"/>
      <c r="CW6785" s="1191"/>
      <c r="CX6785" s="1191"/>
      <c r="CY6785" s="1191"/>
      <c r="CZ6785" s="1191"/>
      <c r="DA6785" s="1191"/>
      <c r="DB6785" s="1191"/>
      <c r="DC6785" s="1191"/>
      <c r="DD6785" s="1191"/>
      <c r="DE6785" s="1191"/>
      <c r="DF6785" s="1191"/>
      <c r="DG6785" s="1191"/>
    </row>
    <row r="6786" spans="1:118" s="1019" customFormat="1" ht="15" customHeight="1">
      <c r="A6786" s="1170" t="s">
        <v>20</v>
      </c>
      <c r="B6786" s="1187">
        <v>32</v>
      </c>
      <c r="C6786" s="1171">
        <v>30</v>
      </c>
      <c r="D6786" s="1172" t="s">
        <v>1812</v>
      </c>
      <c r="E6786" s="1355">
        <v>0.86</v>
      </c>
      <c r="F6786" s="1174"/>
      <c r="G6786" s="1357"/>
      <c r="H6786" s="1191"/>
      <c r="I6786" s="1191"/>
      <c r="J6786" s="1191"/>
      <c r="K6786" s="1191"/>
      <c r="L6786" s="1191"/>
      <c r="M6786" s="1191"/>
      <c r="N6786" s="1191"/>
      <c r="O6786" s="1191"/>
      <c r="P6786" s="1191"/>
      <c r="Q6786" s="1191"/>
      <c r="R6786" s="1191"/>
      <c r="S6786" s="1191"/>
      <c r="T6786" s="1191"/>
      <c r="U6786" s="1191"/>
      <c r="V6786" s="1191"/>
      <c r="W6786" s="1191"/>
      <c r="X6786" s="1191"/>
      <c r="Y6786" s="1191"/>
      <c r="Z6786" s="1191"/>
      <c r="AA6786" s="1191"/>
      <c r="AB6786" s="1191"/>
      <c r="AC6786" s="1191"/>
      <c r="AD6786" s="1191"/>
      <c r="AE6786" s="1191"/>
      <c r="AF6786" s="1191"/>
      <c r="AG6786" s="1191"/>
      <c r="AH6786" s="1191"/>
      <c r="AI6786" s="1191"/>
      <c r="AJ6786" s="1191"/>
      <c r="AK6786" s="1191"/>
      <c r="AL6786" s="1191"/>
      <c r="AM6786" s="1191"/>
      <c r="AN6786" s="1191"/>
      <c r="AO6786" s="1191"/>
      <c r="AP6786" s="1191"/>
      <c r="AQ6786" s="1191"/>
      <c r="AR6786" s="1191"/>
      <c r="AS6786" s="1191"/>
      <c r="AT6786" s="1191"/>
      <c r="AU6786" s="1191"/>
      <c r="AV6786" s="1191"/>
      <c r="AW6786" s="1191"/>
      <c r="AX6786" s="1191"/>
      <c r="AY6786" s="1191"/>
      <c r="AZ6786" s="1191"/>
      <c r="BA6786" s="1191"/>
      <c r="BB6786" s="1191"/>
      <c r="BC6786" s="1191"/>
      <c r="BD6786" s="1191"/>
      <c r="BE6786" s="1191"/>
      <c r="BF6786" s="1191"/>
      <c r="BG6786" s="1191"/>
      <c r="BH6786" s="1191"/>
      <c r="BI6786" s="1191"/>
      <c r="BJ6786" s="1191"/>
      <c r="BK6786" s="1191"/>
      <c r="BL6786" s="1191"/>
      <c r="BM6786" s="1191"/>
      <c r="BN6786" s="1191"/>
      <c r="BO6786" s="1191"/>
      <c r="BP6786" s="1191"/>
      <c r="BQ6786" s="1191"/>
      <c r="BR6786" s="1191"/>
      <c r="BS6786" s="1191"/>
      <c r="BT6786" s="1191"/>
      <c r="BU6786" s="1191"/>
      <c r="BV6786" s="1191"/>
      <c r="BW6786" s="1191"/>
      <c r="BX6786" s="1191"/>
      <c r="BY6786" s="1191"/>
      <c r="BZ6786" s="1191"/>
      <c r="CA6786" s="1191"/>
      <c r="CB6786" s="1191"/>
      <c r="CC6786" s="1191"/>
      <c r="CD6786" s="1191"/>
      <c r="CE6786" s="1191"/>
      <c r="CF6786" s="1191"/>
      <c r="CG6786" s="1191"/>
      <c r="CH6786" s="1191"/>
      <c r="CI6786" s="1191"/>
      <c r="CJ6786" s="1191"/>
      <c r="CK6786" s="1191"/>
      <c r="CL6786" s="1191"/>
      <c r="CM6786" s="1191"/>
      <c r="CN6786" s="1191"/>
      <c r="CO6786" s="1191"/>
      <c r="CP6786" s="1191"/>
      <c r="CQ6786" s="1191"/>
      <c r="CR6786" s="1191"/>
      <c r="CS6786" s="1191"/>
      <c r="CT6786" s="1191"/>
      <c r="CU6786" s="1191"/>
      <c r="CV6786" s="1191"/>
      <c r="CW6786" s="1191"/>
      <c r="CX6786" s="1191"/>
      <c r="CY6786" s="1191"/>
      <c r="CZ6786" s="1191"/>
      <c r="DA6786" s="1191"/>
      <c r="DB6786" s="1191"/>
      <c r="DC6786" s="1191"/>
      <c r="DD6786" s="1191"/>
      <c r="DE6786" s="1191"/>
      <c r="DF6786" s="1191"/>
      <c r="DG6786" s="1191"/>
      <c r="DH6786" s="1191"/>
      <c r="DI6786" s="1191"/>
      <c r="DJ6786" s="1191"/>
      <c r="DK6786" s="1191"/>
      <c r="DL6786" s="1191"/>
      <c r="DM6786" s="1191"/>
      <c r="DN6786" s="1191"/>
    </row>
    <row r="6787" spans="1:118" s="1019" customFormat="1" ht="15" customHeight="1">
      <c r="A6787" s="1170" t="s">
        <v>20</v>
      </c>
      <c r="B6787" s="1187">
        <v>38</v>
      </c>
      <c r="C6787" s="1171">
        <v>30</v>
      </c>
      <c r="D6787" s="1172" t="s">
        <v>1812</v>
      </c>
      <c r="E6787" s="1355">
        <v>0.98</v>
      </c>
      <c r="F6787" s="1174"/>
      <c r="G6787" s="1357"/>
      <c r="H6787" s="1191"/>
      <c r="I6787" s="1191"/>
      <c r="J6787" s="1191"/>
      <c r="K6787" s="1191"/>
      <c r="L6787" s="1191"/>
      <c r="M6787" s="1191"/>
      <c r="N6787" s="1191"/>
      <c r="O6787" s="1191"/>
      <c r="P6787" s="1191"/>
      <c r="Q6787" s="1191"/>
      <c r="R6787" s="1191"/>
      <c r="S6787" s="1191"/>
      <c r="T6787" s="1191"/>
      <c r="U6787" s="1191"/>
      <c r="V6787" s="1191"/>
      <c r="W6787" s="1191"/>
      <c r="X6787" s="1191"/>
      <c r="Y6787" s="1191"/>
      <c r="Z6787" s="1191"/>
      <c r="AA6787" s="1191"/>
      <c r="AB6787" s="1191"/>
      <c r="AC6787" s="1191"/>
      <c r="AD6787" s="1191"/>
      <c r="AE6787" s="1191"/>
      <c r="AF6787" s="1191"/>
      <c r="AG6787" s="1191"/>
      <c r="AH6787" s="1191"/>
      <c r="AI6787" s="1191"/>
      <c r="AJ6787" s="1191"/>
      <c r="AK6787" s="1191"/>
      <c r="AL6787" s="1191"/>
      <c r="AM6787" s="1191"/>
      <c r="AN6787" s="1191"/>
      <c r="AO6787" s="1191"/>
      <c r="AP6787" s="1191"/>
      <c r="AQ6787" s="1191"/>
      <c r="AR6787" s="1191"/>
      <c r="AS6787" s="1191"/>
      <c r="AT6787" s="1191"/>
      <c r="AU6787" s="1191"/>
      <c r="AV6787" s="1191"/>
      <c r="AW6787" s="1191"/>
      <c r="AX6787" s="1191"/>
      <c r="AY6787" s="1191"/>
      <c r="AZ6787" s="1191"/>
      <c r="BA6787" s="1191"/>
      <c r="BB6787" s="1191"/>
      <c r="BC6787" s="1191"/>
      <c r="BD6787" s="1191"/>
      <c r="BE6787" s="1191"/>
      <c r="BF6787" s="1191"/>
      <c r="BG6787" s="1191"/>
      <c r="BH6787" s="1191"/>
      <c r="BI6787" s="1191"/>
      <c r="BJ6787" s="1191"/>
      <c r="BK6787" s="1191"/>
      <c r="BL6787" s="1191"/>
      <c r="BM6787" s="1191"/>
      <c r="BN6787" s="1191"/>
      <c r="BO6787" s="1191"/>
      <c r="BP6787" s="1191"/>
      <c r="BQ6787" s="1191"/>
      <c r="BR6787" s="1191"/>
      <c r="BS6787" s="1191"/>
      <c r="BT6787" s="1191"/>
      <c r="BU6787" s="1191"/>
      <c r="BV6787" s="1191"/>
      <c r="BW6787" s="1191"/>
      <c r="BX6787" s="1191"/>
      <c r="BY6787" s="1191"/>
      <c r="BZ6787" s="1191"/>
      <c r="CA6787" s="1191"/>
      <c r="CB6787" s="1191"/>
      <c r="CC6787" s="1191"/>
      <c r="CD6787" s="1191"/>
      <c r="CE6787" s="1191"/>
      <c r="CF6787" s="1191"/>
      <c r="CG6787" s="1191"/>
      <c r="CH6787" s="1191"/>
      <c r="CI6787" s="1191"/>
      <c r="CJ6787" s="1191"/>
      <c r="CK6787" s="1191"/>
      <c r="CL6787" s="1191"/>
      <c r="CM6787" s="1191"/>
      <c r="CN6787" s="1191"/>
      <c r="CO6787" s="1191"/>
      <c r="CP6787" s="1191"/>
      <c r="CQ6787" s="1191"/>
      <c r="CR6787" s="1191"/>
      <c r="CS6787" s="1191"/>
      <c r="CT6787" s="1191"/>
      <c r="CU6787" s="1191"/>
      <c r="CV6787" s="1191"/>
      <c r="CW6787" s="1191"/>
      <c r="CX6787" s="1191"/>
      <c r="CY6787" s="1191"/>
      <c r="CZ6787" s="1191"/>
      <c r="DA6787" s="1191"/>
      <c r="DB6787" s="1191"/>
      <c r="DC6787" s="1191"/>
      <c r="DD6787" s="1191"/>
      <c r="DE6787" s="1191"/>
      <c r="DF6787" s="1191"/>
      <c r="DG6787" s="1191"/>
      <c r="DH6787" s="1191"/>
      <c r="DI6787" s="1191"/>
      <c r="DJ6787" s="1191"/>
      <c r="DK6787" s="1191"/>
      <c r="DL6787" s="1191"/>
      <c r="DM6787" s="1191"/>
      <c r="DN6787" s="1191"/>
    </row>
    <row r="6788" spans="1:118" s="1019" customFormat="1" ht="15" customHeight="1">
      <c r="A6788" s="1170" t="s">
        <v>20</v>
      </c>
      <c r="B6788" s="1187">
        <v>50</v>
      </c>
      <c r="C6788" s="1171">
        <v>30</v>
      </c>
      <c r="D6788" s="1172" t="s">
        <v>1812</v>
      </c>
      <c r="E6788" s="1355">
        <v>1.82</v>
      </c>
      <c r="F6788" s="1174"/>
      <c r="G6788" s="1357"/>
      <c r="H6788" s="1191"/>
      <c r="I6788" s="1191"/>
      <c r="J6788" s="1191"/>
      <c r="K6788" s="1191"/>
      <c r="L6788" s="1191"/>
      <c r="M6788" s="1191"/>
      <c r="N6788" s="1191"/>
      <c r="O6788" s="1191"/>
      <c r="P6788" s="1191"/>
      <c r="Q6788" s="1191"/>
      <c r="R6788" s="1191"/>
      <c r="S6788" s="1191"/>
      <c r="T6788" s="1191"/>
      <c r="U6788" s="1191"/>
      <c r="V6788" s="1191"/>
      <c r="W6788" s="1191"/>
      <c r="X6788" s="1191"/>
      <c r="Y6788" s="1191"/>
      <c r="Z6788" s="1191"/>
      <c r="AA6788" s="1191"/>
      <c r="AB6788" s="1191"/>
      <c r="AC6788" s="1191"/>
      <c r="AD6788" s="1191"/>
      <c r="AE6788" s="1191"/>
      <c r="AF6788" s="1191"/>
      <c r="AG6788" s="1191"/>
      <c r="AH6788" s="1191"/>
      <c r="AI6788" s="1191"/>
      <c r="AJ6788" s="1191"/>
      <c r="AK6788" s="1191"/>
      <c r="AL6788" s="1191"/>
      <c r="AM6788" s="1191"/>
      <c r="AN6788" s="1191"/>
      <c r="AO6788" s="1191"/>
      <c r="AP6788" s="1191"/>
      <c r="AQ6788" s="1191"/>
      <c r="AR6788" s="1191"/>
      <c r="AS6788" s="1191"/>
      <c r="AT6788" s="1191"/>
      <c r="AU6788" s="1191"/>
      <c r="AV6788" s="1191"/>
      <c r="AW6788" s="1191"/>
      <c r="AX6788" s="1191"/>
      <c r="AY6788" s="1191"/>
      <c r="AZ6788" s="1191"/>
      <c r="BA6788" s="1191"/>
      <c r="BB6788" s="1191"/>
      <c r="BC6788" s="1191"/>
      <c r="BD6788" s="1191"/>
      <c r="BE6788" s="1191"/>
      <c r="BF6788" s="1191"/>
      <c r="BG6788" s="1191"/>
      <c r="BH6788" s="1191"/>
      <c r="BI6788" s="1191"/>
      <c r="BJ6788" s="1191"/>
      <c r="BK6788" s="1191"/>
      <c r="BL6788" s="1191"/>
      <c r="BM6788" s="1191"/>
      <c r="BN6788" s="1191"/>
      <c r="BO6788" s="1191"/>
      <c r="BP6788" s="1191"/>
      <c r="BQ6788" s="1191"/>
      <c r="BR6788" s="1191"/>
      <c r="BS6788" s="1191"/>
      <c r="BT6788" s="1191"/>
      <c r="BU6788" s="1191"/>
      <c r="BV6788" s="1191"/>
      <c r="BW6788" s="1191"/>
      <c r="BX6788" s="1191"/>
      <c r="BY6788" s="1191"/>
      <c r="BZ6788" s="1191"/>
      <c r="CA6788" s="1191"/>
      <c r="CB6788" s="1191"/>
      <c r="CC6788" s="1191"/>
      <c r="CD6788" s="1191"/>
      <c r="CE6788" s="1191"/>
      <c r="CF6788" s="1191"/>
      <c r="CG6788" s="1191"/>
      <c r="CH6788" s="1191"/>
      <c r="CI6788" s="1191"/>
      <c r="CJ6788" s="1191"/>
      <c r="CK6788" s="1191"/>
      <c r="CL6788" s="1191"/>
      <c r="CM6788" s="1191"/>
      <c r="CN6788" s="1191"/>
      <c r="CO6788" s="1191"/>
      <c r="CP6788" s="1191"/>
      <c r="CQ6788" s="1191"/>
      <c r="CR6788" s="1191"/>
      <c r="CS6788" s="1191"/>
      <c r="CT6788" s="1191"/>
      <c r="CU6788" s="1191"/>
      <c r="CV6788" s="1191"/>
      <c r="CW6788" s="1191"/>
      <c r="CX6788" s="1191"/>
      <c r="CY6788" s="1191"/>
      <c r="CZ6788" s="1191"/>
      <c r="DA6788" s="1191"/>
      <c r="DB6788" s="1191"/>
      <c r="DC6788" s="1191"/>
      <c r="DD6788" s="1191"/>
      <c r="DE6788" s="1191"/>
      <c r="DF6788" s="1191"/>
      <c r="DG6788" s="1191"/>
      <c r="DH6788" s="1191"/>
      <c r="DI6788" s="1191"/>
      <c r="DJ6788" s="1191"/>
      <c r="DK6788" s="1191"/>
      <c r="DL6788" s="1191"/>
      <c r="DM6788" s="1191"/>
      <c r="DN6788" s="1191"/>
    </row>
    <row r="6789" spans="1:118" s="1019" customFormat="1" ht="15" customHeight="1">
      <c r="A6789" s="1170" t="s">
        <v>20</v>
      </c>
      <c r="B6789" s="1187">
        <v>75</v>
      </c>
      <c r="C6789" s="1171">
        <v>30</v>
      </c>
      <c r="D6789" s="1172" t="s">
        <v>1812</v>
      </c>
      <c r="E6789" s="1355">
        <v>2.63</v>
      </c>
      <c r="F6789" s="1174"/>
      <c r="G6789" s="1357"/>
      <c r="H6789" s="1191"/>
      <c r="I6789" s="1191"/>
      <c r="J6789" s="1191"/>
      <c r="K6789" s="1191"/>
      <c r="L6789" s="1191"/>
      <c r="M6789" s="1191"/>
      <c r="N6789" s="1191"/>
      <c r="O6789" s="1191"/>
      <c r="P6789" s="1191"/>
      <c r="Q6789" s="1191"/>
      <c r="R6789" s="1191"/>
      <c r="S6789" s="1191"/>
      <c r="T6789" s="1191"/>
      <c r="U6789" s="1191"/>
      <c r="V6789" s="1191"/>
      <c r="W6789" s="1191"/>
      <c r="X6789" s="1191"/>
      <c r="Y6789" s="1191"/>
      <c r="Z6789" s="1191"/>
      <c r="AA6789" s="1191"/>
      <c r="AB6789" s="1191"/>
      <c r="AC6789" s="1191"/>
      <c r="AD6789" s="1191"/>
      <c r="AE6789" s="1191"/>
      <c r="AF6789" s="1191"/>
      <c r="AG6789" s="1191"/>
      <c r="AH6789" s="1191"/>
      <c r="AI6789" s="1191"/>
      <c r="AJ6789" s="1191"/>
      <c r="AK6789" s="1191"/>
      <c r="AL6789" s="1191"/>
      <c r="AM6789" s="1191"/>
      <c r="AN6789" s="1191"/>
      <c r="AO6789" s="1191"/>
      <c r="AP6789" s="1191"/>
      <c r="AQ6789" s="1191"/>
      <c r="AR6789" s="1191"/>
      <c r="AS6789" s="1191"/>
      <c r="AT6789" s="1191"/>
      <c r="AU6789" s="1191"/>
      <c r="AV6789" s="1191"/>
      <c r="AW6789" s="1191"/>
      <c r="AX6789" s="1191"/>
      <c r="AY6789" s="1191"/>
      <c r="AZ6789" s="1191"/>
      <c r="BA6789" s="1191"/>
      <c r="BB6789" s="1191"/>
      <c r="BC6789" s="1191"/>
      <c r="BD6789" s="1191"/>
      <c r="BE6789" s="1191"/>
      <c r="BF6789" s="1191"/>
      <c r="BG6789" s="1191"/>
      <c r="BH6789" s="1191"/>
      <c r="BI6789" s="1191"/>
      <c r="BJ6789" s="1191"/>
      <c r="BK6789" s="1191"/>
      <c r="BL6789" s="1191"/>
      <c r="BM6789" s="1191"/>
      <c r="BN6789" s="1191"/>
      <c r="BO6789" s="1191"/>
      <c r="BP6789" s="1191"/>
      <c r="BQ6789" s="1191"/>
      <c r="BR6789" s="1191"/>
      <c r="BS6789" s="1191"/>
      <c r="BT6789" s="1191"/>
      <c r="BU6789" s="1191"/>
      <c r="BV6789" s="1191"/>
      <c r="BW6789" s="1191"/>
      <c r="BX6789" s="1191"/>
      <c r="BY6789" s="1191"/>
      <c r="BZ6789" s="1191"/>
      <c r="CA6789" s="1191"/>
      <c r="CB6789" s="1191"/>
      <c r="CC6789" s="1191"/>
      <c r="CD6789" s="1191"/>
      <c r="CE6789" s="1191"/>
      <c r="CF6789" s="1191"/>
      <c r="CG6789" s="1191"/>
      <c r="CH6789" s="1191"/>
      <c r="CI6789" s="1191"/>
      <c r="CJ6789" s="1191"/>
      <c r="CK6789" s="1191"/>
      <c r="CL6789" s="1191"/>
      <c r="CM6789" s="1191"/>
      <c r="CN6789" s="1191"/>
      <c r="CO6789" s="1191"/>
      <c r="CP6789" s="1191"/>
      <c r="CQ6789" s="1191"/>
      <c r="CR6789" s="1191"/>
      <c r="CS6789" s="1191"/>
      <c r="CT6789" s="1191"/>
      <c r="CU6789" s="1191"/>
      <c r="CV6789" s="1191"/>
      <c r="CW6789" s="1191"/>
      <c r="CX6789" s="1191"/>
      <c r="CY6789" s="1191"/>
      <c r="CZ6789" s="1191"/>
      <c r="DA6789" s="1191"/>
      <c r="DB6789" s="1191"/>
      <c r="DC6789" s="1191"/>
      <c r="DD6789" s="1191"/>
      <c r="DE6789" s="1191"/>
      <c r="DF6789" s="1191"/>
      <c r="DG6789" s="1191"/>
      <c r="DH6789" s="1191"/>
      <c r="DI6789" s="1191"/>
      <c r="DJ6789" s="1191"/>
      <c r="DK6789" s="1191"/>
      <c r="DL6789" s="1191"/>
      <c r="DM6789" s="1191"/>
      <c r="DN6789" s="1191"/>
    </row>
    <row r="6790" spans="1:118" s="1019" customFormat="1" ht="15" customHeight="1">
      <c r="A6790" s="1170"/>
      <c r="B6790" s="1187"/>
      <c r="C6790" s="1171"/>
      <c r="D6790" s="1172"/>
      <c r="E6790" s="1355"/>
      <c r="F6790" s="1174"/>
      <c r="G6790" s="1357"/>
      <c r="H6790" s="1191"/>
      <c r="I6790" s="1191"/>
      <c r="J6790" s="1191"/>
      <c r="K6790" s="1191"/>
      <c r="L6790" s="1191"/>
      <c r="M6790" s="1191"/>
      <c r="N6790" s="1191"/>
      <c r="O6790" s="1191"/>
      <c r="P6790" s="1191"/>
      <c r="Q6790" s="1191"/>
      <c r="R6790" s="1191"/>
      <c r="S6790" s="1191"/>
      <c r="T6790" s="1191"/>
      <c r="U6790" s="1191"/>
      <c r="V6790" s="1191"/>
      <c r="W6790" s="1191"/>
      <c r="X6790" s="1191"/>
      <c r="Y6790" s="1191"/>
      <c r="Z6790" s="1191"/>
      <c r="AA6790" s="1191"/>
      <c r="AB6790" s="1191"/>
      <c r="AC6790" s="1191"/>
      <c r="AD6790" s="1191"/>
      <c r="AE6790" s="1191"/>
      <c r="AF6790" s="1191"/>
      <c r="AG6790" s="1191"/>
      <c r="AH6790" s="1191"/>
      <c r="AI6790" s="1191"/>
      <c r="AJ6790" s="1191"/>
      <c r="AK6790" s="1191"/>
      <c r="AL6790" s="1191"/>
      <c r="AM6790" s="1191"/>
      <c r="AN6790" s="1191"/>
      <c r="AO6790" s="1191"/>
      <c r="AP6790" s="1191"/>
      <c r="AQ6790" s="1191"/>
      <c r="AR6790" s="1191"/>
      <c r="AS6790" s="1191"/>
      <c r="AT6790" s="1191"/>
      <c r="AU6790" s="1191"/>
      <c r="AV6790" s="1191"/>
      <c r="AW6790" s="1191"/>
      <c r="AX6790" s="1191"/>
      <c r="AY6790" s="1191"/>
      <c r="AZ6790" s="1191"/>
      <c r="BA6790" s="1191"/>
      <c r="BB6790" s="1191"/>
      <c r="BC6790" s="1191"/>
      <c r="BD6790" s="1191"/>
      <c r="BE6790" s="1191"/>
      <c r="BF6790" s="1191"/>
      <c r="BG6790" s="1191"/>
      <c r="BH6790" s="1191"/>
      <c r="BI6790" s="1191"/>
      <c r="BJ6790" s="1191"/>
      <c r="BK6790" s="1191"/>
      <c r="BL6790" s="1191"/>
      <c r="BM6790" s="1191"/>
      <c r="BN6790" s="1191"/>
      <c r="BO6790" s="1191"/>
      <c r="BP6790" s="1191"/>
      <c r="BQ6790" s="1191"/>
      <c r="BR6790" s="1191"/>
      <c r="BS6790" s="1191"/>
      <c r="BT6790" s="1191"/>
      <c r="BU6790" s="1191"/>
      <c r="BV6790" s="1191"/>
      <c r="BW6790" s="1191"/>
      <c r="BX6790" s="1191"/>
      <c r="BY6790" s="1191"/>
      <c r="BZ6790" s="1191"/>
      <c r="CA6790" s="1191"/>
      <c r="CB6790" s="1191"/>
      <c r="CC6790" s="1191"/>
      <c r="CD6790" s="1191"/>
      <c r="CE6790" s="1191"/>
      <c r="CF6790" s="1191"/>
      <c r="CG6790" s="1191"/>
      <c r="CH6790" s="1191"/>
      <c r="CI6790" s="1191"/>
      <c r="CJ6790" s="1191"/>
      <c r="CK6790" s="1191"/>
      <c r="CL6790" s="1191"/>
      <c r="CM6790" s="1191"/>
      <c r="CN6790" s="1191"/>
      <c r="CO6790" s="1191"/>
      <c r="CP6790" s="1191"/>
      <c r="CQ6790" s="1191"/>
      <c r="CR6790" s="1191"/>
      <c r="CS6790" s="1191"/>
      <c r="CT6790" s="1191"/>
      <c r="CU6790" s="1191"/>
      <c r="CV6790" s="1191"/>
      <c r="CW6790" s="1191"/>
      <c r="CX6790" s="1191"/>
      <c r="CY6790" s="1191"/>
      <c r="CZ6790" s="1191"/>
      <c r="DA6790" s="1191"/>
      <c r="DB6790" s="1191"/>
      <c r="DC6790" s="1191"/>
      <c r="DD6790" s="1191"/>
      <c r="DE6790" s="1191"/>
      <c r="DF6790" s="1191"/>
      <c r="DG6790" s="1191"/>
      <c r="DH6790" s="1191"/>
      <c r="DI6790" s="1191"/>
      <c r="DJ6790" s="1191"/>
      <c r="DK6790" s="1191"/>
      <c r="DL6790" s="1191"/>
      <c r="DM6790" s="1191"/>
      <c r="DN6790" s="1191"/>
    </row>
    <row r="6791" spans="1:118" s="1331" customFormat="1" ht="13.7" customHeight="1">
      <c r="A6791" s="909">
        <v>3703</v>
      </c>
      <c r="B6791" s="963">
        <v>4</v>
      </c>
      <c r="C6791" s="1171">
        <v>30</v>
      </c>
      <c r="D6791" s="1172" t="s">
        <v>1812</v>
      </c>
      <c r="E6791" s="1355">
        <v>0.29000000000000004</v>
      </c>
      <c r="F6791" s="1174"/>
      <c r="G6791" s="1357"/>
      <c r="H6791" s="986"/>
      <c r="I6791" s="986"/>
      <c r="J6791" s="986"/>
    </row>
    <row r="6792" spans="1:118" s="1331" customFormat="1" ht="13.7" customHeight="1">
      <c r="A6792" s="909">
        <v>3703</v>
      </c>
      <c r="B6792" s="963">
        <v>6</v>
      </c>
      <c r="C6792" s="1171">
        <v>30</v>
      </c>
      <c r="D6792" s="1172" t="s">
        <v>1812</v>
      </c>
      <c r="E6792" s="1355">
        <v>0.3</v>
      </c>
      <c r="F6792" s="1174"/>
      <c r="G6792" s="1358"/>
      <c r="H6792" s="986"/>
      <c r="I6792" s="986"/>
      <c r="J6792" s="986"/>
    </row>
    <row r="6793" spans="1:118" s="1331" customFormat="1" ht="13.7" customHeight="1">
      <c r="A6793" s="909">
        <v>3703</v>
      </c>
      <c r="B6793" s="963">
        <v>9</v>
      </c>
      <c r="C6793" s="1171">
        <v>30</v>
      </c>
      <c r="D6793" s="1172" t="s">
        <v>1812</v>
      </c>
      <c r="E6793" s="1355">
        <v>0.32</v>
      </c>
      <c r="F6793" s="1174"/>
      <c r="G6793" s="1357"/>
      <c r="H6793" s="986"/>
      <c r="I6793" s="986"/>
      <c r="J6793" s="986"/>
    </row>
    <row r="6794" spans="1:118" s="1331" customFormat="1" ht="13.7" customHeight="1">
      <c r="A6794" s="909">
        <v>3703</v>
      </c>
      <c r="B6794" s="963">
        <v>12</v>
      </c>
      <c r="C6794" s="1171">
        <v>30</v>
      </c>
      <c r="D6794" s="1172" t="s">
        <v>1812</v>
      </c>
      <c r="E6794" s="1355">
        <v>0.36</v>
      </c>
      <c r="F6794" s="1174"/>
      <c r="G6794" s="1357"/>
      <c r="H6794" s="986"/>
      <c r="I6794" s="986"/>
      <c r="J6794" s="986"/>
    </row>
    <row r="6795" spans="1:118" s="1331" customFormat="1" ht="13.7" customHeight="1">
      <c r="A6795" s="909">
        <v>3703</v>
      </c>
      <c r="B6795" s="963">
        <v>15</v>
      </c>
      <c r="C6795" s="1171">
        <v>30</v>
      </c>
      <c r="D6795" s="1172" t="s">
        <v>1812</v>
      </c>
      <c r="E6795" s="1355">
        <v>0.42</v>
      </c>
      <c r="F6795" s="1174"/>
      <c r="G6795" s="1357"/>
      <c r="H6795" s="986"/>
      <c r="I6795" s="986"/>
      <c r="J6795" s="986"/>
    </row>
    <row r="6796" spans="1:118" s="1331" customFormat="1" ht="13.7" customHeight="1">
      <c r="A6796" s="909">
        <v>3703</v>
      </c>
      <c r="B6796" s="963">
        <v>19</v>
      </c>
      <c r="C6796" s="1171">
        <v>30</v>
      </c>
      <c r="D6796" s="1172" t="s">
        <v>1812</v>
      </c>
      <c r="E6796" s="1355">
        <v>0.49</v>
      </c>
      <c r="F6796" s="1174"/>
      <c r="G6796" s="1357"/>
      <c r="H6796" s="986"/>
      <c r="I6796" s="986"/>
      <c r="J6796" s="986"/>
    </row>
    <row r="6797" spans="1:118" s="1331" customFormat="1" ht="13.7" customHeight="1">
      <c r="A6797" s="909">
        <v>3703</v>
      </c>
      <c r="B6797" s="963">
        <v>25</v>
      </c>
      <c r="C6797" s="1171">
        <v>30</v>
      </c>
      <c r="D6797" s="1172" t="s">
        <v>1812</v>
      </c>
      <c r="E6797" s="1355">
        <v>0.62</v>
      </c>
      <c r="F6797" s="1174"/>
      <c r="G6797" s="1357"/>
      <c r="H6797" s="986"/>
      <c r="I6797" s="986"/>
      <c r="J6797" s="986"/>
    </row>
    <row r="6798" spans="1:118" s="1331" customFormat="1" ht="13.7" customHeight="1">
      <c r="A6798" s="909">
        <v>3703</v>
      </c>
      <c r="B6798" s="963">
        <v>32</v>
      </c>
      <c r="C6798" s="1171">
        <v>30</v>
      </c>
      <c r="D6798" s="1172" t="s">
        <v>1812</v>
      </c>
      <c r="E6798" s="1355">
        <v>0.82000000000000006</v>
      </c>
      <c r="F6798" s="1174"/>
      <c r="G6798" s="1357"/>
      <c r="H6798" s="986"/>
      <c r="I6798" s="986"/>
      <c r="J6798" s="986"/>
    </row>
    <row r="6799" spans="1:118" s="1331" customFormat="1" ht="13.7" customHeight="1">
      <c r="A6799" s="909">
        <v>3703</v>
      </c>
      <c r="B6799" s="963">
        <v>38</v>
      </c>
      <c r="C6799" s="1171">
        <v>30</v>
      </c>
      <c r="D6799" s="1172" t="s">
        <v>1812</v>
      </c>
      <c r="E6799" s="1355">
        <v>0.93</v>
      </c>
      <c r="F6799" s="1174"/>
      <c r="G6799" s="1358"/>
      <c r="H6799" s="986"/>
      <c r="I6799" s="986"/>
      <c r="J6799" s="986"/>
    </row>
    <row r="6800" spans="1:118" s="1331" customFormat="1" ht="13.7" customHeight="1">
      <c r="A6800" s="909">
        <v>3703</v>
      </c>
      <c r="B6800" s="963">
        <v>50</v>
      </c>
      <c r="C6800" s="1171">
        <v>30</v>
      </c>
      <c r="D6800" s="1172" t="s">
        <v>1812</v>
      </c>
      <c r="E6800" s="1355">
        <v>1.73</v>
      </c>
      <c r="F6800" s="1174"/>
      <c r="G6800" s="1358"/>
      <c r="H6800" s="986"/>
      <c r="I6800" s="986"/>
      <c r="J6800" s="986"/>
    </row>
    <row r="6801" spans="1:118" s="1331" customFormat="1" ht="13.7" customHeight="1">
      <c r="A6801" s="909">
        <v>3703</v>
      </c>
      <c r="B6801" s="963">
        <v>75</v>
      </c>
      <c r="C6801" s="1171">
        <v>30</v>
      </c>
      <c r="D6801" s="1172" t="s">
        <v>1812</v>
      </c>
      <c r="E6801" s="1355">
        <v>2.5099999999999998</v>
      </c>
      <c r="F6801" s="1174"/>
      <c r="G6801" s="1357"/>
      <c r="H6801" s="986"/>
      <c r="I6801" s="986"/>
      <c r="J6801" s="986"/>
    </row>
    <row r="6802" spans="1:118" s="1331" customFormat="1" ht="13.7" customHeight="1">
      <c r="A6802" s="909"/>
      <c r="B6802" s="963"/>
      <c r="C6802" s="1171"/>
      <c r="D6802" s="1172"/>
      <c r="E6802" s="1355"/>
      <c r="F6802" s="1174"/>
      <c r="G6802" s="1357"/>
      <c r="H6802" s="986"/>
      <c r="I6802" s="986"/>
      <c r="J6802" s="986"/>
    </row>
    <row r="6803" spans="1:118" s="1019" customFormat="1" ht="15" customHeight="1">
      <c r="A6803" s="1172">
        <v>3717</v>
      </c>
      <c r="B6803" s="1187">
        <v>6</v>
      </c>
      <c r="C6803" s="1171">
        <v>30</v>
      </c>
      <c r="D6803" s="1172" t="s">
        <v>1812</v>
      </c>
      <c r="E6803" s="1355">
        <v>0.24000000000000002</v>
      </c>
      <c r="F6803" s="1174"/>
      <c r="G6803" s="1357"/>
      <c r="H6803" s="1191"/>
      <c r="I6803" s="1191"/>
      <c r="J6803" s="1191"/>
      <c r="K6803" s="1191"/>
      <c r="L6803" s="1191"/>
      <c r="M6803" s="1191"/>
      <c r="N6803" s="1191"/>
      <c r="O6803" s="1191"/>
      <c r="P6803" s="1191"/>
      <c r="Q6803" s="1191"/>
      <c r="R6803" s="1191"/>
      <c r="S6803" s="1191"/>
      <c r="T6803" s="1191"/>
      <c r="U6803" s="1191"/>
      <c r="V6803" s="1191"/>
      <c r="W6803" s="1191"/>
      <c r="X6803" s="1191"/>
      <c r="Y6803" s="1191"/>
      <c r="Z6803" s="1191"/>
      <c r="AA6803" s="1191"/>
      <c r="AB6803" s="1191"/>
      <c r="AC6803" s="1191"/>
      <c r="AD6803" s="1191"/>
      <c r="AE6803" s="1191"/>
      <c r="AF6803" s="1191"/>
      <c r="AG6803" s="1191"/>
      <c r="AH6803" s="1191"/>
      <c r="AI6803" s="1191"/>
      <c r="AJ6803" s="1191"/>
      <c r="AK6803" s="1191"/>
      <c r="AL6803" s="1191"/>
      <c r="AM6803" s="1191"/>
      <c r="AN6803" s="1191"/>
      <c r="AO6803" s="1191"/>
      <c r="AP6803" s="1191"/>
      <c r="AQ6803" s="1191"/>
      <c r="AR6803" s="1191"/>
      <c r="AS6803" s="1191"/>
      <c r="AT6803" s="1191"/>
      <c r="AU6803" s="1191"/>
      <c r="AV6803" s="1191"/>
      <c r="AW6803" s="1191"/>
      <c r="AX6803" s="1191"/>
      <c r="AY6803" s="1191"/>
      <c r="AZ6803" s="1191"/>
      <c r="BA6803" s="1191"/>
      <c r="BB6803" s="1191"/>
      <c r="BC6803" s="1191"/>
      <c r="BD6803" s="1191"/>
      <c r="BE6803" s="1191"/>
      <c r="BF6803" s="1191"/>
      <c r="BG6803" s="1191"/>
      <c r="BH6803" s="1191"/>
      <c r="BI6803" s="1191"/>
      <c r="BJ6803" s="1191"/>
      <c r="BK6803" s="1191"/>
      <c r="BL6803" s="1191"/>
      <c r="BM6803" s="1191"/>
      <c r="BN6803" s="1191"/>
      <c r="BO6803" s="1191"/>
      <c r="BP6803" s="1191"/>
      <c r="BQ6803" s="1191"/>
      <c r="BR6803" s="1191"/>
      <c r="BS6803" s="1191"/>
      <c r="BT6803" s="1191"/>
      <c r="BU6803" s="1191"/>
      <c r="BV6803" s="1191"/>
      <c r="BW6803" s="1191"/>
      <c r="BX6803" s="1191"/>
      <c r="BY6803" s="1191"/>
      <c r="BZ6803" s="1191"/>
      <c r="CA6803" s="1191"/>
      <c r="CB6803" s="1191"/>
      <c r="CC6803" s="1191"/>
      <c r="CD6803" s="1191"/>
      <c r="CE6803" s="1191"/>
      <c r="CF6803" s="1191"/>
      <c r="CG6803" s="1191"/>
      <c r="CH6803" s="1191"/>
      <c r="CI6803" s="1191"/>
      <c r="CJ6803" s="1191"/>
      <c r="CK6803" s="1191"/>
      <c r="CL6803" s="1191"/>
      <c r="CM6803" s="1191"/>
      <c r="CN6803" s="1191"/>
      <c r="CO6803" s="1191"/>
      <c r="CP6803" s="1191"/>
      <c r="CQ6803" s="1191"/>
      <c r="CR6803" s="1191"/>
      <c r="CS6803" s="1191"/>
      <c r="CT6803" s="1191"/>
      <c r="CU6803" s="1191"/>
      <c r="CV6803" s="1191"/>
      <c r="CW6803" s="1191"/>
      <c r="CX6803" s="1191"/>
      <c r="CY6803" s="1191"/>
      <c r="CZ6803" s="1191"/>
      <c r="DA6803" s="1191"/>
      <c r="DB6803" s="1191"/>
      <c r="DC6803" s="1191"/>
      <c r="DD6803" s="1191"/>
      <c r="DE6803" s="1191"/>
      <c r="DF6803" s="1191"/>
      <c r="DG6803" s="1191"/>
      <c r="DH6803" s="1191"/>
      <c r="DI6803" s="1191"/>
      <c r="DJ6803" s="1191"/>
      <c r="DK6803" s="1191"/>
      <c r="DL6803" s="1191"/>
      <c r="DM6803" s="1191"/>
      <c r="DN6803" s="1191"/>
    </row>
    <row r="6804" spans="1:118" s="1019" customFormat="1" ht="15" customHeight="1">
      <c r="A6804" s="1172">
        <v>3717</v>
      </c>
      <c r="B6804" s="1187">
        <v>9</v>
      </c>
      <c r="C6804" s="1171">
        <v>30</v>
      </c>
      <c r="D6804" s="1172" t="s">
        <v>1812</v>
      </c>
      <c r="E6804" s="1355">
        <v>0.28000000000000003</v>
      </c>
      <c r="F6804" s="1174"/>
      <c r="G6804" s="1357"/>
      <c r="H6804" s="1191"/>
      <c r="I6804" s="1191"/>
      <c r="J6804" s="1191"/>
      <c r="K6804" s="1191"/>
      <c r="L6804" s="1191"/>
      <c r="M6804" s="1191"/>
      <c r="N6804" s="1191"/>
      <c r="O6804" s="1191"/>
      <c r="P6804" s="1191"/>
      <c r="Q6804" s="1191"/>
      <c r="R6804" s="1191"/>
      <c r="S6804" s="1191"/>
      <c r="T6804" s="1191"/>
      <c r="U6804" s="1191"/>
      <c r="V6804" s="1191"/>
      <c r="W6804" s="1191"/>
      <c r="X6804" s="1191"/>
      <c r="Y6804" s="1191"/>
      <c r="Z6804" s="1191"/>
      <c r="AA6804" s="1191"/>
      <c r="AB6804" s="1191"/>
      <c r="AC6804" s="1191"/>
      <c r="AD6804" s="1191"/>
      <c r="AE6804" s="1191"/>
      <c r="AF6804" s="1191"/>
      <c r="AG6804" s="1191"/>
      <c r="AH6804" s="1191"/>
      <c r="AI6804" s="1191"/>
      <c r="AJ6804" s="1191"/>
      <c r="AK6804" s="1191"/>
      <c r="AL6804" s="1191"/>
      <c r="AM6804" s="1191"/>
      <c r="AN6804" s="1191"/>
      <c r="AO6804" s="1191"/>
      <c r="AP6804" s="1191"/>
      <c r="AQ6804" s="1191"/>
      <c r="AR6804" s="1191"/>
      <c r="AS6804" s="1191"/>
      <c r="AT6804" s="1191"/>
      <c r="AU6804" s="1191"/>
      <c r="AV6804" s="1191"/>
      <c r="AW6804" s="1191"/>
      <c r="AX6804" s="1191"/>
      <c r="AY6804" s="1191"/>
      <c r="AZ6804" s="1191"/>
      <c r="BA6804" s="1191"/>
      <c r="BB6804" s="1191"/>
      <c r="BC6804" s="1191"/>
      <c r="BD6804" s="1191"/>
      <c r="BE6804" s="1191"/>
      <c r="BF6804" s="1191"/>
      <c r="BG6804" s="1191"/>
      <c r="BH6804" s="1191"/>
      <c r="BI6804" s="1191"/>
      <c r="BJ6804" s="1191"/>
      <c r="BK6804" s="1191"/>
      <c r="BL6804" s="1191"/>
      <c r="BM6804" s="1191"/>
      <c r="BN6804" s="1191"/>
      <c r="BO6804" s="1191"/>
      <c r="BP6804" s="1191"/>
      <c r="BQ6804" s="1191"/>
      <c r="BR6804" s="1191"/>
      <c r="BS6804" s="1191"/>
      <c r="BT6804" s="1191"/>
      <c r="BU6804" s="1191"/>
      <c r="BV6804" s="1191"/>
      <c r="BW6804" s="1191"/>
      <c r="BX6804" s="1191"/>
      <c r="BY6804" s="1191"/>
      <c r="BZ6804" s="1191"/>
      <c r="CA6804" s="1191"/>
      <c r="CB6804" s="1191"/>
      <c r="CC6804" s="1191"/>
      <c r="CD6804" s="1191"/>
      <c r="CE6804" s="1191"/>
      <c r="CF6804" s="1191"/>
      <c r="CG6804" s="1191"/>
      <c r="CH6804" s="1191"/>
      <c r="CI6804" s="1191"/>
      <c r="CJ6804" s="1191"/>
      <c r="CK6804" s="1191"/>
      <c r="CL6804" s="1191"/>
      <c r="CM6804" s="1191"/>
      <c r="CN6804" s="1191"/>
      <c r="CO6804" s="1191"/>
      <c r="CP6804" s="1191"/>
      <c r="CQ6804" s="1191"/>
      <c r="CR6804" s="1191"/>
      <c r="CS6804" s="1191"/>
      <c r="CT6804" s="1191"/>
      <c r="CU6804" s="1191"/>
      <c r="CV6804" s="1191"/>
      <c r="CW6804" s="1191"/>
      <c r="CX6804" s="1191"/>
      <c r="CY6804" s="1191"/>
      <c r="CZ6804" s="1191"/>
      <c r="DA6804" s="1191"/>
      <c r="DB6804" s="1191"/>
      <c r="DC6804" s="1191"/>
      <c r="DD6804" s="1191"/>
      <c r="DE6804" s="1191"/>
      <c r="DF6804" s="1191"/>
      <c r="DG6804" s="1191"/>
      <c r="DH6804" s="1191"/>
      <c r="DI6804" s="1191"/>
      <c r="DJ6804" s="1191"/>
      <c r="DK6804" s="1191"/>
      <c r="DL6804" s="1191"/>
      <c r="DM6804" s="1191"/>
      <c r="DN6804" s="1191"/>
    </row>
    <row r="6805" spans="1:118" s="1019" customFormat="1" ht="15" customHeight="1">
      <c r="A6805" s="1172">
        <v>3717</v>
      </c>
      <c r="B6805" s="1187">
        <v>12</v>
      </c>
      <c r="C6805" s="1171">
        <v>30</v>
      </c>
      <c r="D6805" s="1172" t="s">
        <v>1812</v>
      </c>
      <c r="E6805" s="1355">
        <v>0.34</v>
      </c>
      <c r="F6805" s="1174"/>
      <c r="G6805" s="1357"/>
      <c r="H6805" s="1191"/>
      <c r="I6805" s="1191"/>
      <c r="J6805" s="1191"/>
      <c r="K6805" s="1191"/>
      <c r="L6805" s="1191"/>
      <c r="M6805" s="1191"/>
      <c r="N6805" s="1191"/>
      <c r="O6805" s="1191"/>
      <c r="P6805" s="1191"/>
      <c r="Q6805" s="1191"/>
      <c r="R6805" s="1191"/>
      <c r="S6805" s="1191"/>
      <c r="T6805" s="1191"/>
      <c r="U6805" s="1191"/>
      <c r="V6805" s="1191"/>
      <c r="W6805" s="1191"/>
      <c r="X6805" s="1191"/>
      <c r="Y6805" s="1191"/>
      <c r="Z6805" s="1191"/>
      <c r="AA6805" s="1191"/>
      <c r="AB6805" s="1191"/>
      <c r="AC6805" s="1191"/>
      <c r="AD6805" s="1191"/>
      <c r="AE6805" s="1191"/>
      <c r="AF6805" s="1191"/>
      <c r="AG6805" s="1191"/>
      <c r="AH6805" s="1191"/>
      <c r="AI6805" s="1191"/>
      <c r="AJ6805" s="1191"/>
      <c r="AK6805" s="1191"/>
      <c r="AL6805" s="1191"/>
      <c r="AM6805" s="1191"/>
      <c r="AN6805" s="1191"/>
      <c r="AO6805" s="1191"/>
      <c r="AP6805" s="1191"/>
      <c r="AQ6805" s="1191"/>
      <c r="AR6805" s="1191"/>
      <c r="AS6805" s="1191"/>
      <c r="AT6805" s="1191"/>
      <c r="AU6805" s="1191"/>
      <c r="AV6805" s="1191"/>
      <c r="AW6805" s="1191"/>
      <c r="AX6805" s="1191"/>
      <c r="AY6805" s="1191"/>
      <c r="AZ6805" s="1191"/>
      <c r="BA6805" s="1191"/>
      <c r="BB6805" s="1191"/>
      <c r="BC6805" s="1191"/>
      <c r="BD6805" s="1191"/>
      <c r="BE6805" s="1191"/>
      <c r="BF6805" s="1191"/>
      <c r="BG6805" s="1191"/>
      <c r="BH6805" s="1191"/>
      <c r="BI6805" s="1191"/>
      <c r="BJ6805" s="1191"/>
      <c r="BK6805" s="1191"/>
      <c r="BL6805" s="1191"/>
      <c r="BM6805" s="1191"/>
      <c r="BN6805" s="1191"/>
      <c r="BO6805" s="1191"/>
      <c r="BP6805" s="1191"/>
      <c r="BQ6805" s="1191"/>
      <c r="BR6805" s="1191"/>
      <c r="BS6805" s="1191"/>
      <c r="BT6805" s="1191"/>
      <c r="BU6805" s="1191"/>
      <c r="BV6805" s="1191"/>
      <c r="BW6805" s="1191"/>
      <c r="BX6805" s="1191"/>
      <c r="BY6805" s="1191"/>
      <c r="BZ6805" s="1191"/>
      <c r="CA6805" s="1191"/>
      <c r="CB6805" s="1191"/>
      <c r="CC6805" s="1191"/>
      <c r="CD6805" s="1191"/>
      <c r="CE6805" s="1191"/>
      <c r="CF6805" s="1191"/>
      <c r="CG6805" s="1191"/>
      <c r="CH6805" s="1191"/>
      <c r="CI6805" s="1191"/>
      <c r="CJ6805" s="1191"/>
      <c r="CK6805" s="1191"/>
      <c r="CL6805" s="1191"/>
      <c r="CM6805" s="1191"/>
      <c r="CN6805" s="1191"/>
      <c r="CO6805" s="1191"/>
      <c r="CP6805" s="1191"/>
      <c r="CQ6805" s="1191"/>
      <c r="CR6805" s="1191"/>
      <c r="CS6805" s="1191"/>
      <c r="CT6805" s="1191"/>
      <c r="CU6805" s="1191"/>
      <c r="CV6805" s="1191"/>
      <c r="CW6805" s="1191"/>
      <c r="CX6805" s="1191"/>
      <c r="CY6805" s="1191"/>
      <c r="CZ6805" s="1191"/>
      <c r="DA6805" s="1191"/>
      <c r="DB6805" s="1191"/>
      <c r="DC6805" s="1191"/>
      <c r="DD6805" s="1191"/>
      <c r="DE6805" s="1191"/>
      <c r="DF6805" s="1191"/>
      <c r="DG6805" s="1191"/>
      <c r="DH6805" s="1191"/>
      <c r="DI6805" s="1191"/>
      <c r="DJ6805" s="1191"/>
      <c r="DK6805" s="1191"/>
      <c r="DL6805" s="1191"/>
      <c r="DM6805" s="1191"/>
      <c r="DN6805" s="1191"/>
    </row>
    <row r="6806" spans="1:118" s="1019" customFormat="1" ht="15" customHeight="1">
      <c r="A6806" s="1172">
        <v>3717</v>
      </c>
      <c r="B6806" s="1187">
        <v>15</v>
      </c>
      <c r="C6806" s="1171">
        <v>30</v>
      </c>
      <c r="D6806" s="1172" t="s">
        <v>1812</v>
      </c>
      <c r="E6806" s="1355">
        <v>0.41000000000000003</v>
      </c>
      <c r="F6806" s="1174"/>
      <c r="G6806" s="1359"/>
      <c r="H6806" s="1191"/>
      <c r="I6806" s="1191"/>
      <c r="J6806" s="1191"/>
      <c r="K6806" s="1191"/>
      <c r="L6806" s="1191"/>
      <c r="M6806" s="1191"/>
      <c r="N6806" s="1191"/>
      <c r="O6806" s="1191"/>
      <c r="P6806" s="1191"/>
      <c r="Q6806" s="1191"/>
      <c r="R6806" s="1191"/>
      <c r="S6806" s="1191"/>
      <c r="T6806" s="1191"/>
      <c r="U6806" s="1191"/>
      <c r="V6806" s="1191"/>
      <c r="W6806" s="1191"/>
      <c r="X6806" s="1191"/>
      <c r="Y6806" s="1191"/>
      <c r="Z6806" s="1191"/>
      <c r="AA6806" s="1191"/>
      <c r="AB6806" s="1191"/>
      <c r="AC6806" s="1191"/>
      <c r="AD6806" s="1191"/>
      <c r="AE6806" s="1191"/>
      <c r="AF6806" s="1191"/>
      <c r="AG6806" s="1191"/>
      <c r="AH6806" s="1191"/>
      <c r="AI6806" s="1191"/>
      <c r="AJ6806" s="1191"/>
      <c r="AK6806" s="1191"/>
      <c r="AL6806" s="1191"/>
      <c r="AM6806" s="1191"/>
      <c r="AN6806" s="1191"/>
      <c r="AO6806" s="1191"/>
      <c r="AP6806" s="1191"/>
      <c r="AQ6806" s="1191"/>
      <c r="AR6806" s="1191"/>
      <c r="AS6806" s="1191"/>
      <c r="AT6806" s="1191"/>
      <c r="AU6806" s="1191"/>
      <c r="AV6806" s="1191"/>
      <c r="AW6806" s="1191"/>
      <c r="AX6806" s="1191"/>
      <c r="AY6806" s="1191"/>
      <c r="AZ6806" s="1191"/>
      <c r="BA6806" s="1191"/>
      <c r="BB6806" s="1191"/>
      <c r="BC6806" s="1191"/>
      <c r="BD6806" s="1191"/>
      <c r="BE6806" s="1191"/>
      <c r="BF6806" s="1191"/>
      <c r="BG6806" s="1191"/>
      <c r="BH6806" s="1191"/>
      <c r="BI6806" s="1191"/>
      <c r="BJ6806" s="1191"/>
      <c r="BK6806" s="1191"/>
      <c r="BL6806" s="1191"/>
      <c r="BM6806" s="1191"/>
      <c r="BN6806" s="1191"/>
      <c r="BO6806" s="1191"/>
      <c r="BP6806" s="1191"/>
      <c r="BQ6806" s="1191"/>
      <c r="BR6806" s="1191"/>
      <c r="BS6806" s="1191"/>
      <c r="BT6806" s="1191"/>
      <c r="BU6806" s="1191"/>
      <c r="BV6806" s="1191"/>
      <c r="BW6806" s="1191"/>
      <c r="BX6806" s="1191"/>
      <c r="BY6806" s="1191"/>
      <c r="BZ6806" s="1191"/>
      <c r="CA6806" s="1191"/>
      <c r="CB6806" s="1191"/>
      <c r="CC6806" s="1191"/>
      <c r="CD6806" s="1191"/>
      <c r="CE6806" s="1191"/>
      <c r="CF6806" s="1191"/>
      <c r="CG6806" s="1191"/>
      <c r="CH6806" s="1191"/>
      <c r="CI6806" s="1191"/>
      <c r="CJ6806" s="1191"/>
      <c r="CK6806" s="1191"/>
      <c r="CL6806" s="1191"/>
      <c r="CM6806" s="1191"/>
      <c r="CN6806" s="1191"/>
      <c r="CO6806" s="1191"/>
      <c r="CP6806" s="1191"/>
      <c r="CQ6806" s="1191"/>
      <c r="CR6806" s="1191"/>
      <c r="CS6806" s="1191"/>
      <c r="CT6806" s="1191"/>
      <c r="CU6806" s="1191"/>
      <c r="CV6806" s="1191"/>
      <c r="CW6806" s="1191"/>
      <c r="CX6806" s="1191"/>
      <c r="CY6806" s="1191"/>
      <c r="CZ6806" s="1191"/>
      <c r="DA6806" s="1191"/>
      <c r="DB6806" s="1191"/>
      <c r="DC6806" s="1191"/>
      <c r="DD6806" s="1191"/>
      <c r="DE6806" s="1191"/>
      <c r="DF6806" s="1191"/>
      <c r="DG6806" s="1191"/>
      <c r="DH6806" s="1191"/>
      <c r="DI6806" s="1191"/>
      <c r="DJ6806" s="1191"/>
      <c r="DK6806" s="1191"/>
      <c r="DL6806" s="1191"/>
      <c r="DM6806" s="1191"/>
      <c r="DN6806" s="1191"/>
    </row>
    <row r="6807" spans="1:118" s="1019" customFormat="1" ht="15" customHeight="1">
      <c r="A6807" s="1172">
        <v>3717</v>
      </c>
      <c r="B6807" s="1187">
        <v>19</v>
      </c>
      <c r="C6807" s="1171">
        <v>30</v>
      </c>
      <c r="D6807" s="1172" t="s">
        <v>1812</v>
      </c>
      <c r="E6807" s="1355">
        <v>0.48</v>
      </c>
      <c r="F6807" s="1174"/>
      <c r="G6807" s="1357"/>
      <c r="H6807" s="1191"/>
      <c r="I6807" s="1191"/>
      <c r="J6807" s="1191"/>
      <c r="K6807" s="1191"/>
      <c r="L6807" s="1191"/>
      <c r="M6807" s="1191"/>
      <c r="N6807" s="1191"/>
      <c r="O6807" s="1191"/>
      <c r="P6807" s="1191"/>
      <c r="Q6807" s="1191"/>
      <c r="R6807" s="1191"/>
      <c r="S6807" s="1191"/>
      <c r="T6807" s="1191"/>
      <c r="U6807" s="1191"/>
      <c r="V6807" s="1191"/>
      <c r="W6807" s="1191"/>
      <c r="X6807" s="1191"/>
      <c r="Y6807" s="1191"/>
      <c r="Z6807" s="1191"/>
      <c r="AA6807" s="1191"/>
      <c r="AB6807" s="1191"/>
      <c r="AC6807" s="1191"/>
      <c r="AD6807" s="1191"/>
      <c r="AE6807" s="1191"/>
      <c r="AF6807" s="1191"/>
      <c r="AG6807" s="1191"/>
      <c r="AH6807" s="1191"/>
      <c r="AI6807" s="1191"/>
      <c r="AJ6807" s="1191"/>
      <c r="AK6807" s="1191"/>
      <c r="AL6807" s="1191"/>
      <c r="AM6807" s="1191"/>
      <c r="AN6807" s="1191"/>
      <c r="AO6807" s="1191"/>
      <c r="AP6807" s="1191"/>
      <c r="AQ6807" s="1191"/>
      <c r="AR6807" s="1191"/>
      <c r="AS6807" s="1191"/>
      <c r="AT6807" s="1191"/>
      <c r="AU6807" s="1191"/>
      <c r="AV6807" s="1191"/>
      <c r="AW6807" s="1191"/>
      <c r="AX6807" s="1191"/>
      <c r="AY6807" s="1191"/>
      <c r="AZ6807" s="1191"/>
      <c r="BA6807" s="1191"/>
      <c r="BB6807" s="1191"/>
      <c r="BC6807" s="1191"/>
      <c r="BD6807" s="1191"/>
      <c r="BE6807" s="1191"/>
      <c r="BF6807" s="1191"/>
      <c r="BG6807" s="1191"/>
      <c r="BH6807" s="1191"/>
      <c r="BI6807" s="1191"/>
      <c r="BJ6807" s="1191"/>
      <c r="BK6807" s="1191"/>
      <c r="BL6807" s="1191"/>
      <c r="BM6807" s="1191"/>
      <c r="BN6807" s="1191"/>
      <c r="BO6807" s="1191"/>
      <c r="BP6807" s="1191"/>
      <c r="BQ6807" s="1191"/>
      <c r="BR6807" s="1191"/>
      <c r="BS6807" s="1191"/>
      <c r="BT6807" s="1191"/>
      <c r="BU6807" s="1191"/>
      <c r="BV6807" s="1191"/>
      <c r="BW6807" s="1191"/>
      <c r="BX6807" s="1191"/>
      <c r="BY6807" s="1191"/>
      <c r="BZ6807" s="1191"/>
      <c r="CA6807" s="1191"/>
      <c r="CB6807" s="1191"/>
      <c r="CC6807" s="1191"/>
      <c r="CD6807" s="1191"/>
      <c r="CE6807" s="1191"/>
      <c r="CF6807" s="1191"/>
      <c r="CG6807" s="1191"/>
      <c r="CH6807" s="1191"/>
      <c r="CI6807" s="1191"/>
      <c r="CJ6807" s="1191"/>
      <c r="CK6807" s="1191"/>
      <c r="CL6807" s="1191"/>
      <c r="CM6807" s="1191"/>
      <c r="CN6807" s="1191"/>
      <c r="CO6807" s="1191"/>
      <c r="CP6807" s="1191"/>
      <c r="CQ6807" s="1191"/>
      <c r="CR6807" s="1191"/>
      <c r="CS6807" s="1191"/>
      <c r="CT6807" s="1191"/>
      <c r="CU6807" s="1191"/>
      <c r="CV6807" s="1191"/>
      <c r="CW6807" s="1191"/>
      <c r="CX6807" s="1191"/>
      <c r="CY6807" s="1191"/>
      <c r="CZ6807" s="1191"/>
      <c r="DA6807" s="1191"/>
      <c r="DB6807" s="1191"/>
      <c r="DC6807" s="1191"/>
      <c r="DD6807" s="1191"/>
      <c r="DE6807" s="1191"/>
      <c r="DF6807" s="1191"/>
      <c r="DG6807" s="1191"/>
      <c r="DH6807" s="1191"/>
      <c r="DI6807" s="1191"/>
      <c r="DJ6807" s="1191"/>
      <c r="DK6807" s="1191"/>
      <c r="DL6807" s="1191"/>
      <c r="DM6807" s="1191"/>
      <c r="DN6807" s="1191"/>
    </row>
    <row r="6808" spans="1:118" s="1019" customFormat="1" ht="15" customHeight="1">
      <c r="A6808" s="1172">
        <v>3717</v>
      </c>
      <c r="B6808" s="1187">
        <v>25</v>
      </c>
      <c r="C6808" s="1171">
        <v>30</v>
      </c>
      <c r="D6808" s="1172" t="s">
        <v>1812</v>
      </c>
      <c r="E6808" s="1355">
        <v>0.62</v>
      </c>
      <c r="F6808" s="1174"/>
      <c r="G6808" s="1359"/>
      <c r="H6808" s="1191"/>
      <c r="I6808" s="1191"/>
      <c r="J6808" s="1191"/>
      <c r="K6808" s="1191"/>
      <c r="L6808" s="1191"/>
      <c r="M6808" s="1191"/>
      <c r="N6808" s="1191"/>
      <c r="O6808" s="1191"/>
      <c r="P6808" s="1191"/>
      <c r="Q6808" s="1191"/>
      <c r="R6808" s="1191"/>
      <c r="S6808" s="1191"/>
      <c r="T6808" s="1191"/>
      <c r="U6808" s="1191"/>
      <c r="V6808" s="1191"/>
      <c r="W6808" s="1191"/>
      <c r="X6808" s="1191"/>
      <c r="Y6808" s="1191"/>
      <c r="Z6808" s="1191"/>
      <c r="AA6808" s="1191"/>
      <c r="AB6808" s="1191"/>
      <c r="AC6808" s="1191"/>
      <c r="AD6808" s="1191"/>
      <c r="AE6808" s="1191"/>
      <c r="AF6808" s="1191"/>
      <c r="AG6808" s="1191"/>
      <c r="AH6808" s="1191"/>
      <c r="AI6808" s="1191"/>
      <c r="AJ6808" s="1191"/>
      <c r="AK6808" s="1191"/>
      <c r="AL6808" s="1191"/>
      <c r="AM6808" s="1191"/>
      <c r="AN6808" s="1191"/>
      <c r="AO6808" s="1191"/>
      <c r="AP6808" s="1191"/>
      <c r="AQ6808" s="1191"/>
      <c r="AR6808" s="1191"/>
      <c r="AS6808" s="1191"/>
      <c r="AT6808" s="1191"/>
      <c r="AU6808" s="1191"/>
      <c r="AV6808" s="1191"/>
      <c r="AW6808" s="1191"/>
      <c r="AX6808" s="1191"/>
      <c r="AY6808" s="1191"/>
      <c r="AZ6808" s="1191"/>
      <c r="BA6808" s="1191"/>
      <c r="BB6808" s="1191"/>
      <c r="BC6808" s="1191"/>
      <c r="BD6808" s="1191"/>
      <c r="BE6808" s="1191"/>
      <c r="BF6808" s="1191"/>
      <c r="BG6808" s="1191"/>
      <c r="BH6808" s="1191"/>
      <c r="BI6808" s="1191"/>
      <c r="BJ6808" s="1191"/>
      <c r="BK6808" s="1191"/>
      <c r="BL6808" s="1191"/>
      <c r="BM6808" s="1191"/>
      <c r="BN6808" s="1191"/>
      <c r="BO6808" s="1191"/>
      <c r="BP6808" s="1191"/>
      <c r="BQ6808" s="1191"/>
      <c r="BR6808" s="1191"/>
      <c r="BS6808" s="1191"/>
      <c r="BT6808" s="1191"/>
      <c r="BU6808" s="1191"/>
      <c r="BV6808" s="1191"/>
      <c r="BW6808" s="1191"/>
      <c r="BX6808" s="1191"/>
      <c r="BY6808" s="1191"/>
      <c r="BZ6808" s="1191"/>
      <c r="CA6808" s="1191"/>
      <c r="CB6808" s="1191"/>
      <c r="CC6808" s="1191"/>
      <c r="CD6808" s="1191"/>
      <c r="CE6808" s="1191"/>
      <c r="CF6808" s="1191"/>
      <c r="CG6808" s="1191"/>
      <c r="CH6808" s="1191"/>
      <c r="CI6808" s="1191"/>
      <c r="CJ6808" s="1191"/>
      <c r="CK6808" s="1191"/>
      <c r="CL6808" s="1191"/>
      <c r="CM6808" s="1191"/>
      <c r="CN6808" s="1191"/>
      <c r="CO6808" s="1191"/>
      <c r="CP6808" s="1191"/>
      <c r="CQ6808" s="1191"/>
      <c r="CR6808" s="1191"/>
      <c r="CS6808" s="1191"/>
      <c r="CT6808" s="1191"/>
      <c r="CU6808" s="1191"/>
      <c r="CV6808" s="1191"/>
      <c r="CW6808" s="1191"/>
      <c r="CX6808" s="1191"/>
      <c r="CY6808" s="1191"/>
      <c r="CZ6808" s="1191"/>
      <c r="DA6808" s="1191"/>
      <c r="DB6808" s="1191"/>
      <c r="DC6808" s="1191"/>
      <c r="DD6808" s="1191"/>
      <c r="DE6808" s="1191"/>
      <c r="DF6808" s="1191"/>
      <c r="DG6808" s="1191"/>
      <c r="DH6808" s="1191"/>
      <c r="DI6808" s="1191"/>
      <c r="DJ6808" s="1191"/>
      <c r="DK6808" s="1191"/>
      <c r="DL6808" s="1191"/>
      <c r="DM6808" s="1191"/>
      <c r="DN6808" s="1191"/>
    </row>
    <row r="6809" spans="1:118" s="1019" customFormat="1" ht="15" customHeight="1">
      <c r="A6809" s="1172">
        <v>3717</v>
      </c>
      <c r="B6809" s="1187">
        <v>32</v>
      </c>
      <c r="C6809" s="1171">
        <v>30</v>
      </c>
      <c r="D6809" s="1172" t="s">
        <v>1812</v>
      </c>
      <c r="E6809" s="1355">
        <v>0.82000000000000006</v>
      </c>
      <c r="F6809" s="1174"/>
      <c r="G6809" s="1359"/>
      <c r="H6809" s="1191"/>
      <c r="I6809" s="1191"/>
      <c r="J6809" s="1191"/>
      <c r="K6809" s="1191"/>
      <c r="L6809" s="1191"/>
      <c r="M6809" s="1191"/>
      <c r="N6809" s="1191"/>
      <c r="O6809" s="1191"/>
      <c r="P6809" s="1191"/>
      <c r="Q6809" s="1191"/>
      <c r="R6809" s="1191"/>
      <c r="S6809" s="1191"/>
      <c r="T6809" s="1191"/>
      <c r="U6809" s="1191"/>
      <c r="V6809" s="1191"/>
      <c r="W6809" s="1191"/>
      <c r="X6809" s="1191"/>
      <c r="Y6809" s="1191"/>
      <c r="Z6809" s="1191"/>
      <c r="AA6809" s="1191"/>
      <c r="AB6809" s="1191"/>
      <c r="AC6809" s="1191"/>
      <c r="AD6809" s="1191"/>
      <c r="AE6809" s="1191"/>
      <c r="AF6809" s="1191"/>
      <c r="AG6809" s="1191"/>
      <c r="AH6809" s="1191"/>
      <c r="AI6809" s="1191"/>
      <c r="AJ6809" s="1191"/>
      <c r="AK6809" s="1191"/>
      <c r="AL6809" s="1191"/>
      <c r="AM6809" s="1191"/>
      <c r="AN6809" s="1191"/>
      <c r="AO6809" s="1191"/>
      <c r="AP6809" s="1191"/>
      <c r="AQ6809" s="1191"/>
      <c r="AR6809" s="1191"/>
      <c r="AS6809" s="1191"/>
      <c r="AT6809" s="1191"/>
      <c r="AU6809" s="1191"/>
      <c r="AV6809" s="1191"/>
      <c r="AW6809" s="1191"/>
      <c r="AX6809" s="1191"/>
      <c r="AY6809" s="1191"/>
      <c r="AZ6809" s="1191"/>
      <c r="BA6809" s="1191"/>
      <c r="BB6809" s="1191"/>
      <c r="BC6809" s="1191"/>
      <c r="BD6809" s="1191"/>
      <c r="BE6809" s="1191"/>
      <c r="BF6809" s="1191"/>
      <c r="BG6809" s="1191"/>
      <c r="BH6809" s="1191"/>
      <c r="BI6809" s="1191"/>
      <c r="BJ6809" s="1191"/>
      <c r="BK6809" s="1191"/>
      <c r="BL6809" s="1191"/>
      <c r="BM6809" s="1191"/>
      <c r="BN6809" s="1191"/>
      <c r="BO6809" s="1191"/>
      <c r="BP6809" s="1191"/>
      <c r="BQ6809" s="1191"/>
      <c r="BR6809" s="1191"/>
      <c r="BS6809" s="1191"/>
      <c r="BT6809" s="1191"/>
      <c r="BU6809" s="1191"/>
      <c r="BV6809" s="1191"/>
      <c r="BW6809" s="1191"/>
      <c r="BX6809" s="1191"/>
      <c r="BY6809" s="1191"/>
      <c r="BZ6809" s="1191"/>
      <c r="CA6809" s="1191"/>
      <c r="CB6809" s="1191"/>
      <c r="CC6809" s="1191"/>
      <c r="CD6809" s="1191"/>
      <c r="CE6809" s="1191"/>
      <c r="CF6809" s="1191"/>
      <c r="CG6809" s="1191"/>
      <c r="CH6809" s="1191"/>
      <c r="CI6809" s="1191"/>
      <c r="CJ6809" s="1191"/>
      <c r="CK6809" s="1191"/>
      <c r="CL6809" s="1191"/>
      <c r="CM6809" s="1191"/>
      <c r="CN6809" s="1191"/>
      <c r="CO6809" s="1191"/>
      <c r="CP6809" s="1191"/>
      <c r="CQ6809" s="1191"/>
      <c r="CR6809" s="1191"/>
      <c r="CS6809" s="1191"/>
      <c r="CT6809" s="1191"/>
      <c r="CU6809" s="1191"/>
      <c r="CV6809" s="1191"/>
      <c r="CW6809" s="1191"/>
      <c r="CX6809" s="1191"/>
      <c r="CY6809" s="1191"/>
      <c r="CZ6809" s="1191"/>
      <c r="DA6809" s="1191"/>
      <c r="DB6809" s="1191"/>
      <c r="DC6809" s="1191"/>
      <c r="DD6809" s="1191"/>
      <c r="DE6809" s="1191"/>
      <c r="DF6809" s="1191"/>
      <c r="DG6809" s="1191"/>
      <c r="DH6809" s="1191"/>
      <c r="DI6809" s="1191"/>
      <c r="DJ6809" s="1191"/>
      <c r="DK6809" s="1191"/>
      <c r="DL6809" s="1191"/>
      <c r="DM6809" s="1191"/>
      <c r="DN6809" s="1191"/>
    </row>
    <row r="6810" spans="1:118" s="1019" customFormat="1" ht="15" customHeight="1" thickBot="1">
      <c r="A6810" s="1172"/>
      <c r="B6810" s="1187"/>
      <c r="C6810" s="1171"/>
      <c r="D6810" s="1172"/>
      <c r="E6810" s="1355"/>
      <c r="F6810" s="1174"/>
      <c r="G6810" s="1359"/>
      <c r="H6810" s="1191"/>
      <c r="I6810" s="1191"/>
      <c r="J6810" s="1191"/>
      <c r="K6810" s="1191"/>
      <c r="L6810" s="1191"/>
      <c r="M6810" s="1191"/>
      <c r="N6810" s="1191"/>
      <c r="O6810" s="1191"/>
      <c r="P6810" s="1191"/>
      <c r="Q6810" s="1191"/>
      <c r="R6810" s="1191"/>
      <c r="S6810" s="1191"/>
      <c r="T6810" s="1191"/>
      <c r="U6810" s="1191"/>
      <c r="V6810" s="1191"/>
      <c r="W6810" s="1191"/>
      <c r="X6810" s="1191"/>
      <c r="Y6810" s="1191"/>
      <c r="Z6810" s="1191"/>
      <c r="AA6810" s="1191"/>
      <c r="AB6810" s="1191"/>
      <c r="AC6810" s="1191"/>
      <c r="AD6810" s="1191"/>
      <c r="AE6810" s="1191"/>
      <c r="AF6810" s="1191"/>
      <c r="AG6810" s="1191"/>
      <c r="AH6810" s="1191"/>
      <c r="AI6810" s="1191"/>
      <c r="AJ6810" s="1191"/>
      <c r="AK6810" s="1191"/>
      <c r="AL6810" s="1191"/>
      <c r="AM6810" s="1191"/>
      <c r="AN6810" s="1191"/>
      <c r="AO6810" s="1191"/>
      <c r="AP6810" s="1191"/>
      <c r="AQ6810" s="1191"/>
      <c r="AR6810" s="1191"/>
      <c r="AS6810" s="1191"/>
      <c r="AT6810" s="1191"/>
      <c r="AU6810" s="1191"/>
      <c r="AV6810" s="1191"/>
      <c r="AW6810" s="1191"/>
      <c r="AX6810" s="1191"/>
      <c r="AY6810" s="1191"/>
      <c r="AZ6810" s="1191"/>
      <c r="BA6810" s="1191"/>
      <c r="BB6810" s="1191"/>
      <c r="BC6810" s="1191"/>
      <c r="BD6810" s="1191"/>
      <c r="BE6810" s="1191"/>
      <c r="BF6810" s="1191"/>
      <c r="BG6810" s="1191"/>
      <c r="BH6810" s="1191"/>
      <c r="BI6810" s="1191"/>
      <c r="BJ6810" s="1191"/>
      <c r="BK6810" s="1191"/>
      <c r="BL6810" s="1191"/>
      <c r="BM6810" s="1191"/>
      <c r="BN6810" s="1191"/>
      <c r="BO6810" s="1191"/>
      <c r="BP6810" s="1191"/>
      <c r="BQ6810" s="1191"/>
      <c r="BR6810" s="1191"/>
      <c r="BS6810" s="1191"/>
      <c r="BT6810" s="1191"/>
      <c r="BU6810" s="1191"/>
      <c r="BV6810" s="1191"/>
      <c r="BW6810" s="1191"/>
      <c r="BX6810" s="1191"/>
      <c r="BY6810" s="1191"/>
      <c r="BZ6810" s="1191"/>
      <c r="CA6810" s="1191"/>
      <c r="CB6810" s="1191"/>
      <c r="CC6810" s="1191"/>
      <c r="CD6810" s="1191"/>
      <c r="CE6810" s="1191"/>
      <c r="CF6810" s="1191"/>
      <c r="CG6810" s="1191"/>
      <c r="CH6810" s="1191"/>
      <c r="CI6810" s="1191"/>
      <c r="CJ6810" s="1191"/>
      <c r="CK6810" s="1191"/>
      <c r="CL6810" s="1191"/>
      <c r="CM6810" s="1191"/>
      <c r="CN6810" s="1191"/>
      <c r="CO6810" s="1191"/>
      <c r="CP6810" s="1191"/>
      <c r="CQ6810" s="1191"/>
      <c r="CR6810" s="1191"/>
      <c r="CS6810" s="1191"/>
      <c r="CT6810" s="1191"/>
      <c r="CU6810" s="1191"/>
      <c r="CV6810" s="1191"/>
      <c r="CW6810" s="1191"/>
      <c r="CX6810" s="1191"/>
      <c r="CY6810" s="1191"/>
      <c r="CZ6810" s="1191"/>
      <c r="DA6810" s="1191"/>
      <c r="DB6810" s="1191"/>
      <c r="DC6810" s="1191"/>
      <c r="DD6810" s="1191"/>
      <c r="DE6810" s="1191"/>
      <c r="DF6810" s="1191"/>
      <c r="DG6810" s="1191"/>
      <c r="DH6810" s="1191"/>
      <c r="DI6810" s="1191"/>
      <c r="DJ6810" s="1191"/>
      <c r="DK6810" s="1191"/>
      <c r="DL6810" s="1191"/>
      <c r="DM6810" s="1191"/>
      <c r="DN6810" s="1191"/>
    </row>
    <row r="6811" spans="1:118" s="1019" customFormat="1" ht="15" customHeight="1">
      <c r="A6811" s="1170" t="s">
        <v>2358</v>
      </c>
      <c r="B6811" s="1187">
        <v>5</v>
      </c>
      <c r="C6811" s="1171">
        <v>30</v>
      </c>
      <c r="D6811" s="1172" t="s">
        <v>1812</v>
      </c>
      <c r="E6811" s="1360">
        <v>0.6</v>
      </c>
      <c r="F6811" s="1174"/>
      <c r="G6811" s="1361"/>
      <c r="H6811" s="1363"/>
      <c r="I6811" s="1191"/>
      <c r="J6811" s="1191"/>
      <c r="K6811" s="1191"/>
      <c r="L6811" s="1191"/>
      <c r="M6811" s="1191"/>
      <c r="N6811" s="1191"/>
      <c r="O6811" s="1191"/>
      <c r="P6811" s="1191"/>
      <c r="Q6811" s="1191"/>
      <c r="R6811" s="1191"/>
      <c r="S6811" s="1191"/>
      <c r="T6811" s="1191"/>
      <c r="U6811" s="1191"/>
      <c r="V6811" s="1191"/>
      <c r="W6811" s="1191"/>
      <c r="X6811" s="1191"/>
      <c r="Y6811" s="1191"/>
      <c r="Z6811" s="1191"/>
      <c r="AA6811" s="1191"/>
      <c r="AB6811" s="1191"/>
      <c r="AC6811" s="1191"/>
      <c r="AD6811" s="1191"/>
      <c r="AE6811" s="1191"/>
      <c r="AF6811" s="1191"/>
      <c r="AG6811" s="1191"/>
      <c r="AH6811" s="1191"/>
      <c r="AI6811" s="1191"/>
      <c r="AJ6811" s="1191"/>
      <c r="AK6811" s="1191"/>
      <c r="AL6811" s="1191"/>
      <c r="AM6811" s="1191"/>
      <c r="AN6811" s="1191"/>
      <c r="AO6811" s="1191"/>
      <c r="AP6811" s="1191"/>
      <c r="AQ6811" s="1191"/>
      <c r="AR6811" s="1191"/>
      <c r="AS6811" s="1191"/>
      <c r="AT6811" s="1191"/>
      <c r="AU6811" s="1191"/>
      <c r="AV6811" s="1191"/>
      <c r="AW6811" s="1191"/>
      <c r="AX6811" s="1191"/>
      <c r="AY6811" s="1191"/>
      <c r="AZ6811" s="1191"/>
      <c r="BA6811" s="1191"/>
      <c r="BB6811" s="1191"/>
      <c r="BC6811" s="1191"/>
      <c r="BD6811" s="1191"/>
      <c r="BE6811" s="1191"/>
      <c r="BF6811" s="1191"/>
      <c r="BG6811" s="1191"/>
      <c r="BH6811" s="1191"/>
      <c r="BI6811" s="1191"/>
      <c r="BJ6811" s="1191"/>
      <c r="BK6811" s="1191"/>
      <c r="BL6811" s="1191"/>
      <c r="BM6811" s="1191"/>
      <c r="BN6811" s="1191"/>
      <c r="BO6811" s="1191"/>
      <c r="BP6811" s="1191"/>
      <c r="BQ6811" s="1191"/>
      <c r="BR6811" s="1191"/>
      <c r="BS6811" s="1191"/>
      <c r="BT6811" s="1191"/>
      <c r="BU6811" s="1191"/>
      <c r="BV6811" s="1191"/>
      <c r="BW6811" s="1191"/>
      <c r="BX6811" s="1191"/>
      <c r="BY6811" s="1191"/>
      <c r="BZ6811" s="1191"/>
      <c r="CA6811" s="1191"/>
      <c r="CB6811" s="1191"/>
      <c r="CC6811" s="1191"/>
      <c r="CD6811" s="1191"/>
      <c r="CE6811" s="1191"/>
      <c r="CF6811" s="1191"/>
      <c r="CG6811" s="1191"/>
      <c r="CH6811" s="1191"/>
      <c r="CI6811" s="1191"/>
      <c r="CJ6811" s="1191"/>
      <c r="CK6811" s="1191"/>
      <c r="CL6811" s="1191"/>
      <c r="CM6811" s="1191"/>
      <c r="CN6811" s="1191"/>
      <c r="CO6811" s="1191"/>
      <c r="CP6811" s="1191"/>
      <c r="CQ6811" s="1191"/>
      <c r="CR6811" s="1191"/>
      <c r="CS6811" s="1191"/>
      <c r="CT6811" s="1191"/>
      <c r="CU6811" s="1191"/>
      <c r="CV6811" s="1191"/>
      <c r="CW6811" s="1191"/>
      <c r="CX6811" s="1191"/>
      <c r="CY6811" s="1191"/>
      <c r="CZ6811" s="1191"/>
      <c r="DA6811" s="1191"/>
      <c r="DB6811" s="1191"/>
      <c r="DC6811" s="1191"/>
      <c r="DD6811" s="1191"/>
      <c r="DE6811" s="1191"/>
      <c r="DF6811" s="1191"/>
      <c r="DG6811" s="1191"/>
      <c r="DH6811" s="1191"/>
      <c r="DI6811" s="1191"/>
      <c r="DJ6811" s="1191"/>
      <c r="DK6811" s="1191"/>
      <c r="DL6811" s="1191"/>
      <c r="DM6811" s="1191"/>
      <c r="DN6811" s="1191"/>
    </row>
    <row r="6812" spans="1:118" s="1019" customFormat="1" ht="15" customHeight="1">
      <c r="A6812" s="1170" t="s">
        <v>2358</v>
      </c>
      <c r="B6812" s="1187">
        <v>7</v>
      </c>
      <c r="C6812" s="1171">
        <v>30</v>
      </c>
      <c r="D6812" s="1172" t="s">
        <v>1812</v>
      </c>
      <c r="E6812" s="1360">
        <v>0.62</v>
      </c>
      <c r="F6812" s="1174"/>
      <c r="G6812" s="1361"/>
      <c r="H6812" s="1364"/>
      <c r="I6812" s="1191"/>
      <c r="J6812" s="1191"/>
      <c r="K6812" s="1191"/>
      <c r="L6812" s="1191"/>
      <c r="M6812" s="1191"/>
      <c r="N6812" s="1191"/>
      <c r="O6812" s="1191"/>
      <c r="P6812" s="1191"/>
      <c r="Q6812" s="1191"/>
      <c r="R6812" s="1191"/>
      <c r="S6812" s="1191"/>
      <c r="T6812" s="1191"/>
      <c r="U6812" s="1191"/>
      <c r="V6812" s="1191"/>
      <c r="W6812" s="1191"/>
      <c r="X6812" s="1191"/>
      <c r="Y6812" s="1191"/>
      <c r="Z6812" s="1191"/>
      <c r="AA6812" s="1191"/>
      <c r="AB6812" s="1191"/>
      <c r="AC6812" s="1191"/>
      <c r="AD6812" s="1191"/>
      <c r="AE6812" s="1191"/>
      <c r="AF6812" s="1191"/>
      <c r="AG6812" s="1191"/>
      <c r="AH6812" s="1191"/>
      <c r="AI6812" s="1191"/>
      <c r="AJ6812" s="1191"/>
      <c r="AK6812" s="1191"/>
      <c r="AL6812" s="1191"/>
      <c r="AM6812" s="1191"/>
      <c r="AN6812" s="1191"/>
      <c r="AO6812" s="1191"/>
      <c r="AP6812" s="1191"/>
      <c r="AQ6812" s="1191"/>
      <c r="AR6812" s="1191"/>
      <c r="AS6812" s="1191"/>
      <c r="AT6812" s="1191"/>
      <c r="AU6812" s="1191"/>
      <c r="AV6812" s="1191"/>
      <c r="AW6812" s="1191"/>
      <c r="AX6812" s="1191"/>
      <c r="AY6812" s="1191"/>
      <c r="AZ6812" s="1191"/>
      <c r="BA6812" s="1191"/>
      <c r="BB6812" s="1191"/>
      <c r="BC6812" s="1191"/>
      <c r="BD6812" s="1191"/>
      <c r="BE6812" s="1191"/>
      <c r="BF6812" s="1191"/>
      <c r="BG6812" s="1191"/>
      <c r="BH6812" s="1191"/>
      <c r="BI6812" s="1191"/>
      <c r="BJ6812" s="1191"/>
      <c r="BK6812" s="1191"/>
      <c r="BL6812" s="1191"/>
      <c r="BM6812" s="1191"/>
      <c r="BN6812" s="1191"/>
      <c r="BO6812" s="1191"/>
      <c r="BP6812" s="1191"/>
      <c r="BQ6812" s="1191"/>
      <c r="BR6812" s="1191"/>
      <c r="BS6812" s="1191"/>
      <c r="BT6812" s="1191"/>
      <c r="BU6812" s="1191"/>
      <c r="BV6812" s="1191"/>
      <c r="BW6812" s="1191"/>
      <c r="BX6812" s="1191"/>
      <c r="BY6812" s="1191"/>
      <c r="BZ6812" s="1191"/>
      <c r="CA6812" s="1191"/>
      <c r="CB6812" s="1191"/>
      <c r="CC6812" s="1191"/>
      <c r="CD6812" s="1191"/>
      <c r="CE6812" s="1191"/>
      <c r="CF6812" s="1191"/>
      <c r="CG6812" s="1191"/>
      <c r="CH6812" s="1191"/>
      <c r="CI6812" s="1191"/>
      <c r="CJ6812" s="1191"/>
      <c r="CK6812" s="1191"/>
      <c r="CL6812" s="1191"/>
      <c r="CM6812" s="1191"/>
      <c r="CN6812" s="1191"/>
      <c r="CO6812" s="1191"/>
      <c r="CP6812" s="1191"/>
      <c r="CQ6812" s="1191"/>
      <c r="CR6812" s="1191"/>
      <c r="CS6812" s="1191"/>
      <c r="CT6812" s="1191"/>
      <c r="CU6812" s="1191"/>
      <c r="CV6812" s="1191"/>
      <c r="CW6812" s="1191"/>
      <c r="CX6812" s="1191"/>
      <c r="CY6812" s="1191"/>
      <c r="CZ6812" s="1191"/>
      <c r="DA6812" s="1191"/>
      <c r="DB6812" s="1191"/>
      <c r="DC6812" s="1191"/>
      <c r="DD6812" s="1191"/>
      <c r="DE6812" s="1191"/>
      <c r="DF6812" s="1191"/>
      <c r="DG6812" s="1191"/>
      <c r="DH6812" s="1191"/>
      <c r="DI6812" s="1191"/>
      <c r="DJ6812" s="1191"/>
      <c r="DK6812" s="1191"/>
      <c r="DL6812" s="1191"/>
      <c r="DM6812" s="1191"/>
      <c r="DN6812" s="1191"/>
    </row>
    <row r="6813" spans="1:118" s="1019" customFormat="1" ht="15" customHeight="1">
      <c r="A6813" s="1170" t="s">
        <v>2358</v>
      </c>
      <c r="B6813" s="1187">
        <v>10</v>
      </c>
      <c r="C6813" s="1171">
        <v>30</v>
      </c>
      <c r="D6813" s="1172" t="s">
        <v>1812</v>
      </c>
      <c r="E6813" s="1360">
        <v>0.69000000000000006</v>
      </c>
      <c r="F6813" s="1174"/>
      <c r="G6813" s="1362"/>
      <c r="H6813" s="1364"/>
      <c r="I6813" s="1191"/>
      <c r="J6813" s="1191"/>
      <c r="K6813" s="1191"/>
      <c r="L6813" s="1191"/>
      <c r="M6813" s="1191"/>
      <c r="N6813" s="1191"/>
      <c r="O6813" s="1191"/>
      <c r="P6813" s="1191"/>
      <c r="Q6813" s="1191"/>
      <c r="R6813" s="1191"/>
      <c r="S6813" s="1191"/>
      <c r="T6813" s="1191"/>
      <c r="U6813" s="1191"/>
      <c r="V6813" s="1191"/>
      <c r="W6813" s="1191"/>
      <c r="X6813" s="1191"/>
      <c r="Y6813" s="1191"/>
      <c r="Z6813" s="1191"/>
      <c r="AA6813" s="1191"/>
      <c r="AB6813" s="1191"/>
      <c r="AC6813" s="1191"/>
      <c r="AD6813" s="1191"/>
      <c r="AE6813" s="1191"/>
      <c r="AF6813" s="1191"/>
      <c r="AG6813" s="1191"/>
      <c r="AH6813" s="1191"/>
      <c r="AI6813" s="1191"/>
      <c r="AJ6813" s="1191"/>
      <c r="AK6813" s="1191"/>
      <c r="AL6813" s="1191"/>
      <c r="AM6813" s="1191"/>
      <c r="AN6813" s="1191"/>
      <c r="AO6813" s="1191"/>
      <c r="AP6813" s="1191"/>
      <c r="AQ6813" s="1191"/>
      <c r="AR6813" s="1191"/>
      <c r="AS6813" s="1191"/>
      <c r="AT6813" s="1191"/>
      <c r="AU6813" s="1191"/>
      <c r="AV6813" s="1191"/>
      <c r="AW6813" s="1191"/>
      <c r="AX6813" s="1191"/>
      <c r="AY6813" s="1191"/>
      <c r="AZ6813" s="1191"/>
      <c r="BA6813" s="1191"/>
      <c r="BB6813" s="1191"/>
      <c r="BC6813" s="1191"/>
      <c r="BD6813" s="1191"/>
      <c r="BE6813" s="1191"/>
      <c r="BF6813" s="1191"/>
      <c r="BG6813" s="1191"/>
      <c r="BH6813" s="1191"/>
      <c r="BI6813" s="1191"/>
      <c r="BJ6813" s="1191"/>
      <c r="BK6813" s="1191"/>
      <c r="BL6813" s="1191"/>
      <c r="BM6813" s="1191"/>
      <c r="BN6813" s="1191"/>
      <c r="BO6813" s="1191"/>
      <c r="BP6813" s="1191"/>
      <c r="BQ6813" s="1191"/>
      <c r="BR6813" s="1191"/>
      <c r="BS6813" s="1191"/>
      <c r="BT6813" s="1191"/>
      <c r="BU6813" s="1191"/>
      <c r="BV6813" s="1191"/>
      <c r="BW6813" s="1191"/>
      <c r="BX6813" s="1191"/>
      <c r="BY6813" s="1191"/>
      <c r="BZ6813" s="1191"/>
      <c r="CA6813" s="1191"/>
      <c r="CB6813" s="1191"/>
      <c r="CC6813" s="1191"/>
      <c r="CD6813" s="1191"/>
      <c r="CE6813" s="1191"/>
      <c r="CF6813" s="1191"/>
      <c r="CG6813" s="1191"/>
      <c r="CH6813" s="1191"/>
      <c r="CI6813" s="1191"/>
      <c r="CJ6813" s="1191"/>
      <c r="CK6813" s="1191"/>
      <c r="CL6813" s="1191"/>
      <c r="CM6813" s="1191"/>
      <c r="CN6813" s="1191"/>
      <c r="CO6813" s="1191"/>
      <c r="CP6813" s="1191"/>
      <c r="CQ6813" s="1191"/>
      <c r="CR6813" s="1191"/>
      <c r="CS6813" s="1191"/>
      <c r="CT6813" s="1191"/>
      <c r="CU6813" s="1191"/>
      <c r="CV6813" s="1191"/>
      <c r="CW6813" s="1191"/>
      <c r="CX6813" s="1191"/>
      <c r="CY6813" s="1191"/>
      <c r="CZ6813" s="1191"/>
      <c r="DA6813" s="1191"/>
      <c r="DB6813" s="1191"/>
      <c r="DC6813" s="1191"/>
      <c r="DD6813" s="1191"/>
      <c r="DE6813" s="1191"/>
      <c r="DF6813" s="1191"/>
      <c r="DG6813" s="1191"/>
      <c r="DH6813" s="1191"/>
      <c r="DI6813" s="1191"/>
      <c r="DJ6813" s="1191"/>
      <c r="DK6813" s="1191"/>
      <c r="DL6813" s="1191"/>
      <c r="DM6813" s="1191"/>
      <c r="DN6813" s="1191"/>
    </row>
    <row r="6814" spans="1:118" s="1019" customFormat="1" ht="15" customHeight="1">
      <c r="A6814" s="1170" t="s">
        <v>2358</v>
      </c>
      <c r="B6814" s="1187">
        <v>12</v>
      </c>
      <c r="C6814" s="1171">
        <v>30</v>
      </c>
      <c r="D6814" s="1172" t="s">
        <v>1812</v>
      </c>
      <c r="E6814" s="1360">
        <v>0.76</v>
      </c>
      <c r="F6814" s="1174"/>
      <c r="G6814" s="1361"/>
      <c r="H6814" s="1364"/>
      <c r="I6814" s="1191"/>
      <c r="J6814" s="1191"/>
      <c r="K6814" s="1191"/>
      <c r="L6814" s="1191"/>
      <c r="M6814" s="1191"/>
      <c r="N6814" s="1191"/>
      <c r="O6814" s="1191"/>
      <c r="P6814" s="1191"/>
      <c r="Q6814" s="1191"/>
      <c r="R6814" s="1191"/>
      <c r="S6814" s="1191"/>
      <c r="T6814" s="1191"/>
      <c r="U6814" s="1191"/>
      <c r="V6814" s="1191"/>
      <c r="W6814" s="1191"/>
      <c r="X6814" s="1191"/>
      <c r="Y6814" s="1191"/>
      <c r="Z6814" s="1191"/>
      <c r="AA6814" s="1191"/>
      <c r="AB6814" s="1191"/>
      <c r="AC6814" s="1191"/>
      <c r="AD6814" s="1191"/>
      <c r="AE6814" s="1191"/>
      <c r="AF6814" s="1191"/>
      <c r="AG6814" s="1191"/>
      <c r="AH6814" s="1191"/>
      <c r="AI6814" s="1191"/>
      <c r="AJ6814" s="1191"/>
      <c r="AK6814" s="1191"/>
      <c r="AL6814" s="1191"/>
      <c r="AM6814" s="1191"/>
      <c r="AN6814" s="1191"/>
      <c r="AO6814" s="1191"/>
      <c r="AP6814" s="1191"/>
      <c r="AQ6814" s="1191"/>
      <c r="AR6814" s="1191"/>
      <c r="AS6814" s="1191"/>
      <c r="AT6814" s="1191"/>
      <c r="AU6814" s="1191"/>
      <c r="AV6814" s="1191"/>
      <c r="AW6814" s="1191"/>
      <c r="AX6814" s="1191"/>
      <c r="AY6814" s="1191"/>
      <c r="AZ6814" s="1191"/>
      <c r="BA6814" s="1191"/>
      <c r="BB6814" s="1191"/>
      <c r="BC6814" s="1191"/>
      <c r="BD6814" s="1191"/>
      <c r="BE6814" s="1191"/>
      <c r="BF6814" s="1191"/>
      <c r="BG6814" s="1191"/>
      <c r="BH6814" s="1191"/>
      <c r="BI6814" s="1191"/>
      <c r="BJ6814" s="1191"/>
      <c r="BK6814" s="1191"/>
      <c r="BL6814" s="1191"/>
      <c r="BM6814" s="1191"/>
      <c r="BN6814" s="1191"/>
      <c r="BO6814" s="1191"/>
      <c r="BP6814" s="1191"/>
      <c r="BQ6814" s="1191"/>
      <c r="BR6814" s="1191"/>
      <c r="BS6814" s="1191"/>
      <c r="BT6814" s="1191"/>
      <c r="BU6814" s="1191"/>
      <c r="BV6814" s="1191"/>
      <c r="BW6814" s="1191"/>
      <c r="BX6814" s="1191"/>
      <c r="BY6814" s="1191"/>
      <c r="BZ6814" s="1191"/>
      <c r="CA6814" s="1191"/>
      <c r="CB6814" s="1191"/>
      <c r="CC6814" s="1191"/>
      <c r="CD6814" s="1191"/>
      <c r="CE6814" s="1191"/>
      <c r="CF6814" s="1191"/>
      <c r="CG6814" s="1191"/>
      <c r="CH6814" s="1191"/>
      <c r="CI6814" s="1191"/>
      <c r="CJ6814" s="1191"/>
      <c r="CK6814" s="1191"/>
      <c r="CL6814" s="1191"/>
      <c r="CM6814" s="1191"/>
      <c r="CN6814" s="1191"/>
      <c r="CO6814" s="1191"/>
      <c r="CP6814" s="1191"/>
      <c r="CQ6814" s="1191"/>
      <c r="CR6814" s="1191"/>
      <c r="CS6814" s="1191"/>
      <c r="CT6814" s="1191"/>
      <c r="CU6814" s="1191"/>
      <c r="CV6814" s="1191"/>
      <c r="CW6814" s="1191"/>
      <c r="CX6814" s="1191"/>
      <c r="CY6814" s="1191"/>
      <c r="CZ6814" s="1191"/>
      <c r="DA6814" s="1191"/>
      <c r="DB6814" s="1191"/>
      <c r="DC6814" s="1191"/>
      <c r="DD6814" s="1191"/>
      <c r="DE6814" s="1191"/>
      <c r="DF6814" s="1191"/>
      <c r="DG6814" s="1191"/>
      <c r="DH6814" s="1191"/>
      <c r="DI6814" s="1191"/>
      <c r="DJ6814" s="1191"/>
      <c r="DK6814" s="1191"/>
      <c r="DL6814" s="1191"/>
      <c r="DM6814" s="1191"/>
      <c r="DN6814" s="1191"/>
    </row>
    <row r="6815" spans="1:118" s="1019" customFormat="1" ht="15.75" customHeight="1">
      <c r="A6815" s="1170" t="s">
        <v>2358</v>
      </c>
      <c r="B6815" s="1187">
        <v>15</v>
      </c>
      <c r="C6815" s="1171">
        <v>30</v>
      </c>
      <c r="D6815" s="1172" t="s">
        <v>1812</v>
      </c>
      <c r="E6815" s="1360">
        <v>0.84</v>
      </c>
      <c r="F6815" s="1174"/>
      <c r="G6815" s="1362"/>
      <c r="H6815" s="1364"/>
      <c r="I6815" s="1191"/>
      <c r="J6815" s="1191"/>
      <c r="K6815" s="1191"/>
      <c r="L6815" s="1191"/>
      <c r="M6815" s="1191"/>
      <c r="N6815" s="1191"/>
      <c r="O6815" s="1191"/>
      <c r="P6815" s="1191"/>
      <c r="Q6815" s="1191"/>
      <c r="R6815" s="1191"/>
      <c r="S6815" s="1191"/>
      <c r="T6815" s="1191"/>
      <c r="U6815" s="1191"/>
      <c r="V6815" s="1191"/>
      <c r="W6815" s="1191"/>
      <c r="X6815" s="1191"/>
      <c r="Y6815" s="1191"/>
      <c r="Z6815" s="1191"/>
      <c r="AA6815" s="1191"/>
      <c r="AB6815" s="1191"/>
      <c r="AC6815" s="1191"/>
      <c r="AD6815" s="1191"/>
      <c r="AE6815" s="1191"/>
      <c r="AF6815" s="1191"/>
      <c r="AG6815" s="1191"/>
      <c r="AH6815" s="1191"/>
      <c r="AI6815" s="1191"/>
      <c r="AJ6815" s="1191"/>
      <c r="AK6815" s="1191"/>
      <c r="AL6815" s="1191"/>
      <c r="AM6815" s="1191"/>
      <c r="AN6815" s="1191"/>
      <c r="AO6815" s="1191"/>
      <c r="AP6815" s="1191"/>
      <c r="AQ6815" s="1191"/>
      <c r="AR6815" s="1191"/>
      <c r="AS6815" s="1191"/>
      <c r="AT6815" s="1191"/>
      <c r="AU6815" s="1191"/>
      <c r="AV6815" s="1191"/>
      <c r="AW6815" s="1191"/>
      <c r="AX6815" s="1191"/>
      <c r="AY6815" s="1191"/>
      <c r="AZ6815" s="1191"/>
      <c r="BA6815" s="1191"/>
      <c r="BB6815" s="1191"/>
      <c r="BC6815" s="1191"/>
      <c r="BD6815" s="1191"/>
      <c r="BE6815" s="1191"/>
      <c r="BF6815" s="1191"/>
      <c r="BG6815" s="1191"/>
      <c r="BH6815" s="1191"/>
      <c r="BI6815" s="1191"/>
      <c r="BJ6815" s="1191"/>
      <c r="BK6815" s="1191"/>
      <c r="BL6815" s="1191"/>
      <c r="BM6815" s="1191"/>
      <c r="BN6815" s="1191"/>
      <c r="BO6815" s="1191"/>
      <c r="BP6815" s="1191"/>
      <c r="BQ6815" s="1191"/>
      <c r="BR6815" s="1191"/>
      <c r="BS6815" s="1191"/>
      <c r="BT6815" s="1191"/>
      <c r="BU6815" s="1191"/>
      <c r="BV6815" s="1191"/>
      <c r="BW6815" s="1191"/>
      <c r="BX6815" s="1191"/>
      <c r="BY6815" s="1191"/>
      <c r="BZ6815" s="1191"/>
      <c r="CA6815" s="1191"/>
      <c r="CB6815" s="1191"/>
      <c r="CC6815" s="1191"/>
      <c r="CD6815" s="1191"/>
      <c r="CE6815" s="1191"/>
      <c r="CF6815" s="1191"/>
      <c r="CG6815" s="1191"/>
      <c r="CH6815" s="1191"/>
      <c r="CI6815" s="1191"/>
      <c r="CJ6815" s="1191"/>
      <c r="CK6815" s="1191"/>
      <c r="CL6815" s="1191"/>
      <c r="CM6815" s="1191"/>
      <c r="CN6815" s="1191"/>
      <c r="CO6815" s="1191"/>
      <c r="CP6815" s="1191"/>
      <c r="CQ6815" s="1191"/>
      <c r="CR6815" s="1191"/>
      <c r="CS6815" s="1191"/>
      <c r="CT6815" s="1191"/>
      <c r="CU6815" s="1191"/>
      <c r="CV6815" s="1191"/>
      <c r="CW6815" s="1191"/>
      <c r="CX6815" s="1191"/>
      <c r="CY6815" s="1191"/>
      <c r="CZ6815" s="1191"/>
      <c r="DA6815" s="1191"/>
      <c r="DB6815" s="1191"/>
      <c r="DC6815" s="1191"/>
      <c r="DD6815" s="1191"/>
      <c r="DE6815" s="1191"/>
      <c r="DF6815" s="1191"/>
      <c r="DG6815" s="1191"/>
      <c r="DH6815" s="1191"/>
      <c r="DI6815" s="1191"/>
      <c r="DJ6815" s="1191"/>
      <c r="DK6815" s="1191"/>
      <c r="DL6815" s="1191"/>
      <c r="DM6815" s="1191"/>
      <c r="DN6815" s="1191"/>
    </row>
    <row r="6816" spans="1:118" s="1019" customFormat="1" ht="15" customHeight="1">
      <c r="A6816" s="1170" t="s">
        <v>2358</v>
      </c>
      <c r="B6816" s="1187">
        <v>18</v>
      </c>
      <c r="C6816" s="1171">
        <v>30</v>
      </c>
      <c r="D6816" s="1172" t="s">
        <v>1812</v>
      </c>
      <c r="E6816" s="1360">
        <v>1</v>
      </c>
      <c r="F6816" s="1174"/>
      <c r="G6816" s="1362"/>
      <c r="H6816" s="1364"/>
      <c r="I6816" s="1191"/>
      <c r="J6816" s="1191"/>
      <c r="K6816" s="1191"/>
      <c r="L6816" s="1191"/>
      <c r="M6816" s="1191"/>
      <c r="N6816" s="1191"/>
      <c r="O6816" s="1191"/>
      <c r="P6816" s="1191"/>
      <c r="Q6816" s="1191"/>
      <c r="R6816" s="1191"/>
      <c r="S6816" s="1191"/>
      <c r="T6816" s="1191"/>
      <c r="U6816" s="1191"/>
      <c r="V6816" s="1191"/>
      <c r="W6816" s="1191"/>
      <c r="X6816" s="1191"/>
      <c r="Y6816" s="1191"/>
      <c r="Z6816" s="1191"/>
      <c r="AA6816" s="1191"/>
      <c r="AB6816" s="1191"/>
      <c r="AC6816" s="1191"/>
      <c r="AD6816" s="1191"/>
      <c r="AE6816" s="1191"/>
      <c r="AF6816" s="1191"/>
      <c r="AG6816" s="1191"/>
      <c r="AH6816" s="1191"/>
      <c r="AI6816" s="1191"/>
      <c r="AJ6816" s="1191"/>
      <c r="AK6816" s="1191"/>
      <c r="AL6816" s="1191"/>
      <c r="AM6816" s="1191"/>
      <c r="AN6816" s="1191"/>
      <c r="AO6816" s="1191"/>
      <c r="AP6816" s="1191"/>
      <c r="AQ6816" s="1191"/>
      <c r="AR6816" s="1191"/>
      <c r="AS6816" s="1191"/>
      <c r="AT6816" s="1191"/>
      <c r="AU6816" s="1191"/>
      <c r="AV6816" s="1191"/>
      <c r="AW6816" s="1191"/>
      <c r="AX6816" s="1191"/>
      <c r="AY6816" s="1191"/>
      <c r="AZ6816" s="1191"/>
      <c r="BA6816" s="1191"/>
      <c r="BB6816" s="1191"/>
      <c r="BC6816" s="1191"/>
      <c r="BD6816" s="1191"/>
      <c r="BE6816" s="1191"/>
      <c r="BF6816" s="1191"/>
      <c r="BG6816" s="1191"/>
      <c r="BH6816" s="1191"/>
      <c r="BI6816" s="1191"/>
      <c r="BJ6816" s="1191"/>
      <c r="BK6816" s="1191"/>
      <c r="BL6816" s="1191"/>
      <c r="BM6816" s="1191"/>
      <c r="BN6816" s="1191"/>
      <c r="BO6816" s="1191"/>
      <c r="BP6816" s="1191"/>
      <c r="BQ6816" s="1191"/>
      <c r="BR6816" s="1191"/>
      <c r="BS6816" s="1191"/>
      <c r="BT6816" s="1191"/>
      <c r="BU6816" s="1191"/>
      <c r="BV6816" s="1191"/>
      <c r="BW6816" s="1191"/>
      <c r="BX6816" s="1191"/>
      <c r="BY6816" s="1191"/>
      <c r="BZ6816" s="1191"/>
      <c r="CA6816" s="1191"/>
      <c r="CB6816" s="1191"/>
      <c r="CC6816" s="1191"/>
      <c r="CD6816" s="1191"/>
      <c r="CE6816" s="1191"/>
      <c r="CF6816" s="1191"/>
      <c r="CG6816" s="1191"/>
      <c r="CH6816" s="1191"/>
      <c r="CI6816" s="1191"/>
      <c r="CJ6816" s="1191"/>
      <c r="CK6816" s="1191"/>
      <c r="CL6816" s="1191"/>
      <c r="CM6816" s="1191"/>
      <c r="CN6816" s="1191"/>
      <c r="CO6816" s="1191"/>
      <c r="CP6816" s="1191"/>
      <c r="CQ6816" s="1191"/>
      <c r="CR6816" s="1191"/>
      <c r="CS6816" s="1191"/>
      <c r="CT6816" s="1191"/>
      <c r="CU6816" s="1191"/>
      <c r="CV6816" s="1191"/>
      <c r="CW6816" s="1191"/>
      <c r="CX6816" s="1191"/>
      <c r="CY6816" s="1191"/>
      <c r="CZ6816" s="1191"/>
      <c r="DA6816" s="1191"/>
      <c r="DB6816" s="1191"/>
      <c r="DC6816" s="1191"/>
      <c r="DD6816" s="1191"/>
      <c r="DE6816" s="1191"/>
      <c r="DF6816" s="1191"/>
      <c r="DG6816" s="1191"/>
      <c r="DH6816" s="1191"/>
      <c r="DI6816" s="1191"/>
      <c r="DJ6816" s="1191"/>
      <c r="DK6816" s="1191"/>
      <c r="DL6816" s="1191"/>
      <c r="DM6816" s="1191"/>
      <c r="DN6816" s="1191"/>
    </row>
    <row r="6817" spans="1:118" s="1019" customFormat="1" ht="15" customHeight="1">
      <c r="A6817" s="1170" t="s">
        <v>2358</v>
      </c>
      <c r="B6817" s="1187">
        <v>25</v>
      </c>
      <c r="C6817" s="1171">
        <v>30</v>
      </c>
      <c r="D6817" s="1172" t="s">
        <v>1812</v>
      </c>
      <c r="E6817" s="1360">
        <v>1.21</v>
      </c>
      <c r="F6817" s="1174"/>
      <c r="G6817" s="1362"/>
      <c r="H6817" s="1364"/>
      <c r="I6817" s="1191"/>
      <c r="J6817" s="1191"/>
      <c r="K6817" s="1191"/>
      <c r="L6817" s="1191"/>
      <c r="M6817" s="1191"/>
      <c r="N6817" s="1191"/>
      <c r="O6817" s="1191"/>
      <c r="P6817" s="1191"/>
      <c r="Q6817" s="1191"/>
      <c r="R6817" s="1191"/>
      <c r="S6817" s="1191"/>
      <c r="T6817" s="1191"/>
      <c r="U6817" s="1191"/>
      <c r="V6817" s="1191"/>
      <c r="W6817" s="1191"/>
      <c r="X6817" s="1191"/>
      <c r="Y6817" s="1191"/>
      <c r="Z6817" s="1191"/>
      <c r="AA6817" s="1191"/>
      <c r="AB6817" s="1191"/>
      <c r="AC6817" s="1191"/>
      <c r="AD6817" s="1191"/>
      <c r="AE6817" s="1191"/>
      <c r="AF6817" s="1191"/>
      <c r="AG6817" s="1191"/>
      <c r="AH6817" s="1191"/>
      <c r="AI6817" s="1191"/>
      <c r="AJ6817" s="1191"/>
      <c r="AK6817" s="1191"/>
      <c r="AL6817" s="1191"/>
      <c r="AM6817" s="1191"/>
      <c r="AN6817" s="1191"/>
      <c r="AO6817" s="1191"/>
      <c r="AP6817" s="1191"/>
      <c r="AQ6817" s="1191"/>
      <c r="AR6817" s="1191"/>
      <c r="AS6817" s="1191"/>
      <c r="AT6817" s="1191"/>
      <c r="AU6817" s="1191"/>
      <c r="AV6817" s="1191"/>
      <c r="AW6817" s="1191"/>
      <c r="AX6817" s="1191"/>
      <c r="AY6817" s="1191"/>
      <c r="AZ6817" s="1191"/>
      <c r="BA6817" s="1191"/>
      <c r="BB6817" s="1191"/>
      <c r="BC6817" s="1191"/>
      <c r="BD6817" s="1191"/>
      <c r="BE6817" s="1191"/>
      <c r="BF6817" s="1191"/>
      <c r="BG6817" s="1191"/>
      <c r="BH6817" s="1191"/>
      <c r="BI6817" s="1191"/>
      <c r="BJ6817" s="1191"/>
      <c r="BK6817" s="1191"/>
      <c r="BL6817" s="1191"/>
      <c r="BM6817" s="1191"/>
      <c r="BN6817" s="1191"/>
      <c r="BO6817" s="1191"/>
      <c r="BP6817" s="1191"/>
      <c r="BQ6817" s="1191"/>
      <c r="BR6817" s="1191"/>
      <c r="BS6817" s="1191"/>
      <c r="BT6817" s="1191"/>
      <c r="BU6817" s="1191"/>
      <c r="BV6817" s="1191"/>
      <c r="BW6817" s="1191"/>
      <c r="BX6817" s="1191"/>
      <c r="BY6817" s="1191"/>
      <c r="BZ6817" s="1191"/>
      <c r="CA6817" s="1191"/>
      <c r="CB6817" s="1191"/>
      <c r="CC6817" s="1191"/>
      <c r="CD6817" s="1191"/>
      <c r="CE6817" s="1191"/>
      <c r="CF6817" s="1191"/>
      <c r="CG6817" s="1191"/>
      <c r="CH6817" s="1191"/>
      <c r="CI6817" s="1191"/>
      <c r="CJ6817" s="1191"/>
      <c r="CK6817" s="1191"/>
      <c r="CL6817" s="1191"/>
      <c r="CM6817" s="1191"/>
      <c r="CN6817" s="1191"/>
      <c r="CO6817" s="1191"/>
      <c r="CP6817" s="1191"/>
      <c r="CQ6817" s="1191"/>
      <c r="CR6817" s="1191"/>
      <c r="CS6817" s="1191"/>
      <c r="CT6817" s="1191"/>
      <c r="CU6817" s="1191"/>
      <c r="CV6817" s="1191"/>
      <c r="CW6817" s="1191"/>
      <c r="CX6817" s="1191"/>
      <c r="CY6817" s="1191"/>
      <c r="CZ6817" s="1191"/>
      <c r="DA6817" s="1191"/>
      <c r="DB6817" s="1191"/>
      <c r="DC6817" s="1191"/>
      <c r="DD6817" s="1191"/>
      <c r="DE6817" s="1191"/>
      <c r="DF6817" s="1191"/>
      <c r="DG6817" s="1191"/>
      <c r="DH6817" s="1191"/>
      <c r="DI6817" s="1191"/>
      <c r="DJ6817" s="1191"/>
      <c r="DK6817" s="1191"/>
      <c r="DL6817" s="1191"/>
      <c r="DM6817" s="1191"/>
      <c r="DN6817" s="1191"/>
    </row>
    <row r="6818" spans="1:118" s="1019" customFormat="1" ht="15" customHeight="1">
      <c r="A6818" s="1170" t="s">
        <v>2358</v>
      </c>
      <c r="B6818" s="1187">
        <v>30</v>
      </c>
      <c r="C6818" s="1171">
        <v>30</v>
      </c>
      <c r="D6818" s="1172" t="s">
        <v>1812</v>
      </c>
      <c r="E6818" s="1360">
        <v>1.62</v>
      </c>
      <c r="F6818" s="1174"/>
      <c r="G6818" s="1356"/>
      <c r="H6818" s="1364"/>
      <c r="I6818" s="1191"/>
      <c r="J6818" s="1191"/>
      <c r="K6818" s="1191"/>
      <c r="L6818" s="1191"/>
      <c r="M6818" s="1191"/>
      <c r="N6818" s="1191"/>
      <c r="O6818" s="1191"/>
      <c r="P6818" s="1191"/>
      <c r="Q6818" s="1191"/>
      <c r="R6818" s="1191"/>
      <c r="S6818" s="1191"/>
      <c r="T6818" s="1191"/>
      <c r="U6818" s="1191"/>
      <c r="V6818" s="1191"/>
      <c r="W6818" s="1191"/>
      <c r="X6818" s="1191"/>
      <c r="Y6818" s="1191"/>
      <c r="Z6818" s="1191"/>
      <c r="AA6818" s="1191"/>
      <c r="AB6818" s="1191"/>
      <c r="AC6818" s="1191"/>
      <c r="AD6818" s="1191"/>
      <c r="AE6818" s="1191"/>
      <c r="AF6818" s="1191"/>
      <c r="AG6818" s="1191"/>
      <c r="AH6818" s="1191"/>
      <c r="AI6818" s="1191"/>
      <c r="AJ6818" s="1191"/>
      <c r="AK6818" s="1191"/>
      <c r="AL6818" s="1191"/>
      <c r="AM6818" s="1191"/>
      <c r="AN6818" s="1191"/>
      <c r="AO6818" s="1191"/>
      <c r="AP6818" s="1191"/>
      <c r="AQ6818" s="1191"/>
      <c r="AR6818" s="1191"/>
      <c r="AS6818" s="1191"/>
      <c r="AT6818" s="1191"/>
      <c r="AU6818" s="1191"/>
      <c r="AV6818" s="1191"/>
      <c r="AW6818" s="1191"/>
      <c r="AX6818" s="1191"/>
      <c r="AY6818" s="1191"/>
      <c r="AZ6818" s="1191"/>
      <c r="BA6818" s="1191"/>
      <c r="BB6818" s="1191"/>
      <c r="BC6818" s="1191"/>
      <c r="BD6818" s="1191"/>
      <c r="BE6818" s="1191"/>
      <c r="BF6818" s="1191"/>
      <c r="BG6818" s="1191"/>
      <c r="BH6818" s="1191"/>
      <c r="BI6818" s="1191"/>
      <c r="BJ6818" s="1191"/>
      <c r="BK6818" s="1191"/>
      <c r="BL6818" s="1191"/>
      <c r="BM6818" s="1191"/>
      <c r="BN6818" s="1191"/>
      <c r="BO6818" s="1191"/>
      <c r="BP6818" s="1191"/>
      <c r="BQ6818" s="1191"/>
      <c r="BR6818" s="1191"/>
      <c r="BS6818" s="1191"/>
      <c r="BT6818" s="1191"/>
      <c r="BU6818" s="1191"/>
      <c r="BV6818" s="1191"/>
      <c r="BW6818" s="1191"/>
      <c r="BX6818" s="1191"/>
      <c r="BY6818" s="1191"/>
      <c r="BZ6818" s="1191"/>
      <c r="CA6818" s="1191"/>
      <c r="CB6818" s="1191"/>
      <c r="CC6818" s="1191"/>
      <c r="CD6818" s="1191"/>
      <c r="CE6818" s="1191"/>
      <c r="CF6818" s="1191"/>
      <c r="CG6818" s="1191"/>
      <c r="CH6818" s="1191"/>
      <c r="CI6818" s="1191"/>
      <c r="CJ6818" s="1191"/>
      <c r="CK6818" s="1191"/>
      <c r="CL6818" s="1191"/>
      <c r="CM6818" s="1191"/>
      <c r="CN6818" s="1191"/>
      <c r="CO6818" s="1191"/>
      <c r="CP6818" s="1191"/>
      <c r="CQ6818" s="1191"/>
      <c r="CR6818" s="1191"/>
      <c r="CS6818" s="1191"/>
      <c r="CT6818" s="1191"/>
      <c r="CU6818" s="1191"/>
      <c r="CV6818" s="1191"/>
      <c r="CW6818" s="1191"/>
      <c r="CX6818" s="1191"/>
      <c r="CY6818" s="1191"/>
      <c r="CZ6818" s="1191"/>
      <c r="DA6818" s="1191"/>
      <c r="DB6818" s="1191"/>
      <c r="DC6818" s="1191"/>
      <c r="DD6818" s="1191"/>
      <c r="DE6818" s="1191"/>
      <c r="DF6818" s="1191"/>
      <c r="DG6818" s="1191"/>
      <c r="DH6818" s="1191"/>
      <c r="DI6818" s="1191"/>
      <c r="DJ6818" s="1191"/>
      <c r="DK6818" s="1191"/>
      <c r="DL6818" s="1191"/>
      <c r="DM6818" s="1191"/>
      <c r="DN6818" s="1191"/>
    </row>
    <row r="6819" spans="1:118" s="1019" customFormat="1" ht="15" customHeight="1">
      <c r="A6819" s="1170" t="s">
        <v>2358</v>
      </c>
      <c r="B6819" s="1187">
        <v>38</v>
      </c>
      <c r="C6819" s="1171">
        <v>30</v>
      </c>
      <c r="D6819" s="1172" t="s">
        <v>1812</v>
      </c>
      <c r="E6819" s="1360">
        <v>1.78</v>
      </c>
      <c r="F6819" s="1174"/>
      <c r="G6819" s="1361"/>
      <c r="H6819" s="1364"/>
      <c r="I6819" s="1191"/>
      <c r="J6819" s="1191"/>
      <c r="K6819" s="1191"/>
      <c r="L6819" s="1191"/>
      <c r="M6819" s="1191"/>
      <c r="N6819" s="1191"/>
      <c r="O6819" s="1191"/>
      <c r="P6819" s="1191"/>
      <c r="Q6819" s="1191"/>
      <c r="R6819" s="1191"/>
      <c r="S6819" s="1191"/>
      <c r="T6819" s="1191"/>
      <c r="U6819" s="1191"/>
      <c r="V6819" s="1191"/>
      <c r="W6819" s="1191"/>
      <c r="X6819" s="1191"/>
      <c r="Y6819" s="1191"/>
      <c r="Z6819" s="1191"/>
      <c r="AA6819" s="1191"/>
      <c r="AB6819" s="1191"/>
      <c r="AC6819" s="1191"/>
      <c r="AD6819" s="1191"/>
      <c r="AE6819" s="1191"/>
      <c r="AF6819" s="1191"/>
      <c r="AG6819" s="1191"/>
      <c r="AH6819" s="1191"/>
      <c r="AI6819" s="1191"/>
      <c r="AJ6819" s="1191"/>
      <c r="AK6819" s="1191"/>
      <c r="AL6819" s="1191"/>
      <c r="AM6819" s="1191"/>
      <c r="AN6819" s="1191"/>
      <c r="AO6819" s="1191"/>
      <c r="AP6819" s="1191"/>
      <c r="AQ6819" s="1191"/>
      <c r="AR6819" s="1191"/>
      <c r="AS6819" s="1191"/>
      <c r="AT6819" s="1191"/>
      <c r="AU6819" s="1191"/>
      <c r="AV6819" s="1191"/>
      <c r="AW6819" s="1191"/>
      <c r="AX6819" s="1191"/>
      <c r="AY6819" s="1191"/>
      <c r="AZ6819" s="1191"/>
      <c r="BA6819" s="1191"/>
      <c r="BB6819" s="1191"/>
      <c r="BC6819" s="1191"/>
      <c r="BD6819" s="1191"/>
      <c r="BE6819" s="1191"/>
      <c r="BF6819" s="1191"/>
      <c r="BG6819" s="1191"/>
      <c r="BH6819" s="1191"/>
      <c r="BI6819" s="1191"/>
      <c r="BJ6819" s="1191"/>
      <c r="BK6819" s="1191"/>
      <c r="BL6819" s="1191"/>
      <c r="BM6819" s="1191"/>
      <c r="BN6819" s="1191"/>
      <c r="BO6819" s="1191"/>
      <c r="BP6819" s="1191"/>
      <c r="BQ6819" s="1191"/>
      <c r="BR6819" s="1191"/>
      <c r="BS6819" s="1191"/>
      <c r="BT6819" s="1191"/>
      <c r="BU6819" s="1191"/>
      <c r="BV6819" s="1191"/>
      <c r="BW6819" s="1191"/>
      <c r="BX6819" s="1191"/>
      <c r="BY6819" s="1191"/>
      <c r="BZ6819" s="1191"/>
      <c r="CA6819" s="1191"/>
      <c r="CB6819" s="1191"/>
      <c r="CC6819" s="1191"/>
      <c r="CD6819" s="1191"/>
      <c r="CE6819" s="1191"/>
      <c r="CF6819" s="1191"/>
      <c r="CG6819" s="1191"/>
      <c r="CH6819" s="1191"/>
      <c r="CI6819" s="1191"/>
      <c r="CJ6819" s="1191"/>
      <c r="CK6819" s="1191"/>
      <c r="CL6819" s="1191"/>
      <c r="CM6819" s="1191"/>
      <c r="CN6819" s="1191"/>
      <c r="CO6819" s="1191"/>
      <c r="CP6819" s="1191"/>
      <c r="CQ6819" s="1191"/>
      <c r="CR6819" s="1191"/>
      <c r="CS6819" s="1191"/>
      <c r="CT6819" s="1191"/>
      <c r="CU6819" s="1191"/>
      <c r="CV6819" s="1191"/>
      <c r="CW6819" s="1191"/>
      <c r="CX6819" s="1191"/>
      <c r="CY6819" s="1191"/>
      <c r="CZ6819" s="1191"/>
      <c r="DA6819" s="1191"/>
      <c r="DB6819" s="1191"/>
      <c r="DC6819" s="1191"/>
      <c r="DD6819" s="1191"/>
      <c r="DE6819" s="1191"/>
      <c r="DF6819" s="1191"/>
      <c r="DG6819" s="1191"/>
      <c r="DH6819" s="1191"/>
      <c r="DI6819" s="1191"/>
      <c r="DJ6819" s="1191"/>
      <c r="DK6819" s="1191"/>
      <c r="DL6819" s="1191"/>
      <c r="DM6819" s="1191"/>
      <c r="DN6819" s="1191"/>
    </row>
    <row r="6820" spans="1:118" s="1019" customFormat="1" ht="15" customHeight="1">
      <c r="A6820" s="1170" t="s">
        <v>2358</v>
      </c>
      <c r="B6820" s="1187">
        <v>50</v>
      </c>
      <c r="C6820" s="1171">
        <v>30</v>
      </c>
      <c r="D6820" s="1172" t="s">
        <v>1812</v>
      </c>
      <c r="E6820" s="1360">
        <v>2.5399999999999996</v>
      </c>
      <c r="F6820" s="1174"/>
      <c r="G6820" s="1362"/>
      <c r="H6820" s="1364"/>
      <c r="I6820" s="1191"/>
      <c r="J6820" s="1191"/>
      <c r="K6820" s="1191"/>
      <c r="L6820" s="1191"/>
      <c r="M6820" s="1191"/>
      <c r="N6820" s="1191"/>
      <c r="O6820" s="1191"/>
      <c r="P6820" s="1191"/>
      <c r="Q6820" s="1191"/>
      <c r="R6820" s="1191"/>
      <c r="S6820" s="1191"/>
      <c r="T6820" s="1191"/>
      <c r="U6820" s="1191"/>
      <c r="V6820" s="1191"/>
      <c r="W6820" s="1191"/>
      <c r="X6820" s="1191"/>
      <c r="Y6820" s="1191"/>
      <c r="Z6820" s="1191"/>
      <c r="AA6820" s="1191"/>
      <c r="AB6820" s="1191"/>
      <c r="AC6820" s="1191"/>
      <c r="AD6820" s="1191"/>
      <c r="AE6820" s="1191"/>
      <c r="AF6820" s="1191"/>
      <c r="AG6820" s="1191"/>
      <c r="AH6820" s="1191"/>
      <c r="AI6820" s="1191"/>
      <c r="AJ6820" s="1191"/>
      <c r="AK6820" s="1191"/>
      <c r="AL6820" s="1191"/>
      <c r="AM6820" s="1191"/>
      <c r="AN6820" s="1191"/>
      <c r="AO6820" s="1191"/>
      <c r="AP6820" s="1191"/>
      <c r="AQ6820" s="1191"/>
      <c r="AR6820" s="1191"/>
      <c r="AS6820" s="1191"/>
      <c r="AT6820" s="1191"/>
      <c r="AU6820" s="1191"/>
      <c r="AV6820" s="1191"/>
      <c r="AW6820" s="1191"/>
      <c r="AX6820" s="1191"/>
      <c r="AY6820" s="1191"/>
      <c r="AZ6820" s="1191"/>
      <c r="BA6820" s="1191"/>
      <c r="BB6820" s="1191"/>
      <c r="BC6820" s="1191"/>
      <c r="BD6820" s="1191"/>
      <c r="BE6820" s="1191"/>
      <c r="BF6820" s="1191"/>
      <c r="BG6820" s="1191"/>
      <c r="BH6820" s="1191"/>
      <c r="BI6820" s="1191"/>
      <c r="BJ6820" s="1191"/>
      <c r="BK6820" s="1191"/>
      <c r="BL6820" s="1191"/>
      <c r="BM6820" s="1191"/>
      <c r="BN6820" s="1191"/>
      <c r="BO6820" s="1191"/>
      <c r="BP6820" s="1191"/>
      <c r="BQ6820" s="1191"/>
      <c r="BR6820" s="1191"/>
      <c r="BS6820" s="1191"/>
      <c r="BT6820" s="1191"/>
      <c r="BU6820" s="1191"/>
      <c r="BV6820" s="1191"/>
      <c r="BW6820" s="1191"/>
      <c r="BX6820" s="1191"/>
      <c r="BY6820" s="1191"/>
      <c r="BZ6820" s="1191"/>
      <c r="CA6820" s="1191"/>
      <c r="CB6820" s="1191"/>
      <c r="CC6820" s="1191"/>
      <c r="CD6820" s="1191"/>
      <c r="CE6820" s="1191"/>
      <c r="CF6820" s="1191"/>
      <c r="CG6820" s="1191"/>
      <c r="CH6820" s="1191"/>
      <c r="CI6820" s="1191"/>
      <c r="CJ6820" s="1191"/>
      <c r="CK6820" s="1191"/>
      <c r="CL6820" s="1191"/>
      <c r="CM6820" s="1191"/>
      <c r="CN6820" s="1191"/>
      <c r="CO6820" s="1191"/>
      <c r="CP6820" s="1191"/>
      <c r="CQ6820" s="1191"/>
      <c r="CR6820" s="1191"/>
      <c r="CS6820" s="1191"/>
      <c r="CT6820" s="1191"/>
      <c r="CU6820" s="1191"/>
      <c r="CV6820" s="1191"/>
      <c r="CW6820" s="1191"/>
      <c r="CX6820" s="1191"/>
      <c r="CY6820" s="1191"/>
      <c r="CZ6820" s="1191"/>
      <c r="DA6820" s="1191"/>
      <c r="DB6820" s="1191"/>
      <c r="DC6820" s="1191"/>
      <c r="DD6820" s="1191"/>
      <c r="DE6820" s="1191"/>
      <c r="DF6820" s="1191"/>
      <c r="DG6820" s="1191"/>
      <c r="DH6820" s="1191"/>
      <c r="DI6820" s="1191"/>
      <c r="DJ6820" s="1191"/>
      <c r="DK6820" s="1191"/>
      <c r="DL6820" s="1191"/>
      <c r="DM6820" s="1191"/>
      <c r="DN6820" s="1191"/>
    </row>
    <row r="6821" spans="1:118" s="1019" customFormat="1" ht="15" customHeight="1">
      <c r="A6821" s="1170" t="s">
        <v>2358</v>
      </c>
      <c r="B6821" s="1187">
        <v>75</v>
      </c>
      <c r="C6821" s="1171">
        <v>30</v>
      </c>
      <c r="D6821" s="1172" t="s">
        <v>1812</v>
      </c>
      <c r="E6821" s="1360">
        <v>4.0599999999999996</v>
      </c>
      <c r="F6821" s="1174"/>
      <c r="G6821" s="1362"/>
      <c r="H6821" s="1364"/>
      <c r="I6821" s="1191"/>
      <c r="J6821" s="1191"/>
      <c r="K6821" s="1191"/>
      <c r="L6821" s="1191"/>
      <c r="M6821" s="1191"/>
      <c r="N6821" s="1191"/>
      <c r="O6821" s="1191"/>
      <c r="P6821" s="1191"/>
      <c r="Q6821" s="1191"/>
      <c r="R6821" s="1191"/>
      <c r="S6821" s="1191"/>
      <c r="T6821" s="1191"/>
      <c r="U6821" s="1191"/>
      <c r="V6821" s="1191"/>
      <c r="W6821" s="1191"/>
      <c r="X6821" s="1191"/>
      <c r="Y6821" s="1191"/>
      <c r="Z6821" s="1191"/>
      <c r="AA6821" s="1191"/>
      <c r="AB6821" s="1191"/>
      <c r="AC6821" s="1191"/>
      <c r="AD6821" s="1191"/>
      <c r="AE6821" s="1191"/>
      <c r="AF6821" s="1191"/>
      <c r="AG6821" s="1191"/>
      <c r="AH6821" s="1191"/>
      <c r="AI6821" s="1191"/>
      <c r="AJ6821" s="1191"/>
      <c r="AK6821" s="1191"/>
      <c r="AL6821" s="1191"/>
      <c r="AM6821" s="1191"/>
      <c r="AN6821" s="1191"/>
      <c r="AO6821" s="1191"/>
      <c r="AP6821" s="1191"/>
      <c r="AQ6821" s="1191"/>
      <c r="AR6821" s="1191"/>
      <c r="AS6821" s="1191"/>
      <c r="AT6821" s="1191"/>
      <c r="AU6821" s="1191"/>
      <c r="AV6821" s="1191"/>
      <c r="AW6821" s="1191"/>
      <c r="AX6821" s="1191"/>
      <c r="AY6821" s="1191"/>
      <c r="AZ6821" s="1191"/>
      <c r="BA6821" s="1191"/>
      <c r="BB6821" s="1191"/>
      <c r="BC6821" s="1191"/>
      <c r="BD6821" s="1191"/>
      <c r="BE6821" s="1191"/>
      <c r="BF6821" s="1191"/>
      <c r="BG6821" s="1191"/>
      <c r="BH6821" s="1191"/>
      <c r="BI6821" s="1191"/>
      <c r="BJ6821" s="1191"/>
      <c r="BK6821" s="1191"/>
      <c r="BL6821" s="1191"/>
      <c r="BM6821" s="1191"/>
      <c r="BN6821" s="1191"/>
      <c r="BO6821" s="1191"/>
      <c r="BP6821" s="1191"/>
      <c r="BQ6821" s="1191"/>
      <c r="BR6821" s="1191"/>
      <c r="BS6821" s="1191"/>
      <c r="BT6821" s="1191"/>
      <c r="BU6821" s="1191"/>
      <c r="BV6821" s="1191"/>
      <c r="BW6821" s="1191"/>
      <c r="BX6821" s="1191"/>
      <c r="BY6821" s="1191"/>
      <c r="BZ6821" s="1191"/>
      <c r="CA6821" s="1191"/>
      <c r="CB6821" s="1191"/>
      <c r="CC6821" s="1191"/>
      <c r="CD6821" s="1191"/>
      <c r="CE6821" s="1191"/>
      <c r="CF6821" s="1191"/>
      <c r="CG6821" s="1191"/>
      <c r="CH6821" s="1191"/>
      <c r="CI6821" s="1191"/>
      <c r="CJ6821" s="1191"/>
      <c r="CK6821" s="1191"/>
      <c r="CL6821" s="1191"/>
      <c r="CM6821" s="1191"/>
      <c r="CN6821" s="1191"/>
      <c r="CO6821" s="1191"/>
      <c r="CP6821" s="1191"/>
      <c r="CQ6821" s="1191"/>
      <c r="CR6821" s="1191"/>
      <c r="CS6821" s="1191"/>
      <c r="CT6821" s="1191"/>
      <c r="CU6821" s="1191"/>
      <c r="CV6821" s="1191"/>
      <c r="CW6821" s="1191"/>
      <c r="CX6821" s="1191"/>
      <c r="CY6821" s="1191"/>
      <c r="CZ6821" s="1191"/>
      <c r="DA6821" s="1191"/>
      <c r="DB6821" s="1191"/>
      <c r="DC6821" s="1191"/>
      <c r="DD6821" s="1191"/>
      <c r="DE6821" s="1191"/>
      <c r="DF6821" s="1191"/>
      <c r="DG6821" s="1191"/>
      <c r="DH6821" s="1191"/>
      <c r="DI6821" s="1191"/>
      <c r="DJ6821" s="1191"/>
      <c r="DK6821" s="1191"/>
      <c r="DL6821" s="1191"/>
      <c r="DM6821" s="1191"/>
      <c r="DN6821" s="1191"/>
    </row>
    <row r="6822" spans="1:118" s="888" customFormat="1" ht="12"/>
    <row r="6824" spans="1:118">
      <c r="A6824" s="1365" t="s">
        <v>3632</v>
      </c>
    </row>
    <row r="6825" spans="1:118" s="888" customFormat="1" ht="25.5">
      <c r="A6825" s="902" t="s">
        <v>106</v>
      </c>
      <c r="B6825" s="902" t="s">
        <v>52</v>
      </c>
      <c r="C6825" s="902" t="s">
        <v>128</v>
      </c>
      <c r="D6825" s="988" t="s">
        <v>3628</v>
      </c>
      <c r="E6825" s="988" t="s">
        <v>3629</v>
      </c>
      <c r="F6825" s="988" t="s">
        <v>3631</v>
      </c>
      <c r="G6825" s="988" t="s">
        <v>3629</v>
      </c>
      <c r="H6825" s="988" t="s">
        <v>3631</v>
      </c>
    </row>
    <row r="6826" spans="1:118" s="888" customFormat="1" ht="12.75">
      <c r="A6826" s="47" t="s">
        <v>1157</v>
      </c>
      <c r="B6826" s="907">
        <v>148</v>
      </c>
      <c r="C6826" s="47" t="s">
        <v>56</v>
      </c>
      <c r="D6826" s="1058" t="s">
        <v>3630</v>
      </c>
      <c r="E6826" s="891">
        <v>17.940000000000001</v>
      </c>
      <c r="F6826" s="891">
        <v>13.05</v>
      </c>
      <c r="G6826" s="1366">
        <v>1650</v>
      </c>
      <c r="H6826" s="1366">
        <v>1200</v>
      </c>
    </row>
    <row r="6827" spans="1:118" s="888" customFormat="1" ht="12"/>
    <row r="6829" spans="1:118">
      <c r="A6829" s="902" t="s">
        <v>3636</v>
      </c>
      <c r="B6829" s="902" t="s">
        <v>455</v>
      </c>
      <c r="C6829" s="902" t="s">
        <v>1710</v>
      </c>
      <c r="D6829" s="902" t="s">
        <v>3637</v>
      </c>
      <c r="E6829" s="887" t="s">
        <v>3638</v>
      </c>
      <c r="F6829" s="39"/>
    </row>
    <row r="6830" spans="1:118">
      <c r="A6830" s="947" t="s">
        <v>3102</v>
      </c>
      <c r="B6830" s="47" t="s">
        <v>2989</v>
      </c>
      <c r="C6830" s="47" t="s">
        <v>3001</v>
      </c>
      <c r="D6830" s="982">
        <v>594.5</v>
      </c>
      <c r="E6830" s="891">
        <v>15.82</v>
      </c>
      <c r="F6830" s="891">
        <f>E6830*D6830</f>
        <v>9404.99</v>
      </c>
    </row>
    <row r="6831" spans="1:118">
      <c r="A6831" s="947" t="s">
        <v>3102</v>
      </c>
      <c r="B6831" s="47" t="s">
        <v>2989</v>
      </c>
      <c r="C6831" s="47" t="s">
        <v>2997</v>
      </c>
      <c r="D6831" s="982">
        <v>317.7</v>
      </c>
      <c r="E6831" s="891">
        <v>15.82</v>
      </c>
      <c r="F6831" s="891">
        <f>E6831*D6831</f>
        <v>5026.0140000000001</v>
      </c>
    </row>
    <row r="6832" spans="1:118">
      <c r="A6832" s="947" t="s">
        <v>3102</v>
      </c>
      <c r="B6832" s="47" t="s">
        <v>2989</v>
      </c>
      <c r="C6832" s="47" t="s">
        <v>3000</v>
      </c>
      <c r="D6832" s="982">
        <v>317.89999999999998</v>
      </c>
      <c r="E6832" s="891">
        <v>15.82</v>
      </c>
      <c r="F6832" s="891">
        <f>E6832*D6832</f>
        <v>5029.1779999999999</v>
      </c>
    </row>
    <row r="6834" spans="1:4">
      <c r="A6834" s="1261" t="s">
        <v>3640</v>
      </c>
    </row>
    <row r="6835" spans="1:4">
      <c r="A6835" s="902" t="s">
        <v>455</v>
      </c>
      <c r="B6835" s="902" t="s">
        <v>1825</v>
      </c>
      <c r="C6835" s="902" t="s">
        <v>3645</v>
      </c>
    </row>
    <row r="6836" spans="1:4" ht="14.25">
      <c r="A6836" s="103" t="s">
        <v>3639</v>
      </c>
      <c r="B6836" s="1370">
        <f>ROUNDUP(D6836/0.75/120,2)</f>
        <v>10.56</v>
      </c>
      <c r="C6836" s="1370" t="s">
        <v>3646</v>
      </c>
      <c r="D6836">
        <v>950</v>
      </c>
    </row>
    <row r="6837" spans="1:4">
      <c r="A6837" s="902" t="s">
        <v>455</v>
      </c>
      <c r="B6837" s="902" t="s">
        <v>1825</v>
      </c>
      <c r="C6837" s="902"/>
    </row>
    <row r="6838" spans="1:4" ht="14.25">
      <c r="A6838" s="103" t="s">
        <v>3641</v>
      </c>
      <c r="B6838" s="1370">
        <f>ROUNDUP(D6838/0.75/120,2)</f>
        <v>10.56</v>
      </c>
      <c r="C6838" s="1370" t="s">
        <v>3646</v>
      </c>
      <c r="D6838">
        <v>950</v>
      </c>
    </row>
    <row r="6839" spans="1:4">
      <c r="A6839" s="902" t="s">
        <v>455</v>
      </c>
      <c r="B6839" s="902" t="s">
        <v>1825</v>
      </c>
      <c r="C6839" s="902"/>
    </row>
    <row r="6840" spans="1:4" ht="14.25">
      <c r="A6840" s="103" t="s">
        <v>3642</v>
      </c>
      <c r="B6840" s="1370">
        <f>ROUNDUP(D6840/0.75/120,2)</f>
        <v>10.56</v>
      </c>
      <c r="C6840" s="1370" t="s">
        <v>3646</v>
      </c>
      <c r="D6840">
        <v>950</v>
      </c>
    </row>
    <row r="6841" spans="1:4">
      <c r="A6841" s="902" t="s">
        <v>455</v>
      </c>
      <c r="B6841" s="902" t="s">
        <v>1825</v>
      </c>
      <c r="C6841" s="902"/>
    </row>
    <row r="6842" spans="1:4" ht="14.25">
      <c r="A6842" s="103" t="s">
        <v>3643</v>
      </c>
      <c r="B6842" s="1370">
        <f>ROUNDUP(D6842/0.75/120,2)</f>
        <v>10.56</v>
      </c>
      <c r="C6842" s="1370" t="s">
        <v>3646</v>
      </c>
      <c r="D6842">
        <v>950</v>
      </c>
    </row>
    <row r="6843" spans="1:4">
      <c r="A6843" s="902" t="s">
        <v>455</v>
      </c>
      <c r="B6843" s="902" t="s">
        <v>1825</v>
      </c>
      <c r="C6843" s="902"/>
    </row>
    <row r="6844" spans="1:4" ht="14.25">
      <c r="A6844" s="103" t="s">
        <v>3644</v>
      </c>
      <c r="B6844" s="1370">
        <f>ROUNDUP(D6844/0.75/120,2)</f>
        <v>10.56</v>
      </c>
      <c r="C6844" s="1370" t="s">
        <v>3646</v>
      </c>
      <c r="D6844">
        <v>950</v>
      </c>
    </row>
    <row r="6847" spans="1:4">
      <c r="A6847" s="902" t="s">
        <v>3647</v>
      </c>
      <c r="B6847" s="902" t="s">
        <v>128</v>
      </c>
      <c r="C6847" s="967" t="s">
        <v>3648</v>
      </c>
    </row>
    <row r="6848" spans="1:4">
      <c r="A6848" s="909" t="s">
        <v>3306</v>
      </c>
      <c r="B6848" s="1209" t="s">
        <v>3307</v>
      </c>
      <c r="C6848" s="1214"/>
    </row>
    <row r="6849" spans="1:17">
      <c r="A6849" s="909" t="s">
        <v>3308</v>
      </c>
      <c r="B6849" s="1209" t="s">
        <v>3309</v>
      </c>
      <c r="C6849" s="1214"/>
    </row>
    <row r="6850" spans="1:17">
      <c r="A6850" s="909" t="s">
        <v>3310</v>
      </c>
      <c r="B6850" s="1209" t="s">
        <v>3309</v>
      </c>
      <c r="C6850" s="1214"/>
    </row>
    <row r="6851" spans="1:17">
      <c r="A6851" s="909" t="s">
        <v>3311</v>
      </c>
      <c r="B6851" s="1209" t="s">
        <v>3312</v>
      </c>
      <c r="C6851" s="1214"/>
    </row>
    <row r="6852" spans="1:17">
      <c r="A6852" s="909" t="s">
        <v>3313</v>
      </c>
      <c r="B6852" s="1209" t="s">
        <v>3314</v>
      </c>
      <c r="C6852" s="1214"/>
    </row>
    <row r="6853" spans="1:17">
      <c r="A6853" s="909" t="s">
        <v>3315</v>
      </c>
      <c r="B6853" s="1209" t="s">
        <v>3309</v>
      </c>
      <c r="C6853" s="1214"/>
    </row>
    <row r="6857" spans="1:17">
      <c r="A6857" s="902" t="s">
        <v>753</v>
      </c>
      <c r="B6857" s="902" t="s">
        <v>455</v>
      </c>
      <c r="C6857" s="902" t="s">
        <v>377</v>
      </c>
      <c r="D6857" s="902" t="s">
        <v>128</v>
      </c>
      <c r="E6857" s="887" t="s">
        <v>1186</v>
      </c>
      <c r="F6857" s="887" t="s">
        <v>1652</v>
      </c>
      <c r="G6857" s="887" t="s">
        <v>1653</v>
      </c>
      <c r="H6857" s="887" t="s">
        <v>3674</v>
      </c>
      <c r="I6857" s="967" t="s">
        <v>1257</v>
      </c>
      <c r="J6857" s="916" t="s">
        <v>10</v>
      </c>
      <c r="K6857" s="39"/>
      <c r="L6857" s="39"/>
      <c r="M6857" s="39"/>
      <c r="N6857" s="1148"/>
      <c r="O6857" s="1059"/>
      <c r="P6857" s="1150"/>
      <c r="Q6857" s="1371"/>
    </row>
    <row r="6858" spans="1:17">
      <c r="A6858" s="947" t="s">
        <v>3668</v>
      </c>
      <c r="B6858" s="47">
        <v>2440</v>
      </c>
      <c r="C6858" s="907">
        <v>140</v>
      </c>
      <c r="D6858" s="47" t="s">
        <v>859</v>
      </c>
      <c r="E6858" s="50">
        <v>58</v>
      </c>
      <c r="F6858" s="911">
        <v>20</v>
      </c>
      <c r="G6858" s="50">
        <f t="shared" ref="G6858:G6863" si="29">E6858*F6858</f>
        <v>1160</v>
      </c>
      <c r="H6858" s="50" t="s">
        <v>3675</v>
      </c>
      <c r="I6858" s="1375" t="s">
        <v>3677</v>
      </c>
      <c r="J6858" s="891">
        <v>3.89</v>
      </c>
      <c r="K6858" s="891">
        <f t="shared" ref="K6858:K6863" si="30">J6858*G6858</f>
        <v>4512.4000000000005</v>
      </c>
      <c r="L6858" s="1202" t="s">
        <v>2219</v>
      </c>
      <c r="M6858" s="1208" t="s">
        <v>3650</v>
      </c>
      <c r="N6858" s="1148"/>
      <c r="O6858" s="891" t="e">
        <f>J6858*(VLOOKUP(#REF!,$C$2:$F$6,3,FALSE))</f>
        <v>#REF!</v>
      </c>
      <c r="P6858" s="1150">
        <v>3.66</v>
      </c>
      <c r="Q6858" s="1268">
        <v>280</v>
      </c>
    </row>
    <row r="6859" spans="1:17">
      <c r="A6859" s="947" t="s">
        <v>3669</v>
      </c>
      <c r="B6859" s="47" t="s">
        <v>3626</v>
      </c>
      <c r="C6859" s="907">
        <v>152</v>
      </c>
      <c r="D6859" s="47" t="s">
        <v>859</v>
      </c>
      <c r="E6859" s="50">
        <v>58</v>
      </c>
      <c r="F6859" s="911">
        <v>20</v>
      </c>
      <c r="G6859" s="50">
        <f t="shared" si="29"/>
        <v>1160</v>
      </c>
      <c r="H6859" s="50" t="s">
        <v>3676</v>
      </c>
      <c r="I6859" s="1375" t="s">
        <v>3678</v>
      </c>
      <c r="J6859" s="891">
        <v>3.89</v>
      </c>
      <c r="K6859" s="891">
        <f t="shared" si="30"/>
        <v>4512.4000000000005</v>
      </c>
      <c r="L6859" s="1202" t="s">
        <v>2219</v>
      </c>
      <c r="M6859" s="239" t="s">
        <v>3656</v>
      </c>
      <c r="N6859" s="1148"/>
      <c r="O6859" s="891" t="e">
        <f>J6859*(VLOOKUP(#REF!,$C$2:$F$6,3,FALSE))</f>
        <v>#REF!</v>
      </c>
      <c r="P6859" s="1150">
        <v>3.66</v>
      </c>
      <c r="Q6859" s="1268">
        <v>220</v>
      </c>
    </row>
    <row r="6860" spans="1:17">
      <c r="A6860" s="947" t="s">
        <v>3670</v>
      </c>
      <c r="B6860" s="47" t="s">
        <v>3626</v>
      </c>
      <c r="C6860" s="907">
        <v>152</v>
      </c>
      <c r="D6860" s="47" t="s">
        <v>859</v>
      </c>
      <c r="E6860" s="50">
        <v>58</v>
      </c>
      <c r="F6860" s="911">
        <v>20</v>
      </c>
      <c r="G6860" s="50">
        <f t="shared" si="29"/>
        <v>1160</v>
      </c>
      <c r="H6860" s="50" t="s">
        <v>3676</v>
      </c>
      <c r="I6860" s="1375" t="s">
        <v>3679</v>
      </c>
      <c r="J6860" s="891">
        <v>3.89</v>
      </c>
      <c r="K6860" s="891">
        <f t="shared" si="30"/>
        <v>4512.4000000000005</v>
      </c>
      <c r="L6860" s="1202" t="s">
        <v>2219</v>
      </c>
      <c r="M6860" s="1347" t="s">
        <v>3657</v>
      </c>
      <c r="N6860" s="1148"/>
      <c r="O6860" s="891" t="e">
        <f>J6860*(VLOOKUP(#REF!,$C$2:$F$6,3,FALSE))</f>
        <v>#REF!</v>
      </c>
      <c r="P6860" s="1150">
        <v>3.66</v>
      </c>
      <c r="Q6860" s="1268">
        <v>220</v>
      </c>
    </row>
    <row r="6861" spans="1:17">
      <c r="A6861" s="947" t="s">
        <v>3671</v>
      </c>
      <c r="B6861" s="47" t="s">
        <v>3626</v>
      </c>
      <c r="C6861" s="907">
        <v>152</v>
      </c>
      <c r="D6861" s="47" t="s">
        <v>859</v>
      </c>
      <c r="E6861" s="50">
        <v>58</v>
      </c>
      <c r="F6861" s="911">
        <v>20</v>
      </c>
      <c r="G6861" s="50">
        <f t="shared" si="29"/>
        <v>1160</v>
      </c>
      <c r="H6861" s="50" t="s">
        <v>3676</v>
      </c>
      <c r="I6861" s="1375" t="s">
        <v>3680</v>
      </c>
      <c r="J6861" s="891">
        <v>3.89</v>
      </c>
      <c r="K6861" s="891">
        <f t="shared" si="30"/>
        <v>4512.4000000000005</v>
      </c>
      <c r="L6861" s="1202" t="s">
        <v>2219</v>
      </c>
      <c r="M6861" s="1347" t="s">
        <v>3658</v>
      </c>
      <c r="N6861" s="1148"/>
      <c r="O6861" s="891" t="e">
        <f>J6861*(VLOOKUP(#REF!,$C$2:$F$6,3,FALSE))</f>
        <v>#REF!</v>
      </c>
      <c r="P6861" s="1150">
        <v>3.66</v>
      </c>
      <c r="Q6861" s="1268">
        <v>220</v>
      </c>
    </row>
    <row r="6862" spans="1:17">
      <c r="A6862" s="947" t="s">
        <v>3672</v>
      </c>
      <c r="B6862" s="47" t="s">
        <v>3626</v>
      </c>
      <c r="C6862" s="907">
        <v>152</v>
      </c>
      <c r="D6862" s="47" t="s">
        <v>859</v>
      </c>
      <c r="E6862" s="50">
        <v>58</v>
      </c>
      <c r="F6862" s="911">
        <v>20</v>
      </c>
      <c r="G6862" s="50">
        <f t="shared" si="29"/>
        <v>1160</v>
      </c>
      <c r="H6862" s="50" t="s">
        <v>3676</v>
      </c>
      <c r="I6862" s="1375" t="s">
        <v>3681</v>
      </c>
      <c r="J6862" s="891">
        <v>3.89</v>
      </c>
      <c r="K6862" s="891">
        <f t="shared" si="30"/>
        <v>4512.4000000000005</v>
      </c>
      <c r="L6862" s="1202" t="s">
        <v>2219</v>
      </c>
      <c r="M6862" s="1347" t="s">
        <v>3659</v>
      </c>
      <c r="N6862" s="1148"/>
      <c r="O6862" s="891" t="e">
        <f>J6862*(VLOOKUP(#REF!,$C$2:$F$6,3,FALSE))</f>
        <v>#REF!</v>
      </c>
      <c r="P6862" s="1150">
        <v>3.66</v>
      </c>
      <c r="Q6862" s="1268">
        <v>220</v>
      </c>
    </row>
    <row r="6863" spans="1:17">
      <c r="A6863" s="947" t="s">
        <v>3673</v>
      </c>
      <c r="B6863" s="47" t="s">
        <v>3626</v>
      </c>
      <c r="C6863" s="907">
        <v>152</v>
      </c>
      <c r="D6863" s="47" t="s">
        <v>859</v>
      </c>
      <c r="E6863" s="50">
        <v>58</v>
      </c>
      <c r="F6863" s="911">
        <v>20</v>
      </c>
      <c r="G6863" s="50">
        <f t="shared" si="29"/>
        <v>1160</v>
      </c>
      <c r="H6863" s="50" t="s">
        <v>3676</v>
      </c>
      <c r="I6863" s="1375" t="s">
        <v>3682</v>
      </c>
      <c r="J6863" s="891">
        <v>3.89</v>
      </c>
      <c r="K6863" s="891">
        <f t="shared" si="30"/>
        <v>4512.4000000000005</v>
      </c>
      <c r="L6863" s="1202" t="s">
        <v>2219</v>
      </c>
      <c r="M6863" s="1347" t="s">
        <v>3660</v>
      </c>
      <c r="N6863" s="1148"/>
      <c r="O6863" s="891" t="e">
        <f>J6863*(VLOOKUP(#REF!,$C$2:$F$6,3,FALSE))</f>
        <v>#REF!</v>
      </c>
      <c r="P6863" s="1150">
        <v>3.66</v>
      </c>
      <c r="Q6863" s="1268">
        <v>220</v>
      </c>
    </row>
    <row r="6867" spans="1:15">
      <c r="A6867" s="902" t="s">
        <v>753</v>
      </c>
      <c r="B6867" s="902" t="s">
        <v>455</v>
      </c>
      <c r="C6867" s="902" t="s">
        <v>377</v>
      </c>
      <c r="D6867" s="902" t="s">
        <v>128</v>
      </c>
      <c r="E6867" s="887" t="s">
        <v>1186</v>
      </c>
      <c r="F6867" s="887" t="s">
        <v>1652</v>
      </c>
      <c r="G6867" s="887" t="s">
        <v>1653</v>
      </c>
      <c r="H6867" s="887" t="s">
        <v>3674</v>
      </c>
      <c r="I6867" s="967" t="s">
        <v>1257</v>
      </c>
      <c r="J6867" s="39"/>
      <c r="K6867" s="39"/>
      <c r="L6867" s="1148"/>
      <c r="M6867" s="1059"/>
      <c r="N6867" s="1150"/>
      <c r="O6867" s="1151"/>
    </row>
    <row r="6868" spans="1:15">
      <c r="A6868" s="4" t="s">
        <v>3683</v>
      </c>
      <c r="B6868" s="47" t="s">
        <v>536</v>
      </c>
      <c r="C6868" s="907">
        <v>160</v>
      </c>
      <c r="D6868" s="909" t="s">
        <v>735</v>
      </c>
      <c r="E6868" s="50">
        <v>50</v>
      </c>
      <c r="F6868" s="911">
        <v>2</v>
      </c>
      <c r="G6868" s="905">
        <f t="shared" ref="G6868:G6873" si="31">E6868*F6868</f>
        <v>100</v>
      </c>
      <c r="H6868" s="346" t="s">
        <v>3687</v>
      </c>
      <c r="I6868" s="1376" t="s">
        <v>3690</v>
      </c>
      <c r="J6868" s="1202" t="s">
        <v>2218</v>
      </c>
      <c r="K6868" s="1347" t="s">
        <v>3665</v>
      </c>
      <c r="L6868" s="1148"/>
      <c r="M6868" s="891" t="e">
        <f>H6868*(VLOOKUP(#REF!,$C$2:$F$6,3,FALSE))</f>
        <v>#VALUE!</v>
      </c>
      <c r="N6868" s="1150">
        <v>4.7</v>
      </c>
      <c r="O6868" s="1268">
        <v>360</v>
      </c>
    </row>
    <row r="6869" spans="1:15">
      <c r="A6869" s="4" t="s">
        <v>3683</v>
      </c>
      <c r="B6869" s="47" t="s">
        <v>536</v>
      </c>
      <c r="C6869" s="907">
        <v>160</v>
      </c>
      <c r="D6869" s="909" t="s">
        <v>859</v>
      </c>
      <c r="E6869" s="50">
        <v>50</v>
      </c>
      <c r="F6869" s="911">
        <v>2</v>
      </c>
      <c r="G6869" s="905">
        <f t="shared" si="31"/>
        <v>100</v>
      </c>
      <c r="H6869" s="346" t="s">
        <v>3687</v>
      </c>
      <c r="I6869" s="1376" t="s">
        <v>3690</v>
      </c>
      <c r="J6869" s="1202" t="s">
        <v>2218</v>
      </c>
      <c r="K6869" s="1347" t="s">
        <v>3665</v>
      </c>
      <c r="L6869" s="1148"/>
      <c r="M6869" s="891" t="e">
        <f>H6869*(VLOOKUP(#REF!,$C$2:$F$6,3,FALSE))</f>
        <v>#VALUE!</v>
      </c>
      <c r="N6869" s="1150">
        <v>4.7</v>
      </c>
      <c r="O6869" s="1268">
        <v>360</v>
      </c>
    </row>
    <row r="6870" spans="1:15">
      <c r="A6870" s="4" t="s">
        <v>3683</v>
      </c>
      <c r="B6870" s="47" t="s">
        <v>731</v>
      </c>
      <c r="C6870" s="907">
        <v>140</v>
      </c>
      <c r="D6870" s="47" t="s">
        <v>734</v>
      </c>
      <c r="E6870" s="50">
        <v>58</v>
      </c>
      <c r="F6870" s="911">
        <v>4</v>
      </c>
      <c r="G6870" s="50">
        <f t="shared" si="31"/>
        <v>232</v>
      </c>
      <c r="H6870" s="346" t="s">
        <v>3688</v>
      </c>
      <c r="I6870" s="1376" t="s">
        <v>3690</v>
      </c>
      <c r="J6870" s="1202" t="s">
        <v>2219</v>
      </c>
      <c r="K6870" s="1347" t="s">
        <v>3665</v>
      </c>
      <c r="L6870" s="1148"/>
      <c r="M6870" s="891" t="e">
        <f>H6870*(VLOOKUP(#REF!,$C$2:$F$6,3,FALSE))</f>
        <v>#VALUE!</v>
      </c>
      <c r="N6870" s="1150">
        <v>9.4</v>
      </c>
      <c r="O6870" s="1268">
        <v>720</v>
      </c>
    </row>
    <row r="6871" spans="1:15">
      <c r="A6871" s="4" t="s">
        <v>3683</v>
      </c>
      <c r="B6871" s="47" t="s">
        <v>731</v>
      </c>
      <c r="C6871" s="907">
        <v>140</v>
      </c>
      <c r="D6871" s="47" t="s">
        <v>874</v>
      </c>
      <c r="E6871" s="50">
        <v>58</v>
      </c>
      <c r="F6871" s="911">
        <v>4</v>
      </c>
      <c r="G6871" s="50">
        <f t="shared" si="31"/>
        <v>232</v>
      </c>
      <c r="H6871" s="346" t="s">
        <v>3688</v>
      </c>
      <c r="I6871" s="1376" t="s">
        <v>3690</v>
      </c>
      <c r="J6871" s="1202" t="s">
        <v>2219</v>
      </c>
      <c r="K6871" s="1347" t="s">
        <v>3665</v>
      </c>
      <c r="L6871" s="1148"/>
      <c r="M6871" s="891" t="e">
        <f>H6871*(VLOOKUP(#REF!,$C$2:$F$6,3,FALSE))</f>
        <v>#VALUE!</v>
      </c>
      <c r="N6871" s="1150">
        <v>9.4</v>
      </c>
      <c r="O6871" s="1268">
        <v>720</v>
      </c>
    </row>
    <row r="6872" spans="1:15">
      <c r="A6872" s="4" t="s">
        <v>3683</v>
      </c>
      <c r="B6872" s="47">
        <v>2440</v>
      </c>
      <c r="C6872" s="907">
        <v>140</v>
      </c>
      <c r="D6872" s="47" t="s">
        <v>733</v>
      </c>
      <c r="E6872" s="50">
        <v>58</v>
      </c>
      <c r="F6872" s="911">
        <v>4</v>
      </c>
      <c r="G6872" s="50">
        <f t="shared" si="31"/>
        <v>232</v>
      </c>
      <c r="H6872" s="346" t="s">
        <v>3689</v>
      </c>
      <c r="I6872" s="1376" t="s">
        <v>3690</v>
      </c>
      <c r="J6872" s="1202" t="s">
        <v>2219</v>
      </c>
      <c r="K6872" s="1347" t="s">
        <v>3665</v>
      </c>
      <c r="L6872" s="1148"/>
      <c r="M6872" s="891" t="e">
        <f>H6872*(VLOOKUP(#REF!,$C$2:$F$6,3,FALSE))</f>
        <v>#VALUE!</v>
      </c>
      <c r="N6872" s="1150">
        <v>3.66</v>
      </c>
      <c r="O6872" s="1268">
        <v>280</v>
      </c>
    </row>
    <row r="6873" spans="1:15">
      <c r="A6873" s="4" t="s">
        <v>3683</v>
      </c>
      <c r="B6873" s="47">
        <v>2440</v>
      </c>
      <c r="C6873" s="907">
        <v>140</v>
      </c>
      <c r="D6873" s="47" t="s">
        <v>859</v>
      </c>
      <c r="E6873" s="50">
        <v>58</v>
      </c>
      <c r="F6873" s="911">
        <v>4</v>
      </c>
      <c r="G6873" s="50">
        <f t="shared" si="31"/>
        <v>232</v>
      </c>
      <c r="H6873" s="346" t="s">
        <v>3689</v>
      </c>
      <c r="I6873" s="1376" t="s">
        <v>3690</v>
      </c>
      <c r="J6873" s="1202" t="s">
        <v>2219</v>
      </c>
      <c r="K6873" s="1347" t="s">
        <v>3665</v>
      </c>
      <c r="L6873" s="1148"/>
      <c r="M6873" s="891" t="e">
        <f>H6873*(VLOOKUP(#REF!,$C$2:$F$6,3,FALSE))</f>
        <v>#VALUE!</v>
      </c>
      <c r="N6873" s="1150">
        <v>3.66</v>
      </c>
      <c r="O6873" s="1268">
        <v>280</v>
      </c>
    </row>
    <row r="6874" spans="1:15">
      <c r="A6874" s="710"/>
      <c r="B6874" s="1116"/>
      <c r="C6874" s="921"/>
      <c r="D6874" s="921"/>
      <c r="E6874" s="922"/>
      <c r="F6874" s="923"/>
      <c r="G6874" s="924"/>
      <c r="H6874" s="1116"/>
      <c r="I6874" s="310"/>
      <c r="J6874" s="310"/>
      <c r="K6874" s="310"/>
      <c r="L6874" s="1372"/>
      <c r="M6874" s="710"/>
      <c r="N6874" s="1373"/>
      <c r="O6874" s="1374"/>
    </row>
    <row r="6875" spans="1:15">
      <c r="A6875" s="4" t="s">
        <v>3684</v>
      </c>
      <c r="B6875" s="47" t="s">
        <v>536</v>
      </c>
      <c r="C6875" s="907">
        <v>160</v>
      </c>
      <c r="D6875" s="909" t="s">
        <v>735</v>
      </c>
      <c r="E6875" s="50">
        <v>50</v>
      </c>
      <c r="F6875" s="911">
        <v>2</v>
      </c>
      <c r="G6875" s="905">
        <f t="shared" ref="G6875:G6880" si="32">E6875*F6875</f>
        <v>100</v>
      </c>
      <c r="H6875" s="346" t="s">
        <v>3687</v>
      </c>
      <c r="I6875" s="1376" t="s">
        <v>3691</v>
      </c>
      <c r="J6875" s="1202" t="s">
        <v>2218</v>
      </c>
      <c r="K6875" s="1347" t="s">
        <v>3666</v>
      </c>
      <c r="L6875" s="1148"/>
      <c r="M6875" s="891" t="e">
        <f>H6875*(VLOOKUP(#REF!,$C$2:$F$6,3,FALSE))</f>
        <v>#VALUE!</v>
      </c>
      <c r="N6875" s="1150">
        <v>4.7</v>
      </c>
      <c r="O6875" s="1268">
        <v>360</v>
      </c>
    </row>
    <row r="6876" spans="1:15">
      <c r="A6876" s="4" t="s">
        <v>3684</v>
      </c>
      <c r="B6876" s="47" t="s">
        <v>536</v>
      </c>
      <c r="C6876" s="907">
        <v>160</v>
      </c>
      <c r="D6876" s="909" t="s">
        <v>859</v>
      </c>
      <c r="E6876" s="50">
        <v>50</v>
      </c>
      <c r="F6876" s="911">
        <v>2</v>
      </c>
      <c r="G6876" s="905">
        <f t="shared" si="32"/>
        <v>100</v>
      </c>
      <c r="H6876" s="346" t="s">
        <v>3687</v>
      </c>
      <c r="I6876" s="1376" t="s">
        <v>3691</v>
      </c>
      <c r="J6876" s="1202" t="s">
        <v>2218</v>
      </c>
      <c r="K6876" s="1347" t="s">
        <v>3666</v>
      </c>
      <c r="L6876" s="1148"/>
      <c r="M6876" s="891" t="e">
        <f>H6876*(VLOOKUP(#REF!,$C$2:$F$6,3,FALSE))</f>
        <v>#VALUE!</v>
      </c>
      <c r="N6876" s="1150">
        <v>4.7</v>
      </c>
      <c r="O6876" s="1268">
        <v>360</v>
      </c>
    </row>
    <row r="6877" spans="1:15">
      <c r="A6877" s="4" t="s">
        <v>3684</v>
      </c>
      <c r="B6877" s="47" t="s">
        <v>731</v>
      </c>
      <c r="C6877" s="907">
        <v>140</v>
      </c>
      <c r="D6877" s="47" t="s">
        <v>734</v>
      </c>
      <c r="E6877" s="50">
        <v>58</v>
      </c>
      <c r="F6877" s="911">
        <v>4</v>
      </c>
      <c r="G6877" s="50">
        <f t="shared" si="32"/>
        <v>232</v>
      </c>
      <c r="H6877" s="346" t="s">
        <v>3688</v>
      </c>
      <c r="I6877" s="1376" t="s">
        <v>3691</v>
      </c>
      <c r="J6877" s="1202" t="s">
        <v>2219</v>
      </c>
      <c r="K6877" s="1347" t="s">
        <v>3666</v>
      </c>
      <c r="L6877" s="1148"/>
      <c r="M6877" s="891" t="e">
        <f>H6877*(VLOOKUP(#REF!,$C$2:$F$6,3,FALSE))</f>
        <v>#VALUE!</v>
      </c>
      <c r="N6877" s="1150">
        <v>9.4</v>
      </c>
      <c r="O6877" s="1268">
        <v>720</v>
      </c>
    </row>
    <row r="6878" spans="1:15">
      <c r="A6878" s="4" t="s">
        <v>3684</v>
      </c>
      <c r="B6878" s="47" t="s">
        <v>731</v>
      </c>
      <c r="C6878" s="907">
        <v>140</v>
      </c>
      <c r="D6878" s="47" t="s">
        <v>874</v>
      </c>
      <c r="E6878" s="50">
        <v>58</v>
      </c>
      <c r="F6878" s="911">
        <v>4</v>
      </c>
      <c r="G6878" s="50">
        <f t="shared" si="32"/>
        <v>232</v>
      </c>
      <c r="H6878" s="346" t="s">
        <v>3688</v>
      </c>
      <c r="I6878" s="1376" t="s">
        <v>3691</v>
      </c>
      <c r="J6878" s="1202" t="s">
        <v>2219</v>
      </c>
      <c r="K6878" s="1347" t="s">
        <v>3666</v>
      </c>
      <c r="L6878" s="1148"/>
      <c r="M6878" s="891" t="e">
        <f>H6878*(VLOOKUP(#REF!,$C$2:$F$6,3,FALSE))</f>
        <v>#VALUE!</v>
      </c>
      <c r="N6878" s="1150">
        <v>9.4</v>
      </c>
      <c r="O6878" s="1268">
        <v>720</v>
      </c>
    </row>
    <row r="6879" spans="1:15">
      <c r="A6879" s="4" t="s">
        <v>3684</v>
      </c>
      <c r="B6879" s="47">
        <v>2440</v>
      </c>
      <c r="C6879" s="907">
        <v>140</v>
      </c>
      <c r="D6879" s="47" t="s">
        <v>733</v>
      </c>
      <c r="E6879" s="50">
        <v>58</v>
      </c>
      <c r="F6879" s="911">
        <v>4</v>
      </c>
      <c r="G6879" s="50">
        <f t="shared" si="32"/>
        <v>232</v>
      </c>
      <c r="H6879" s="346" t="s">
        <v>3689</v>
      </c>
      <c r="I6879" s="1376" t="s">
        <v>3691</v>
      </c>
      <c r="J6879" s="1202" t="s">
        <v>2219</v>
      </c>
      <c r="K6879" s="1347" t="s">
        <v>3666</v>
      </c>
      <c r="L6879" s="1148"/>
      <c r="M6879" s="891" t="e">
        <f>H6879*(VLOOKUP(#REF!,$C$2:$F$6,3,FALSE))</f>
        <v>#VALUE!</v>
      </c>
      <c r="N6879" s="1150">
        <v>3.66</v>
      </c>
      <c r="O6879" s="1268">
        <v>280</v>
      </c>
    </row>
    <row r="6880" spans="1:15">
      <c r="A6880" s="4" t="s">
        <v>3684</v>
      </c>
      <c r="B6880" s="47">
        <v>2440</v>
      </c>
      <c r="C6880" s="907">
        <v>140</v>
      </c>
      <c r="D6880" s="47" t="s">
        <v>859</v>
      </c>
      <c r="E6880" s="50">
        <v>58</v>
      </c>
      <c r="F6880" s="911">
        <v>4</v>
      </c>
      <c r="G6880" s="50">
        <f t="shared" si="32"/>
        <v>232</v>
      </c>
      <c r="H6880" s="346" t="s">
        <v>3689</v>
      </c>
      <c r="I6880" s="1376" t="s">
        <v>3691</v>
      </c>
      <c r="J6880" s="1202" t="s">
        <v>2219</v>
      </c>
      <c r="K6880" s="1347" t="s">
        <v>3666</v>
      </c>
      <c r="L6880" s="1148"/>
      <c r="M6880" s="891" t="e">
        <f>H6880*(VLOOKUP(#REF!,$C$2:$F$6,3,FALSE))</f>
        <v>#VALUE!</v>
      </c>
      <c r="N6880" s="1150">
        <v>3.66</v>
      </c>
      <c r="O6880" s="1268">
        <v>280</v>
      </c>
    </row>
    <row r="6881" spans="1:15">
      <c r="A6881" s="710"/>
      <c r="B6881" s="1116"/>
      <c r="C6881" s="921"/>
      <c r="D6881" s="921"/>
      <c r="E6881" s="922"/>
      <c r="F6881" s="923"/>
      <c r="G6881" s="924"/>
      <c r="H6881" s="1116"/>
      <c r="I6881" s="310"/>
      <c r="J6881" s="310"/>
      <c r="K6881" s="310"/>
      <c r="L6881" s="1372"/>
      <c r="M6881" s="710"/>
      <c r="N6881" s="1373"/>
      <c r="O6881" s="1374"/>
    </row>
    <row r="6882" spans="1:15">
      <c r="A6882" s="4" t="s">
        <v>3685</v>
      </c>
      <c r="B6882" s="47" t="s">
        <v>536</v>
      </c>
      <c r="C6882" s="907">
        <v>160</v>
      </c>
      <c r="D6882" s="909" t="s">
        <v>735</v>
      </c>
      <c r="E6882" s="50">
        <v>50</v>
      </c>
      <c r="F6882" s="911">
        <v>1</v>
      </c>
      <c r="G6882" s="905">
        <f t="shared" ref="G6882:G6887" si="33">E6882*F6882</f>
        <v>50</v>
      </c>
      <c r="H6882" s="346" t="s">
        <v>3687</v>
      </c>
      <c r="I6882" s="950" t="s">
        <v>3692</v>
      </c>
      <c r="J6882" s="1202" t="s">
        <v>2218</v>
      </c>
      <c r="K6882" s="1347" t="s">
        <v>3667</v>
      </c>
      <c r="L6882" s="1148"/>
      <c r="M6882" s="891" t="e">
        <f>H6882*(VLOOKUP(#REF!,$C$2:$F$6,3,FALSE))</f>
        <v>#VALUE!</v>
      </c>
      <c r="N6882" s="1150">
        <v>4.7</v>
      </c>
      <c r="O6882" s="1268">
        <v>360</v>
      </c>
    </row>
    <row r="6883" spans="1:15">
      <c r="A6883" s="4" t="s">
        <v>3685</v>
      </c>
      <c r="B6883" s="47" t="s">
        <v>536</v>
      </c>
      <c r="C6883" s="907">
        <v>160</v>
      </c>
      <c r="D6883" s="909" t="s">
        <v>859</v>
      </c>
      <c r="E6883" s="50">
        <v>50</v>
      </c>
      <c r="F6883" s="911">
        <v>1</v>
      </c>
      <c r="G6883" s="905">
        <f t="shared" si="33"/>
        <v>50</v>
      </c>
      <c r="H6883" s="346" t="s">
        <v>3687</v>
      </c>
      <c r="I6883" s="950" t="s">
        <v>3692</v>
      </c>
      <c r="J6883" s="1202" t="s">
        <v>2218</v>
      </c>
      <c r="K6883" s="1347" t="s">
        <v>3667</v>
      </c>
      <c r="L6883" s="1148"/>
      <c r="M6883" s="891" t="e">
        <f>H6883*(VLOOKUP(#REF!,$C$2:$F$6,3,FALSE))</f>
        <v>#VALUE!</v>
      </c>
      <c r="N6883" s="1150">
        <v>4.7</v>
      </c>
      <c r="O6883" s="1268">
        <v>360</v>
      </c>
    </row>
    <row r="6884" spans="1:15">
      <c r="A6884" s="4" t="s">
        <v>3685</v>
      </c>
      <c r="B6884" s="47" t="s">
        <v>731</v>
      </c>
      <c r="C6884" s="907">
        <v>140</v>
      </c>
      <c r="D6884" s="47" t="s">
        <v>734</v>
      </c>
      <c r="E6884" s="50">
        <v>58</v>
      </c>
      <c r="F6884" s="911">
        <v>5</v>
      </c>
      <c r="G6884" s="50">
        <f t="shared" si="33"/>
        <v>290</v>
      </c>
      <c r="H6884" s="346" t="s">
        <v>3688</v>
      </c>
      <c r="I6884" s="950" t="s">
        <v>3692</v>
      </c>
      <c r="J6884" s="1202" t="s">
        <v>2219</v>
      </c>
      <c r="K6884" s="1347" t="s">
        <v>3667</v>
      </c>
      <c r="L6884" s="1148"/>
      <c r="M6884" s="891" t="e">
        <f>H6884*(VLOOKUP(#REF!,$C$2:$F$6,3,FALSE))</f>
        <v>#VALUE!</v>
      </c>
      <c r="N6884" s="1150">
        <v>9.4</v>
      </c>
      <c r="O6884" s="1268">
        <v>720</v>
      </c>
    </row>
    <row r="6885" spans="1:15">
      <c r="A6885" s="4" t="s">
        <v>3685</v>
      </c>
      <c r="B6885" s="47" t="s">
        <v>731</v>
      </c>
      <c r="C6885" s="907">
        <v>140</v>
      </c>
      <c r="D6885" s="47" t="s">
        <v>874</v>
      </c>
      <c r="E6885" s="50">
        <v>58</v>
      </c>
      <c r="F6885" s="911">
        <v>2</v>
      </c>
      <c r="G6885" s="50">
        <f t="shared" si="33"/>
        <v>116</v>
      </c>
      <c r="H6885" s="346" t="s">
        <v>3688</v>
      </c>
      <c r="I6885" s="950" t="s">
        <v>3692</v>
      </c>
      <c r="J6885" s="1202" t="s">
        <v>2219</v>
      </c>
      <c r="K6885" s="1347" t="s">
        <v>3667</v>
      </c>
      <c r="L6885" s="1148"/>
      <c r="M6885" s="891" t="e">
        <f>H6885*(VLOOKUP(#REF!,$C$2:$F$6,3,FALSE))</f>
        <v>#VALUE!</v>
      </c>
      <c r="N6885" s="1150">
        <v>9.4</v>
      </c>
      <c r="O6885" s="1268">
        <v>720</v>
      </c>
    </row>
    <row r="6886" spans="1:15">
      <c r="A6886" s="4" t="s">
        <v>3685</v>
      </c>
      <c r="B6886" s="47">
        <v>2440</v>
      </c>
      <c r="C6886" s="907">
        <v>140</v>
      </c>
      <c r="D6886" s="47" t="s">
        <v>733</v>
      </c>
      <c r="E6886" s="50">
        <v>58</v>
      </c>
      <c r="F6886" s="911">
        <v>5</v>
      </c>
      <c r="G6886" s="50">
        <f t="shared" si="33"/>
        <v>290</v>
      </c>
      <c r="H6886" s="346" t="s">
        <v>3689</v>
      </c>
      <c r="I6886" s="950" t="s">
        <v>3692</v>
      </c>
      <c r="J6886" s="1202" t="s">
        <v>2219</v>
      </c>
      <c r="K6886" s="1347" t="s">
        <v>3667</v>
      </c>
      <c r="L6886" s="1148"/>
      <c r="M6886" s="891" t="e">
        <f>H6886*(VLOOKUP(#REF!,$C$2:$F$6,3,FALSE))</f>
        <v>#VALUE!</v>
      </c>
      <c r="N6886" s="1150">
        <v>3.66</v>
      </c>
      <c r="O6886" s="1268">
        <v>280</v>
      </c>
    </row>
    <row r="6887" spans="1:15">
      <c r="A6887" s="4" t="s">
        <v>3685</v>
      </c>
      <c r="B6887" s="47">
        <v>2440</v>
      </c>
      <c r="C6887" s="907">
        <v>140</v>
      </c>
      <c r="D6887" s="47" t="s">
        <v>859</v>
      </c>
      <c r="E6887" s="50">
        <v>58</v>
      </c>
      <c r="F6887" s="911">
        <v>2</v>
      </c>
      <c r="G6887" s="50">
        <f t="shared" si="33"/>
        <v>116</v>
      </c>
      <c r="H6887" s="346" t="s">
        <v>3689</v>
      </c>
      <c r="I6887" s="950" t="s">
        <v>3692</v>
      </c>
      <c r="J6887" s="1202" t="s">
        <v>2219</v>
      </c>
      <c r="K6887" s="1347" t="s">
        <v>3667</v>
      </c>
      <c r="L6887" s="1148"/>
      <c r="M6887" s="891" t="e">
        <f>H6887*(VLOOKUP(#REF!,$C$2:$F$6,3,FALSE))</f>
        <v>#VALUE!</v>
      </c>
      <c r="N6887" s="1150">
        <v>3.66</v>
      </c>
      <c r="O6887" s="1268">
        <v>280</v>
      </c>
    </row>
    <row r="6888" spans="1:15">
      <c r="A6888" s="710"/>
      <c r="B6888" s="1116"/>
      <c r="C6888" s="921"/>
      <c r="D6888" s="921"/>
      <c r="E6888" s="922"/>
      <c r="F6888" s="923"/>
      <c r="G6888" s="924"/>
      <c r="H6888" s="1116"/>
      <c r="I6888" s="310"/>
      <c r="J6888" s="310"/>
      <c r="K6888" s="310"/>
      <c r="L6888" s="1372"/>
      <c r="M6888" s="710"/>
      <c r="N6888" s="1373"/>
      <c r="O6888" s="1374"/>
    </row>
    <row r="6889" spans="1:15">
      <c r="A6889" s="4" t="s">
        <v>3686</v>
      </c>
      <c r="B6889" s="47" t="s">
        <v>536</v>
      </c>
      <c r="C6889" s="907">
        <v>160</v>
      </c>
      <c r="D6889" s="909" t="s">
        <v>859</v>
      </c>
      <c r="E6889" s="50">
        <v>50</v>
      </c>
      <c r="F6889" s="911">
        <v>2</v>
      </c>
      <c r="G6889" s="905">
        <f>E6889*F6889</f>
        <v>100</v>
      </c>
      <c r="H6889" s="346" t="s">
        <v>3687</v>
      </c>
      <c r="I6889" s="1376" t="s">
        <v>3690</v>
      </c>
      <c r="J6889" s="1202" t="s">
        <v>2218</v>
      </c>
      <c r="K6889" s="1208" t="s">
        <v>3650</v>
      </c>
      <c r="L6889" s="1148"/>
      <c r="M6889" s="891" t="e">
        <f>H6889*(VLOOKUP(#REF!,$C$2:$F$6,3,FALSE))</f>
        <v>#VALUE!</v>
      </c>
      <c r="N6889" s="1150">
        <v>4.7</v>
      </c>
      <c r="O6889" s="1268">
        <v>360</v>
      </c>
    </row>
    <row r="6890" spans="1:15">
      <c r="A6890" s="4" t="s">
        <v>3686</v>
      </c>
      <c r="B6890" s="47" t="s">
        <v>731</v>
      </c>
      <c r="C6890" s="907">
        <v>140</v>
      </c>
      <c r="D6890" s="47" t="s">
        <v>734</v>
      </c>
      <c r="E6890" s="50">
        <v>58</v>
      </c>
      <c r="F6890" s="911">
        <v>2</v>
      </c>
      <c r="G6890" s="50">
        <f>E6890*F6890</f>
        <v>116</v>
      </c>
      <c r="H6890" s="346" t="s">
        <v>3688</v>
      </c>
      <c r="I6890" s="1376" t="s">
        <v>3690</v>
      </c>
      <c r="J6890" s="1202" t="s">
        <v>2219</v>
      </c>
      <c r="K6890" s="1208" t="s">
        <v>3650</v>
      </c>
      <c r="L6890" s="1148"/>
      <c r="M6890" s="891" t="e">
        <f>H6890*(VLOOKUP(#REF!,$C$2:$F$6,3,FALSE))</f>
        <v>#VALUE!</v>
      </c>
      <c r="N6890" s="1150">
        <v>9.4</v>
      </c>
      <c r="O6890" s="1268">
        <v>720</v>
      </c>
    </row>
    <row r="6891" spans="1:15">
      <c r="A6891" s="4" t="s">
        <v>3686</v>
      </c>
      <c r="B6891" s="47" t="s">
        <v>731</v>
      </c>
      <c r="C6891" s="907">
        <v>140</v>
      </c>
      <c r="D6891" s="665" t="s">
        <v>734</v>
      </c>
      <c r="E6891" s="50">
        <v>58</v>
      </c>
      <c r="F6891" s="911">
        <v>2</v>
      </c>
      <c r="G6891" s="50">
        <f>E6891*F6891</f>
        <v>116</v>
      </c>
      <c r="H6891" s="346" t="s">
        <v>3688</v>
      </c>
      <c r="I6891" s="1376" t="s">
        <v>3690</v>
      </c>
      <c r="J6891" s="1202" t="s">
        <v>2219</v>
      </c>
      <c r="K6891" s="1208" t="s">
        <v>3650</v>
      </c>
      <c r="L6891" s="1148"/>
      <c r="M6891" s="891" t="e">
        <f>H6891*(VLOOKUP(#REF!,$C$2:$F$6,3,FALSE))</f>
        <v>#VALUE!</v>
      </c>
      <c r="N6891" s="1150">
        <v>9.4</v>
      </c>
      <c r="O6891" s="1268">
        <v>720</v>
      </c>
    </row>
    <row r="6892" spans="1:15">
      <c r="A6892" s="4" t="s">
        <v>3686</v>
      </c>
      <c r="B6892" s="47" t="s">
        <v>731</v>
      </c>
      <c r="C6892" s="907">
        <v>140</v>
      </c>
      <c r="D6892" s="665" t="s">
        <v>874</v>
      </c>
      <c r="E6892" s="50">
        <v>58</v>
      </c>
      <c r="F6892" s="911">
        <v>2</v>
      </c>
      <c r="G6892" s="50">
        <f>E6892*F6892</f>
        <v>116</v>
      </c>
      <c r="H6892" s="346" t="s">
        <v>3688</v>
      </c>
      <c r="I6892" s="1376" t="s">
        <v>3690</v>
      </c>
      <c r="J6892" s="1202" t="s">
        <v>2219</v>
      </c>
      <c r="K6892" s="1208" t="s">
        <v>3650</v>
      </c>
      <c r="L6892" s="1148"/>
      <c r="M6892" s="891" t="e">
        <f>H6892*(VLOOKUP(#REF!,$C$2:$F$6,3,FALSE))</f>
        <v>#VALUE!</v>
      </c>
      <c r="N6892" s="1150">
        <v>9.4</v>
      </c>
      <c r="O6892" s="1268">
        <v>720</v>
      </c>
    </row>
    <row r="6895" spans="1:15">
      <c r="A6895" s="902" t="s">
        <v>3318</v>
      </c>
      <c r="B6895" s="902" t="s">
        <v>53</v>
      </c>
      <c r="C6895" s="902" t="s">
        <v>3319</v>
      </c>
      <c r="D6895" s="887" t="s">
        <v>3320</v>
      </c>
      <c r="E6895" s="887" t="s">
        <v>3321</v>
      </c>
    </row>
    <row r="6896" spans="1:15">
      <c r="A6896" s="909" t="s">
        <v>3306</v>
      </c>
      <c r="B6896" s="1209" t="s">
        <v>3307</v>
      </c>
      <c r="C6896" s="983">
        <v>25.3</v>
      </c>
      <c r="D6896" s="1248">
        <v>20.32</v>
      </c>
      <c r="E6896" s="891">
        <f t="shared" ref="E6896:E6901" si="34">D6896*C6896</f>
        <v>514.096</v>
      </c>
    </row>
    <row r="6897" spans="1:9">
      <c r="A6897" s="909" t="s">
        <v>3308</v>
      </c>
      <c r="B6897" s="1209" t="s">
        <v>3309</v>
      </c>
      <c r="C6897" s="905">
        <v>10</v>
      </c>
      <c r="D6897" s="1248">
        <f>19.38+3</f>
        <v>22.38</v>
      </c>
      <c r="E6897" s="891">
        <f t="shared" si="34"/>
        <v>223.79999999999998</v>
      </c>
    </row>
    <row r="6898" spans="1:9">
      <c r="A6898" s="909" t="s">
        <v>3311</v>
      </c>
      <c r="B6898" s="1209" t="s">
        <v>3312</v>
      </c>
      <c r="C6898" s="905">
        <v>20</v>
      </c>
      <c r="D6898" s="1248">
        <f>15.63+3</f>
        <v>18.630000000000003</v>
      </c>
      <c r="E6898" s="891">
        <f t="shared" si="34"/>
        <v>372.6</v>
      </c>
    </row>
    <row r="6899" spans="1:9">
      <c r="A6899" s="909" t="s">
        <v>3313</v>
      </c>
      <c r="B6899" s="1209" t="s">
        <v>3314</v>
      </c>
      <c r="C6899" s="905">
        <v>15</v>
      </c>
      <c r="D6899" s="1248">
        <f>18.55+3</f>
        <v>21.55</v>
      </c>
      <c r="E6899" s="891">
        <f t="shared" si="34"/>
        <v>323.25</v>
      </c>
    </row>
    <row r="6900" spans="1:9">
      <c r="A6900" s="909" t="s">
        <v>3315</v>
      </c>
      <c r="B6900" s="1209" t="s">
        <v>3309</v>
      </c>
      <c r="C6900" s="905">
        <v>20</v>
      </c>
      <c r="D6900" s="1248">
        <f>18.75+3</f>
        <v>21.75</v>
      </c>
      <c r="E6900" s="891">
        <f t="shared" si="34"/>
        <v>435</v>
      </c>
    </row>
    <row r="6901" spans="1:9">
      <c r="A6901" s="47"/>
      <c r="B6901" s="260" t="s">
        <v>1993</v>
      </c>
      <c r="C6901" s="894">
        <v>1</v>
      </c>
      <c r="D6901" s="891">
        <v>12</v>
      </c>
      <c r="E6901" s="891">
        <f t="shared" si="34"/>
        <v>12</v>
      </c>
    </row>
    <row r="6902" spans="1:9" s="888" customFormat="1" ht="12.75">
      <c r="A6902" s="47"/>
      <c r="B6902" s="260"/>
      <c r="C6902" s="894"/>
      <c r="D6902" s="918" t="s">
        <v>375</v>
      </c>
      <c r="E6902" s="919">
        <f>SUM(E6896:E6901)</f>
        <v>1880.7460000000001</v>
      </c>
    </row>
    <row r="6905" spans="1:9" ht="14.25" thickBot="1">
      <c r="A6905" s="629"/>
    </row>
    <row r="6906" spans="1:9" ht="14.25" thickBot="1">
      <c r="A6906" s="1120" t="s">
        <v>3695</v>
      </c>
      <c r="B6906" s="1121" t="s">
        <v>455</v>
      </c>
      <c r="C6906" s="1121" t="s">
        <v>3377</v>
      </c>
      <c r="D6906" s="1121" t="s">
        <v>457</v>
      </c>
      <c r="E6906" s="1121" t="s">
        <v>1186</v>
      </c>
      <c r="F6906" s="1121" t="s">
        <v>1652</v>
      </c>
      <c r="G6906" s="1121" t="s">
        <v>1653</v>
      </c>
      <c r="H6906" s="1256" t="s">
        <v>3696</v>
      </c>
      <c r="I6906" s="1256" t="s">
        <v>3697</v>
      </c>
    </row>
    <row r="6907" spans="1:9" ht="14.25" thickBot="1">
      <c r="A6907" s="1377" t="s">
        <v>3698</v>
      </c>
      <c r="B6907" s="1123" t="s">
        <v>804</v>
      </c>
      <c r="C6907" s="1124" t="s">
        <v>3378</v>
      </c>
      <c r="D6907" s="1123" t="s">
        <v>3359</v>
      </c>
      <c r="E6907" s="1378" t="s">
        <v>3379</v>
      </c>
      <c r="F6907" s="1378" t="s">
        <v>1196</v>
      </c>
      <c r="G6907" s="1124" t="s">
        <v>3380</v>
      </c>
      <c r="H6907" s="1124" t="s">
        <v>3699</v>
      </c>
      <c r="I6907" s="1379" t="s">
        <v>3700</v>
      </c>
    </row>
    <row r="6908" spans="1:9" ht="14.25" thickBot="1">
      <c r="A6908" s="1377" t="s">
        <v>3698</v>
      </c>
      <c r="B6908" s="1123" t="s">
        <v>804</v>
      </c>
      <c r="C6908" s="1124" t="s">
        <v>3378</v>
      </c>
      <c r="D6908" s="1123" t="s">
        <v>3355</v>
      </c>
      <c r="E6908" s="1378" t="s">
        <v>3379</v>
      </c>
      <c r="F6908" s="1378" t="s">
        <v>1196</v>
      </c>
      <c r="G6908" s="1124" t="s">
        <v>3380</v>
      </c>
      <c r="H6908" s="1124" t="s">
        <v>3699</v>
      </c>
      <c r="I6908" s="1379" t="s">
        <v>3700</v>
      </c>
    </row>
    <row r="6909" spans="1:9" ht="14.25" thickBot="1">
      <c r="A6909" s="1377" t="s">
        <v>3698</v>
      </c>
      <c r="B6909" s="1123" t="s">
        <v>2566</v>
      </c>
      <c r="C6909" s="1124" t="s">
        <v>3384</v>
      </c>
      <c r="D6909" s="1123" t="s">
        <v>3701</v>
      </c>
      <c r="E6909" s="1378" t="s">
        <v>3385</v>
      </c>
      <c r="F6909" s="1378" t="s">
        <v>3392</v>
      </c>
      <c r="G6909" s="1378" t="s">
        <v>3393</v>
      </c>
      <c r="H6909" s="1124" t="s">
        <v>3702</v>
      </c>
      <c r="I6909" s="1379" t="s">
        <v>3703</v>
      </c>
    </row>
    <row r="6910" spans="1:9" ht="14.25" thickBot="1">
      <c r="A6910" s="1377" t="s">
        <v>3698</v>
      </c>
      <c r="B6910" s="1123" t="s">
        <v>2566</v>
      </c>
      <c r="C6910" s="1124" t="s">
        <v>3384</v>
      </c>
      <c r="D6910" s="1123" t="s">
        <v>3704</v>
      </c>
      <c r="E6910" s="1378" t="s">
        <v>3385</v>
      </c>
      <c r="F6910" s="1378" t="s">
        <v>3392</v>
      </c>
      <c r="G6910" s="1378" t="s">
        <v>3393</v>
      </c>
      <c r="H6910" s="1124" t="s">
        <v>3702</v>
      </c>
      <c r="I6910" s="1379" t="s">
        <v>3703</v>
      </c>
    </row>
    <row r="6911" spans="1:9" ht="14.25" thickBot="1">
      <c r="A6911" s="1377" t="s">
        <v>3698</v>
      </c>
      <c r="B6911" s="1123">
        <v>2440</v>
      </c>
      <c r="C6911" s="1124" t="s">
        <v>3384</v>
      </c>
      <c r="D6911" s="1123" t="s">
        <v>3365</v>
      </c>
      <c r="E6911" s="1378" t="s">
        <v>3385</v>
      </c>
      <c r="F6911" s="1378" t="s">
        <v>3392</v>
      </c>
      <c r="G6911" s="1378" t="s">
        <v>3393</v>
      </c>
      <c r="H6911" s="1124" t="s">
        <v>3705</v>
      </c>
      <c r="I6911" s="1379" t="s">
        <v>3700</v>
      </c>
    </row>
    <row r="6912" spans="1:9" ht="14.25" thickBot="1">
      <c r="A6912" s="1377" t="s">
        <v>3698</v>
      </c>
      <c r="B6912" s="1123">
        <v>2440</v>
      </c>
      <c r="C6912" s="1124" t="s">
        <v>3384</v>
      </c>
      <c r="D6912" s="1123" t="s">
        <v>3355</v>
      </c>
      <c r="E6912" s="1378" t="s">
        <v>3385</v>
      </c>
      <c r="F6912" s="1378" t="s">
        <v>3392</v>
      </c>
      <c r="G6912" s="1378" t="s">
        <v>3393</v>
      </c>
      <c r="H6912" s="1124" t="s">
        <v>3705</v>
      </c>
      <c r="I6912" s="1379" t="s">
        <v>3700</v>
      </c>
    </row>
    <row r="6913" spans="1:9" ht="14.25" thickBot="1">
      <c r="A6913" s="1380"/>
      <c r="B6913" s="1381"/>
      <c r="C6913" s="1381"/>
      <c r="D6913" s="1381"/>
      <c r="E6913" s="1382"/>
      <c r="F6913" s="1383"/>
      <c r="G6913" s="1383"/>
      <c r="H6913" s="1381"/>
      <c r="I6913" s="1384"/>
    </row>
    <row r="6914" spans="1:9" ht="14.25" thickBot="1">
      <c r="A6914" s="1377" t="s">
        <v>3706</v>
      </c>
      <c r="B6914" s="1123" t="s">
        <v>804</v>
      </c>
      <c r="C6914" s="1124" t="s">
        <v>3378</v>
      </c>
      <c r="D6914" s="1123" t="s">
        <v>3359</v>
      </c>
      <c r="E6914" s="1378" t="s">
        <v>3379</v>
      </c>
      <c r="F6914" s="1378" t="s">
        <v>1196</v>
      </c>
      <c r="G6914" s="1124" t="s">
        <v>3380</v>
      </c>
      <c r="H6914" s="1124" t="s">
        <v>3699</v>
      </c>
      <c r="I6914" s="1379" t="s">
        <v>3700</v>
      </c>
    </row>
    <row r="6915" spans="1:9" ht="14.25" thickBot="1">
      <c r="A6915" s="1377" t="s">
        <v>3706</v>
      </c>
      <c r="B6915" s="1123" t="s">
        <v>804</v>
      </c>
      <c r="C6915" s="1124" t="s">
        <v>3378</v>
      </c>
      <c r="D6915" s="1123" t="s">
        <v>3355</v>
      </c>
      <c r="E6915" s="1378" t="s">
        <v>3379</v>
      </c>
      <c r="F6915" s="1378" t="s">
        <v>1196</v>
      </c>
      <c r="G6915" s="1124" t="s">
        <v>3380</v>
      </c>
      <c r="H6915" s="1124" t="s">
        <v>3699</v>
      </c>
      <c r="I6915" s="1379" t="s">
        <v>3700</v>
      </c>
    </row>
    <row r="6916" spans="1:9" ht="14.25" thickBot="1">
      <c r="A6916" s="1377" t="s">
        <v>3706</v>
      </c>
      <c r="B6916" s="1123" t="s">
        <v>2566</v>
      </c>
      <c r="C6916" s="1124" t="s">
        <v>3384</v>
      </c>
      <c r="D6916" s="1123" t="s">
        <v>3701</v>
      </c>
      <c r="E6916" s="1378" t="s">
        <v>3385</v>
      </c>
      <c r="F6916" s="1378" t="s">
        <v>3392</v>
      </c>
      <c r="G6916" s="1378" t="s">
        <v>3393</v>
      </c>
      <c r="H6916" s="1124" t="s">
        <v>3702</v>
      </c>
      <c r="I6916" s="1379" t="s">
        <v>3703</v>
      </c>
    </row>
    <row r="6917" spans="1:9" ht="14.25" thickBot="1">
      <c r="A6917" s="1377" t="s">
        <v>3706</v>
      </c>
      <c r="B6917" s="1123" t="s">
        <v>2566</v>
      </c>
      <c r="C6917" s="1124" t="s">
        <v>3384</v>
      </c>
      <c r="D6917" s="1123" t="s">
        <v>3704</v>
      </c>
      <c r="E6917" s="1378" t="s">
        <v>3385</v>
      </c>
      <c r="F6917" s="1378" t="s">
        <v>3392</v>
      </c>
      <c r="G6917" s="1378" t="s">
        <v>3393</v>
      </c>
      <c r="H6917" s="1124" t="s">
        <v>3702</v>
      </c>
      <c r="I6917" s="1379" t="s">
        <v>3703</v>
      </c>
    </row>
    <row r="6918" spans="1:9" ht="14.25" thickBot="1">
      <c r="A6918" s="1377" t="s">
        <v>3706</v>
      </c>
      <c r="B6918" s="1123">
        <v>2440</v>
      </c>
      <c r="C6918" s="1124" t="s">
        <v>3384</v>
      </c>
      <c r="D6918" s="1123" t="s">
        <v>3365</v>
      </c>
      <c r="E6918" s="1378" t="s">
        <v>3385</v>
      </c>
      <c r="F6918" s="1378" t="s">
        <v>3392</v>
      </c>
      <c r="G6918" s="1378" t="s">
        <v>3393</v>
      </c>
      <c r="H6918" s="1124" t="s">
        <v>3705</v>
      </c>
      <c r="I6918" s="1379" t="s">
        <v>3700</v>
      </c>
    </row>
    <row r="6919" spans="1:9" ht="14.25" thickBot="1">
      <c r="A6919" s="1377" t="s">
        <v>3706</v>
      </c>
      <c r="B6919" s="1123">
        <v>2440</v>
      </c>
      <c r="C6919" s="1124" t="s">
        <v>3384</v>
      </c>
      <c r="D6919" s="1123" t="s">
        <v>3355</v>
      </c>
      <c r="E6919" s="1378" t="s">
        <v>3385</v>
      </c>
      <c r="F6919" s="1378" t="s">
        <v>3392</v>
      </c>
      <c r="G6919" s="1378" t="s">
        <v>3393</v>
      </c>
      <c r="H6919" s="1124" t="s">
        <v>3705</v>
      </c>
      <c r="I6919" s="1379" t="s">
        <v>3707</v>
      </c>
    </row>
    <row r="6920" spans="1:9" ht="14.25" thickBot="1">
      <c r="A6920" s="1380"/>
      <c r="B6920" s="1381"/>
      <c r="C6920" s="1381"/>
      <c r="D6920" s="1381"/>
      <c r="E6920" s="1382"/>
      <c r="F6920" s="1383"/>
      <c r="G6920" s="1383"/>
      <c r="H6920" s="1381"/>
      <c r="I6920" s="1384"/>
    </row>
    <row r="6921" spans="1:9" ht="14.25" thickBot="1">
      <c r="A6921" s="1377" t="s">
        <v>3708</v>
      </c>
      <c r="B6921" s="1123" t="s">
        <v>804</v>
      </c>
      <c r="C6921" s="1124" t="s">
        <v>3378</v>
      </c>
      <c r="D6921" s="1123" t="s">
        <v>3359</v>
      </c>
      <c r="E6921" s="1378" t="s">
        <v>3379</v>
      </c>
      <c r="F6921" s="1378" t="s">
        <v>3382</v>
      </c>
      <c r="G6921" s="1124" t="s">
        <v>3379</v>
      </c>
      <c r="H6921" s="1124" t="s">
        <v>3699</v>
      </c>
      <c r="I6921" s="1379" t="s">
        <v>3700</v>
      </c>
    </row>
    <row r="6922" spans="1:9" ht="14.25" thickBot="1">
      <c r="A6922" s="1377" t="s">
        <v>3708</v>
      </c>
      <c r="B6922" s="1123" t="s">
        <v>804</v>
      </c>
      <c r="C6922" s="1124" t="s">
        <v>3378</v>
      </c>
      <c r="D6922" s="1123" t="s">
        <v>3355</v>
      </c>
      <c r="E6922" s="1378" t="s">
        <v>3379</v>
      </c>
      <c r="F6922" s="1378" t="s">
        <v>3382</v>
      </c>
      <c r="G6922" s="1124" t="s">
        <v>3379</v>
      </c>
      <c r="H6922" s="1124" t="s">
        <v>3699</v>
      </c>
      <c r="I6922" s="1379" t="s">
        <v>3700</v>
      </c>
    </row>
    <row r="6923" spans="1:9" ht="14.25" thickBot="1">
      <c r="A6923" s="1377" t="s">
        <v>3708</v>
      </c>
      <c r="B6923" s="1123" t="s">
        <v>2566</v>
      </c>
      <c r="C6923" s="1124" t="s">
        <v>3384</v>
      </c>
      <c r="D6923" s="1123" t="s">
        <v>3701</v>
      </c>
      <c r="E6923" s="1378" t="s">
        <v>3385</v>
      </c>
      <c r="F6923" s="1378" t="s">
        <v>3388</v>
      </c>
      <c r="G6923" s="1378" t="s">
        <v>3389</v>
      </c>
      <c r="H6923" s="1124" t="s">
        <v>3702</v>
      </c>
      <c r="I6923" s="1379" t="s">
        <v>3703</v>
      </c>
    </row>
    <row r="6924" spans="1:9" ht="14.25" thickBot="1">
      <c r="A6924" s="1377" t="s">
        <v>3708</v>
      </c>
      <c r="B6924" s="1123" t="s">
        <v>2566</v>
      </c>
      <c r="C6924" s="1124" t="s">
        <v>3384</v>
      </c>
      <c r="D6924" s="1123" t="s">
        <v>3704</v>
      </c>
      <c r="E6924" s="1378" t="s">
        <v>3385</v>
      </c>
      <c r="F6924" s="1378" t="s">
        <v>1196</v>
      </c>
      <c r="G6924" s="1378" t="s">
        <v>3386</v>
      </c>
      <c r="H6924" s="1124" t="s">
        <v>3702</v>
      </c>
      <c r="I6924" s="1379" t="s">
        <v>3703</v>
      </c>
    </row>
    <row r="6925" spans="1:9" ht="14.25" thickBot="1">
      <c r="A6925" s="1377" t="s">
        <v>3708</v>
      </c>
      <c r="B6925" s="1123">
        <v>2440</v>
      </c>
      <c r="C6925" s="1124" t="s">
        <v>3384</v>
      </c>
      <c r="D6925" s="1123" t="s">
        <v>3365</v>
      </c>
      <c r="E6925" s="1378" t="s">
        <v>3385</v>
      </c>
      <c r="F6925" s="1378" t="s">
        <v>3388</v>
      </c>
      <c r="G6925" s="1378" t="s">
        <v>3389</v>
      </c>
      <c r="H6925" s="1124" t="s">
        <v>3705</v>
      </c>
      <c r="I6925" s="1379" t="s">
        <v>3700</v>
      </c>
    </row>
    <row r="6926" spans="1:9" ht="14.25" thickBot="1">
      <c r="A6926" s="1377" t="s">
        <v>3708</v>
      </c>
      <c r="B6926" s="1123">
        <v>2440</v>
      </c>
      <c r="C6926" s="1124" t="s">
        <v>3384</v>
      </c>
      <c r="D6926" s="1123" t="s">
        <v>3355</v>
      </c>
      <c r="E6926" s="1378" t="s">
        <v>3385</v>
      </c>
      <c r="F6926" s="1378" t="s">
        <v>1196</v>
      </c>
      <c r="G6926" s="1378" t="s">
        <v>3386</v>
      </c>
      <c r="H6926" s="1124" t="s">
        <v>3705</v>
      </c>
      <c r="I6926" s="1379" t="s">
        <v>3707</v>
      </c>
    </row>
    <row r="6927" spans="1:9" ht="14.25" thickBot="1">
      <c r="A6927" s="1380"/>
      <c r="B6927" s="1381"/>
      <c r="C6927" s="1381"/>
      <c r="D6927" s="1381"/>
      <c r="E6927" s="1382"/>
      <c r="F6927" s="1383"/>
      <c r="G6927" s="1383"/>
      <c r="H6927" s="1381"/>
      <c r="I6927" s="1384"/>
    </row>
    <row r="6928" spans="1:9" ht="14.25" thickBot="1">
      <c r="A6928" s="1377" t="s">
        <v>3709</v>
      </c>
      <c r="B6928" s="1123" t="s">
        <v>804</v>
      </c>
      <c r="C6928" s="1124" t="s">
        <v>3378</v>
      </c>
      <c r="D6928" s="1123" t="s">
        <v>3355</v>
      </c>
      <c r="E6928" s="1378" t="s">
        <v>3379</v>
      </c>
      <c r="F6928" s="1378" t="s">
        <v>1196</v>
      </c>
      <c r="G6928" s="1124" t="s">
        <v>3380</v>
      </c>
      <c r="H6928" s="1124" t="s">
        <v>3699</v>
      </c>
      <c r="I6928" s="1379" t="s">
        <v>3700</v>
      </c>
    </row>
    <row r="6929" spans="1:10" ht="14.25" thickBot="1">
      <c r="A6929" s="1377" t="s">
        <v>3709</v>
      </c>
      <c r="B6929" s="1123" t="s">
        <v>2566</v>
      </c>
      <c r="C6929" s="1124" t="s">
        <v>3384</v>
      </c>
      <c r="D6929" s="1123" t="s">
        <v>3701</v>
      </c>
      <c r="E6929" s="1378" t="s">
        <v>3385</v>
      </c>
      <c r="F6929" s="1378" t="s">
        <v>1196</v>
      </c>
      <c r="G6929" s="1378" t="s">
        <v>3386</v>
      </c>
      <c r="H6929" s="1124" t="s">
        <v>3702</v>
      </c>
      <c r="I6929" s="1379" t="s">
        <v>3703</v>
      </c>
    </row>
    <row r="6930" spans="1:10" ht="14.25" thickBot="1">
      <c r="A6930" s="1377" t="s">
        <v>3709</v>
      </c>
      <c r="B6930" s="1123" t="s">
        <v>2566</v>
      </c>
      <c r="C6930" s="1124" t="s">
        <v>3384</v>
      </c>
      <c r="D6930" s="1385" t="s">
        <v>3701</v>
      </c>
      <c r="E6930" s="1378" t="s">
        <v>3385</v>
      </c>
      <c r="F6930" s="1378" t="s">
        <v>1196</v>
      </c>
      <c r="G6930" s="1378" t="s">
        <v>3386</v>
      </c>
      <c r="H6930" s="1124" t="s">
        <v>3702</v>
      </c>
      <c r="I6930" s="1379" t="s">
        <v>3703</v>
      </c>
    </row>
    <row r="6931" spans="1:10" ht="14.25" thickBot="1">
      <c r="A6931" s="1377" t="s">
        <v>3709</v>
      </c>
      <c r="B6931" s="1123" t="s">
        <v>2566</v>
      </c>
      <c r="C6931" s="1124" t="s">
        <v>3384</v>
      </c>
      <c r="D6931" s="1385" t="s">
        <v>3704</v>
      </c>
      <c r="E6931" s="1378" t="s">
        <v>3385</v>
      </c>
      <c r="F6931" s="1378" t="s">
        <v>1196</v>
      </c>
      <c r="G6931" s="1378" t="s">
        <v>3386</v>
      </c>
      <c r="H6931" s="1124" t="s">
        <v>3702</v>
      </c>
      <c r="I6931" s="1379" t="s">
        <v>3703</v>
      </c>
    </row>
    <row r="6932" spans="1:10" ht="49.5">
      <c r="A6932" s="629" t="s">
        <v>3710</v>
      </c>
    </row>
    <row r="6935" spans="1:10">
      <c r="A6935" s="887" t="s">
        <v>105</v>
      </c>
      <c r="B6935" s="887" t="s">
        <v>455</v>
      </c>
      <c r="C6935" s="887" t="s">
        <v>457</v>
      </c>
      <c r="D6935" s="887" t="s">
        <v>1186</v>
      </c>
      <c r="E6935" s="887" t="s">
        <v>1652</v>
      </c>
      <c r="F6935" s="887" t="s">
        <v>1653</v>
      </c>
      <c r="G6935" s="887" t="s">
        <v>1825</v>
      </c>
      <c r="H6935" s="887" t="s">
        <v>3713</v>
      </c>
      <c r="I6935" s="39"/>
      <c r="J6935" s="39"/>
    </row>
    <row r="6936" spans="1:10">
      <c r="A6936" s="947" t="s">
        <v>3683</v>
      </c>
      <c r="B6936" s="47" t="s">
        <v>536</v>
      </c>
      <c r="C6936" s="909" t="s">
        <v>735</v>
      </c>
      <c r="D6936" s="50">
        <v>50</v>
      </c>
      <c r="E6936" s="911">
        <v>2</v>
      </c>
      <c r="F6936" s="905">
        <f t="shared" ref="F6936:F6941" si="35">D6936*E6936</f>
        <v>100</v>
      </c>
      <c r="G6936" s="51">
        <v>5</v>
      </c>
      <c r="H6936" s="1337" t="s">
        <v>3716</v>
      </c>
      <c r="I6936" s="891">
        <f t="shared" ref="I6936:I6941" si="36">G6936*F6936</f>
        <v>500</v>
      </c>
      <c r="J6936" s="1202" t="s">
        <v>2218</v>
      </c>
    </row>
    <row r="6937" spans="1:10">
      <c r="A6937" s="947" t="s">
        <v>3683</v>
      </c>
      <c r="B6937" s="47" t="s">
        <v>536</v>
      </c>
      <c r="C6937" s="909" t="s">
        <v>859</v>
      </c>
      <c r="D6937" s="50">
        <v>50</v>
      </c>
      <c r="E6937" s="911">
        <v>2</v>
      </c>
      <c r="F6937" s="905">
        <f t="shared" si="35"/>
        <v>100</v>
      </c>
      <c r="G6937" s="51">
        <v>5</v>
      </c>
      <c r="H6937" s="1337" t="s">
        <v>3716</v>
      </c>
      <c r="I6937" s="891">
        <f t="shared" si="36"/>
        <v>500</v>
      </c>
      <c r="J6937" s="1202" t="s">
        <v>2218</v>
      </c>
    </row>
    <row r="6938" spans="1:10">
      <c r="A6938" s="947" t="s">
        <v>3683</v>
      </c>
      <c r="B6938" s="47" t="s">
        <v>731</v>
      </c>
      <c r="C6938" s="47" t="s">
        <v>734</v>
      </c>
      <c r="D6938" s="50">
        <v>58</v>
      </c>
      <c r="E6938" s="911">
        <v>4</v>
      </c>
      <c r="F6938" s="50">
        <f t="shared" si="35"/>
        <v>232</v>
      </c>
      <c r="G6938" s="891">
        <v>10</v>
      </c>
      <c r="H6938" s="1337" t="s">
        <v>3711</v>
      </c>
      <c r="I6938" s="891">
        <f t="shared" si="36"/>
        <v>2320</v>
      </c>
      <c r="J6938" s="1202" t="s">
        <v>2219</v>
      </c>
    </row>
    <row r="6939" spans="1:10">
      <c r="A6939" s="947" t="s">
        <v>3683</v>
      </c>
      <c r="B6939" s="47" t="s">
        <v>731</v>
      </c>
      <c r="C6939" s="47" t="s">
        <v>874</v>
      </c>
      <c r="D6939" s="50">
        <v>58</v>
      </c>
      <c r="E6939" s="911">
        <v>4</v>
      </c>
      <c r="F6939" s="50">
        <f t="shared" si="35"/>
        <v>232</v>
      </c>
      <c r="G6939" s="891">
        <v>10</v>
      </c>
      <c r="H6939" s="1337" t="s">
        <v>3711</v>
      </c>
      <c r="I6939" s="891">
        <f t="shared" si="36"/>
        <v>2320</v>
      </c>
      <c r="J6939" s="1202" t="s">
        <v>2219</v>
      </c>
    </row>
    <row r="6940" spans="1:10">
      <c r="A6940" s="947" t="s">
        <v>3683</v>
      </c>
      <c r="B6940" s="47">
        <v>2440</v>
      </c>
      <c r="C6940" s="47" t="s">
        <v>733</v>
      </c>
      <c r="D6940" s="50">
        <v>58</v>
      </c>
      <c r="E6940" s="911">
        <v>4</v>
      </c>
      <c r="F6940" s="50">
        <f t="shared" si="35"/>
        <v>232</v>
      </c>
      <c r="G6940" s="891">
        <v>3.89</v>
      </c>
      <c r="H6940" s="1337" t="s">
        <v>3716</v>
      </c>
      <c r="I6940" s="891">
        <f t="shared" si="36"/>
        <v>902.48</v>
      </c>
      <c r="J6940" s="1202" t="s">
        <v>2219</v>
      </c>
    </row>
    <row r="6941" spans="1:10">
      <c r="A6941" s="947" t="s">
        <v>3683</v>
      </c>
      <c r="B6941" s="47">
        <v>2440</v>
      </c>
      <c r="C6941" s="47" t="s">
        <v>859</v>
      </c>
      <c r="D6941" s="50">
        <v>58</v>
      </c>
      <c r="E6941" s="911">
        <v>4</v>
      </c>
      <c r="F6941" s="50">
        <f t="shared" si="35"/>
        <v>232</v>
      </c>
      <c r="G6941" s="891">
        <v>3.89</v>
      </c>
      <c r="H6941" s="1337" t="s">
        <v>3716</v>
      </c>
      <c r="I6941" s="891">
        <f t="shared" si="36"/>
        <v>902.48</v>
      </c>
      <c r="J6941" s="1202" t="s">
        <v>2219</v>
      </c>
    </row>
    <row r="6942" spans="1:10">
      <c r="A6942" s="1118"/>
      <c r="B6942" s="1116"/>
      <c r="C6942" s="921"/>
      <c r="D6942" s="922"/>
      <c r="E6942" s="923"/>
      <c r="F6942" s="924"/>
      <c r="G6942" s="925"/>
      <c r="H6942" s="1386"/>
      <c r="I6942" s="310"/>
      <c r="J6942" s="310"/>
    </row>
    <row r="6943" spans="1:10">
      <c r="A6943" s="947" t="s">
        <v>3684</v>
      </c>
      <c r="B6943" s="47" t="s">
        <v>536</v>
      </c>
      <c r="C6943" s="909" t="s">
        <v>735</v>
      </c>
      <c r="D6943" s="50">
        <v>50</v>
      </c>
      <c r="E6943" s="911">
        <v>2</v>
      </c>
      <c r="F6943" s="905">
        <f t="shared" ref="F6943:F6948" si="37">D6943*E6943</f>
        <v>100</v>
      </c>
      <c r="G6943" s="51">
        <v>5</v>
      </c>
      <c r="H6943" s="1337" t="s">
        <v>3716</v>
      </c>
      <c r="I6943" s="891">
        <f t="shared" ref="I6943:I6948" si="38">G6943*F6943</f>
        <v>500</v>
      </c>
      <c r="J6943" s="1202" t="s">
        <v>2218</v>
      </c>
    </row>
    <row r="6944" spans="1:10">
      <c r="A6944" s="947" t="s">
        <v>3684</v>
      </c>
      <c r="B6944" s="47" t="s">
        <v>536</v>
      </c>
      <c r="C6944" s="909" t="s">
        <v>859</v>
      </c>
      <c r="D6944" s="50">
        <v>50</v>
      </c>
      <c r="E6944" s="911">
        <v>2</v>
      </c>
      <c r="F6944" s="905">
        <f t="shared" si="37"/>
        <v>100</v>
      </c>
      <c r="G6944" s="51">
        <v>5</v>
      </c>
      <c r="H6944" s="1337" t="s">
        <v>3716</v>
      </c>
      <c r="I6944" s="891">
        <f t="shared" si="38"/>
        <v>500</v>
      </c>
      <c r="J6944" s="1202" t="s">
        <v>2218</v>
      </c>
    </row>
    <row r="6945" spans="1:10">
      <c r="A6945" s="947" t="s">
        <v>3684</v>
      </c>
      <c r="B6945" s="47" t="s">
        <v>731</v>
      </c>
      <c r="C6945" s="47" t="s">
        <v>734</v>
      </c>
      <c r="D6945" s="50">
        <v>58</v>
      </c>
      <c r="E6945" s="911">
        <v>4</v>
      </c>
      <c r="F6945" s="50">
        <f t="shared" si="37"/>
        <v>232</v>
      </c>
      <c r="G6945" s="891">
        <v>10</v>
      </c>
      <c r="H6945" s="1337" t="s">
        <v>3711</v>
      </c>
      <c r="I6945" s="891">
        <f t="shared" si="38"/>
        <v>2320</v>
      </c>
      <c r="J6945" s="1202" t="s">
        <v>2219</v>
      </c>
    </row>
    <row r="6946" spans="1:10">
      <c r="A6946" s="947" t="s">
        <v>3684</v>
      </c>
      <c r="B6946" s="47" t="s">
        <v>731</v>
      </c>
      <c r="C6946" s="47" t="s">
        <v>874</v>
      </c>
      <c r="D6946" s="50">
        <v>58</v>
      </c>
      <c r="E6946" s="911">
        <v>4</v>
      </c>
      <c r="F6946" s="50">
        <f t="shared" si="37"/>
        <v>232</v>
      </c>
      <c r="G6946" s="891">
        <v>10</v>
      </c>
      <c r="H6946" s="1337" t="s">
        <v>3711</v>
      </c>
      <c r="I6946" s="891">
        <f t="shared" si="38"/>
        <v>2320</v>
      </c>
      <c r="J6946" s="1202" t="s">
        <v>2219</v>
      </c>
    </row>
    <row r="6947" spans="1:10">
      <c r="A6947" s="947" t="s">
        <v>3684</v>
      </c>
      <c r="B6947" s="47">
        <v>2440</v>
      </c>
      <c r="C6947" s="47" t="s">
        <v>733</v>
      </c>
      <c r="D6947" s="50">
        <v>58</v>
      </c>
      <c r="E6947" s="911">
        <v>4</v>
      </c>
      <c r="F6947" s="50">
        <f t="shared" si="37"/>
        <v>232</v>
      </c>
      <c r="G6947" s="891">
        <v>3.89</v>
      </c>
      <c r="H6947" s="1337" t="s">
        <v>3716</v>
      </c>
      <c r="I6947" s="891">
        <f t="shared" si="38"/>
        <v>902.48</v>
      </c>
      <c r="J6947" s="1202" t="s">
        <v>2219</v>
      </c>
    </row>
    <row r="6948" spans="1:10">
      <c r="A6948" s="947" t="s">
        <v>3684</v>
      </c>
      <c r="B6948" s="47">
        <v>2440</v>
      </c>
      <c r="C6948" s="47" t="s">
        <v>859</v>
      </c>
      <c r="D6948" s="50">
        <v>58</v>
      </c>
      <c r="E6948" s="911">
        <v>4</v>
      </c>
      <c r="F6948" s="50">
        <f t="shared" si="37"/>
        <v>232</v>
      </c>
      <c r="G6948" s="891">
        <v>3.89</v>
      </c>
      <c r="H6948" s="1337" t="s">
        <v>3712</v>
      </c>
      <c r="I6948" s="891">
        <f t="shared" si="38"/>
        <v>902.48</v>
      </c>
      <c r="J6948" s="1202" t="s">
        <v>2219</v>
      </c>
    </row>
    <row r="6949" spans="1:10">
      <c r="A6949" s="1118"/>
      <c r="B6949" s="1116"/>
      <c r="C6949" s="921"/>
      <c r="D6949" s="922"/>
      <c r="E6949" s="923"/>
      <c r="F6949" s="924"/>
      <c r="G6949" s="925"/>
      <c r="H6949" s="1386"/>
      <c r="I6949" s="310"/>
      <c r="J6949" s="310"/>
    </row>
    <row r="6950" spans="1:10">
      <c r="A6950" s="947" t="s">
        <v>3685</v>
      </c>
      <c r="B6950" s="47" t="s">
        <v>536</v>
      </c>
      <c r="C6950" s="909" t="s">
        <v>735</v>
      </c>
      <c r="D6950" s="50">
        <v>50</v>
      </c>
      <c r="E6950" s="911">
        <v>1</v>
      </c>
      <c r="F6950" s="905">
        <f t="shared" ref="F6950:F6955" si="39">D6950*E6950</f>
        <v>50</v>
      </c>
      <c r="G6950" s="51">
        <v>5</v>
      </c>
      <c r="H6950" s="1337" t="s">
        <v>3716</v>
      </c>
      <c r="I6950" s="891">
        <f t="shared" ref="I6950:I6955" si="40">G6950*F6950</f>
        <v>250</v>
      </c>
      <c r="J6950" s="1202" t="s">
        <v>2218</v>
      </c>
    </row>
    <row r="6951" spans="1:10">
      <c r="A6951" s="947" t="s">
        <v>3685</v>
      </c>
      <c r="B6951" s="47" t="s">
        <v>536</v>
      </c>
      <c r="C6951" s="909" t="s">
        <v>859</v>
      </c>
      <c r="D6951" s="50">
        <v>50</v>
      </c>
      <c r="E6951" s="911">
        <v>1</v>
      </c>
      <c r="F6951" s="905">
        <f t="shared" si="39"/>
        <v>50</v>
      </c>
      <c r="G6951" s="51">
        <v>5</v>
      </c>
      <c r="H6951" s="1337" t="s">
        <v>3716</v>
      </c>
      <c r="I6951" s="891">
        <f t="shared" si="40"/>
        <v>250</v>
      </c>
      <c r="J6951" s="1202" t="s">
        <v>2218</v>
      </c>
    </row>
    <row r="6952" spans="1:10">
      <c r="A6952" s="947" t="s">
        <v>3685</v>
      </c>
      <c r="B6952" s="47" t="s">
        <v>731</v>
      </c>
      <c r="C6952" s="47" t="s">
        <v>734</v>
      </c>
      <c r="D6952" s="50">
        <v>58</v>
      </c>
      <c r="E6952" s="911">
        <v>5</v>
      </c>
      <c r="F6952" s="50">
        <f t="shared" si="39"/>
        <v>290</v>
      </c>
      <c r="G6952" s="891">
        <v>10</v>
      </c>
      <c r="H6952" s="1337" t="s">
        <v>3711</v>
      </c>
      <c r="I6952" s="891">
        <f t="shared" si="40"/>
        <v>2900</v>
      </c>
      <c r="J6952" s="1202" t="s">
        <v>2219</v>
      </c>
    </row>
    <row r="6953" spans="1:10">
      <c r="A6953" s="947" t="s">
        <v>3685</v>
      </c>
      <c r="B6953" s="47" t="s">
        <v>731</v>
      </c>
      <c r="C6953" s="47" t="s">
        <v>874</v>
      </c>
      <c r="D6953" s="50">
        <v>58</v>
      </c>
      <c r="E6953" s="911">
        <v>2</v>
      </c>
      <c r="F6953" s="50">
        <f t="shared" si="39"/>
        <v>116</v>
      </c>
      <c r="G6953" s="891">
        <v>10</v>
      </c>
      <c r="H6953" s="1337" t="s">
        <v>3711</v>
      </c>
      <c r="I6953" s="891">
        <f t="shared" si="40"/>
        <v>1160</v>
      </c>
      <c r="J6953" s="1202" t="s">
        <v>2219</v>
      </c>
    </row>
    <row r="6954" spans="1:10">
      <c r="A6954" s="947" t="s">
        <v>3685</v>
      </c>
      <c r="B6954" s="47">
        <v>2440</v>
      </c>
      <c r="C6954" s="47" t="s">
        <v>733</v>
      </c>
      <c r="D6954" s="50">
        <v>58</v>
      </c>
      <c r="E6954" s="911">
        <v>5</v>
      </c>
      <c r="F6954" s="50">
        <f t="shared" si="39"/>
        <v>290</v>
      </c>
      <c r="G6954" s="891">
        <v>3.89</v>
      </c>
      <c r="H6954" s="1337" t="s">
        <v>3712</v>
      </c>
      <c r="I6954" s="891">
        <f t="shared" si="40"/>
        <v>1128.1000000000001</v>
      </c>
      <c r="J6954" s="1202" t="s">
        <v>2219</v>
      </c>
    </row>
    <row r="6955" spans="1:10">
      <c r="A6955" s="947" t="s">
        <v>3685</v>
      </c>
      <c r="B6955" s="47">
        <v>2440</v>
      </c>
      <c r="C6955" s="47" t="s">
        <v>859</v>
      </c>
      <c r="D6955" s="50">
        <v>58</v>
      </c>
      <c r="E6955" s="911">
        <v>2</v>
      </c>
      <c r="F6955" s="50">
        <f t="shared" si="39"/>
        <v>116</v>
      </c>
      <c r="G6955" s="891">
        <v>3.89</v>
      </c>
      <c r="H6955" s="1337" t="s">
        <v>3712</v>
      </c>
      <c r="I6955" s="891">
        <f t="shared" si="40"/>
        <v>451.24</v>
      </c>
      <c r="J6955" s="1202" t="s">
        <v>2219</v>
      </c>
    </row>
    <row r="6956" spans="1:10">
      <c r="A6956" s="1118"/>
      <c r="B6956" s="1116"/>
      <c r="C6956" s="921"/>
      <c r="D6956" s="922"/>
      <c r="E6956" s="923"/>
      <c r="F6956" s="924"/>
      <c r="G6956" s="925"/>
      <c r="H6956" s="1386"/>
      <c r="I6956" s="310"/>
      <c r="J6956" s="310"/>
    </row>
    <row r="6957" spans="1:10">
      <c r="A6957" s="947" t="s">
        <v>3686</v>
      </c>
      <c r="B6957" s="47" t="s">
        <v>536</v>
      </c>
      <c r="C6957" s="909" t="s">
        <v>859</v>
      </c>
      <c r="D6957" s="50">
        <v>50</v>
      </c>
      <c r="E6957" s="911">
        <v>2</v>
      </c>
      <c r="F6957" s="905">
        <f>D6957*E6957</f>
        <v>100</v>
      </c>
      <c r="G6957" s="51">
        <v>5</v>
      </c>
      <c r="H6957" s="1337" t="s">
        <v>3716</v>
      </c>
      <c r="I6957" s="891">
        <f>G6957*F6957</f>
        <v>500</v>
      </c>
      <c r="J6957" s="1202" t="s">
        <v>2218</v>
      </c>
    </row>
    <row r="6958" spans="1:10">
      <c r="A6958" s="947" t="s">
        <v>3686</v>
      </c>
      <c r="B6958" s="47" t="s">
        <v>731</v>
      </c>
      <c r="C6958" s="47" t="s">
        <v>734</v>
      </c>
      <c r="D6958" s="50">
        <v>58</v>
      </c>
      <c r="E6958" s="911">
        <v>2</v>
      </c>
      <c r="F6958" s="50">
        <f>D6958*E6958</f>
        <v>116</v>
      </c>
      <c r="G6958" s="891">
        <v>10</v>
      </c>
      <c r="H6958" s="1337" t="s">
        <v>3711</v>
      </c>
      <c r="I6958" s="891">
        <f>G6958*F6958</f>
        <v>1160</v>
      </c>
      <c r="J6958" s="1202" t="s">
        <v>2219</v>
      </c>
    </row>
    <row r="6959" spans="1:10">
      <c r="A6959" s="947" t="s">
        <v>3686</v>
      </c>
      <c r="B6959" s="47" t="s">
        <v>731</v>
      </c>
      <c r="C6959" s="665" t="s">
        <v>3714</v>
      </c>
      <c r="D6959" s="50">
        <v>58</v>
      </c>
      <c r="E6959" s="911">
        <v>2</v>
      </c>
      <c r="F6959" s="50">
        <f>D6959*E6959</f>
        <v>116</v>
      </c>
      <c r="G6959" s="891">
        <v>10</v>
      </c>
      <c r="H6959" s="1337" t="s">
        <v>3711</v>
      </c>
      <c r="I6959" s="891">
        <f>G6959*F6959</f>
        <v>1160</v>
      </c>
      <c r="J6959" s="1202" t="s">
        <v>2219</v>
      </c>
    </row>
    <row r="6960" spans="1:10">
      <c r="A6960" s="947" t="s">
        <v>3686</v>
      </c>
      <c r="B6960" s="47" t="s">
        <v>731</v>
      </c>
      <c r="C6960" s="665" t="s">
        <v>3715</v>
      </c>
      <c r="D6960" s="50">
        <v>58</v>
      </c>
      <c r="E6960" s="911">
        <v>2</v>
      </c>
      <c r="F6960" s="50">
        <f>D6960*E6960</f>
        <v>116</v>
      </c>
      <c r="G6960" s="891">
        <v>10</v>
      </c>
      <c r="H6960" s="1337" t="s">
        <v>3711</v>
      </c>
      <c r="I6960" s="891">
        <f>G6960*F6960</f>
        <v>1160</v>
      </c>
      <c r="J6960" s="1202" t="s">
        <v>2219</v>
      </c>
    </row>
    <row r="6961" spans="1:10">
      <c r="A6961" s="710"/>
      <c r="B6961" s="1116"/>
      <c r="C6961" s="921"/>
      <c r="D6961" s="922"/>
      <c r="E6961" s="923"/>
      <c r="F6961" s="924"/>
      <c r="G6961" s="925"/>
      <c r="H6961" s="310"/>
      <c r="I6961" s="310"/>
      <c r="J6961" s="310"/>
    </row>
    <row r="6965" spans="1:10">
      <c r="A6965" s="887" t="s">
        <v>105</v>
      </c>
      <c r="B6965" s="887" t="s">
        <v>455</v>
      </c>
      <c r="C6965" s="887" t="s">
        <v>128</v>
      </c>
      <c r="D6965" s="887" t="s">
        <v>54</v>
      </c>
      <c r="E6965" s="1167" t="s">
        <v>3719</v>
      </c>
    </row>
    <row r="6966" spans="1:10">
      <c r="A6966" s="4" t="s">
        <v>3717</v>
      </c>
      <c r="B6966" s="47" t="s">
        <v>3491</v>
      </c>
      <c r="C6966" s="260" t="s">
        <v>3718</v>
      </c>
      <c r="D6966" s="905">
        <v>60</v>
      </c>
      <c r="E6966" s="891">
        <v>3.93</v>
      </c>
    </row>
    <row r="6967" spans="1:10">
      <c r="A6967" s="4" t="s">
        <v>3717</v>
      </c>
      <c r="B6967" s="47"/>
      <c r="C6967" s="260" t="s">
        <v>3512</v>
      </c>
      <c r="D6967" s="894">
        <v>1</v>
      </c>
      <c r="E6967" s="891">
        <v>40</v>
      </c>
    </row>
    <row r="6968" spans="1:10">
      <c r="A6968" s="4" t="s">
        <v>3717</v>
      </c>
      <c r="B6968" s="47" t="s">
        <v>3491</v>
      </c>
      <c r="C6968" s="260" t="s">
        <v>3492</v>
      </c>
      <c r="D6968" s="905">
        <v>30</v>
      </c>
      <c r="E6968" s="1387">
        <v>3.93</v>
      </c>
    </row>
    <row r="6972" spans="1:10">
      <c r="A6972" s="47" t="s">
        <v>3491</v>
      </c>
      <c r="B6972" s="260" t="s">
        <v>3508</v>
      </c>
    </row>
    <row r="6973" spans="1:10">
      <c r="A6973" s="47" t="s">
        <v>3491</v>
      </c>
      <c r="B6973" s="260" t="s">
        <v>3509</v>
      </c>
    </row>
    <row r="6974" spans="1:10">
      <c r="A6974" s="47" t="s">
        <v>3491</v>
      </c>
      <c r="B6974" s="260" t="s">
        <v>3510</v>
      </c>
    </row>
    <row r="6975" spans="1:10">
      <c r="A6975" s="47" t="s">
        <v>3491</v>
      </c>
      <c r="B6975" s="260" t="s">
        <v>3511</v>
      </c>
    </row>
    <row r="6976" spans="1:10">
      <c r="A6976" s="47" t="s">
        <v>3491</v>
      </c>
      <c r="B6976" s="260" t="s">
        <v>3718</v>
      </c>
    </row>
    <row r="6977" spans="1:9">
      <c r="A6977" s="47" t="s">
        <v>3720</v>
      </c>
      <c r="B6977" s="260" t="s">
        <v>3721</v>
      </c>
    </row>
    <row r="6980" spans="1:9">
      <c r="A6980" s="887" t="s">
        <v>455</v>
      </c>
      <c r="B6980" s="887" t="s">
        <v>377</v>
      </c>
      <c r="C6980" s="887" t="s">
        <v>128</v>
      </c>
      <c r="D6980" s="887" t="s">
        <v>54</v>
      </c>
      <c r="E6980" s="887" t="s">
        <v>1825</v>
      </c>
      <c r="F6980" s="887" t="s">
        <v>3586</v>
      </c>
    </row>
    <row r="6981" spans="1:9">
      <c r="A6981" s="909" t="s">
        <v>3722</v>
      </c>
      <c r="B6981" s="1146" t="s">
        <v>3725</v>
      </c>
      <c r="C6981" s="1209" t="s">
        <v>3724</v>
      </c>
      <c r="D6981" s="905">
        <v>20</v>
      </c>
      <c r="E6981" s="1248">
        <v>10.56</v>
      </c>
      <c r="F6981" s="891">
        <f>E6981*D6981</f>
        <v>211.20000000000002</v>
      </c>
    </row>
    <row r="6982" spans="1:9">
      <c r="A6982" s="47"/>
      <c r="B6982" s="1146"/>
      <c r="C6982" s="47"/>
      <c r="D6982" s="903"/>
      <c r="E6982" s="916"/>
      <c r="F6982" s="39"/>
    </row>
    <row r="6983" spans="1:9">
      <c r="A6983" s="909" t="s">
        <v>3726</v>
      </c>
      <c r="B6983" s="1146" t="s">
        <v>3725</v>
      </c>
      <c r="C6983" s="1209" t="s">
        <v>3724</v>
      </c>
      <c r="D6983" s="905">
        <v>20</v>
      </c>
      <c r="E6983" s="1248">
        <v>10.56</v>
      </c>
      <c r="F6983" s="891">
        <f>E6983*D6983</f>
        <v>211.20000000000002</v>
      </c>
    </row>
    <row r="6984" spans="1:9">
      <c r="A6984" s="47"/>
      <c r="B6984" s="893"/>
      <c r="C6984" s="260" t="s">
        <v>3729</v>
      </c>
      <c r="D6984" s="905" t="s">
        <v>3730</v>
      </c>
      <c r="E6984" s="891">
        <v>1</v>
      </c>
      <c r="F6984" s="891">
        <v>40</v>
      </c>
    </row>
    <row r="6985" spans="1:9">
      <c r="A6985" s="47"/>
      <c r="B6985" s="893"/>
      <c r="C6985" s="260" t="s">
        <v>1993</v>
      </c>
      <c r="D6985" s="894">
        <v>1</v>
      </c>
      <c r="E6985" s="891">
        <v>12</v>
      </c>
      <c r="F6985" s="891">
        <f>E6985*D6985</f>
        <v>12</v>
      </c>
    </row>
    <row r="6987" spans="1:9">
      <c r="A6987" s="887" t="s">
        <v>455</v>
      </c>
      <c r="B6987" s="887" t="s">
        <v>52</v>
      </c>
      <c r="C6987" s="887" t="s">
        <v>128</v>
      </c>
      <c r="D6987" s="887" t="s">
        <v>1186</v>
      </c>
      <c r="E6987" s="887" t="s">
        <v>1652</v>
      </c>
      <c r="F6987" s="887" t="s">
        <v>1653</v>
      </c>
    </row>
    <row r="6988" spans="1:9">
      <c r="A6988" s="47">
        <v>5356</v>
      </c>
      <c r="B6988" s="48" t="s">
        <v>3735</v>
      </c>
      <c r="C6988" s="47" t="s">
        <v>100</v>
      </c>
      <c r="D6988" s="905">
        <v>30</v>
      </c>
      <c r="E6988" s="906">
        <v>3</v>
      </c>
      <c r="F6988" s="905">
        <f>D6988*E6988</f>
        <v>90</v>
      </c>
    </row>
    <row r="6991" spans="1:9">
      <c r="A6991" s="887" t="s">
        <v>105</v>
      </c>
      <c r="B6991" s="887" t="s">
        <v>455</v>
      </c>
      <c r="C6991" s="887" t="s">
        <v>52</v>
      </c>
      <c r="D6991" s="887" t="s">
        <v>128</v>
      </c>
      <c r="E6991" s="887" t="s">
        <v>1186</v>
      </c>
      <c r="F6991" s="887" t="s">
        <v>1652</v>
      </c>
      <c r="G6991" s="887" t="s">
        <v>1653</v>
      </c>
      <c r="H6991" s="887" t="s">
        <v>1825</v>
      </c>
      <c r="I6991" s="39"/>
    </row>
    <row r="6992" spans="1:9">
      <c r="A6992" s="947" t="s">
        <v>3732</v>
      </c>
      <c r="B6992" s="47">
        <v>3745</v>
      </c>
      <c r="C6992" s="48">
        <v>6</v>
      </c>
      <c r="D6992" s="47" t="s">
        <v>3733</v>
      </c>
      <c r="E6992" s="905">
        <v>20</v>
      </c>
      <c r="F6992" s="906">
        <v>14</v>
      </c>
      <c r="G6992" s="905">
        <f>E6992*F6992</f>
        <v>280</v>
      </c>
      <c r="H6992" s="891">
        <v>0.67</v>
      </c>
      <c r="I6992" s="891">
        <f>H6992*G6992</f>
        <v>187.60000000000002</v>
      </c>
    </row>
    <row r="6993" spans="1:9">
      <c r="A6993" s="947" t="s">
        <v>3732</v>
      </c>
      <c r="B6993" s="47"/>
      <c r="C6993" s="893"/>
      <c r="D6993" s="260" t="s">
        <v>1993</v>
      </c>
      <c r="E6993" s="905"/>
      <c r="F6993" s="906"/>
      <c r="G6993" s="894">
        <v>1</v>
      </c>
      <c r="H6993" s="891">
        <v>12</v>
      </c>
      <c r="I6993" s="891">
        <f>H6993*G6993</f>
        <v>12</v>
      </c>
    </row>
    <row r="6995" spans="1:9" s="888" customFormat="1" ht="12">
      <c r="A6995" s="888" t="s">
        <v>3738</v>
      </c>
    </row>
    <row r="6996" spans="1:9" s="888" customFormat="1" ht="25.5">
      <c r="A6996" s="902" t="s">
        <v>106</v>
      </c>
      <c r="B6996" s="938" t="s">
        <v>2317</v>
      </c>
      <c r="C6996" s="938" t="s">
        <v>2911</v>
      </c>
      <c r="D6996" s="939" t="s">
        <v>1514</v>
      </c>
      <c r="E6996" s="1068" t="s">
        <v>1623</v>
      </c>
      <c r="F6996" s="940" t="s">
        <v>5282</v>
      </c>
      <c r="G6996" s="940" t="s">
        <v>5292</v>
      </c>
      <c r="H6996" s="940" t="s">
        <v>5340</v>
      </c>
    </row>
    <row r="6997" spans="1:9" s="888" customFormat="1" ht="12.75">
      <c r="A6997" s="942" t="s">
        <v>3739</v>
      </c>
      <c r="B6997" s="1077" t="s">
        <v>129</v>
      </c>
      <c r="C6997" s="1078" t="s">
        <v>2754</v>
      </c>
      <c r="D6997" s="943">
        <v>1.39</v>
      </c>
      <c r="E6997" s="943" t="s">
        <v>1037</v>
      </c>
      <c r="F6997" s="1078">
        <v>100</v>
      </c>
      <c r="G6997" s="944" t="s">
        <v>1037</v>
      </c>
      <c r="H6997" s="944" t="s">
        <v>3741</v>
      </c>
      <c r="I6997" s="888" t="s">
        <v>3740</v>
      </c>
    </row>
    <row r="7001" spans="1:9" s="888" customFormat="1" ht="12.75">
      <c r="A7001" s="887" t="s">
        <v>455</v>
      </c>
      <c r="B7001" s="887" t="s">
        <v>128</v>
      </c>
      <c r="C7001" s="887" t="s">
        <v>1186</v>
      </c>
      <c r="D7001" s="887" t="s">
        <v>1652</v>
      </c>
      <c r="E7001" s="887" t="s">
        <v>1653</v>
      </c>
      <c r="F7001" s="887" t="s">
        <v>1825</v>
      </c>
      <c r="G7001" s="39"/>
    </row>
    <row r="7002" spans="1:9" s="888" customFormat="1" ht="12.75">
      <c r="A7002" s="1008" t="s">
        <v>3743</v>
      </c>
      <c r="B7002" s="260" t="s">
        <v>78</v>
      </c>
      <c r="C7002" s="1389">
        <v>10</v>
      </c>
      <c r="D7002" s="1390">
        <v>1</v>
      </c>
      <c r="E7002" s="1391">
        <f>C7002*D7002</f>
        <v>10</v>
      </c>
      <c r="F7002" s="1009">
        <v>1.39</v>
      </c>
      <c r="G7002" s="891">
        <f>F7002*E7002</f>
        <v>13.899999999999999</v>
      </c>
    </row>
    <row r="7003" spans="1:9" s="888" customFormat="1" ht="12.75">
      <c r="A7003" s="1008" t="s">
        <v>2786</v>
      </c>
      <c r="B7003" s="260" t="s">
        <v>78</v>
      </c>
      <c r="C7003" s="903">
        <v>14</v>
      </c>
      <c r="D7003" s="904">
        <v>1</v>
      </c>
      <c r="E7003" s="905">
        <f>C7003*D7003</f>
        <v>14</v>
      </c>
      <c r="F7003" s="1009">
        <v>1.17</v>
      </c>
      <c r="G7003" s="891">
        <f>F7003*E7003</f>
        <v>16.38</v>
      </c>
    </row>
    <row r="7004" spans="1:9" s="888" customFormat="1" ht="12.75">
      <c r="A7004" s="1008" t="s">
        <v>2781</v>
      </c>
      <c r="B7004" s="260" t="s">
        <v>78</v>
      </c>
      <c r="C7004" s="1389">
        <v>10</v>
      </c>
      <c r="D7004" s="1390">
        <v>1</v>
      </c>
      <c r="E7004" s="1391">
        <f>C7004*D7004</f>
        <v>10</v>
      </c>
      <c r="F7004" s="1009">
        <v>4.74</v>
      </c>
      <c r="G7004" s="891">
        <f>F7004*E7004</f>
        <v>47.400000000000006</v>
      </c>
    </row>
    <row r="7005" spans="1:9" s="888" customFormat="1" ht="12.75">
      <c r="A7005" s="1008" t="s">
        <v>2783</v>
      </c>
      <c r="B7005" s="260" t="s">
        <v>78</v>
      </c>
      <c r="C7005" s="903">
        <v>13.7</v>
      </c>
      <c r="D7005" s="904">
        <v>1</v>
      </c>
      <c r="E7005" s="983">
        <f>C7005*D7005</f>
        <v>13.7</v>
      </c>
      <c r="F7005" s="1009">
        <v>1.67</v>
      </c>
      <c r="G7005" s="891">
        <f>F7005*E7005</f>
        <v>22.878999999999998</v>
      </c>
    </row>
    <row r="7006" spans="1:9" s="888" customFormat="1" ht="12.75">
      <c r="A7006" s="47"/>
      <c r="B7006" s="260" t="s">
        <v>1993</v>
      </c>
      <c r="C7006" s="905"/>
      <c r="D7006" s="906"/>
      <c r="E7006" s="894">
        <v>1</v>
      </c>
      <c r="F7006" s="891">
        <v>24</v>
      </c>
      <c r="G7006" s="891">
        <f>F7006*E7006</f>
        <v>24</v>
      </c>
    </row>
    <row r="7009" spans="1:7">
      <c r="A7009" s="887" t="s">
        <v>455</v>
      </c>
      <c r="B7009" s="887" t="s">
        <v>128</v>
      </c>
      <c r="C7009" s="887" t="s">
        <v>54</v>
      </c>
      <c r="D7009" s="887" t="s">
        <v>3674</v>
      </c>
      <c r="E7009" s="887"/>
    </row>
    <row r="7010" spans="1:7">
      <c r="A7010" s="1008" t="s">
        <v>5252</v>
      </c>
      <c r="B7010" s="260" t="s">
        <v>78</v>
      </c>
      <c r="C7010" s="49">
        <v>2</v>
      </c>
      <c r="D7010" s="49"/>
    </row>
    <row r="7011" spans="1:7">
      <c r="A7011" s="1008" t="s">
        <v>5253</v>
      </c>
      <c r="B7011" s="260" t="s">
        <v>78</v>
      </c>
      <c r="C7011" s="49">
        <v>2</v>
      </c>
      <c r="D7011" s="49"/>
    </row>
    <row r="7012" spans="1:7">
      <c r="A7012" s="1008" t="s">
        <v>5254</v>
      </c>
      <c r="B7012" s="260" t="s">
        <v>78</v>
      </c>
      <c r="C7012" s="49">
        <v>2</v>
      </c>
      <c r="D7012" s="49"/>
    </row>
    <row r="7016" spans="1:7">
      <c r="A7016" s="887" t="s">
        <v>105</v>
      </c>
      <c r="B7016" s="887" t="s">
        <v>455</v>
      </c>
      <c r="C7016" s="887" t="s">
        <v>52</v>
      </c>
      <c r="D7016" s="887" t="s">
        <v>128</v>
      </c>
      <c r="E7016" s="887" t="s">
        <v>1653</v>
      </c>
      <c r="F7016" s="887" t="s">
        <v>1825</v>
      </c>
    </row>
    <row r="7017" spans="1:7">
      <c r="A7017" s="947" t="s">
        <v>5250</v>
      </c>
      <c r="B7017" s="1008" t="s">
        <v>5252</v>
      </c>
      <c r="C7017" s="260"/>
      <c r="D7017" s="260" t="s">
        <v>78</v>
      </c>
      <c r="E7017" s="905">
        <v>2</v>
      </c>
      <c r="F7017" s="1061">
        <v>1.25</v>
      </c>
    </row>
    <row r="7018" spans="1:7">
      <c r="A7018" s="947" t="s">
        <v>5250</v>
      </c>
      <c r="B7018" s="1008" t="s">
        <v>5253</v>
      </c>
      <c r="C7018" s="260"/>
      <c r="D7018" s="260" t="s">
        <v>78</v>
      </c>
      <c r="E7018" s="905">
        <v>2</v>
      </c>
      <c r="F7018" s="1061">
        <v>1.49</v>
      </c>
    </row>
    <row r="7019" spans="1:7">
      <c r="A7019" s="947" t="s">
        <v>5250</v>
      </c>
      <c r="B7019" s="1008" t="s">
        <v>5254</v>
      </c>
      <c r="C7019" s="260"/>
      <c r="D7019" s="260" t="s">
        <v>78</v>
      </c>
      <c r="E7019" s="905">
        <v>2</v>
      </c>
      <c r="F7019" s="1061">
        <v>1.59</v>
      </c>
    </row>
    <row r="7020" spans="1:7">
      <c r="A7020" s="947" t="s">
        <v>5250</v>
      </c>
      <c r="B7020" s="47">
        <v>4145</v>
      </c>
      <c r="C7020" s="260">
        <v>6</v>
      </c>
      <c r="D7020" s="47" t="s">
        <v>5341</v>
      </c>
      <c r="E7020" s="905">
        <v>5</v>
      </c>
      <c r="F7020" s="891">
        <v>2.2999999999999998</v>
      </c>
    </row>
    <row r="7021" spans="1:7">
      <c r="A7021" s="947" t="s">
        <v>5250</v>
      </c>
      <c r="B7021" s="47">
        <v>4141</v>
      </c>
      <c r="C7021" s="260">
        <v>6</v>
      </c>
      <c r="D7021" s="47" t="s">
        <v>3096</v>
      </c>
      <c r="E7021" s="905">
        <v>5</v>
      </c>
      <c r="F7021" s="891">
        <v>2.94</v>
      </c>
    </row>
    <row r="7022" spans="1:7">
      <c r="A7022" s="947" t="s">
        <v>5250</v>
      </c>
      <c r="B7022" s="47"/>
      <c r="C7022" s="893"/>
      <c r="D7022" s="260" t="s">
        <v>1993</v>
      </c>
      <c r="E7022" s="894">
        <v>1</v>
      </c>
      <c r="F7022" s="891">
        <v>24</v>
      </c>
    </row>
    <row r="7024" spans="1:7">
      <c r="A7024" s="887" t="s">
        <v>105</v>
      </c>
      <c r="B7024" s="887" t="s">
        <v>455</v>
      </c>
      <c r="C7024" s="887" t="s">
        <v>52</v>
      </c>
      <c r="D7024" s="887" t="s">
        <v>128</v>
      </c>
      <c r="E7024" s="887" t="s">
        <v>1653</v>
      </c>
      <c r="F7024" s="887" t="s">
        <v>1825</v>
      </c>
      <c r="G7024" s="887" t="s">
        <v>2245</v>
      </c>
    </row>
    <row r="7025" spans="1:7">
      <c r="A7025" s="947" t="s">
        <v>5250</v>
      </c>
      <c r="B7025" s="1008" t="s">
        <v>5252</v>
      </c>
      <c r="C7025" s="260"/>
      <c r="D7025" s="260" t="s">
        <v>78</v>
      </c>
      <c r="E7025" s="905">
        <v>2</v>
      </c>
      <c r="F7025" s="1061">
        <v>1.25</v>
      </c>
      <c r="G7025" s="891">
        <f t="shared" ref="G7025:G7030" si="41">F7025*E7025</f>
        <v>2.5</v>
      </c>
    </row>
    <row r="7026" spans="1:7">
      <c r="A7026" s="947" t="s">
        <v>5250</v>
      </c>
      <c r="B7026" s="1008" t="s">
        <v>5253</v>
      </c>
      <c r="C7026" s="260"/>
      <c r="D7026" s="260" t="s">
        <v>78</v>
      </c>
      <c r="E7026" s="905">
        <v>2</v>
      </c>
      <c r="F7026" s="1061">
        <v>1.49</v>
      </c>
      <c r="G7026" s="891">
        <f t="shared" si="41"/>
        <v>2.98</v>
      </c>
    </row>
    <row r="7027" spans="1:7">
      <c r="A7027" s="947" t="s">
        <v>5250</v>
      </c>
      <c r="B7027" s="1008" t="s">
        <v>5254</v>
      </c>
      <c r="C7027" s="260"/>
      <c r="D7027" s="260" t="s">
        <v>78</v>
      </c>
      <c r="E7027" s="905">
        <v>2</v>
      </c>
      <c r="F7027" s="1061">
        <v>1.59</v>
      </c>
      <c r="G7027" s="891">
        <f t="shared" si="41"/>
        <v>3.18</v>
      </c>
    </row>
    <row r="7028" spans="1:7">
      <c r="A7028" s="947" t="s">
        <v>5250</v>
      </c>
      <c r="B7028" s="47">
        <v>4145</v>
      </c>
      <c r="C7028" s="260">
        <v>6</v>
      </c>
      <c r="D7028" s="47" t="s">
        <v>1680</v>
      </c>
      <c r="E7028" s="905">
        <v>5</v>
      </c>
      <c r="F7028" s="891">
        <v>2.2999999999999998</v>
      </c>
      <c r="G7028" s="891">
        <f t="shared" si="41"/>
        <v>11.5</v>
      </c>
    </row>
    <row r="7029" spans="1:7">
      <c r="A7029" s="947" t="s">
        <v>5250</v>
      </c>
      <c r="B7029" s="47">
        <v>4141</v>
      </c>
      <c r="C7029" s="1621">
        <v>7</v>
      </c>
      <c r="D7029" s="47" t="s">
        <v>2270</v>
      </c>
      <c r="E7029" s="50">
        <v>5</v>
      </c>
      <c r="F7029" s="891">
        <v>3.78</v>
      </c>
      <c r="G7029" s="891">
        <f t="shared" si="41"/>
        <v>18.899999999999999</v>
      </c>
    </row>
    <row r="7030" spans="1:7">
      <c r="A7030" s="947" t="s">
        <v>5250</v>
      </c>
      <c r="B7030" s="47"/>
      <c r="C7030" s="893"/>
      <c r="D7030" s="260" t="s">
        <v>1993</v>
      </c>
      <c r="E7030" s="894">
        <v>1</v>
      </c>
      <c r="F7030" s="891">
        <v>24</v>
      </c>
      <c r="G7030" s="891">
        <f t="shared" si="41"/>
        <v>24</v>
      </c>
    </row>
    <row r="7031" spans="1:7">
      <c r="A7031" s="947"/>
      <c r="B7031" s="47"/>
      <c r="C7031" s="893"/>
      <c r="D7031" s="260"/>
      <c r="E7031" s="894"/>
      <c r="F7031" s="918" t="s">
        <v>2843</v>
      </c>
      <c r="G7031" s="918">
        <f>SUM(G7025:G7030)</f>
        <v>63.06</v>
      </c>
    </row>
    <row r="7033" spans="1:7">
      <c r="A7033" s="47" t="s">
        <v>736</v>
      </c>
      <c r="B7033" s="1146">
        <v>162</v>
      </c>
      <c r="C7033" s="47" t="s">
        <v>5354</v>
      </c>
      <c r="D7033" s="903">
        <v>50</v>
      </c>
      <c r="E7033" s="904">
        <v>1</v>
      </c>
      <c r="F7033" s="905">
        <f>D7033*E7033</f>
        <v>50</v>
      </c>
    </row>
    <row r="7034" spans="1:7">
      <c r="A7034" s="47" t="s">
        <v>738</v>
      </c>
      <c r="B7034" s="1146">
        <v>152</v>
      </c>
      <c r="C7034" s="47" t="s">
        <v>5354</v>
      </c>
      <c r="D7034" s="903">
        <v>25</v>
      </c>
      <c r="E7034" s="904">
        <v>1</v>
      </c>
      <c r="F7034" s="905">
        <f>E7034*D7034</f>
        <v>25</v>
      </c>
    </row>
    <row r="7036" spans="1:7">
      <c r="A7036" s="902" t="s">
        <v>106</v>
      </c>
      <c r="B7036" s="902" t="s">
        <v>52</v>
      </c>
      <c r="C7036" s="902" t="s">
        <v>1710</v>
      </c>
      <c r="D7036" s="887" t="s">
        <v>1186</v>
      </c>
      <c r="E7036" s="887" t="s">
        <v>1652</v>
      </c>
      <c r="F7036" s="887" t="s">
        <v>1653</v>
      </c>
      <c r="G7036" s="887" t="s">
        <v>1825</v>
      </c>
    </row>
    <row r="7037" spans="1:7">
      <c r="A7037" s="47">
        <v>3705</v>
      </c>
      <c r="B7037" s="48">
        <v>12</v>
      </c>
      <c r="C7037" s="47" t="s">
        <v>29</v>
      </c>
      <c r="D7037" s="903">
        <v>30</v>
      </c>
      <c r="E7037" s="904">
        <v>6</v>
      </c>
      <c r="F7037" s="905">
        <f>D7037*E7037</f>
        <v>180</v>
      </c>
      <c r="G7037" s="891">
        <v>0.38</v>
      </c>
    </row>
    <row r="7038" spans="1:7">
      <c r="A7038" s="47"/>
      <c r="B7038" s="893"/>
      <c r="C7038" s="260" t="s">
        <v>1993</v>
      </c>
      <c r="D7038" s="905"/>
      <c r="E7038" s="906"/>
      <c r="F7038" s="894">
        <v>1</v>
      </c>
      <c r="G7038" s="891">
        <v>12</v>
      </c>
    </row>
    <row r="7041" spans="1:7">
      <c r="A7041" s="902" t="s">
        <v>105</v>
      </c>
      <c r="B7041" s="902" t="s">
        <v>106</v>
      </c>
      <c r="C7041" s="902" t="s">
        <v>1710</v>
      </c>
      <c r="D7041" s="887" t="s">
        <v>1653</v>
      </c>
      <c r="E7041" s="887" t="s">
        <v>1825</v>
      </c>
      <c r="F7041" s="887"/>
      <c r="G7041" s="39"/>
    </row>
    <row r="7042" spans="1:7">
      <c r="A7042" s="4" t="s">
        <v>5352</v>
      </c>
      <c r="B7042" s="47" t="s">
        <v>736</v>
      </c>
      <c r="C7042" s="47" t="s">
        <v>5354</v>
      </c>
      <c r="D7042" s="905">
        <v>50</v>
      </c>
      <c r="E7042" s="891">
        <v>4.59</v>
      </c>
      <c r="F7042" s="891">
        <f>E7042*D7042</f>
        <v>229.5</v>
      </c>
      <c r="G7042" s="1202" t="s">
        <v>2218</v>
      </c>
    </row>
    <row r="7043" spans="1:7">
      <c r="A7043" s="4" t="s">
        <v>5352</v>
      </c>
      <c r="B7043" s="47" t="s">
        <v>738</v>
      </c>
      <c r="C7043" s="47" t="s">
        <v>5354</v>
      </c>
      <c r="D7043" s="905">
        <v>25</v>
      </c>
      <c r="E7043" s="891">
        <v>4.45</v>
      </c>
      <c r="F7043" s="891">
        <f>E7043*D7043</f>
        <v>111.25</v>
      </c>
      <c r="G7043" s="1626" t="s">
        <v>2218</v>
      </c>
    </row>
    <row r="7044" spans="1:7">
      <c r="A7044" s="4" t="s">
        <v>5352</v>
      </c>
      <c r="B7044" s="1141"/>
      <c r="C7044" s="47" t="s">
        <v>5355</v>
      </c>
      <c r="D7044" s="894">
        <v>1</v>
      </c>
      <c r="E7044" s="891">
        <v>12</v>
      </c>
      <c r="F7044" s="891">
        <f>E7044*D7044</f>
        <v>12</v>
      </c>
      <c r="G7044" s="950"/>
    </row>
    <row r="7045" spans="1:7">
      <c r="A7045" s="4" t="s">
        <v>5352</v>
      </c>
      <c r="B7045" s="1141"/>
      <c r="C7045" s="47" t="s">
        <v>2975</v>
      </c>
      <c r="D7045" s="894">
        <v>1</v>
      </c>
      <c r="E7045" s="891">
        <v>20</v>
      </c>
      <c r="F7045" s="891">
        <f>E7045*D7045</f>
        <v>20</v>
      </c>
      <c r="G7045" s="950"/>
    </row>
    <row r="7047" spans="1:7">
      <c r="A7047" s="902" t="s">
        <v>106</v>
      </c>
      <c r="B7047" s="902" t="s">
        <v>377</v>
      </c>
      <c r="C7047" s="902" t="s">
        <v>128</v>
      </c>
      <c r="D7047" s="902" t="s">
        <v>54</v>
      </c>
      <c r="E7047" s="1639" t="s">
        <v>5378</v>
      </c>
    </row>
    <row r="7048" spans="1:7">
      <c r="A7048" s="909" t="s">
        <v>3722</v>
      </c>
      <c r="B7048" s="1638" t="s">
        <v>3725</v>
      </c>
      <c r="C7048" s="1209" t="s">
        <v>5377</v>
      </c>
      <c r="D7048" s="1640">
        <v>500</v>
      </c>
      <c r="E7048" s="950" t="s">
        <v>5376</v>
      </c>
    </row>
    <row r="7049" spans="1:7">
      <c r="A7049" s="1637" t="s">
        <v>3723</v>
      </c>
    </row>
    <row r="7051" spans="1:7">
      <c r="A7051" s="883" t="s">
        <v>5383</v>
      </c>
    </row>
    <row r="7052" spans="1:7">
      <c r="A7052" s="1166" t="s">
        <v>1372</v>
      </c>
      <c r="B7052" s="1184" t="s">
        <v>377</v>
      </c>
      <c r="C7052" s="1167" t="s">
        <v>128</v>
      </c>
      <c r="D7052" s="887" t="s">
        <v>5381</v>
      </c>
      <c r="E7052" s="887" t="s">
        <v>1825</v>
      </c>
    </row>
    <row r="7053" spans="1:7">
      <c r="A7053" s="47">
        <v>1095</v>
      </c>
      <c r="B7053" s="48">
        <v>150</v>
      </c>
      <c r="C7053" s="47" t="s">
        <v>3412</v>
      </c>
      <c r="D7053" s="50" t="s">
        <v>5382</v>
      </c>
      <c r="E7053" s="51">
        <v>4.67</v>
      </c>
    </row>
    <row r="7054" spans="1:7">
      <c r="A7054" s="47">
        <v>1095</v>
      </c>
      <c r="B7054" s="48">
        <v>220</v>
      </c>
      <c r="C7054" s="47" t="s">
        <v>3412</v>
      </c>
      <c r="D7054" s="50" t="s">
        <v>5382</v>
      </c>
      <c r="E7054" s="51">
        <v>6.44</v>
      </c>
    </row>
    <row r="7057" spans="1:9">
      <c r="A7057" s="1166" t="s">
        <v>1372</v>
      </c>
      <c r="B7057" s="1184" t="s">
        <v>377</v>
      </c>
      <c r="C7057" s="1167" t="s">
        <v>128</v>
      </c>
      <c r="D7057" s="1167" t="s">
        <v>54</v>
      </c>
      <c r="E7057" s="887" t="s">
        <v>1825</v>
      </c>
    </row>
    <row r="7058" spans="1:9">
      <c r="A7058" s="909" t="s">
        <v>536</v>
      </c>
      <c r="B7058" s="1750">
        <v>160</v>
      </c>
      <c r="C7058" s="909" t="s">
        <v>3599</v>
      </c>
      <c r="D7058" s="1751">
        <v>50</v>
      </c>
      <c r="E7058" s="1752">
        <v>5</v>
      </c>
    </row>
    <row r="7059" spans="1:9">
      <c r="A7059" s="909" t="s">
        <v>536</v>
      </c>
      <c r="B7059" s="1750">
        <v>160</v>
      </c>
      <c r="C7059" s="909" t="s">
        <v>5386</v>
      </c>
      <c r="D7059" s="1751">
        <v>50</v>
      </c>
      <c r="E7059" s="1752">
        <v>5</v>
      </c>
    </row>
    <row r="7060" spans="1:9" ht="16.5" customHeight="1">
      <c r="A7060" s="1217"/>
      <c r="B7060" s="1753"/>
      <c r="C7060" s="909" t="s">
        <v>2975</v>
      </c>
      <c r="D7060" s="1754">
        <v>1</v>
      </c>
      <c r="E7060" s="1752">
        <v>20</v>
      </c>
    </row>
    <row r="7062" spans="1:9">
      <c r="A7062" s="1755" t="s">
        <v>5440</v>
      </c>
      <c r="B7062" s="1755" t="s">
        <v>5441</v>
      </c>
      <c r="C7062" s="1755" t="s">
        <v>5442</v>
      </c>
      <c r="D7062" s="1755" t="s">
        <v>5444</v>
      </c>
      <c r="E7062" s="1755" t="s">
        <v>5445</v>
      </c>
    </row>
    <row r="7063" spans="1:9">
      <c r="A7063" s="47" t="s">
        <v>5439</v>
      </c>
      <c r="B7063" s="1146">
        <v>137</v>
      </c>
      <c r="C7063" s="1146" t="s">
        <v>5443</v>
      </c>
      <c r="D7063" s="47" t="s">
        <v>3182</v>
      </c>
      <c r="E7063" s="47" t="s">
        <v>5446</v>
      </c>
    </row>
    <row r="7066" spans="1:9">
      <c r="A7066" s="887" t="s">
        <v>5448</v>
      </c>
      <c r="B7066" s="887" t="s">
        <v>455</v>
      </c>
      <c r="C7066" s="887" t="s">
        <v>5447</v>
      </c>
      <c r="D7066" s="887" t="s">
        <v>128</v>
      </c>
      <c r="E7066" s="887" t="s">
        <v>1186</v>
      </c>
      <c r="F7066" s="887" t="s">
        <v>1652</v>
      </c>
      <c r="G7066" s="887" t="s">
        <v>1653</v>
      </c>
      <c r="H7066" s="887" t="s">
        <v>1825</v>
      </c>
      <c r="I7066" s="916" t="s">
        <v>10</v>
      </c>
    </row>
    <row r="7067" spans="1:9">
      <c r="A7067" s="947" t="s">
        <v>5437</v>
      </c>
      <c r="B7067" s="47">
        <v>1095</v>
      </c>
      <c r="C7067" s="48">
        <v>150</v>
      </c>
      <c r="D7067" s="47" t="s">
        <v>3412</v>
      </c>
      <c r="E7067" s="905">
        <v>10</v>
      </c>
      <c r="F7067" s="906">
        <v>7</v>
      </c>
      <c r="G7067" s="905">
        <f>E7067*F7067</f>
        <v>70</v>
      </c>
      <c r="H7067" s="891">
        <v>4.67</v>
      </c>
    </row>
    <row r="7068" spans="1:9">
      <c r="A7068" s="947" t="s">
        <v>5437</v>
      </c>
      <c r="B7068" s="47"/>
      <c r="C7068" s="893"/>
      <c r="D7068" s="260" t="s">
        <v>1993</v>
      </c>
      <c r="E7068" s="905"/>
      <c r="F7068" s="906"/>
      <c r="G7068" s="894">
        <v>1</v>
      </c>
      <c r="H7068" s="891">
        <v>12</v>
      </c>
    </row>
    <row r="7070" spans="1:9">
      <c r="A7070" s="1755" t="s">
        <v>64</v>
      </c>
      <c r="B7070" s="1755" t="s">
        <v>162</v>
      </c>
      <c r="C7070" s="1755" t="s">
        <v>66</v>
      </c>
      <c r="D7070" s="1755" t="s">
        <v>163</v>
      </c>
      <c r="E7070" s="1755" t="s">
        <v>2605</v>
      </c>
      <c r="F7070" s="1755" t="s">
        <v>68</v>
      </c>
    </row>
    <row r="7071" spans="1:9">
      <c r="A7071" s="47" t="s">
        <v>1264</v>
      </c>
      <c r="B7071" s="48" t="s">
        <v>3142</v>
      </c>
      <c r="C7071" s="47" t="s">
        <v>5454</v>
      </c>
      <c r="D7071" s="903">
        <v>25</v>
      </c>
      <c r="E7071" s="904">
        <v>23</v>
      </c>
      <c r="F7071" s="905">
        <f>D7071*E7071</f>
        <v>575</v>
      </c>
    </row>
    <row r="7074" spans="1:8">
      <c r="A7074" s="887" t="s">
        <v>105</v>
      </c>
      <c r="B7074" s="887" t="s">
        <v>455</v>
      </c>
      <c r="C7074" s="887" t="s">
        <v>52</v>
      </c>
      <c r="D7074" s="887" t="s">
        <v>128</v>
      </c>
      <c r="E7074" s="887" t="s">
        <v>1186</v>
      </c>
      <c r="F7074" s="887" t="s">
        <v>1652</v>
      </c>
      <c r="G7074" s="887" t="s">
        <v>1653</v>
      </c>
      <c r="H7074" s="887" t="s">
        <v>1825</v>
      </c>
    </row>
    <row r="7075" spans="1:8">
      <c r="A7075" s="947" t="s">
        <v>5449</v>
      </c>
      <c r="B7075" s="47">
        <v>5291</v>
      </c>
      <c r="C7075" s="48">
        <v>8</v>
      </c>
      <c r="D7075" s="47" t="s">
        <v>499</v>
      </c>
      <c r="E7075" s="50">
        <v>50</v>
      </c>
      <c r="F7075" s="911">
        <v>7</v>
      </c>
      <c r="G7075" s="50">
        <f>E7075*F7075</f>
        <v>350</v>
      </c>
      <c r="H7075" s="891">
        <v>0.74</v>
      </c>
    </row>
    <row r="7076" spans="1:8">
      <c r="A7076" s="947" t="s">
        <v>5453</v>
      </c>
      <c r="B7076" s="47">
        <v>5291</v>
      </c>
      <c r="C7076" s="48">
        <v>6</v>
      </c>
      <c r="D7076" s="47" t="s">
        <v>3473</v>
      </c>
      <c r="E7076" s="50">
        <v>50</v>
      </c>
      <c r="F7076" s="911">
        <v>20</v>
      </c>
      <c r="G7076" s="50">
        <f>E7076*F7076</f>
        <v>1000</v>
      </c>
      <c r="H7076" s="891">
        <v>0.4</v>
      </c>
    </row>
    <row r="7079" spans="1:8">
      <c r="A7079" s="887" t="s">
        <v>455</v>
      </c>
      <c r="B7079" s="887" t="s">
        <v>52</v>
      </c>
      <c r="C7079" s="887" t="s">
        <v>128</v>
      </c>
      <c r="D7079" s="887" t="s">
        <v>1186</v>
      </c>
      <c r="E7079" s="887" t="s">
        <v>1652</v>
      </c>
      <c r="F7079" s="887" t="s">
        <v>1653</v>
      </c>
    </row>
    <row r="7080" spans="1:8">
      <c r="A7080" s="47">
        <v>4141</v>
      </c>
      <c r="B7080" s="260">
        <v>9</v>
      </c>
      <c r="C7080" s="47" t="s">
        <v>2700</v>
      </c>
      <c r="D7080" s="905">
        <v>20</v>
      </c>
      <c r="E7080" s="906">
        <v>3</v>
      </c>
      <c r="F7080" s="905">
        <f>D7080*E7080</f>
        <v>60</v>
      </c>
    </row>
    <row r="7081" spans="1:8">
      <c r="A7081" s="47">
        <v>4141</v>
      </c>
      <c r="B7081" s="260">
        <v>9</v>
      </c>
      <c r="C7081" s="47" t="s">
        <v>48</v>
      </c>
      <c r="D7081" s="905">
        <v>20</v>
      </c>
      <c r="E7081" s="906">
        <v>1</v>
      </c>
      <c r="F7081" s="905">
        <f>D7081*E7081</f>
        <v>20</v>
      </c>
    </row>
    <row r="7082" spans="1:8">
      <c r="A7082" s="47">
        <v>4141</v>
      </c>
      <c r="B7082" s="260">
        <v>9</v>
      </c>
      <c r="C7082" s="47" t="s">
        <v>2701</v>
      </c>
      <c r="D7082" s="905">
        <v>20</v>
      </c>
      <c r="E7082" s="906">
        <v>1</v>
      </c>
      <c r="F7082" s="905">
        <f>D7082*E7082</f>
        <v>20</v>
      </c>
    </row>
    <row r="7083" spans="1:8">
      <c r="A7083" s="895"/>
      <c r="B7083" s="1777"/>
      <c r="C7083" s="895"/>
      <c r="D7083" s="1333"/>
      <c r="E7083" s="1778"/>
      <c r="F7083" s="1333"/>
    </row>
    <row r="7084" spans="1:8">
      <c r="A7084" t="s">
        <v>5515</v>
      </c>
    </row>
    <row r="7085" spans="1:8" ht="25.5">
      <c r="A7085" s="1771" t="s">
        <v>1400</v>
      </c>
      <c r="B7085" s="1244" t="s">
        <v>2464</v>
      </c>
      <c r="C7085" s="1772" t="s">
        <v>5514</v>
      </c>
      <c r="D7085" s="1244" t="s">
        <v>1181</v>
      </c>
      <c r="E7085" s="1772" t="s">
        <v>2466</v>
      </c>
      <c r="F7085" s="1773" t="s">
        <v>2467</v>
      </c>
    </row>
    <row r="7086" spans="1:8">
      <c r="A7086" s="1197" t="s">
        <v>3337</v>
      </c>
      <c r="B7086" s="1197" t="s">
        <v>5512</v>
      </c>
      <c r="C7086" s="1197" t="s">
        <v>2491</v>
      </c>
      <c r="D7086" s="1774" t="s">
        <v>5513</v>
      </c>
      <c r="E7086" s="1775">
        <v>26</v>
      </c>
      <c r="F7086" s="1776">
        <v>7.09</v>
      </c>
    </row>
    <row r="7089" spans="1:7">
      <c r="A7089" s="887" t="s">
        <v>5518</v>
      </c>
      <c r="B7089" s="887" t="s">
        <v>455</v>
      </c>
      <c r="C7089" s="887" t="s">
        <v>5519</v>
      </c>
      <c r="D7089" s="887" t="s">
        <v>128</v>
      </c>
      <c r="E7089" s="887" t="s">
        <v>1653</v>
      </c>
      <c r="F7089" s="887" t="s">
        <v>1825</v>
      </c>
      <c r="G7089" s="887" t="s">
        <v>3586</v>
      </c>
    </row>
    <row r="7090" spans="1:7">
      <c r="A7090" s="4" t="s">
        <v>5516</v>
      </c>
      <c r="B7090" s="47" t="s">
        <v>1093</v>
      </c>
      <c r="C7090" s="907">
        <v>150</v>
      </c>
      <c r="D7090" s="260" t="s">
        <v>3635</v>
      </c>
      <c r="E7090" s="905">
        <v>10</v>
      </c>
      <c r="F7090" s="891">
        <v>7.09</v>
      </c>
      <c r="G7090" s="891">
        <f>F7090*E7090</f>
        <v>70.900000000000006</v>
      </c>
    </row>
    <row r="7091" spans="1:7">
      <c r="A7091" s="4" t="s">
        <v>5516</v>
      </c>
      <c r="B7091" s="47" t="s">
        <v>1093</v>
      </c>
      <c r="C7091" s="907">
        <v>150</v>
      </c>
      <c r="D7091" s="260" t="s">
        <v>333</v>
      </c>
      <c r="E7091" s="905">
        <v>10</v>
      </c>
      <c r="F7091" s="891">
        <v>7.09</v>
      </c>
      <c r="G7091" s="891">
        <f>F7091*E7091</f>
        <v>70.900000000000006</v>
      </c>
    </row>
    <row r="7092" spans="1:7">
      <c r="A7092" s="4" t="s">
        <v>5516</v>
      </c>
      <c r="B7092" s="47"/>
      <c r="C7092" s="893"/>
      <c r="D7092" s="260" t="s">
        <v>1075</v>
      </c>
      <c r="E7092" s="894">
        <v>2</v>
      </c>
      <c r="F7092" s="891">
        <v>12</v>
      </c>
      <c r="G7092" s="891">
        <f>F7092*E7092</f>
        <v>24</v>
      </c>
    </row>
    <row r="7093" spans="1:7">
      <c r="A7093" s="4" t="s">
        <v>5516</v>
      </c>
      <c r="B7093" s="47"/>
      <c r="C7093" s="893"/>
      <c r="D7093" s="260" t="s">
        <v>1993</v>
      </c>
      <c r="E7093" s="894">
        <v>1</v>
      </c>
      <c r="F7093" s="891">
        <v>20</v>
      </c>
      <c r="G7093" s="891">
        <f>F7093*E7093</f>
        <v>20</v>
      </c>
    </row>
    <row r="7095" spans="1:7">
      <c r="A7095" s="1064" t="s">
        <v>5524</v>
      </c>
    </row>
    <row r="7096" spans="1:7" s="888" customFormat="1" ht="12.75">
      <c r="A7096" s="887" t="s">
        <v>455</v>
      </c>
      <c r="B7096" s="887" t="s">
        <v>1035</v>
      </c>
      <c r="C7096" s="887" t="s">
        <v>1353</v>
      </c>
      <c r="D7096" s="1779" t="s">
        <v>1053</v>
      </c>
      <c r="E7096" s="887" t="s">
        <v>2020</v>
      </c>
      <c r="F7096" s="1779" t="s">
        <v>1418</v>
      </c>
      <c r="G7096" s="887" t="s">
        <v>2020</v>
      </c>
    </row>
    <row r="7097" spans="1:7" s="888" customFormat="1" ht="12.75">
      <c r="A7097" s="47" t="s">
        <v>5520</v>
      </c>
      <c r="B7097" s="260" t="s">
        <v>5521</v>
      </c>
      <c r="C7097" s="260" t="s">
        <v>5522</v>
      </c>
      <c r="D7097" s="260" t="s">
        <v>5523</v>
      </c>
      <c r="E7097" s="1776">
        <f>ROUNDUP(G7097/0.45/120,2)</f>
        <v>1.1000000000000001</v>
      </c>
      <c r="F7097" s="1058" t="s">
        <v>1419</v>
      </c>
      <c r="G7097" s="1780">
        <v>59.3</v>
      </c>
    </row>
    <row r="7099" spans="1:7">
      <c r="A7099" t="s">
        <v>5525</v>
      </c>
    </row>
    <row r="7100" spans="1:7" ht="25.5">
      <c r="A7100" s="1166" t="s">
        <v>1369</v>
      </c>
      <c r="B7100" s="1184" t="s">
        <v>377</v>
      </c>
      <c r="C7100" s="1167" t="s">
        <v>2</v>
      </c>
      <c r="D7100" s="1168" t="s">
        <v>1734</v>
      </c>
      <c r="E7100" s="1168" t="s">
        <v>5526</v>
      </c>
      <c r="F7100" s="1169" t="s">
        <v>5527</v>
      </c>
      <c r="G7100" s="1162" t="s">
        <v>1403</v>
      </c>
    </row>
    <row r="7101" spans="1:7" ht="15">
      <c r="A7101" s="1172">
        <v>2300</v>
      </c>
      <c r="B7101" s="1187">
        <v>50</v>
      </c>
      <c r="C7101" s="1171">
        <v>10</v>
      </c>
      <c r="D7101" s="1172" t="s">
        <v>1812</v>
      </c>
      <c r="E7101" s="1171" t="s">
        <v>5528</v>
      </c>
      <c r="F7101" s="1174">
        <v>6.57</v>
      </c>
      <c r="G7101" s="1781"/>
    </row>
    <row r="7102" spans="1:7">
      <c r="A7102" s="1170" t="s">
        <v>5529</v>
      </c>
      <c r="B7102" s="1782">
        <v>75</v>
      </c>
      <c r="C7102" s="1171">
        <v>30</v>
      </c>
      <c r="D7102" s="1172" t="s">
        <v>1812</v>
      </c>
      <c r="E7102" s="1171" t="s">
        <v>5530</v>
      </c>
      <c r="F7102" s="1174">
        <v>3.96</v>
      </c>
    </row>
    <row r="7105" spans="1:9" ht="25.5">
      <c r="A7105" s="887" t="s">
        <v>5518</v>
      </c>
      <c r="B7105" s="887" t="s">
        <v>455</v>
      </c>
      <c r="C7105" s="887" t="s">
        <v>52</v>
      </c>
      <c r="D7105" s="887" t="s">
        <v>128</v>
      </c>
      <c r="E7105" s="887" t="s">
        <v>1186</v>
      </c>
      <c r="F7105" s="887" t="s">
        <v>1652</v>
      </c>
      <c r="G7105" s="887" t="s">
        <v>1653</v>
      </c>
      <c r="H7105" s="1783" t="s">
        <v>2467</v>
      </c>
      <c r="I7105" s="1773" t="s">
        <v>5578</v>
      </c>
    </row>
    <row r="7106" spans="1:9">
      <c r="A7106" s="4" t="s">
        <v>5510</v>
      </c>
      <c r="B7106" s="47">
        <v>14552</v>
      </c>
      <c r="C7106" s="48">
        <v>10</v>
      </c>
      <c r="D7106" s="47" t="s">
        <v>1740</v>
      </c>
      <c r="E7106" s="903">
        <v>30</v>
      </c>
      <c r="F7106" s="904">
        <v>50</v>
      </c>
      <c r="G7106" s="905">
        <f>E7106*F7106</f>
        <v>1500</v>
      </c>
      <c r="H7106" s="891">
        <v>0.69</v>
      </c>
      <c r="I7106" s="1058" t="s">
        <v>5531</v>
      </c>
    </row>
    <row r="7107" spans="1:9">
      <c r="A7107" s="4" t="s">
        <v>5510</v>
      </c>
      <c r="B7107" s="47"/>
      <c r="C7107" s="893"/>
      <c r="D7107" s="260" t="s">
        <v>1993</v>
      </c>
      <c r="E7107" s="905"/>
      <c r="F7107" s="906"/>
      <c r="G7107" s="894">
        <v>1</v>
      </c>
      <c r="H7107" s="891">
        <v>12</v>
      </c>
      <c r="I7107" s="891"/>
    </row>
    <row r="7110" spans="1:9">
      <c r="A7110" s="887" t="s">
        <v>5562</v>
      </c>
      <c r="B7110" s="887" t="s">
        <v>455</v>
      </c>
      <c r="C7110" s="887" t="s">
        <v>52</v>
      </c>
      <c r="D7110" s="887" t="s">
        <v>128</v>
      </c>
      <c r="E7110" s="887" t="s">
        <v>1186</v>
      </c>
      <c r="F7110" s="887" t="s">
        <v>1652</v>
      </c>
      <c r="G7110" s="887" t="s">
        <v>1653</v>
      </c>
      <c r="H7110" s="1783" t="s">
        <v>1323</v>
      </c>
    </row>
    <row r="7111" spans="1:9">
      <c r="A7111" s="947" t="s">
        <v>5560</v>
      </c>
      <c r="B7111" s="47">
        <v>3709</v>
      </c>
      <c r="C7111" s="48">
        <v>19</v>
      </c>
      <c r="D7111" s="47" t="s">
        <v>2610</v>
      </c>
      <c r="E7111" s="905">
        <v>30</v>
      </c>
      <c r="F7111" s="906">
        <v>1</v>
      </c>
      <c r="G7111" s="905">
        <f>E7111*F7111</f>
        <v>30</v>
      </c>
      <c r="H7111" s="891">
        <v>0.77</v>
      </c>
    </row>
    <row r="7112" spans="1:9">
      <c r="A7112" s="947" t="s">
        <v>5560</v>
      </c>
      <c r="B7112" s="47">
        <v>14552</v>
      </c>
      <c r="C7112" s="48">
        <v>18</v>
      </c>
      <c r="D7112" s="47" t="s">
        <v>45</v>
      </c>
      <c r="E7112" s="903">
        <v>30</v>
      </c>
      <c r="F7112" s="904">
        <v>1</v>
      </c>
      <c r="G7112" s="905">
        <f>E7112*F7112</f>
        <v>30</v>
      </c>
      <c r="H7112" s="891">
        <v>1</v>
      </c>
    </row>
    <row r="7113" spans="1:9">
      <c r="A7113" s="947" t="s">
        <v>5560</v>
      </c>
      <c r="B7113" s="47"/>
      <c r="C7113" s="893"/>
      <c r="D7113" s="260" t="s">
        <v>1993</v>
      </c>
      <c r="E7113" s="905"/>
      <c r="F7113" s="906"/>
      <c r="G7113" s="894">
        <v>1</v>
      </c>
      <c r="H7113" s="891">
        <v>12</v>
      </c>
    </row>
    <row r="7115" spans="1:9">
      <c r="A7115" t="s">
        <v>5568</v>
      </c>
    </row>
    <row r="7116" spans="1:9" s="888" customFormat="1" ht="12.75">
      <c r="A7116" s="887" t="s">
        <v>455</v>
      </c>
      <c r="B7116" s="887" t="s">
        <v>377</v>
      </c>
      <c r="C7116" s="887" t="s">
        <v>128</v>
      </c>
      <c r="D7116" s="887" t="s">
        <v>1186</v>
      </c>
      <c r="E7116" s="887" t="s">
        <v>1652</v>
      </c>
      <c r="F7116" s="887" t="s">
        <v>1653</v>
      </c>
      <c r="G7116" s="887" t="s">
        <v>3130</v>
      </c>
    </row>
    <row r="7117" spans="1:9" s="888" customFormat="1" ht="12.75">
      <c r="A7117" s="47">
        <v>2440</v>
      </c>
      <c r="B7117" s="907">
        <v>140</v>
      </c>
      <c r="C7117" s="47" t="s">
        <v>114</v>
      </c>
      <c r="D7117" s="905">
        <v>58</v>
      </c>
      <c r="E7117" s="906">
        <v>3</v>
      </c>
      <c r="F7117" s="905">
        <f>D7117*E7117</f>
        <v>174</v>
      </c>
      <c r="G7117" s="891">
        <v>4.7300000000000004</v>
      </c>
    </row>
    <row r="7118" spans="1:9" s="888" customFormat="1" ht="12.75">
      <c r="A7118" s="47">
        <v>2440</v>
      </c>
      <c r="B7118" s="907">
        <v>140</v>
      </c>
      <c r="C7118" s="47" t="s">
        <v>5566</v>
      </c>
      <c r="D7118" s="905">
        <v>58</v>
      </c>
      <c r="E7118" s="906">
        <v>3</v>
      </c>
      <c r="F7118" s="905">
        <f>D7118*E7118</f>
        <v>174</v>
      </c>
      <c r="G7118" s="891">
        <v>4.7300000000000004</v>
      </c>
    </row>
    <row r="7119" spans="1:9" s="888" customFormat="1" ht="12"/>
    <row r="7120" spans="1:9">
      <c r="A7120" s="887" t="s">
        <v>455</v>
      </c>
      <c r="B7120" s="887" t="s">
        <v>52</v>
      </c>
      <c r="C7120" s="887" t="s">
        <v>128</v>
      </c>
      <c r="D7120" s="887" t="s">
        <v>1186</v>
      </c>
      <c r="E7120" s="887" t="s">
        <v>1652</v>
      </c>
      <c r="F7120" s="887" t="s">
        <v>1653</v>
      </c>
      <c r="G7120" s="887" t="s">
        <v>5574</v>
      </c>
    </row>
    <row r="7121" spans="1:8">
      <c r="A7121" s="47">
        <v>5291</v>
      </c>
      <c r="B7121" s="48">
        <v>8</v>
      </c>
      <c r="C7121" s="47" t="s">
        <v>499</v>
      </c>
      <c r="D7121" s="905">
        <v>50</v>
      </c>
      <c r="E7121" s="906">
        <v>5</v>
      </c>
      <c r="F7121" s="905">
        <f>D7121*E7121</f>
        <v>250</v>
      </c>
      <c r="G7121" s="891">
        <v>0.77</v>
      </c>
    </row>
    <row r="7123" spans="1:8">
      <c r="A7123" s="887" t="s">
        <v>455</v>
      </c>
      <c r="B7123" s="887" t="s">
        <v>52</v>
      </c>
      <c r="C7123" s="887" t="s">
        <v>128</v>
      </c>
      <c r="D7123" s="887" t="s">
        <v>1186</v>
      </c>
      <c r="E7123" s="887" t="s">
        <v>1652</v>
      </c>
      <c r="F7123" s="887" t="s">
        <v>1653</v>
      </c>
      <c r="G7123" s="887" t="s">
        <v>5574</v>
      </c>
    </row>
    <row r="7124" spans="1:8">
      <c r="A7124" s="47">
        <v>5291</v>
      </c>
      <c r="B7124" s="48">
        <v>6</v>
      </c>
      <c r="C7124" s="47" t="s">
        <v>3473</v>
      </c>
      <c r="D7124" s="905">
        <v>50</v>
      </c>
      <c r="E7124" s="906">
        <v>15</v>
      </c>
      <c r="F7124" s="905">
        <f>D7124*E7124</f>
        <v>750</v>
      </c>
      <c r="G7124" s="891">
        <v>0.4</v>
      </c>
    </row>
    <row r="7126" spans="1:8" ht="25.5">
      <c r="A7126" s="887" t="s">
        <v>455</v>
      </c>
      <c r="B7126" s="887" t="s">
        <v>128</v>
      </c>
      <c r="C7126" s="887" t="s">
        <v>1186</v>
      </c>
      <c r="D7126" s="887" t="s">
        <v>1652</v>
      </c>
      <c r="E7126" s="887" t="s">
        <v>1653</v>
      </c>
      <c r="F7126" s="1783" t="s">
        <v>1323</v>
      </c>
      <c r="G7126" s="1783" t="s">
        <v>5578</v>
      </c>
    </row>
    <row r="7127" spans="1:8">
      <c r="A7127" s="47" t="s">
        <v>447</v>
      </c>
      <c r="B7127" s="47" t="s">
        <v>353</v>
      </c>
      <c r="C7127" s="905">
        <v>50</v>
      </c>
      <c r="D7127" s="906">
        <v>10</v>
      </c>
      <c r="E7127" s="905">
        <f>C7127*D7127</f>
        <v>500</v>
      </c>
      <c r="F7127" s="891">
        <v>0.28999999999999998</v>
      </c>
      <c r="G7127" s="891" t="s">
        <v>5579</v>
      </c>
    </row>
    <row r="7128" spans="1:8" ht="20.25">
      <c r="A7128" s="47"/>
      <c r="B7128" s="260" t="s">
        <v>1949</v>
      </c>
      <c r="C7128" s="894"/>
      <c r="D7128" s="904" ph="1"/>
      <c r="E7128" s="894">
        <v>1</v>
      </c>
      <c r="F7128" s="891">
        <v>12</v>
      </c>
      <c r="G7128" s="891"/>
    </row>
    <row r="7131" spans="1:8">
      <c r="A7131" s="887" t="s">
        <v>455</v>
      </c>
      <c r="B7131" s="887" t="s">
        <v>52</v>
      </c>
      <c r="C7131" s="887" t="s">
        <v>128</v>
      </c>
      <c r="D7131" s="887" t="s">
        <v>1186</v>
      </c>
      <c r="E7131" s="887" t="s">
        <v>1652</v>
      </c>
      <c r="F7131" s="887" t="s">
        <v>1653</v>
      </c>
      <c r="G7131" s="1783" t="s">
        <v>1323</v>
      </c>
    </row>
    <row r="7132" spans="1:8">
      <c r="A7132" s="47">
        <v>4141</v>
      </c>
      <c r="B7132" s="260">
        <v>9</v>
      </c>
      <c r="C7132" s="47" t="s">
        <v>103</v>
      </c>
      <c r="D7132" s="905">
        <v>20</v>
      </c>
      <c r="E7132" s="906">
        <v>3</v>
      </c>
      <c r="F7132" s="905">
        <f>D7132*E7132</f>
        <v>60</v>
      </c>
      <c r="G7132" s="891">
        <v>1.63</v>
      </c>
    </row>
    <row r="7133" spans="1:8">
      <c r="A7133" s="47"/>
      <c r="B7133" s="893"/>
      <c r="C7133" s="260" t="s">
        <v>1993</v>
      </c>
      <c r="D7133" s="905"/>
      <c r="E7133" s="906"/>
      <c r="F7133" s="894">
        <v>1</v>
      </c>
      <c r="G7133" s="891">
        <v>12</v>
      </c>
    </row>
    <row r="7135" spans="1:8">
      <c r="A7135" t="s">
        <v>5589</v>
      </c>
    </row>
    <row r="7136" spans="1:8" s="194" customFormat="1" ht="25.5">
      <c r="A7136" s="902" t="s">
        <v>5583</v>
      </c>
      <c r="B7136" s="902" t="s">
        <v>3287</v>
      </c>
      <c r="C7136" s="1772" t="s">
        <v>5585</v>
      </c>
      <c r="D7136" s="1772" t="s">
        <v>5586</v>
      </c>
      <c r="E7136" s="902" t="s">
        <v>5590</v>
      </c>
      <c r="F7136" s="967" t="s">
        <v>5587</v>
      </c>
      <c r="G7136" s="902" t="s">
        <v>3297</v>
      </c>
      <c r="H7136" s="967" t="s">
        <v>5588</v>
      </c>
    </row>
    <row r="7137" spans="1:11" s="194" customFormat="1" ht="25.5" customHeight="1">
      <c r="A7137" s="909" t="s">
        <v>3274</v>
      </c>
      <c r="B7137" s="1209" t="s">
        <v>5584</v>
      </c>
      <c r="C7137" s="1245">
        <f>ROUNDUP(F7137/0.75/115,2)</f>
        <v>20.87</v>
      </c>
      <c r="D7137" s="1245">
        <f>ROUNDUP(G7137/0.75/115,2)</f>
        <v>21.57</v>
      </c>
      <c r="E7137" s="909" t="s">
        <v>5591</v>
      </c>
      <c r="F7137" s="1242">
        <v>1800</v>
      </c>
      <c r="G7137" s="1242">
        <v>1860</v>
      </c>
      <c r="H7137" s="1246">
        <v>300</v>
      </c>
    </row>
    <row r="7141" spans="1:11">
      <c r="A7141" s="887" t="s">
        <v>455</v>
      </c>
      <c r="B7141" s="887" t="s">
        <v>52</v>
      </c>
      <c r="C7141" s="887" t="s">
        <v>128</v>
      </c>
      <c r="D7141" s="887" t="s">
        <v>1186</v>
      </c>
      <c r="E7141" s="887" t="s">
        <v>1652</v>
      </c>
      <c r="F7141" s="887" t="s">
        <v>1653</v>
      </c>
      <c r="G7141" s="887" t="s">
        <v>5574</v>
      </c>
    </row>
    <row r="7142" spans="1:11">
      <c r="A7142" s="47">
        <v>5291</v>
      </c>
      <c r="B7142" s="48">
        <v>8</v>
      </c>
      <c r="C7142" s="47" t="s">
        <v>499</v>
      </c>
      <c r="D7142" s="905">
        <v>50</v>
      </c>
      <c r="E7142" s="906">
        <v>5</v>
      </c>
      <c r="F7142" s="905">
        <f>D7142*E7142</f>
        <v>250</v>
      </c>
      <c r="G7142" s="891">
        <v>0.77</v>
      </c>
    </row>
    <row r="7143" spans="1:11" s="888" customFormat="1" ht="12.75">
      <c r="A7143" s="1865" t="s">
        <v>5593</v>
      </c>
      <c r="B7143" s="1866">
        <v>8</v>
      </c>
      <c r="C7143" s="1865" t="s">
        <v>499</v>
      </c>
      <c r="D7143" s="1751">
        <v>50</v>
      </c>
      <c r="E7143" s="1867">
        <v>1</v>
      </c>
      <c r="F7143" s="1751">
        <f>D7143*E7143</f>
        <v>50</v>
      </c>
      <c r="G7143" s="1752">
        <v>0.77</v>
      </c>
      <c r="H7143" s="1752">
        <f>G7143*F7143</f>
        <v>38.5</v>
      </c>
      <c r="I7143" s="1626" t="s">
        <v>2219</v>
      </c>
      <c r="J7143" s="1864" t="s">
        <v>5571</v>
      </c>
      <c r="K7143" s="1868"/>
    </row>
    <row r="7144" spans="1:11" s="888" customFormat="1" ht="12.75">
      <c r="A7144" s="1865" t="s">
        <v>5594</v>
      </c>
      <c r="B7144" s="1753">
        <v>9</v>
      </c>
      <c r="C7144" s="1865" t="s">
        <v>29</v>
      </c>
      <c r="D7144" s="1751">
        <v>20</v>
      </c>
      <c r="E7144" s="1867">
        <v>1</v>
      </c>
      <c r="F7144" s="1751">
        <f>D7144*E7144</f>
        <v>20</v>
      </c>
      <c r="G7144" s="1752">
        <v>2.13</v>
      </c>
      <c r="H7144" s="1752">
        <f>G7144*F7144</f>
        <v>42.599999999999994</v>
      </c>
      <c r="I7144" s="1626" t="s">
        <v>2219</v>
      </c>
      <c r="J7144" s="1869"/>
      <c r="K7144" s="1868"/>
    </row>
    <row r="7145" spans="1:11" s="888" customFormat="1" ht="12.75">
      <c r="A7145" s="47"/>
      <c r="B7145" s="893"/>
      <c r="C7145" s="260" t="s">
        <v>1993</v>
      </c>
      <c r="D7145" s="905"/>
      <c r="E7145" s="906"/>
      <c r="F7145" s="894">
        <v>1</v>
      </c>
      <c r="G7145" s="891">
        <v>12</v>
      </c>
    </row>
    <row r="7146" spans="1:11" s="888" customFormat="1" ht="12"/>
    <row r="7148" spans="1:11">
      <c r="A7148" s="887" t="s">
        <v>455</v>
      </c>
      <c r="B7148" s="887" t="s">
        <v>377</v>
      </c>
      <c r="C7148" s="887" t="s">
        <v>128</v>
      </c>
      <c r="D7148" s="887" t="s">
        <v>1186</v>
      </c>
      <c r="E7148" s="887" t="s">
        <v>1652</v>
      </c>
      <c r="F7148" s="887" t="s">
        <v>1653</v>
      </c>
      <c r="G7148" s="1783" t="s">
        <v>1323</v>
      </c>
    </row>
    <row r="7149" spans="1:11">
      <c r="A7149" s="47">
        <v>2440</v>
      </c>
      <c r="B7149" s="907">
        <v>140</v>
      </c>
      <c r="C7149" s="1209" t="s">
        <v>364</v>
      </c>
      <c r="D7149" s="905">
        <v>58</v>
      </c>
      <c r="E7149" s="906">
        <v>4</v>
      </c>
      <c r="F7149" s="905">
        <f>D7149*E7149</f>
        <v>232</v>
      </c>
      <c r="G7149" s="891">
        <v>3.89</v>
      </c>
    </row>
    <row r="7150" spans="1:11">
      <c r="A7150" s="47"/>
      <c r="B7150" s="893"/>
      <c r="C7150" s="260" t="s">
        <v>1993</v>
      </c>
      <c r="D7150" s="905"/>
      <c r="E7150" s="906"/>
      <c r="F7150" s="894">
        <v>1</v>
      </c>
      <c r="G7150" s="891">
        <v>20</v>
      </c>
    </row>
    <row r="7152" spans="1:11">
      <c r="A7152" s="902" t="s">
        <v>5603</v>
      </c>
      <c r="B7152" s="902" t="s">
        <v>106</v>
      </c>
      <c r="C7152" s="902" t="s">
        <v>377</v>
      </c>
      <c r="D7152" s="902" t="s">
        <v>1710</v>
      </c>
      <c r="E7152" s="887" t="s">
        <v>1186</v>
      </c>
      <c r="F7152" s="887" t="s">
        <v>1652</v>
      </c>
      <c r="G7152" s="887" t="s">
        <v>181</v>
      </c>
      <c r="H7152" s="1783" t="s">
        <v>1323</v>
      </c>
      <c r="I7152" s="1783" t="s">
        <v>2245</v>
      </c>
    </row>
    <row r="7153" spans="1:9">
      <c r="A7153" s="947" t="s">
        <v>5598</v>
      </c>
      <c r="B7153" s="47" t="s">
        <v>736</v>
      </c>
      <c r="C7153" s="907">
        <v>162</v>
      </c>
      <c r="D7153" s="47" t="s">
        <v>5600</v>
      </c>
      <c r="E7153" s="903">
        <v>50</v>
      </c>
      <c r="F7153" s="904">
        <v>3</v>
      </c>
      <c r="G7153" s="905">
        <f>E7153*F7153</f>
        <v>150</v>
      </c>
      <c r="H7153" s="891">
        <v>4.59</v>
      </c>
      <c r="I7153" s="891">
        <f>H7153*G7153</f>
        <v>688.5</v>
      </c>
    </row>
    <row r="7154" spans="1:9">
      <c r="A7154" s="947" t="s">
        <v>5598</v>
      </c>
      <c r="B7154" s="47" t="s">
        <v>736</v>
      </c>
      <c r="C7154" s="907">
        <v>162</v>
      </c>
      <c r="D7154" s="47" t="s">
        <v>5601</v>
      </c>
      <c r="E7154" s="903">
        <v>10</v>
      </c>
      <c r="F7154" s="904">
        <v>1</v>
      </c>
      <c r="G7154" s="905">
        <f>E7154*F7154</f>
        <v>10</v>
      </c>
      <c r="H7154" s="891">
        <v>4.59</v>
      </c>
      <c r="I7154" s="891">
        <f>H7154*G7154</f>
        <v>45.9</v>
      </c>
    </row>
    <row r="7155" spans="1:9">
      <c r="A7155" s="947" t="s">
        <v>5598</v>
      </c>
      <c r="B7155" s="47" t="s">
        <v>736</v>
      </c>
      <c r="C7155" s="907">
        <v>162</v>
      </c>
      <c r="D7155" s="47" t="s">
        <v>5601</v>
      </c>
      <c r="E7155" s="903">
        <v>10</v>
      </c>
      <c r="F7155" s="904">
        <v>1</v>
      </c>
      <c r="G7155" s="905">
        <f>E7155*F7155</f>
        <v>10</v>
      </c>
      <c r="H7155" s="891">
        <v>4.59</v>
      </c>
      <c r="I7155" s="891">
        <f>H7155*G7155</f>
        <v>45.9</v>
      </c>
    </row>
    <row r="7156" spans="1:9" ht="20.25">
      <c r="A7156" s="947" t="s">
        <v>5598</v>
      </c>
      <c r="B7156" s="1141"/>
      <c r="C7156" s="260"/>
      <c r="D7156" s="47" t="s">
        <v>5355</v>
      </c>
      <c r="E7156" s="905"/>
      <c r="F7156" s="904" ph="1"/>
      <c r="G7156" s="894">
        <v>2</v>
      </c>
      <c r="H7156" s="891">
        <v>12</v>
      </c>
      <c r="I7156" s="891">
        <f>H7156*G7156</f>
        <v>24</v>
      </c>
    </row>
    <row r="7157" spans="1:9" ht="20.25">
      <c r="A7157" s="947" t="s">
        <v>5598</v>
      </c>
      <c r="B7157" s="1141"/>
      <c r="C7157" s="260"/>
      <c r="D7157" s="47" t="s">
        <v>2975</v>
      </c>
      <c r="E7157" s="905"/>
      <c r="F7157" s="904" ph="1"/>
      <c r="G7157" s="894">
        <v>1</v>
      </c>
      <c r="H7157" s="891">
        <v>20</v>
      </c>
      <c r="I7157" s="891">
        <f>H7157*G7157</f>
        <v>20</v>
      </c>
    </row>
    <row r="7160" spans="1:9">
      <c r="A7160" s="902" t="s">
        <v>5603</v>
      </c>
      <c r="B7160" s="902" t="s">
        <v>106</v>
      </c>
      <c r="C7160" s="902" t="s">
        <v>377</v>
      </c>
      <c r="D7160" s="902" t="s">
        <v>1710</v>
      </c>
      <c r="E7160" s="887" t="s">
        <v>1186</v>
      </c>
      <c r="F7160" s="887" t="s">
        <v>1652</v>
      </c>
      <c r="G7160" s="887" t="s">
        <v>181</v>
      </c>
      <c r="H7160" s="1783" t="s">
        <v>1323</v>
      </c>
      <c r="I7160" s="39"/>
    </row>
    <row r="7161" spans="1:9">
      <c r="A7161" s="947" t="s">
        <v>3670</v>
      </c>
      <c r="B7161" s="47" t="s">
        <v>3626</v>
      </c>
      <c r="C7161" s="907">
        <v>152</v>
      </c>
      <c r="D7161" s="47" t="s">
        <v>859</v>
      </c>
      <c r="E7161" s="50">
        <v>58</v>
      </c>
      <c r="F7161" s="911">
        <v>15</v>
      </c>
      <c r="G7161" s="50">
        <f>E7161*F7161</f>
        <v>870</v>
      </c>
      <c r="H7161" s="891">
        <v>3.89</v>
      </c>
      <c r="I7161" s="891">
        <f>H7161*G7161</f>
        <v>3384.3</v>
      </c>
    </row>
    <row r="7162" spans="1:9">
      <c r="A7162" s="947" t="s">
        <v>3670</v>
      </c>
      <c r="B7162" s="47" t="s">
        <v>3626</v>
      </c>
      <c r="C7162" s="907">
        <v>152</v>
      </c>
      <c r="D7162" s="47" t="s">
        <v>859</v>
      </c>
      <c r="E7162" s="50">
        <v>66</v>
      </c>
      <c r="F7162" s="911">
        <v>3</v>
      </c>
      <c r="G7162" s="50">
        <f>E7162*F7162</f>
        <v>198</v>
      </c>
      <c r="H7162" s="891">
        <v>3.89</v>
      </c>
      <c r="I7162" s="891">
        <f>H7162*G7162</f>
        <v>770.22</v>
      </c>
    </row>
    <row r="7163" spans="1:9">
      <c r="A7163" s="947" t="s">
        <v>3670</v>
      </c>
      <c r="B7163" s="47" t="s">
        <v>3626</v>
      </c>
      <c r="C7163" s="907">
        <v>152</v>
      </c>
      <c r="D7163" s="47" t="s">
        <v>859</v>
      </c>
      <c r="E7163" s="50">
        <v>68</v>
      </c>
      <c r="F7163" s="911">
        <v>2</v>
      </c>
      <c r="G7163" s="50">
        <f>E7163*F7163</f>
        <v>136</v>
      </c>
      <c r="H7163" s="891">
        <v>3.89</v>
      </c>
      <c r="I7163" s="891">
        <f>H7163*G7163</f>
        <v>529.04</v>
      </c>
    </row>
    <row r="7167" spans="1:9">
      <c r="A7167" s="902" t="s">
        <v>5603</v>
      </c>
      <c r="B7167" s="902" t="s">
        <v>106</v>
      </c>
      <c r="C7167" s="902" t="s">
        <v>377</v>
      </c>
      <c r="D7167" s="902" t="s">
        <v>1710</v>
      </c>
      <c r="E7167" s="887" t="s">
        <v>1186</v>
      </c>
      <c r="F7167" s="887" t="s">
        <v>1652</v>
      </c>
      <c r="G7167" s="887" t="s">
        <v>181</v>
      </c>
      <c r="H7167" s="1783" t="s">
        <v>1323</v>
      </c>
    </row>
    <row r="7168" spans="1:9">
      <c r="A7168" s="4" t="s">
        <v>5606</v>
      </c>
      <c r="B7168" s="47">
        <v>2440</v>
      </c>
      <c r="C7168" s="907">
        <v>140</v>
      </c>
      <c r="D7168" s="47" t="s">
        <v>1922</v>
      </c>
      <c r="E7168" s="50">
        <v>58</v>
      </c>
      <c r="F7168" s="911">
        <v>3</v>
      </c>
      <c r="G7168" s="50">
        <f>E7168*F7168</f>
        <v>174</v>
      </c>
      <c r="H7168" s="891">
        <v>3.89</v>
      </c>
    </row>
    <row r="7171" spans="1:7">
      <c r="A7171" s="887" t="s">
        <v>455</v>
      </c>
      <c r="B7171" s="887" t="s">
        <v>52</v>
      </c>
      <c r="C7171" s="887" t="s">
        <v>128</v>
      </c>
      <c r="D7171" s="887" t="s">
        <v>1186</v>
      </c>
      <c r="E7171" s="887" t="s">
        <v>1652</v>
      </c>
      <c r="F7171" s="887" t="s">
        <v>1653</v>
      </c>
      <c r="G7171" s="887" t="s">
        <v>5574</v>
      </c>
    </row>
    <row r="7172" spans="1:7">
      <c r="A7172" s="47">
        <v>5291</v>
      </c>
      <c r="B7172" s="48">
        <v>8</v>
      </c>
      <c r="C7172" s="47" t="s">
        <v>3473</v>
      </c>
      <c r="D7172" s="905">
        <v>50</v>
      </c>
      <c r="E7172" s="906">
        <v>3</v>
      </c>
      <c r="F7172" s="905">
        <f>D7172*E7172</f>
        <v>150</v>
      </c>
      <c r="G7172" s="891">
        <v>0.85</v>
      </c>
    </row>
    <row r="7175" spans="1:7" s="888" customFormat="1" ht="12.75">
      <c r="A7175" s="902" t="s">
        <v>106</v>
      </c>
      <c r="B7175" s="902" t="s">
        <v>377</v>
      </c>
      <c r="C7175" s="902" t="s">
        <v>1710</v>
      </c>
      <c r="D7175" s="887" t="s">
        <v>1186</v>
      </c>
      <c r="E7175" s="887" t="s">
        <v>1652</v>
      </c>
      <c r="F7175" s="887" t="s">
        <v>181</v>
      </c>
      <c r="G7175" s="1783" t="s">
        <v>1323</v>
      </c>
    </row>
    <row r="7176" spans="1:7" s="888" customFormat="1" ht="12.75">
      <c r="A7176" s="47" t="s">
        <v>736</v>
      </c>
      <c r="B7176" s="907">
        <v>162</v>
      </c>
      <c r="C7176" s="47" t="s">
        <v>5605</v>
      </c>
      <c r="D7176" s="903">
        <v>50</v>
      </c>
      <c r="E7176" s="904">
        <v>3</v>
      </c>
      <c r="F7176" s="905">
        <f>D7176*E7176</f>
        <v>150</v>
      </c>
      <c r="G7176" s="891">
        <v>4.59</v>
      </c>
    </row>
    <row r="7177" spans="1:7" s="888" customFormat="1" ht="12.75">
      <c r="A7177" s="47" t="s">
        <v>736</v>
      </c>
      <c r="B7177" s="907">
        <v>162</v>
      </c>
      <c r="C7177" s="47" t="s">
        <v>5601</v>
      </c>
      <c r="D7177" s="903">
        <v>10</v>
      </c>
      <c r="E7177" s="904">
        <v>2</v>
      </c>
      <c r="F7177" s="905">
        <f>D7177*E7177</f>
        <v>20</v>
      </c>
      <c r="G7177" s="891">
        <v>4.59</v>
      </c>
    </row>
    <row r="7178" spans="1:7" s="888" customFormat="1" ht="20.25">
      <c r="A7178" s="1059"/>
      <c r="B7178" s="260"/>
      <c r="C7178" s="47" t="s">
        <v>5355</v>
      </c>
      <c r="D7178" s="905"/>
      <c r="E7178" s="904" ph="1"/>
      <c r="F7178" s="894">
        <v>2</v>
      </c>
      <c r="G7178" s="891">
        <v>12</v>
      </c>
    </row>
    <row r="7179" spans="1:7" s="888" customFormat="1" ht="20.25">
      <c r="A7179" s="1059"/>
      <c r="B7179" s="260"/>
      <c r="C7179" s="47" t="s">
        <v>2975</v>
      </c>
      <c r="D7179" s="905"/>
      <c r="E7179" s="904" ph="1"/>
      <c r="F7179" s="894">
        <v>1</v>
      </c>
      <c r="G7179" s="891">
        <v>20</v>
      </c>
    </row>
    <row r="7180" spans="1:7" s="888" customFormat="1" ht="12"/>
    <row r="7181" spans="1:7" s="888" customFormat="1" ht="12"/>
    <row r="7183" spans="1:7">
      <c r="A7183" s="887" t="s">
        <v>455</v>
      </c>
      <c r="B7183" s="887" t="s">
        <v>128</v>
      </c>
      <c r="C7183" s="887" t="s">
        <v>54</v>
      </c>
      <c r="D7183" s="887" t="s">
        <v>3130</v>
      </c>
    </row>
    <row r="7184" spans="1:7">
      <c r="A7184" s="47" t="s">
        <v>3330</v>
      </c>
      <c r="B7184" s="47" t="s">
        <v>3331</v>
      </c>
      <c r="C7184" s="905" t="s">
        <v>5610</v>
      </c>
      <c r="D7184" s="891">
        <v>2.31</v>
      </c>
    </row>
    <row r="7185" spans="1:7">
      <c r="A7185" s="47" t="s">
        <v>3330</v>
      </c>
      <c r="B7185" s="47" t="s">
        <v>3333</v>
      </c>
      <c r="C7185" s="905" t="s">
        <v>5611</v>
      </c>
      <c r="D7185" s="891">
        <v>2.31</v>
      </c>
    </row>
    <row r="7188" spans="1:7">
      <c r="A7188" s="902" t="s">
        <v>106</v>
      </c>
      <c r="B7188" s="902" t="s">
        <v>377</v>
      </c>
      <c r="C7188" s="902" t="s">
        <v>1710</v>
      </c>
      <c r="D7188" s="887" t="s">
        <v>1186</v>
      </c>
      <c r="E7188" s="887" t="s">
        <v>1652</v>
      </c>
      <c r="F7188" s="887" t="s">
        <v>181</v>
      </c>
      <c r="G7188" s="1783" t="s">
        <v>1323</v>
      </c>
    </row>
    <row r="7189" spans="1:7">
      <c r="A7189" s="47" t="s">
        <v>1157</v>
      </c>
      <c r="B7189" s="907">
        <v>148</v>
      </c>
      <c r="C7189" s="47" t="s">
        <v>629</v>
      </c>
      <c r="D7189" s="905">
        <v>57</v>
      </c>
      <c r="E7189" s="906">
        <v>2</v>
      </c>
      <c r="F7189" s="905">
        <f>D7189*E7189</f>
        <v>114</v>
      </c>
      <c r="G7189" s="891">
        <v>12.92</v>
      </c>
    </row>
    <row r="7190" spans="1:7">
      <c r="A7190" s="47"/>
      <c r="B7190" s="893"/>
      <c r="C7190" s="260" t="s">
        <v>1993</v>
      </c>
      <c r="D7190" s="905"/>
      <c r="E7190" s="906"/>
      <c r="F7190" s="894">
        <v>1</v>
      </c>
      <c r="G7190" s="891">
        <v>20</v>
      </c>
    </row>
    <row r="7193" spans="1:7" ht="15">
      <c r="A7193" s="1870" t="s">
        <v>5619</v>
      </c>
      <c r="B7193" s="1871"/>
      <c r="C7193" s="1872" t="s">
        <v>5628</v>
      </c>
      <c r="D7193" s="1873" t="s">
        <v>5629</v>
      </c>
      <c r="E7193" s="1873" t="s">
        <v>5630</v>
      </c>
      <c r="F7193" s="1873" t="s">
        <v>5631</v>
      </c>
    </row>
    <row r="7194" spans="1:7" ht="15">
      <c r="A7194" s="1870" t="s">
        <v>5620</v>
      </c>
      <c r="B7194" s="1871"/>
      <c r="C7194" s="1874" t="s">
        <v>5632</v>
      </c>
      <c r="D7194" s="1213">
        <v>6</v>
      </c>
      <c r="E7194" s="1213">
        <v>7</v>
      </c>
      <c r="F7194" s="1213">
        <f>SUM(D7194:E7194)</f>
        <v>13</v>
      </c>
    </row>
    <row r="7195" spans="1:7" ht="15">
      <c r="A7195" s="1870" t="s">
        <v>5625</v>
      </c>
      <c r="B7195" s="1871"/>
      <c r="C7195" s="902" t="s">
        <v>5633</v>
      </c>
      <c r="D7195" s="1213">
        <v>7</v>
      </c>
      <c r="E7195" s="1213">
        <v>7</v>
      </c>
      <c r="F7195" s="1213">
        <f>SUM(D7195:E7195)</f>
        <v>14</v>
      </c>
    </row>
    <row r="7196" spans="1:7" ht="15">
      <c r="A7196" s="1870"/>
      <c r="B7196" s="1871"/>
      <c r="C7196" s="902" t="s">
        <v>5634</v>
      </c>
      <c r="D7196" s="1213">
        <v>0</v>
      </c>
      <c r="E7196" s="1213">
        <v>0</v>
      </c>
      <c r="F7196" s="1213">
        <f>SUM(D7196:E7196)</f>
        <v>0</v>
      </c>
    </row>
    <row r="7197" spans="1:7" ht="15">
      <c r="A7197" s="1870" t="s">
        <v>5621</v>
      </c>
      <c r="B7197" s="1871"/>
      <c r="C7197" s="902" t="s">
        <v>5635</v>
      </c>
      <c r="D7197" s="1213">
        <v>6</v>
      </c>
      <c r="E7197" s="1213">
        <v>7</v>
      </c>
      <c r="F7197" s="1213">
        <f>SUM(D7197:E7197)</f>
        <v>13</v>
      </c>
    </row>
    <row r="7198" spans="1:7" ht="15">
      <c r="A7198" s="1870" t="s">
        <v>5626</v>
      </c>
      <c r="B7198" s="1871"/>
      <c r="C7198" s="902" t="s">
        <v>5636</v>
      </c>
      <c r="D7198" s="1213">
        <v>17</v>
      </c>
      <c r="E7198" s="1213">
        <v>14</v>
      </c>
      <c r="F7198" s="1213">
        <f>SUM(D7198:E7198)</f>
        <v>31</v>
      </c>
    </row>
    <row r="7199" spans="1:7" ht="15">
      <c r="A7199" s="1870"/>
      <c r="B7199" s="1871"/>
      <c r="C7199" s="1871"/>
      <c r="D7199" s="1870"/>
      <c r="E7199" s="1871"/>
      <c r="F7199" s="1871"/>
    </row>
    <row r="7200" spans="1:7" ht="15">
      <c r="A7200" s="1870" t="s">
        <v>5622</v>
      </c>
      <c r="B7200" s="1871"/>
      <c r="C7200" s="1871"/>
      <c r="D7200" s="1870"/>
      <c r="E7200" s="1871"/>
      <c r="F7200" s="1871"/>
    </row>
    <row r="7201" spans="1:6" ht="15">
      <c r="A7201" s="1870"/>
      <c r="B7201" s="1871"/>
      <c r="C7201" s="1871"/>
      <c r="D7201" s="1870"/>
      <c r="E7201" s="1871"/>
      <c r="F7201" s="1871"/>
    </row>
    <row r="7202" spans="1:6" ht="15">
      <c r="A7202" s="1870" t="s">
        <v>5623</v>
      </c>
      <c r="B7202" s="1871"/>
      <c r="C7202" s="1871"/>
      <c r="D7202" s="1870"/>
      <c r="E7202" s="1871"/>
      <c r="F7202" s="1871"/>
    </row>
    <row r="7203" spans="1:6" ht="15">
      <c r="A7203" s="1870" t="s">
        <v>5625</v>
      </c>
      <c r="B7203" s="1871"/>
      <c r="C7203" s="1871"/>
      <c r="D7203" s="1870"/>
      <c r="E7203" s="1871"/>
      <c r="F7203" s="1871"/>
    </row>
    <row r="7204" spans="1:6" ht="15">
      <c r="A7204" s="1870"/>
      <c r="B7204" s="1871"/>
      <c r="C7204" s="1871"/>
      <c r="D7204" s="1870"/>
      <c r="E7204" s="1871"/>
      <c r="F7204" s="1871"/>
    </row>
    <row r="7205" spans="1:6" ht="15">
      <c r="A7205" s="1870" t="s">
        <v>5624</v>
      </c>
      <c r="B7205" s="1871"/>
      <c r="C7205" s="1871"/>
      <c r="D7205" s="1870"/>
      <c r="E7205" s="1871"/>
      <c r="F7205" s="1871"/>
    </row>
    <row r="7206" spans="1:6" ht="15">
      <c r="A7206" s="1870" t="s">
        <v>5627</v>
      </c>
      <c r="B7206" s="1871"/>
      <c r="C7206" s="1871"/>
      <c r="D7206" s="1870"/>
      <c r="E7206" s="1871"/>
      <c r="F7206" s="1871"/>
    </row>
    <row r="7207" spans="1:6" ht="15">
      <c r="A7207" s="1871"/>
      <c r="B7207" s="1871"/>
      <c r="C7207" s="1871"/>
      <c r="D7207" s="1871"/>
      <c r="E7207" s="1871"/>
      <c r="F7207" s="1871"/>
    </row>
    <row r="7208" spans="1:6" ht="15">
      <c r="A7208" s="1871"/>
      <c r="B7208" s="1871"/>
      <c r="C7208" s="1871"/>
      <c r="D7208" s="1871"/>
      <c r="E7208" s="1871"/>
      <c r="F7208" s="1871"/>
    </row>
    <row r="7209" spans="1:6" ht="15">
      <c r="A7209" s="1871" t="s">
        <v>5638</v>
      </c>
      <c r="B7209" s="1871"/>
      <c r="C7209" s="1871"/>
      <c r="D7209" s="1871"/>
      <c r="E7209" s="1871"/>
      <c r="F7209" s="1871"/>
    </row>
    <row r="7210" spans="1:6">
      <c r="A7210" s="887" t="s">
        <v>455</v>
      </c>
      <c r="B7210" s="887" t="s">
        <v>128</v>
      </c>
      <c r="C7210" s="887" t="s">
        <v>1053</v>
      </c>
      <c r="D7210" s="1783" t="s">
        <v>1323</v>
      </c>
    </row>
    <row r="7211" spans="1:6">
      <c r="A7211" s="47" t="s">
        <v>5639</v>
      </c>
      <c r="B7211" s="47" t="s">
        <v>78</v>
      </c>
      <c r="C7211" s="905">
        <v>10</v>
      </c>
      <c r="D7211" s="891">
        <f>ROUNDUP(E7211/0.6/120,2)</f>
        <v>2.88</v>
      </c>
      <c r="E7211">
        <v>207</v>
      </c>
    </row>
    <row r="7214" spans="1:6" ht="15">
      <c r="A7214" s="44" t="s">
        <v>3508</v>
      </c>
    </row>
    <row r="7215" spans="1:6" ht="15">
      <c r="A7215" s="44" t="s">
        <v>3509</v>
      </c>
    </row>
    <row r="7216" spans="1:6" ht="15">
      <c r="A7216" s="44" t="s">
        <v>3510</v>
      </c>
    </row>
    <row r="7217" spans="1:8" ht="15">
      <c r="A7217" s="44" t="s">
        <v>3511</v>
      </c>
    </row>
    <row r="7218" spans="1:8" ht="15">
      <c r="A7218" s="44" t="s">
        <v>3718</v>
      </c>
    </row>
    <row r="7220" spans="1:8">
      <c r="A7220" s="902" t="s">
        <v>5603</v>
      </c>
      <c r="B7220" s="902" t="s">
        <v>106</v>
      </c>
      <c r="C7220" s="887" t="s">
        <v>128</v>
      </c>
      <c r="D7220" s="887" t="s">
        <v>1652</v>
      </c>
      <c r="E7220" s="887" t="s">
        <v>5646</v>
      </c>
    </row>
    <row r="7221" spans="1:8" s="888" customFormat="1" ht="12.75">
      <c r="A7221" s="947" t="s">
        <v>5642</v>
      </c>
      <c r="B7221" s="47" t="s">
        <v>731</v>
      </c>
      <c r="C7221" s="47" t="s">
        <v>734</v>
      </c>
      <c r="D7221" s="1877">
        <v>4</v>
      </c>
      <c r="E7221" s="1875" t="s">
        <v>5640</v>
      </c>
      <c r="F7221" s="891">
        <v>10</v>
      </c>
    </row>
    <row r="7222" spans="1:8" s="888" customFormat="1" ht="12.75">
      <c r="A7222" s="947" t="s">
        <v>5642</v>
      </c>
      <c r="B7222" s="47" t="s">
        <v>731</v>
      </c>
      <c r="C7222" s="47" t="s">
        <v>874</v>
      </c>
      <c r="D7222" s="1877">
        <v>4</v>
      </c>
      <c r="E7222" s="1875" t="s">
        <v>5640</v>
      </c>
      <c r="F7222" s="891">
        <v>10</v>
      </c>
    </row>
    <row r="7223" spans="1:8" s="888" customFormat="1" ht="12.75">
      <c r="A7223" s="947" t="s">
        <v>5643</v>
      </c>
      <c r="B7223" s="47" t="s">
        <v>731</v>
      </c>
      <c r="C7223" s="47" t="s">
        <v>734</v>
      </c>
      <c r="D7223" s="1877">
        <v>4</v>
      </c>
      <c r="E7223" s="1875" t="s">
        <v>5640</v>
      </c>
      <c r="F7223" s="891">
        <v>10</v>
      </c>
    </row>
    <row r="7224" spans="1:8" s="888" customFormat="1" ht="12.75">
      <c r="A7224" s="947" t="s">
        <v>5643</v>
      </c>
      <c r="B7224" s="47" t="s">
        <v>731</v>
      </c>
      <c r="C7224" s="47" t="s">
        <v>874</v>
      </c>
      <c r="D7224" s="1877">
        <v>4</v>
      </c>
      <c r="E7224" s="1875" t="s">
        <v>5640</v>
      </c>
      <c r="F7224" s="891">
        <v>10</v>
      </c>
    </row>
    <row r="7225" spans="1:8" s="888" customFormat="1" ht="12.75">
      <c r="A7225" s="947" t="s">
        <v>5644</v>
      </c>
      <c r="B7225" s="47" t="s">
        <v>731</v>
      </c>
      <c r="C7225" s="47" t="s">
        <v>734</v>
      </c>
      <c r="D7225" s="1877">
        <v>5</v>
      </c>
      <c r="E7225" s="1875" t="s">
        <v>5640</v>
      </c>
      <c r="F7225" s="891">
        <v>10</v>
      </c>
    </row>
    <row r="7226" spans="1:8" s="888" customFormat="1" ht="12.75">
      <c r="A7226" s="947" t="s">
        <v>5644</v>
      </c>
      <c r="B7226" s="47" t="s">
        <v>731</v>
      </c>
      <c r="C7226" s="47" t="s">
        <v>874</v>
      </c>
      <c r="D7226" s="1877">
        <v>2</v>
      </c>
      <c r="E7226" s="1875" t="s">
        <v>5640</v>
      </c>
      <c r="F7226" s="891">
        <v>10</v>
      </c>
    </row>
    <row r="7227" spans="1:8" s="888" customFormat="1" ht="12.75">
      <c r="A7227" s="947" t="s">
        <v>5645</v>
      </c>
      <c r="B7227" s="47" t="s">
        <v>731</v>
      </c>
      <c r="C7227" s="47" t="s">
        <v>734</v>
      </c>
      <c r="D7227" s="1877">
        <v>4</v>
      </c>
      <c r="E7227" s="1876" t="s">
        <v>5641</v>
      </c>
      <c r="F7227" s="891">
        <v>10</v>
      </c>
    </row>
    <row r="7228" spans="1:8" s="888" customFormat="1" ht="12.75">
      <c r="A7228" s="947" t="s">
        <v>5645</v>
      </c>
      <c r="B7228" s="47" t="s">
        <v>731</v>
      </c>
      <c r="C7228" s="47" t="s">
        <v>874</v>
      </c>
      <c r="D7228" s="1877">
        <v>4</v>
      </c>
      <c r="E7228" s="1876" t="s">
        <v>5641</v>
      </c>
      <c r="F7228" s="891">
        <v>10</v>
      </c>
    </row>
    <row r="7229" spans="1:8" s="888" customFormat="1" ht="12"/>
    <row r="7230" spans="1:8">
      <c r="A7230" s="887" t="s">
        <v>455</v>
      </c>
      <c r="B7230" s="887" t="s">
        <v>52</v>
      </c>
      <c r="C7230" s="887" t="s">
        <v>128</v>
      </c>
      <c r="D7230" s="887" t="s">
        <v>1186</v>
      </c>
      <c r="E7230" s="887" t="s">
        <v>1652</v>
      </c>
      <c r="F7230" s="887" t="s">
        <v>1653</v>
      </c>
      <c r="G7230" s="1783" t="s">
        <v>1323</v>
      </c>
      <c r="H7230" s="1783" t="s">
        <v>2751</v>
      </c>
    </row>
    <row r="7231" spans="1:8">
      <c r="A7231" s="47">
        <v>3846</v>
      </c>
      <c r="B7231" s="1878">
        <v>10</v>
      </c>
      <c r="C7231" s="47" t="s">
        <v>5468</v>
      </c>
      <c r="D7231" s="905">
        <v>50</v>
      </c>
      <c r="E7231" s="906">
        <v>3</v>
      </c>
      <c r="F7231" s="905">
        <f>D7231*E7231</f>
        <v>150</v>
      </c>
      <c r="G7231" s="891">
        <v>0.84</v>
      </c>
      <c r="H7231" s="1879" t="s">
        <v>5648</v>
      </c>
    </row>
    <row r="7232" spans="1:8" ht="25.5">
      <c r="A7232" s="47">
        <v>14552</v>
      </c>
      <c r="B7232" s="48">
        <v>38</v>
      </c>
      <c r="C7232" s="47" t="s">
        <v>5647</v>
      </c>
      <c r="D7232" s="903">
        <v>30</v>
      </c>
      <c r="E7232" s="904">
        <v>1</v>
      </c>
      <c r="F7232" s="905">
        <f>D7232*E7232</f>
        <v>30</v>
      </c>
      <c r="G7232" s="891">
        <v>1.78</v>
      </c>
      <c r="H7232" s="1879" t="s">
        <v>5649</v>
      </c>
    </row>
    <row r="7233" spans="1:8">
      <c r="A7233" s="47"/>
      <c r="B7233" s="893"/>
      <c r="C7233" s="260" t="s">
        <v>1993</v>
      </c>
      <c r="D7233" s="905"/>
      <c r="E7233" s="906"/>
      <c r="F7233" s="894">
        <v>1</v>
      </c>
      <c r="G7233" s="891">
        <v>12</v>
      </c>
      <c r="H7233" s="1783"/>
    </row>
    <row r="7236" spans="1:8">
      <c r="A7236" s="887" t="s">
        <v>455</v>
      </c>
      <c r="B7236" s="887" t="s">
        <v>5653</v>
      </c>
    </row>
    <row r="7237" spans="1:8" ht="15">
      <c r="A7237" s="24" t="s">
        <v>3491</v>
      </c>
      <c r="B7237" s="46">
        <v>3.93</v>
      </c>
      <c r="C7237" s="46" t="e">
        <f>B7237*#REF!</f>
        <v>#REF!</v>
      </c>
    </row>
    <row r="7238" spans="1:8" ht="15">
      <c r="A7238" s="24" t="s">
        <v>5493</v>
      </c>
      <c r="B7238" s="46">
        <v>7.94</v>
      </c>
      <c r="C7238" s="46" t="e">
        <f>B7238*#REF!</f>
        <v>#REF!</v>
      </c>
    </row>
    <row r="7243" spans="1:8">
      <c r="A7243" s="902" t="s">
        <v>106</v>
      </c>
      <c r="B7243" s="902" t="s">
        <v>377</v>
      </c>
      <c r="C7243" s="902" t="s">
        <v>128</v>
      </c>
      <c r="D7243" s="887" t="s">
        <v>1186</v>
      </c>
      <c r="E7243" s="887" t="s">
        <v>1652</v>
      </c>
      <c r="F7243" s="887" t="s">
        <v>3109</v>
      </c>
      <c r="G7243" s="887" t="s">
        <v>3130</v>
      </c>
      <c r="H7243" s="887" t="s">
        <v>2751</v>
      </c>
    </row>
    <row r="7244" spans="1:8">
      <c r="A7244" s="47" t="s">
        <v>2447</v>
      </c>
      <c r="B7244" s="907">
        <v>152</v>
      </c>
      <c r="C7244" s="47" t="s">
        <v>114</v>
      </c>
      <c r="D7244" s="905">
        <v>58</v>
      </c>
      <c r="E7244" s="906">
        <v>22</v>
      </c>
      <c r="F7244" s="50">
        <f>D7244*E7244</f>
        <v>1276</v>
      </c>
      <c r="G7244" s="891">
        <v>5.84</v>
      </c>
      <c r="H7244" s="887" t="s">
        <v>5657</v>
      </c>
    </row>
    <row r="7245" spans="1:8">
      <c r="A7245" s="47" t="s">
        <v>2447</v>
      </c>
      <c r="B7245" s="907">
        <v>152</v>
      </c>
      <c r="C7245" s="47" t="s">
        <v>5655</v>
      </c>
      <c r="D7245" s="905">
        <v>58</v>
      </c>
      <c r="E7245" s="906">
        <v>4</v>
      </c>
      <c r="F7245" s="50">
        <f>D7245*E7245</f>
        <v>232</v>
      </c>
      <c r="G7245" s="891">
        <v>5.84</v>
      </c>
      <c r="H7245" s="887" t="s">
        <v>900</v>
      </c>
    </row>
    <row r="7246" spans="1:8">
      <c r="A7246" s="47" t="s">
        <v>2447</v>
      </c>
      <c r="B7246" s="907">
        <v>152</v>
      </c>
      <c r="C7246" s="47" t="s">
        <v>5655</v>
      </c>
      <c r="D7246" s="905">
        <v>55</v>
      </c>
      <c r="E7246" s="906">
        <v>2</v>
      </c>
      <c r="F7246" s="50">
        <f>D7246*E7246</f>
        <v>110</v>
      </c>
      <c r="G7246" s="891">
        <v>5.84</v>
      </c>
      <c r="H7246" s="887" t="s">
        <v>900</v>
      </c>
    </row>
    <row r="7247" spans="1:8">
      <c r="A7247" s="47" t="s">
        <v>2447</v>
      </c>
      <c r="B7247" s="907">
        <v>152</v>
      </c>
      <c r="C7247" s="47" t="s">
        <v>5656</v>
      </c>
      <c r="D7247" s="905">
        <v>58</v>
      </c>
      <c r="E7247" s="906">
        <v>2</v>
      </c>
      <c r="F7247" s="50">
        <f>D7247*E7247</f>
        <v>116</v>
      </c>
      <c r="G7247" s="891">
        <v>5.84</v>
      </c>
      <c r="H7247" s="887" t="s">
        <v>900</v>
      </c>
    </row>
    <row r="7248" spans="1:8">
      <c r="A7248" s="47" t="s">
        <v>2447</v>
      </c>
      <c r="B7248" s="907">
        <v>152</v>
      </c>
      <c r="C7248" s="47" t="s">
        <v>5656</v>
      </c>
      <c r="D7248" s="905">
        <v>50</v>
      </c>
      <c r="E7248" s="906">
        <v>1</v>
      </c>
      <c r="F7248" s="50">
        <f>D7248*E7248</f>
        <v>50</v>
      </c>
      <c r="G7248" s="891">
        <v>5.84</v>
      </c>
      <c r="H7248" s="887" t="s">
        <v>900</v>
      </c>
    </row>
    <row r="7251" spans="1:10">
      <c r="A7251" s="902" t="s">
        <v>106</v>
      </c>
      <c r="B7251" s="902" t="s">
        <v>377</v>
      </c>
      <c r="C7251" s="902" t="s">
        <v>128</v>
      </c>
      <c r="D7251" s="887" t="s">
        <v>1186</v>
      </c>
      <c r="E7251" s="887" t="s">
        <v>1652</v>
      </c>
      <c r="F7251" s="887" t="s">
        <v>3109</v>
      </c>
      <c r="G7251" s="887" t="s">
        <v>3130</v>
      </c>
    </row>
    <row r="7252" spans="1:10">
      <c r="A7252" s="47" t="s">
        <v>2049</v>
      </c>
      <c r="B7252" s="907">
        <v>152</v>
      </c>
      <c r="C7252" s="47" t="s">
        <v>3128</v>
      </c>
      <c r="D7252" s="905">
        <v>58</v>
      </c>
      <c r="E7252" s="906">
        <v>11</v>
      </c>
      <c r="F7252" s="905">
        <f>D7252*E7252</f>
        <v>638</v>
      </c>
      <c r="G7252" s="891">
        <v>5.7</v>
      </c>
    </row>
    <row r="7253" spans="1:10">
      <c r="A7253" s="47" t="s">
        <v>2049</v>
      </c>
      <c r="B7253" s="907">
        <v>152</v>
      </c>
      <c r="C7253" s="47" t="s">
        <v>3129</v>
      </c>
      <c r="D7253" s="905">
        <v>58</v>
      </c>
      <c r="E7253" s="906">
        <v>4</v>
      </c>
      <c r="F7253" s="905">
        <f>D7253*E7253</f>
        <v>232</v>
      </c>
      <c r="G7253" s="891">
        <v>8.9</v>
      </c>
    </row>
    <row r="7256" spans="1:10" ht="15">
      <c r="A7256" s="902" t="s">
        <v>753</v>
      </c>
      <c r="B7256" s="902" t="s">
        <v>106</v>
      </c>
      <c r="C7256" s="902" t="s">
        <v>377</v>
      </c>
      <c r="D7256" s="902" t="s">
        <v>128</v>
      </c>
      <c r="E7256" s="887" t="s">
        <v>1186</v>
      </c>
      <c r="F7256" s="887" t="s">
        <v>1652</v>
      </c>
      <c r="G7256" s="887" t="s">
        <v>5673</v>
      </c>
      <c r="H7256" s="967" t="s">
        <v>5675</v>
      </c>
      <c r="I7256" s="153" t="s">
        <v>10</v>
      </c>
      <c r="J7256" s="39"/>
    </row>
    <row r="7257" spans="1:10" ht="15">
      <c r="A7257" s="947" t="s">
        <v>5661</v>
      </c>
      <c r="B7257" s="47">
        <v>2440</v>
      </c>
      <c r="C7257" s="1146">
        <v>140</v>
      </c>
      <c r="D7257" s="47" t="s">
        <v>5662</v>
      </c>
      <c r="E7257" s="49">
        <v>58</v>
      </c>
      <c r="F7257" s="1213">
        <v>3</v>
      </c>
      <c r="G7257" s="49">
        <f t="shared" ref="G7257:G7265" si="42">E7257*F7257</f>
        <v>174</v>
      </c>
      <c r="H7257" s="49"/>
      <c r="I7257" s="46">
        <v>3.89</v>
      </c>
      <c r="J7257" s="46">
        <f t="shared" ref="J7257:J7265" si="43">I7257*G7257</f>
        <v>676.86</v>
      </c>
    </row>
    <row r="7258" spans="1:10" ht="15">
      <c r="A7258" s="947" t="s">
        <v>5661</v>
      </c>
      <c r="B7258" s="47">
        <v>2440</v>
      </c>
      <c r="C7258" s="1146">
        <v>140</v>
      </c>
      <c r="D7258" s="47" t="s">
        <v>5663</v>
      </c>
      <c r="E7258" s="49">
        <v>58</v>
      </c>
      <c r="F7258" s="1213">
        <v>3</v>
      </c>
      <c r="G7258" s="49">
        <f t="shared" si="42"/>
        <v>174</v>
      </c>
      <c r="H7258" s="49"/>
      <c r="I7258" s="46">
        <v>3.89</v>
      </c>
      <c r="J7258" s="46">
        <f t="shared" si="43"/>
        <v>676.86</v>
      </c>
    </row>
    <row r="7259" spans="1:10" ht="15">
      <c r="A7259" s="947" t="s">
        <v>5661</v>
      </c>
      <c r="B7259" s="47">
        <v>2440</v>
      </c>
      <c r="C7259" s="1146">
        <v>140</v>
      </c>
      <c r="D7259" s="47" t="s">
        <v>5664</v>
      </c>
      <c r="E7259" s="49">
        <v>58</v>
      </c>
      <c r="F7259" s="1213">
        <v>1</v>
      </c>
      <c r="G7259" s="49">
        <f t="shared" si="42"/>
        <v>58</v>
      </c>
      <c r="H7259" s="49"/>
      <c r="I7259" s="46">
        <v>3.89</v>
      </c>
      <c r="J7259" s="46">
        <f t="shared" si="43"/>
        <v>225.62</v>
      </c>
    </row>
    <row r="7260" spans="1:10" ht="15">
      <c r="A7260" s="947" t="s">
        <v>5661</v>
      </c>
      <c r="B7260" s="47">
        <v>2440</v>
      </c>
      <c r="C7260" s="1146">
        <v>140</v>
      </c>
      <c r="D7260" s="47" t="s">
        <v>5665</v>
      </c>
      <c r="E7260" s="49">
        <v>58</v>
      </c>
      <c r="F7260" s="1213">
        <v>1</v>
      </c>
      <c r="G7260" s="49">
        <f t="shared" si="42"/>
        <v>58</v>
      </c>
      <c r="H7260" s="49"/>
      <c r="I7260" s="46">
        <v>3.89</v>
      </c>
      <c r="J7260" s="46">
        <f t="shared" si="43"/>
        <v>225.62</v>
      </c>
    </row>
    <row r="7261" spans="1:10" ht="15">
      <c r="A7261" s="947" t="s">
        <v>5661</v>
      </c>
      <c r="B7261" s="47">
        <v>2440</v>
      </c>
      <c r="C7261" s="1146">
        <v>140</v>
      </c>
      <c r="D7261" s="47" t="s">
        <v>5666</v>
      </c>
      <c r="E7261" s="49">
        <v>58</v>
      </c>
      <c r="F7261" s="1213">
        <v>5</v>
      </c>
      <c r="G7261" s="49">
        <f t="shared" si="42"/>
        <v>290</v>
      </c>
      <c r="H7261" s="49"/>
      <c r="I7261" s="46">
        <v>3.89</v>
      </c>
      <c r="J7261" s="46">
        <f t="shared" si="43"/>
        <v>1128.1000000000001</v>
      </c>
    </row>
    <row r="7262" spans="1:10" ht="15">
      <c r="A7262" s="947" t="s">
        <v>5661</v>
      </c>
      <c r="B7262" s="47">
        <v>2440</v>
      </c>
      <c r="C7262" s="1146">
        <v>140</v>
      </c>
      <c r="D7262" s="47" t="s">
        <v>5668</v>
      </c>
      <c r="E7262" s="49">
        <v>58</v>
      </c>
      <c r="F7262" s="1213">
        <v>3</v>
      </c>
      <c r="G7262" s="49">
        <f t="shared" si="42"/>
        <v>174</v>
      </c>
      <c r="H7262" s="49"/>
      <c r="I7262" s="46">
        <v>3.89</v>
      </c>
      <c r="J7262" s="46">
        <f t="shared" si="43"/>
        <v>676.86</v>
      </c>
    </row>
    <row r="7263" spans="1:10" ht="15">
      <c r="A7263" s="947" t="s">
        <v>5661</v>
      </c>
      <c r="B7263" s="47">
        <v>2440</v>
      </c>
      <c r="C7263" s="1146">
        <v>140</v>
      </c>
      <c r="D7263" s="47" t="s">
        <v>5669</v>
      </c>
      <c r="E7263" s="49">
        <v>58</v>
      </c>
      <c r="F7263" s="1213">
        <v>1</v>
      </c>
      <c r="G7263" s="49">
        <f t="shared" si="42"/>
        <v>58</v>
      </c>
      <c r="H7263" s="49"/>
      <c r="I7263" s="46">
        <v>3.89</v>
      </c>
      <c r="J7263" s="46">
        <f t="shared" si="43"/>
        <v>225.62</v>
      </c>
    </row>
    <row r="7264" spans="1:10" ht="15">
      <c r="A7264" s="947" t="s">
        <v>5661</v>
      </c>
      <c r="B7264" s="47">
        <v>2440</v>
      </c>
      <c r="C7264" s="1146">
        <v>140</v>
      </c>
      <c r="D7264" s="47" t="s">
        <v>5670</v>
      </c>
      <c r="E7264" s="49">
        <v>58</v>
      </c>
      <c r="F7264" s="1213">
        <v>1</v>
      </c>
      <c r="G7264" s="49">
        <f t="shared" si="42"/>
        <v>58</v>
      </c>
      <c r="H7264" s="49"/>
      <c r="I7264" s="46">
        <v>3.89</v>
      </c>
      <c r="J7264" s="46">
        <f t="shared" si="43"/>
        <v>225.62</v>
      </c>
    </row>
    <row r="7265" spans="1:10" ht="15">
      <c r="A7265" s="947" t="s">
        <v>5661</v>
      </c>
      <c r="B7265" s="47">
        <v>2440</v>
      </c>
      <c r="C7265" s="1146">
        <v>140</v>
      </c>
      <c r="D7265" s="47" t="s">
        <v>5671</v>
      </c>
      <c r="E7265" s="49">
        <v>58</v>
      </c>
      <c r="F7265" s="1213">
        <v>5</v>
      </c>
      <c r="G7265" s="49">
        <f t="shared" si="42"/>
        <v>290</v>
      </c>
      <c r="H7265" s="49"/>
      <c r="I7265" s="46">
        <v>3.89</v>
      </c>
      <c r="J7265" s="46">
        <f t="shared" si="43"/>
        <v>1128.1000000000001</v>
      </c>
    </row>
    <row r="7268" spans="1:10">
      <c r="A7268" s="1310" t="s">
        <v>5676</v>
      </c>
    </row>
    <row r="7269" spans="1:10">
      <c r="A7269" s="1310" t="s">
        <v>5677</v>
      </c>
    </row>
    <row r="7270" spans="1:10">
      <c r="A7270" s="1310" t="s">
        <v>5678</v>
      </c>
    </row>
    <row r="7272" spans="1:10">
      <c r="A7272" s="887" t="s">
        <v>5692</v>
      </c>
      <c r="B7272" s="887" t="s">
        <v>1053</v>
      </c>
      <c r="C7272" s="1783" t="s">
        <v>1323</v>
      </c>
    </row>
    <row r="7273" spans="1:10">
      <c r="A7273" s="1881" t="s">
        <v>5679</v>
      </c>
      <c r="B7273" s="905">
        <v>10</v>
      </c>
      <c r="C7273" s="891">
        <f t="shared" ref="C7273:C7278" si="44">ROUNDUP(D7273/0.6/120,2)</f>
        <v>4.4399999999999995</v>
      </c>
      <c r="D7273">
        <v>319</v>
      </c>
      <c r="E7273" t="s">
        <v>5689</v>
      </c>
    </row>
    <row r="7274" spans="1:10">
      <c r="A7274" s="1881" t="s">
        <v>5680</v>
      </c>
      <c r="B7274" s="905" t="s">
        <v>5691</v>
      </c>
      <c r="C7274" s="891">
        <f t="shared" si="44"/>
        <v>5.87</v>
      </c>
      <c r="D7274">
        <v>422</v>
      </c>
      <c r="E7274" t="s">
        <v>5690</v>
      </c>
    </row>
    <row r="7275" spans="1:10">
      <c r="A7275" s="1881" t="s">
        <v>5681</v>
      </c>
      <c r="B7275" s="905">
        <v>10</v>
      </c>
      <c r="C7275" s="891">
        <f t="shared" si="44"/>
        <v>4.8</v>
      </c>
      <c r="D7275">
        <v>345</v>
      </c>
      <c r="E7275" t="s">
        <v>5687</v>
      </c>
    </row>
    <row r="7276" spans="1:10">
      <c r="A7276" s="1881" t="s">
        <v>5682</v>
      </c>
      <c r="B7276" s="905" t="s">
        <v>5691</v>
      </c>
      <c r="C7276" s="891">
        <f t="shared" si="44"/>
        <v>6.34</v>
      </c>
      <c r="D7276">
        <v>456</v>
      </c>
      <c r="E7276" t="s">
        <v>5688</v>
      </c>
    </row>
    <row r="7277" spans="1:10">
      <c r="A7277" s="1881" t="s">
        <v>5683</v>
      </c>
      <c r="B7277" s="905">
        <v>10</v>
      </c>
      <c r="C7277" s="891">
        <f t="shared" si="44"/>
        <v>6.3199999999999994</v>
      </c>
      <c r="D7277">
        <v>455</v>
      </c>
      <c r="E7277" t="s">
        <v>5685</v>
      </c>
    </row>
    <row r="7278" spans="1:10">
      <c r="A7278" s="1881" t="s">
        <v>5684</v>
      </c>
      <c r="B7278" s="905" t="s">
        <v>5691</v>
      </c>
      <c r="C7278" s="891">
        <f t="shared" si="44"/>
        <v>8.35</v>
      </c>
      <c r="D7278">
        <v>601</v>
      </c>
      <c r="E7278" t="s">
        <v>5686</v>
      </c>
    </row>
    <row r="7281" spans="1:9">
      <c r="A7281" s="887" t="s">
        <v>455</v>
      </c>
      <c r="B7281" s="887" t="s">
        <v>52</v>
      </c>
      <c r="C7281" s="887" t="s">
        <v>128</v>
      </c>
      <c r="D7281" s="887" t="s">
        <v>1186</v>
      </c>
      <c r="E7281" s="887" t="s">
        <v>1652</v>
      </c>
      <c r="F7281" s="887" t="s">
        <v>1653</v>
      </c>
      <c r="G7281" s="887" t="s">
        <v>5574</v>
      </c>
    </row>
    <row r="7282" spans="1:9">
      <c r="A7282" s="47">
        <v>5291</v>
      </c>
      <c r="B7282" s="48">
        <v>8</v>
      </c>
      <c r="C7282" s="47" t="s">
        <v>499</v>
      </c>
      <c r="D7282" s="905">
        <v>50</v>
      </c>
      <c r="E7282" s="906">
        <v>9</v>
      </c>
      <c r="F7282" s="905">
        <f>D7282*E7282</f>
        <v>450</v>
      </c>
      <c r="G7282" s="891">
        <v>0.85</v>
      </c>
    </row>
    <row r="7285" spans="1:9">
      <c r="A7285" s="902" t="s">
        <v>106</v>
      </c>
      <c r="B7285" s="902" t="s">
        <v>377</v>
      </c>
      <c r="C7285" s="902" t="s">
        <v>128</v>
      </c>
      <c r="D7285" s="887" t="s">
        <v>1186</v>
      </c>
      <c r="E7285" s="887" t="s">
        <v>1652</v>
      </c>
      <c r="F7285" s="887" t="s">
        <v>181</v>
      </c>
    </row>
    <row r="7286" spans="1:9">
      <c r="A7286" s="47" t="s">
        <v>2447</v>
      </c>
      <c r="B7286" s="907">
        <v>152</v>
      </c>
      <c r="C7286" s="47" t="s">
        <v>114</v>
      </c>
      <c r="D7286" s="905">
        <v>58</v>
      </c>
      <c r="E7286" s="906">
        <v>22</v>
      </c>
      <c r="F7286" s="905">
        <v>1276</v>
      </c>
    </row>
    <row r="7287" spans="1:9">
      <c r="A7287" s="889"/>
      <c r="B7287" s="907"/>
      <c r="C7287" s="47"/>
      <c r="D7287" s="903"/>
      <c r="E7287" s="904"/>
      <c r="F7287" s="903"/>
    </row>
    <row r="7288" spans="1:9">
      <c r="A7288" s="47" t="s">
        <v>2447</v>
      </c>
      <c r="B7288" s="907">
        <v>152</v>
      </c>
      <c r="C7288" s="47" t="s">
        <v>5655</v>
      </c>
      <c r="D7288" s="905">
        <v>58</v>
      </c>
      <c r="E7288" s="906">
        <v>4</v>
      </c>
      <c r="F7288" s="905">
        <v>232</v>
      </c>
    </row>
    <row r="7289" spans="1:9">
      <c r="A7289" s="47" t="s">
        <v>2447</v>
      </c>
      <c r="B7289" s="907">
        <v>152</v>
      </c>
      <c r="C7289" s="47" t="s">
        <v>5655</v>
      </c>
      <c r="D7289" s="905">
        <v>55</v>
      </c>
      <c r="E7289" s="906">
        <v>2</v>
      </c>
      <c r="F7289" s="905">
        <v>110</v>
      </c>
    </row>
    <row r="7294" spans="1:9" s="888" customFormat="1" ht="12.75">
      <c r="A7294" s="902" t="s">
        <v>105</v>
      </c>
      <c r="B7294" s="902" t="s">
        <v>106</v>
      </c>
      <c r="C7294" s="902" t="s">
        <v>377</v>
      </c>
      <c r="D7294" s="902" t="s">
        <v>128</v>
      </c>
      <c r="E7294" s="887" t="s">
        <v>1186</v>
      </c>
      <c r="F7294" s="887" t="s">
        <v>1652</v>
      </c>
      <c r="G7294" s="887" t="s">
        <v>181</v>
      </c>
      <c r="H7294" s="1783" t="s">
        <v>1323</v>
      </c>
      <c r="I7294" s="1783" t="s">
        <v>2751</v>
      </c>
    </row>
    <row r="7295" spans="1:9" s="888" customFormat="1" ht="12.75">
      <c r="A7295" s="4" t="s">
        <v>5661</v>
      </c>
      <c r="B7295" s="47">
        <v>2440</v>
      </c>
      <c r="C7295" s="907">
        <v>140</v>
      </c>
      <c r="D7295" s="47" t="s">
        <v>5662</v>
      </c>
      <c r="E7295" s="50">
        <v>58</v>
      </c>
      <c r="F7295" s="911">
        <v>3</v>
      </c>
      <c r="G7295" s="50">
        <f t="shared" ref="G7295:G7303" si="45">E7295*F7295</f>
        <v>174</v>
      </c>
      <c r="H7295" s="891">
        <v>3.89</v>
      </c>
      <c r="I7295" s="1879" t="s">
        <v>3416</v>
      </c>
    </row>
    <row r="7296" spans="1:9" s="888" customFormat="1" ht="12.75">
      <c r="A7296" s="4" t="s">
        <v>5661</v>
      </c>
      <c r="B7296" s="47">
        <v>2440</v>
      </c>
      <c r="C7296" s="907">
        <v>140</v>
      </c>
      <c r="D7296" s="47" t="s">
        <v>5663</v>
      </c>
      <c r="E7296" s="50">
        <v>58</v>
      </c>
      <c r="F7296" s="911">
        <v>3</v>
      </c>
      <c r="G7296" s="50">
        <f t="shared" si="45"/>
        <v>174</v>
      </c>
      <c r="H7296" s="891">
        <v>3.89</v>
      </c>
      <c r="I7296" s="1879" t="s">
        <v>3416</v>
      </c>
    </row>
    <row r="7297" spans="1:9" s="888" customFormat="1" ht="12.75">
      <c r="A7297" s="4" t="s">
        <v>5661</v>
      </c>
      <c r="B7297" s="47">
        <v>2440</v>
      </c>
      <c r="C7297" s="907">
        <v>140</v>
      </c>
      <c r="D7297" s="47" t="s">
        <v>5664</v>
      </c>
      <c r="E7297" s="50">
        <v>58</v>
      </c>
      <c r="F7297" s="911">
        <v>1</v>
      </c>
      <c r="G7297" s="50">
        <f t="shared" si="45"/>
        <v>58</v>
      </c>
      <c r="H7297" s="891">
        <v>3.89</v>
      </c>
      <c r="I7297" s="1879" t="s">
        <v>3416</v>
      </c>
    </row>
    <row r="7298" spans="1:9" s="888" customFormat="1" ht="12.75">
      <c r="A7298" s="4" t="s">
        <v>5661</v>
      </c>
      <c r="B7298" s="47">
        <v>2440</v>
      </c>
      <c r="C7298" s="907">
        <v>140</v>
      </c>
      <c r="D7298" s="47" t="s">
        <v>5665</v>
      </c>
      <c r="E7298" s="50">
        <v>58</v>
      </c>
      <c r="F7298" s="911">
        <v>1</v>
      </c>
      <c r="G7298" s="50">
        <f t="shared" si="45"/>
        <v>58</v>
      </c>
      <c r="H7298" s="891">
        <v>3.89</v>
      </c>
      <c r="I7298" s="1879" t="s">
        <v>3416</v>
      </c>
    </row>
    <row r="7299" spans="1:9" s="888" customFormat="1" ht="12.75">
      <c r="A7299" s="4" t="s">
        <v>5661</v>
      </c>
      <c r="B7299" s="47">
        <v>2440</v>
      </c>
      <c r="C7299" s="907">
        <v>140</v>
      </c>
      <c r="D7299" s="47" t="s">
        <v>5666</v>
      </c>
      <c r="E7299" s="50">
        <v>58</v>
      </c>
      <c r="F7299" s="911">
        <v>5</v>
      </c>
      <c r="G7299" s="50">
        <f t="shared" si="45"/>
        <v>290</v>
      </c>
      <c r="H7299" s="891">
        <v>3.89</v>
      </c>
      <c r="I7299" s="1879" t="s">
        <v>3416</v>
      </c>
    </row>
    <row r="7300" spans="1:9" s="888" customFormat="1" ht="25.5">
      <c r="A7300" s="4" t="s">
        <v>5661</v>
      </c>
      <c r="B7300" s="47">
        <v>2440</v>
      </c>
      <c r="C7300" s="907">
        <v>140</v>
      </c>
      <c r="D7300" s="47" t="s">
        <v>5668</v>
      </c>
      <c r="E7300" s="50">
        <v>58</v>
      </c>
      <c r="F7300" s="911">
        <v>3</v>
      </c>
      <c r="G7300" s="50">
        <f t="shared" si="45"/>
        <v>174</v>
      </c>
      <c r="H7300" s="891">
        <v>3.89</v>
      </c>
      <c r="I7300" s="1879" t="s">
        <v>5694</v>
      </c>
    </row>
    <row r="7301" spans="1:9" s="888" customFormat="1" ht="12.75">
      <c r="A7301" s="4" t="s">
        <v>5661</v>
      </c>
      <c r="B7301" s="47">
        <v>2440</v>
      </c>
      <c r="C7301" s="907">
        <v>140</v>
      </c>
      <c r="D7301" s="47" t="s">
        <v>5669</v>
      </c>
      <c r="E7301" s="50">
        <v>58</v>
      </c>
      <c r="F7301" s="911">
        <v>1</v>
      </c>
      <c r="G7301" s="50">
        <f t="shared" si="45"/>
        <v>58</v>
      </c>
      <c r="H7301" s="891">
        <v>3.89</v>
      </c>
      <c r="I7301" s="1879" t="s">
        <v>3416</v>
      </c>
    </row>
    <row r="7302" spans="1:9" s="888" customFormat="1" ht="12.75">
      <c r="A7302" s="4" t="s">
        <v>5661</v>
      </c>
      <c r="B7302" s="47">
        <v>2440</v>
      </c>
      <c r="C7302" s="907">
        <v>140</v>
      </c>
      <c r="D7302" s="47" t="s">
        <v>5670</v>
      </c>
      <c r="E7302" s="50">
        <v>58</v>
      </c>
      <c r="F7302" s="911">
        <v>1</v>
      </c>
      <c r="G7302" s="50">
        <f t="shared" si="45"/>
        <v>58</v>
      </c>
      <c r="H7302" s="891">
        <v>3.89</v>
      </c>
      <c r="I7302" s="1879" t="s">
        <v>3416</v>
      </c>
    </row>
    <row r="7303" spans="1:9" s="888" customFormat="1" ht="12.75">
      <c r="A7303" s="4" t="s">
        <v>5661</v>
      </c>
      <c r="B7303" s="47">
        <v>2440</v>
      </c>
      <c r="C7303" s="907">
        <v>140</v>
      </c>
      <c r="D7303" s="47" t="s">
        <v>5671</v>
      </c>
      <c r="E7303" s="50">
        <v>58</v>
      </c>
      <c r="F7303" s="911">
        <v>5</v>
      </c>
      <c r="G7303" s="50">
        <f t="shared" si="45"/>
        <v>290</v>
      </c>
      <c r="H7303" s="891">
        <v>3.89</v>
      </c>
      <c r="I7303" s="1879" t="s">
        <v>3416</v>
      </c>
    </row>
    <row r="7304" spans="1:9" s="888" customFormat="1" ht="12"/>
    <row r="7305" spans="1:9" s="888" customFormat="1" ht="12"/>
    <row r="7306" spans="1:9" s="888" customFormat="1" ht="19.5" thickBot="1">
      <c r="A7306" s="1255"/>
      <c r="B7306"/>
      <c r="C7306"/>
      <c r="D7306"/>
      <c r="E7306"/>
      <c r="F7306"/>
      <c r="G7306"/>
      <c r="H7306"/>
    </row>
    <row r="7307" spans="1:9" s="888" customFormat="1" thickBot="1">
      <c r="A7307" s="1120" t="s">
        <v>3695</v>
      </c>
      <c r="B7307" s="1121" t="s">
        <v>455</v>
      </c>
      <c r="C7307" s="1121" t="s">
        <v>3377</v>
      </c>
      <c r="D7307" s="1121" t="s">
        <v>457</v>
      </c>
      <c r="E7307" s="1121" t="s">
        <v>1186</v>
      </c>
      <c r="F7307" s="1121" t="s">
        <v>1652</v>
      </c>
      <c r="G7307" s="1121" t="s">
        <v>5672</v>
      </c>
      <c r="H7307" s="1256" t="s">
        <v>5674</v>
      </c>
    </row>
    <row r="7308" spans="1:9" s="888" customFormat="1" thickBot="1">
      <c r="A7308" s="1882">
        <v>229139</v>
      </c>
      <c r="B7308" s="1883">
        <v>2440</v>
      </c>
      <c r="C7308" s="1883" t="s">
        <v>3384</v>
      </c>
      <c r="D7308" s="1883" t="s">
        <v>5667</v>
      </c>
      <c r="E7308" s="1883" t="s">
        <v>3385</v>
      </c>
      <c r="F7308" s="1883" t="s">
        <v>3390</v>
      </c>
      <c r="G7308" s="1883" t="s">
        <v>3391</v>
      </c>
      <c r="H7308" s="1884"/>
    </row>
    <row r="7309" spans="1:9" ht="18.75">
      <c r="A7309" s="1255"/>
    </row>
    <row r="7310" spans="1:9" s="888" customFormat="1" ht="12.75">
      <c r="A7310" s="902" t="s">
        <v>106</v>
      </c>
      <c r="B7310" s="902" t="s">
        <v>128</v>
      </c>
      <c r="C7310" s="902" t="s">
        <v>54</v>
      </c>
      <c r="D7310" s="1783" t="s">
        <v>1323</v>
      </c>
      <c r="E7310" s="1783" t="s">
        <v>2245</v>
      </c>
    </row>
    <row r="7311" spans="1:9" s="888" customFormat="1" ht="12.75">
      <c r="A7311" s="909" t="s">
        <v>5698</v>
      </c>
      <c r="B7311" s="909" t="s">
        <v>5699</v>
      </c>
      <c r="C7311" s="1885">
        <v>20</v>
      </c>
      <c r="D7311" s="1752">
        <v>5.87</v>
      </c>
      <c r="E7311" s="1752">
        <f>D7311*C7311</f>
        <v>117.4</v>
      </c>
    </row>
    <row r="7312" spans="1:9" s="888" customFormat="1" ht="12.75">
      <c r="A7312" s="909" t="s">
        <v>5700</v>
      </c>
      <c r="B7312" s="909" t="s">
        <v>5699</v>
      </c>
      <c r="C7312" s="1885">
        <v>20</v>
      </c>
      <c r="D7312" s="1752">
        <v>6.34</v>
      </c>
      <c r="E7312" s="1752">
        <f>D7312*C7312</f>
        <v>126.8</v>
      </c>
    </row>
    <row r="7313" spans="1:7" s="888" customFormat="1" ht="12.75">
      <c r="A7313" s="909" t="s">
        <v>5701</v>
      </c>
      <c r="B7313" s="909" t="s">
        <v>5699</v>
      </c>
      <c r="C7313" s="1885">
        <v>20</v>
      </c>
      <c r="D7313" s="1752">
        <v>8.35</v>
      </c>
      <c r="E7313" s="1752">
        <f>D7313*C7313</f>
        <v>167</v>
      </c>
    </row>
    <row r="7314" spans="1:7" s="888" customFormat="1" ht="12.75">
      <c r="A7314" s="909"/>
      <c r="B7314" s="909" t="s">
        <v>5703</v>
      </c>
      <c r="C7314" s="1754">
        <v>3</v>
      </c>
      <c r="D7314" s="1752">
        <v>125</v>
      </c>
      <c r="E7314" s="1752">
        <f>D7314*C7314</f>
        <v>375</v>
      </c>
    </row>
    <row r="7315" spans="1:7" s="888" customFormat="1" ht="12.75">
      <c r="A7315" s="909"/>
      <c r="B7315" s="909" t="s">
        <v>1993</v>
      </c>
      <c r="C7315" s="1754">
        <v>1</v>
      </c>
      <c r="D7315" s="1752">
        <v>12</v>
      </c>
      <c r="E7315" s="1752">
        <f>D7315*C7315</f>
        <v>12</v>
      </c>
    </row>
    <row r="7316" spans="1:7" s="888" customFormat="1" ht="12.75">
      <c r="A7316" s="909"/>
      <c r="B7316" s="909"/>
      <c r="C7316" s="1754"/>
      <c r="D7316" s="1886" t="s">
        <v>5705</v>
      </c>
      <c r="E7316" s="1887">
        <f>SUM(E7311:E7315)</f>
        <v>798.2</v>
      </c>
    </row>
    <row r="7318" spans="1:7">
      <c r="A7318" s="902" t="s">
        <v>5714</v>
      </c>
      <c r="B7318" s="902" t="s">
        <v>2840</v>
      </c>
    </row>
    <row r="7319" spans="1:7">
      <c r="A7319" s="47" t="s">
        <v>5715</v>
      </c>
      <c r="B7319" s="990">
        <v>127.5</v>
      </c>
    </row>
    <row r="7320" spans="1:7">
      <c r="A7320" s="47" t="s">
        <v>5716</v>
      </c>
      <c r="B7320" s="990">
        <v>232.46</v>
      </c>
    </row>
    <row r="7321" spans="1:7">
      <c r="A7321" s="47" t="s">
        <v>5717</v>
      </c>
      <c r="B7321" s="990">
        <v>382.5</v>
      </c>
    </row>
    <row r="7322" spans="1:7">
      <c r="A7322" s="1050" t="s">
        <v>2843</v>
      </c>
      <c r="B7322" s="1049">
        <f>SUM(B7319:B7321)</f>
        <v>742.46</v>
      </c>
    </row>
    <row r="7325" spans="1:7">
      <c r="A7325" s="887" t="s">
        <v>455</v>
      </c>
      <c r="B7325" s="887" t="s">
        <v>52</v>
      </c>
      <c r="C7325" s="887" t="s">
        <v>128</v>
      </c>
      <c r="D7325" s="887" t="s">
        <v>1186</v>
      </c>
      <c r="E7325" s="887" t="s">
        <v>1652</v>
      </c>
      <c r="F7325" s="887" t="s">
        <v>1653</v>
      </c>
      <c r="G7325" s="1783" t="s">
        <v>1323</v>
      </c>
    </row>
    <row r="7326" spans="1:7">
      <c r="A7326" s="47">
        <v>12701</v>
      </c>
      <c r="B7326" s="48">
        <v>50</v>
      </c>
      <c r="C7326" s="47" t="s">
        <v>294</v>
      </c>
      <c r="D7326" s="905">
        <v>10</v>
      </c>
      <c r="E7326" s="906">
        <v>21</v>
      </c>
      <c r="F7326" s="905">
        <f>D7326*E7326</f>
        <v>210</v>
      </c>
      <c r="G7326" s="891">
        <v>3.48</v>
      </c>
    </row>
    <row r="7327" spans="1:7">
      <c r="A7327" s="47">
        <v>12701</v>
      </c>
      <c r="B7327" s="48">
        <v>4</v>
      </c>
      <c r="C7327" s="47" t="s">
        <v>5713</v>
      </c>
      <c r="D7327" s="905">
        <v>40</v>
      </c>
      <c r="E7327" s="906">
        <v>4</v>
      </c>
      <c r="F7327" s="905">
        <f>D7327*E7327</f>
        <v>160</v>
      </c>
      <c r="G7327" s="891">
        <v>0.75</v>
      </c>
    </row>
    <row r="7328" spans="1:7">
      <c r="A7328" s="47">
        <v>12701</v>
      </c>
      <c r="B7328" s="48">
        <v>6</v>
      </c>
      <c r="C7328" s="47" t="s">
        <v>5713</v>
      </c>
      <c r="D7328" s="905">
        <v>10</v>
      </c>
      <c r="E7328" s="906">
        <v>13</v>
      </c>
      <c r="F7328" s="905">
        <f>D7328*E7328</f>
        <v>130</v>
      </c>
      <c r="G7328" s="891">
        <v>0.77</v>
      </c>
    </row>
    <row r="7329" spans="1:8" ht="20.25">
      <c r="A7329" s="47"/>
      <c r="B7329" s="260"/>
      <c r="C7329" s="260" t="s">
        <v>1949</v>
      </c>
      <c r="D7329" s="894"/>
      <c r="E7329" s="904" ph="1"/>
      <c r="F7329" s="894">
        <v>1</v>
      </c>
      <c r="G7329" s="891">
        <v>12</v>
      </c>
    </row>
    <row r="7331" spans="1:8">
      <c r="A7331" s="887" t="s">
        <v>455</v>
      </c>
      <c r="B7331" s="887" t="s">
        <v>52</v>
      </c>
      <c r="C7331" s="887" t="s">
        <v>128</v>
      </c>
      <c r="D7331" s="887" t="s">
        <v>1186</v>
      </c>
      <c r="E7331" s="887" t="s">
        <v>1652</v>
      </c>
      <c r="F7331" s="887" t="s">
        <v>1653</v>
      </c>
      <c r="G7331" s="1783" t="s">
        <v>1323</v>
      </c>
      <c r="H7331" s="39"/>
    </row>
    <row r="7332" spans="1:8">
      <c r="A7332" s="47">
        <v>12701</v>
      </c>
      <c r="B7332" s="48">
        <v>4</v>
      </c>
      <c r="C7332" s="47" t="s">
        <v>5713</v>
      </c>
      <c r="D7332" s="905">
        <v>40</v>
      </c>
      <c r="E7332" s="906">
        <v>4</v>
      </c>
      <c r="F7332" s="905">
        <f>D7332*E7332</f>
        <v>160</v>
      </c>
      <c r="G7332" s="891">
        <v>0.75</v>
      </c>
      <c r="H7332" s="891">
        <f t="shared" ref="H7332:H7337" si="46">G7332*F7332</f>
        <v>120</v>
      </c>
    </row>
    <row r="7333" spans="1:8">
      <c r="A7333" s="47">
        <v>12701</v>
      </c>
      <c r="B7333" s="48">
        <v>6</v>
      </c>
      <c r="C7333" s="47" t="s">
        <v>5713</v>
      </c>
      <c r="D7333" s="905">
        <v>10</v>
      </c>
      <c r="E7333" s="906">
        <v>20</v>
      </c>
      <c r="F7333" s="905">
        <f>D7333*E7333</f>
        <v>200</v>
      </c>
      <c r="G7333" s="891">
        <v>0.77</v>
      </c>
      <c r="H7333" s="891">
        <f t="shared" si="46"/>
        <v>154</v>
      </c>
    </row>
    <row r="7334" spans="1:8">
      <c r="A7334" s="47">
        <v>12701</v>
      </c>
      <c r="B7334" s="48">
        <v>12</v>
      </c>
      <c r="C7334" s="47" t="s">
        <v>5718</v>
      </c>
      <c r="D7334" s="905">
        <v>10</v>
      </c>
      <c r="E7334" s="906">
        <v>12</v>
      </c>
      <c r="F7334" s="905">
        <f>D7334*E7334</f>
        <v>120</v>
      </c>
      <c r="G7334" s="891">
        <v>0.97</v>
      </c>
      <c r="H7334" s="891">
        <f t="shared" si="46"/>
        <v>116.39999999999999</v>
      </c>
    </row>
    <row r="7335" spans="1:8">
      <c r="A7335" s="47">
        <v>12701</v>
      </c>
      <c r="B7335" s="48">
        <v>12</v>
      </c>
      <c r="C7335" s="47" t="s">
        <v>5719</v>
      </c>
      <c r="D7335" s="905">
        <v>10</v>
      </c>
      <c r="E7335" s="906">
        <v>12</v>
      </c>
      <c r="F7335" s="905">
        <f>D7335*E7335</f>
        <v>120</v>
      </c>
      <c r="G7335" s="891">
        <v>0.97</v>
      </c>
      <c r="H7335" s="891">
        <f t="shared" si="46"/>
        <v>116.39999999999999</v>
      </c>
    </row>
    <row r="7336" spans="1:8">
      <c r="A7336" s="47">
        <v>12701</v>
      </c>
      <c r="B7336" s="48">
        <v>50</v>
      </c>
      <c r="C7336" s="47" t="s">
        <v>294</v>
      </c>
      <c r="D7336" s="905">
        <v>10</v>
      </c>
      <c r="E7336" s="906">
        <v>20</v>
      </c>
      <c r="F7336" s="905">
        <f>D7336*E7336</f>
        <v>200</v>
      </c>
      <c r="G7336" s="891">
        <v>3.48</v>
      </c>
      <c r="H7336" s="891">
        <f t="shared" si="46"/>
        <v>696</v>
      </c>
    </row>
    <row r="7337" spans="1:8" ht="20.25">
      <c r="A7337" s="47"/>
      <c r="B7337" s="260"/>
      <c r="C7337" s="260" t="s">
        <v>1949</v>
      </c>
      <c r="D7337" s="894"/>
      <c r="E7337" s="904" ph="1"/>
      <c r="F7337" s="894">
        <v>1</v>
      </c>
      <c r="G7337" s="891">
        <v>12</v>
      </c>
      <c r="H7337" s="891">
        <f t="shared" si="46"/>
        <v>12</v>
      </c>
    </row>
    <row r="7340" spans="1:8" s="888" customFormat="1" ht="25.5">
      <c r="A7340" s="1166" t="s">
        <v>1369</v>
      </c>
      <c r="B7340" s="1167" t="s">
        <v>2</v>
      </c>
      <c r="C7340" s="1168" t="s">
        <v>5723</v>
      </c>
      <c r="D7340" s="902" t="s">
        <v>2264</v>
      </c>
      <c r="E7340" s="902" t="s">
        <v>1181</v>
      </c>
      <c r="F7340" s="1169" t="s">
        <v>5527</v>
      </c>
    </row>
    <row r="7341" spans="1:8">
      <c r="A7341" s="909">
        <v>5411</v>
      </c>
      <c r="B7341" s="1171">
        <v>30</v>
      </c>
      <c r="C7341" s="909" t="s">
        <v>1812</v>
      </c>
      <c r="D7341" s="1617" t="s">
        <v>5721</v>
      </c>
      <c r="E7341" s="1617" t="s">
        <v>5722</v>
      </c>
      <c r="F7341" s="1061">
        <v>0.26</v>
      </c>
    </row>
    <row r="7342" spans="1:8">
      <c r="A7342" s="909">
        <v>5412</v>
      </c>
      <c r="B7342" s="1171">
        <v>30</v>
      </c>
      <c r="C7342" s="909" t="s">
        <v>1812</v>
      </c>
      <c r="D7342" s="1617" t="s">
        <v>5721</v>
      </c>
      <c r="E7342" s="1617" t="s">
        <v>5722</v>
      </c>
      <c r="F7342" s="1061">
        <v>0.39</v>
      </c>
    </row>
    <row r="7343" spans="1:8">
      <c r="A7343" s="909">
        <v>5413</v>
      </c>
      <c r="B7343" s="1171">
        <v>30</v>
      </c>
      <c r="C7343" s="909" t="s">
        <v>1812</v>
      </c>
      <c r="D7343" s="1617" t="s">
        <v>5721</v>
      </c>
      <c r="E7343" s="1617" t="s">
        <v>5722</v>
      </c>
      <c r="F7343" s="1061">
        <v>0.65</v>
      </c>
    </row>
    <row r="7344" spans="1:8">
      <c r="A7344" s="909">
        <v>5414</v>
      </c>
      <c r="B7344" s="1171">
        <v>30</v>
      </c>
      <c r="C7344" s="909" t="s">
        <v>1812</v>
      </c>
      <c r="D7344" s="1617" t="s">
        <v>5721</v>
      </c>
      <c r="E7344" s="1617" t="s">
        <v>5722</v>
      </c>
      <c r="F7344" s="1061">
        <v>0.91</v>
      </c>
    </row>
    <row r="7345" spans="1:10">
      <c r="A7345" s="909">
        <v>5415</v>
      </c>
      <c r="B7345" s="1171">
        <v>30</v>
      </c>
      <c r="C7345" s="909" t="s">
        <v>1812</v>
      </c>
      <c r="D7345" s="1617" t="s">
        <v>5721</v>
      </c>
      <c r="E7345" s="1617" t="s">
        <v>5722</v>
      </c>
      <c r="F7345" s="1061">
        <v>1.71</v>
      </c>
    </row>
    <row r="7346" spans="1:10">
      <c r="A7346" s="1331"/>
      <c r="B7346" s="1916"/>
      <c r="C7346" s="1331"/>
      <c r="D7346" s="1917"/>
      <c r="E7346" s="1917"/>
      <c r="F7346" s="1918"/>
    </row>
    <row r="7347" spans="1:10">
      <c r="A7347" t="s">
        <v>5752</v>
      </c>
    </row>
    <row r="7348" spans="1:10" ht="38.25">
      <c r="A7348" s="887" t="s">
        <v>455</v>
      </c>
      <c r="B7348" s="887" t="s">
        <v>52</v>
      </c>
      <c r="C7348" s="887" t="s">
        <v>128</v>
      </c>
      <c r="D7348" s="887" t="s">
        <v>1653</v>
      </c>
      <c r="E7348" s="1783" t="s">
        <v>5751</v>
      </c>
      <c r="F7348" s="1783" t="s">
        <v>5750</v>
      </c>
    </row>
    <row r="7349" spans="1:10">
      <c r="A7349" s="889" t="s">
        <v>5726</v>
      </c>
      <c r="B7349" s="48"/>
      <c r="C7349" s="47"/>
      <c r="D7349" s="50"/>
      <c r="E7349" s="917" t="s">
        <v>10</v>
      </c>
      <c r="F7349" s="917" t="s">
        <v>10</v>
      </c>
      <c r="G7349" s="39"/>
      <c r="H7349" s="1913" t="s">
        <v>5749</v>
      </c>
      <c r="I7349" s="1204"/>
      <c r="J7349" s="1913" t="s">
        <v>5748</v>
      </c>
    </row>
    <row r="7350" spans="1:10">
      <c r="A7350" s="47" t="s">
        <v>5727</v>
      </c>
      <c r="B7350" s="48">
        <v>20</v>
      </c>
      <c r="C7350" s="47" t="s">
        <v>170</v>
      </c>
      <c r="D7350" s="905">
        <v>1</v>
      </c>
      <c r="E7350" s="51">
        <f>ROUNDUP(H7350/0.6/120,2)</f>
        <v>2.23</v>
      </c>
      <c r="F7350" s="51">
        <f>ROUNDUP(J7350/0.6/120,2)</f>
        <v>1.49</v>
      </c>
      <c r="G7350" s="1147"/>
      <c r="H7350" s="1151">
        <f>J7350*1.5</f>
        <v>160.5</v>
      </c>
      <c r="I7350" s="1204">
        <f>H7350*D7350</f>
        <v>160.5</v>
      </c>
      <c r="J7350" s="1914">
        <v>107</v>
      </c>
    </row>
    <row r="7351" spans="1:10">
      <c r="A7351" s="47"/>
      <c r="B7351" s="48"/>
      <c r="C7351" s="47"/>
      <c r="D7351" s="905"/>
      <c r="E7351" s="51"/>
      <c r="F7351" s="51"/>
      <c r="G7351" s="1147"/>
      <c r="H7351" s="1151"/>
      <c r="I7351" s="1204"/>
      <c r="J7351" s="1914"/>
    </row>
    <row r="7352" spans="1:10">
      <c r="A7352" s="889" t="s">
        <v>5728</v>
      </c>
      <c r="B7352" s="48"/>
      <c r="C7352" s="47"/>
      <c r="D7352" s="50"/>
      <c r="E7352" s="53"/>
      <c r="F7352" s="53"/>
      <c r="G7352" s="39"/>
      <c r="H7352" s="1151"/>
      <c r="I7352" s="1204"/>
      <c r="J7352" s="1915"/>
    </row>
    <row r="7353" spans="1:10">
      <c r="A7353" s="47" t="s">
        <v>5729</v>
      </c>
      <c r="B7353" s="48">
        <v>20</v>
      </c>
      <c r="C7353" s="47" t="s">
        <v>170</v>
      </c>
      <c r="D7353" s="905">
        <v>1</v>
      </c>
      <c r="E7353" s="51">
        <f>ROUNDUP(H7353/0.6/120,2)</f>
        <v>2.98</v>
      </c>
      <c r="F7353" s="51">
        <f>ROUNDUP(J7353/0.6/120,2)</f>
        <v>1.99</v>
      </c>
      <c r="G7353" s="1147"/>
      <c r="H7353" s="1151">
        <f>J7353*1.5</f>
        <v>214.5</v>
      </c>
      <c r="I7353" s="1204">
        <f>H7353*D7353</f>
        <v>214.5</v>
      </c>
      <c r="J7353" s="1914">
        <v>143</v>
      </c>
    </row>
    <row r="7354" spans="1:10">
      <c r="A7354" s="47"/>
      <c r="B7354" s="48"/>
      <c r="C7354" s="47"/>
      <c r="D7354" s="905"/>
      <c r="E7354" s="51"/>
      <c r="F7354" s="51"/>
      <c r="G7354" s="1147"/>
      <c r="H7354" s="1151"/>
      <c r="I7354" s="1204"/>
      <c r="J7354" s="1914"/>
    </row>
    <row r="7355" spans="1:10">
      <c r="A7355" s="889" t="s">
        <v>5731</v>
      </c>
      <c r="B7355" s="48"/>
      <c r="C7355" s="47"/>
      <c r="D7355" s="50"/>
      <c r="E7355" s="53"/>
      <c r="F7355" s="53"/>
      <c r="G7355" s="39"/>
      <c r="H7355" s="1151"/>
      <c r="I7355" s="1204"/>
      <c r="J7355" s="1915"/>
    </row>
    <row r="7356" spans="1:10">
      <c r="A7356" s="47" t="s">
        <v>5730</v>
      </c>
      <c r="B7356" s="48">
        <v>15</v>
      </c>
      <c r="C7356" s="47" t="s">
        <v>5732</v>
      </c>
      <c r="D7356" s="905">
        <v>5</v>
      </c>
      <c r="E7356" s="51">
        <f>ROUNDUP(H7356/0.6/120,2)</f>
        <v>2.98</v>
      </c>
      <c r="F7356" s="51">
        <f>ROUNDUP(J7356/0.6/120,2)</f>
        <v>1.99</v>
      </c>
      <c r="G7356" s="1147"/>
      <c r="H7356" s="1151">
        <f>J7356*1.5</f>
        <v>214.5</v>
      </c>
      <c r="I7356" s="1204">
        <f>H7356*D7356</f>
        <v>1072.5</v>
      </c>
      <c r="J7356" s="1914">
        <v>143</v>
      </c>
    </row>
    <row r="7357" spans="1:10">
      <c r="A7357" s="47"/>
      <c r="B7357" s="48"/>
      <c r="C7357" s="47"/>
      <c r="D7357" s="905"/>
      <c r="E7357" s="51"/>
      <c r="F7357" s="51"/>
      <c r="G7357" s="1147"/>
      <c r="H7357" s="1151"/>
      <c r="I7357" s="1204"/>
      <c r="J7357" s="1914"/>
    </row>
    <row r="7358" spans="1:10">
      <c r="A7358" s="889" t="s">
        <v>5734</v>
      </c>
      <c r="B7358" s="48"/>
      <c r="C7358" s="47"/>
      <c r="D7358" s="50"/>
      <c r="E7358" s="53"/>
      <c r="F7358" s="53"/>
      <c r="G7358" s="39"/>
      <c r="H7358" s="1151"/>
      <c r="I7358" s="1204"/>
      <c r="J7358" s="1914"/>
    </row>
    <row r="7359" spans="1:10">
      <c r="A7359" s="47" t="s">
        <v>5733</v>
      </c>
      <c r="B7359" s="48">
        <v>50</v>
      </c>
      <c r="C7359" s="47" t="s">
        <v>170</v>
      </c>
      <c r="D7359" s="905">
        <v>5</v>
      </c>
      <c r="E7359" s="51">
        <f>ROUNDUP(H7359/0.6/120,2)</f>
        <v>4.55</v>
      </c>
      <c r="F7359" s="51">
        <f>ROUNDUP(J7359/0.6/120,2)</f>
        <v>3.03</v>
      </c>
      <c r="G7359" s="1147"/>
      <c r="H7359" s="1151">
        <f>J7359*1.5</f>
        <v>327</v>
      </c>
      <c r="I7359" s="1204">
        <f>H7359*D7359</f>
        <v>1635</v>
      </c>
      <c r="J7359" s="1914">
        <v>218</v>
      </c>
    </row>
    <row r="7360" spans="1:10">
      <c r="A7360" s="47"/>
      <c r="B7360" s="48"/>
      <c r="C7360" s="47"/>
      <c r="D7360" s="905"/>
      <c r="E7360" s="51"/>
      <c r="F7360" s="51"/>
      <c r="G7360" s="1147"/>
      <c r="H7360" s="1151"/>
      <c r="I7360" s="1204"/>
      <c r="J7360" s="1914"/>
    </row>
    <row r="7361" spans="1:10">
      <c r="A7361" s="889" t="s">
        <v>5736</v>
      </c>
      <c r="B7361" s="48"/>
      <c r="C7361" s="47"/>
      <c r="D7361" s="50"/>
      <c r="E7361" s="53"/>
      <c r="F7361" s="53"/>
      <c r="G7361" s="39"/>
      <c r="H7361" s="1151"/>
      <c r="I7361" s="1204"/>
      <c r="J7361" s="1914"/>
    </row>
    <row r="7362" spans="1:10">
      <c r="A7362" s="47" t="s">
        <v>5735</v>
      </c>
      <c r="B7362" s="48">
        <v>12</v>
      </c>
      <c r="C7362" s="47" t="s">
        <v>117</v>
      </c>
      <c r="D7362" s="905">
        <v>5</v>
      </c>
      <c r="E7362" s="51">
        <f>ROUNDUP(H7362/0.6/120,2)</f>
        <v>3.38</v>
      </c>
      <c r="F7362" s="51">
        <f>ROUNDUP(J7362/0.6/120,2)</f>
        <v>2.25</v>
      </c>
      <c r="G7362" s="1147"/>
      <c r="H7362" s="1151">
        <f>J7362*1.5</f>
        <v>243</v>
      </c>
      <c r="I7362" s="1204">
        <f>H7362*D7362</f>
        <v>1215</v>
      </c>
      <c r="J7362" s="1914">
        <v>162</v>
      </c>
    </row>
    <row r="7363" spans="1:10">
      <c r="A7363" s="47"/>
      <c r="B7363" s="48"/>
      <c r="C7363" s="47"/>
      <c r="D7363" s="905"/>
      <c r="E7363" s="51"/>
      <c r="F7363" s="51"/>
      <c r="G7363" s="1147"/>
      <c r="H7363" s="1151"/>
      <c r="I7363" s="1204"/>
      <c r="J7363" s="1914"/>
    </row>
    <row r="7364" spans="1:10">
      <c r="A7364" s="889" t="s">
        <v>5737</v>
      </c>
      <c r="B7364" s="48"/>
      <c r="C7364" s="47"/>
      <c r="D7364" s="50"/>
      <c r="E7364" s="53"/>
      <c r="F7364" s="53"/>
      <c r="G7364" s="39"/>
      <c r="H7364" s="1151"/>
      <c r="I7364" s="1204"/>
      <c r="J7364" s="1914"/>
    </row>
    <row r="7365" spans="1:10">
      <c r="A7365" s="47" t="s">
        <v>5738</v>
      </c>
      <c r="B7365" s="48"/>
      <c r="C7365" s="47" t="s">
        <v>443</v>
      </c>
      <c r="D7365" s="905">
        <v>5</v>
      </c>
      <c r="E7365" s="51">
        <f>ROUNDUP(H7365/0.6/120,2)</f>
        <v>1.98</v>
      </c>
      <c r="F7365" s="51">
        <f>ROUNDUP(J7365/0.6/120,2)</f>
        <v>1.32</v>
      </c>
      <c r="G7365" s="1147"/>
      <c r="H7365" s="1151">
        <f>J7365*1.5</f>
        <v>142.5</v>
      </c>
      <c r="I7365" s="1204">
        <f>H7365*D7365</f>
        <v>712.5</v>
      </c>
      <c r="J7365" s="1914">
        <v>95</v>
      </c>
    </row>
    <row r="7366" spans="1:10">
      <c r="A7366" s="47"/>
      <c r="B7366" s="48"/>
      <c r="C7366" s="47"/>
      <c r="D7366" s="905"/>
      <c r="E7366" s="51"/>
      <c r="F7366" s="51"/>
      <c r="G7366" s="1147"/>
      <c r="H7366" s="1151"/>
      <c r="I7366" s="1204"/>
      <c r="J7366" s="1914"/>
    </row>
    <row r="7367" spans="1:10">
      <c r="A7367" s="889" t="s">
        <v>5740</v>
      </c>
      <c r="B7367" s="48"/>
      <c r="C7367" s="47"/>
      <c r="D7367" s="50"/>
      <c r="E7367" s="53"/>
      <c r="F7367" s="53"/>
      <c r="G7367" s="39"/>
      <c r="H7367" s="1151"/>
      <c r="I7367" s="1204"/>
      <c r="J7367" s="1914"/>
    </row>
    <row r="7368" spans="1:10">
      <c r="A7368" s="47" t="s">
        <v>5739</v>
      </c>
      <c r="B7368" s="48">
        <v>30</v>
      </c>
      <c r="C7368" s="47" t="s">
        <v>205</v>
      </c>
      <c r="D7368" s="905">
        <v>5</v>
      </c>
      <c r="E7368" s="51">
        <f>ROUNDUP(H7368/0.6/120,2)</f>
        <v>4</v>
      </c>
      <c r="F7368" s="51">
        <f>ROUNDUP(J7368/0.6/120,2)</f>
        <v>2.67</v>
      </c>
      <c r="G7368" s="1147"/>
      <c r="H7368" s="1151">
        <f>J7368*1.5</f>
        <v>288</v>
      </c>
      <c r="I7368" s="1204">
        <f>H7368*D7368</f>
        <v>1440</v>
      </c>
      <c r="J7368" s="1914">
        <v>192</v>
      </c>
    </row>
    <row r="7369" spans="1:10">
      <c r="A7369" s="47"/>
      <c r="B7369" s="48"/>
      <c r="C7369" s="47"/>
      <c r="D7369" s="905"/>
      <c r="E7369" s="51"/>
      <c r="F7369" s="51"/>
      <c r="G7369" s="1147"/>
      <c r="H7369" s="1151"/>
      <c r="I7369" s="1204"/>
      <c r="J7369" s="1914"/>
    </row>
    <row r="7370" spans="1:10">
      <c r="A7370" s="889" t="s">
        <v>5742</v>
      </c>
      <c r="B7370" s="48"/>
      <c r="C7370" s="47"/>
      <c r="D7370" s="50"/>
      <c r="E7370" s="53"/>
      <c r="F7370" s="53"/>
      <c r="G7370" s="39"/>
      <c r="H7370" s="1151"/>
      <c r="I7370" s="1204"/>
      <c r="J7370" s="1915"/>
    </row>
    <row r="7371" spans="1:10">
      <c r="A7371" s="47" t="s">
        <v>5741</v>
      </c>
      <c r="B7371" s="48">
        <v>18</v>
      </c>
      <c r="C7371" s="47" t="s">
        <v>170</v>
      </c>
      <c r="D7371" s="905">
        <v>5</v>
      </c>
      <c r="E7371" s="51">
        <f>ROUNDUP(H7371/0.6/120,2)</f>
        <v>2.98</v>
      </c>
      <c r="F7371" s="51">
        <f>ROUNDUP(J7371/0.6/120,2)</f>
        <v>1.99</v>
      </c>
      <c r="G7371" s="1147"/>
      <c r="H7371" s="1151">
        <f>J7371*1.5</f>
        <v>214.5</v>
      </c>
      <c r="I7371" s="1204">
        <f>H7371*D7371</f>
        <v>1072.5</v>
      </c>
      <c r="J7371" s="1914">
        <v>143</v>
      </c>
    </row>
    <row r="7372" spans="1:10">
      <c r="A7372" s="47"/>
      <c r="B7372" s="48"/>
      <c r="C7372" s="47"/>
      <c r="D7372" s="905"/>
      <c r="E7372" s="51"/>
      <c r="F7372" s="51"/>
      <c r="G7372" s="1147"/>
      <c r="H7372" s="1151"/>
      <c r="I7372" s="1204"/>
      <c r="J7372" s="1914"/>
    </row>
    <row r="7373" spans="1:10">
      <c r="A7373" s="889" t="s">
        <v>5743</v>
      </c>
      <c r="B7373" s="48"/>
      <c r="C7373" s="47"/>
      <c r="D7373" s="50"/>
      <c r="E7373" s="53"/>
      <c r="F7373" s="53"/>
      <c r="G7373" s="39"/>
      <c r="H7373" s="1151"/>
      <c r="I7373" s="1204"/>
      <c r="J7373" s="1914"/>
    </row>
    <row r="7374" spans="1:10">
      <c r="A7374" s="47" t="s">
        <v>5744</v>
      </c>
      <c r="B7374" s="48">
        <v>15</v>
      </c>
      <c r="C7374" s="47" t="s">
        <v>1768</v>
      </c>
      <c r="D7374" s="905">
        <v>5</v>
      </c>
      <c r="E7374" s="51">
        <f>ROUNDUP(H7374/0.6/120,2)</f>
        <v>3.07</v>
      </c>
      <c r="F7374" s="51">
        <f>ROUNDUP(J7374/0.6/120,2)</f>
        <v>2.0499999999999998</v>
      </c>
      <c r="G7374" s="1147"/>
      <c r="H7374" s="1151">
        <f>J7374*1.5</f>
        <v>220.5</v>
      </c>
      <c r="I7374" s="1204">
        <f>H7374*D7374</f>
        <v>1102.5</v>
      </c>
      <c r="J7374" s="1914">
        <v>147</v>
      </c>
    </row>
    <row r="7375" spans="1:10">
      <c r="A7375" s="47"/>
      <c r="B7375" s="48"/>
      <c r="C7375" s="47"/>
      <c r="D7375" s="905"/>
      <c r="E7375" s="51"/>
      <c r="F7375" s="51"/>
      <c r="G7375" s="1147"/>
      <c r="H7375" s="1151"/>
      <c r="I7375" s="1204"/>
      <c r="J7375" s="1914"/>
    </row>
    <row r="7376" spans="1:10">
      <c r="A7376" s="889" t="s">
        <v>5746</v>
      </c>
      <c r="B7376" s="48"/>
      <c r="C7376" s="47"/>
      <c r="D7376" s="50"/>
      <c r="E7376" s="53"/>
      <c r="F7376" s="53"/>
      <c r="G7376" s="39"/>
      <c r="H7376" s="1151"/>
      <c r="I7376" s="1204"/>
      <c r="J7376" s="1914"/>
    </row>
    <row r="7377" spans="1:13">
      <c r="A7377" s="47" t="s">
        <v>5745</v>
      </c>
      <c r="B7377" s="48">
        <v>25</v>
      </c>
      <c r="C7377" s="47" t="s">
        <v>5747</v>
      </c>
      <c r="D7377" s="905">
        <v>5</v>
      </c>
      <c r="E7377" s="51">
        <f>ROUNDUP(H7377/0.6/120,2)</f>
        <v>3.61</v>
      </c>
      <c r="F7377" s="51">
        <f>ROUNDUP(J7377/0.6/120,2)</f>
        <v>2.4099999999999997</v>
      </c>
      <c r="G7377" s="1147"/>
      <c r="H7377" s="1151">
        <f>J7377*1.5</f>
        <v>259.5</v>
      </c>
      <c r="I7377" s="1204">
        <f>H7377*D7377</f>
        <v>1297.5</v>
      </c>
      <c r="J7377" s="1914">
        <v>173</v>
      </c>
    </row>
    <row r="7381" spans="1:13" ht="25.5">
      <c r="A7381" s="1874" t="s">
        <v>455</v>
      </c>
      <c r="B7381" s="1874" t="s">
        <v>52</v>
      </c>
      <c r="C7381" s="1874" t="s">
        <v>128</v>
      </c>
      <c r="D7381" s="1874" t="s">
        <v>1653</v>
      </c>
      <c r="E7381" s="1927" t="s">
        <v>5753</v>
      </c>
      <c r="F7381" s="1928" t="s">
        <v>5754</v>
      </c>
      <c r="G7381" s="1929" t="s">
        <v>5755</v>
      </c>
      <c r="H7381" s="1783" t="s">
        <v>5751</v>
      </c>
      <c r="I7381" s="1783" t="s">
        <v>5750</v>
      </c>
    </row>
    <row r="7382" spans="1:13">
      <c r="A7382" s="1617" t="s">
        <v>5726</v>
      </c>
      <c r="B7382" s="1187"/>
      <c r="C7382" s="909"/>
      <c r="D7382" s="1885"/>
      <c r="E7382" s="1921"/>
      <c r="F7382" s="1926"/>
      <c r="G7382" s="1919"/>
      <c r="H7382" s="917" t="s">
        <v>10</v>
      </c>
      <c r="I7382" s="917" t="s">
        <v>10</v>
      </c>
      <c r="J7382" s="39"/>
      <c r="K7382" s="1913" t="s">
        <v>5749</v>
      </c>
      <c r="L7382" s="1204"/>
      <c r="M7382" s="1913" t="s">
        <v>5748</v>
      </c>
    </row>
    <row r="7383" spans="1:13">
      <c r="A7383" s="909" t="s">
        <v>5727</v>
      </c>
      <c r="B7383" s="1187">
        <v>20</v>
      </c>
      <c r="C7383" s="909" t="s">
        <v>170</v>
      </c>
      <c r="D7383" s="1751">
        <v>1</v>
      </c>
      <c r="E7383" s="1922">
        <v>160.5</v>
      </c>
      <c r="F7383" s="1923">
        <v>107</v>
      </c>
      <c r="G7383" s="1920"/>
      <c r="H7383" s="51">
        <f>ROUNDUP(K7383/0.6/120,2)</f>
        <v>2.23</v>
      </c>
      <c r="I7383" s="51">
        <f>ROUNDUP(M7383/0.6/120,2)</f>
        <v>1.49</v>
      </c>
      <c r="J7383" s="1147" t="s">
        <v>2219</v>
      </c>
      <c r="K7383" s="1151">
        <f>M7383*1.5</f>
        <v>160.5</v>
      </c>
      <c r="L7383" s="1204">
        <f>K7383*D7383</f>
        <v>160.5</v>
      </c>
      <c r="M7383" s="1914">
        <v>107</v>
      </c>
    </row>
    <row r="7384" spans="1:13">
      <c r="A7384" s="909"/>
      <c r="B7384" s="1187"/>
      <c r="C7384" s="909"/>
      <c r="D7384" s="1751"/>
      <c r="E7384" s="1922"/>
      <c r="F7384" s="1923"/>
      <c r="G7384" s="1920"/>
      <c r="H7384" s="51"/>
      <c r="I7384" s="51"/>
      <c r="J7384" s="1147"/>
      <c r="K7384" s="1151"/>
      <c r="L7384" s="1204"/>
      <c r="M7384" s="1914"/>
    </row>
    <row r="7385" spans="1:13">
      <c r="A7385" s="1617" t="s">
        <v>5728</v>
      </c>
      <c r="B7385" s="1187"/>
      <c r="C7385" s="909"/>
      <c r="D7385" s="1885"/>
      <c r="E7385" s="1924"/>
      <c r="F7385" s="1925"/>
      <c r="G7385" s="1087"/>
      <c r="H7385" s="53" t="s">
        <v>10</v>
      </c>
      <c r="I7385" s="53"/>
      <c r="J7385" s="39"/>
      <c r="K7385" s="1151"/>
      <c r="L7385" s="1204"/>
      <c r="M7385" s="1915"/>
    </row>
    <row r="7386" spans="1:13">
      <c r="A7386" s="909" t="s">
        <v>5729</v>
      </c>
      <c r="B7386" s="1187">
        <v>20</v>
      </c>
      <c r="C7386" s="909" t="s">
        <v>170</v>
      </c>
      <c r="D7386" s="1751">
        <v>1</v>
      </c>
      <c r="E7386" s="1922">
        <v>214.5</v>
      </c>
      <c r="F7386" s="1923">
        <v>143</v>
      </c>
      <c r="G7386" s="1930" t="s">
        <v>5756</v>
      </c>
      <c r="H7386" s="51">
        <f>ROUNDUP(K7386/0.6/120,2)</f>
        <v>2.98</v>
      </c>
      <c r="I7386" s="51">
        <f>ROUNDUP(M7386/0.6/120,2)</f>
        <v>1.99</v>
      </c>
      <c r="J7386" s="1147" t="s">
        <v>2219</v>
      </c>
      <c r="K7386" s="1151">
        <f>M7386*1.5</f>
        <v>214.5</v>
      </c>
      <c r="L7386" s="1204">
        <f>K7386*D7386</f>
        <v>214.5</v>
      </c>
      <c r="M7386" s="1914">
        <v>143</v>
      </c>
    </row>
    <row r="7387" spans="1:13">
      <c r="A7387" s="909"/>
      <c r="B7387" s="1187"/>
      <c r="C7387" s="909"/>
      <c r="D7387" s="1751"/>
      <c r="E7387" s="1922"/>
      <c r="F7387" s="1923"/>
      <c r="G7387" s="1920"/>
      <c r="H7387" s="51"/>
      <c r="I7387" s="51"/>
      <c r="J7387" s="1147"/>
      <c r="K7387" s="1151"/>
      <c r="L7387" s="1204"/>
      <c r="M7387" s="1914"/>
    </row>
    <row r="7388" spans="1:13">
      <c r="A7388" s="1617" t="s">
        <v>5731</v>
      </c>
      <c r="B7388" s="1187"/>
      <c r="C7388" s="909"/>
      <c r="D7388" s="1885"/>
      <c r="E7388" s="1924"/>
      <c r="F7388" s="1925"/>
      <c r="G7388" s="1087"/>
      <c r="H7388" s="53" t="s">
        <v>10</v>
      </c>
      <c r="I7388" s="53"/>
      <c r="J7388" s="39"/>
      <c r="K7388" s="1151"/>
      <c r="L7388" s="1204"/>
      <c r="M7388" s="1915"/>
    </row>
    <row r="7389" spans="1:13">
      <c r="A7389" s="909" t="s">
        <v>5730</v>
      </c>
      <c r="B7389" s="1187">
        <v>15</v>
      </c>
      <c r="C7389" s="909" t="s">
        <v>5732</v>
      </c>
      <c r="D7389" s="1751">
        <v>5</v>
      </c>
      <c r="E7389" s="1922">
        <v>214.5</v>
      </c>
      <c r="F7389" s="1923">
        <v>143</v>
      </c>
      <c r="G7389" s="1920"/>
      <c r="H7389" s="51">
        <f>ROUNDUP(K7389/0.6/120,2)</f>
        <v>2.98</v>
      </c>
      <c r="I7389" s="51">
        <f>ROUNDUP(M7389/0.6/120,2)</f>
        <v>1.99</v>
      </c>
      <c r="J7389" s="1147" t="s">
        <v>2219</v>
      </c>
      <c r="K7389" s="1151">
        <f>M7389*1.5</f>
        <v>214.5</v>
      </c>
      <c r="L7389" s="1204">
        <f>K7389*D7389</f>
        <v>1072.5</v>
      </c>
      <c r="M7389" s="1914">
        <v>143</v>
      </c>
    </row>
    <row r="7390" spans="1:13">
      <c r="A7390" s="909"/>
      <c r="B7390" s="1187"/>
      <c r="C7390" s="909"/>
      <c r="D7390" s="1751"/>
      <c r="E7390" s="1922"/>
      <c r="F7390" s="1923"/>
      <c r="G7390" s="1920"/>
      <c r="H7390" s="51"/>
      <c r="I7390" s="51"/>
      <c r="J7390" s="1147"/>
      <c r="K7390" s="1151"/>
      <c r="L7390" s="1204"/>
      <c r="M7390" s="1914"/>
    </row>
    <row r="7391" spans="1:13">
      <c r="A7391" s="1617" t="s">
        <v>5734</v>
      </c>
      <c r="B7391" s="1187"/>
      <c r="C7391" s="909"/>
      <c r="D7391" s="1885"/>
      <c r="E7391" s="1924"/>
      <c r="F7391" s="1923"/>
      <c r="G7391" s="1087"/>
      <c r="H7391" s="53" t="s">
        <v>10</v>
      </c>
      <c r="I7391" s="53"/>
      <c r="J7391" s="39"/>
      <c r="K7391" s="1151"/>
      <c r="L7391" s="1204"/>
      <c r="M7391" s="1914"/>
    </row>
    <row r="7392" spans="1:13">
      <c r="A7392" s="909" t="s">
        <v>5733</v>
      </c>
      <c r="B7392" s="1187">
        <v>50</v>
      </c>
      <c r="C7392" s="909" t="s">
        <v>170</v>
      </c>
      <c r="D7392" s="1751">
        <v>5</v>
      </c>
      <c r="E7392" s="1922">
        <v>327</v>
      </c>
      <c r="F7392" s="1923">
        <v>218</v>
      </c>
      <c r="G7392" s="1920"/>
      <c r="H7392" s="51">
        <f>ROUNDUP(K7392/0.6/120,2)</f>
        <v>4.55</v>
      </c>
      <c r="I7392" s="51">
        <f>ROUNDUP(M7392/0.6/120,2)</f>
        <v>3.03</v>
      </c>
      <c r="J7392" s="1147" t="s">
        <v>2219</v>
      </c>
      <c r="K7392" s="1151">
        <f>M7392*1.5</f>
        <v>327</v>
      </c>
      <c r="L7392" s="1204">
        <f>K7392*D7392</f>
        <v>1635</v>
      </c>
      <c r="M7392" s="1914">
        <v>218</v>
      </c>
    </row>
    <row r="7393" spans="1:13">
      <c r="A7393" s="909"/>
      <c r="B7393" s="1187"/>
      <c r="C7393" s="909"/>
      <c r="D7393" s="1751"/>
      <c r="E7393" s="1922"/>
      <c r="F7393" s="1923"/>
      <c r="G7393" s="1920"/>
      <c r="H7393" s="51"/>
      <c r="I7393" s="51"/>
      <c r="J7393" s="1147"/>
      <c r="K7393" s="1151"/>
      <c r="L7393" s="1204"/>
      <c r="M7393" s="1914"/>
    </row>
    <row r="7394" spans="1:13">
      <c r="A7394" s="1617" t="s">
        <v>5736</v>
      </c>
      <c r="B7394" s="1187"/>
      <c r="C7394" s="909"/>
      <c r="D7394" s="1885"/>
      <c r="E7394" s="1924"/>
      <c r="F7394" s="1923"/>
      <c r="G7394" s="1087"/>
      <c r="H7394" s="53" t="s">
        <v>10</v>
      </c>
      <c r="I7394" s="53"/>
      <c r="J7394" s="39"/>
      <c r="K7394" s="1151"/>
      <c r="L7394" s="1204"/>
      <c r="M7394" s="1914"/>
    </row>
    <row r="7395" spans="1:13">
      <c r="A7395" s="909" t="s">
        <v>5735</v>
      </c>
      <c r="B7395" s="1187">
        <v>12</v>
      </c>
      <c r="C7395" s="909" t="s">
        <v>117</v>
      </c>
      <c r="D7395" s="1751">
        <v>5</v>
      </c>
      <c r="E7395" s="1922">
        <v>243</v>
      </c>
      <c r="F7395" s="1923">
        <v>162</v>
      </c>
      <c r="G7395" s="1920"/>
      <c r="H7395" s="51">
        <f>ROUNDUP(K7395/0.6/120,2)</f>
        <v>3.38</v>
      </c>
      <c r="I7395" s="51">
        <f>ROUNDUP(M7395/0.6/120,2)</f>
        <v>2.25</v>
      </c>
      <c r="J7395" s="1147" t="s">
        <v>2219</v>
      </c>
      <c r="K7395" s="1151">
        <f>M7395*1.5</f>
        <v>243</v>
      </c>
      <c r="L7395" s="1204">
        <f>K7395*D7395</f>
        <v>1215</v>
      </c>
      <c r="M7395" s="1914">
        <v>162</v>
      </c>
    </row>
    <row r="7396" spans="1:13">
      <c r="A7396" s="909"/>
      <c r="B7396" s="1187"/>
      <c r="C7396" s="909"/>
      <c r="D7396" s="1751"/>
      <c r="E7396" s="1922"/>
      <c r="F7396" s="1923"/>
      <c r="G7396" s="1920"/>
      <c r="H7396" s="51"/>
      <c r="I7396" s="51"/>
      <c r="J7396" s="1147"/>
      <c r="K7396" s="1151"/>
      <c r="L7396" s="1204"/>
      <c r="M7396" s="1914"/>
    </row>
    <row r="7397" spans="1:13">
      <c r="A7397" s="1617" t="s">
        <v>5737</v>
      </c>
      <c r="B7397" s="1187"/>
      <c r="C7397" s="909"/>
      <c r="D7397" s="1885"/>
      <c r="E7397" s="1924"/>
      <c r="F7397" s="1923"/>
      <c r="G7397" s="1087"/>
      <c r="H7397" s="53" t="s">
        <v>10</v>
      </c>
      <c r="I7397" s="53"/>
      <c r="J7397" s="39"/>
      <c r="K7397" s="1151"/>
      <c r="L7397" s="1204"/>
      <c r="M7397" s="1914"/>
    </row>
    <row r="7398" spans="1:13">
      <c r="A7398" s="909" t="s">
        <v>5738</v>
      </c>
      <c r="B7398" s="1187"/>
      <c r="C7398" s="909" t="s">
        <v>443</v>
      </c>
      <c r="D7398" s="1751">
        <v>5</v>
      </c>
      <c r="E7398" s="1922">
        <v>142.5</v>
      </c>
      <c r="F7398" s="1923">
        <v>95</v>
      </c>
      <c r="G7398" s="1920"/>
      <c r="H7398" s="51">
        <f>ROUNDUP(K7398/0.6/120,2)</f>
        <v>1.98</v>
      </c>
      <c r="I7398" s="51">
        <f>ROUNDUP(M7398/0.6/120,2)</f>
        <v>1.32</v>
      </c>
      <c r="J7398" s="1147" t="s">
        <v>2219</v>
      </c>
      <c r="K7398" s="1151">
        <f>M7398*1.5</f>
        <v>142.5</v>
      </c>
      <c r="L7398" s="1204">
        <f>K7398*D7398</f>
        <v>712.5</v>
      </c>
      <c r="M7398" s="1914">
        <v>95</v>
      </c>
    </row>
    <row r="7399" spans="1:13">
      <c r="A7399" s="909"/>
      <c r="B7399" s="1187"/>
      <c r="C7399" s="909"/>
      <c r="D7399" s="1751"/>
      <c r="E7399" s="1922"/>
      <c r="F7399" s="1923"/>
      <c r="G7399" s="1920"/>
      <c r="H7399" s="51"/>
      <c r="I7399" s="51"/>
      <c r="J7399" s="1147"/>
      <c r="K7399" s="1151"/>
      <c r="L7399" s="1204"/>
      <c r="M7399" s="1914"/>
    </row>
    <row r="7400" spans="1:13">
      <c r="A7400" s="1617" t="s">
        <v>5740</v>
      </c>
      <c r="B7400" s="1187"/>
      <c r="C7400" s="909"/>
      <c r="D7400" s="1885"/>
      <c r="E7400" s="1924"/>
      <c r="F7400" s="1923"/>
      <c r="G7400" s="1087"/>
      <c r="H7400" s="53" t="s">
        <v>10</v>
      </c>
      <c r="I7400" s="53"/>
      <c r="J7400" s="39"/>
      <c r="K7400" s="1151"/>
      <c r="L7400" s="1204"/>
      <c r="M7400" s="1914"/>
    </row>
    <row r="7401" spans="1:13">
      <c r="A7401" s="909" t="s">
        <v>5739</v>
      </c>
      <c r="B7401" s="1187">
        <v>30</v>
      </c>
      <c r="C7401" s="909" t="s">
        <v>205</v>
      </c>
      <c r="D7401" s="1751">
        <v>5</v>
      </c>
      <c r="E7401" s="1922">
        <v>288</v>
      </c>
      <c r="F7401" s="1923">
        <v>192</v>
      </c>
      <c r="G7401" s="1920"/>
      <c r="H7401" s="51">
        <f>ROUNDUP(K7401/0.6/120,2)</f>
        <v>4</v>
      </c>
      <c r="I7401" s="51">
        <f>ROUNDUP(M7401/0.6/120,2)</f>
        <v>2.67</v>
      </c>
      <c r="J7401" s="1147" t="s">
        <v>2219</v>
      </c>
      <c r="K7401" s="1151">
        <f>M7401*1.5</f>
        <v>288</v>
      </c>
      <c r="L7401" s="1204">
        <f>K7401*D7401</f>
        <v>1440</v>
      </c>
      <c r="M7401" s="1914">
        <v>192</v>
      </c>
    </row>
    <row r="7402" spans="1:13">
      <c r="A7402" s="909"/>
      <c r="B7402" s="1187"/>
      <c r="C7402" s="909"/>
      <c r="D7402" s="1751"/>
      <c r="E7402" s="1922"/>
      <c r="F7402" s="1923"/>
      <c r="G7402" s="1920"/>
      <c r="H7402" s="51"/>
      <c r="I7402" s="51"/>
      <c r="J7402" s="1147"/>
      <c r="K7402" s="1151"/>
      <c r="L7402" s="1204"/>
      <c r="M7402" s="1914"/>
    </row>
    <row r="7403" spans="1:13">
      <c r="A7403" s="1617" t="s">
        <v>5742</v>
      </c>
      <c r="B7403" s="1187"/>
      <c r="C7403" s="909"/>
      <c r="D7403" s="1885"/>
      <c r="E7403" s="1924"/>
      <c r="F7403" s="1925"/>
      <c r="G7403" s="1087"/>
      <c r="H7403" s="53" t="s">
        <v>10</v>
      </c>
      <c r="I7403" s="53"/>
      <c r="J7403" s="39"/>
      <c r="K7403" s="1151"/>
      <c r="L7403" s="1204"/>
      <c r="M7403" s="1915"/>
    </row>
    <row r="7404" spans="1:13">
      <c r="A7404" s="909" t="s">
        <v>5741</v>
      </c>
      <c r="B7404" s="1187">
        <v>18</v>
      </c>
      <c r="C7404" s="909" t="s">
        <v>170</v>
      </c>
      <c r="D7404" s="1751">
        <v>5</v>
      </c>
      <c r="E7404" s="1922">
        <v>214.5</v>
      </c>
      <c r="F7404" s="1923">
        <v>143</v>
      </c>
      <c r="G7404" s="1920"/>
      <c r="H7404" s="51">
        <f>ROUNDUP(K7404/0.6/120,2)</f>
        <v>2.98</v>
      </c>
      <c r="I7404" s="51">
        <f>ROUNDUP(M7404/0.6/120,2)</f>
        <v>1.99</v>
      </c>
      <c r="J7404" s="1147" t="s">
        <v>2219</v>
      </c>
      <c r="K7404" s="1151">
        <f>M7404*1.5</f>
        <v>214.5</v>
      </c>
      <c r="L7404" s="1204">
        <f>K7404*D7404</f>
        <v>1072.5</v>
      </c>
      <c r="M7404" s="1914">
        <v>143</v>
      </c>
    </row>
    <row r="7405" spans="1:13">
      <c r="A7405" s="909"/>
      <c r="B7405" s="1187"/>
      <c r="C7405" s="909"/>
      <c r="D7405" s="1751"/>
      <c r="E7405" s="1922"/>
      <c r="F7405" s="1923"/>
      <c r="G7405" s="1920"/>
      <c r="H7405" s="51"/>
      <c r="I7405" s="51"/>
      <c r="J7405" s="1147"/>
      <c r="K7405" s="1151"/>
      <c r="L7405" s="1204"/>
      <c r="M7405" s="1914"/>
    </row>
    <row r="7406" spans="1:13">
      <c r="A7406" s="1617" t="s">
        <v>5743</v>
      </c>
      <c r="B7406" s="1187"/>
      <c r="C7406" s="909"/>
      <c r="D7406" s="1885"/>
      <c r="E7406" s="1924"/>
      <c r="F7406" s="1923"/>
      <c r="G7406" s="1087"/>
      <c r="H7406" s="53" t="s">
        <v>10</v>
      </c>
      <c r="I7406" s="53"/>
      <c r="J7406" s="39"/>
      <c r="K7406" s="1151"/>
      <c r="L7406" s="1204"/>
      <c r="M7406" s="1914"/>
    </row>
    <row r="7407" spans="1:13">
      <c r="A7407" s="909" t="s">
        <v>5744</v>
      </c>
      <c r="B7407" s="1187">
        <v>15</v>
      </c>
      <c r="C7407" s="909" t="s">
        <v>1768</v>
      </c>
      <c r="D7407" s="1751">
        <v>5</v>
      </c>
      <c r="E7407" s="1922">
        <v>220.5</v>
      </c>
      <c r="F7407" s="1923">
        <v>147</v>
      </c>
      <c r="G7407" s="1920"/>
      <c r="H7407" s="51">
        <f>ROUNDUP(K7407/0.6/120,2)</f>
        <v>3.07</v>
      </c>
      <c r="I7407" s="51">
        <f>ROUNDUP(M7407/0.6/120,2)</f>
        <v>2.0499999999999998</v>
      </c>
      <c r="J7407" s="1147" t="s">
        <v>2219</v>
      </c>
      <c r="K7407" s="1151">
        <f>M7407*1.5</f>
        <v>220.5</v>
      </c>
      <c r="L7407" s="1204">
        <f>K7407*D7407</f>
        <v>1102.5</v>
      </c>
      <c r="M7407" s="1914">
        <v>147</v>
      </c>
    </row>
    <row r="7408" spans="1:13">
      <c r="A7408" s="909"/>
      <c r="B7408" s="1187"/>
      <c r="C7408" s="909"/>
      <c r="D7408" s="1751"/>
      <c r="E7408" s="1922"/>
      <c r="F7408" s="1923"/>
      <c r="G7408" s="1920"/>
      <c r="H7408" s="51"/>
      <c r="I7408" s="51"/>
      <c r="J7408" s="1147"/>
      <c r="K7408" s="1151"/>
      <c r="L7408" s="1204"/>
      <c r="M7408" s="1914"/>
    </row>
    <row r="7409" spans="1:13">
      <c r="A7409" s="1617" t="s">
        <v>5746</v>
      </c>
      <c r="B7409" s="1187"/>
      <c r="C7409" s="909"/>
      <c r="D7409" s="1885"/>
      <c r="E7409" s="1924"/>
      <c r="F7409" s="1923"/>
      <c r="G7409" s="1087"/>
      <c r="H7409" s="53" t="s">
        <v>10</v>
      </c>
      <c r="I7409" s="53"/>
      <c r="J7409" s="39"/>
      <c r="K7409" s="1151"/>
      <c r="L7409" s="1204"/>
      <c r="M7409" s="1914"/>
    </row>
    <row r="7410" spans="1:13">
      <c r="A7410" s="909" t="s">
        <v>5745</v>
      </c>
      <c r="B7410" s="1187">
        <v>25</v>
      </c>
      <c r="C7410" s="909" t="s">
        <v>5747</v>
      </c>
      <c r="D7410" s="1751">
        <v>5</v>
      </c>
      <c r="E7410" s="1922">
        <v>259.5</v>
      </c>
      <c r="F7410" s="1923">
        <v>173</v>
      </c>
      <c r="G7410" s="1930" t="s">
        <v>5757</v>
      </c>
      <c r="H7410" s="51">
        <f>ROUNDUP(K7410/0.6/120,2)</f>
        <v>3.61</v>
      </c>
      <c r="I7410" s="51">
        <f>ROUNDUP(M7410/0.6/120,2)</f>
        <v>2.4099999999999997</v>
      </c>
      <c r="J7410" s="1147" t="s">
        <v>2219</v>
      </c>
      <c r="K7410" s="1151">
        <f>M7410*1.5</f>
        <v>259.5</v>
      </c>
      <c r="L7410" s="1204">
        <f>K7410*D7410</f>
        <v>1297.5</v>
      </c>
      <c r="M7410" s="1914">
        <v>173</v>
      </c>
    </row>
    <row r="7412" spans="1:13">
      <c r="A7412" s="1331" t="s">
        <v>5758</v>
      </c>
    </row>
    <row r="7413" spans="1:13">
      <c r="A7413" s="887" t="s">
        <v>455</v>
      </c>
      <c r="B7413" s="887" t="s">
        <v>52</v>
      </c>
      <c r="C7413" s="887" t="s">
        <v>5759</v>
      </c>
      <c r="D7413" s="887" t="s">
        <v>5760</v>
      </c>
    </row>
    <row r="7414" spans="1:13">
      <c r="A7414" s="47">
        <v>5291</v>
      </c>
      <c r="B7414" s="48">
        <v>8</v>
      </c>
      <c r="C7414" s="905">
        <v>50</v>
      </c>
      <c r="D7414" s="891">
        <v>1.1100000000000001</v>
      </c>
    </row>
    <row r="7417" spans="1:13">
      <c r="A7417" s="902" t="s">
        <v>106</v>
      </c>
      <c r="B7417" s="902" t="s">
        <v>377</v>
      </c>
      <c r="C7417" s="902" t="s">
        <v>128</v>
      </c>
      <c r="D7417" s="887" t="s">
        <v>1186</v>
      </c>
      <c r="E7417" s="887" t="s">
        <v>1652</v>
      </c>
      <c r="F7417" s="887" t="s">
        <v>3109</v>
      </c>
    </row>
    <row r="7418" spans="1:13">
      <c r="A7418" s="47" t="s">
        <v>2447</v>
      </c>
      <c r="B7418" s="907">
        <v>152</v>
      </c>
      <c r="C7418" s="47" t="s">
        <v>114</v>
      </c>
      <c r="D7418" s="905">
        <v>58</v>
      </c>
      <c r="E7418" s="906">
        <v>23</v>
      </c>
      <c r="F7418" s="50">
        <f>D7418*E7418</f>
        <v>1334</v>
      </c>
    </row>
    <row r="7419" spans="1:13">
      <c r="A7419" s="47" t="s">
        <v>2447</v>
      </c>
      <c r="B7419" s="907">
        <v>152</v>
      </c>
      <c r="C7419" s="47" t="s">
        <v>5655</v>
      </c>
      <c r="D7419" s="905">
        <v>58</v>
      </c>
      <c r="E7419" s="906">
        <v>4</v>
      </c>
      <c r="F7419" s="905">
        <f>D7419*E7419</f>
        <v>232</v>
      </c>
    </row>
    <row r="7420" spans="1:13">
      <c r="A7420" s="47" t="s">
        <v>2447</v>
      </c>
      <c r="B7420" s="907">
        <v>152</v>
      </c>
      <c r="C7420" s="47" t="s">
        <v>5655</v>
      </c>
      <c r="D7420" s="905">
        <v>55</v>
      </c>
      <c r="E7420" s="906">
        <v>1</v>
      </c>
      <c r="F7420" s="905">
        <f>D7420*E7420</f>
        <v>55</v>
      </c>
    </row>
    <row r="7421" spans="1:13">
      <c r="A7421" s="47" t="s">
        <v>2447</v>
      </c>
      <c r="B7421" s="907">
        <v>152</v>
      </c>
      <c r="C7421" s="47" t="s">
        <v>5656</v>
      </c>
      <c r="D7421" s="905">
        <v>58</v>
      </c>
      <c r="E7421" s="906">
        <v>2</v>
      </c>
      <c r="F7421" s="905">
        <f>D7421*E7421</f>
        <v>116</v>
      </c>
    </row>
    <row r="7422" spans="1:13">
      <c r="A7422" s="47" t="s">
        <v>2447</v>
      </c>
      <c r="B7422" s="907">
        <v>152</v>
      </c>
      <c r="C7422" s="47" t="s">
        <v>5656</v>
      </c>
      <c r="D7422" s="905">
        <v>14</v>
      </c>
      <c r="E7422" s="906">
        <v>1</v>
      </c>
      <c r="F7422" s="905">
        <f>D7422*E7422</f>
        <v>14</v>
      </c>
    </row>
    <row r="7424" spans="1:13">
      <c r="A7424" s="902" t="s">
        <v>106</v>
      </c>
      <c r="B7424" s="902" t="s">
        <v>2861</v>
      </c>
      <c r="C7424" s="902" t="s">
        <v>2862</v>
      </c>
      <c r="D7424" s="1056" t="s">
        <v>2863</v>
      </c>
    </row>
    <row r="7425" spans="1:8">
      <c r="A7425" s="889" t="s">
        <v>3324</v>
      </c>
      <c r="B7425" s="260" t="s">
        <v>5768</v>
      </c>
      <c r="C7425" s="267" t="s">
        <v>5762</v>
      </c>
      <c r="D7425" s="890"/>
      <c r="E7425" s="890"/>
      <c r="F7425" s="1062">
        <v>5</v>
      </c>
    </row>
    <row r="7426" spans="1:8">
      <c r="A7426" s="889" t="s">
        <v>3324</v>
      </c>
      <c r="B7426" s="260" t="s">
        <v>5768</v>
      </c>
      <c r="C7426" s="267" t="s">
        <v>5763</v>
      </c>
      <c r="D7426" s="890"/>
      <c r="E7426" s="890"/>
      <c r="F7426" s="1062">
        <v>5</v>
      </c>
    </row>
    <row r="7427" spans="1:8">
      <c r="A7427" s="889" t="s">
        <v>3324</v>
      </c>
      <c r="B7427" s="260" t="s">
        <v>5768</v>
      </c>
      <c r="C7427" s="267" t="s">
        <v>5764</v>
      </c>
      <c r="D7427" s="890"/>
      <c r="E7427" s="890"/>
      <c r="F7427" s="1062">
        <v>5</v>
      </c>
    </row>
    <row r="7428" spans="1:8">
      <c r="A7428" s="889" t="s">
        <v>3324</v>
      </c>
      <c r="B7428" s="260" t="s">
        <v>5768</v>
      </c>
      <c r="C7428" s="267" t="s">
        <v>5765</v>
      </c>
      <c r="D7428" s="890"/>
      <c r="E7428" s="890"/>
      <c r="F7428" s="1062">
        <v>5</v>
      </c>
    </row>
    <row r="7429" spans="1:8">
      <c r="A7429" s="889" t="s">
        <v>3324</v>
      </c>
      <c r="B7429" s="260" t="s">
        <v>5768</v>
      </c>
      <c r="C7429" s="267" t="s">
        <v>5766</v>
      </c>
      <c r="D7429" s="890"/>
      <c r="E7429" s="890"/>
      <c r="F7429" s="1062">
        <v>5</v>
      </c>
    </row>
    <row r="7432" spans="1:8">
      <c r="A7432" s="902" t="s">
        <v>106</v>
      </c>
      <c r="B7432" s="902" t="s">
        <v>2861</v>
      </c>
      <c r="C7432" s="902" t="s">
        <v>2862</v>
      </c>
      <c r="D7432" s="902" t="s">
        <v>54</v>
      </c>
      <c r="E7432" s="887" t="s">
        <v>2020</v>
      </c>
      <c r="F7432" s="903"/>
      <c r="G7432" s="52" t="s">
        <v>1027</v>
      </c>
      <c r="H7432" s="39"/>
    </row>
    <row r="7433" spans="1:8" ht="15">
      <c r="A7433" s="889" t="s">
        <v>3324</v>
      </c>
      <c r="B7433" s="260" t="s">
        <v>5768</v>
      </c>
      <c r="C7433" s="267" t="s">
        <v>5762</v>
      </c>
      <c r="D7433" s="1062">
        <v>5</v>
      </c>
      <c r="E7433" s="891">
        <v>2.38</v>
      </c>
      <c r="F7433" s="46">
        <f t="shared" ref="F7433:F7438" si="47">E7433*D7433</f>
        <v>11.899999999999999</v>
      </c>
    </row>
    <row r="7434" spans="1:8" ht="15">
      <c r="A7434" s="889" t="s">
        <v>3324</v>
      </c>
      <c r="B7434" s="260" t="s">
        <v>5768</v>
      </c>
      <c r="C7434" s="267" t="s">
        <v>5763</v>
      </c>
      <c r="D7434" s="1062">
        <v>5</v>
      </c>
      <c r="E7434" s="891">
        <v>2.38</v>
      </c>
      <c r="F7434" s="46">
        <f t="shared" si="47"/>
        <v>11.899999999999999</v>
      </c>
    </row>
    <row r="7435" spans="1:8" ht="15">
      <c r="A7435" s="889" t="s">
        <v>3324</v>
      </c>
      <c r="B7435" s="260" t="s">
        <v>5768</v>
      </c>
      <c r="C7435" s="267" t="s">
        <v>5764</v>
      </c>
      <c r="D7435" s="1062">
        <v>5</v>
      </c>
      <c r="E7435" s="891">
        <v>2.38</v>
      </c>
      <c r="F7435" s="46">
        <f t="shared" si="47"/>
        <v>11.899999999999999</v>
      </c>
    </row>
    <row r="7436" spans="1:8" ht="15">
      <c r="A7436" s="889" t="s">
        <v>3324</v>
      </c>
      <c r="B7436" s="260" t="s">
        <v>5768</v>
      </c>
      <c r="C7436" s="267" t="s">
        <v>5765</v>
      </c>
      <c r="D7436" s="1062">
        <v>5</v>
      </c>
      <c r="E7436" s="891">
        <v>2.38</v>
      </c>
      <c r="F7436" s="46">
        <f t="shared" si="47"/>
        <v>11.899999999999999</v>
      </c>
    </row>
    <row r="7437" spans="1:8" ht="15">
      <c r="A7437" s="889" t="s">
        <v>3324</v>
      </c>
      <c r="B7437" s="260" t="s">
        <v>5768</v>
      </c>
      <c r="C7437" s="267" t="s">
        <v>5766</v>
      </c>
      <c r="D7437" s="1062">
        <v>5</v>
      </c>
      <c r="E7437" s="891">
        <v>2.38</v>
      </c>
      <c r="F7437" s="46">
        <f t="shared" si="47"/>
        <v>11.899999999999999</v>
      </c>
    </row>
    <row r="7438" spans="1:8" ht="15">
      <c r="A7438" s="47"/>
      <c r="B7438" s="893"/>
      <c r="C7438" s="260" t="s">
        <v>2014</v>
      </c>
      <c r="D7438" s="894" t="s">
        <v>5769</v>
      </c>
      <c r="E7438" s="891">
        <v>35</v>
      </c>
      <c r="F7438" s="46" t="e">
        <f t="shared" si="47"/>
        <v>#VALUE!</v>
      </c>
    </row>
    <row r="7439" spans="1:8" ht="15">
      <c r="A7439" s="47"/>
      <c r="B7439" s="893"/>
      <c r="C7439" s="260"/>
      <c r="D7439" s="894"/>
      <c r="E7439" s="891"/>
      <c r="F7439" s="46"/>
    </row>
    <row r="7440" spans="1:8">
      <c r="A7440" s="887" t="s">
        <v>455</v>
      </c>
      <c r="B7440" s="887" t="s">
        <v>128</v>
      </c>
      <c r="C7440" s="887" t="s">
        <v>1186</v>
      </c>
      <c r="D7440" s="887" t="s">
        <v>1652</v>
      </c>
      <c r="E7440" s="887" t="s">
        <v>1653</v>
      </c>
      <c r="F7440" s="1783" t="s">
        <v>1323</v>
      </c>
      <c r="G7440" s="39"/>
    </row>
    <row r="7441" spans="1:7" ht="15">
      <c r="A7441" s="47" t="s">
        <v>637</v>
      </c>
      <c r="B7441" s="47" t="s">
        <v>17</v>
      </c>
      <c r="C7441" s="905">
        <v>50</v>
      </c>
      <c r="D7441" s="906">
        <v>2</v>
      </c>
      <c r="E7441" s="905">
        <f>C7441*D7441</f>
        <v>100</v>
      </c>
      <c r="F7441" s="891">
        <v>0.23</v>
      </c>
      <c r="G7441" s="46">
        <f>F7441*E7441</f>
        <v>23</v>
      </c>
    </row>
    <row r="7442" spans="1:7" ht="15">
      <c r="A7442" s="47" t="s">
        <v>5767</v>
      </c>
      <c r="B7442" s="47" t="s">
        <v>17</v>
      </c>
      <c r="C7442" s="905">
        <v>50</v>
      </c>
      <c r="D7442" s="906">
        <v>1</v>
      </c>
      <c r="E7442" s="905">
        <f>C7442*D7442</f>
        <v>50</v>
      </c>
      <c r="F7442" s="891">
        <v>0.35</v>
      </c>
      <c r="G7442" s="46">
        <f>F7442*E7442</f>
        <v>17.5</v>
      </c>
    </row>
    <row r="7443" spans="1:7" ht="15">
      <c r="A7443" s="47"/>
      <c r="B7443" s="260" t="s">
        <v>1993</v>
      </c>
      <c r="C7443" s="905"/>
      <c r="D7443" s="906"/>
      <c r="E7443" s="894">
        <v>1</v>
      </c>
      <c r="F7443" s="891">
        <v>12</v>
      </c>
      <c r="G7443" s="46">
        <f>F7443*E7443</f>
        <v>12</v>
      </c>
    </row>
    <row r="7445" spans="1:7" ht="15">
      <c r="A7445" s="1871" t="s">
        <v>5770</v>
      </c>
      <c r="B7445" s="1871"/>
      <c r="C7445" s="1871"/>
      <c r="D7445" s="1871"/>
      <c r="E7445" s="1871"/>
      <c r="F7445" s="1871"/>
    </row>
    <row r="7446" spans="1:7">
      <c r="A7446" s="887" t="s">
        <v>455</v>
      </c>
      <c r="B7446" s="887" t="s">
        <v>128</v>
      </c>
      <c r="C7446" s="887" t="s">
        <v>1053</v>
      </c>
      <c r="D7446" s="1783" t="s">
        <v>1323</v>
      </c>
    </row>
    <row r="7447" spans="1:7">
      <c r="A7447" s="47" t="s">
        <v>5771</v>
      </c>
      <c r="B7447" s="47" t="s">
        <v>78</v>
      </c>
      <c r="C7447" s="905">
        <v>10</v>
      </c>
      <c r="D7447" s="891">
        <f>ROUNDUP(E7447/0.6/120,2)</f>
        <v>1.21</v>
      </c>
      <c r="E7447">
        <v>87</v>
      </c>
    </row>
    <row r="7448" spans="1:7" ht="15">
      <c r="A7448" s="1871" t="s">
        <v>5800</v>
      </c>
      <c r="B7448" s="1871"/>
      <c r="C7448" s="1871"/>
      <c r="D7448" s="1871"/>
      <c r="E7448" s="1871"/>
      <c r="F7448" s="1871"/>
    </row>
    <row r="7449" spans="1:7">
      <c r="A7449" s="887" t="s">
        <v>455</v>
      </c>
      <c r="B7449" s="887" t="s">
        <v>128</v>
      </c>
      <c r="C7449" s="887" t="s">
        <v>1053</v>
      </c>
      <c r="D7449" s="1783" t="s">
        <v>1323</v>
      </c>
    </row>
    <row r="7450" spans="1:7">
      <c r="A7450" s="47" t="s">
        <v>5771</v>
      </c>
      <c r="B7450" s="47" t="s">
        <v>78</v>
      </c>
      <c r="C7450" s="905">
        <v>10</v>
      </c>
      <c r="D7450" s="891">
        <f>ROUNDUP(E7450/0.6/120,2)</f>
        <v>1.1599999999999999</v>
      </c>
      <c r="E7450" s="1957">
        <v>83</v>
      </c>
    </row>
    <row r="7451" spans="1:7">
      <c r="A7451" s="47" t="s">
        <v>5771</v>
      </c>
      <c r="B7451" s="47" t="s">
        <v>5801</v>
      </c>
      <c r="C7451" s="905">
        <v>100</v>
      </c>
      <c r="D7451" s="891">
        <f>ROUNDUP(E7451/0.6/120,2)</f>
        <v>1.99</v>
      </c>
      <c r="E7451" s="1957">
        <f>83+60</f>
        <v>143</v>
      </c>
    </row>
    <row r="7452" spans="1:7">
      <c r="A7452" s="47" t="s">
        <v>5771</v>
      </c>
      <c r="B7452" s="47" t="s">
        <v>2373</v>
      </c>
      <c r="C7452" s="905">
        <v>400</v>
      </c>
      <c r="D7452" s="891">
        <f>ROUNDUP(E7452/0.6/120,2)</f>
        <v>1.53</v>
      </c>
      <c r="E7452" s="1957">
        <v>110</v>
      </c>
    </row>
    <row r="7453" spans="1:7">
      <c r="A7453" s="895"/>
      <c r="B7453" s="895"/>
      <c r="C7453" s="1333"/>
      <c r="D7453" s="1149"/>
      <c r="E7453" s="1957"/>
    </row>
    <row r="7455" spans="1:7" s="888" customFormat="1" ht="12.75">
      <c r="A7455" s="902" t="s">
        <v>106</v>
      </c>
      <c r="B7455" s="902" t="s">
        <v>377</v>
      </c>
      <c r="C7455" s="902" t="s">
        <v>128</v>
      </c>
      <c r="D7455" s="887" t="s">
        <v>1186</v>
      </c>
      <c r="E7455" s="887" t="s">
        <v>1652</v>
      </c>
      <c r="F7455" s="887" t="s">
        <v>3109</v>
      </c>
      <c r="G7455" s="887" t="s">
        <v>3130</v>
      </c>
    </row>
    <row r="7456" spans="1:7" s="888" customFormat="1" ht="12.75">
      <c r="A7456" s="47">
        <v>2440</v>
      </c>
      <c r="B7456" s="907">
        <v>140</v>
      </c>
      <c r="C7456" s="47" t="s">
        <v>114</v>
      </c>
      <c r="D7456" s="905">
        <v>58</v>
      </c>
      <c r="E7456" s="906">
        <v>3</v>
      </c>
      <c r="F7456" s="905">
        <f>D7456*E7456</f>
        <v>174</v>
      </c>
      <c r="G7456" s="891">
        <v>5.01</v>
      </c>
    </row>
    <row r="7457" spans="1:8" s="888" customFormat="1" ht="12.75">
      <c r="A7457" s="47">
        <v>2440</v>
      </c>
      <c r="B7457" s="907">
        <v>140</v>
      </c>
      <c r="C7457" s="47" t="s">
        <v>5566</v>
      </c>
      <c r="D7457" s="905">
        <v>58</v>
      </c>
      <c r="E7457" s="906">
        <v>3</v>
      </c>
      <c r="F7457" s="905">
        <f>D7457*E7457</f>
        <v>174</v>
      </c>
      <c r="G7457" s="891">
        <v>5.01</v>
      </c>
    </row>
    <row r="7458" spans="1:8" s="888" customFormat="1" ht="12"/>
    <row r="7459" spans="1:8" s="888" customFormat="1" ht="12"/>
    <row r="7460" spans="1:8" s="888" customFormat="1" ht="12">
      <c r="A7460" s="888" t="s">
        <v>5777</v>
      </c>
    </row>
    <row r="7461" spans="1:8">
      <c r="A7461" s="887" t="s">
        <v>455</v>
      </c>
      <c r="B7461" s="887" t="s">
        <v>128</v>
      </c>
      <c r="C7461" s="887" t="s">
        <v>1053</v>
      </c>
      <c r="D7461" s="1783" t="s">
        <v>1323</v>
      </c>
    </row>
    <row r="7462" spans="1:8">
      <c r="A7462" s="47" t="s">
        <v>5772</v>
      </c>
      <c r="B7462" s="47" t="s">
        <v>17</v>
      </c>
      <c r="C7462" s="905" t="s">
        <v>5774</v>
      </c>
      <c r="D7462" s="891">
        <v>0.26</v>
      </c>
    </row>
    <row r="7463" spans="1:8">
      <c r="A7463" s="47" t="s">
        <v>765</v>
      </c>
      <c r="B7463" s="47" t="s">
        <v>17</v>
      </c>
      <c r="C7463" s="905" t="s">
        <v>5774</v>
      </c>
      <c r="D7463" s="891">
        <v>0.28000000000000003</v>
      </c>
    </row>
    <row r="7464" spans="1:8">
      <c r="A7464" s="47" t="s">
        <v>1219</v>
      </c>
      <c r="B7464" s="47" t="s">
        <v>17</v>
      </c>
      <c r="C7464" s="905" t="s">
        <v>5774</v>
      </c>
      <c r="D7464" s="891">
        <v>0.3</v>
      </c>
    </row>
    <row r="7466" spans="1:8">
      <c r="A7466" s="895" t="s">
        <v>5778</v>
      </c>
    </row>
    <row r="7467" spans="1:8">
      <c r="A7467" s="887" t="s">
        <v>455</v>
      </c>
      <c r="B7467" s="887" t="s">
        <v>5775</v>
      </c>
      <c r="C7467" s="887" t="s">
        <v>1053</v>
      </c>
      <c r="D7467" s="1783" t="s">
        <v>1323</v>
      </c>
    </row>
    <row r="7468" spans="1:8">
      <c r="A7468" s="47">
        <v>5638</v>
      </c>
      <c r="B7468" s="47" t="s">
        <v>5776</v>
      </c>
      <c r="C7468" s="905" t="s">
        <v>5774</v>
      </c>
      <c r="D7468" s="891">
        <v>0.63</v>
      </c>
      <c r="E7468">
        <v>35.200000000000003</v>
      </c>
    </row>
    <row r="7472" spans="1:8">
      <c r="A7472" s="887" t="s">
        <v>5785</v>
      </c>
      <c r="B7472" s="902" t="s">
        <v>106</v>
      </c>
      <c r="C7472" s="902" t="s">
        <v>377</v>
      </c>
      <c r="D7472" s="902" t="s">
        <v>128</v>
      </c>
      <c r="E7472" s="887" t="s">
        <v>1186</v>
      </c>
      <c r="F7472" s="887" t="s">
        <v>1652</v>
      </c>
      <c r="G7472" s="887" t="s">
        <v>5673</v>
      </c>
      <c r="H7472" s="967" t="s">
        <v>5792</v>
      </c>
    </row>
    <row r="7473" spans="1:8">
      <c r="A7473" s="947" t="s">
        <v>5786</v>
      </c>
      <c r="B7473" s="47" t="s">
        <v>3626</v>
      </c>
      <c r="C7473" s="907">
        <v>152</v>
      </c>
      <c r="D7473" s="47" t="s">
        <v>859</v>
      </c>
      <c r="E7473" s="905">
        <v>58</v>
      </c>
      <c r="F7473" s="906">
        <v>20</v>
      </c>
      <c r="G7473" s="905">
        <f>E7473*F7473</f>
        <v>1160</v>
      </c>
      <c r="H7473" s="1347" t="s">
        <v>5793</v>
      </c>
    </row>
    <row r="7474" spans="1:8">
      <c r="A7474" s="947"/>
      <c r="B7474" s="47"/>
      <c r="C7474" s="260"/>
      <c r="D7474" s="260"/>
      <c r="E7474" s="894"/>
      <c r="F7474" s="904"/>
      <c r="G7474" s="903"/>
      <c r="H7474" s="1347"/>
    </row>
    <row r="7475" spans="1:8">
      <c r="A7475" s="947" t="s">
        <v>5787</v>
      </c>
      <c r="B7475" s="47" t="s">
        <v>3626</v>
      </c>
      <c r="C7475" s="907">
        <v>152</v>
      </c>
      <c r="D7475" s="47" t="s">
        <v>859</v>
      </c>
      <c r="E7475" s="905">
        <v>58</v>
      </c>
      <c r="F7475" s="906">
        <v>20</v>
      </c>
      <c r="G7475" s="905">
        <f>E7475*F7475</f>
        <v>1160</v>
      </c>
      <c r="H7475" s="1347" t="s">
        <v>5794</v>
      </c>
    </row>
    <row r="7476" spans="1:8">
      <c r="A7476" s="947"/>
      <c r="B7476" s="47"/>
      <c r="C7476" s="260"/>
      <c r="D7476" s="260"/>
      <c r="E7476" s="894"/>
      <c r="F7476" s="904"/>
      <c r="G7476" s="903"/>
      <c r="H7476" s="1347"/>
    </row>
    <row r="7477" spans="1:8">
      <c r="A7477" s="947" t="s">
        <v>5788</v>
      </c>
      <c r="B7477" s="47" t="s">
        <v>3626</v>
      </c>
      <c r="C7477" s="907">
        <v>152</v>
      </c>
      <c r="D7477" s="47" t="s">
        <v>859</v>
      </c>
      <c r="E7477" s="905">
        <v>58</v>
      </c>
      <c r="F7477" s="906">
        <v>20</v>
      </c>
      <c r="G7477" s="905">
        <f>E7477*F7477</f>
        <v>1160</v>
      </c>
      <c r="H7477" s="1347" t="s">
        <v>5795</v>
      </c>
    </row>
    <row r="7478" spans="1:8">
      <c r="A7478" s="947"/>
      <c r="B7478" s="47"/>
      <c r="C7478" s="260"/>
      <c r="D7478" s="260"/>
      <c r="E7478" s="894"/>
      <c r="F7478" s="904"/>
      <c r="G7478" s="903"/>
      <c r="H7478" s="1347"/>
    </row>
    <row r="7479" spans="1:8">
      <c r="A7479" s="947" t="s">
        <v>5789</v>
      </c>
      <c r="B7479" s="47" t="s">
        <v>3626</v>
      </c>
      <c r="C7479" s="907">
        <v>152</v>
      </c>
      <c r="D7479" s="47" t="s">
        <v>859</v>
      </c>
      <c r="E7479" s="905">
        <v>58</v>
      </c>
      <c r="F7479" s="906">
        <v>20</v>
      </c>
      <c r="G7479" s="905">
        <f>E7479*F7479</f>
        <v>1160</v>
      </c>
      <c r="H7479" s="1347" t="s">
        <v>5796</v>
      </c>
    </row>
    <row r="7480" spans="1:8">
      <c r="A7480" s="947"/>
      <c r="B7480" s="47"/>
      <c r="C7480" s="260"/>
      <c r="D7480" s="260"/>
      <c r="E7480" s="894"/>
      <c r="F7480" s="904"/>
      <c r="G7480" s="903"/>
      <c r="H7480" s="1347"/>
    </row>
    <row r="7481" spans="1:8">
      <c r="A7481" s="947" t="s">
        <v>5790</v>
      </c>
      <c r="B7481" s="47" t="s">
        <v>3626</v>
      </c>
      <c r="C7481" s="907">
        <v>152</v>
      </c>
      <c r="D7481" s="47" t="s">
        <v>859</v>
      </c>
      <c r="E7481" s="905">
        <v>58</v>
      </c>
      <c r="F7481" s="906">
        <v>20</v>
      </c>
      <c r="G7481" s="905">
        <f>E7481*F7481</f>
        <v>1160</v>
      </c>
      <c r="H7481" s="1347" t="s">
        <v>5797</v>
      </c>
    </row>
    <row r="7482" spans="1:8">
      <c r="A7482" s="947"/>
      <c r="B7482" s="47"/>
      <c r="C7482" s="260"/>
      <c r="D7482" s="260"/>
      <c r="E7482" s="894"/>
      <c r="F7482" s="904"/>
      <c r="G7482" s="903"/>
      <c r="H7482" s="1347"/>
    </row>
    <row r="7483" spans="1:8">
      <c r="A7483" s="947" t="s">
        <v>5791</v>
      </c>
      <c r="B7483" s="47" t="s">
        <v>3626</v>
      </c>
      <c r="C7483" s="907">
        <v>152</v>
      </c>
      <c r="D7483" s="47" t="s">
        <v>859</v>
      </c>
      <c r="E7483" s="905">
        <v>58</v>
      </c>
      <c r="F7483" s="906">
        <v>20</v>
      </c>
      <c r="G7483" s="905">
        <f>E7483*F7483</f>
        <v>1160</v>
      </c>
      <c r="H7483" s="1347" t="s">
        <v>5798</v>
      </c>
    </row>
    <row r="7485" spans="1:8">
      <c r="A7485" t="s">
        <v>5802</v>
      </c>
      <c r="C7485" s="317" t="s">
        <v>5803</v>
      </c>
    </row>
    <row r="7486" spans="1:8">
      <c r="A7486" s="947" t="s">
        <v>5804</v>
      </c>
      <c r="B7486" s="891">
        <f>ROUNDUP(C7486/0.8/120,2)</f>
        <v>17.920000000000002</v>
      </c>
      <c r="C7486" s="236">
        <f>1700+20</f>
        <v>1720</v>
      </c>
    </row>
    <row r="7487" spans="1:8">
      <c r="A7487" s="947" t="s">
        <v>5805</v>
      </c>
      <c r="B7487" s="891">
        <f>ROUNDUP(C7487/0.8/120,2)</f>
        <v>9.2799999999999994</v>
      </c>
      <c r="C7487" s="236">
        <f>870+20</f>
        <v>890</v>
      </c>
    </row>
    <row r="7488" spans="1:8">
      <c r="A7488" s="947" t="s">
        <v>5806</v>
      </c>
      <c r="B7488" s="891">
        <f>ROUNDUP(C7488/0.8/120,2)</f>
        <v>12.19</v>
      </c>
      <c r="C7488" s="236">
        <f>870+300</f>
        <v>1170</v>
      </c>
    </row>
    <row r="7490" spans="1:7">
      <c r="A7490" s="902" t="s">
        <v>106</v>
      </c>
      <c r="B7490" s="902" t="s">
        <v>377</v>
      </c>
      <c r="C7490" s="902" t="s">
        <v>128</v>
      </c>
      <c r="D7490" s="887" t="s">
        <v>1186</v>
      </c>
      <c r="E7490" s="887" t="s">
        <v>1652</v>
      </c>
      <c r="F7490" s="887" t="s">
        <v>5673</v>
      </c>
    </row>
    <row r="7491" spans="1:7" s="888" customFormat="1" ht="12.75">
      <c r="A7491" s="47" t="s">
        <v>2447</v>
      </c>
      <c r="B7491" s="907">
        <v>152</v>
      </c>
      <c r="C7491" s="47" t="s">
        <v>114</v>
      </c>
      <c r="D7491" s="905">
        <v>58</v>
      </c>
      <c r="E7491" s="906">
        <v>9</v>
      </c>
      <c r="F7491" s="905">
        <f t="shared" ref="F7491:F7497" si="48">D7491*E7491</f>
        <v>522</v>
      </c>
    </row>
    <row r="7492" spans="1:7" s="888" customFormat="1" ht="12.75">
      <c r="A7492" s="47" t="s">
        <v>2447</v>
      </c>
      <c r="B7492" s="907">
        <v>152</v>
      </c>
      <c r="C7492" s="47" t="s">
        <v>5655</v>
      </c>
      <c r="D7492" s="905">
        <v>58</v>
      </c>
      <c r="E7492" s="906">
        <v>4</v>
      </c>
      <c r="F7492" s="905">
        <f t="shared" si="48"/>
        <v>232</v>
      </c>
    </row>
    <row r="7493" spans="1:7" s="888" customFormat="1" ht="12.75">
      <c r="A7493" s="47" t="s">
        <v>2447</v>
      </c>
      <c r="B7493" s="907">
        <v>152</v>
      </c>
      <c r="C7493" s="47" t="s">
        <v>5655</v>
      </c>
      <c r="D7493" s="905">
        <v>55</v>
      </c>
      <c r="E7493" s="906">
        <v>1</v>
      </c>
      <c r="F7493" s="905">
        <f t="shared" si="48"/>
        <v>55</v>
      </c>
    </row>
    <row r="7494" spans="1:7" s="888" customFormat="1" ht="12.75">
      <c r="A7494" s="47" t="s">
        <v>2447</v>
      </c>
      <c r="B7494" s="907">
        <v>152</v>
      </c>
      <c r="C7494" s="47" t="s">
        <v>5656</v>
      </c>
      <c r="D7494" s="905">
        <v>58</v>
      </c>
      <c r="E7494" s="906">
        <v>2</v>
      </c>
      <c r="F7494" s="905">
        <f t="shared" si="48"/>
        <v>116</v>
      </c>
    </row>
    <row r="7495" spans="1:7" s="888" customFormat="1" ht="12.75">
      <c r="A7495" s="47" t="s">
        <v>2447</v>
      </c>
      <c r="B7495" s="907">
        <v>152</v>
      </c>
      <c r="C7495" s="47" t="s">
        <v>5656</v>
      </c>
      <c r="D7495" s="905">
        <v>14</v>
      </c>
      <c r="E7495" s="906">
        <v>1</v>
      </c>
      <c r="F7495" s="905">
        <f t="shared" si="48"/>
        <v>14</v>
      </c>
    </row>
    <row r="7496" spans="1:7" s="888" customFormat="1" ht="12.75">
      <c r="A7496" s="47">
        <v>2440</v>
      </c>
      <c r="B7496" s="907">
        <v>140</v>
      </c>
      <c r="C7496" s="47" t="s">
        <v>114</v>
      </c>
      <c r="D7496" s="905">
        <v>58</v>
      </c>
      <c r="E7496" s="906">
        <v>3</v>
      </c>
      <c r="F7496" s="905">
        <f t="shared" si="48"/>
        <v>174</v>
      </c>
    </row>
    <row r="7497" spans="1:7" s="888" customFormat="1" ht="12.75">
      <c r="A7497" s="47">
        <v>2440</v>
      </c>
      <c r="B7497" s="907">
        <v>140</v>
      </c>
      <c r="C7497" s="47" t="s">
        <v>5566</v>
      </c>
      <c r="D7497" s="905">
        <v>58</v>
      </c>
      <c r="E7497" s="906">
        <v>3</v>
      </c>
      <c r="F7497" s="905">
        <f t="shared" si="48"/>
        <v>174</v>
      </c>
    </row>
    <row r="7498" spans="1:7" s="888" customFormat="1" ht="12"/>
    <row r="7499" spans="1:7" ht="15">
      <c r="A7499" s="1871" t="s">
        <v>5807</v>
      </c>
      <c r="B7499" s="1871"/>
      <c r="C7499" s="1871"/>
      <c r="D7499" s="1871"/>
      <c r="E7499" s="1871"/>
      <c r="F7499" s="1871"/>
    </row>
    <row r="7500" spans="1:7">
      <c r="A7500" s="887" t="s">
        <v>455</v>
      </c>
      <c r="B7500" s="887" t="s">
        <v>128</v>
      </c>
      <c r="C7500" s="887" t="s">
        <v>1053</v>
      </c>
      <c r="D7500" s="1783" t="s">
        <v>1323</v>
      </c>
      <c r="E7500" s="1783" t="s">
        <v>5810</v>
      </c>
      <c r="F7500" s="1958" t="s">
        <v>5812</v>
      </c>
      <c r="G7500" s="1959" t="s">
        <v>5813</v>
      </c>
    </row>
    <row r="7501" spans="1:7">
      <c r="A7501" s="47" t="s">
        <v>5639</v>
      </c>
      <c r="B7501" s="47" t="s">
        <v>5808</v>
      </c>
      <c r="C7501" s="905" t="s">
        <v>5809</v>
      </c>
      <c r="D7501" s="891">
        <f>ROUNDUP(F7501/0.6/120,2)</f>
        <v>3.8099999999999996</v>
      </c>
      <c r="E7501" s="1058" t="s">
        <v>5811</v>
      </c>
      <c r="F7501">
        <v>274</v>
      </c>
      <c r="G7501">
        <v>10000</v>
      </c>
    </row>
    <row r="7504" spans="1:7">
      <c r="A7504" s="902" t="s">
        <v>106</v>
      </c>
      <c r="B7504" s="902" t="s">
        <v>128</v>
      </c>
      <c r="C7504" s="887" t="s">
        <v>5673</v>
      </c>
      <c r="D7504" s="1783" t="s">
        <v>1323</v>
      </c>
      <c r="E7504" s="1783" t="s">
        <v>2245</v>
      </c>
    </row>
    <row r="7505" spans="1:120">
      <c r="A7505" s="47" t="s">
        <v>5815</v>
      </c>
      <c r="B7505" s="47" t="s">
        <v>5808</v>
      </c>
      <c r="C7505" s="50">
        <v>50</v>
      </c>
      <c r="D7505" s="891">
        <v>3.81</v>
      </c>
      <c r="E7505" s="891">
        <f>D7505*C7505</f>
        <v>190.5</v>
      </c>
    </row>
    <row r="7506" spans="1:120">
      <c r="A7506" s="665"/>
      <c r="B7506" s="47" t="s">
        <v>5816</v>
      </c>
      <c r="C7506" s="894">
        <v>1</v>
      </c>
      <c r="D7506" s="891">
        <v>105</v>
      </c>
      <c r="E7506" s="891">
        <f>D7506*C7506</f>
        <v>105</v>
      </c>
    </row>
    <row r="7507" spans="1:120">
      <c r="A7507" s="47"/>
      <c r="B7507" s="260" t="s">
        <v>1993</v>
      </c>
      <c r="C7507" s="894">
        <v>1</v>
      </c>
      <c r="D7507" s="891">
        <v>12</v>
      </c>
      <c r="E7507" s="891">
        <f>D7507*C7507</f>
        <v>12</v>
      </c>
    </row>
    <row r="7508" spans="1:120">
      <c r="A7508" s="47"/>
      <c r="B7508" s="260"/>
      <c r="C7508" s="894"/>
      <c r="D7508" s="1202" t="s">
        <v>5817</v>
      </c>
      <c r="E7508" s="919">
        <f>SUM(E7505:E7507)</f>
        <v>307.5</v>
      </c>
    </row>
    <row r="7511" spans="1:120" ht="15">
      <c r="A7511" s="1871" t="s">
        <v>5819</v>
      </c>
      <c r="B7511" s="1871"/>
    </row>
    <row r="7512" spans="1:120" s="1163" customFormat="1" ht="25.5">
      <c r="A7512" s="1350" t="s">
        <v>1369</v>
      </c>
      <c r="B7512" s="1351" t="s">
        <v>377</v>
      </c>
      <c r="C7512" s="1352" t="s">
        <v>2</v>
      </c>
      <c r="D7512" s="1353" t="s">
        <v>1734</v>
      </c>
      <c r="E7512" s="1966" t="s">
        <v>2264</v>
      </c>
      <c r="F7512" s="1966" t="s">
        <v>1181</v>
      </c>
      <c r="G7512" s="1354" t="s">
        <v>5527</v>
      </c>
      <c r="H7512" s="1162" t="s">
        <v>1403</v>
      </c>
      <c r="I7512" s="1964" t="s">
        <v>5825</v>
      </c>
    </row>
    <row r="7513" spans="1:120" s="59" customFormat="1" ht="15" customHeight="1">
      <c r="A7513" s="1170" t="s">
        <v>2364</v>
      </c>
      <c r="B7513" s="1187">
        <v>4</v>
      </c>
      <c r="C7513" s="1171">
        <v>30</v>
      </c>
      <c r="D7513" s="1172" t="s">
        <v>5818</v>
      </c>
      <c r="E7513" s="1967" t="s">
        <v>2365</v>
      </c>
      <c r="F7513" s="1967" t="s">
        <v>4</v>
      </c>
      <c r="G7513" s="1355">
        <v>0.21000000000000002</v>
      </c>
      <c r="H7513" s="734">
        <v>11.1</v>
      </c>
      <c r="I7513" s="1965">
        <f t="shared" ref="I7513:I7518" si="49">(G7513-(H7513/120))/G7513</f>
        <v>0.55952380952380953</v>
      </c>
      <c r="J7513" s="1963"/>
      <c r="K7513" s="1963"/>
      <c r="L7513" s="1963"/>
      <c r="M7513" s="1963"/>
      <c r="N7513" s="1963"/>
      <c r="O7513" s="1963"/>
      <c r="P7513" s="1963"/>
      <c r="Q7513" s="1963"/>
      <c r="R7513" s="1963"/>
      <c r="S7513" s="1963"/>
      <c r="T7513" s="1963"/>
      <c r="U7513" s="1963"/>
      <c r="V7513" s="1963"/>
      <c r="W7513" s="1963"/>
      <c r="X7513" s="1963"/>
      <c r="Y7513" s="1963"/>
      <c r="Z7513" s="1963"/>
      <c r="AA7513" s="1963"/>
      <c r="AB7513" s="1963"/>
      <c r="AC7513" s="1963"/>
      <c r="AD7513" s="1963"/>
      <c r="AE7513" s="1963"/>
      <c r="AF7513" s="1963"/>
      <c r="AG7513" s="1963"/>
      <c r="AH7513" s="1963"/>
      <c r="AI7513" s="1963"/>
      <c r="AJ7513" s="1963"/>
      <c r="AK7513" s="1963"/>
      <c r="AL7513" s="1963"/>
      <c r="AM7513" s="1963"/>
      <c r="AN7513" s="1963"/>
      <c r="AO7513" s="1963"/>
      <c r="AP7513" s="1963"/>
      <c r="AQ7513" s="1963"/>
      <c r="AR7513" s="1963"/>
      <c r="AS7513" s="1963"/>
      <c r="AT7513" s="1963"/>
      <c r="AU7513" s="1963"/>
      <c r="AV7513" s="1963"/>
      <c r="AW7513" s="1963"/>
      <c r="AX7513" s="1963"/>
      <c r="AY7513" s="1963"/>
      <c r="AZ7513" s="1963"/>
      <c r="BA7513" s="1963"/>
      <c r="BB7513" s="1963"/>
      <c r="BC7513" s="1963"/>
      <c r="BD7513" s="1963"/>
      <c r="BE7513" s="1963"/>
      <c r="BF7513" s="1963"/>
      <c r="BG7513" s="1963"/>
      <c r="BH7513" s="1963"/>
      <c r="BI7513" s="1963"/>
      <c r="BJ7513" s="1963"/>
      <c r="BK7513" s="1963"/>
      <c r="BL7513" s="1963"/>
      <c r="BM7513" s="1963"/>
      <c r="BN7513" s="1963"/>
      <c r="BO7513" s="1963"/>
      <c r="BP7513" s="1963"/>
      <c r="BQ7513" s="1963"/>
      <c r="BR7513" s="1963"/>
      <c r="BS7513" s="1963"/>
      <c r="BT7513" s="1963"/>
      <c r="BU7513" s="1963"/>
      <c r="BV7513" s="1963"/>
      <c r="BW7513" s="1963"/>
      <c r="BX7513" s="1963"/>
      <c r="BY7513" s="1963"/>
      <c r="BZ7513" s="1963"/>
      <c r="CA7513" s="1963"/>
      <c r="CB7513" s="1963"/>
      <c r="CC7513" s="1963"/>
      <c r="CD7513" s="1963"/>
      <c r="CE7513" s="1963"/>
      <c r="CF7513" s="1963"/>
      <c r="CG7513" s="1963"/>
      <c r="CH7513" s="1963"/>
      <c r="CI7513" s="1963"/>
      <c r="CJ7513" s="1963"/>
      <c r="CK7513" s="1963"/>
      <c r="CL7513" s="1963"/>
      <c r="CM7513" s="1963"/>
      <c r="CN7513" s="1963"/>
      <c r="CO7513" s="1963"/>
      <c r="CP7513" s="1963"/>
      <c r="CQ7513" s="1963"/>
      <c r="CR7513" s="1963"/>
      <c r="CS7513" s="1963"/>
      <c r="CT7513" s="1963"/>
      <c r="CU7513" s="1963"/>
      <c r="CV7513" s="1963"/>
      <c r="CW7513" s="1963"/>
      <c r="CX7513" s="1963"/>
      <c r="CY7513" s="1963"/>
      <c r="CZ7513" s="1963"/>
      <c r="DA7513" s="1963"/>
      <c r="DB7513" s="1963"/>
      <c r="DC7513" s="1963"/>
      <c r="DD7513" s="1963"/>
      <c r="DE7513" s="1963"/>
      <c r="DF7513" s="1963"/>
      <c r="DG7513" s="1963"/>
      <c r="DH7513" s="1963"/>
      <c r="DI7513" s="1963"/>
      <c r="DJ7513" s="1963"/>
      <c r="DK7513" s="1963"/>
      <c r="DL7513" s="1963"/>
      <c r="DM7513" s="1963"/>
      <c r="DN7513" s="1963"/>
      <c r="DO7513" s="1963"/>
      <c r="DP7513" s="1963"/>
    </row>
    <row r="7514" spans="1:120" s="59" customFormat="1" ht="15" customHeight="1">
      <c r="A7514" s="1170" t="s">
        <v>2364</v>
      </c>
      <c r="B7514" s="1187">
        <v>6</v>
      </c>
      <c r="C7514" s="1171">
        <v>30</v>
      </c>
      <c r="D7514" s="1172" t="s">
        <v>5818</v>
      </c>
      <c r="E7514" s="1967" t="s">
        <v>2365</v>
      </c>
      <c r="F7514" s="1967" t="s">
        <v>4</v>
      </c>
      <c r="G7514" s="1355">
        <v>0.25</v>
      </c>
      <c r="H7514" s="735">
        <v>13.1333</v>
      </c>
      <c r="I7514" s="1965">
        <f t="shared" si="49"/>
        <v>0.5622233333333333</v>
      </c>
      <c r="J7514" s="1963"/>
      <c r="K7514" s="1963"/>
      <c r="L7514" s="1963"/>
      <c r="M7514" s="1963"/>
      <c r="N7514" s="1963"/>
      <c r="O7514" s="1963"/>
      <c r="P7514" s="1963"/>
      <c r="Q7514" s="1963"/>
      <c r="R7514" s="1963"/>
      <c r="S7514" s="1963"/>
      <c r="T7514" s="1963"/>
      <c r="U7514" s="1963"/>
      <c r="V7514" s="1963"/>
      <c r="W7514" s="1963"/>
      <c r="X7514" s="1963"/>
      <c r="Y7514" s="1963"/>
      <c r="Z7514" s="1963"/>
      <c r="AA7514" s="1963"/>
      <c r="AB7514" s="1963"/>
      <c r="AC7514" s="1963"/>
      <c r="AD7514" s="1963"/>
      <c r="AE7514" s="1963"/>
      <c r="AF7514" s="1963"/>
      <c r="AG7514" s="1963"/>
      <c r="AH7514" s="1963"/>
      <c r="AI7514" s="1963"/>
      <c r="AJ7514" s="1963"/>
      <c r="AK7514" s="1963"/>
      <c r="AL7514" s="1963"/>
      <c r="AM7514" s="1963"/>
      <c r="AN7514" s="1963"/>
      <c r="AO7514" s="1963"/>
      <c r="AP7514" s="1963"/>
      <c r="AQ7514" s="1963"/>
      <c r="AR7514" s="1963"/>
      <c r="AS7514" s="1963"/>
      <c r="AT7514" s="1963"/>
      <c r="AU7514" s="1963"/>
      <c r="AV7514" s="1963"/>
      <c r="AW7514" s="1963"/>
      <c r="AX7514" s="1963"/>
      <c r="AY7514" s="1963"/>
      <c r="AZ7514" s="1963"/>
      <c r="BA7514" s="1963"/>
      <c r="BB7514" s="1963"/>
      <c r="BC7514" s="1963"/>
      <c r="BD7514" s="1963"/>
      <c r="BE7514" s="1963"/>
      <c r="BF7514" s="1963"/>
      <c r="BG7514" s="1963"/>
      <c r="BH7514" s="1963"/>
      <c r="BI7514" s="1963"/>
      <c r="BJ7514" s="1963"/>
      <c r="BK7514" s="1963"/>
      <c r="BL7514" s="1963"/>
      <c r="BM7514" s="1963"/>
      <c r="BN7514" s="1963"/>
      <c r="BO7514" s="1963"/>
      <c r="BP7514" s="1963"/>
      <c r="BQ7514" s="1963"/>
      <c r="BR7514" s="1963"/>
      <c r="BS7514" s="1963"/>
      <c r="BT7514" s="1963"/>
      <c r="BU7514" s="1963"/>
      <c r="BV7514" s="1963"/>
      <c r="BW7514" s="1963"/>
      <c r="BX7514" s="1963"/>
      <c r="BY7514" s="1963"/>
      <c r="BZ7514" s="1963"/>
      <c r="CA7514" s="1963"/>
      <c r="CB7514" s="1963"/>
      <c r="CC7514" s="1963"/>
      <c r="CD7514" s="1963"/>
      <c r="CE7514" s="1963"/>
      <c r="CF7514" s="1963"/>
      <c r="CG7514" s="1963"/>
      <c r="CH7514" s="1963"/>
      <c r="CI7514" s="1963"/>
      <c r="CJ7514" s="1963"/>
      <c r="CK7514" s="1963"/>
      <c r="CL7514" s="1963"/>
      <c r="CM7514" s="1963"/>
      <c r="CN7514" s="1963"/>
      <c r="CO7514" s="1963"/>
      <c r="CP7514" s="1963"/>
      <c r="CQ7514" s="1963"/>
      <c r="CR7514" s="1963"/>
      <c r="CS7514" s="1963"/>
      <c r="CT7514" s="1963"/>
      <c r="CU7514" s="1963"/>
      <c r="CV7514" s="1963"/>
      <c r="CW7514" s="1963"/>
      <c r="CX7514" s="1963"/>
      <c r="CY7514" s="1963"/>
      <c r="CZ7514" s="1963"/>
      <c r="DA7514" s="1963"/>
      <c r="DB7514" s="1963"/>
      <c r="DC7514" s="1963"/>
      <c r="DD7514" s="1963"/>
      <c r="DE7514" s="1963"/>
      <c r="DF7514" s="1963"/>
      <c r="DG7514" s="1963"/>
      <c r="DH7514" s="1963"/>
      <c r="DI7514" s="1963"/>
      <c r="DJ7514" s="1963"/>
      <c r="DK7514" s="1963"/>
      <c r="DL7514" s="1963"/>
      <c r="DM7514" s="1963"/>
      <c r="DN7514" s="1963"/>
      <c r="DO7514" s="1963"/>
      <c r="DP7514" s="1963"/>
    </row>
    <row r="7515" spans="1:120" s="59" customFormat="1" ht="15" customHeight="1">
      <c r="A7515" s="1170" t="s">
        <v>2364</v>
      </c>
      <c r="B7515" s="1187">
        <v>9</v>
      </c>
      <c r="C7515" s="1171">
        <v>30</v>
      </c>
      <c r="D7515" s="1172" t="s">
        <v>1812</v>
      </c>
      <c r="E7515" s="1967" t="s">
        <v>2365</v>
      </c>
      <c r="F7515" s="1967" t="s">
        <v>4</v>
      </c>
      <c r="G7515" s="1355">
        <v>0.33</v>
      </c>
      <c r="H7515" s="734">
        <v>17.566600000000001</v>
      </c>
      <c r="I7515" s="1965">
        <f t="shared" si="49"/>
        <v>0.55639898989898984</v>
      </c>
      <c r="J7515" s="1963"/>
      <c r="K7515" s="1963"/>
      <c r="L7515" s="1963"/>
      <c r="M7515" s="1963"/>
      <c r="N7515" s="1963"/>
      <c r="O7515" s="1963"/>
      <c r="P7515" s="1963"/>
      <c r="Q7515" s="1963"/>
      <c r="R7515" s="1963"/>
      <c r="S7515" s="1963"/>
      <c r="T7515" s="1963"/>
      <c r="U7515" s="1963"/>
      <c r="V7515" s="1963"/>
      <c r="W7515" s="1963"/>
      <c r="X7515" s="1963"/>
      <c r="Y7515" s="1963"/>
      <c r="Z7515" s="1963"/>
      <c r="AA7515" s="1963"/>
      <c r="AB7515" s="1963"/>
      <c r="AC7515" s="1963"/>
      <c r="AD7515" s="1963"/>
      <c r="AE7515" s="1963"/>
      <c r="AF7515" s="1963"/>
      <c r="AG7515" s="1963"/>
      <c r="AH7515" s="1963"/>
      <c r="AI7515" s="1963"/>
      <c r="AJ7515" s="1963"/>
      <c r="AK7515" s="1963"/>
      <c r="AL7515" s="1963"/>
      <c r="AM7515" s="1963"/>
      <c r="AN7515" s="1963"/>
      <c r="AO7515" s="1963"/>
      <c r="AP7515" s="1963"/>
      <c r="AQ7515" s="1963"/>
      <c r="AR7515" s="1963"/>
      <c r="AS7515" s="1963"/>
      <c r="AT7515" s="1963"/>
      <c r="AU7515" s="1963"/>
      <c r="AV7515" s="1963"/>
      <c r="AW7515" s="1963"/>
      <c r="AX7515" s="1963"/>
      <c r="AY7515" s="1963"/>
      <c r="AZ7515" s="1963"/>
      <c r="BA7515" s="1963"/>
      <c r="BB7515" s="1963"/>
      <c r="BC7515" s="1963"/>
      <c r="BD7515" s="1963"/>
      <c r="BE7515" s="1963"/>
      <c r="BF7515" s="1963"/>
      <c r="BG7515" s="1963"/>
      <c r="BH7515" s="1963"/>
      <c r="BI7515" s="1963"/>
      <c r="BJ7515" s="1963"/>
      <c r="BK7515" s="1963"/>
      <c r="BL7515" s="1963"/>
      <c r="BM7515" s="1963"/>
      <c r="BN7515" s="1963"/>
      <c r="BO7515" s="1963"/>
      <c r="BP7515" s="1963"/>
      <c r="BQ7515" s="1963"/>
      <c r="BR7515" s="1963"/>
      <c r="BS7515" s="1963"/>
      <c r="BT7515" s="1963"/>
      <c r="BU7515" s="1963"/>
      <c r="BV7515" s="1963"/>
      <c r="BW7515" s="1963"/>
      <c r="BX7515" s="1963"/>
      <c r="BY7515" s="1963"/>
      <c r="BZ7515" s="1963"/>
      <c r="CA7515" s="1963"/>
      <c r="CB7515" s="1963"/>
      <c r="CC7515" s="1963"/>
      <c r="CD7515" s="1963"/>
      <c r="CE7515" s="1963"/>
      <c r="CF7515" s="1963"/>
      <c r="CG7515" s="1963"/>
      <c r="CH7515" s="1963"/>
      <c r="CI7515" s="1963"/>
      <c r="CJ7515" s="1963"/>
      <c r="CK7515" s="1963"/>
      <c r="CL7515" s="1963"/>
      <c r="CM7515" s="1963"/>
      <c r="CN7515" s="1963"/>
      <c r="CO7515" s="1963"/>
      <c r="CP7515" s="1963"/>
      <c r="CQ7515" s="1963"/>
      <c r="CR7515" s="1963"/>
      <c r="CS7515" s="1963"/>
      <c r="CT7515" s="1963"/>
      <c r="CU7515" s="1963"/>
      <c r="CV7515" s="1963"/>
      <c r="CW7515" s="1963"/>
      <c r="CX7515" s="1963"/>
      <c r="CY7515" s="1963"/>
      <c r="CZ7515" s="1963"/>
      <c r="DA7515" s="1963"/>
      <c r="DB7515" s="1963"/>
      <c r="DC7515" s="1963"/>
      <c r="DD7515" s="1963"/>
      <c r="DE7515" s="1963"/>
      <c r="DF7515" s="1963"/>
      <c r="DG7515" s="1963"/>
      <c r="DH7515" s="1963"/>
      <c r="DI7515" s="1963"/>
      <c r="DJ7515" s="1963"/>
      <c r="DK7515" s="1963"/>
      <c r="DL7515" s="1963"/>
      <c r="DM7515" s="1963"/>
      <c r="DN7515" s="1963"/>
      <c r="DO7515" s="1963"/>
      <c r="DP7515" s="1963"/>
    </row>
    <row r="7516" spans="1:120" s="59" customFormat="1" ht="15" customHeight="1">
      <c r="A7516" s="1170" t="s">
        <v>2364</v>
      </c>
      <c r="B7516" s="1187">
        <v>12</v>
      </c>
      <c r="C7516" s="1171">
        <v>30</v>
      </c>
      <c r="D7516" s="1172" t="s">
        <v>1812</v>
      </c>
      <c r="E7516" s="1967" t="s">
        <v>2365</v>
      </c>
      <c r="F7516" s="1967" t="s">
        <v>4</v>
      </c>
      <c r="G7516" s="1355">
        <v>0.4</v>
      </c>
      <c r="H7516" s="734">
        <v>21.3</v>
      </c>
      <c r="I7516" s="1965">
        <f t="shared" si="49"/>
        <v>0.55625000000000002</v>
      </c>
      <c r="J7516" s="1963"/>
      <c r="K7516" s="1963"/>
      <c r="L7516" s="1963"/>
      <c r="M7516" s="1963"/>
      <c r="N7516" s="1963"/>
      <c r="O7516" s="1963"/>
      <c r="P7516" s="1963"/>
      <c r="Q7516" s="1963"/>
      <c r="R7516" s="1963"/>
      <c r="S7516" s="1963"/>
      <c r="T7516" s="1963"/>
      <c r="U7516" s="1963"/>
      <c r="V7516" s="1963"/>
      <c r="W7516" s="1963"/>
      <c r="X7516" s="1963"/>
      <c r="Y7516" s="1963"/>
      <c r="Z7516" s="1963"/>
      <c r="AA7516" s="1963"/>
      <c r="AB7516" s="1963"/>
      <c r="AC7516" s="1963"/>
      <c r="AD7516" s="1963"/>
      <c r="AE7516" s="1963"/>
      <c r="AF7516" s="1963"/>
      <c r="AG7516" s="1963"/>
      <c r="AH7516" s="1963"/>
      <c r="AI7516" s="1963"/>
      <c r="AJ7516" s="1963"/>
      <c r="AK7516" s="1963"/>
      <c r="AL7516" s="1963"/>
      <c r="AM7516" s="1963"/>
      <c r="AN7516" s="1963"/>
      <c r="AO7516" s="1963"/>
      <c r="AP7516" s="1963"/>
      <c r="AQ7516" s="1963"/>
      <c r="AR7516" s="1963"/>
      <c r="AS7516" s="1963"/>
      <c r="AT7516" s="1963"/>
      <c r="AU7516" s="1963"/>
      <c r="AV7516" s="1963"/>
      <c r="AW7516" s="1963"/>
      <c r="AX7516" s="1963"/>
      <c r="AY7516" s="1963"/>
      <c r="AZ7516" s="1963"/>
      <c r="BA7516" s="1963"/>
      <c r="BB7516" s="1963"/>
      <c r="BC7516" s="1963"/>
      <c r="BD7516" s="1963"/>
      <c r="BE7516" s="1963"/>
      <c r="BF7516" s="1963"/>
      <c r="BG7516" s="1963"/>
      <c r="BH7516" s="1963"/>
      <c r="BI7516" s="1963"/>
      <c r="BJ7516" s="1963"/>
      <c r="BK7516" s="1963"/>
      <c r="BL7516" s="1963"/>
      <c r="BM7516" s="1963"/>
      <c r="BN7516" s="1963"/>
      <c r="BO7516" s="1963"/>
      <c r="BP7516" s="1963"/>
      <c r="BQ7516" s="1963"/>
      <c r="BR7516" s="1963"/>
      <c r="BS7516" s="1963"/>
      <c r="BT7516" s="1963"/>
      <c r="BU7516" s="1963"/>
      <c r="BV7516" s="1963"/>
      <c r="BW7516" s="1963"/>
      <c r="BX7516" s="1963"/>
      <c r="BY7516" s="1963"/>
      <c r="BZ7516" s="1963"/>
      <c r="CA7516" s="1963"/>
      <c r="CB7516" s="1963"/>
      <c r="CC7516" s="1963"/>
      <c r="CD7516" s="1963"/>
      <c r="CE7516" s="1963"/>
      <c r="CF7516" s="1963"/>
      <c r="CG7516" s="1963"/>
      <c r="CH7516" s="1963"/>
      <c r="CI7516" s="1963"/>
      <c r="CJ7516" s="1963"/>
      <c r="CK7516" s="1963"/>
      <c r="CL7516" s="1963"/>
      <c r="CM7516" s="1963"/>
      <c r="CN7516" s="1963"/>
      <c r="CO7516" s="1963"/>
      <c r="CP7516" s="1963"/>
      <c r="CQ7516" s="1963"/>
      <c r="CR7516" s="1963"/>
      <c r="CS7516" s="1963"/>
      <c r="CT7516" s="1963"/>
      <c r="CU7516" s="1963"/>
      <c r="CV7516" s="1963"/>
      <c r="CW7516" s="1963"/>
      <c r="CX7516" s="1963"/>
      <c r="CY7516" s="1963"/>
      <c r="CZ7516" s="1963"/>
      <c r="DA7516" s="1963"/>
      <c r="DB7516" s="1963"/>
      <c r="DC7516" s="1963"/>
      <c r="DD7516" s="1963"/>
      <c r="DE7516" s="1963"/>
      <c r="DF7516" s="1963"/>
      <c r="DG7516" s="1963"/>
      <c r="DH7516" s="1963"/>
      <c r="DI7516" s="1963"/>
      <c r="DJ7516" s="1963"/>
      <c r="DK7516" s="1963"/>
      <c r="DL7516" s="1963"/>
      <c r="DM7516" s="1963"/>
      <c r="DN7516" s="1963"/>
      <c r="DO7516" s="1963"/>
      <c r="DP7516" s="1963"/>
    </row>
    <row r="7517" spans="1:120" s="59" customFormat="1" ht="15" customHeight="1">
      <c r="A7517" s="1170" t="s">
        <v>2364</v>
      </c>
      <c r="B7517" s="1187">
        <v>15</v>
      </c>
      <c r="C7517" s="1171">
        <v>30</v>
      </c>
      <c r="D7517" s="1172" t="s">
        <v>1812</v>
      </c>
      <c r="E7517" s="1967" t="s">
        <v>2365</v>
      </c>
      <c r="F7517" s="1967" t="s">
        <v>4</v>
      </c>
      <c r="G7517" s="1355">
        <v>0.48</v>
      </c>
      <c r="H7517" s="734">
        <v>25.533000000000001</v>
      </c>
      <c r="I7517" s="1965">
        <f t="shared" si="49"/>
        <v>0.55671874999999993</v>
      </c>
      <c r="J7517" s="1963"/>
      <c r="K7517" s="1963"/>
      <c r="L7517" s="1963"/>
      <c r="M7517" s="1963"/>
      <c r="N7517" s="1963"/>
      <c r="O7517" s="1963"/>
      <c r="P7517" s="1963"/>
      <c r="Q7517" s="1963"/>
      <c r="R7517" s="1963"/>
      <c r="S7517" s="1963"/>
      <c r="T7517" s="1963"/>
      <c r="U7517" s="1963"/>
      <c r="V7517" s="1963"/>
      <c r="W7517" s="1963"/>
      <c r="X7517" s="1963"/>
      <c r="Y7517" s="1963"/>
      <c r="Z7517" s="1963"/>
      <c r="AA7517" s="1963"/>
      <c r="AB7517" s="1963"/>
      <c r="AC7517" s="1963"/>
      <c r="AD7517" s="1963"/>
      <c r="AE7517" s="1963"/>
      <c r="AF7517" s="1963"/>
      <c r="AG7517" s="1963"/>
      <c r="AH7517" s="1963"/>
      <c r="AI7517" s="1963"/>
      <c r="AJ7517" s="1963"/>
      <c r="AK7517" s="1963"/>
      <c r="AL7517" s="1963"/>
      <c r="AM7517" s="1963"/>
      <c r="AN7517" s="1963"/>
      <c r="AO7517" s="1963"/>
      <c r="AP7517" s="1963"/>
      <c r="AQ7517" s="1963"/>
      <c r="AR7517" s="1963"/>
      <c r="AS7517" s="1963"/>
      <c r="AT7517" s="1963"/>
      <c r="AU7517" s="1963"/>
      <c r="AV7517" s="1963"/>
      <c r="AW7517" s="1963"/>
      <c r="AX7517" s="1963"/>
      <c r="AY7517" s="1963"/>
      <c r="AZ7517" s="1963"/>
      <c r="BA7517" s="1963"/>
      <c r="BB7517" s="1963"/>
      <c r="BC7517" s="1963"/>
      <c r="BD7517" s="1963"/>
      <c r="BE7517" s="1963"/>
      <c r="BF7517" s="1963"/>
      <c r="BG7517" s="1963"/>
      <c r="BH7517" s="1963"/>
      <c r="BI7517" s="1963"/>
      <c r="BJ7517" s="1963"/>
      <c r="BK7517" s="1963"/>
      <c r="BL7517" s="1963"/>
      <c r="BM7517" s="1963"/>
      <c r="BN7517" s="1963"/>
      <c r="BO7517" s="1963"/>
      <c r="BP7517" s="1963"/>
      <c r="BQ7517" s="1963"/>
      <c r="BR7517" s="1963"/>
      <c r="BS7517" s="1963"/>
      <c r="BT7517" s="1963"/>
      <c r="BU7517" s="1963"/>
      <c r="BV7517" s="1963"/>
      <c r="BW7517" s="1963"/>
      <c r="BX7517" s="1963"/>
      <c r="BY7517" s="1963"/>
      <c r="BZ7517" s="1963"/>
      <c r="CA7517" s="1963"/>
      <c r="CB7517" s="1963"/>
      <c r="CC7517" s="1963"/>
      <c r="CD7517" s="1963"/>
      <c r="CE7517" s="1963"/>
      <c r="CF7517" s="1963"/>
      <c r="CG7517" s="1963"/>
      <c r="CH7517" s="1963"/>
      <c r="CI7517" s="1963"/>
      <c r="CJ7517" s="1963"/>
      <c r="CK7517" s="1963"/>
      <c r="CL7517" s="1963"/>
      <c r="CM7517" s="1963"/>
      <c r="CN7517" s="1963"/>
      <c r="CO7517" s="1963"/>
      <c r="CP7517" s="1963"/>
      <c r="CQ7517" s="1963"/>
      <c r="CR7517" s="1963"/>
      <c r="CS7517" s="1963"/>
      <c r="CT7517" s="1963"/>
      <c r="CU7517" s="1963"/>
      <c r="CV7517" s="1963"/>
      <c r="CW7517" s="1963"/>
      <c r="CX7517" s="1963"/>
      <c r="CY7517" s="1963"/>
      <c r="CZ7517" s="1963"/>
      <c r="DA7517" s="1963"/>
      <c r="DB7517" s="1963"/>
      <c r="DC7517" s="1963"/>
      <c r="DD7517" s="1963"/>
      <c r="DE7517" s="1963"/>
      <c r="DF7517" s="1963"/>
      <c r="DG7517" s="1963"/>
      <c r="DH7517" s="1963"/>
      <c r="DI7517" s="1963"/>
      <c r="DJ7517" s="1963"/>
      <c r="DK7517" s="1963"/>
      <c r="DL7517" s="1963"/>
      <c r="DM7517" s="1963"/>
      <c r="DN7517" s="1963"/>
      <c r="DO7517" s="1963"/>
      <c r="DP7517" s="1963"/>
    </row>
    <row r="7518" spans="1:120" s="59" customFormat="1" ht="15" customHeight="1">
      <c r="A7518" s="1170" t="s">
        <v>2364</v>
      </c>
      <c r="B7518" s="1187">
        <v>19</v>
      </c>
      <c r="C7518" s="1171">
        <v>30</v>
      </c>
      <c r="D7518" s="1172" t="s">
        <v>1812</v>
      </c>
      <c r="E7518" s="1967" t="s">
        <v>2365</v>
      </c>
      <c r="F7518" s="1967" t="s">
        <v>4</v>
      </c>
      <c r="G7518" s="1355">
        <v>0.56000000000000005</v>
      </c>
      <c r="H7518" s="735">
        <v>29.7333</v>
      </c>
      <c r="I7518" s="1965">
        <f t="shared" si="49"/>
        <v>0.55754017857142868</v>
      </c>
      <c r="J7518" s="1963"/>
      <c r="K7518" s="1963"/>
      <c r="L7518" s="1963"/>
      <c r="M7518" s="1963"/>
      <c r="N7518" s="1963"/>
      <c r="O7518" s="1963"/>
      <c r="P7518" s="1963"/>
      <c r="Q7518" s="1963"/>
      <c r="R7518" s="1963"/>
      <c r="S7518" s="1963"/>
      <c r="T7518" s="1963"/>
      <c r="U7518" s="1963"/>
      <c r="V7518" s="1963"/>
      <c r="W7518" s="1963"/>
      <c r="X7518" s="1963"/>
      <c r="Y7518" s="1963"/>
      <c r="Z7518" s="1963"/>
      <c r="AA7518" s="1963"/>
      <c r="AB7518" s="1963"/>
      <c r="AC7518" s="1963"/>
      <c r="AD7518" s="1963"/>
      <c r="AE7518" s="1963"/>
      <c r="AF7518" s="1963"/>
      <c r="AG7518" s="1963"/>
      <c r="AH7518" s="1963"/>
      <c r="AI7518" s="1963"/>
      <c r="AJ7518" s="1963"/>
      <c r="AK7518" s="1963"/>
      <c r="AL7518" s="1963"/>
      <c r="AM7518" s="1963"/>
      <c r="AN7518" s="1963"/>
      <c r="AO7518" s="1963"/>
      <c r="AP7518" s="1963"/>
      <c r="AQ7518" s="1963"/>
      <c r="AR7518" s="1963"/>
      <c r="AS7518" s="1963"/>
      <c r="AT7518" s="1963"/>
      <c r="AU7518" s="1963"/>
      <c r="AV7518" s="1963"/>
      <c r="AW7518" s="1963"/>
      <c r="AX7518" s="1963"/>
      <c r="AY7518" s="1963"/>
      <c r="AZ7518" s="1963"/>
      <c r="BA7518" s="1963"/>
      <c r="BB7518" s="1963"/>
      <c r="BC7518" s="1963"/>
      <c r="BD7518" s="1963"/>
      <c r="BE7518" s="1963"/>
      <c r="BF7518" s="1963"/>
      <c r="BG7518" s="1963"/>
      <c r="BH7518" s="1963"/>
      <c r="BI7518" s="1963"/>
      <c r="BJ7518" s="1963"/>
      <c r="BK7518" s="1963"/>
      <c r="BL7518" s="1963"/>
      <c r="BM7518" s="1963"/>
      <c r="BN7518" s="1963"/>
      <c r="BO7518" s="1963"/>
      <c r="BP7518" s="1963"/>
      <c r="BQ7518" s="1963"/>
      <c r="BR7518" s="1963"/>
      <c r="BS7518" s="1963"/>
      <c r="BT7518" s="1963"/>
      <c r="BU7518" s="1963"/>
      <c r="BV7518" s="1963"/>
      <c r="BW7518" s="1963"/>
      <c r="BX7518" s="1963"/>
      <c r="BY7518" s="1963"/>
      <c r="BZ7518" s="1963"/>
      <c r="CA7518" s="1963"/>
      <c r="CB7518" s="1963"/>
      <c r="CC7518" s="1963"/>
      <c r="CD7518" s="1963"/>
      <c r="CE7518" s="1963"/>
      <c r="CF7518" s="1963"/>
      <c r="CG7518" s="1963"/>
      <c r="CH7518" s="1963"/>
      <c r="CI7518" s="1963"/>
      <c r="CJ7518" s="1963"/>
      <c r="CK7518" s="1963"/>
      <c r="CL7518" s="1963"/>
      <c r="CM7518" s="1963"/>
      <c r="CN7518" s="1963"/>
      <c r="CO7518" s="1963"/>
      <c r="CP7518" s="1963"/>
      <c r="CQ7518" s="1963"/>
      <c r="CR7518" s="1963"/>
      <c r="CS7518" s="1963"/>
      <c r="CT7518" s="1963"/>
      <c r="CU7518" s="1963"/>
      <c r="CV7518" s="1963"/>
      <c r="CW7518" s="1963"/>
      <c r="CX7518" s="1963"/>
      <c r="CY7518" s="1963"/>
      <c r="CZ7518" s="1963"/>
      <c r="DA7518" s="1963"/>
      <c r="DB7518" s="1963"/>
      <c r="DC7518" s="1963"/>
      <c r="DD7518" s="1963"/>
      <c r="DE7518" s="1963"/>
      <c r="DF7518" s="1963"/>
      <c r="DG7518" s="1963"/>
      <c r="DH7518" s="1963"/>
      <c r="DI7518" s="1963"/>
      <c r="DJ7518" s="1963"/>
      <c r="DK7518" s="1963"/>
      <c r="DL7518" s="1963"/>
      <c r="DM7518" s="1963"/>
      <c r="DN7518" s="1963"/>
      <c r="DO7518" s="1963"/>
      <c r="DP7518" s="1963"/>
    </row>
    <row r="7519" spans="1:120" s="59" customFormat="1" ht="15" customHeight="1">
      <c r="A7519" s="1170" t="s">
        <v>2364</v>
      </c>
      <c r="B7519" s="1187">
        <v>25</v>
      </c>
      <c r="C7519" s="1171">
        <v>30</v>
      </c>
      <c r="D7519" s="1172" t="s">
        <v>1812</v>
      </c>
      <c r="E7519" s="1967" t="s">
        <v>2365</v>
      </c>
      <c r="F7519" s="1967" t="s">
        <v>4</v>
      </c>
      <c r="G7519" s="1355">
        <v>0.72</v>
      </c>
      <c r="H7519" s="734">
        <v>38.4</v>
      </c>
      <c r="I7519" s="1965">
        <f t="shared" ref="I7519:I7555" si="50">(G7519-(H7519/120))/G7519</f>
        <v>0.55555555555555558</v>
      </c>
      <c r="J7519" s="1963"/>
      <c r="K7519" s="1963"/>
      <c r="L7519" s="1963"/>
      <c r="M7519" s="1963"/>
      <c r="N7519" s="1963"/>
      <c r="O7519" s="1963"/>
      <c r="P7519" s="1963"/>
      <c r="Q7519" s="1963"/>
      <c r="R7519" s="1963"/>
      <c r="S7519" s="1963"/>
      <c r="T7519" s="1963"/>
      <c r="U7519" s="1963"/>
      <c r="V7519" s="1963"/>
      <c r="W7519" s="1963"/>
      <c r="X7519" s="1963"/>
      <c r="Y7519" s="1963"/>
      <c r="Z7519" s="1963"/>
      <c r="AA7519" s="1963"/>
      <c r="AB7519" s="1963"/>
      <c r="AC7519" s="1963"/>
      <c r="AD7519" s="1963"/>
      <c r="AE7519" s="1963"/>
      <c r="AF7519" s="1963"/>
      <c r="AG7519" s="1963"/>
      <c r="AH7519" s="1963"/>
      <c r="AI7519" s="1963"/>
      <c r="AJ7519" s="1963"/>
      <c r="AK7519" s="1963"/>
      <c r="AL7519" s="1963"/>
      <c r="AM7519" s="1963"/>
      <c r="AN7519" s="1963"/>
      <c r="AO7519" s="1963"/>
      <c r="AP7519" s="1963"/>
      <c r="AQ7519" s="1963"/>
      <c r="AR7519" s="1963"/>
      <c r="AS7519" s="1963"/>
      <c r="AT7519" s="1963"/>
      <c r="AU7519" s="1963"/>
      <c r="AV7519" s="1963"/>
      <c r="AW7519" s="1963"/>
      <c r="AX7519" s="1963"/>
      <c r="AY7519" s="1963"/>
      <c r="AZ7519" s="1963"/>
      <c r="BA7519" s="1963"/>
      <c r="BB7519" s="1963"/>
      <c r="BC7519" s="1963"/>
      <c r="BD7519" s="1963"/>
      <c r="BE7519" s="1963"/>
      <c r="BF7519" s="1963"/>
      <c r="BG7519" s="1963"/>
      <c r="BH7519" s="1963"/>
      <c r="BI7519" s="1963"/>
      <c r="BJ7519" s="1963"/>
      <c r="BK7519" s="1963"/>
      <c r="BL7519" s="1963"/>
      <c r="BM7519" s="1963"/>
      <c r="BN7519" s="1963"/>
      <c r="BO7519" s="1963"/>
      <c r="BP7519" s="1963"/>
      <c r="BQ7519" s="1963"/>
      <c r="BR7519" s="1963"/>
      <c r="BS7519" s="1963"/>
      <c r="BT7519" s="1963"/>
      <c r="BU7519" s="1963"/>
      <c r="BV7519" s="1963"/>
      <c r="BW7519" s="1963"/>
      <c r="BX7519" s="1963"/>
      <c r="BY7519" s="1963"/>
      <c r="BZ7519" s="1963"/>
      <c r="CA7519" s="1963"/>
      <c r="CB7519" s="1963"/>
      <c r="CC7519" s="1963"/>
      <c r="CD7519" s="1963"/>
      <c r="CE7519" s="1963"/>
      <c r="CF7519" s="1963"/>
      <c r="CG7519" s="1963"/>
      <c r="CH7519" s="1963"/>
      <c r="CI7519" s="1963"/>
      <c r="CJ7519" s="1963"/>
      <c r="CK7519" s="1963"/>
      <c r="CL7519" s="1963"/>
      <c r="CM7519" s="1963"/>
      <c r="CN7519" s="1963"/>
      <c r="CO7519" s="1963"/>
      <c r="CP7519" s="1963"/>
      <c r="CQ7519" s="1963"/>
      <c r="CR7519" s="1963"/>
      <c r="CS7519" s="1963"/>
      <c r="CT7519" s="1963"/>
      <c r="CU7519" s="1963"/>
      <c r="CV7519" s="1963"/>
      <c r="CW7519" s="1963"/>
      <c r="CX7519" s="1963"/>
      <c r="CY7519" s="1963"/>
      <c r="CZ7519" s="1963"/>
      <c r="DA7519" s="1963"/>
      <c r="DB7519" s="1963"/>
      <c r="DC7519" s="1963"/>
      <c r="DD7519" s="1963"/>
      <c r="DE7519" s="1963"/>
      <c r="DF7519" s="1963"/>
      <c r="DG7519" s="1963"/>
      <c r="DH7519" s="1963"/>
    </row>
    <row r="7520" spans="1:120" s="59" customFormat="1" ht="15" customHeight="1">
      <c r="A7520" s="1170" t="s">
        <v>2364</v>
      </c>
      <c r="B7520" s="1187">
        <v>32</v>
      </c>
      <c r="C7520" s="1171">
        <v>30</v>
      </c>
      <c r="D7520" s="1172" t="s">
        <v>1812</v>
      </c>
      <c r="E7520" s="1967" t="s">
        <v>2365</v>
      </c>
      <c r="F7520" s="1967" t="s">
        <v>4</v>
      </c>
      <c r="G7520" s="1355">
        <v>1.06</v>
      </c>
      <c r="H7520" s="734">
        <v>57.2333</v>
      </c>
      <c r="I7520" s="1965">
        <f t="shared" si="50"/>
        <v>0.55005267295597482</v>
      </c>
      <c r="J7520" s="1963"/>
      <c r="K7520" s="1963"/>
      <c r="L7520" s="1963"/>
      <c r="M7520" s="1963"/>
      <c r="N7520" s="1963"/>
      <c r="O7520" s="1963"/>
      <c r="P7520" s="1963"/>
      <c r="Q7520" s="1963"/>
      <c r="R7520" s="1963"/>
      <c r="S7520" s="1963"/>
      <c r="T7520" s="1963"/>
      <c r="U7520" s="1963"/>
      <c r="V7520" s="1963"/>
      <c r="W7520" s="1963"/>
      <c r="X7520" s="1963"/>
      <c r="Y7520" s="1963"/>
      <c r="Z7520" s="1963"/>
      <c r="AA7520" s="1963"/>
      <c r="AB7520" s="1963"/>
      <c r="AC7520" s="1963"/>
      <c r="AD7520" s="1963"/>
      <c r="AE7520" s="1963"/>
      <c r="AF7520" s="1963"/>
      <c r="AG7520" s="1963"/>
      <c r="AH7520" s="1963"/>
      <c r="AI7520" s="1963"/>
      <c r="AJ7520" s="1963"/>
      <c r="AK7520" s="1963"/>
      <c r="AL7520" s="1963"/>
      <c r="AM7520" s="1963"/>
      <c r="AN7520" s="1963"/>
      <c r="AO7520" s="1963"/>
      <c r="AP7520" s="1963"/>
      <c r="AQ7520" s="1963"/>
      <c r="AR7520" s="1963"/>
      <c r="AS7520" s="1963"/>
      <c r="AT7520" s="1963"/>
      <c r="AU7520" s="1963"/>
      <c r="AV7520" s="1963"/>
      <c r="AW7520" s="1963"/>
      <c r="AX7520" s="1963"/>
      <c r="AY7520" s="1963"/>
      <c r="AZ7520" s="1963"/>
      <c r="BA7520" s="1963"/>
      <c r="BB7520" s="1963"/>
      <c r="BC7520" s="1963"/>
      <c r="BD7520" s="1963"/>
      <c r="BE7520" s="1963"/>
      <c r="BF7520" s="1963"/>
      <c r="BG7520" s="1963"/>
      <c r="BH7520" s="1963"/>
      <c r="BI7520" s="1963"/>
      <c r="BJ7520" s="1963"/>
      <c r="BK7520" s="1963"/>
      <c r="BL7520" s="1963"/>
      <c r="BM7520" s="1963"/>
      <c r="BN7520" s="1963"/>
      <c r="BO7520" s="1963"/>
      <c r="BP7520" s="1963"/>
      <c r="BQ7520" s="1963"/>
      <c r="BR7520" s="1963"/>
      <c r="BS7520" s="1963"/>
      <c r="BT7520" s="1963"/>
      <c r="BU7520" s="1963"/>
      <c r="BV7520" s="1963"/>
      <c r="BW7520" s="1963"/>
      <c r="BX7520" s="1963"/>
      <c r="BY7520" s="1963"/>
      <c r="BZ7520" s="1963"/>
      <c r="CA7520" s="1963"/>
      <c r="CB7520" s="1963"/>
      <c r="CC7520" s="1963"/>
      <c r="CD7520" s="1963"/>
      <c r="CE7520" s="1963"/>
      <c r="CF7520" s="1963"/>
      <c r="CG7520" s="1963"/>
      <c r="CH7520" s="1963"/>
      <c r="CI7520" s="1963"/>
      <c r="CJ7520" s="1963"/>
      <c r="CK7520" s="1963"/>
      <c r="CL7520" s="1963"/>
      <c r="CM7520" s="1963"/>
      <c r="CN7520" s="1963"/>
      <c r="CO7520" s="1963"/>
      <c r="CP7520" s="1963"/>
      <c r="CQ7520" s="1963"/>
      <c r="CR7520" s="1963"/>
      <c r="CS7520" s="1963"/>
      <c r="CT7520" s="1963"/>
      <c r="CU7520" s="1963"/>
      <c r="CV7520" s="1963"/>
      <c r="CW7520" s="1963"/>
      <c r="CX7520" s="1963"/>
      <c r="CY7520" s="1963"/>
      <c r="CZ7520" s="1963"/>
      <c r="DA7520" s="1963"/>
      <c r="DB7520" s="1963"/>
      <c r="DC7520" s="1963"/>
      <c r="DD7520" s="1963"/>
      <c r="DE7520" s="1963"/>
      <c r="DF7520" s="1963"/>
      <c r="DG7520" s="1963"/>
      <c r="DH7520" s="1963"/>
    </row>
    <row r="7521" spans="1:123" s="59" customFormat="1" ht="15" customHeight="1">
      <c r="A7521" s="1170" t="s">
        <v>2364</v>
      </c>
      <c r="B7521" s="1187">
        <v>38</v>
      </c>
      <c r="C7521" s="1171">
        <v>30</v>
      </c>
      <c r="D7521" s="1172" t="s">
        <v>1812</v>
      </c>
      <c r="E7521" s="1967" t="s">
        <v>2365</v>
      </c>
      <c r="F7521" s="1967" t="s">
        <v>4</v>
      </c>
      <c r="G7521" s="1355">
        <v>1.32</v>
      </c>
      <c r="H7521" s="735">
        <v>71.2333</v>
      </c>
      <c r="I7521" s="1965">
        <f>(G7521-(H7521/120))/G7521</f>
        <v>0.55029482323232326</v>
      </c>
      <c r="J7521" s="1963"/>
      <c r="K7521" s="1963"/>
      <c r="L7521" s="1963"/>
      <c r="M7521" s="1963"/>
      <c r="N7521" s="1963"/>
      <c r="O7521" s="1963"/>
      <c r="P7521" s="1963"/>
      <c r="Q7521" s="1963"/>
      <c r="R7521" s="1963"/>
      <c r="S7521" s="1963"/>
      <c r="T7521" s="1963"/>
      <c r="U7521" s="1963"/>
      <c r="V7521" s="1963"/>
      <c r="W7521" s="1963"/>
      <c r="X7521" s="1963"/>
      <c r="Y7521" s="1963"/>
      <c r="Z7521" s="1963"/>
      <c r="AA7521" s="1963"/>
      <c r="AB7521" s="1963"/>
      <c r="AC7521" s="1963"/>
      <c r="AD7521" s="1963"/>
      <c r="AE7521" s="1963"/>
      <c r="AF7521" s="1963"/>
      <c r="AG7521" s="1963"/>
      <c r="AH7521" s="1963"/>
      <c r="AI7521" s="1963"/>
      <c r="AJ7521" s="1963"/>
      <c r="AK7521" s="1963"/>
      <c r="AL7521" s="1963"/>
      <c r="AM7521" s="1963"/>
      <c r="AN7521" s="1963"/>
      <c r="AO7521" s="1963"/>
      <c r="AP7521" s="1963"/>
      <c r="AQ7521" s="1963"/>
      <c r="AR7521" s="1963"/>
      <c r="AS7521" s="1963"/>
      <c r="AT7521" s="1963"/>
      <c r="AU7521" s="1963"/>
      <c r="AV7521" s="1963"/>
      <c r="AW7521" s="1963"/>
      <c r="AX7521" s="1963"/>
      <c r="AY7521" s="1963"/>
      <c r="AZ7521" s="1963"/>
      <c r="BA7521" s="1963"/>
      <c r="BB7521" s="1963"/>
      <c r="BC7521" s="1963"/>
      <c r="BD7521" s="1963"/>
      <c r="BE7521" s="1963"/>
      <c r="BF7521" s="1963"/>
      <c r="BG7521" s="1963"/>
      <c r="BH7521" s="1963"/>
      <c r="BI7521" s="1963"/>
      <c r="BJ7521" s="1963"/>
      <c r="BK7521" s="1963"/>
      <c r="BL7521" s="1963"/>
      <c r="BM7521" s="1963"/>
      <c r="BN7521" s="1963"/>
      <c r="BO7521" s="1963"/>
      <c r="BP7521" s="1963"/>
      <c r="BQ7521" s="1963"/>
      <c r="BR7521" s="1963"/>
      <c r="BS7521" s="1963"/>
      <c r="BT7521" s="1963"/>
      <c r="BU7521" s="1963"/>
      <c r="BV7521" s="1963"/>
      <c r="BW7521" s="1963"/>
      <c r="BX7521" s="1963"/>
      <c r="BY7521" s="1963"/>
      <c r="BZ7521" s="1963"/>
      <c r="CA7521" s="1963"/>
      <c r="CB7521" s="1963"/>
      <c r="CC7521" s="1963"/>
      <c r="CD7521" s="1963"/>
      <c r="CE7521" s="1963"/>
      <c r="CF7521" s="1963"/>
      <c r="CG7521" s="1963"/>
      <c r="CH7521" s="1963"/>
      <c r="CI7521" s="1963"/>
      <c r="CJ7521" s="1963"/>
      <c r="CK7521" s="1963"/>
      <c r="CL7521" s="1963"/>
      <c r="CM7521" s="1963"/>
      <c r="CN7521" s="1963"/>
      <c r="CO7521" s="1963"/>
      <c r="CP7521" s="1963"/>
      <c r="CQ7521" s="1963"/>
      <c r="CR7521" s="1963"/>
      <c r="CS7521" s="1963"/>
      <c r="CT7521" s="1963"/>
      <c r="CU7521" s="1963"/>
      <c r="CV7521" s="1963"/>
      <c r="CW7521" s="1963"/>
      <c r="CX7521" s="1963"/>
      <c r="CY7521" s="1963"/>
      <c r="CZ7521" s="1963"/>
      <c r="DA7521" s="1963"/>
      <c r="DB7521" s="1963"/>
      <c r="DC7521" s="1963"/>
      <c r="DD7521" s="1963"/>
      <c r="DE7521" s="1963"/>
      <c r="DF7521" s="1963"/>
      <c r="DG7521" s="1963"/>
      <c r="DH7521" s="1963"/>
    </row>
    <row r="7522" spans="1:123" s="59" customFormat="1" ht="15" customHeight="1">
      <c r="A7522" s="1170" t="s">
        <v>2364</v>
      </c>
      <c r="B7522" s="1187">
        <v>50</v>
      </c>
      <c r="C7522" s="1171">
        <v>30</v>
      </c>
      <c r="D7522" s="1172" t="s">
        <v>1812</v>
      </c>
      <c r="E7522" s="1967" t="s">
        <v>2365</v>
      </c>
      <c r="F7522" s="1967" t="s">
        <v>4</v>
      </c>
      <c r="G7522" s="1355">
        <v>1.94</v>
      </c>
      <c r="H7522" s="734">
        <v>104.2666</v>
      </c>
      <c r="I7522" s="1965">
        <f t="shared" si="50"/>
        <v>0.55211941580756019</v>
      </c>
      <c r="J7522" s="1963"/>
      <c r="K7522" s="1963"/>
      <c r="L7522" s="1963"/>
      <c r="M7522" s="1963"/>
      <c r="N7522" s="1963"/>
      <c r="O7522" s="1963"/>
      <c r="P7522" s="1963"/>
      <c r="Q7522" s="1963"/>
      <c r="R7522" s="1963"/>
      <c r="S7522" s="1963"/>
      <c r="T7522" s="1963"/>
      <c r="U7522" s="1963"/>
      <c r="V7522" s="1963"/>
      <c r="W7522" s="1963"/>
      <c r="X7522" s="1963"/>
      <c r="Y7522" s="1963"/>
      <c r="Z7522" s="1963"/>
      <c r="AA7522" s="1963"/>
      <c r="AB7522" s="1963"/>
      <c r="AC7522" s="1963"/>
      <c r="AD7522" s="1963"/>
      <c r="AE7522" s="1963"/>
      <c r="AF7522" s="1963"/>
      <c r="AG7522" s="1963"/>
      <c r="AH7522" s="1963"/>
      <c r="AI7522" s="1963"/>
      <c r="AJ7522" s="1963"/>
      <c r="AK7522" s="1963"/>
      <c r="AL7522" s="1963"/>
      <c r="AM7522" s="1963"/>
      <c r="AN7522" s="1963"/>
      <c r="AO7522" s="1963"/>
      <c r="AP7522" s="1963"/>
      <c r="AQ7522" s="1963"/>
      <c r="AR7522" s="1963"/>
      <c r="AS7522" s="1963"/>
      <c r="AT7522" s="1963"/>
      <c r="AU7522" s="1963"/>
      <c r="AV7522" s="1963"/>
      <c r="AW7522" s="1963"/>
      <c r="AX7522" s="1963"/>
      <c r="AY7522" s="1963"/>
      <c r="AZ7522" s="1963"/>
      <c r="BA7522" s="1963"/>
      <c r="BB7522" s="1963"/>
      <c r="BC7522" s="1963"/>
      <c r="BD7522" s="1963"/>
      <c r="BE7522" s="1963"/>
      <c r="BF7522" s="1963"/>
      <c r="BG7522" s="1963"/>
      <c r="BH7522" s="1963"/>
      <c r="BI7522" s="1963"/>
      <c r="BJ7522" s="1963"/>
      <c r="BK7522" s="1963"/>
      <c r="BL7522" s="1963"/>
      <c r="BM7522" s="1963"/>
      <c r="BN7522" s="1963"/>
      <c r="BO7522" s="1963"/>
      <c r="BP7522" s="1963"/>
      <c r="BQ7522" s="1963"/>
      <c r="BR7522" s="1963"/>
      <c r="BS7522" s="1963"/>
      <c r="BT7522" s="1963"/>
      <c r="BU7522" s="1963"/>
      <c r="BV7522" s="1963"/>
      <c r="BW7522" s="1963"/>
      <c r="BX7522" s="1963"/>
      <c r="BY7522" s="1963"/>
      <c r="BZ7522" s="1963"/>
      <c r="CA7522" s="1963"/>
      <c r="CB7522" s="1963"/>
      <c r="CC7522" s="1963"/>
      <c r="CD7522" s="1963"/>
      <c r="CE7522" s="1963"/>
      <c r="CF7522" s="1963"/>
      <c r="CG7522" s="1963"/>
      <c r="CH7522" s="1963"/>
      <c r="CI7522" s="1963"/>
      <c r="CJ7522" s="1963"/>
      <c r="CK7522" s="1963"/>
      <c r="CL7522" s="1963"/>
      <c r="CM7522" s="1963"/>
      <c r="CN7522" s="1963"/>
      <c r="CO7522" s="1963"/>
      <c r="CP7522" s="1963"/>
      <c r="CQ7522" s="1963"/>
      <c r="CR7522" s="1963"/>
      <c r="CS7522" s="1963"/>
      <c r="CT7522" s="1963"/>
      <c r="CU7522" s="1963"/>
      <c r="CV7522" s="1963"/>
      <c r="CW7522" s="1963"/>
      <c r="CX7522" s="1963"/>
      <c r="CY7522" s="1963"/>
      <c r="CZ7522" s="1963"/>
      <c r="DA7522" s="1963"/>
      <c r="DB7522" s="1963"/>
      <c r="DC7522" s="1963"/>
      <c r="DD7522" s="1963"/>
      <c r="DE7522" s="1963"/>
      <c r="DF7522" s="1963"/>
      <c r="DG7522" s="1963"/>
      <c r="DH7522" s="1963"/>
    </row>
    <row r="7523" spans="1:123" s="59" customFormat="1" ht="15" customHeight="1">
      <c r="A7523" s="1170" t="s">
        <v>2362</v>
      </c>
      <c r="B7523" s="1187">
        <v>4</v>
      </c>
      <c r="C7523" s="1171">
        <v>30</v>
      </c>
      <c r="D7523" s="1172" t="s">
        <v>1812</v>
      </c>
      <c r="E7523" s="1967" t="s">
        <v>2363</v>
      </c>
      <c r="F7523" s="1967" t="s">
        <v>4</v>
      </c>
      <c r="G7523" s="1355">
        <v>0.22</v>
      </c>
      <c r="H7523" s="771">
        <v>11.566599999999999</v>
      </c>
      <c r="I7523" s="1965">
        <f t="shared" si="50"/>
        <v>0.56187121212121216</v>
      </c>
      <c r="J7523" s="1963"/>
      <c r="K7523" s="1963"/>
      <c r="L7523" s="1963"/>
      <c r="M7523" s="1963"/>
      <c r="N7523" s="1963"/>
      <c r="O7523" s="1963"/>
      <c r="P7523" s="1963"/>
      <c r="Q7523" s="1963"/>
      <c r="R7523" s="1963"/>
      <c r="S7523" s="1963"/>
      <c r="T7523" s="1963"/>
      <c r="U7523" s="1963"/>
      <c r="V7523" s="1963"/>
      <c r="W7523" s="1963"/>
      <c r="X7523" s="1963"/>
      <c r="Y7523" s="1963"/>
      <c r="Z7523" s="1963"/>
      <c r="AA7523" s="1963"/>
      <c r="AB7523" s="1963"/>
      <c r="AC7523" s="1963"/>
      <c r="AD7523" s="1963"/>
      <c r="AE7523" s="1963"/>
      <c r="AF7523" s="1963"/>
      <c r="AG7523" s="1963"/>
      <c r="AH7523" s="1963"/>
      <c r="AI7523" s="1963"/>
      <c r="AJ7523" s="1963"/>
      <c r="AK7523" s="1963"/>
      <c r="AL7523" s="1963"/>
      <c r="AM7523" s="1963"/>
      <c r="AN7523" s="1963"/>
      <c r="AO7523" s="1963"/>
      <c r="AP7523" s="1963"/>
      <c r="AQ7523" s="1963"/>
      <c r="AR7523" s="1963"/>
      <c r="AS7523" s="1963"/>
      <c r="AT7523" s="1963"/>
      <c r="AU7523" s="1963"/>
      <c r="AV7523" s="1963"/>
      <c r="AW7523" s="1963"/>
      <c r="AX7523" s="1963"/>
      <c r="AY7523" s="1963"/>
      <c r="AZ7523" s="1963"/>
      <c r="BA7523" s="1963"/>
      <c r="BB7523" s="1963"/>
      <c r="BC7523" s="1963"/>
      <c r="BD7523" s="1963"/>
      <c r="BE7523" s="1963"/>
      <c r="BF7523" s="1963"/>
      <c r="BG7523" s="1963"/>
      <c r="BH7523" s="1963"/>
      <c r="BI7523" s="1963"/>
      <c r="BJ7523" s="1963"/>
      <c r="BK7523" s="1963"/>
      <c r="BL7523" s="1963"/>
      <c r="BM7523" s="1963"/>
      <c r="BN7523" s="1963"/>
      <c r="BO7523" s="1963"/>
      <c r="BP7523" s="1963"/>
      <c r="BQ7523" s="1963"/>
      <c r="BR7523" s="1963"/>
      <c r="BS7523" s="1963"/>
      <c r="BT7523" s="1963"/>
      <c r="BU7523" s="1963"/>
      <c r="BV7523" s="1963"/>
      <c r="BW7523" s="1963"/>
      <c r="BX7523" s="1963"/>
      <c r="BY7523" s="1963"/>
      <c r="BZ7523" s="1963"/>
      <c r="CA7523" s="1963"/>
      <c r="CB7523" s="1963"/>
      <c r="CC7523" s="1963"/>
      <c r="CD7523" s="1963"/>
      <c r="CE7523" s="1963"/>
      <c r="CF7523" s="1963"/>
      <c r="CG7523" s="1963"/>
      <c r="CH7523" s="1963"/>
      <c r="CI7523" s="1963"/>
      <c r="CJ7523" s="1963"/>
      <c r="CK7523" s="1963"/>
      <c r="CL7523" s="1963"/>
      <c r="CM7523" s="1963"/>
      <c r="CN7523" s="1963"/>
      <c r="CO7523" s="1963"/>
      <c r="CP7523" s="1963"/>
      <c r="CQ7523" s="1963"/>
      <c r="CR7523" s="1963"/>
      <c r="CS7523" s="1963"/>
      <c r="CT7523" s="1963"/>
      <c r="CU7523" s="1963"/>
      <c r="CV7523" s="1963"/>
      <c r="CW7523" s="1963"/>
      <c r="CX7523" s="1963"/>
      <c r="CY7523" s="1963"/>
      <c r="CZ7523" s="1963"/>
      <c r="DA7523" s="1963"/>
      <c r="DB7523" s="1963"/>
      <c r="DC7523" s="1963"/>
      <c r="DD7523" s="1963"/>
      <c r="DE7523" s="1963"/>
      <c r="DF7523" s="1963"/>
      <c r="DG7523" s="1963"/>
      <c r="DH7523" s="1963"/>
      <c r="DI7523" s="1963"/>
      <c r="DJ7523" s="1963"/>
      <c r="DK7523" s="1963"/>
      <c r="DL7523" s="1963"/>
      <c r="DM7523" s="1963"/>
      <c r="DN7523" s="1963"/>
      <c r="DO7523" s="1963"/>
      <c r="DP7523" s="1963"/>
    </row>
    <row r="7524" spans="1:123" s="59" customFormat="1" ht="15" customHeight="1">
      <c r="A7524" s="1170" t="s">
        <v>2362</v>
      </c>
      <c r="B7524" s="1187">
        <v>6</v>
      </c>
      <c r="C7524" s="1171">
        <v>30</v>
      </c>
      <c r="D7524" s="1172" t="s">
        <v>1812</v>
      </c>
      <c r="E7524" s="1967" t="s">
        <v>2363</v>
      </c>
      <c r="F7524" s="1967" t="s">
        <v>4</v>
      </c>
      <c r="G7524" s="1355">
        <v>0.23</v>
      </c>
      <c r="H7524" s="771">
        <v>12.1</v>
      </c>
      <c r="I7524" s="1965">
        <f t="shared" si="50"/>
        <v>0.56159420289855078</v>
      </c>
      <c r="J7524" s="1963"/>
      <c r="K7524" s="1963"/>
      <c r="L7524" s="1963"/>
      <c r="M7524" s="1963"/>
      <c r="N7524" s="1963"/>
      <c r="O7524" s="1963"/>
      <c r="P7524" s="1963"/>
      <c r="Q7524" s="1963"/>
      <c r="R7524" s="1963"/>
      <c r="S7524" s="1963"/>
      <c r="T7524" s="1963"/>
      <c r="U7524" s="1963"/>
      <c r="V7524" s="1963"/>
      <c r="W7524" s="1963"/>
      <c r="X7524" s="1963"/>
      <c r="Y7524" s="1963"/>
      <c r="Z7524" s="1963"/>
      <c r="AA7524" s="1963"/>
      <c r="AB7524" s="1963"/>
      <c r="AC7524" s="1963"/>
      <c r="AD7524" s="1963"/>
      <c r="AE7524" s="1963"/>
      <c r="AF7524" s="1963"/>
      <c r="AG7524" s="1963"/>
      <c r="AH7524" s="1963"/>
      <c r="AI7524" s="1963"/>
      <c r="AJ7524" s="1963"/>
      <c r="AK7524" s="1963"/>
      <c r="AL7524" s="1963"/>
      <c r="AM7524" s="1963"/>
      <c r="AN7524" s="1963"/>
      <c r="AO7524" s="1963"/>
      <c r="AP7524" s="1963"/>
      <c r="AQ7524" s="1963"/>
      <c r="AR7524" s="1963"/>
      <c r="AS7524" s="1963"/>
      <c r="AT7524" s="1963"/>
      <c r="AU7524" s="1963"/>
      <c r="AV7524" s="1963"/>
      <c r="AW7524" s="1963"/>
      <c r="AX7524" s="1963"/>
      <c r="AY7524" s="1963"/>
      <c r="AZ7524" s="1963"/>
      <c r="BA7524" s="1963"/>
      <c r="BB7524" s="1963"/>
      <c r="BC7524" s="1963"/>
      <c r="BD7524" s="1963"/>
      <c r="BE7524" s="1963"/>
      <c r="BF7524" s="1963"/>
      <c r="BG7524" s="1963"/>
      <c r="BH7524" s="1963"/>
      <c r="BI7524" s="1963"/>
      <c r="BJ7524" s="1963"/>
      <c r="BK7524" s="1963"/>
      <c r="BL7524" s="1963"/>
      <c r="BM7524" s="1963"/>
      <c r="BN7524" s="1963"/>
      <c r="BO7524" s="1963"/>
      <c r="BP7524" s="1963"/>
      <c r="BQ7524" s="1963"/>
      <c r="BR7524" s="1963"/>
      <c r="BS7524" s="1963"/>
      <c r="BT7524" s="1963"/>
      <c r="BU7524" s="1963"/>
      <c r="BV7524" s="1963"/>
      <c r="BW7524" s="1963"/>
      <c r="BX7524" s="1963"/>
      <c r="BY7524" s="1963"/>
      <c r="BZ7524" s="1963"/>
      <c r="CA7524" s="1963"/>
      <c r="CB7524" s="1963"/>
      <c r="CC7524" s="1963"/>
      <c r="CD7524" s="1963"/>
      <c r="CE7524" s="1963"/>
      <c r="CF7524" s="1963"/>
      <c r="CG7524" s="1963"/>
      <c r="CH7524" s="1963"/>
      <c r="CI7524" s="1963"/>
      <c r="CJ7524" s="1963"/>
      <c r="CK7524" s="1963"/>
      <c r="CL7524" s="1963"/>
      <c r="CM7524" s="1963"/>
      <c r="CN7524" s="1963"/>
      <c r="CO7524" s="1963"/>
      <c r="CP7524" s="1963"/>
      <c r="CQ7524" s="1963"/>
      <c r="CR7524" s="1963"/>
      <c r="CS7524" s="1963"/>
      <c r="CT7524" s="1963"/>
      <c r="CU7524" s="1963"/>
      <c r="CV7524" s="1963"/>
      <c r="CW7524" s="1963"/>
      <c r="CX7524" s="1963"/>
      <c r="CY7524" s="1963"/>
      <c r="CZ7524" s="1963"/>
      <c r="DA7524" s="1963"/>
      <c r="DB7524" s="1963"/>
      <c r="DC7524" s="1963"/>
      <c r="DD7524" s="1963"/>
      <c r="DE7524" s="1963"/>
      <c r="DF7524" s="1963"/>
      <c r="DG7524" s="1963"/>
      <c r="DH7524" s="1963"/>
      <c r="DI7524" s="1963"/>
      <c r="DJ7524" s="1963"/>
      <c r="DK7524" s="1963"/>
      <c r="DL7524" s="1963"/>
      <c r="DM7524" s="1963"/>
      <c r="DN7524" s="1963"/>
      <c r="DO7524" s="1963"/>
      <c r="DP7524" s="1963"/>
    </row>
    <row r="7525" spans="1:123" s="59" customFormat="1" ht="15" customHeight="1">
      <c r="A7525" s="1170" t="s">
        <v>2362</v>
      </c>
      <c r="B7525" s="1187">
        <v>9</v>
      </c>
      <c r="C7525" s="1171">
        <v>30</v>
      </c>
      <c r="D7525" s="1172" t="s">
        <v>1812</v>
      </c>
      <c r="E7525" s="1967" t="s">
        <v>2363</v>
      </c>
      <c r="F7525" s="1967" t="s">
        <v>4</v>
      </c>
      <c r="G7525" s="1355">
        <v>0.29000000000000004</v>
      </c>
      <c r="H7525" s="771">
        <v>15.4</v>
      </c>
      <c r="I7525" s="1965">
        <f t="shared" si="50"/>
        <v>0.55747126436781613</v>
      </c>
      <c r="J7525" s="1963"/>
      <c r="K7525" s="1963"/>
      <c r="L7525" s="1963"/>
      <c r="M7525" s="1963"/>
      <c r="N7525" s="1963"/>
      <c r="O7525" s="1963"/>
      <c r="P7525" s="1963"/>
      <c r="Q7525" s="1963"/>
      <c r="R7525" s="1963"/>
      <c r="S7525" s="1963"/>
      <c r="T7525" s="1963"/>
      <c r="U7525" s="1963"/>
      <c r="V7525" s="1963"/>
      <c r="W7525" s="1963"/>
      <c r="X7525" s="1963"/>
      <c r="Y7525" s="1963"/>
      <c r="Z7525" s="1963"/>
      <c r="AA7525" s="1963"/>
      <c r="AB7525" s="1963"/>
      <c r="AC7525" s="1963"/>
      <c r="AD7525" s="1963"/>
      <c r="AE7525" s="1963"/>
      <c r="AF7525" s="1963"/>
      <c r="AG7525" s="1963"/>
      <c r="AH7525" s="1963"/>
      <c r="AI7525" s="1963"/>
      <c r="AJ7525" s="1963"/>
      <c r="AK7525" s="1963"/>
      <c r="AL7525" s="1963"/>
      <c r="AM7525" s="1963"/>
      <c r="AN7525" s="1963"/>
      <c r="AO7525" s="1963"/>
      <c r="AP7525" s="1963"/>
      <c r="AQ7525" s="1963"/>
      <c r="AR7525" s="1963"/>
      <c r="AS7525" s="1963"/>
      <c r="AT7525" s="1963"/>
      <c r="AU7525" s="1963"/>
      <c r="AV7525" s="1963"/>
      <c r="AW7525" s="1963"/>
      <c r="AX7525" s="1963"/>
      <c r="AY7525" s="1963"/>
      <c r="AZ7525" s="1963"/>
      <c r="BA7525" s="1963"/>
      <c r="BB7525" s="1963"/>
      <c r="BC7525" s="1963"/>
      <c r="BD7525" s="1963"/>
      <c r="BE7525" s="1963"/>
      <c r="BF7525" s="1963"/>
      <c r="BG7525" s="1963"/>
      <c r="BH7525" s="1963"/>
      <c r="BI7525" s="1963"/>
      <c r="BJ7525" s="1963"/>
      <c r="BK7525" s="1963"/>
      <c r="BL7525" s="1963"/>
      <c r="BM7525" s="1963"/>
      <c r="BN7525" s="1963"/>
      <c r="BO7525" s="1963"/>
      <c r="BP7525" s="1963"/>
      <c r="BQ7525" s="1963"/>
      <c r="BR7525" s="1963"/>
      <c r="BS7525" s="1963"/>
      <c r="BT7525" s="1963"/>
      <c r="BU7525" s="1963"/>
      <c r="BV7525" s="1963"/>
      <c r="BW7525" s="1963"/>
      <c r="BX7525" s="1963"/>
      <c r="BY7525" s="1963"/>
      <c r="BZ7525" s="1963"/>
      <c r="CA7525" s="1963"/>
      <c r="CB7525" s="1963"/>
      <c r="CC7525" s="1963"/>
      <c r="CD7525" s="1963"/>
      <c r="CE7525" s="1963"/>
      <c r="CF7525" s="1963"/>
      <c r="CG7525" s="1963"/>
      <c r="CH7525" s="1963"/>
      <c r="CI7525" s="1963"/>
      <c r="CJ7525" s="1963"/>
      <c r="CK7525" s="1963"/>
      <c r="CL7525" s="1963"/>
      <c r="CM7525" s="1963"/>
      <c r="CN7525" s="1963"/>
      <c r="CO7525" s="1963"/>
      <c r="CP7525" s="1963"/>
      <c r="CQ7525" s="1963"/>
      <c r="CR7525" s="1963"/>
      <c r="CS7525" s="1963"/>
      <c r="CT7525" s="1963"/>
      <c r="CU7525" s="1963"/>
      <c r="CV7525" s="1963"/>
      <c r="CW7525" s="1963"/>
      <c r="CX7525" s="1963"/>
      <c r="CY7525" s="1963"/>
      <c r="CZ7525" s="1963"/>
      <c r="DA7525" s="1963"/>
      <c r="DB7525" s="1963"/>
      <c r="DC7525" s="1963"/>
      <c r="DD7525" s="1963"/>
      <c r="DE7525" s="1963"/>
      <c r="DF7525" s="1963"/>
      <c r="DG7525" s="1963"/>
      <c r="DH7525" s="1963"/>
      <c r="DI7525" s="1963"/>
      <c r="DJ7525" s="1963"/>
      <c r="DK7525" s="1963"/>
      <c r="DL7525" s="1963"/>
      <c r="DM7525" s="1963"/>
      <c r="DN7525" s="1963"/>
      <c r="DO7525" s="1963"/>
      <c r="DP7525" s="1963"/>
    </row>
    <row r="7526" spans="1:123" s="59" customFormat="1" ht="15" customHeight="1">
      <c r="A7526" s="1170" t="s">
        <v>2362</v>
      </c>
      <c r="B7526" s="1187">
        <v>12</v>
      </c>
      <c r="C7526" s="1171">
        <v>30</v>
      </c>
      <c r="D7526" s="1172" t="s">
        <v>1812</v>
      </c>
      <c r="E7526" s="1967" t="s">
        <v>2363</v>
      </c>
      <c r="F7526" s="1967" t="s">
        <v>4</v>
      </c>
      <c r="G7526" s="1355">
        <v>0.36</v>
      </c>
      <c r="H7526" s="771">
        <v>19.2666</v>
      </c>
      <c r="I7526" s="1965">
        <f t="shared" si="50"/>
        <v>0.55401388888888892</v>
      </c>
      <c r="J7526" s="1963"/>
      <c r="K7526" s="1963"/>
      <c r="L7526" s="1963"/>
      <c r="M7526" s="1963"/>
      <c r="N7526" s="1963"/>
      <c r="O7526" s="1963"/>
      <c r="P7526" s="1963"/>
      <c r="Q7526" s="1963"/>
      <c r="R7526" s="1963"/>
      <c r="S7526" s="1963"/>
      <c r="T7526" s="1963"/>
      <c r="U7526" s="1963"/>
      <c r="V7526" s="1963"/>
      <c r="W7526" s="1963"/>
      <c r="X7526" s="1963"/>
      <c r="Y7526" s="1963"/>
      <c r="Z7526" s="1963"/>
      <c r="AA7526" s="1963"/>
      <c r="AB7526" s="1963"/>
      <c r="AC7526" s="1963"/>
      <c r="AD7526" s="1963"/>
      <c r="AE7526" s="1963"/>
      <c r="AF7526" s="1963"/>
      <c r="AG7526" s="1963"/>
      <c r="AH7526" s="1963"/>
      <c r="AI7526" s="1963"/>
      <c r="AJ7526" s="1963"/>
      <c r="AK7526" s="1963"/>
      <c r="AL7526" s="1963"/>
      <c r="AM7526" s="1963"/>
      <c r="AN7526" s="1963"/>
      <c r="AO7526" s="1963"/>
      <c r="AP7526" s="1963"/>
      <c r="AQ7526" s="1963"/>
      <c r="AR7526" s="1963"/>
      <c r="AS7526" s="1963"/>
      <c r="AT7526" s="1963"/>
      <c r="AU7526" s="1963"/>
      <c r="AV7526" s="1963"/>
      <c r="AW7526" s="1963"/>
      <c r="AX7526" s="1963"/>
      <c r="AY7526" s="1963"/>
      <c r="AZ7526" s="1963"/>
      <c r="BA7526" s="1963"/>
      <c r="BB7526" s="1963"/>
      <c r="BC7526" s="1963"/>
      <c r="BD7526" s="1963"/>
      <c r="BE7526" s="1963"/>
      <c r="BF7526" s="1963"/>
      <c r="BG7526" s="1963"/>
      <c r="BH7526" s="1963"/>
      <c r="BI7526" s="1963"/>
      <c r="BJ7526" s="1963"/>
      <c r="BK7526" s="1963"/>
      <c r="BL7526" s="1963"/>
      <c r="BM7526" s="1963"/>
      <c r="BN7526" s="1963"/>
      <c r="BO7526" s="1963"/>
      <c r="BP7526" s="1963"/>
      <c r="BQ7526" s="1963"/>
      <c r="BR7526" s="1963"/>
      <c r="BS7526" s="1963"/>
      <c r="BT7526" s="1963"/>
      <c r="BU7526" s="1963"/>
      <c r="BV7526" s="1963"/>
      <c r="BW7526" s="1963"/>
      <c r="BX7526" s="1963"/>
      <c r="BY7526" s="1963"/>
      <c r="BZ7526" s="1963"/>
      <c r="CA7526" s="1963"/>
      <c r="CB7526" s="1963"/>
      <c r="CC7526" s="1963"/>
      <c r="CD7526" s="1963"/>
      <c r="CE7526" s="1963"/>
      <c r="CF7526" s="1963"/>
      <c r="CG7526" s="1963"/>
      <c r="CH7526" s="1963"/>
      <c r="CI7526" s="1963"/>
      <c r="CJ7526" s="1963"/>
      <c r="CK7526" s="1963"/>
      <c r="CL7526" s="1963"/>
      <c r="CM7526" s="1963"/>
      <c r="CN7526" s="1963"/>
      <c r="CO7526" s="1963"/>
      <c r="CP7526" s="1963"/>
      <c r="CQ7526" s="1963"/>
      <c r="CR7526" s="1963"/>
      <c r="CS7526" s="1963"/>
      <c r="CT7526" s="1963"/>
      <c r="CU7526" s="1963"/>
      <c r="CV7526" s="1963"/>
      <c r="CW7526" s="1963"/>
      <c r="CX7526" s="1963"/>
      <c r="CY7526" s="1963"/>
      <c r="CZ7526" s="1963"/>
      <c r="DA7526" s="1963"/>
      <c r="DB7526" s="1963"/>
      <c r="DC7526" s="1963"/>
      <c r="DD7526" s="1963"/>
      <c r="DE7526" s="1963"/>
      <c r="DF7526" s="1963"/>
      <c r="DG7526" s="1963"/>
      <c r="DH7526" s="1963"/>
      <c r="DI7526" s="1963"/>
      <c r="DJ7526" s="1963"/>
      <c r="DK7526" s="1963"/>
      <c r="DL7526" s="1963"/>
      <c r="DM7526" s="1963"/>
      <c r="DN7526" s="1963"/>
      <c r="DO7526" s="1963"/>
      <c r="DP7526" s="1963"/>
    </row>
    <row r="7527" spans="1:123" s="59" customFormat="1" ht="15" customHeight="1">
      <c r="A7527" s="1170" t="s">
        <v>2362</v>
      </c>
      <c r="B7527" s="1187">
        <v>15</v>
      </c>
      <c r="C7527" s="1171">
        <v>30</v>
      </c>
      <c r="D7527" s="1172" t="s">
        <v>1812</v>
      </c>
      <c r="E7527" s="1967" t="s">
        <v>2363</v>
      </c>
      <c r="F7527" s="1967" t="s">
        <v>4</v>
      </c>
      <c r="G7527" s="1355">
        <v>0.43</v>
      </c>
      <c r="H7527" s="771">
        <v>23.1</v>
      </c>
      <c r="I7527" s="1965">
        <f t="shared" si="50"/>
        <v>0.55232558139534882</v>
      </c>
      <c r="J7527" s="1963"/>
      <c r="K7527" s="1963"/>
      <c r="L7527" s="1963"/>
      <c r="M7527" s="1963"/>
      <c r="N7527" s="1963"/>
      <c r="O7527" s="1963"/>
      <c r="P7527" s="1963"/>
      <c r="Q7527" s="1963"/>
      <c r="R7527" s="1963"/>
      <c r="S7527" s="1963"/>
      <c r="T7527" s="1963"/>
      <c r="U7527" s="1963"/>
      <c r="V7527" s="1963"/>
      <c r="W7527" s="1963"/>
      <c r="X7527" s="1963"/>
      <c r="Y7527" s="1963"/>
      <c r="Z7527" s="1963"/>
      <c r="AA7527" s="1963"/>
      <c r="AB7527" s="1963"/>
      <c r="AC7527" s="1963"/>
      <c r="AD7527" s="1963"/>
      <c r="AE7527" s="1963"/>
      <c r="AF7527" s="1963"/>
      <c r="AG7527" s="1963"/>
      <c r="AH7527" s="1963"/>
      <c r="AI7527" s="1963"/>
      <c r="AJ7527" s="1963"/>
      <c r="AK7527" s="1963"/>
      <c r="AL7527" s="1963"/>
      <c r="AM7527" s="1963"/>
      <c r="AN7527" s="1963"/>
      <c r="AO7527" s="1963"/>
      <c r="AP7527" s="1963"/>
      <c r="AQ7527" s="1963"/>
      <c r="AR7527" s="1963"/>
      <c r="AS7527" s="1963"/>
      <c r="AT7527" s="1963"/>
      <c r="AU7527" s="1963"/>
      <c r="AV7527" s="1963"/>
      <c r="AW7527" s="1963"/>
      <c r="AX7527" s="1963"/>
      <c r="AY7527" s="1963"/>
      <c r="AZ7527" s="1963"/>
      <c r="BA7527" s="1963"/>
      <c r="BB7527" s="1963"/>
      <c r="BC7527" s="1963"/>
      <c r="BD7527" s="1963"/>
      <c r="BE7527" s="1963"/>
      <c r="BF7527" s="1963"/>
      <c r="BG7527" s="1963"/>
      <c r="BH7527" s="1963"/>
      <c r="BI7527" s="1963"/>
      <c r="BJ7527" s="1963"/>
      <c r="BK7527" s="1963"/>
      <c r="BL7527" s="1963"/>
      <c r="BM7527" s="1963"/>
      <c r="BN7527" s="1963"/>
      <c r="BO7527" s="1963"/>
      <c r="BP7527" s="1963"/>
      <c r="BQ7527" s="1963"/>
      <c r="BR7527" s="1963"/>
      <c r="BS7527" s="1963"/>
      <c r="BT7527" s="1963"/>
      <c r="BU7527" s="1963"/>
      <c r="BV7527" s="1963"/>
      <c r="BW7527" s="1963"/>
      <c r="BX7527" s="1963"/>
      <c r="BY7527" s="1963"/>
      <c r="BZ7527" s="1963"/>
      <c r="CA7527" s="1963"/>
      <c r="CB7527" s="1963"/>
      <c r="CC7527" s="1963"/>
      <c r="CD7527" s="1963"/>
      <c r="CE7527" s="1963"/>
      <c r="CF7527" s="1963"/>
      <c r="CG7527" s="1963"/>
      <c r="CH7527" s="1963"/>
      <c r="CI7527" s="1963"/>
      <c r="CJ7527" s="1963"/>
      <c r="CK7527" s="1963"/>
      <c r="CL7527" s="1963"/>
      <c r="CM7527" s="1963"/>
      <c r="CN7527" s="1963"/>
      <c r="CO7527" s="1963"/>
      <c r="CP7527" s="1963"/>
      <c r="CQ7527" s="1963"/>
      <c r="CR7527" s="1963"/>
      <c r="CS7527" s="1963"/>
      <c r="CT7527" s="1963"/>
      <c r="CU7527" s="1963"/>
      <c r="CV7527" s="1963"/>
      <c r="CW7527" s="1963"/>
      <c r="CX7527" s="1963"/>
      <c r="CY7527" s="1963"/>
      <c r="CZ7527" s="1963"/>
      <c r="DA7527" s="1963"/>
      <c r="DB7527" s="1963"/>
      <c r="DC7527" s="1963"/>
      <c r="DD7527" s="1963"/>
      <c r="DE7527" s="1963"/>
      <c r="DF7527" s="1963"/>
      <c r="DG7527" s="1963"/>
      <c r="DH7527" s="1963"/>
      <c r="DI7527" s="1963"/>
      <c r="DJ7527" s="1963"/>
      <c r="DK7527" s="1963"/>
      <c r="DL7527" s="1963"/>
      <c r="DM7527" s="1963"/>
      <c r="DN7527" s="1963"/>
      <c r="DO7527" s="1963"/>
      <c r="DP7527" s="1963"/>
    </row>
    <row r="7528" spans="1:123" s="59" customFormat="1" ht="15" customHeight="1">
      <c r="A7528" s="1170" t="s">
        <v>2362</v>
      </c>
      <c r="B7528" s="1187">
        <v>18</v>
      </c>
      <c r="C7528" s="1171">
        <v>30</v>
      </c>
      <c r="D7528" s="1172" t="s">
        <v>1812</v>
      </c>
      <c r="E7528" s="1967" t="s">
        <v>2363</v>
      </c>
      <c r="F7528" s="1967" t="s">
        <v>4</v>
      </c>
      <c r="G7528" s="1355">
        <v>0.5</v>
      </c>
      <c r="H7528" s="771">
        <v>26.9666</v>
      </c>
      <c r="I7528" s="1965">
        <f t="shared" si="50"/>
        <v>0.55055666666666669</v>
      </c>
      <c r="J7528" s="1963"/>
      <c r="K7528" s="1963"/>
      <c r="L7528" s="1963"/>
      <c r="M7528" s="1963"/>
      <c r="N7528" s="1963"/>
      <c r="O7528" s="1963"/>
      <c r="P7528" s="1963"/>
      <c r="Q7528" s="1963"/>
      <c r="R7528" s="1963"/>
      <c r="S7528" s="1963"/>
      <c r="T7528" s="1963"/>
      <c r="U7528" s="1963"/>
      <c r="V7528" s="1963"/>
      <c r="W7528" s="1963"/>
      <c r="X7528" s="1963"/>
      <c r="Y7528" s="1963"/>
      <c r="Z7528" s="1963"/>
      <c r="AA7528" s="1963"/>
      <c r="AB7528" s="1963"/>
      <c r="AC7528" s="1963"/>
      <c r="AD7528" s="1963"/>
      <c r="AE7528" s="1963"/>
      <c r="AF7528" s="1963"/>
      <c r="AG7528" s="1963"/>
      <c r="AH7528" s="1963"/>
      <c r="AI7528" s="1963"/>
      <c r="AJ7528" s="1963"/>
      <c r="AK7528" s="1963"/>
      <c r="AL7528" s="1963"/>
      <c r="AM7528" s="1963"/>
      <c r="AN7528" s="1963"/>
      <c r="AO7528" s="1963"/>
      <c r="AP7528" s="1963"/>
      <c r="AQ7528" s="1963"/>
      <c r="AR7528" s="1963"/>
      <c r="AS7528" s="1963"/>
      <c r="AT7528" s="1963"/>
      <c r="AU7528" s="1963"/>
      <c r="AV7528" s="1963"/>
      <c r="AW7528" s="1963"/>
      <c r="AX7528" s="1963"/>
      <c r="AY7528" s="1963"/>
      <c r="AZ7528" s="1963"/>
      <c r="BA7528" s="1963"/>
      <c r="BB7528" s="1963"/>
      <c r="BC7528" s="1963"/>
      <c r="BD7528" s="1963"/>
      <c r="BE7528" s="1963"/>
      <c r="BF7528" s="1963"/>
      <c r="BG7528" s="1963"/>
      <c r="BH7528" s="1963"/>
      <c r="BI7528" s="1963"/>
      <c r="BJ7528" s="1963"/>
      <c r="BK7528" s="1963"/>
      <c r="BL7528" s="1963"/>
      <c r="BM7528" s="1963"/>
      <c r="BN7528" s="1963"/>
      <c r="BO7528" s="1963"/>
      <c r="BP7528" s="1963"/>
      <c r="BQ7528" s="1963"/>
      <c r="BR7528" s="1963"/>
      <c r="BS7528" s="1963"/>
      <c r="BT7528" s="1963"/>
      <c r="BU7528" s="1963"/>
      <c r="BV7528" s="1963"/>
      <c r="BW7528" s="1963"/>
      <c r="BX7528" s="1963"/>
      <c r="BY7528" s="1963"/>
      <c r="BZ7528" s="1963"/>
      <c r="CA7528" s="1963"/>
      <c r="CB7528" s="1963"/>
      <c r="CC7528" s="1963"/>
      <c r="CD7528" s="1963"/>
      <c r="CE7528" s="1963"/>
      <c r="CF7528" s="1963"/>
      <c r="CG7528" s="1963"/>
      <c r="CH7528" s="1963"/>
      <c r="CI7528" s="1963"/>
      <c r="CJ7528" s="1963"/>
      <c r="CK7528" s="1963"/>
      <c r="CL7528" s="1963"/>
      <c r="CM7528" s="1963"/>
      <c r="CN7528" s="1963"/>
      <c r="CO7528" s="1963"/>
      <c r="CP7528" s="1963"/>
      <c r="CQ7528" s="1963"/>
      <c r="CR7528" s="1963"/>
      <c r="CS7528" s="1963"/>
      <c r="CT7528" s="1963"/>
      <c r="CU7528" s="1963"/>
      <c r="CV7528" s="1963"/>
      <c r="CW7528" s="1963"/>
      <c r="CX7528" s="1963"/>
      <c r="CY7528" s="1963"/>
      <c r="CZ7528" s="1963"/>
      <c r="DA7528" s="1963"/>
      <c r="DB7528" s="1963"/>
      <c r="DC7528" s="1963"/>
      <c r="DD7528" s="1963"/>
      <c r="DE7528" s="1963"/>
      <c r="DF7528" s="1963"/>
      <c r="DG7528" s="1963"/>
      <c r="DH7528" s="1963"/>
      <c r="DI7528" s="1963"/>
      <c r="DJ7528" s="1963"/>
      <c r="DK7528" s="1963"/>
      <c r="DL7528" s="1963"/>
      <c r="DM7528" s="1963"/>
      <c r="DN7528" s="1963"/>
      <c r="DO7528" s="1963"/>
      <c r="DP7528" s="1963"/>
    </row>
    <row r="7529" spans="1:123" s="59" customFormat="1" ht="15" customHeight="1">
      <c r="A7529" s="1170" t="s">
        <v>2362</v>
      </c>
      <c r="B7529" s="1187">
        <v>24</v>
      </c>
      <c r="C7529" s="1171">
        <v>30</v>
      </c>
      <c r="D7529" s="1172" t="s">
        <v>1812</v>
      </c>
      <c r="E7529" s="1967" t="s">
        <v>2363</v>
      </c>
      <c r="F7529" s="1967" t="s">
        <v>4</v>
      </c>
      <c r="G7529" s="1355">
        <v>0.65</v>
      </c>
      <c r="H7529" s="771">
        <v>34.833300000000001</v>
      </c>
      <c r="I7529" s="1965">
        <f t="shared" si="50"/>
        <v>0.55341923076923072</v>
      </c>
      <c r="J7529" s="1963"/>
      <c r="K7529" s="1963"/>
      <c r="L7529" s="1963"/>
      <c r="M7529" s="1963"/>
      <c r="N7529" s="1963"/>
      <c r="O7529" s="1963"/>
      <c r="P7529" s="1963"/>
      <c r="Q7529" s="1963"/>
      <c r="R7529" s="1963"/>
      <c r="S7529" s="1963"/>
      <c r="T7529" s="1963"/>
      <c r="U7529" s="1963"/>
      <c r="V7529" s="1963"/>
      <c r="W7529" s="1963"/>
      <c r="X7529" s="1963"/>
      <c r="Y7529" s="1963"/>
      <c r="Z7529" s="1963"/>
      <c r="AA7529" s="1963"/>
      <c r="AB7529" s="1963"/>
      <c r="AC7529" s="1963"/>
      <c r="AD7529" s="1963"/>
      <c r="AE7529" s="1963"/>
      <c r="AF7529" s="1963"/>
      <c r="AG7529" s="1963"/>
      <c r="AH7529" s="1963"/>
      <c r="AI7529" s="1963"/>
      <c r="AJ7529" s="1963"/>
      <c r="AK7529" s="1963"/>
      <c r="AL7529" s="1963"/>
      <c r="AM7529" s="1963"/>
      <c r="AN7529" s="1963"/>
      <c r="AO7529" s="1963"/>
      <c r="AP7529" s="1963"/>
      <c r="AQ7529" s="1963"/>
      <c r="AR7529" s="1963"/>
      <c r="AS7529" s="1963"/>
      <c r="AT7529" s="1963"/>
      <c r="AU7529" s="1963"/>
      <c r="AV7529" s="1963"/>
      <c r="AW7529" s="1963"/>
      <c r="AX7529" s="1963"/>
      <c r="AY7529" s="1963"/>
      <c r="AZ7529" s="1963"/>
      <c r="BA7529" s="1963"/>
      <c r="BB7529" s="1963"/>
      <c r="BC7529" s="1963"/>
      <c r="BD7529" s="1963"/>
      <c r="BE7529" s="1963"/>
      <c r="BF7529" s="1963"/>
      <c r="BG7529" s="1963"/>
      <c r="BH7529" s="1963"/>
      <c r="BI7529" s="1963"/>
      <c r="BJ7529" s="1963"/>
      <c r="BK7529" s="1963"/>
      <c r="BL7529" s="1963"/>
      <c r="BM7529" s="1963"/>
      <c r="BN7529" s="1963"/>
      <c r="BO7529" s="1963"/>
      <c r="BP7529" s="1963"/>
      <c r="BQ7529" s="1963"/>
      <c r="BR7529" s="1963"/>
      <c r="BS7529" s="1963"/>
      <c r="BT7529" s="1963"/>
      <c r="BU7529" s="1963"/>
      <c r="BV7529" s="1963"/>
      <c r="BW7529" s="1963"/>
      <c r="BX7529" s="1963"/>
      <c r="BY7529" s="1963"/>
      <c r="BZ7529" s="1963"/>
      <c r="CA7529" s="1963"/>
      <c r="CB7529" s="1963"/>
      <c r="CC7529" s="1963"/>
      <c r="CD7529" s="1963"/>
      <c r="CE7529" s="1963"/>
      <c r="CF7529" s="1963"/>
      <c r="CG7529" s="1963"/>
      <c r="CH7529" s="1963"/>
      <c r="CI7529" s="1963"/>
      <c r="CJ7529" s="1963"/>
      <c r="CK7529" s="1963"/>
      <c r="CL7529" s="1963"/>
      <c r="CM7529" s="1963"/>
      <c r="CN7529" s="1963"/>
      <c r="CO7529" s="1963"/>
      <c r="CP7529" s="1963"/>
      <c r="CQ7529" s="1963"/>
      <c r="CR7529" s="1963"/>
      <c r="CS7529" s="1963"/>
      <c r="CT7529" s="1963"/>
      <c r="CU7529" s="1963"/>
      <c r="CV7529" s="1963"/>
      <c r="CW7529" s="1963"/>
      <c r="CX7529" s="1963"/>
      <c r="CY7529" s="1963"/>
      <c r="CZ7529" s="1963"/>
      <c r="DA7529" s="1963"/>
      <c r="DB7529" s="1963"/>
      <c r="DC7529" s="1963"/>
      <c r="DD7529" s="1963"/>
      <c r="DE7529" s="1963"/>
      <c r="DF7529" s="1963"/>
      <c r="DG7529" s="1963"/>
      <c r="DH7529" s="1963"/>
      <c r="DI7529" s="1963"/>
      <c r="DJ7529" s="1963"/>
      <c r="DK7529" s="1963"/>
      <c r="DL7529" s="1963"/>
      <c r="DM7529" s="1963"/>
      <c r="DN7529" s="1963"/>
      <c r="DO7529" s="1963"/>
      <c r="DP7529" s="1963"/>
    </row>
    <row r="7530" spans="1:123" s="59" customFormat="1" ht="15" customHeight="1">
      <c r="A7530" s="1170" t="s">
        <v>2362</v>
      </c>
      <c r="B7530" s="1187">
        <v>36</v>
      </c>
      <c r="C7530" s="1171">
        <v>30</v>
      </c>
      <c r="D7530" s="1172" t="s">
        <v>1812</v>
      </c>
      <c r="E7530" s="1967" t="s">
        <v>2363</v>
      </c>
      <c r="F7530" s="1967" t="s">
        <v>4</v>
      </c>
      <c r="G7530" s="1355">
        <v>1.08</v>
      </c>
      <c r="H7530" s="771">
        <v>57.933300000000003</v>
      </c>
      <c r="I7530" s="1965">
        <f t="shared" si="50"/>
        <v>0.55298379629629624</v>
      </c>
      <c r="J7530" s="1963"/>
      <c r="K7530" s="1963"/>
      <c r="L7530" s="1963"/>
      <c r="M7530" s="1963"/>
      <c r="N7530" s="1963"/>
      <c r="O7530" s="1963"/>
      <c r="P7530" s="1963"/>
      <c r="Q7530" s="1963"/>
      <c r="R7530" s="1963"/>
      <c r="S7530" s="1963"/>
      <c r="T7530" s="1963"/>
      <c r="U7530" s="1963"/>
      <c r="V7530" s="1963"/>
      <c r="W7530" s="1963"/>
      <c r="X7530" s="1963"/>
      <c r="Y7530" s="1963"/>
      <c r="Z7530" s="1963"/>
      <c r="AA7530" s="1963"/>
      <c r="AB7530" s="1963"/>
      <c r="AC7530" s="1963"/>
      <c r="AD7530" s="1963"/>
      <c r="AE7530" s="1963"/>
      <c r="AF7530" s="1963"/>
      <c r="AG7530" s="1963"/>
      <c r="AH7530" s="1963"/>
      <c r="AI7530" s="1963"/>
      <c r="AJ7530" s="1963"/>
      <c r="AK7530" s="1963"/>
      <c r="AL7530" s="1963"/>
      <c r="AM7530" s="1963"/>
      <c r="AN7530" s="1963"/>
      <c r="AO7530" s="1963"/>
      <c r="AP7530" s="1963"/>
      <c r="AQ7530" s="1963"/>
      <c r="AR7530" s="1963"/>
      <c r="AS7530" s="1963"/>
      <c r="AT7530" s="1963"/>
      <c r="AU7530" s="1963"/>
      <c r="AV7530" s="1963"/>
      <c r="AW7530" s="1963"/>
      <c r="AX7530" s="1963"/>
      <c r="AY7530" s="1963"/>
      <c r="AZ7530" s="1963"/>
      <c r="BA7530" s="1963"/>
      <c r="BB7530" s="1963"/>
      <c r="BC7530" s="1963"/>
      <c r="BD7530" s="1963"/>
      <c r="BE7530" s="1963"/>
      <c r="BF7530" s="1963"/>
      <c r="BG7530" s="1963"/>
      <c r="BH7530" s="1963"/>
      <c r="BI7530" s="1963"/>
      <c r="BJ7530" s="1963"/>
      <c r="BK7530" s="1963"/>
      <c r="BL7530" s="1963"/>
      <c r="BM7530" s="1963"/>
      <c r="BN7530" s="1963"/>
      <c r="BO7530" s="1963"/>
      <c r="BP7530" s="1963"/>
      <c r="BQ7530" s="1963"/>
      <c r="BR7530" s="1963"/>
      <c r="BS7530" s="1963"/>
      <c r="BT7530" s="1963"/>
      <c r="BU7530" s="1963"/>
      <c r="BV7530" s="1963"/>
      <c r="BW7530" s="1963"/>
      <c r="BX7530" s="1963"/>
      <c r="BY7530" s="1963"/>
      <c r="BZ7530" s="1963"/>
      <c r="CA7530" s="1963"/>
      <c r="CB7530" s="1963"/>
      <c r="CC7530" s="1963"/>
      <c r="CD7530" s="1963"/>
      <c r="CE7530" s="1963"/>
      <c r="CF7530" s="1963"/>
      <c r="CG7530" s="1963"/>
      <c r="CH7530" s="1963"/>
      <c r="CI7530" s="1963"/>
      <c r="CJ7530" s="1963"/>
      <c r="CK7530" s="1963"/>
      <c r="CL7530" s="1963"/>
      <c r="CM7530" s="1963"/>
      <c r="CN7530" s="1963"/>
      <c r="CO7530" s="1963"/>
      <c r="CP7530" s="1963"/>
      <c r="CQ7530" s="1963"/>
      <c r="CR7530" s="1963"/>
      <c r="CS7530" s="1963"/>
      <c r="CT7530" s="1963"/>
      <c r="CU7530" s="1963"/>
      <c r="CV7530" s="1963"/>
      <c r="CW7530" s="1963"/>
      <c r="CX7530" s="1963"/>
      <c r="CY7530" s="1963"/>
      <c r="CZ7530" s="1963"/>
      <c r="DA7530" s="1963"/>
      <c r="DB7530" s="1963"/>
      <c r="DC7530" s="1963"/>
      <c r="DD7530" s="1963"/>
      <c r="DE7530" s="1963"/>
      <c r="DF7530" s="1963"/>
      <c r="DG7530" s="1963"/>
      <c r="DH7530" s="1963"/>
      <c r="DI7530" s="1963"/>
      <c r="DJ7530" s="1963"/>
      <c r="DK7530" s="1963"/>
      <c r="DL7530" s="1963"/>
      <c r="DM7530" s="1963"/>
      <c r="DN7530" s="1963"/>
      <c r="DO7530" s="1963"/>
      <c r="DP7530" s="1963"/>
    </row>
    <row r="7531" spans="1:123" s="59" customFormat="1" ht="15" customHeight="1">
      <c r="A7531" s="1170" t="s">
        <v>2362</v>
      </c>
      <c r="B7531" s="1187">
        <v>50</v>
      </c>
      <c r="C7531" s="1171">
        <v>30</v>
      </c>
      <c r="D7531" s="1172" t="s">
        <v>1812</v>
      </c>
      <c r="E7531" s="1967" t="s">
        <v>2363</v>
      </c>
      <c r="F7531" s="1967" t="s">
        <v>4</v>
      </c>
      <c r="G7531" s="1355">
        <v>1.56</v>
      </c>
      <c r="H7531" s="771">
        <v>84.166600000000003</v>
      </c>
      <c r="I7531" s="1965">
        <f t="shared" si="50"/>
        <v>0.55039209401709399</v>
      </c>
      <c r="J7531" s="1963"/>
      <c r="K7531" s="1963"/>
      <c r="L7531" s="1963"/>
      <c r="M7531" s="1963"/>
      <c r="N7531" s="1963"/>
      <c r="O7531" s="1963"/>
      <c r="P7531" s="1963"/>
      <c r="Q7531" s="1963"/>
      <c r="R7531" s="1963"/>
      <c r="S7531" s="1963"/>
      <c r="T7531" s="1963"/>
      <c r="U7531" s="1963"/>
      <c r="V7531" s="1963"/>
      <c r="W7531" s="1963"/>
      <c r="X7531" s="1963"/>
      <c r="Y7531" s="1963"/>
      <c r="Z7531" s="1963"/>
      <c r="AA7531" s="1963"/>
      <c r="AB7531" s="1963"/>
      <c r="AC7531" s="1963"/>
      <c r="AD7531" s="1963"/>
      <c r="AE7531" s="1963"/>
      <c r="AF7531" s="1963"/>
      <c r="AG7531" s="1963"/>
      <c r="AH7531" s="1963"/>
      <c r="AI7531" s="1963"/>
      <c r="AJ7531" s="1963"/>
      <c r="AK7531" s="1963"/>
      <c r="AL7531" s="1963"/>
      <c r="AM7531" s="1963"/>
      <c r="AN7531" s="1963"/>
      <c r="AO7531" s="1963"/>
      <c r="AP7531" s="1963"/>
      <c r="AQ7531" s="1963"/>
      <c r="AR7531" s="1963"/>
      <c r="AS7531" s="1963"/>
      <c r="AT7531" s="1963"/>
      <c r="AU7531" s="1963"/>
      <c r="AV7531" s="1963"/>
      <c r="AW7531" s="1963"/>
      <c r="AX7531" s="1963"/>
      <c r="AY7531" s="1963"/>
      <c r="AZ7531" s="1963"/>
      <c r="BA7531" s="1963"/>
      <c r="BB7531" s="1963"/>
      <c r="BC7531" s="1963"/>
      <c r="BD7531" s="1963"/>
      <c r="BE7531" s="1963"/>
      <c r="BF7531" s="1963"/>
      <c r="BG7531" s="1963"/>
      <c r="BH7531" s="1963"/>
      <c r="BI7531" s="1963"/>
      <c r="BJ7531" s="1963"/>
      <c r="BK7531" s="1963"/>
      <c r="BL7531" s="1963"/>
      <c r="BM7531" s="1963"/>
      <c r="BN7531" s="1963"/>
      <c r="BO7531" s="1963"/>
      <c r="BP7531" s="1963"/>
      <c r="BQ7531" s="1963"/>
      <c r="BR7531" s="1963"/>
      <c r="BS7531" s="1963"/>
      <c r="BT7531" s="1963"/>
      <c r="BU7531" s="1963"/>
      <c r="BV7531" s="1963"/>
      <c r="BW7531" s="1963"/>
      <c r="BX7531" s="1963"/>
      <c r="BY7531" s="1963"/>
      <c r="BZ7531" s="1963"/>
      <c r="CA7531" s="1963"/>
      <c r="CB7531" s="1963"/>
      <c r="CC7531" s="1963"/>
      <c r="CD7531" s="1963"/>
      <c r="CE7531" s="1963"/>
      <c r="CF7531" s="1963"/>
      <c r="CG7531" s="1963"/>
      <c r="CH7531" s="1963"/>
      <c r="CI7531" s="1963"/>
      <c r="CJ7531" s="1963"/>
      <c r="CK7531" s="1963"/>
      <c r="CL7531" s="1963"/>
      <c r="CM7531" s="1963"/>
      <c r="CN7531" s="1963"/>
      <c r="CO7531" s="1963"/>
      <c r="CP7531" s="1963"/>
      <c r="CQ7531" s="1963"/>
      <c r="CR7531" s="1963"/>
      <c r="CS7531" s="1963"/>
      <c r="CT7531" s="1963"/>
      <c r="CU7531" s="1963"/>
      <c r="CV7531" s="1963"/>
      <c r="CW7531" s="1963"/>
      <c r="CX7531" s="1963"/>
      <c r="CY7531" s="1963"/>
      <c r="CZ7531" s="1963"/>
      <c r="DA7531" s="1963"/>
      <c r="DB7531" s="1963"/>
      <c r="DC7531" s="1963"/>
      <c r="DD7531" s="1963"/>
      <c r="DE7531" s="1963"/>
      <c r="DF7531" s="1963"/>
      <c r="DG7531" s="1963"/>
      <c r="DH7531" s="1963"/>
      <c r="DI7531" s="1963"/>
      <c r="DJ7531" s="1963"/>
      <c r="DK7531" s="1963"/>
      <c r="DL7531" s="1963"/>
      <c r="DM7531" s="1963"/>
      <c r="DN7531" s="1963"/>
      <c r="DO7531" s="1963"/>
      <c r="DP7531" s="1963"/>
    </row>
    <row r="7532" spans="1:123" s="1165" customFormat="1" ht="15" customHeight="1">
      <c r="A7532" s="1170" t="s">
        <v>5820</v>
      </c>
      <c r="B7532" s="1187">
        <v>4</v>
      </c>
      <c r="C7532" s="1171">
        <v>30</v>
      </c>
      <c r="D7532" s="1172" t="s">
        <v>1812</v>
      </c>
      <c r="E7532" s="1173" t="s">
        <v>5821</v>
      </c>
      <c r="F7532" s="1968" t="s">
        <v>5822</v>
      </c>
      <c r="G7532" s="1355">
        <v>0.36</v>
      </c>
      <c r="H7532" s="734">
        <v>19.433299999999999</v>
      </c>
      <c r="I7532" s="1965">
        <f t="shared" si="50"/>
        <v>0.55015509259259254</v>
      </c>
      <c r="J7532" s="1963"/>
      <c r="K7532" s="1963"/>
      <c r="L7532" s="1963"/>
      <c r="M7532" s="1963"/>
      <c r="N7532" s="1963"/>
      <c r="O7532" s="1963"/>
      <c r="P7532" s="1963"/>
      <c r="Q7532" s="1963"/>
      <c r="R7532" s="1963"/>
      <c r="S7532" s="1963"/>
      <c r="T7532" s="1963"/>
      <c r="U7532" s="1963"/>
      <c r="V7532" s="1963"/>
      <c r="W7532" s="1963"/>
      <c r="X7532" s="1963"/>
      <c r="Y7532" s="1963"/>
      <c r="Z7532" s="1963"/>
      <c r="AA7532" s="1963"/>
      <c r="AB7532" s="1963"/>
      <c r="AC7532" s="1963"/>
      <c r="AD7532" s="1963"/>
      <c r="AE7532" s="1963"/>
      <c r="AF7532" s="1963"/>
      <c r="AG7532" s="1963"/>
      <c r="AH7532" s="1963"/>
      <c r="AI7532" s="1963"/>
      <c r="AJ7532" s="1963"/>
      <c r="AK7532" s="1963"/>
      <c r="AL7532" s="1963"/>
      <c r="AM7532" s="1963"/>
      <c r="AN7532" s="1963"/>
      <c r="AO7532" s="1963"/>
      <c r="AP7532" s="1963"/>
      <c r="AQ7532" s="1963"/>
      <c r="AR7532" s="1963"/>
      <c r="AS7532" s="1963"/>
      <c r="AT7532" s="1963"/>
      <c r="AU7532" s="1963"/>
      <c r="AV7532" s="1963"/>
      <c r="AW7532" s="1963"/>
      <c r="AX7532" s="1963"/>
      <c r="AY7532" s="1963"/>
      <c r="AZ7532" s="1963"/>
      <c r="BA7532" s="1963"/>
      <c r="BB7532" s="1963"/>
      <c r="BC7532" s="1963"/>
      <c r="BD7532" s="1963"/>
      <c r="BE7532" s="1963"/>
      <c r="BF7532" s="1963"/>
      <c r="BG7532" s="1963"/>
      <c r="BH7532" s="1963"/>
      <c r="BI7532" s="1963"/>
      <c r="BJ7532" s="1963"/>
      <c r="BK7532" s="1963"/>
      <c r="BL7532" s="1963"/>
      <c r="BM7532" s="1963"/>
      <c r="BN7532" s="1963"/>
      <c r="BO7532" s="1963"/>
      <c r="BP7532" s="1963"/>
      <c r="BQ7532" s="1963"/>
      <c r="BR7532" s="1963"/>
      <c r="BS7532" s="1963"/>
      <c r="BT7532" s="1963"/>
      <c r="BU7532" s="1963"/>
      <c r="BV7532" s="1963"/>
      <c r="BW7532" s="1963"/>
      <c r="BX7532" s="1963"/>
      <c r="BY7532" s="1963"/>
      <c r="BZ7532" s="1963"/>
      <c r="CA7532" s="1963"/>
      <c r="CB7532" s="1963"/>
      <c r="CC7532" s="1963"/>
      <c r="CD7532" s="1963"/>
      <c r="CE7532" s="1963"/>
      <c r="CF7532" s="1963"/>
      <c r="CG7532" s="1963"/>
      <c r="CH7532" s="1963"/>
      <c r="CI7532" s="1963"/>
      <c r="CJ7532" s="1963"/>
      <c r="CK7532" s="1963"/>
      <c r="CL7532" s="1963"/>
      <c r="CM7532" s="1963"/>
      <c r="CN7532" s="1963"/>
      <c r="CO7532" s="1963"/>
      <c r="CP7532" s="1963"/>
      <c r="CQ7532" s="1963"/>
      <c r="CR7532" s="1963"/>
      <c r="CS7532" s="1963"/>
      <c r="CT7532" s="1963"/>
      <c r="CU7532" s="1963"/>
      <c r="CV7532" s="1963"/>
      <c r="CW7532" s="1963"/>
      <c r="CX7532" s="1963"/>
      <c r="CY7532" s="1963"/>
      <c r="CZ7532" s="1963"/>
      <c r="DA7532" s="1963"/>
      <c r="DB7532" s="1963"/>
      <c r="DC7532" s="1963"/>
      <c r="DD7532" s="1963"/>
      <c r="DE7532" s="1963"/>
      <c r="DF7532" s="1963"/>
      <c r="DG7532" s="1963"/>
      <c r="DH7532" s="1963"/>
      <c r="DI7532" s="1963"/>
      <c r="DJ7532" s="1963"/>
      <c r="DK7532" s="1963"/>
      <c r="DL7532" s="1963"/>
      <c r="DM7532" s="1963"/>
      <c r="DN7532" s="1963"/>
      <c r="DO7532" s="1963"/>
      <c r="DP7532" s="1963"/>
      <c r="DQ7532" s="1963"/>
      <c r="DR7532" s="1963"/>
      <c r="DS7532" s="1963"/>
    </row>
    <row r="7533" spans="1:123" s="1165" customFormat="1" ht="15" customHeight="1">
      <c r="A7533" s="1170" t="s">
        <v>5820</v>
      </c>
      <c r="B7533" s="1187">
        <v>6</v>
      </c>
      <c r="C7533" s="1171">
        <v>30</v>
      </c>
      <c r="D7533" s="1172" t="s">
        <v>1812</v>
      </c>
      <c r="E7533" s="1173" t="s">
        <v>5821</v>
      </c>
      <c r="F7533" s="1968" t="s">
        <v>5822</v>
      </c>
      <c r="G7533" s="1355">
        <v>0.39</v>
      </c>
      <c r="H7533" s="734">
        <v>20.9666</v>
      </c>
      <c r="I7533" s="1965">
        <f t="shared" si="50"/>
        <v>0.55199572649572648</v>
      </c>
      <c r="J7533" s="1963"/>
      <c r="K7533" s="1963"/>
      <c r="L7533" s="1963"/>
      <c r="M7533" s="1963"/>
      <c r="N7533" s="1963"/>
      <c r="O7533" s="1963"/>
      <c r="P7533" s="1963"/>
      <c r="Q7533" s="1963"/>
      <c r="R7533" s="1963"/>
      <c r="S7533" s="1963"/>
      <c r="T7533" s="1963"/>
      <c r="U7533" s="1963"/>
      <c r="V7533" s="1963"/>
      <c r="W7533" s="1963"/>
      <c r="X7533" s="1963"/>
      <c r="Y7533" s="1963"/>
      <c r="Z7533" s="1963"/>
      <c r="AA7533" s="1963"/>
      <c r="AB7533" s="1963"/>
      <c r="AC7533" s="1963"/>
      <c r="AD7533" s="1963"/>
      <c r="AE7533" s="1963"/>
      <c r="AF7533" s="1963"/>
      <c r="AG7533" s="1963"/>
      <c r="AH7533" s="1963"/>
      <c r="AI7533" s="1963"/>
      <c r="AJ7533" s="1963"/>
      <c r="AK7533" s="1963"/>
      <c r="AL7533" s="1963"/>
      <c r="AM7533" s="1963"/>
      <c r="AN7533" s="1963"/>
      <c r="AO7533" s="1963"/>
      <c r="AP7533" s="1963"/>
      <c r="AQ7533" s="1963"/>
      <c r="AR7533" s="1963"/>
      <c r="AS7533" s="1963"/>
      <c r="AT7533" s="1963"/>
      <c r="AU7533" s="1963"/>
      <c r="AV7533" s="1963"/>
      <c r="AW7533" s="1963"/>
      <c r="AX7533" s="1963"/>
      <c r="AY7533" s="1963"/>
      <c r="AZ7533" s="1963"/>
      <c r="BA7533" s="1963"/>
      <c r="BB7533" s="1963"/>
      <c r="BC7533" s="1963"/>
      <c r="BD7533" s="1963"/>
      <c r="BE7533" s="1963"/>
      <c r="BF7533" s="1963"/>
      <c r="BG7533" s="1963"/>
      <c r="BH7533" s="1963"/>
      <c r="BI7533" s="1963"/>
      <c r="BJ7533" s="1963"/>
      <c r="BK7533" s="1963"/>
      <c r="BL7533" s="1963"/>
      <c r="BM7533" s="1963"/>
      <c r="BN7533" s="1963"/>
      <c r="BO7533" s="1963"/>
      <c r="BP7533" s="1963"/>
      <c r="BQ7533" s="1963"/>
      <c r="BR7533" s="1963"/>
      <c r="BS7533" s="1963"/>
      <c r="BT7533" s="1963"/>
      <c r="BU7533" s="1963"/>
      <c r="BV7533" s="1963"/>
      <c r="BW7533" s="1963"/>
      <c r="BX7533" s="1963"/>
      <c r="BY7533" s="1963"/>
      <c r="BZ7533" s="1963"/>
      <c r="CA7533" s="1963"/>
      <c r="CB7533" s="1963"/>
      <c r="CC7533" s="1963"/>
      <c r="CD7533" s="1963"/>
      <c r="CE7533" s="1963"/>
      <c r="CF7533" s="1963"/>
      <c r="CG7533" s="1963"/>
      <c r="CH7533" s="1963"/>
      <c r="CI7533" s="1963"/>
      <c r="CJ7533" s="1963"/>
      <c r="CK7533" s="1963"/>
      <c r="CL7533" s="1963"/>
      <c r="CM7533" s="1963"/>
      <c r="CN7533" s="1963"/>
      <c r="CO7533" s="1963"/>
      <c r="CP7533" s="1963"/>
      <c r="CQ7533" s="1963"/>
      <c r="CR7533" s="1963"/>
      <c r="CS7533" s="1963"/>
      <c r="CT7533" s="1963"/>
      <c r="CU7533" s="1963"/>
      <c r="CV7533" s="1963"/>
      <c r="CW7533" s="1963"/>
      <c r="CX7533" s="1963"/>
      <c r="CY7533" s="1963"/>
      <c r="CZ7533" s="1963"/>
      <c r="DA7533" s="1963"/>
      <c r="DB7533" s="1963"/>
      <c r="DC7533" s="1963"/>
      <c r="DD7533" s="1963"/>
      <c r="DE7533" s="1963"/>
      <c r="DF7533" s="1963"/>
      <c r="DG7533" s="1963"/>
      <c r="DH7533" s="1963"/>
      <c r="DI7533" s="1963"/>
      <c r="DJ7533" s="1963"/>
      <c r="DK7533" s="1963"/>
      <c r="DL7533" s="1963"/>
      <c r="DM7533" s="1963"/>
      <c r="DN7533" s="1963"/>
      <c r="DO7533" s="1963"/>
      <c r="DP7533" s="1963"/>
      <c r="DQ7533" s="1963"/>
      <c r="DR7533" s="1963"/>
      <c r="DS7533" s="1963"/>
    </row>
    <row r="7534" spans="1:123" s="1165" customFormat="1" ht="15" customHeight="1">
      <c r="A7534" s="1170" t="s">
        <v>5820</v>
      </c>
      <c r="B7534" s="1187">
        <v>9</v>
      </c>
      <c r="C7534" s="1171">
        <v>30</v>
      </c>
      <c r="D7534" s="1172" t="s">
        <v>1812</v>
      </c>
      <c r="E7534" s="1173" t="s">
        <v>5821</v>
      </c>
      <c r="F7534" s="1968" t="s">
        <v>5822</v>
      </c>
      <c r="G7534" s="1355">
        <v>0.51</v>
      </c>
      <c r="H7534" s="734">
        <v>27.366599999999998</v>
      </c>
      <c r="I7534" s="1965">
        <f t="shared" si="50"/>
        <v>0.55283333333333329</v>
      </c>
      <c r="J7534" s="1963"/>
      <c r="K7534" s="1963"/>
      <c r="L7534" s="1963"/>
      <c r="M7534" s="1963"/>
      <c r="N7534" s="1963"/>
      <c r="O7534" s="1963"/>
      <c r="P7534" s="1963"/>
      <c r="Q7534" s="1963"/>
      <c r="R7534" s="1963"/>
      <c r="S7534" s="1963"/>
      <c r="T7534" s="1963"/>
      <c r="U7534" s="1963"/>
      <c r="V7534" s="1963"/>
      <c r="W7534" s="1963"/>
      <c r="X7534" s="1963"/>
      <c r="Y7534" s="1963"/>
      <c r="Z7534" s="1963"/>
      <c r="AA7534" s="1963"/>
      <c r="AB7534" s="1963"/>
      <c r="AC7534" s="1963"/>
      <c r="AD7534" s="1963"/>
      <c r="AE7534" s="1963"/>
      <c r="AF7534" s="1963"/>
      <c r="AG7534" s="1963"/>
      <c r="AH7534" s="1963"/>
      <c r="AI7534" s="1963"/>
      <c r="AJ7534" s="1963"/>
      <c r="AK7534" s="1963"/>
      <c r="AL7534" s="1963"/>
      <c r="AM7534" s="1963"/>
      <c r="AN7534" s="1963"/>
      <c r="AO7534" s="1963"/>
      <c r="AP7534" s="1963"/>
      <c r="AQ7534" s="1963"/>
      <c r="AR7534" s="1963"/>
      <c r="AS7534" s="1963"/>
      <c r="AT7534" s="1963"/>
      <c r="AU7534" s="1963"/>
      <c r="AV7534" s="1963"/>
      <c r="AW7534" s="1963"/>
      <c r="AX7534" s="1963"/>
      <c r="AY7534" s="1963"/>
      <c r="AZ7534" s="1963"/>
      <c r="BA7534" s="1963"/>
      <c r="BB7534" s="1963"/>
      <c r="BC7534" s="1963"/>
      <c r="BD7534" s="1963"/>
      <c r="BE7534" s="1963"/>
      <c r="BF7534" s="1963"/>
      <c r="BG7534" s="1963"/>
      <c r="BH7534" s="1963"/>
      <c r="BI7534" s="1963"/>
      <c r="BJ7534" s="1963"/>
      <c r="BK7534" s="1963"/>
      <c r="BL7534" s="1963"/>
      <c r="BM7534" s="1963"/>
      <c r="BN7534" s="1963"/>
      <c r="BO7534" s="1963"/>
      <c r="BP7534" s="1963"/>
      <c r="BQ7534" s="1963"/>
      <c r="BR7534" s="1963"/>
      <c r="BS7534" s="1963"/>
      <c r="BT7534" s="1963"/>
      <c r="BU7534" s="1963"/>
      <c r="BV7534" s="1963"/>
      <c r="BW7534" s="1963"/>
      <c r="BX7534" s="1963"/>
      <c r="BY7534" s="1963"/>
      <c r="BZ7534" s="1963"/>
      <c r="CA7534" s="1963"/>
      <c r="CB7534" s="1963"/>
      <c r="CC7534" s="1963"/>
      <c r="CD7534" s="1963"/>
      <c r="CE7534" s="1963"/>
      <c r="CF7534" s="1963"/>
      <c r="CG7534" s="1963"/>
      <c r="CH7534" s="1963"/>
      <c r="CI7534" s="1963"/>
      <c r="CJ7534" s="1963"/>
      <c r="CK7534" s="1963"/>
      <c r="CL7534" s="1963"/>
      <c r="CM7534" s="1963"/>
      <c r="CN7534" s="1963"/>
      <c r="CO7534" s="1963"/>
      <c r="CP7534" s="1963"/>
      <c r="CQ7534" s="1963"/>
      <c r="CR7534" s="1963"/>
      <c r="CS7534" s="1963"/>
      <c r="CT7534" s="1963"/>
      <c r="CU7534" s="1963"/>
      <c r="CV7534" s="1963"/>
      <c r="CW7534" s="1963"/>
      <c r="CX7534" s="1963"/>
      <c r="CY7534" s="1963"/>
      <c r="CZ7534" s="1963"/>
      <c r="DA7534" s="1963"/>
      <c r="DB7534" s="1963"/>
      <c r="DC7534" s="1963"/>
      <c r="DD7534" s="1963"/>
      <c r="DE7534" s="1963"/>
      <c r="DF7534" s="1963"/>
      <c r="DG7534" s="1963"/>
      <c r="DH7534" s="1963"/>
      <c r="DI7534" s="1963"/>
      <c r="DJ7534" s="1963"/>
      <c r="DK7534" s="1963"/>
      <c r="DL7534" s="1963"/>
      <c r="DM7534" s="1963"/>
      <c r="DN7534" s="1963"/>
      <c r="DO7534" s="1963"/>
      <c r="DP7534" s="1963"/>
      <c r="DQ7534" s="1963"/>
      <c r="DR7534" s="1963"/>
      <c r="DS7534" s="1963"/>
    </row>
    <row r="7535" spans="1:123" s="1165" customFormat="1" ht="15" customHeight="1">
      <c r="A7535" s="1170" t="s">
        <v>5820</v>
      </c>
      <c r="B7535" s="1187">
        <v>12</v>
      </c>
      <c r="C7535" s="1171">
        <v>30</v>
      </c>
      <c r="D7535" s="1172" t="s">
        <v>1812</v>
      </c>
      <c r="E7535" s="1173" t="s">
        <v>5821</v>
      </c>
      <c r="F7535" s="1968" t="s">
        <v>5822</v>
      </c>
      <c r="G7535" s="1355">
        <v>0.64</v>
      </c>
      <c r="H7535" s="734">
        <v>34.4666</v>
      </c>
      <c r="I7535" s="1965">
        <f t="shared" si="50"/>
        <v>0.55121614583333334</v>
      </c>
      <c r="J7535" s="1963"/>
      <c r="K7535" s="1963"/>
      <c r="L7535" s="1963"/>
      <c r="M7535" s="1963"/>
      <c r="N7535" s="1963"/>
      <c r="O7535" s="1963"/>
      <c r="P7535" s="1963"/>
      <c r="Q7535" s="1963"/>
      <c r="R7535" s="1963"/>
      <c r="S7535" s="1963"/>
      <c r="T7535" s="1963"/>
      <c r="U7535" s="1963"/>
      <c r="V7535" s="1963"/>
      <c r="W7535" s="1963"/>
      <c r="X7535" s="1963"/>
      <c r="Y7535" s="1963"/>
      <c r="Z7535" s="1963"/>
      <c r="AA7535" s="1963"/>
      <c r="AB7535" s="1963"/>
      <c r="AC7535" s="1963"/>
      <c r="AD7535" s="1963"/>
      <c r="AE7535" s="1963"/>
      <c r="AF7535" s="1963"/>
      <c r="AG7535" s="1963"/>
      <c r="AH7535" s="1963"/>
      <c r="AI7535" s="1963"/>
      <c r="AJ7535" s="1963"/>
      <c r="AK7535" s="1963"/>
      <c r="AL7535" s="1963"/>
      <c r="AM7535" s="1963"/>
      <c r="AN7535" s="1963"/>
      <c r="AO7535" s="1963"/>
      <c r="AP7535" s="1963"/>
      <c r="AQ7535" s="1963"/>
      <c r="AR7535" s="1963"/>
      <c r="AS7535" s="1963"/>
      <c r="AT7535" s="1963"/>
      <c r="AU7535" s="1963"/>
      <c r="AV7535" s="1963"/>
      <c r="AW7535" s="1963"/>
      <c r="AX7535" s="1963"/>
      <c r="AY7535" s="1963"/>
      <c r="AZ7535" s="1963"/>
      <c r="BA7535" s="1963"/>
      <c r="BB7535" s="1963"/>
      <c r="BC7535" s="1963"/>
      <c r="BD7535" s="1963"/>
      <c r="BE7535" s="1963"/>
      <c r="BF7535" s="1963"/>
      <c r="BG7535" s="1963"/>
      <c r="BH7535" s="1963"/>
      <c r="BI7535" s="1963"/>
      <c r="BJ7535" s="1963"/>
      <c r="BK7535" s="1963"/>
      <c r="BL7535" s="1963"/>
      <c r="BM7535" s="1963"/>
      <c r="BN7535" s="1963"/>
      <c r="BO7535" s="1963"/>
      <c r="BP7535" s="1963"/>
      <c r="BQ7535" s="1963"/>
      <c r="BR7535" s="1963"/>
      <c r="BS7535" s="1963"/>
      <c r="BT7535" s="1963"/>
      <c r="BU7535" s="1963"/>
      <c r="BV7535" s="1963"/>
      <c r="BW7535" s="1963"/>
      <c r="BX7535" s="1963"/>
      <c r="BY7535" s="1963"/>
      <c r="BZ7535" s="1963"/>
      <c r="CA7535" s="1963"/>
      <c r="CB7535" s="1963"/>
      <c r="CC7535" s="1963"/>
      <c r="CD7535" s="1963"/>
      <c r="CE7535" s="1963"/>
      <c r="CF7535" s="1963"/>
      <c r="CG7535" s="1963"/>
      <c r="CH7535" s="1963"/>
      <c r="CI7535" s="1963"/>
      <c r="CJ7535" s="1963"/>
      <c r="CK7535" s="1963"/>
      <c r="CL7535" s="1963"/>
      <c r="CM7535" s="1963"/>
      <c r="CN7535" s="1963"/>
      <c r="CO7535" s="1963"/>
      <c r="CP7535" s="1963"/>
      <c r="CQ7535" s="1963"/>
      <c r="CR7535" s="1963"/>
      <c r="CS7535" s="1963"/>
      <c r="CT7535" s="1963"/>
      <c r="CU7535" s="1963"/>
      <c r="CV7535" s="1963"/>
      <c r="CW7535" s="1963"/>
      <c r="CX7535" s="1963"/>
      <c r="CY7535" s="1963"/>
      <c r="CZ7535" s="1963"/>
      <c r="DA7535" s="1963"/>
      <c r="DB7535" s="1963"/>
      <c r="DC7535" s="1963"/>
      <c r="DD7535" s="1963"/>
      <c r="DE7535" s="1963"/>
      <c r="DF7535" s="1963"/>
      <c r="DG7535" s="1963"/>
      <c r="DH7535" s="1963"/>
      <c r="DI7535" s="1963"/>
      <c r="DJ7535" s="1963"/>
      <c r="DK7535" s="1963"/>
      <c r="DL7535" s="1963"/>
      <c r="DM7535" s="1963"/>
      <c r="DN7535" s="1963"/>
      <c r="DO7535" s="1963"/>
      <c r="DP7535" s="1963"/>
      <c r="DQ7535" s="1963"/>
      <c r="DR7535" s="1963"/>
      <c r="DS7535" s="1963"/>
    </row>
    <row r="7536" spans="1:123" s="1165" customFormat="1" ht="15" customHeight="1">
      <c r="A7536" s="1170" t="s">
        <v>5820</v>
      </c>
      <c r="B7536" s="1187">
        <v>15</v>
      </c>
      <c r="C7536" s="1171">
        <v>30</v>
      </c>
      <c r="D7536" s="1172" t="s">
        <v>1812</v>
      </c>
      <c r="E7536" s="1173" t="s">
        <v>5821</v>
      </c>
      <c r="F7536" s="1968" t="s">
        <v>5822</v>
      </c>
      <c r="G7536" s="1355">
        <v>0.77</v>
      </c>
      <c r="H7536" s="734">
        <v>41.566600000000001</v>
      </c>
      <c r="I7536" s="1965">
        <f t="shared" si="50"/>
        <v>0.55014502164502166</v>
      </c>
      <c r="J7536" s="1963"/>
      <c r="K7536" s="1963"/>
      <c r="L7536" s="1963"/>
      <c r="M7536" s="1963"/>
      <c r="N7536" s="1963"/>
      <c r="O7536" s="1963"/>
      <c r="P7536" s="1963"/>
      <c r="Q7536" s="1963"/>
      <c r="R7536" s="1963"/>
      <c r="S7536" s="1963"/>
      <c r="T7536" s="1963"/>
      <c r="U7536" s="1963"/>
      <c r="V7536" s="1963"/>
      <c r="W7536" s="1963"/>
      <c r="X7536" s="1963"/>
      <c r="Y7536" s="1963"/>
      <c r="Z7536" s="1963"/>
      <c r="AA7536" s="1963"/>
      <c r="AB7536" s="1963"/>
      <c r="AC7536" s="1963"/>
      <c r="AD7536" s="1963"/>
      <c r="AE7536" s="1963"/>
      <c r="AF7536" s="1963"/>
      <c r="AG7536" s="1963"/>
      <c r="AH7536" s="1963"/>
      <c r="AI7536" s="1963"/>
      <c r="AJ7536" s="1963"/>
      <c r="AK7536" s="1963"/>
      <c r="AL7536" s="1963"/>
      <c r="AM7536" s="1963"/>
      <c r="AN7536" s="1963"/>
      <c r="AO7536" s="1963"/>
      <c r="AP7536" s="1963"/>
      <c r="AQ7536" s="1963"/>
      <c r="AR7536" s="1963"/>
      <c r="AS7536" s="1963"/>
      <c r="AT7536" s="1963"/>
      <c r="AU7536" s="1963"/>
      <c r="AV7536" s="1963"/>
      <c r="AW7536" s="1963"/>
      <c r="AX7536" s="1963"/>
      <c r="AY7536" s="1963"/>
      <c r="AZ7536" s="1963"/>
      <c r="BA7536" s="1963"/>
      <c r="BB7536" s="1963"/>
      <c r="BC7536" s="1963"/>
      <c r="BD7536" s="1963"/>
      <c r="BE7536" s="1963"/>
      <c r="BF7536" s="1963"/>
      <c r="BG7536" s="1963"/>
      <c r="BH7536" s="1963"/>
      <c r="BI7536" s="1963"/>
      <c r="BJ7536" s="1963"/>
      <c r="BK7536" s="1963"/>
      <c r="BL7536" s="1963"/>
      <c r="BM7536" s="1963"/>
      <c r="BN7536" s="1963"/>
      <c r="BO7536" s="1963"/>
      <c r="BP7536" s="1963"/>
      <c r="BQ7536" s="1963"/>
      <c r="BR7536" s="1963"/>
      <c r="BS7536" s="1963"/>
      <c r="BT7536" s="1963"/>
      <c r="BU7536" s="1963"/>
      <c r="BV7536" s="1963"/>
      <c r="BW7536" s="1963"/>
      <c r="BX7536" s="1963"/>
      <c r="BY7536" s="1963"/>
      <c r="BZ7536" s="1963"/>
      <c r="CA7536" s="1963"/>
      <c r="CB7536" s="1963"/>
      <c r="CC7536" s="1963"/>
      <c r="CD7536" s="1963"/>
      <c r="CE7536" s="1963"/>
      <c r="CF7536" s="1963"/>
      <c r="CG7536" s="1963"/>
      <c r="CH7536" s="1963"/>
      <c r="CI7536" s="1963"/>
      <c r="CJ7536" s="1963"/>
      <c r="CK7536" s="1963"/>
      <c r="CL7536" s="1963"/>
      <c r="CM7536" s="1963"/>
      <c r="CN7536" s="1963"/>
      <c r="CO7536" s="1963"/>
      <c r="CP7536" s="1963"/>
      <c r="CQ7536" s="1963"/>
      <c r="CR7536" s="1963"/>
      <c r="CS7536" s="1963"/>
      <c r="CT7536" s="1963"/>
      <c r="CU7536" s="1963"/>
      <c r="CV7536" s="1963"/>
      <c r="CW7536" s="1963"/>
      <c r="CX7536" s="1963"/>
      <c r="CY7536" s="1963"/>
      <c r="CZ7536" s="1963"/>
      <c r="DA7536" s="1963"/>
      <c r="DB7536" s="1963"/>
      <c r="DC7536" s="1963"/>
      <c r="DD7536" s="1963"/>
      <c r="DE7536" s="1963"/>
      <c r="DF7536" s="1963"/>
      <c r="DG7536" s="1963"/>
      <c r="DH7536" s="1963"/>
      <c r="DI7536" s="1963"/>
      <c r="DJ7536" s="1963"/>
      <c r="DK7536" s="1963"/>
      <c r="DL7536" s="1963"/>
      <c r="DM7536" s="1963"/>
      <c r="DN7536" s="1963"/>
      <c r="DO7536" s="1963"/>
      <c r="DP7536" s="1963"/>
      <c r="DQ7536" s="1963"/>
      <c r="DR7536" s="1963"/>
      <c r="DS7536" s="1963"/>
    </row>
    <row r="7537" spans="1:123" s="1165" customFormat="1" ht="15" customHeight="1">
      <c r="A7537" s="1170" t="s">
        <v>5820</v>
      </c>
      <c r="B7537" s="1187">
        <v>19</v>
      </c>
      <c r="C7537" s="1171">
        <v>30</v>
      </c>
      <c r="D7537" s="1172" t="s">
        <v>1812</v>
      </c>
      <c r="E7537" s="1173" t="s">
        <v>5821</v>
      </c>
      <c r="F7537" s="1968" t="s">
        <v>5822</v>
      </c>
      <c r="G7537" s="1355">
        <v>0.92</v>
      </c>
      <c r="H7537" s="734">
        <v>49.266599999999997</v>
      </c>
      <c r="I7537" s="1965">
        <f t="shared" si="50"/>
        <v>0.55374456521739146</v>
      </c>
      <c r="J7537" s="1963"/>
      <c r="K7537" s="1963"/>
      <c r="L7537" s="1963"/>
      <c r="M7537" s="1963"/>
      <c r="N7537" s="1963"/>
      <c r="O7537" s="1963"/>
      <c r="P7537" s="1963"/>
      <c r="Q7537" s="1963"/>
      <c r="R7537" s="1963"/>
      <c r="S7537" s="1963"/>
      <c r="T7537" s="1963"/>
      <c r="U7537" s="1963"/>
      <c r="V7537" s="1963"/>
      <c r="W7537" s="1963"/>
      <c r="X7537" s="1963"/>
      <c r="Y7537" s="1963"/>
      <c r="Z7537" s="1963"/>
      <c r="AA7537" s="1963"/>
      <c r="AB7537" s="1963"/>
      <c r="AC7537" s="1963"/>
      <c r="AD7537" s="1963"/>
      <c r="AE7537" s="1963"/>
      <c r="AF7537" s="1963"/>
      <c r="AG7537" s="1963"/>
      <c r="AH7537" s="1963"/>
      <c r="AI7537" s="1963"/>
      <c r="AJ7537" s="1963"/>
      <c r="AK7537" s="1963"/>
      <c r="AL7537" s="1963"/>
      <c r="AM7537" s="1963"/>
      <c r="AN7537" s="1963"/>
      <c r="AO7537" s="1963"/>
      <c r="AP7537" s="1963"/>
      <c r="AQ7537" s="1963"/>
      <c r="AR7537" s="1963"/>
      <c r="AS7537" s="1963"/>
      <c r="AT7537" s="1963"/>
      <c r="AU7537" s="1963"/>
      <c r="AV7537" s="1963"/>
      <c r="AW7537" s="1963"/>
      <c r="AX7537" s="1963"/>
      <c r="AY7537" s="1963"/>
      <c r="AZ7537" s="1963"/>
      <c r="BA7537" s="1963"/>
      <c r="BB7537" s="1963"/>
      <c r="BC7537" s="1963"/>
      <c r="BD7537" s="1963"/>
      <c r="BE7537" s="1963"/>
      <c r="BF7537" s="1963"/>
      <c r="BG7537" s="1963"/>
      <c r="BH7537" s="1963"/>
      <c r="BI7537" s="1963"/>
      <c r="BJ7537" s="1963"/>
      <c r="BK7537" s="1963"/>
      <c r="BL7537" s="1963"/>
      <c r="BM7537" s="1963"/>
      <c r="BN7537" s="1963"/>
      <c r="BO7537" s="1963"/>
      <c r="BP7537" s="1963"/>
      <c r="BQ7537" s="1963"/>
      <c r="BR7537" s="1963"/>
      <c r="BS7537" s="1963"/>
      <c r="BT7537" s="1963"/>
      <c r="BU7537" s="1963"/>
      <c r="BV7537" s="1963"/>
      <c r="BW7537" s="1963"/>
      <c r="BX7537" s="1963"/>
      <c r="BY7537" s="1963"/>
      <c r="BZ7537" s="1963"/>
      <c r="CA7537" s="1963"/>
      <c r="CB7537" s="1963"/>
      <c r="CC7537" s="1963"/>
      <c r="CD7537" s="1963"/>
      <c r="CE7537" s="1963"/>
      <c r="CF7537" s="1963"/>
      <c r="CG7537" s="1963"/>
      <c r="CH7537" s="1963"/>
      <c r="CI7537" s="1963"/>
      <c r="CJ7537" s="1963"/>
      <c r="CK7537" s="1963"/>
      <c r="CL7537" s="1963"/>
      <c r="CM7537" s="1963"/>
      <c r="CN7537" s="1963"/>
      <c r="CO7537" s="1963"/>
      <c r="CP7537" s="1963"/>
      <c r="CQ7537" s="1963"/>
      <c r="CR7537" s="1963"/>
      <c r="CS7537" s="1963"/>
      <c r="CT7537" s="1963"/>
      <c r="CU7537" s="1963"/>
      <c r="CV7537" s="1963"/>
      <c r="CW7537" s="1963"/>
      <c r="CX7537" s="1963"/>
      <c r="CY7537" s="1963"/>
      <c r="CZ7537" s="1963"/>
      <c r="DA7537" s="1963"/>
      <c r="DB7537" s="1963"/>
      <c r="DC7537" s="1963"/>
      <c r="DD7537" s="1963"/>
      <c r="DE7537" s="1963"/>
      <c r="DF7537" s="1963"/>
      <c r="DG7537" s="1963"/>
      <c r="DH7537" s="1963"/>
      <c r="DI7537" s="1963"/>
      <c r="DJ7537" s="1963"/>
      <c r="DK7537" s="1963"/>
      <c r="DL7537" s="1963"/>
      <c r="DM7537" s="1963"/>
      <c r="DN7537" s="1963"/>
      <c r="DO7537" s="1963"/>
      <c r="DP7537" s="1963"/>
      <c r="DQ7537" s="1963"/>
      <c r="DR7537" s="1963"/>
      <c r="DS7537" s="1963"/>
    </row>
    <row r="7538" spans="1:123" s="1165" customFormat="1" ht="15" customHeight="1">
      <c r="A7538" s="1170" t="s">
        <v>5820</v>
      </c>
      <c r="B7538" s="1187">
        <v>25</v>
      </c>
      <c r="C7538" s="1171">
        <v>30</v>
      </c>
      <c r="D7538" s="1172" t="s">
        <v>1812</v>
      </c>
      <c r="E7538" s="1173" t="s">
        <v>5821</v>
      </c>
      <c r="F7538" s="1968" t="s">
        <v>5822</v>
      </c>
      <c r="G7538" s="1355">
        <v>1.18</v>
      </c>
      <c r="H7538" s="735">
        <v>63.533299999999997</v>
      </c>
      <c r="I7538" s="1965">
        <f t="shared" si="50"/>
        <v>0.55131850282485884</v>
      </c>
      <c r="J7538" s="1963"/>
      <c r="K7538" s="1963"/>
      <c r="L7538" s="1963"/>
      <c r="M7538" s="1963"/>
      <c r="N7538" s="1963"/>
      <c r="O7538" s="1963"/>
      <c r="P7538" s="1963"/>
      <c r="Q7538" s="1963"/>
      <c r="R7538" s="1963"/>
      <c r="S7538" s="1963"/>
      <c r="T7538" s="1963"/>
      <c r="U7538" s="1963"/>
      <c r="V7538" s="1963"/>
      <c r="W7538" s="1963"/>
      <c r="X7538" s="1963"/>
      <c r="Y7538" s="1963"/>
      <c r="Z7538" s="1963"/>
      <c r="AA7538" s="1963"/>
      <c r="AB7538" s="1963"/>
      <c r="AC7538" s="1963"/>
      <c r="AD7538" s="1963"/>
      <c r="AE7538" s="1963"/>
      <c r="AF7538" s="1963"/>
      <c r="AG7538" s="1963"/>
      <c r="AH7538" s="1963"/>
      <c r="AI7538" s="1963"/>
      <c r="AJ7538" s="1963"/>
      <c r="AK7538" s="1963"/>
      <c r="AL7538" s="1963"/>
      <c r="AM7538" s="1963"/>
      <c r="AN7538" s="1963"/>
      <c r="AO7538" s="1963"/>
      <c r="AP7538" s="1963"/>
      <c r="AQ7538" s="1963"/>
      <c r="AR7538" s="1963"/>
      <c r="AS7538" s="1963"/>
      <c r="AT7538" s="1963"/>
      <c r="AU7538" s="1963"/>
      <c r="AV7538" s="1963"/>
      <c r="AW7538" s="1963"/>
      <c r="AX7538" s="1963"/>
      <c r="AY7538" s="1963"/>
      <c r="AZ7538" s="1963"/>
      <c r="BA7538" s="1963"/>
      <c r="BB7538" s="1963"/>
      <c r="BC7538" s="1963"/>
      <c r="BD7538" s="1963"/>
      <c r="BE7538" s="1963"/>
      <c r="BF7538" s="1963"/>
      <c r="BG7538" s="1963"/>
      <c r="BH7538" s="1963"/>
      <c r="BI7538" s="1963"/>
      <c r="BJ7538" s="1963"/>
      <c r="BK7538" s="1963"/>
      <c r="BL7538" s="1963"/>
      <c r="BM7538" s="1963"/>
      <c r="BN7538" s="1963"/>
      <c r="BO7538" s="1963"/>
      <c r="BP7538" s="1963"/>
      <c r="BQ7538" s="1963"/>
      <c r="BR7538" s="1963"/>
      <c r="BS7538" s="1963"/>
      <c r="BT7538" s="1963"/>
      <c r="BU7538" s="1963"/>
      <c r="BV7538" s="1963"/>
      <c r="BW7538" s="1963"/>
      <c r="BX7538" s="1963"/>
      <c r="BY7538" s="1963"/>
      <c r="BZ7538" s="1963"/>
      <c r="CA7538" s="1963"/>
      <c r="CB7538" s="1963"/>
      <c r="CC7538" s="1963"/>
      <c r="CD7538" s="1963"/>
      <c r="CE7538" s="1963"/>
      <c r="CF7538" s="1963"/>
      <c r="CG7538" s="1963"/>
      <c r="CH7538" s="1963"/>
      <c r="CI7538" s="1963"/>
      <c r="CJ7538" s="1963"/>
      <c r="CK7538" s="1963"/>
      <c r="CL7538" s="1963"/>
      <c r="CM7538" s="1963"/>
      <c r="CN7538" s="1963"/>
      <c r="CO7538" s="1963"/>
      <c r="CP7538" s="1963"/>
      <c r="CQ7538" s="1963"/>
      <c r="CR7538" s="1963"/>
      <c r="CS7538" s="1963"/>
      <c r="CT7538" s="1963"/>
      <c r="CU7538" s="1963"/>
      <c r="CV7538" s="1963"/>
      <c r="CW7538" s="1963"/>
      <c r="CX7538" s="1963"/>
      <c r="CY7538" s="1963"/>
      <c r="CZ7538" s="1963"/>
      <c r="DA7538" s="1963"/>
      <c r="DB7538" s="1963"/>
      <c r="DC7538" s="1963"/>
      <c r="DD7538" s="1963"/>
      <c r="DE7538" s="1963"/>
      <c r="DF7538" s="1963"/>
      <c r="DG7538" s="1963"/>
      <c r="DH7538" s="1963"/>
      <c r="DI7538" s="1963"/>
      <c r="DJ7538" s="1963"/>
      <c r="DK7538" s="1963"/>
      <c r="DL7538" s="1963"/>
      <c r="DM7538" s="1963"/>
      <c r="DN7538" s="1963"/>
      <c r="DO7538" s="1963"/>
      <c r="DP7538" s="1963"/>
      <c r="DQ7538" s="1963"/>
      <c r="DR7538" s="1963"/>
      <c r="DS7538" s="1963"/>
    </row>
    <row r="7539" spans="1:123" s="1165" customFormat="1" ht="15" customHeight="1">
      <c r="A7539" s="1170" t="s">
        <v>5820</v>
      </c>
      <c r="B7539" s="1187">
        <v>32</v>
      </c>
      <c r="C7539" s="1171">
        <v>30</v>
      </c>
      <c r="D7539" s="1172" t="s">
        <v>1812</v>
      </c>
      <c r="E7539" s="1173" t="s">
        <v>5821</v>
      </c>
      <c r="F7539" s="1968" t="s">
        <v>5822</v>
      </c>
      <c r="G7539" s="1355">
        <v>1.55</v>
      </c>
      <c r="H7539" s="734">
        <v>83.166600000000003</v>
      </c>
      <c r="I7539" s="1965">
        <f t="shared" si="50"/>
        <v>0.55286774193548394</v>
      </c>
      <c r="J7539" s="1963"/>
      <c r="K7539" s="1963"/>
      <c r="L7539" s="1963"/>
      <c r="M7539" s="1963"/>
      <c r="N7539" s="1963"/>
      <c r="O7539" s="1963"/>
      <c r="P7539" s="1963"/>
      <c r="Q7539" s="1963"/>
      <c r="R7539" s="1963"/>
      <c r="S7539" s="1963"/>
      <c r="T7539" s="1963"/>
      <c r="U7539" s="1963"/>
      <c r="V7539" s="1963"/>
      <c r="W7539" s="1963"/>
      <c r="X7539" s="1963"/>
      <c r="Y7539" s="1963"/>
      <c r="Z7539" s="1963"/>
      <c r="AA7539" s="1963"/>
      <c r="AB7539" s="1963"/>
      <c r="AC7539" s="1963"/>
      <c r="AD7539" s="1963"/>
      <c r="AE7539" s="1963"/>
      <c r="AF7539" s="1963"/>
      <c r="AG7539" s="1963"/>
      <c r="AH7539" s="1963"/>
      <c r="AI7539" s="1963"/>
      <c r="AJ7539" s="1963"/>
      <c r="AK7539" s="1963"/>
      <c r="AL7539" s="1963"/>
      <c r="AM7539" s="1963"/>
      <c r="AN7539" s="1963"/>
      <c r="AO7539" s="1963"/>
      <c r="AP7539" s="1963"/>
      <c r="AQ7539" s="1963"/>
      <c r="AR7539" s="1963"/>
      <c r="AS7539" s="1963"/>
      <c r="AT7539" s="1963"/>
      <c r="AU7539" s="1963"/>
      <c r="AV7539" s="1963"/>
      <c r="AW7539" s="1963"/>
      <c r="AX7539" s="1963"/>
      <c r="AY7539" s="1963"/>
      <c r="AZ7539" s="1963"/>
      <c r="BA7539" s="1963"/>
      <c r="BB7539" s="1963"/>
      <c r="BC7539" s="1963"/>
      <c r="BD7539" s="1963"/>
      <c r="BE7539" s="1963"/>
      <c r="BF7539" s="1963"/>
      <c r="BG7539" s="1963"/>
      <c r="BH7539" s="1963"/>
      <c r="BI7539" s="1963"/>
      <c r="BJ7539" s="1963"/>
      <c r="BK7539" s="1963"/>
      <c r="BL7539" s="1963"/>
      <c r="BM7539" s="1963"/>
      <c r="BN7539" s="1963"/>
      <c r="BO7539" s="1963"/>
      <c r="BP7539" s="1963"/>
      <c r="BQ7539" s="1963"/>
      <c r="BR7539" s="1963"/>
      <c r="BS7539" s="1963"/>
      <c r="BT7539" s="1963"/>
      <c r="BU7539" s="1963"/>
      <c r="BV7539" s="1963"/>
      <c r="BW7539" s="1963"/>
      <c r="BX7539" s="1963"/>
      <c r="BY7539" s="1963"/>
      <c r="BZ7539" s="1963"/>
      <c r="CA7539" s="1963"/>
      <c r="CB7539" s="1963"/>
      <c r="CC7539" s="1963"/>
      <c r="CD7539" s="1963"/>
      <c r="CE7539" s="1963"/>
      <c r="CF7539" s="1963"/>
      <c r="CG7539" s="1963"/>
      <c r="CH7539" s="1963"/>
      <c r="CI7539" s="1963"/>
      <c r="CJ7539" s="1963"/>
      <c r="CK7539" s="1963"/>
      <c r="CL7539" s="1963"/>
      <c r="CM7539" s="1963"/>
      <c r="CN7539" s="1963"/>
      <c r="CO7539" s="1963"/>
      <c r="CP7539" s="1963"/>
      <c r="CQ7539" s="1963"/>
      <c r="CR7539" s="1963"/>
      <c r="CS7539" s="1963"/>
      <c r="CT7539" s="1963"/>
      <c r="CU7539" s="1963"/>
      <c r="CV7539" s="1963"/>
      <c r="CW7539" s="1963"/>
      <c r="CX7539" s="1963"/>
      <c r="CY7539" s="1963"/>
      <c r="CZ7539" s="1963"/>
      <c r="DA7539" s="1963"/>
      <c r="DB7539" s="1963"/>
      <c r="DC7539" s="1963"/>
      <c r="DD7539" s="1963"/>
      <c r="DE7539" s="1963"/>
      <c r="DF7539" s="1963"/>
      <c r="DG7539" s="1963"/>
      <c r="DH7539" s="1963"/>
      <c r="DI7539" s="1963"/>
      <c r="DJ7539" s="1963"/>
      <c r="DK7539" s="1963"/>
      <c r="DL7539" s="1963"/>
      <c r="DM7539" s="1963"/>
      <c r="DN7539" s="1963"/>
      <c r="DO7539" s="1963"/>
      <c r="DP7539" s="1963"/>
      <c r="DQ7539" s="1963"/>
      <c r="DR7539" s="1963"/>
      <c r="DS7539" s="1963"/>
    </row>
    <row r="7540" spans="1:123" s="1165" customFormat="1" ht="15" customHeight="1">
      <c r="A7540" s="1170" t="s">
        <v>5820</v>
      </c>
      <c r="B7540" s="1187">
        <v>38</v>
      </c>
      <c r="C7540" s="1171">
        <v>30</v>
      </c>
      <c r="D7540" s="1172" t="s">
        <v>1812</v>
      </c>
      <c r="E7540" s="1173" t="s">
        <v>5821</v>
      </c>
      <c r="F7540" s="1968" t="s">
        <v>5822</v>
      </c>
      <c r="G7540" s="1355">
        <v>1.93</v>
      </c>
      <c r="H7540" s="734">
        <v>104.13330000000001</v>
      </c>
      <c r="I7540" s="1965">
        <f t="shared" si="50"/>
        <v>0.55037435233160614</v>
      </c>
      <c r="J7540" s="1963"/>
      <c r="K7540" s="1963"/>
      <c r="L7540" s="1963"/>
      <c r="M7540" s="1963"/>
      <c r="N7540" s="1963"/>
      <c r="O7540" s="1963"/>
      <c r="P7540" s="1963"/>
      <c r="Q7540" s="1963"/>
      <c r="R7540" s="1963"/>
      <c r="S7540" s="1963"/>
      <c r="T7540" s="1963"/>
      <c r="U7540" s="1963"/>
      <c r="V7540" s="1963"/>
      <c r="W7540" s="1963"/>
      <c r="X7540" s="1963"/>
      <c r="Y7540" s="1963"/>
      <c r="Z7540" s="1963"/>
      <c r="AA7540" s="1963"/>
      <c r="AB7540" s="1963"/>
      <c r="AC7540" s="1963"/>
      <c r="AD7540" s="1963"/>
      <c r="AE7540" s="1963"/>
      <c r="AF7540" s="1963"/>
      <c r="AG7540" s="1963"/>
      <c r="AH7540" s="1963"/>
      <c r="AI7540" s="1963"/>
      <c r="AJ7540" s="1963"/>
      <c r="AK7540" s="1963"/>
      <c r="AL7540" s="1963"/>
      <c r="AM7540" s="1963"/>
      <c r="AN7540" s="1963"/>
      <c r="AO7540" s="1963"/>
      <c r="AP7540" s="1963"/>
      <c r="AQ7540" s="1963"/>
      <c r="AR7540" s="1963"/>
      <c r="AS7540" s="1963"/>
      <c r="AT7540" s="1963"/>
      <c r="AU7540" s="1963"/>
      <c r="AV7540" s="1963"/>
      <c r="AW7540" s="1963"/>
      <c r="AX7540" s="1963"/>
      <c r="AY7540" s="1963"/>
      <c r="AZ7540" s="1963"/>
      <c r="BA7540" s="1963"/>
      <c r="BB7540" s="1963"/>
      <c r="BC7540" s="1963"/>
      <c r="BD7540" s="1963"/>
      <c r="BE7540" s="1963"/>
      <c r="BF7540" s="1963"/>
      <c r="BG7540" s="1963"/>
      <c r="BH7540" s="1963"/>
      <c r="BI7540" s="1963"/>
      <c r="BJ7540" s="1963"/>
      <c r="BK7540" s="1963"/>
      <c r="BL7540" s="1963"/>
      <c r="BM7540" s="1963"/>
      <c r="BN7540" s="1963"/>
      <c r="BO7540" s="1963"/>
      <c r="BP7540" s="1963"/>
      <c r="BQ7540" s="1963"/>
      <c r="BR7540" s="1963"/>
      <c r="BS7540" s="1963"/>
      <c r="BT7540" s="1963"/>
      <c r="BU7540" s="1963"/>
      <c r="BV7540" s="1963"/>
      <c r="BW7540" s="1963"/>
      <c r="BX7540" s="1963"/>
      <c r="BY7540" s="1963"/>
      <c r="BZ7540" s="1963"/>
      <c r="CA7540" s="1963"/>
      <c r="CB7540" s="1963"/>
      <c r="CC7540" s="1963"/>
      <c r="CD7540" s="1963"/>
      <c r="CE7540" s="1963"/>
      <c r="CF7540" s="1963"/>
      <c r="CG7540" s="1963"/>
      <c r="CH7540" s="1963"/>
      <c r="CI7540" s="1963"/>
      <c r="CJ7540" s="1963"/>
      <c r="CK7540" s="1963"/>
      <c r="CL7540" s="1963"/>
      <c r="CM7540" s="1963"/>
      <c r="CN7540" s="1963"/>
      <c r="CO7540" s="1963"/>
      <c r="CP7540" s="1963"/>
      <c r="CQ7540" s="1963"/>
      <c r="CR7540" s="1963"/>
      <c r="CS7540" s="1963"/>
      <c r="CT7540" s="1963"/>
      <c r="CU7540" s="1963"/>
      <c r="CV7540" s="1963"/>
      <c r="CW7540" s="1963"/>
      <c r="CX7540" s="1963"/>
      <c r="CY7540" s="1963"/>
      <c r="CZ7540" s="1963"/>
      <c r="DA7540" s="1963"/>
      <c r="DB7540" s="1963"/>
      <c r="DC7540" s="1963"/>
      <c r="DD7540" s="1963"/>
      <c r="DE7540" s="1963"/>
      <c r="DF7540" s="1963"/>
      <c r="DG7540" s="1963"/>
      <c r="DH7540" s="1963"/>
      <c r="DI7540" s="1963"/>
      <c r="DJ7540" s="1963"/>
      <c r="DK7540" s="1963"/>
      <c r="DL7540" s="1963"/>
      <c r="DM7540" s="1963"/>
      <c r="DN7540" s="1963"/>
      <c r="DO7540" s="1963"/>
      <c r="DP7540" s="1963"/>
      <c r="DQ7540" s="1963"/>
      <c r="DR7540" s="1963"/>
      <c r="DS7540" s="1963"/>
    </row>
    <row r="7541" spans="1:123" s="1165" customFormat="1" ht="15" customHeight="1">
      <c r="A7541" s="1170" t="s">
        <v>5820</v>
      </c>
      <c r="B7541" s="1187">
        <v>50</v>
      </c>
      <c r="C7541" s="1171">
        <v>30</v>
      </c>
      <c r="D7541" s="1172" t="s">
        <v>1812</v>
      </c>
      <c r="E7541" s="1173" t="s">
        <v>5821</v>
      </c>
      <c r="F7541" s="1968" t="s">
        <v>5822</v>
      </c>
      <c r="G7541" s="1355">
        <v>2.76</v>
      </c>
      <c r="H7541" s="735">
        <v>149</v>
      </c>
      <c r="I7541" s="1965">
        <f t="shared" si="50"/>
        <v>0.5501207729468599</v>
      </c>
      <c r="J7541" s="1963"/>
      <c r="K7541" s="1963"/>
      <c r="L7541" s="1963"/>
      <c r="M7541" s="1963"/>
      <c r="N7541" s="1963"/>
      <c r="O7541" s="1963"/>
      <c r="P7541" s="1963"/>
      <c r="Q7541" s="1963"/>
      <c r="R7541" s="1963"/>
      <c r="S7541" s="1963"/>
      <c r="T7541" s="1963"/>
      <c r="U7541" s="1963"/>
      <c r="V7541" s="1963"/>
      <c r="W7541" s="1963"/>
      <c r="X7541" s="1963"/>
      <c r="Y7541" s="1963"/>
      <c r="Z7541" s="1963"/>
      <c r="AA7541" s="1963"/>
      <c r="AB7541" s="1963"/>
      <c r="AC7541" s="1963"/>
      <c r="AD7541" s="1963"/>
      <c r="AE7541" s="1963"/>
      <c r="AF7541" s="1963"/>
      <c r="AG7541" s="1963"/>
      <c r="AH7541" s="1963"/>
      <c r="AI7541" s="1963"/>
      <c r="AJ7541" s="1963"/>
      <c r="AK7541" s="1963"/>
      <c r="AL7541" s="1963"/>
      <c r="AM7541" s="1963"/>
      <c r="AN7541" s="1963"/>
      <c r="AO7541" s="1963"/>
      <c r="AP7541" s="1963"/>
      <c r="AQ7541" s="1963"/>
      <c r="AR7541" s="1963"/>
      <c r="AS7541" s="1963"/>
      <c r="AT7541" s="1963"/>
      <c r="AU7541" s="1963"/>
      <c r="AV7541" s="1963"/>
      <c r="AW7541" s="1963"/>
      <c r="AX7541" s="1963"/>
      <c r="AY7541" s="1963"/>
      <c r="AZ7541" s="1963"/>
      <c r="BA7541" s="1963"/>
      <c r="BB7541" s="1963"/>
      <c r="BC7541" s="1963"/>
      <c r="BD7541" s="1963"/>
      <c r="BE7541" s="1963"/>
      <c r="BF7541" s="1963"/>
      <c r="BG7541" s="1963"/>
      <c r="BH7541" s="1963"/>
      <c r="BI7541" s="1963"/>
      <c r="BJ7541" s="1963"/>
      <c r="BK7541" s="1963"/>
      <c r="BL7541" s="1963"/>
      <c r="BM7541" s="1963"/>
      <c r="BN7541" s="1963"/>
      <c r="BO7541" s="1963"/>
      <c r="BP7541" s="1963"/>
      <c r="BQ7541" s="1963"/>
      <c r="BR7541" s="1963"/>
      <c r="BS7541" s="1963"/>
      <c r="BT7541" s="1963"/>
      <c r="BU7541" s="1963"/>
      <c r="BV7541" s="1963"/>
      <c r="BW7541" s="1963"/>
      <c r="BX7541" s="1963"/>
      <c r="BY7541" s="1963"/>
      <c r="BZ7541" s="1963"/>
      <c r="CA7541" s="1963"/>
      <c r="CB7541" s="1963"/>
      <c r="CC7541" s="1963"/>
      <c r="CD7541" s="1963"/>
      <c r="CE7541" s="1963"/>
      <c r="CF7541" s="1963"/>
      <c r="CG7541" s="1963"/>
      <c r="CH7541" s="1963"/>
      <c r="CI7541" s="1963"/>
      <c r="CJ7541" s="1963"/>
      <c r="CK7541" s="1963"/>
      <c r="CL7541" s="1963"/>
      <c r="CM7541" s="1963"/>
      <c r="CN7541" s="1963"/>
      <c r="CO7541" s="1963"/>
      <c r="CP7541" s="1963"/>
      <c r="CQ7541" s="1963"/>
      <c r="CR7541" s="1963"/>
      <c r="CS7541" s="1963"/>
      <c r="CT7541" s="1963"/>
      <c r="CU7541" s="1963"/>
      <c r="CV7541" s="1963"/>
      <c r="CW7541" s="1963"/>
      <c r="CX7541" s="1963"/>
      <c r="CY7541" s="1963"/>
      <c r="CZ7541" s="1963"/>
      <c r="DA7541" s="1963"/>
      <c r="DB7541" s="1963"/>
      <c r="DC7541" s="1963"/>
      <c r="DD7541" s="1963"/>
      <c r="DE7541" s="1963"/>
      <c r="DF7541" s="1963"/>
      <c r="DG7541" s="1963"/>
      <c r="DH7541" s="1963"/>
      <c r="DI7541" s="1963"/>
      <c r="DJ7541" s="1963"/>
      <c r="DK7541" s="1963"/>
      <c r="DL7541" s="1963"/>
      <c r="DM7541" s="1963"/>
      <c r="DN7541" s="1963"/>
      <c r="DO7541" s="1963"/>
      <c r="DP7541" s="1963"/>
      <c r="DQ7541" s="1963"/>
      <c r="DR7541" s="1963"/>
      <c r="DS7541" s="1963"/>
    </row>
    <row r="7542" spans="1:123" s="59" customFormat="1" ht="15" customHeight="1">
      <c r="A7542" s="1170" t="s">
        <v>2356</v>
      </c>
      <c r="B7542" s="1187">
        <v>3</v>
      </c>
      <c r="C7542" s="1171">
        <v>40</v>
      </c>
      <c r="D7542" s="1172" t="s">
        <v>1812</v>
      </c>
      <c r="E7542" s="1967" t="s">
        <v>289</v>
      </c>
      <c r="F7542" s="1967" t="s">
        <v>2357</v>
      </c>
      <c r="G7542" s="1355">
        <v>1.29</v>
      </c>
      <c r="H7542" s="734">
        <v>69.25</v>
      </c>
      <c r="I7542" s="1965">
        <f t="shared" si="50"/>
        <v>0.55264857881136953</v>
      </c>
      <c r="J7542" s="1963"/>
      <c r="K7542" s="1963"/>
      <c r="L7542" s="1963"/>
      <c r="M7542" s="1963"/>
      <c r="N7542" s="1963"/>
      <c r="O7542" s="1963"/>
      <c r="P7542" s="1963"/>
      <c r="Q7542" s="1963"/>
      <c r="R7542" s="1963"/>
      <c r="S7542" s="1963"/>
      <c r="T7542" s="1963"/>
      <c r="U7542" s="1963"/>
      <c r="V7542" s="1963"/>
      <c r="W7542" s="1963"/>
      <c r="X7542" s="1963"/>
      <c r="Y7542" s="1963"/>
      <c r="Z7542" s="1963"/>
      <c r="AA7542" s="1963"/>
      <c r="AB7542" s="1963"/>
      <c r="AC7542" s="1963"/>
      <c r="AD7542" s="1963"/>
      <c r="AE7542" s="1963"/>
      <c r="AF7542" s="1963"/>
      <c r="AG7542" s="1963"/>
      <c r="AH7542" s="1963"/>
      <c r="AI7542" s="1963"/>
      <c r="AJ7542" s="1963"/>
      <c r="AK7542" s="1963"/>
      <c r="AL7542" s="1963"/>
      <c r="AM7542" s="1963"/>
      <c r="AN7542" s="1963"/>
      <c r="AO7542" s="1963"/>
      <c r="AP7542" s="1963"/>
      <c r="AQ7542" s="1963"/>
      <c r="AR7542" s="1963"/>
      <c r="AS7542" s="1963"/>
      <c r="AT7542" s="1963"/>
      <c r="AU7542" s="1963"/>
      <c r="AV7542" s="1963"/>
      <c r="AW7542" s="1963"/>
      <c r="AX7542" s="1963"/>
      <c r="AY7542" s="1963"/>
      <c r="AZ7542" s="1963"/>
      <c r="BA7542" s="1963"/>
      <c r="BB7542" s="1963"/>
      <c r="BC7542" s="1963"/>
      <c r="BD7542" s="1963"/>
      <c r="BE7542" s="1963"/>
      <c r="BF7542" s="1963"/>
      <c r="BG7542" s="1963"/>
      <c r="BH7542" s="1963"/>
      <c r="BI7542" s="1963"/>
      <c r="BJ7542" s="1963"/>
      <c r="BK7542" s="1963"/>
      <c r="BL7542" s="1963"/>
      <c r="BM7542" s="1963"/>
      <c r="BN7542" s="1963"/>
      <c r="BO7542" s="1963"/>
      <c r="BP7542" s="1963"/>
      <c r="BQ7542" s="1963"/>
      <c r="BR7542" s="1963"/>
      <c r="BS7542" s="1963"/>
      <c r="BT7542" s="1963"/>
      <c r="BU7542" s="1963"/>
      <c r="BV7542" s="1963"/>
      <c r="BW7542" s="1963"/>
      <c r="BX7542" s="1963"/>
      <c r="BY7542" s="1963"/>
      <c r="BZ7542" s="1963"/>
      <c r="CA7542" s="1963"/>
      <c r="CB7542" s="1963"/>
      <c r="CC7542" s="1963"/>
      <c r="CD7542" s="1963"/>
      <c r="CE7542" s="1963"/>
      <c r="CF7542" s="1963"/>
      <c r="CG7542" s="1963"/>
      <c r="CH7542" s="1963"/>
      <c r="CI7542" s="1963"/>
      <c r="CJ7542" s="1963"/>
      <c r="CK7542" s="1963"/>
      <c r="CL7542" s="1963"/>
      <c r="CM7542" s="1963"/>
      <c r="CN7542" s="1963"/>
      <c r="CO7542" s="1963"/>
      <c r="CP7542" s="1963"/>
      <c r="CQ7542" s="1963"/>
      <c r="CR7542" s="1963"/>
      <c r="CS7542" s="1963"/>
      <c r="CT7542" s="1963"/>
      <c r="CU7542" s="1963"/>
      <c r="CV7542" s="1963"/>
      <c r="CW7542" s="1963"/>
      <c r="CX7542" s="1963"/>
      <c r="CY7542" s="1963"/>
      <c r="CZ7542" s="1963"/>
      <c r="DA7542" s="1963"/>
      <c r="DB7542" s="1963"/>
      <c r="DC7542" s="1963"/>
      <c r="DD7542" s="1963"/>
      <c r="DE7542" s="1963"/>
      <c r="DF7542" s="1963"/>
      <c r="DG7542" s="1963"/>
      <c r="DH7542" s="1963"/>
      <c r="DI7542" s="1963"/>
      <c r="DJ7542" s="1963"/>
      <c r="DK7542" s="1963"/>
      <c r="DL7542" s="1963"/>
      <c r="DM7542" s="1963"/>
      <c r="DN7542" s="1963"/>
      <c r="DO7542" s="1963"/>
      <c r="DP7542" s="1963"/>
    </row>
    <row r="7543" spans="1:123" s="59" customFormat="1" ht="15" customHeight="1">
      <c r="A7543" s="1170" t="s">
        <v>2356</v>
      </c>
      <c r="B7543" s="1187">
        <v>6</v>
      </c>
      <c r="C7543" s="1171">
        <v>10</v>
      </c>
      <c r="D7543" s="1172" t="s">
        <v>1812</v>
      </c>
      <c r="E7543" s="1967" t="s">
        <v>289</v>
      </c>
      <c r="F7543" s="1967" t="s">
        <v>2357</v>
      </c>
      <c r="G7543" s="1355">
        <v>1.35</v>
      </c>
      <c r="H7543" s="734">
        <v>72.599999999999994</v>
      </c>
      <c r="I7543" s="1965">
        <f t="shared" si="50"/>
        <v>0.55185185185185193</v>
      </c>
      <c r="J7543" s="1963"/>
      <c r="K7543" s="1963"/>
      <c r="L7543" s="1963"/>
      <c r="M7543" s="1963"/>
      <c r="N7543" s="1963"/>
      <c r="O7543" s="1963"/>
      <c r="P7543" s="1963"/>
      <c r="Q7543" s="1963"/>
      <c r="R7543" s="1963"/>
      <c r="S7543" s="1963"/>
      <c r="T7543" s="1963"/>
      <c r="U7543" s="1963"/>
      <c r="V7543" s="1963"/>
      <c r="W7543" s="1963"/>
      <c r="X7543" s="1963"/>
      <c r="Y7543" s="1963"/>
      <c r="Z7543" s="1963"/>
      <c r="AA7543" s="1963"/>
      <c r="AB7543" s="1963"/>
      <c r="AC7543" s="1963"/>
      <c r="AD7543" s="1963"/>
      <c r="AE7543" s="1963"/>
      <c r="AF7543" s="1963"/>
      <c r="AG7543" s="1963"/>
      <c r="AH7543" s="1963"/>
      <c r="AI7543" s="1963"/>
      <c r="AJ7543" s="1963"/>
      <c r="AK7543" s="1963"/>
      <c r="AL7543" s="1963"/>
      <c r="AM7543" s="1963"/>
      <c r="AN7543" s="1963"/>
      <c r="AO7543" s="1963"/>
      <c r="AP7543" s="1963"/>
      <c r="AQ7543" s="1963"/>
      <c r="AR7543" s="1963"/>
      <c r="AS7543" s="1963"/>
      <c r="AT7543" s="1963"/>
      <c r="AU7543" s="1963"/>
      <c r="AV7543" s="1963"/>
      <c r="AW7543" s="1963"/>
      <c r="AX7543" s="1963"/>
      <c r="AY7543" s="1963"/>
      <c r="AZ7543" s="1963"/>
      <c r="BA7543" s="1963"/>
      <c r="BB7543" s="1963"/>
      <c r="BC7543" s="1963"/>
      <c r="BD7543" s="1963"/>
      <c r="BE7543" s="1963"/>
      <c r="BF7543" s="1963"/>
      <c r="BG7543" s="1963"/>
      <c r="BH7543" s="1963"/>
      <c r="BI7543" s="1963"/>
      <c r="BJ7543" s="1963"/>
      <c r="BK7543" s="1963"/>
      <c r="BL7543" s="1963"/>
      <c r="BM7543" s="1963"/>
      <c r="BN7543" s="1963"/>
      <c r="BO7543" s="1963"/>
      <c r="BP7543" s="1963"/>
      <c r="BQ7543" s="1963"/>
      <c r="BR7543" s="1963"/>
      <c r="BS7543" s="1963"/>
      <c r="BT7543" s="1963"/>
      <c r="BU7543" s="1963"/>
      <c r="BV7543" s="1963"/>
      <c r="BW7543" s="1963"/>
      <c r="BX7543" s="1963"/>
      <c r="BY7543" s="1963"/>
      <c r="BZ7543" s="1963"/>
      <c r="CA7543" s="1963"/>
      <c r="CB7543" s="1963"/>
      <c r="CC7543" s="1963"/>
      <c r="CD7543" s="1963"/>
      <c r="CE7543" s="1963"/>
      <c r="CF7543" s="1963"/>
      <c r="CG7543" s="1963"/>
      <c r="CH7543" s="1963"/>
      <c r="CI7543" s="1963"/>
      <c r="CJ7543" s="1963"/>
      <c r="CK7543" s="1963"/>
      <c r="CL7543" s="1963"/>
      <c r="CM7543" s="1963"/>
      <c r="CN7543" s="1963"/>
      <c r="CO7543" s="1963"/>
      <c r="CP7543" s="1963"/>
      <c r="CQ7543" s="1963"/>
      <c r="CR7543" s="1963"/>
      <c r="CS7543" s="1963"/>
      <c r="CT7543" s="1963"/>
      <c r="CU7543" s="1963"/>
      <c r="CV7543" s="1963"/>
      <c r="CW7543" s="1963"/>
      <c r="CX7543" s="1963"/>
      <c r="CY7543" s="1963"/>
      <c r="CZ7543" s="1963"/>
      <c r="DA7543" s="1963"/>
      <c r="DB7543" s="1963"/>
      <c r="DC7543" s="1963"/>
      <c r="DD7543" s="1963"/>
      <c r="DE7543" s="1963"/>
      <c r="DF7543" s="1963"/>
      <c r="DG7543" s="1963"/>
      <c r="DH7543" s="1963"/>
      <c r="DI7543" s="1963"/>
      <c r="DJ7543" s="1963"/>
      <c r="DK7543" s="1963"/>
      <c r="DL7543" s="1963"/>
      <c r="DM7543" s="1963"/>
      <c r="DN7543" s="1963"/>
      <c r="DO7543" s="1963"/>
      <c r="DP7543" s="1963"/>
    </row>
    <row r="7544" spans="1:123" s="59" customFormat="1" ht="15" customHeight="1">
      <c r="A7544" s="1170" t="s">
        <v>2356</v>
      </c>
      <c r="B7544" s="1187">
        <v>9</v>
      </c>
      <c r="C7544" s="1171">
        <v>10</v>
      </c>
      <c r="D7544" s="1172" t="s">
        <v>1812</v>
      </c>
      <c r="E7544" s="1967" t="s">
        <v>289</v>
      </c>
      <c r="F7544" s="1967" t="s">
        <v>2357</v>
      </c>
      <c r="G7544" s="1355">
        <v>1.49</v>
      </c>
      <c r="H7544" s="734">
        <v>80.3</v>
      </c>
      <c r="I7544" s="1965">
        <f t="shared" si="50"/>
        <v>0.55089485458612975</v>
      </c>
      <c r="J7544" s="1963"/>
      <c r="K7544" s="1963"/>
      <c r="L7544" s="1963"/>
      <c r="M7544" s="1963"/>
      <c r="N7544" s="1963"/>
      <c r="O7544" s="1963"/>
      <c r="P7544" s="1963"/>
      <c r="Q7544" s="1963"/>
      <c r="R7544" s="1963"/>
      <c r="S7544" s="1963"/>
      <c r="T7544" s="1963"/>
      <c r="U7544" s="1963"/>
      <c r="V7544" s="1963"/>
      <c r="W7544" s="1963"/>
      <c r="X7544" s="1963"/>
      <c r="Y7544" s="1963"/>
      <c r="Z7544" s="1963"/>
      <c r="AA7544" s="1963"/>
      <c r="AB7544" s="1963"/>
      <c r="AC7544" s="1963"/>
      <c r="AD7544" s="1963"/>
      <c r="AE7544" s="1963"/>
      <c r="AF7544" s="1963"/>
      <c r="AG7544" s="1963"/>
      <c r="AH7544" s="1963"/>
      <c r="AI7544" s="1963"/>
      <c r="AJ7544" s="1963"/>
      <c r="AK7544" s="1963"/>
      <c r="AL7544" s="1963"/>
      <c r="AM7544" s="1963"/>
      <c r="AN7544" s="1963"/>
      <c r="AO7544" s="1963"/>
      <c r="AP7544" s="1963"/>
      <c r="AQ7544" s="1963"/>
      <c r="AR7544" s="1963"/>
      <c r="AS7544" s="1963"/>
      <c r="AT7544" s="1963"/>
      <c r="AU7544" s="1963"/>
      <c r="AV7544" s="1963"/>
      <c r="AW7544" s="1963"/>
      <c r="AX7544" s="1963"/>
      <c r="AY7544" s="1963"/>
      <c r="AZ7544" s="1963"/>
      <c r="BA7544" s="1963"/>
      <c r="BB7544" s="1963"/>
      <c r="BC7544" s="1963"/>
      <c r="BD7544" s="1963"/>
      <c r="BE7544" s="1963"/>
      <c r="BF7544" s="1963"/>
      <c r="BG7544" s="1963"/>
      <c r="BH7544" s="1963"/>
      <c r="BI7544" s="1963"/>
      <c r="BJ7544" s="1963"/>
      <c r="BK7544" s="1963"/>
      <c r="BL7544" s="1963"/>
      <c r="BM7544" s="1963"/>
      <c r="BN7544" s="1963"/>
      <c r="BO7544" s="1963"/>
      <c r="BP7544" s="1963"/>
      <c r="BQ7544" s="1963"/>
      <c r="BR7544" s="1963"/>
      <c r="BS7544" s="1963"/>
      <c r="BT7544" s="1963"/>
      <c r="BU7544" s="1963"/>
      <c r="BV7544" s="1963"/>
      <c r="BW7544" s="1963"/>
      <c r="BX7544" s="1963"/>
      <c r="BY7544" s="1963"/>
      <c r="BZ7544" s="1963"/>
      <c r="CA7544" s="1963"/>
      <c r="CB7544" s="1963"/>
      <c r="CC7544" s="1963"/>
      <c r="CD7544" s="1963"/>
      <c r="CE7544" s="1963"/>
      <c r="CF7544" s="1963"/>
      <c r="CG7544" s="1963"/>
      <c r="CH7544" s="1963"/>
      <c r="CI7544" s="1963"/>
      <c r="CJ7544" s="1963"/>
      <c r="CK7544" s="1963"/>
      <c r="CL7544" s="1963"/>
      <c r="CM7544" s="1963"/>
      <c r="CN7544" s="1963"/>
      <c r="CO7544" s="1963"/>
      <c r="CP7544" s="1963"/>
      <c r="CQ7544" s="1963"/>
      <c r="CR7544" s="1963"/>
      <c r="CS7544" s="1963"/>
      <c r="CT7544" s="1963"/>
      <c r="CU7544" s="1963"/>
      <c r="CV7544" s="1963"/>
      <c r="CW7544" s="1963"/>
      <c r="CX7544" s="1963"/>
      <c r="CY7544" s="1963"/>
      <c r="CZ7544" s="1963"/>
      <c r="DA7544" s="1963"/>
      <c r="DB7544" s="1963"/>
      <c r="DC7544" s="1963"/>
      <c r="DD7544" s="1963"/>
      <c r="DE7544" s="1963"/>
      <c r="DF7544" s="1963"/>
      <c r="DG7544" s="1963"/>
      <c r="DH7544" s="1963"/>
      <c r="DI7544" s="1963"/>
      <c r="DJ7544" s="1963"/>
      <c r="DK7544" s="1963"/>
      <c r="DL7544" s="1963"/>
      <c r="DM7544" s="1963"/>
      <c r="DN7544" s="1963"/>
      <c r="DO7544" s="1963"/>
      <c r="DP7544" s="1963"/>
    </row>
    <row r="7545" spans="1:123" s="59" customFormat="1" ht="15" customHeight="1">
      <c r="A7545" s="1170" t="s">
        <v>2356</v>
      </c>
      <c r="B7545" s="1187">
        <v>12</v>
      </c>
      <c r="C7545" s="1171">
        <v>10</v>
      </c>
      <c r="D7545" s="1172" t="s">
        <v>1812</v>
      </c>
      <c r="E7545" s="1967" t="s">
        <v>289</v>
      </c>
      <c r="F7545" s="1967" t="s">
        <v>2357</v>
      </c>
      <c r="G7545" s="1355">
        <v>1.61</v>
      </c>
      <c r="H7545" s="734">
        <v>86.8</v>
      </c>
      <c r="I7545" s="1965">
        <f t="shared" si="50"/>
        <v>0.55072463768115953</v>
      </c>
      <c r="J7545" s="1963"/>
      <c r="K7545" s="1963"/>
      <c r="L7545" s="1963"/>
      <c r="M7545" s="1963"/>
      <c r="N7545" s="1963"/>
      <c r="O7545" s="1963"/>
      <c r="P7545" s="1963"/>
      <c r="Q7545" s="1963"/>
      <c r="R7545" s="1963"/>
      <c r="S7545" s="1963"/>
      <c r="T7545" s="1963"/>
      <c r="U7545" s="1963"/>
      <c r="V7545" s="1963"/>
      <c r="W7545" s="1963"/>
      <c r="X7545" s="1963"/>
      <c r="Y7545" s="1963"/>
      <c r="Z7545" s="1963"/>
      <c r="AA7545" s="1963"/>
      <c r="AB7545" s="1963"/>
      <c r="AC7545" s="1963"/>
      <c r="AD7545" s="1963"/>
      <c r="AE7545" s="1963"/>
      <c r="AF7545" s="1963"/>
      <c r="AG7545" s="1963"/>
      <c r="AH7545" s="1963"/>
      <c r="AI7545" s="1963"/>
      <c r="AJ7545" s="1963"/>
      <c r="AK7545" s="1963"/>
      <c r="AL7545" s="1963"/>
      <c r="AM7545" s="1963"/>
      <c r="AN7545" s="1963"/>
      <c r="AO7545" s="1963"/>
      <c r="AP7545" s="1963"/>
      <c r="AQ7545" s="1963"/>
      <c r="AR7545" s="1963"/>
      <c r="AS7545" s="1963"/>
      <c r="AT7545" s="1963"/>
      <c r="AU7545" s="1963"/>
      <c r="AV7545" s="1963"/>
      <c r="AW7545" s="1963"/>
      <c r="AX7545" s="1963"/>
      <c r="AY7545" s="1963"/>
      <c r="AZ7545" s="1963"/>
      <c r="BA7545" s="1963"/>
      <c r="BB7545" s="1963"/>
      <c r="BC7545" s="1963"/>
      <c r="BD7545" s="1963"/>
      <c r="BE7545" s="1963"/>
      <c r="BF7545" s="1963"/>
      <c r="BG7545" s="1963"/>
      <c r="BH7545" s="1963"/>
      <c r="BI7545" s="1963"/>
      <c r="BJ7545" s="1963"/>
      <c r="BK7545" s="1963"/>
      <c r="BL7545" s="1963"/>
      <c r="BM7545" s="1963"/>
      <c r="BN7545" s="1963"/>
      <c r="BO7545" s="1963"/>
      <c r="BP7545" s="1963"/>
      <c r="BQ7545" s="1963"/>
      <c r="BR7545" s="1963"/>
      <c r="BS7545" s="1963"/>
      <c r="BT7545" s="1963"/>
      <c r="BU7545" s="1963"/>
      <c r="BV7545" s="1963"/>
      <c r="BW7545" s="1963"/>
      <c r="BX7545" s="1963"/>
      <c r="BY7545" s="1963"/>
      <c r="BZ7545" s="1963"/>
      <c r="CA7545" s="1963"/>
      <c r="CB7545" s="1963"/>
      <c r="CC7545" s="1963"/>
      <c r="CD7545" s="1963"/>
      <c r="CE7545" s="1963"/>
      <c r="CF7545" s="1963"/>
      <c r="CG7545" s="1963"/>
      <c r="CH7545" s="1963"/>
      <c r="CI7545" s="1963"/>
      <c r="CJ7545" s="1963"/>
      <c r="CK7545" s="1963"/>
      <c r="CL7545" s="1963"/>
      <c r="CM7545" s="1963"/>
      <c r="CN7545" s="1963"/>
      <c r="CO7545" s="1963"/>
      <c r="CP7545" s="1963"/>
      <c r="CQ7545" s="1963"/>
      <c r="CR7545" s="1963"/>
      <c r="CS7545" s="1963"/>
      <c r="CT7545" s="1963"/>
      <c r="CU7545" s="1963"/>
      <c r="CV7545" s="1963"/>
      <c r="CW7545" s="1963"/>
      <c r="CX7545" s="1963"/>
      <c r="CY7545" s="1963"/>
      <c r="CZ7545" s="1963"/>
      <c r="DA7545" s="1963"/>
      <c r="DB7545" s="1963"/>
      <c r="DC7545" s="1963"/>
      <c r="DD7545" s="1963"/>
      <c r="DE7545" s="1963"/>
      <c r="DF7545" s="1963"/>
      <c r="DG7545" s="1963"/>
      <c r="DH7545" s="1963"/>
      <c r="DI7545" s="1963"/>
      <c r="DJ7545" s="1963"/>
      <c r="DK7545" s="1963"/>
      <c r="DL7545" s="1963"/>
      <c r="DM7545" s="1963"/>
      <c r="DN7545" s="1963"/>
      <c r="DO7545" s="1963"/>
      <c r="DP7545" s="1963"/>
    </row>
    <row r="7546" spans="1:123" s="59" customFormat="1" ht="15" customHeight="1">
      <c r="A7546" s="1170" t="s">
        <v>2356</v>
      </c>
      <c r="B7546" s="1187">
        <v>18</v>
      </c>
      <c r="C7546" s="1171">
        <v>10</v>
      </c>
      <c r="D7546" s="1172" t="s">
        <v>1812</v>
      </c>
      <c r="E7546" s="1967" t="s">
        <v>289</v>
      </c>
      <c r="F7546" s="1967" t="s">
        <v>2357</v>
      </c>
      <c r="G7546" s="1355">
        <v>2.09</v>
      </c>
      <c r="H7546" s="734">
        <v>112.4</v>
      </c>
      <c r="I7546" s="1965">
        <f t="shared" si="50"/>
        <v>0.55183413078149912</v>
      </c>
      <c r="J7546" s="1963"/>
      <c r="K7546" s="1963"/>
      <c r="L7546" s="1963"/>
      <c r="M7546" s="1963"/>
      <c r="N7546" s="1963"/>
      <c r="O7546" s="1963"/>
      <c r="P7546" s="1963"/>
      <c r="Q7546" s="1963"/>
      <c r="R7546" s="1963"/>
      <c r="S7546" s="1963"/>
      <c r="T7546" s="1963"/>
      <c r="U7546" s="1963"/>
      <c r="V7546" s="1963"/>
      <c r="W7546" s="1963"/>
      <c r="X7546" s="1963"/>
      <c r="Y7546" s="1963"/>
      <c r="Z7546" s="1963"/>
      <c r="AA7546" s="1963"/>
      <c r="AB7546" s="1963"/>
      <c r="AC7546" s="1963"/>
      <c r="AD7546" s="1963"/>
      <c r="AE7546" s="1963"/>
      <c r="AF7546" s="1963"/>
      <c r="AG7546" s="1963"/>
      <c r="AH7546" s="1963"/>
      <c r="AI7546" s="1963"/>
      <c r="AJ7546" s="1963"/>
      <c r="AK7546" s="1963"/>
      <c r="AL7546" s="1963"/>
      <c r="AM7546" s="1963"/>
      <c r="AN7546" s="1963"/>
      <c r="AO7546" s="1963"/>
      <c r="AP7546" s="1963"/>
      <c r="AQ7546" s="1963"/>
      <c r="AR7546" s="1963"/>
      <c r="AS7546" s="1963"/>
      <c r="AT7546" s="1963"/>
      <c r="AU7546" s="1963"/>
      <c r="AV7546" s="1963"/>
      <c r="AW7546" s="1963"/>
      <c r="AX7546" s="1963"/>
      <c r="AY7546" s="1963"/>
      <c r="AZ7546" s="1963"/>
      <c r="BA7546" s="1963"/>
      <c r="BB7546" s="1963"/>
      <c r="BC7546" s="1963"/>
      <c r="BD7546" s="1963"/>
      <c r="BE7546" s="1963"/>
      <c r="BF7546" s="1963"/>
      <c r="BG7546" s="1963"/>
      <c r="BH7546" s="1963"/>
      <c r="BI7546" s="1963"/>
      <c r="BJ7546" s="1963"/>
      <c r="BK7546" s="1963"/>
      <c r="BL7546" s="1963"/>
      <c r="BM7546" s="1963"/>
      <c r="BN7546" s="1963"/>
      <c r="BO7546" s="1963"/>
      <c r="BP7546" s="1963"/>
      <c r="BQ7546" s="1963"/>
      <c r="BR7546" s="1963"/>
      <c r="BS7546" s="1963"/>
      <c r="BT7546" s="1963"/>
      <c r="BU7546" s="1963"/>
      <c r="BV7546" s="1963"/>
      <c r="BW7546" s="1963"/>
      <c r="BX7546" s="1963"/>
      <c r="BY7546" s="1963"/>
      <c r="BZ7546" s="1963"/>
      <c r="CA7546" s="1963"/>
      <c r="CB7546" s="1963"/>
      <c r="CC7546" s="1963"/>
      <c r="CD7546" s="1963"/>
      <c r="CE7546" s="1963"/>
      <c r="CF7546" s="1963"/>
      <c r="CG7546" s="1963"/>
      <c r="CH7546" s="1963"/>
      <c r="CI7546" s="1963"/>
      <c r="CJ7546" s="1963"/>
      <c r="CK7546" s="1963"/>
      <c r="CL7546" s="1963"/>
      <c r="CM7546" s="1963"/>
      <c r="CN7546" s="1963"/>
      <c r="CO7546" s="1963"/>
      <c r="CP7546" s="1963"/>
      <c r="CQ7546" s="1963"/>
      <c r="CR7546" s="1963"/>
      <c r="CS7546" s="1963"/>
      <c r="CT7546" s="1963"/>
      <c r="CU7546" s="1963"/>
      <c r="CV7546" s="1963"/>
      <c r="CW7546" s="1963"/>
      <c r="CX7546" s="1963"/>
      <c r="CY7546" s="1963"/>
      <c r="CZ7546" s="1963"/>
      <c r="DA7546" s="1963"/>
      <c r="DB7546" s="1963"/>
      <c r="DC7546" s="1963"/>
      <c r="DD7546" s="1963"/>
      <c r="DE7546" s="1963"/>
      <c r="DF7546" s="1963"/>
      <c r="DG7546" s="1963"/>
      <c r="DH7546" s="1963"/>
      <c r="DI7546" s="1963"/>
      <c r="DJ7546" s="1963"/>
      <c r="DK7546" s="1963"/>
      <c r="DL7546" s="1963"/>
      <c r="DM7546" s="1963"/>
      <c r="DN7546" s="1963"/>
      <c r="DO7546" s="1963"/>
      <c r="DP7546" s="1963"/>
    </row>
    <row r="7547" spans="1:123" s="59" customFormat="1" ht="15" customHeight="1">
      <c r="A7547" s="1170" t="s">
        <v>2356</v>
      </c>
      <c r="B7547" s="1187">
        <v>24</v>
      </c>
      <c r="C7547" s="1171">
        <v>10</v>
      </c>
      <c r="D7547" s="1172" t="s">
        <v>1812</v>
      </c>
      <c r="E7547" s="1967" t="s">
        <v>289</v>
      </c>
      <c r="F7547" s="1967" t="s">
        <v>2357</v>
      </c>
      <c r="G7547" s="1355">
        <v>2.59</v>
      </c>
      <c r="H7547" s="734">
        <v>139.4</v>
      </c>
      <c r="I7547" s="1965">
        <f t="shared" si="50"/>
        <v>0.55148005148005153</v>
      </c>
      <c r="J7547" s="1963"/>
      <c r="K7547" s="1963"/>
      <c r="L7547" s="1963"/>
      <c r="M7547" s="1963"/>
      <c r="N7547" s="1963"/>
      <c r="O7547" s="1963"/>
      <c r="P7547" s="1963"/>
      <c r="Q7547" s="1963"/>
      <c r="R7547" s="1963"/>
      <c r="S7547" s="1963"/>
      <c r="T7547" s="1963"/>
      <c r="U7547" s="1963"/>
      <c r="V7547" s="1963"/>
      <c r="W7547" s="1963"/>
      <c r="X7547" s="1963"/>
      <c r="Y7547" s="1963"/>
      <c r="Z7547" s="1963"/>
      <c r="AA7547" s="1963"/>
      <c r="AB7547" s="1963"/>
      <c r="AC7547" s="1963"/>
      <c r="AD7547" s="1963"/>
      <c r="AE7547" s="1963"/>
      <c r="AF7547" s="1963"/>
      <c r="AG7547" s="1963"/>
      <c r="AH7547" s="1963"/>
      <c r="AI7547" s="1963"/>
      <c r="AJ7547" s="1963"/>
      <c r="AK7547" s="1963"/>
      <c r="AL7547" s="1963"/>
      <c r="AM7547" s="1963"/>
      <c r="AN7547" s="1963"/>
      <c r="AO7547" s="1963"/>
      <c r="AP7547" s="1963"/>
      <c r="AQ7547" s="1963"/>
      <c r="AR7547" s="1963"/>
      <c r="AS7547" s="1963"/>
      <c r="AT7547" s="1963"/>
      <c r="AU7547" s="1963"/>
      <c r="AV7547" s="1963"/>
      <c r="AW7547" s="1963"/>
      <c r="AX7547" s="1963"/>
      <c r="AY7547" s="1963"/>
      <c r="AZ7547" s="1963"/>
      <c r="BA7547" s="1963"/>
      <c r="BB7547" s="1963"/>
      <c r="BC7547" s="1963"/>
      <c r="BD7547" s="1963"/>
      <c r="BE7547" s="1963"/>
      <c r="BF7547" s="1963"/>
      <c r="BG7547" s="1963"/>
      <c r="BH7547" s="1963"/>
      <c r="BI7547" s="1963"/>
      <c r="BJ7547" s="1963"/>
      <c r="BK7547" s="1963"/>
      <c r="BL7547" s="1963"/>
      <c r="BM7547" s="1963"/>
      <c r="BN7547" s="1963"/>
      <c r="BO7547" s="1963"/>
      <c r="BP7547" s="1963"/>
      <c r="BQ7547" s="1963"/>
      <c r="BR7547" s="1963"/>
      <c r="BS7547" s="1963"/>
      <c r="BT7547" s="1963"/>
      <c r="BU7547" s="1963"/>
      <c r="BV7547" s="1963"/>
      <c r="BW7547" s="1963"/>
      <c r="BX7547" s="1963"/>
      <c r="BY7547" s="1963"/>
      <c r="BZ7547" s="1963"/>
      <c r="CA7547" s="1963"/>
      <c r="CB7547" s="1963"/>
      <c r="CC7547" s="1963"/>
      <c r="CD7547" s="1963"/>
      <c r="CE7547" s="1963"/>
      <c r="CF7547" s="1963"/>
      <c r="CG7547" s="1963"/>
      <c r="CH7547" s="1963"/>
      <c r="CI7547" s="1963"/>
      <c r="CJ7547" s="1963"/>
      <c r="CK7547" s="1963"/>
      <c r="CL7547" s="1963"/>
      <c r="CM7547" s="1963"/>
      <c r="CN7547" s="1963"/>
      <c r="CO7547" s="1963"/>
      <c r="CP7547" s="1963"/>
      <c r="CQ7547" s="1963"/>
      <c r="CR7547" s="1963"/>
      <c r="CS7547" s="1963"/>
      <c r="CT7547" s="1963"/>
      <c r="CU7547" s="1963"/>
      <c r="CV7547" s="1963"/>
      <c r="CW7547" s="1963"/>
      <c r="CX7547" s="1963"/>
      <c r="CY7547" s="1963"/>
      <c r="CZ7547" s="1963"/>
      <c r="DA7547" s="1963"/>
      <c r="DB7547" s="1963"/>
      <c r="DC7547" s="1963"/>
      <c r="DD7547" s="1963"/>
      <c r="DE7547" s="1963"/>
      <c r="DF7547" s="1963"/>
      <c r="DG7547" s="1963"/>
      <c r="DH7547" s="1963"/>
      <c r="DI7547" s="1963"/>
      <c r="DJ7547" s="1963"/>
      <c r="DK7547" s="1963"/>
      <c r="DL7547" s="1963"/>
      <c r="DM7547" s="1963"/>
      <c r="DN7547" s="1963"/>
      <c r="DO7547" s="1963"/>
      <c r="DP7547" s="1963"/>
    </row>
    <row r="7548" spans="1:123" s="59" customFormat="1" ht="15" customHeight="1">
      <c r="A7548" s="1170" t="s">
        <v>2356</v>
      </c>
      <c r="B7548" s="1187">
        <v>36</v>
      </c>
      <c r="C7548" s="1171">
        <v>10</v>
      </c>
      <c r="D7548" s="1172" t="s">
        <v>1812</v>
      </c>
      <c r="E7548" s="1967" t="s">
        <v>289</v>
      </c>
      <c r="F7548" s="1967" t="s">
        <v>2357</v>
      </c>
      <c r="G7548" s="1355">
        <v>4.3</v>
      </c>
      <c r="H7548" s="734">
        <v>231.9</v>
      </c>
      <c r="I7548" s="1965">
        <f t="shared" si="50"/>
        <v>0.55058139534883721</v>
      </c>
      <c r="J7548" s="1963"/>
      <c r="K7548" s="1963"/>
      <c r="L7548" s="1963"/>
      <c r="M7548" s="1963"/>
      <c r="N7548" s="1963"/>
      <c r="O7548" s="1963"/>
      <c r="P7548" s="1963"/>
      <c r="Q7548" s="1963"/>
      <c r="R7548" s="1963"/>
      <c r="S7548" s="1963"/>
      <c r="T7548" s="1963"/>
      <c r="U7548" s="1963"/>
      <c r="V7548" s="1963"/>
      <c r="W7548" s="1963"/>
      <c r="X7548" s="1963"/>
      <c r="Y7548" s="1963"/>
      <c r="Z7548" s="1963"/>
      <c r="AA7548" s="1963"/>
      <c r="AB7548" s="1963"/>
      <c r="AC7548" s="1963"/>
      <c r="AD7548" s="1963"/>
      <c r="AE7548" s="1963"/>
      <c r="AF7548" s="1963"/>
      <c r="AG7548" s="1963"/>
      <c r="AH7548" s="1963"/>
      <c r="AI7548" s="1963"/>
      <c r="AJ7548" s="1963"/>
      <c r="AK7548" s="1963"/>
      <c r="AL7548" s="1963"/>
      <c r="AM7548" s="1963"/>
      <c r="AN7548" s="1963"/>
      <c r="AO7548" s="1963"/>
      <c r="AP7548" s="1963"/>
      <c r="AQ7548" s="1963"/>
      <c r="AR7548" s="1963"/>
      <c r="AS7548" s="1963"/>
      <c r="AT7548" s="1963"/>
      <c r="AU7548" s="1963"/>
      <c r="AV7548" s="1963"/>
      <c r="AW7548" s="1963"/>
      <c r="AX7548" s="1963"/>
      <c r="AY7548" s="1963"/>
      <c r="AZ7548" s="1963"/>
      <c r="BA7548" s="1963"/>
      <c r="BB7548" s="1963"/>
      <c r="BC7548" s="1963"/>
      <c r="BD7548" s="1963"/>
      <c r="BE7548" s="1963"/>
      <c r="BF7548" s="1963"/>
      <c r="BG7548" s="1963"/>
      <c r="BH7548" s="1963"/>
      <c r="BI7548" s="1963"/>
      <c r="BJ7548" s="1963"/>
      <c r="BK7548" s="1963"/>
      <c r="BL7548" s="1963"/>
      <c r="BM7548" s="1963"/>
      <c r="BN7548" s="1963"/>
      <c r="BO7548" s="1963"/>
      <c r="BP7548" s="1963"/>
      <c r="BQ7548" s="1963"/>
      <c r="BR7548" s="1963"/>
      <c r="BS7548" s="1963"/>
      <c r="BT7548" s="1963"/>
      <c r="BU7548" s="1963"/>
      <c r="BV7548" s="1963"/>
      <c r="BW7548" s="1963"/>
      <c r="BX7548" s="1963"/>
      <c r="BY7548" s="1963"/>
      <c r="BZ7548" s="1963"/>
      <c r="CA7548" s="1963"/>
      <c r="CB7548" s="1963"/>
      <c r="CC7548" s="1963"/>
      <c r="CD7548" s="1963"/>
      <c r="CE7548" s="1963"/>
      <c r="CF7548" s="1963"/>
      <c r="CG7548" s="1963"/>
      <c r="CH7548" s="1963"/>
      <c r="CI7548" s="1963"/>
      <c r="CJ7548" s="1963"/>
      <c r="CK7548" s="1963"/>
      <c r="CL7548" s="1963"/>
      <c r="CM7548" s="1963"/>
      <c r="CN7548" s="1963"/>
      <c r="CO7548" s="1963"/>
      <c r="CP7548" s="1963"/>
      <c r="CQ7548" s="1963"/>
      <c r="CR7548" s="1963"/>
      <c r="CS7548" s="1963"/>
      <c r="CT7548" s="1963"/>
      <c r="CU7548" s="1963"/>
      <c r="CV7548" s="1963"/>
      <c r="CW7548" s="1963"/>
      <c r="CX7548" s="1963"/>
      <c r="CY7548" s="1963"/>
      <c r="CZ7548" s="1963"/>
      <c r="DA7548" s="1963"/>
      <c r="DB7548" s="1963"/>
      <c r="DC7548" s="1963"/>
      <c r="DD7548" s="1963"/>
      <c r="DE7548" s="1963"/>
      <c r="DF7548" s="1963"/>
      <c r="DG7548" s="1963"/>
      <c r="DH7548" s="1963"/>
      <c r="DI7548" s="1963"/>
      <c r="DJ7548" s="1963"/>
      <c r="DK7548" s="1963"/>
      <c r="DL7548" s="1963"/>
      <c r="DM7548" s="1963"/>
      <c r="DN7548" s="1963"/>
      <c r="DO7548" s="1963"/>
      <c r="DP7548" s="1963"/>
    </row>
    <row r="7549" spans="1:123" s="59" customFormat="1" ht="15" customHeight="1">
      <c r="A7549" s="1170" t="s">
        <v>2356</v>
      </c>
      <c r="B7549" s="1187">
        <v>48</v>
      </c>
      <c r="C7549" s="1171">
        <v>10</v>
      </c>
      <c r="D7549" s="1172" t="s">
        <v>1812</v>
      </c>
      <c r="E7549" s="1967" t="s">
        <v>289</v>
      </c>
      <c r="F7549" s="1967" t="s">
        <v>2357</v>
      </c>
      <c r="G7549" s="1355">
        <v>6.33</v>
      </c>
      <c r="H7549" s="734">
        <v>341.8</v>
      </c>
      <c r="I7549" s="1965">
        <f t="shared" si="50"/>
        <v>0.55002632964718268</v>
      </c>
      <c r="J7549" s="1963"/>
      <c r="K7549" s="1963"/>
      <c r="L7549" s="1963"/>
      <c r="M7549" s="1963"/>
      <c r="N7549" s="1963"/>
      <c r="O7549" s="1963"/>
      <c r="P7549" s="1963"/>
      <c r="Q7549" s="1963"/>
      <c r="R7549" s="1963"/>
      <c r="S7549" s="1963"/>
      <c r="T7549" s="1963"/>
      <c r="U7549" s="1963"/>
      <c r="V7549" s="1963"/>
      <c r="W7549" s="1963"/>
      <c r="X7549" s="1963"/>
      <c r="Y7549" s="1963"/>
      <c r="Z7549" s="1963"/>
      <c r="AA7549" s="1963"/>
      <c r="AB7549" s="1963"/>
      <c r="AC7549" s="1963"/>
      <c r="AD7549" s="1963"/>
      <c r="AE7549" s="1963"/>
      <c r="AF7549" s="1963"/>
      <c r="AG7549" s="1963"/>
      <c r="AH7549" s="1963"/>
      <c r="AI7549" s="1963"/>
      <c r="AJ7549" s="1963"/>
      <c r="AK7549" s="1963"/>
      <c r="AL7549" s="1963"/>
      <c r="AM7549" s="1963"/>
      <c r="AN7549" s="1963"/>
      <c r="AO7549" s="1963"/>
      <c r="AP7549" s="1963"/>
      <c r="AQ7549" s="1963"/>
      <c r="AR7549" s="1963"/>
      <c r="AS7549" s="1963"/>
      <c r="AT7549" s="1963"/>
      <c r="AU7549" s="1963"/>
      <c r="AV7549" s="1963"/>
      <c r="AW7549" s="1963"/>
      <c r="AX7549" s="1963"/>
      <c r="AY7549" s="1963"/>
      <c r="AZ7549" s="1963"/>
      <c r="BA7549" s="1963"/>
      <c r="BB7549" s="1963"/>
      <c r="BC7549" s="1963"/>
      <c r="BD7549" s="1963"/>
      <c r="BE7549" s="1963"/>
      <c r="BF7549" s="1963"/>
      <c r="BG7549" s="1963"/>
      <c r="BH7549" s="1963"/>
      <c r="BI7549" s="1963"/>
      <c r="BJ7549" s="1963"/>
      <c r="BK7549" s="1963"/>
      <c r="BL7549" s="1963"/>
      <c r="BM7549" s="1963"/>
      <c r="BN7549" s="1963"/>
      <c r="BO7549" s="1963"/>
      <c r="BP7549" s="1963"/>
      <c r="BQ7549" s="1963"/>
      <c r="BR7549" s="1963"/>
      <c r="BS7549" s="1963"/>
      <c r="BT7549" s="1963"/>
      <c r="BU7549" s="1963"/>
      <c r="BV7549" s="1963"/>
      <c r="BW7549" s="1963"/>
      <c r="BX7549" s="1963"/>
      <c r="BY7549" s="1963"/>
      <c r="BZ7549" s="1963"/>
      <c r="CA7549" s="1963"/>
      <c r="CB7549" s="1963"/>
      <c r="CC7549" s="1963"/>
      <c r="CD7549" s="1963"/>
      <c r="CE7549" s="1963"/>
      <c r="CF7549" s="1963"/>
      <c r="CG7549" s="1963"/>
      <c r="CH7549" s="1963"/>
      <c r="CI7549" s="1963"/>
      <c r="CJ7549" s="1963"/>
      <c r="CK7549" s="1963"/>
      <c r="CL7549" s="1963"/>
      <c r="CM7549" s="1963"/>
      <c r="CN7549" s="1963"/>
      <c r="CO7549" s="1963"/>
      <c r="CP7549" s="1963"/>
      <c r="CQ7549" s="1963"/>
      <c r="CR7549" s="1963"/>
      <c r="CS7549" s="1963"/>
      <c r="CT7549" s="1963"/>
      <c r="CU7549" s="1963"/>
      <c r="CV7549" s="1963"/>
      <c r="CW7549" s="1963"/>
      <c r="CX7549" s="1963"/>
      <c r="CY7549" s="1963"/>
      <c r="CZ7549" s="1963"/>
      <c r="DA7549" s="1963"/>
      <c r="DB7549" s="1963"/>
      <c r="DC7549" s="1963"/>
      <c r="DD7549" s="1963"/>
      <c r="DE7549" s="1963"/>
      <c r="DF7549" s="1963"/>
      <c r="DG7549" s="1963"/>
      <c r="DH7549" s="1963"/>
      <c r="DI7549" s="1963"/>
      <c r="DJ7549" s="1963"/>
      <c r="DK7549" s="1963"/>
      <c r="DL7549" s="1963"/>
      <c r="DM7549" s="1963"/>
      <c r="DN7549" s="1963"/>
      <c r="DO7549" s="1963"/>
      <c r="DP7549" s="1963"/>
    </row>
    <row r="7550" spans="1:123" s="59" customFormat="1" ht="15" customHeight="1">
      <c r="A7550" s="1170" t="s">
        <v>5823</v>
      </c>
      <c r="B7550" s="1782">
        <v>4</v>
      </c>
      <c r="C7550" s="1171">
        <v>40</v>
      </c>
      <c r="D7550" s="1172" t="s">
        <v>1812</v>
      </c>
      <c r="E7550" s="1967" t="s">
        <v>2354</v>
      </c>
      <c r="F7550" s="1967" t="s">
        <v>5824</v>
      </c>
      <c r="G7550" s="1355">
        <v>0.8</v>
      </c>
      <c r="H7550" s="735">
        <v>42.725000000000001</v>
      </c>
      <c r="I7550" s="1965">
        <f t="shared" si="50"/>
        <v>0.55494791666666665</v>
      </c>
      <c r="J7550" s="1963"/>
      <c r="K7550" s="1963"/>
      <c r="L7550" s="1963"/>
      <c r="M7550" s="1963"/>
      <c r="N7550" s="1963"/>
      <c r="O7550" s="1963"/>
      <c r="P7550" s="1963"/>
      <c r="Q7550" s="1963"/>
      <c r="R7550" s="1963"/>
      <c r="S7550" s="1963"/>
      <c r="T7550" s="1963"/>
      <c r="U7550" s="1963"/>
      <c r="V7550" s="1963"/>
      <c r="W7550" s="1963"/>
      <c r="X7550" s="1963"/>
      <c r="Y7550" s="1963"/>
      <c r="Z7550" s="1963"/>
      <c r="AA7550" s="1963"/>
      <c r="AB7550" s="1963"/>
      <c r="AC7550" s="1963"/>
      <c r="AD7550" s="1963"/>
      <c r="AE7550" s="1963"/>
      <c r="AF7550" s="1963"/>
      <c r="AG7550" s="1963"/>
      <c r="AH7550" s="1963"/>
      <c r="AI7550" s="1963"/>
      <c r="AJ7550" s="1963"/>
      <c r="AK7550" s="1963"/>
      <c r="AL7550" s="1963"/>
      <c r="AM7550" s="1963"/>
      <c r="AN7550" s="1963"/>
      <c r="AO7550" s="1963"/>
      <c r="AP7550" s="1963"/>
      <c r="AQ7550" s="1963"/>
      <c r="AR7550" s="1963"/>
      <c r="AS7550" s="1963"/>
      <c r="AT7550" s="1963"/>
      <c r="AU7550" s="1963"/>
      <c r="AV7550" s="1963"/>
      <c r="AW7550" s="1963"/>
      <c r="AX7550" s="1963"/>
      <c r="AY7550" s="1963"/>
      <c r="AZ7550" s="1963"/>
      <c r="BA7550" s="1963"/>
      <c r="BB7550" s="1963"/>
      <c r="BC7550" s="1963"/>
      <c r="BD7550" s="1963"/>
      <c r="BE7550" s="1963"/>
      <c r="BF7550" s="1963"/>
      <c r="BG7550" s="1963"/>
      <c r="BH7550" s="1963"/>
      <c r="BI7550" s="1963"/>
      <c r="BJ7550" s="1963"/>
      <c r="BK7550" s="1963"/>
      <c r="BL7550" s="1963"/>
      <c r="BM7550" s="1963"/>
      <c r="BN7550" s="1963"/>
      <c r="BO7550" s="1963"/>
      <c r="BP7550" s="1963"/>
      <c r="BQ7550" s="1963"/>
      <c r="BR7550" s="1963"/>
      <c r="BS7550" s="1963"/>
      <c r="BT7550" s="1963"/>
      <c r="BU7550" s="1963"/>
      <c r="BV7550" s="1963"/>
      <c r="BW7550" s="1963"/>
      <c r="BX7550" s="1963"/>
      <c r="BY7550" s="1963"/>
      <c r="BZ7550" s="1963"/>
      <c r="CA7550" s="1963"/>
      <c r="CB7550" s="1963"/>
      <c r="CC7550" s="1963"/>
      <c r="CD7550" s="1963"/>
      <c r="CE7550" s="1963"/>
      <c r="CF7550" s="1963"/>
      <c r="CG7550" s="1963"/>
      <c r="CH7550" s="1963"/>
      <c r="CI7550" s="1963"/>
      <c r="CJ7550" s="1963"/>
      <c r="CK7550" s="1963"/>
      <c r="CL7550" s="1963"/>
      <c r="CM7550" s="1963"/>
      <c r="CN7550" s="1963"/>
      <c r="CO7550" s="1963"/>
      <c r="CP7550" s="1963"/>
      <c r="CQ7550" s="1963"/>
      <c r="CR7550" s="1963"/>
      <c r="CS7550" s="1963"/>
      <c r="CT7550" s="1963"/>
      <c r="CU7550" s="1963"/>
      <c r="CV7550" s="1963"/>
      <c r="CW7550" s="1963"/>
      <c r="CX7550" s="1963"/>
      <c r="CY7550" s="1963"/>
      <c r="CZ7550" s="1963"/>
      <c r="DA7550" s="1963"/>
      <c r="DB7550" s="1963"/>
      <c r="DC7550" s="1963"/>
      <c r="DD7550" s="1963"/>
      <c r="DE7550" s="1963"/>
      <c r="DF7550" s="1963"/>
      <c r="DG7550" s="1963"/>
      <c r="DH7550" s="1963"/>
      <c r="DI7550" s="1963"/>
      <c r="DJ7550" s="1963"/>
      <c r="DK7550" s="1963"/>
      <c r="DL7550" s="1963"/>
      <c r="DM7550" s="1963"/>
      <c r="DN7550" s="1963"/>
      <c r="DO7550" s="1963"/>
      <c r="DP7550" s="1963"/>
    </row>
    <row r="7551" spans="1:123" s="59" customFormat="1" ht="15" customHeight="1">
      <c r="A7551" s="1170" t="s">
        <v>5823</v>
      </c>
      <c r="B7551" s="1782">
        <v>6</v>
      </c>
      <c r="C7551" s="1171">
        <v>10</v>
      </c>
      <c r="D7551" s="1172" t="s">
        <v>1812</v>
      </c>
      <c r="E7551" s="1967" t="s">
        <v>2354</v>
      </c>
      <c r="F7551" s="1967" t="s">
        <v>5824</v>
      </c>
      <c r="G7551" s="1355">
        <v>0.85</v>
      </c>
      <c r="H7551" s="734">
        <v>45.7</v>
      </c>
      <c r="I7551" s="1965">
        <f t="shared" si="50"/>
        <v>0.55196078431372542</v>
      </c>
      <c r="J7551" s="1963"/>
      <c r="K7551" s="1963"/>
      <c r="L7551" s="1963"/>
      <c r="M7551" s="1963"/>
      <c r="N7551" s="1963"/>
      <c r="O7551" s="1963"/>
      <c r="P7551" s="1963"/>
      <c r="Q7551" s="1963"/>
      <c r="R7551" s="1963"/>
      <c r="S7551" s="1963"/>
      <c r="T7551" s="1963"/>
      <c r="U7551" s="1963"/>
      <c r="V7551" s="1963"/>
      <c r="W7551" s="1963"/>
      <c r="X7551" s="1963"/>
      <c r="Y7551" s="1963"/>
      <c r="Z7551" s="1963"/>
      <c r="AA7551" s="1963"/>
      <c r="AB7551" s="1963"/>
      <c r="AC7551" s="1963"/>
      <c r="AD7551" s="1963"/>
      <c r="AE7551" s="1963"/>
      <c r="AF7551" s="1963"/>
      <c r="AG7551" s="1963"/>
      <c r="AH7551" s="1963"/>
      <c r="AI7551" s="1963"/>
      <c r="AJ7551" s="1963"/>
      <c r="AK7551" s="1963"/>
      <c r="AL7551" s="1963"/>
      <c r="AM7551" s="1963"/>
      <c r="AN7551" s="1963"/>
      <c r="AO7551" s="1963"/>
      <c r="AP7551" s="1963"/>
      <c r="AQ7551" s="1963"/>
      <c r="AR7551" s="1963"/>
      <c r="AS7551" s="1963"/>
      <c r="AT7551" s="1963"/>
      <c r="AU7551" s="1963"/>
      <c r="AV7551" s="1963"/>
      <c r="AW7551" s="1963"/>
      <c r="AX7551" s="1963"/>
      <c r="AY7551" s="1963"/>
      <c r="AZ7551" s="1963"/>
      <c r="BA7551" s="1963"/>
      <c r="BB7551" s="1963"/>
      <c r="BC7551" s="1963"/>
      <c r="BD7551" s="1963"/>
      <c r="BE7551" s="1963"/>
      <c r="BF7551" s="1963"/>
      <c r="BG7551" s="1963"/>
      <c r="BH7551" s="1963"/>
      <c r="BI7551" s="1963"/>
      <c r="BJ7551" s="1963"/>
      <c r="BK7551" s="1963"/>
      <c r="BL7551" s="1963"/>
      <c r="BM7551" s="1963"/>
      <c r="BN7551" s="1963"/>
      <c r="BO7551" s="1963"/>
      <c r="BP7551" s="1963"/>
      <c r="BQ7551" s="1963"/>
      <c r="BR7551" s="1963"/>
      <c r="BS7551" s="1963"/>
      <c r="BT7551" s="1963"/>
      <c r="BU7551" s="1963"/>
      <c r="BV7551" s="1963"/>
      <c r="BW7551" s="1963"/>
      <c r="BX7551" s="1963"/>
      <c r="BY7551" s="1963"/>
      <c r="BZ7551" s="1963"/>
      <c r="CA7551" s="1963"/>
      <c r="CB7551" s="1963"/>
      <c r="CC7551" s="1963"/>
      <c r="CD7551" s="1963"/>
      <c r="CE7551" s="1963"/>
      <c r="CF7551" s="1963"/>
      <c r="CG7551" s="1963"/>
      <c r="CH7551" s="1963"/>
      <c r="CI7551" s="1963"/>
      <c r="CJ7551" s="1963"/>
      <c r="CK7551" s="1963"/>
      <c r="CL7551" s="1963"/>
      <c r="CM7551" s="1963"/>
      <c r="CN7551" s="1963"/>
      <c r="CO7551" s="1963"/>
      <c r="CP7551" s="1963"/>
      <c r="CQ7551" s="1963"/>
      <c r="CR7551" s="1963"/>
      <c r="CS7551" s="1963"/>
      <c r="CT7551" s="1963"/>
      <c r="CU7551" s="1963"/>
      <c r="CV7551" s="1963"/>
      <c r="CW7551" s="1963"/>
      <c r="CX7551" s="1963"/>
      <c r="CY7551" s="1963"/>
      <c r="CZ7551" s="1963"/>
      <c r="DA7551" s="1963"/>
      <c r="DB7551" s="1963"/>
      <c r="DC7551" s="1963"/>
      <c r="DD7551" s="1963"/>
      <c r="DE7551" s="1963"/>
      <c r="DF7551" s="1963"/>
      <c r="DG7551" s="1963"/>
      <c r="DH7551" s="1963"/>
      <c r="DI7551" s="1963"/>
      <c r="DJ7551" s="1963"/>
      <c r="DK7551" s="1963"/>
      <c r="DL7551" s="1963"/>
      <c r="DM7551" s="1963"/>
      <c r="DN7551" s="1963"/>
      <c r="DO7551" s="1963"/>
      <c r="DP7551" s="1963"/>
    </row>
    <row r="7552" spans="1:123" s="59" customFormat="1" ht="15" customHeight="1">
      <c r="A7552" s="1170" t="s">
        <v>5823</v>
      </c>
      <c r="B7552" s="1782">
        <v>9</v>
      </c>
      <c r="C7552" s="1171">
        <v>10</v>
      </c>
      <c r="D7552" s="1172" t="s">
        <v>1812</v>
      </c>
      <c r="E7552" s="1967" t="s">
        <v>2354</v>
      </c>
      <c r="F7552" s="1967" t="s">
        <v>5824</v>
      </c>
      <c r="G7552" s="1355">
        <v>0.97</v>
      </c>
      <c r="H7552" s="736">
        <v>52</v>
      </c>
      <c r="I7552" s="1965">
        <f t="shared" si="50"/>
        <v>0.55326460481099649</v>
      </c>
      <c r="J7552" s="1963"/>
      <c r="K7552" s="1963"/>
      <c r="L7552" s="1963"/>
      <c r="M7552" s="1963"/>
      <c r="N7552" s="1963"/>
      <c r="O7552" s="1963"/>
      <c r="P7552" s="1963"/>
      <c r="Q7552" s="1963"/>
      <c r="R7552" s="1963"/>
      <c r="S7552" s="1963"/>
      <c r="T7552" s="1963"/>
      <c r="U7552" s="1963"/>
      <c r="V7552" s="1963"/>
      <c r="W7552" s="1963"/>
      <c r="X7552" s="1963"/>
      <c r="Y7552" s="1963"/>
      <c r="Z7552" s="1963"/>
      <c r="AA7552" s="1963"/>
      <c r="AB7552" s="1963"/>
      <c r="AC7552" s="1963"/>
      <c r="AD7552" s="1963"/>
      <c r="AE7552" s="1963"/>
      <c r="AF7552" s="1963"/>
      <c r="AG7552" s="1963"/>
      <c r="AH7552" s="1963"/>
      <c r="AI7552" s="1963"/>
      <c r="AJ7552" s="1963"/>
      <c r="AK7552" s="1963"/>
      <c r="AL7552" s="1963"/>
      <c r="AM7552" s="1963"/>
      <c r="AN7552" s="1963"/>
      <c r="AO7552" s="1963"/>
      <c r="AP7552" s="1963"/>
      <c r="AQ7552" s="1963"/>
      <c r="AR7552" s="1963"/>
      <c r="AS7552" s="1963"/>
      <c r="AT7552" s="1963"/>
      <c r="AU7552" s="1963"/>
      <c r="AV7552" s="1963"/>
      <c r="AW7552" s="1963"/>
      <c r="AX7552" s="1963"/>
      <c r="AY7552" s="1963"/>
      <c r="AZ7552" s="1963"/>
      <c r="BA7552" s="1963"/>
      <c r="BB7552" s="1963"/>
      <c r="BC7552" s="1963"/>
      <c r="BD7552" s="1963"/>
      <c r="BE7552" s="1963"/>
      <c r="BF7552" s="1963"/>
      <c r="BG7552" s="1963"/>
      <c r="BH7552" s="1963"/>
      <c r="BI7552" s="1963"/>
      <c r="BJ7552" s="1963"/>
      <c r="BK7552" s="1963"/>
      <c r="BL7552" s="1963"/>
      <c r="BM7552" s="1963"/>
      <c r="BN7552" s="1963"/>
      <c r="BO7552" s="1963"/>
      <c r="BP7552" s="1963"/>
      <c r="BQ7552" s="1963"/>
      <c r="BR7552" s="1963"/>
      <c r="BS7552" s="1963"/>
      <c r="BT7552" s="1963"/>
      <c r="BU7552" s="1963"/>
      <c r="BV7552" s="1963"/>
      <c r="BW7552" s="1963"/>
      <c r="BX7552" s="1963"/>
      <c r="BY7552" s="1963"/>
      <c r="BZ7552" s="1963"/>
      <c r="CA7552" s="1963"/>
      <c r="CB7552" s="1963"/>
      <c r="CC7552" s="1963"/>
      <c r="CD7552" s="1963"/>
      <c r="CE7552" s="1963"/>
      <c r="CF7552" s="1963"/>
      <c r="CG7552" s="1963"/>
      <c r="CH7552" s="1963"/>
      <c r="CI7552" s="1963"/>
      <c r="CJ7552" s="1963"/>
      <c r="CK7552" s="1963"/>
      <c r="CL7552" s="1963"/>
      <c r="CM7552" s="1963"/>
      <c r="CN7552" s="1963"/>
      <c r="CO7552" s="1963"/>
      <c r="CP7552" s="1963"/>
      <c r="CQ7552" s="1963"/>
      <c r="CR7552" s="1963"/>
      <c r="CS7552" s="1963"/>
      <c r="CT7552" s="1963"/>
      <c r="CU7552" s="1963"/>
      <c r="CV7552" s="1963"/>
      <c r="CW7552" s="1963"/>
      <c r="CX7552" s="1963"/>
      <c r="CY7552" s="1963"/>
      <c r="CZ7552" s="1963"/>
      <c r="DA7552" s="1963"/>
      <c r="DB7552" s="1963"/>
      <c r="DC7552" s="1963"/>
      <c r="DD7552" s="1963"/>
      <c r="DE7552" s="1963"/>
      <c r="DF7552" s="1963"/>
      <c r="DG7552" s="1963"/>
      <c r="DH7552" s="1963"/>
      <c r="DI7552" s="1963"/>
      <c r="DJ7552" s="1963"/>
      <c r="DK7552" s="1963"/>
      <c r="DL7552" s="1963"/>
      <c r="DM7552" s="1963"/>
      <c r="DN7552" s="1963"/>
      <c r="DO7552" s="1963"/>
      <c r="DP7552" s="1963"/>
    </row>
    <row r="7553" spans="1:120" s="59" customFormat="1" ht="15" customHeight="1">
      <c r="A7553" s="1170" t="s">
        <v>5823</v>
      </c>
      <c r="B7553" s="1782">
        <v>12</v>
      </c>
      <c r="C7553" s="1171">
        <v>10</v>
      </c>
      <c r="D7553" s="1172" t="s">
        <v>1812</v>
      </c>
      <c r="E7553" s="1967" t="s">
        <v>2354</v>
      </c>
      <c r="F7553" s="1967" t="s">
        <v>5824</v>
      </c>
      <c r="G7553" s="1355">
        <v>1.08</v>
      </c>
      <c r="H7553" s="734">
        <v>58.3</v>
      </c>
      <c r="I7553" s="1965">
        <f t="shared" si="50"/>
        <v>0.55015432098765438</v>
      </c>
      <c r="J7553" s="1963"/>
      <c r="K7553" s="1963"/>
      <c r="L7553" s="1963"/>
      <c r="M7553" s="1963"/>
      <c r="N7553" s="1963"/>
      <c r="O7553" s="1963"/>
      <c r="P7553" s="1963"/>
      <c r="Q7553" s="1963"/>
      <c r="R7553" s="1963"/>
      <c r="S7553" s="1963"/>
      <c r="T7553" s="1963"/>
      <c r="U7553" s="1963"/>
      <c r="V7553" s="1963"/>
      <c r="W7553" s="1963"/>
      <c r="X7553" s="1963"/>
      <c r="Y7553" s="1963"/>
      <c r="Z7553" s="1963"/>
      <c r="AA7553" s="1963"/>
      <c r="AB7553" s="1963"/>
      <c r="AC7553" s="1963"/>
      <c r="AD7553" s="1963"/>
      <c r="AE7553" s="1963"/>
      <c r="AF7553" s="1963"/>
      <c r="AG7553" s="1963"/>
      <c r="AH7553" s="1963"/>
      <c r="AI7553" s="1963"/>
      <c r="AJ7553" s="1963"/>
      <c r="AK7553" s="1963"/>
      <c r="AL7553" s="1963"/>
      <c r="AM7553" s="1963"/>
      <c r="AN7553" s="1963"/>
      <c r="AO7553" s="1963"/>
      <c r="AP7553" s="1963"/>
      <c r="AQ7553" s="1963"/>
      <c r="AR7553" s="1963"/>
      <c r="AS7553" s="1963"/>
      <c r="AT7553" s="1963"/>
      <c r="AU7553" s="1963"/>
      <c r="AV7553" s="1963"/>
      <c r="AW7553" s="1963"/>
      <c r="AX7553" s="1963"/>
      <c r="AY7553" s="1963"/>
      <c r="AZ7553" s="1963"/>
      <c r="BA7553" s="1963"/>
      <c r="BB7553" s="1963"/>
      <c r="BC7553" s="1963"/>
      <c r="BD7553" s="1963"/>
      <c r="BE7553" s="1963"/>
      <c r="BF7553" s="1963"/>
      <c r="BG7553" s="1963"/>
      <c r="BH7553" s="1963"/>
      <c r="BI7553" s="1963"/>
      <c r="BJ7553" s="1963"/>
      <c r="BK7553" s="1963"/>
      <c r="BL7553" s="1963"/>
      <c r="BM7553" s="1963"/>
      <c r="BN7553" s="1963"/>
      <c r="BO7553" s="1963"/>
      <c r="BP7553" s="1963"/>
      <c r="BQ7553" s="1963"/>
      <c r="BR7553" s="1963"/>
      <c r="BS7553" s="1963"/>
      <c r="BT7553" s="1963"/>
      <c r="BU7553" s="1963"/>
      <c r="BV7553" s="1963"/>
      <c r="BW7553" s="1963"/>
      <c r="BX7553" s="1963"/>
      <c r="BY7553" s="1963"/>
      <c r="BZ7553" s="1963"/>
      <c r="CA7553" s="1963"/>
      <c r="CB7553" s="1963"/>
      <c r="CC7553" s="1963"/>
      <c r="CD7553" s="1963"/>
      <c r="CE7553" s="1963"/>
      <c r="CF7553" s="1963"/>
      <c r="CG7553" s="1963"/>
      <c r="CH7553" s="1963"/>
      <c r="CI7553" s="1963"/>
      <c r="CJ7553" s="1963"/>
      <c r="CK7553" s="1963"/>
      <c r="CL7553" s="1963"/>
      <c r="CM7553" s="1963"/>
      <c r="CN7553" s="1963"/>
      <c r="CO7553" s="1963"/>
      <c r="CP7553" s="1963"/>
      <c r="CQ7553" s="1963"/>
      <c r="CR7553" s="1963"/>
      <c r="CS7553" s="1963"/>
      <c r="CT7553" s="1963"/>
      <c r="CU7553" s="1963"/>
      <c r="CV7553" s="1963"/>
      <c r="CW7553" s="1963"/>
      <c r="CX7553" s="1963"/>
      <c r="CY7553" s="1963"/>
      <c r="CZ7553" s="1963"/>
      <c r="DA7553" s="1963"/>
      <c r="DB7553" s="1963"/>
      <c r="DC7553" s="1963"/>
      <c r="DD7553" s="1963"/>
      <c r="DE7553" s="1963"/>
      <c r="DF7553" s="1963"/>
      <c r="DG7553" s="1963"/>
      <c r="DH7553" s="1963"/>
      <c r="DI7553" s="1963"/>
      <c r="DJ7553" s="1963"/>
      <c r="DK7553" s="1963"/>
      <c r="DL7553" s="1963"/>
      <c r="DM7553" s="1963"/>
      <c r="DN7553" s="1963"/>
      <c r="DO7553" s="1963"/>
      <c r="DP7553" s="1963"/>
    </row>
    <row r="7554" spans="1:120" s="59" customFormat="1" ht="15" customHeight="1">
      <c r="A7554" s="1170" t="s">
        <v>5823</v>
      </c>
      <c r="B7554" s="1782">
        <v>19</v>
      </c>
      <c r="C7554" s="1171">
        <v>10</v>
      </c>
      <c r="D7554" s="1172" t="s">
        <v>1812</v>
      </c>
      <c r="E7554" s="1967" t="s">
        <v>2354</v>
      </c>
      <c r="F7554" s="1967" t="s">
        <v>5824</v>
      </c>
      <c r="G7554" s="1355">
        <v>1.44</v>
      </c>
      <c r="H7554" s="734">
        <v>77.400000000000006</v>
      </c>
      <c r="I7554" s="1965">
        <f t="shared" si="50"/>
        <v>0.55208333333333326</v>
      </c>
      <c r="J7554" s="1963"/>
      <c r="K7554" s="1963"/>
      <c r="L7554" s="1963"/>
      <c r="M7554" s="1963"/>
      <c r="N7554" s="1963"/>
      <c r="O7554" s="1963"/>
      <c r="P7554" s="1963"/>
      <c r="Q7554" s="1963"/>
      <c r="R7554" s="1963"/>
      <c r="S7554" s="1963"/>
      <c r="T7554" s="1963"/>
      <c r="U7554" s="1963"/>
      <c r="V7554" s="1963"/>
      <c r="W7554" s="1963"/>
      <c r="X7554" s="1963"/>
      <c r="Y7554" s="1963"/>
      <c r="Z7554" s="1963"/>
      <c r="AA7554" s="1963"/>
      <c r="AB7554" s="1963"/>
      <c r="AC7554" s="1963"/>
      <c r="AD7554" s="1963"/>
      <c r="AE7554" s="1963"/>
      <c r="AF7554" s="1963"/>
      <c r="AG7554" s="1963"/>
      <c r="AH7554" s="1963"/>
      <c r="AI7554" s="1963"/>
      <c r="AJ7554" s="1963"/>
      <c r="AK7554" s="1963"/>
      <c r="AL7554" s="1963"/>
      <c r="AM7554" s="1963"/>
      <c r="AN7554" s="1963"/>
      <c r="AO7554" s="1963"/>
      <c r="AP7554" s="1963"/>
      <c r="AQ7554" s="1963"/>
      <c r="AR7554" s="1963"/>
      <c r="AS7554" s="1963"/>
      <c r="AT7554" s="1963"/>
      <c r="AU7554" s="1963"/>
      <c r="AV7554" s="1963"/>
      <c r="AW7554" s="1963"/>
      <c r="AX7554" s="1963"/>
      <c r="AY7554" s="1963"/>
      <c r="AZ7554" s="1963"/>
      <c r="BA7554" s="1963"/>
      <c r="BB7554" s="1963"/>
      <c r="BC7554" s="1963"/>
      <c r="BD7554" s="1963"/>
      <c r="BE7554" s="1963"/>
      <c r="BF7554" s="1963"/>
      <c r="BG7554" s="1963"/>
      <c r="BH7554" s="1963"/>
      <c r="BI7554" s="1963"/>
      <c r="BJ7554" s="1963"/>
      <c r="BK7554" s="1963"/>
      <c r="BL7554" s="1963"/>
      <c r="BM7554" s="1963"/>
      <c r="BN7554" s="1963"/>
      <c r="BO7554" s="1963"/>
      <c r="BP7554" s="1963"/>
      <c r="BQ7554" s="1963"/>
      <c r="BR7554" s="1963"/>
      <c r="BS7554" s="1963"/>
      <c r="BT7554" s="1963"/>
      <c r="BU7554" s="1963"/>
      <c r="BV7554" s="1963"/>
      <c r="BW7554" s="1963"/>
      <c r="BX7554" s="1963"/>
      <c r="BY7554" s="1963"/>
      <c r="BZ7554" s="1963"/>
      <c r="CA7554" s="1963"/>
      <c r="CB7554" s="1963"/>
      <c r="CC7554" s="1963"/>
      <c r="CD7554" s="1963"/>
      <c r="CE7554" s="1963"/>
      <c r="CF7554" s="1963"/>
      <c r="CG7554" s="1963"/>
      <c r="CH7554" s="1963"/>
      <c r="CI7554" s="1963"/>
      <c r="CJ7554" s="1963"/>
      <c r="CK7554" s="1963"/>
      <c r="CL7554" s="1963"/>
      <c r="CM7554" s="1963"/>
      <c r="CN7554" s="1963"/>
      <c r="CO7554" s="1963"/>
      <c r="CP7554" s="1963"/>
      <c r="CQ7554" s="1963"/>
      <c r="CR7554" s="1963"/>
      <c r="CS7554" s="1963"/>
      <c r="CT7554" s="1963"/>
      <c r="CU7554" s="1963"/>
      <c r="CV7554" s="1963"/>
      <c r="CW7554" s="1963"/>
      <c r="CX7554" s="1963"/>
      <c r="CY7554" s="1963"/>
      <c r="CZ7554" s="1963"/>
      <c r="DA7554" s="1963"/>
      <c r="DB7554" s="1963"/>
      <c r="DC7554" s="1963"/>
      <c r="DD7554" s="1963"/>
      <c r="DE7554" s="1963"/>
      <c r="DF7554" s="1963"/>
      <c r="DG7554" s="1963"/>
      <c r="DH7554" s="1963"/>
      <c r="DI7554" s="1963"/>
      <c r="DJ7554" s="1963"/>
      <c r="DK7554" s="1963"/>
      <c r="DL7554" s="1963"/>
      <c r="DM7554" s="1963"/>
      <c r="DN7554" s="1963"/>
      <c r="DO7554" s="1963"/>
      <c r="DP7554" s="1963"/>
    </row>
    <row r="7555" spans="1:120" s="59" customFormat="1" ht="15" customHeight="1">
      <c r="A7555" s="1170" t="s">
        <v>5823</v>
      </c>
      <c r="B7555" s="1782">
        <v>25</v>
      </c>
      <c r="C7555" s="1171">
        <v>10</v>
      </c>
      <c r="D7555" s="1172" t="s">
        <v>1812</v>
      </c>
      <c r="E7555" s="1967" t="s">
        <v>2354</v>
      </c>
      <c r="F7555" s="1967" t="s">
        <v>5824</v>
      </c>
      <c r="G7555" s="1355">
        <v>1.79</v>
      </c>
      <c r="H7555" s="734">
        <v>96.5</v>
      </c>
      <c r="I7555" s="1965">
        <f t="shared" si="50"/>
        <v>0.5507448789571695</v>
      </c>
      <c r="J7555" s="1963"/>
      <c r="K7555" s="1963"/>
      <c r="L7555" s="1963"/>
      <c r="M7555" s="1963"/>
      <c r="N7555" s="1963"/>
      <c r="O7555" s="1963"/>
      <c r="P7555" s="1963"/>
      <c r="Q7555" s="1963"/>
      <c r="R7555" s="1963"/>
      <c r="S7555" s="1963"/>
      <c r="T7555" s="1963"/>
      <c r="U7555" s="1963"/>
      <c r="V7555" s="1963"/>
      <c r="W7555" s="1963"/>
      <c r="X7555" s="1963"/>
      <c r="Y7555" s="1963"/>
      <c r="Z7555" s="1963"/>
      <c r="AA7555" s="1963"/>
      <c r="AB7555" s="1963"/>
      <c r="AC7555" s="1963"/>
      <c r="AD7555" s="1963"/>
      <c r="AE7555" s="1963"/>
      <c r="AF7555" s="1963"/>
      <c r="AG7555" s="1963"/>
      <c r="AH7555" s="1963"/>
      <c r="AI7555" s="1963"/>
      <c r="AJ7555" s="1963"/>
      <c r="AK7555" s="1963"/>
      <c r="AL7555" s="1963"/>
      <c r="AM7555" s="1963"/>
      <c r="AN7555" s="1963"/>
      <c r="AO7555" s="1963"/>
      <c r="AP7555" s="1963"/>
      <c r="AQ7555" s="1963"/>
      <c r="AR7555" s="1963"/>
      <c r="AS7555" s="1963"/>
      <c r="AT7555" s="1963"/>
      <c r="AU7555" s="1963"/>
      <c r="AV7555" s="1963"/>
      <c r="AW7555" s="1963"/>
      <c r="AX7555" s="1963"/>
      <c r="AY7555" s="1963"/>
      <c r="AZ7555" s="1963"/>
      <c r="BA7555" s="1963"/>
      <c r="BB7555" s="1963"/>
      <c r="BC7555" s="1963"/>
      <c r="BD7555" s="1963"/>
      <c r="BE7555" s="1963"/>
      <c r="BF7555" s="1963"/>
      <c r="BG7555" s="1963"/>
      <c r="BH7555" s="1963"/>
      <c r="BI7555" s="1963"/>
      <c r="BJ7555" s="1963"/>
      <c r="BK7555" s="1963"/>
      <c r="BL7555" s="1963"/>
      <c r="BM7555" s="1963"/>
      <c r="BN7555" s="1963"/>
      <c r="BO7555" s="1963"/>
      <c r="BP7555" s="1963"/>
      <c r="BQ7555" s="1963"/>
      <c r="BR7555" s="1963"/>
      <c r="BS7555" s="1963"/>
      <c r="BT7555" s="1963"/>
      <c r="BU7555" s="1963"/>
      <c r="BV7555" s="1963"/>
      <c r="BW7555" s="1963"/>
      <c r="BX7555" s="1963"/>
      <c r="BY7555" s="1963"/>
      <c r="BZ7555" s="1963"/>
      <c r="CA7555" s="1963"/>
      <c r="CB7555" s="1963"/>
      <c r="CC7555" s="1963"/>
      <c r="CD7555" s="1963"/>
      <c r="CE7555" s="1963"/>
      <c r="CF7555" s="1963"/>
      <c r="CG7555" s="1963"/>
      <c r="CH7555" s="1963"/>
      <c r="CI7555" s="1963"/>
      <c r="CJ7555" s="1963"/>
      <c r="CK7555" s="1963"/>
      <c r="CL7555" s="1963"/>
      <c r="CM7555" s="1963"/>
      <c r="CN7555" s="1963"/>
      <c r="CO7555" s="1963"/>
      <c r="CP7555" s="1963"/>
      <c r="CQ7555" s="1963"/>
      <c r="CR7555" s="1963"/>
      <c r="CS7555" s="1963"/>
      <c r="CT7555" s="1963"/>
      <c r="CU7555" s="1963"/>
      <c r="CV7555" s="1963"/>
      <c r="CW7555" s="1963"/>
      <c r="CX7555" s="1963"/>
      <c r="CY7555" s="1963"/>
      <c r="CZ7555" s="1963"/>
      <c r="DA7555" s="1963"/>
      <c r="DB7555" s="1963"/>
      <c r="DC7555" s="1963"/>
      <c r="DD7555" s="1963"/>
      <c r="DE7555" s="1963"/>
      <c r="DF7555" s="1963"/>
      <c r="DG7555" s="1963"/>
      <c r="DH7555" s="1963"/>
      <c r="DI7555" s="1963"/>
      <c r="DJ7555" s="1963"/>
      <c r="DK7555" s="1963"/>
      <c r="DL7555" s="1963"/>
      <c r="DM7555" s="1963"/>
      <c r="DN7555" s="1963"/>
      <c r="DO7555" s="1963"/>
      <c r="DP7555" s="1963"/>
    </row>
    <row r="7559" spans="1:120">
      <c r="A7559" s="902" t="s">
        <v>105</v>
      </c>
      <c r="B7559" s="902" t="s">
        <v>106</v>
      </c>
      <c r="C7559" s="902" t="s">
        <v>128</v>
      </c>
      <c r="D7559" s="887" t="s">
        <v>806</v>
      </c>
      <c r="E7559" s="887" t="s">
        <v>5832</v>
      </c>
    </row>
    <row r="7560" spans="1:120">
      <c r="A7560" s="4" t="s">
        <v>5654</v>
      </c>
      <c r="B7560" s="47" t="s">
        <v>3491</v>
      </c>
      <c r="C7560" s="260" t="s">
        <v>3718</v>
      </c>
      <c r="D7560" s="983">
        <v>295</v>
      </c>
      <c r="E7560" s="983" t="s">
        <v>5833</v>
      </c>
    </row>
    <row r="7561" spans="1:120">
      <c r="A7561" s="4" t="s">
        <v>5654</v>
      </c>
      <c r="B7561" s="47" t="s">
        <v>3491</v>
      </c>
      <c r="C7561" s="260" t="s">
        <v>3492</v>
      </c>
      <c r="D7561" s="983">
        <v>314</v>
      </c>
      <c r="E7561" s="983" t="s">
        <v>5833</v>
      </c>
    </row>
    <row r="7562" spans="1:120">
      <c r="A7562" s="4" t="s">
        <v>5654</v>
      </c>
      <c r="B7562" s="47" t="s">
        <v>5493</v>
      </c>
      <c r="C7562" s="260" t="s">
        <v>3718</v>
      </c>
      <c r="D7562" s="983">
        <v>148</v>
      </c>
      <c r="E7562" s="983" t="s">
        <v>5833</v>
      </c>
    </row>
    <row r="7563" spans="1:120">
      <c r="A7563" s="4" t="s">
        <v>5654</v>
      </c>
      <c r="B7563" s="47" t="s">
        <v>5493</v>
      </c>
      <c r="C7563" s="260" t="s">
        <v>5652</v>
      </c>
      <c r="D7563" s="983">
        <v>1531</v>
      </c>
      <c r="E7563" s="983" t="s">
        <v>5833</v>
      </c>
    </row>
    <row r="7564" spans="1:120">
      <c r="A7564" s="4" t="s">
        <v>5654</v>
      </c>
      <c r="B7564" s="47" t="s">
        <v>5493</v>
      </c>
      <c r="C7564" s="260" t="s">
        <v>3492</v>
      </c>
      <c r="D7564" s="983">
        <v>3550</v>
      </c>
      <c r="E7564" s="983" t="s">
        <v>5833</v>
      </c>
    </row>
    <row r="7565" spans="1:120">
      <c r="A7565" s="4" t="s">
        <v>5831</v>
      </c>
      <c r="B7565" s="47" t="s">
        <v>5493</v>
      </c>
      <c r="C7565" s="260" t="s">
        <v>5652</v>
      </c>
      <c r="D7565" s="983">
        <v>92</v>
      </c>
      <c r="E7565" s="983" t="s">
        <v>5833</v>
      </c>
    </row>
    <row r="7566" spans="1:120">
      <c r="A7566" s="4" t="s">
        <v>5831</v>
      </c>
      <c r="B7566" s="47" t="s">
        <v>5493</v>
      </c>
      <c r="C7566" s="260" t="s">
        <v>3492</v>
      </c>
      <c r="D7566" s="983">
        <v>142</v>
      </c>
      <c r="E7566" s="983" t="s">
        <v>5833</v>
      </c>
    </row>
    <row r="7569" spans="1:4">
      <c r="A7569" s="902" t="s">
        <v>5714</v>
      </c>
      <c r="B7569" s="902" t="s">
        <v>2840</v>
      </c>
    </row>
    <row r="7570" spans="1:4">
      <c r="A7570" s="47" t="s">
        <v>5715</v>
      </c>
      <c r="B7570" s="990">
        <v>127.5</v>
      </c>
    </row>
    <row r="7571" spans="1:4">
      <c r="A7571" s="47" t="s">
        <v>5716</v>
      </c>
      <c r="B7571" s="990">
        <v>232.46</v>
      </c>
    </row>
    <row r="7572" spans="1:4">
      <c r="A7572" s="47" t="s">
        <v>5717</v>
      </c>
      <c r="B7572" s="990">
        <v>382.5</v>
      </c>
    </row>
    <row r="7573" spans="1:4">
      <c r="A7573" s="47" t="s">
        <v>5834</v>
      </c>
      <c r="B7573" s="990">
        <v>48103.03</v>
      </c>
    </row>
    <row r="7574" spans="1:4">
      <c r="A7574" s="1050" t="s">
        <v>2843</v>
      </c>
      <c r="B7574" s="1049">
        <f>SUM(B7570:B7573)</f>
        <v>48845.49</v>
      </c>
    </row>
    <row r="7577" spans="1:4">
      <c r="A7577" s="1064" t="s">
        <v>5836</v>
      </c>
    </row>
    <row r="7578" spans="1:4">
      <c r="A7578" s="902" t="s">
        <v>455</v>
      </c>
      <c r="B7578" s="902" t="s">
        <v>1825</v>
      </c>
      <c r="C7578" s="902" t="s">
        <v>3645</v>
      </c>
    </row>
    <row r="7579" spans="1:4" ht="14.25">
      <c r="A7579" s="103" t="s">
        <v>5837</v>
      </c>
      <c r="B7579" s="1370">
        <f>ROUNDUP(D7579/0.75/120,2)</f>
        <v>10.56</v>
      </c>
      <c r="C7579" s="1370" t="s">
        <v>5838</v>
      </c>
      <c r="D7579">
        <v>950</v>
      </c>
    </row>
    <row r="7583" spans="1:4" ht="14.25">
      <c r="A7583" s="1971" t="s">
        <v>5841</v>
      </c>
    </row>
    <row r="7584" spans="1:4">
      <c r="A7584" s="902" t="s">
        <v>455</v>
      </c>
      <c r="B7584" s="902" t="s">
        <v>5845</v>
      </c>
      <c r="C7584" s="902" t="s">
        <v>5843</v>
      </c>
      <c r="D7584" s="902" t="s">
        <v>1825</v>
      </c>
    </row>
    <row r="7585" spans="1:6">
      <c r="A7585" s="947" t="s">
        <v>5842</v>
      </c>
      <c r="B7585" s="947" t="s">
        <v>5846</v>
      </c>
      <c r="C7585" s="947" t="s">
        <v>5844</v>
      </c>
      <c r="D7585" s="891">
        <f>ROUNDUP(E7585/0.8/120,2)</f>
        <v>37.049999999999997</v>
      </c>
      <c r="E7585" s="236">
        <v>3556</v>
      </c>
    </row>
    <row r="7586" spans="1:6">
      <c r="A7586" s="947" t="s">
        <v>5842</v>
      </c>
      <c r="B7586" s="947" t="s">
        <v>5846</v>
      </c>
      <c r="C7586" s="947" t="s">
        <v>5847</v>
      </c>
      <c r="D7586" s="891">
        <f>ROUNDUP(E7586/0.8/120,2)</f>
        <v>33.4</v>
      </c>
      <c r="E7586" s="236">
        <v>3206</v>
      </c>
    </row>
    <row r="7587" spans="1:6">
      <c r="A7587" s="947" t="s">
        <v>5848</v>
      </c>
      <c r="B7587" s="947" t="s">
        <v>5846</v>
      </c>
      <c r="C7587" s="947" t="s">
        <v>5844</v>
      </c>
      <c r="D7587" s="891">
        <f>ROUNDUP(E7587/0.8/120,2)</f>
        <v>40.15</v>
      </c>
      <c r="E7587" s="236">
        <v>3854</v>
      </c>
    </row>
    <row r="7588" spans="1:6">
      <c r="A7588" s="947" t="s">
        <v>5848</v>
      </c>
      <c r="B7588" s="947" t="s">
        <v>5846</v>
      </c>
      <c r="C7588" s="947" t="s">
        <v>5847</v>
      </c>
      <c r="D7588" s="891">
        <f>ROUNDUP(E7588/0.8/120,2)</f>
        <v>36.5</v>
      </c>
      <c r="E7588" s="236">
        <v>3504</v>
      </c>
    </row>
    <row r="7595" spans="1:6" ht="15">
      <c r="A7595" s="1871" t="s">
        <v>5849</v>
      </c>
      <c r="B7595" s="1871"/>
      <c r="C7595" s="1871"/>
      <c r="D7595" s="1871"/>
      <c r="E7595" s="1871"/>
      <c r="F7595" s="1871"/>
    </row>
    <row r="7596" spans="1:6">
      <c r="A7596" s="887" t="s">
        <v>455</v>
      </c>
      <c r="B7596" s="887" t="s">
        <v>128</v>
      </c>
      <c r="C7596" s="887" t="s">
        <v>1053</v>
      </c>
      <c r="D7596" s="1783" t="s">
        <v>1323</v>
      </c>
      <c r="E7596" s="1783" t="s">
        <v>5854</v>
      </c>
    </row>
    <row r="7597" spans="1:6">
      <c r="A7597" s="47" t="s">
        <v>5850</v>
      </c>
      <c r="B7597" s="47" t="s">
        <v>78</v>
      </c>
      <c r="C7597" s="905">
        <v>10</v>
      </c>
      <c r="D7597" s="891">
        <f>ROUNDUP(F7597/0.6/120,2)</f>
        <v>0.6</v>
      </c>
      <c r="E7597" s="891"/>
      <c r="F7597" s="1957">
        <v>43</v>
      </c>
    </row>
    <row r="7598" spans="1:6">
      <c r="A7598" s="47" t="s">
        <v>5850</v>
      </c>
      <c r="B7598" s="47" t="s">
        <v>5851</v>
      </c>
      <c r="C7598" s="905">
        <v>10</v>
      </c>
      <c r="D7598" s="891">
        <f>ROUNDUP(F7598/0.6/120,2)</f>
        <v>0.8</v>
      </c>
      <c r="E7598" s="891"/>
      <c r="F7598" s="1957">
        <v>57</v>
      </c>
    </row>
    <row r="7599" spans="1:6">
      <c r="A7599" s="47" t="s">
        <v>5850</v>
      </c>
      <c r="B7599" s="47" t="s">
        <v>5852</v>
      </c>
      <c r="C7599" s="905">
        <v>100</v>
      </c>
      <c r="D7599" s="891">
        <f>ROUNDUP(F7599/0.6/120,2)</f>
        <v>1.57</v>
      </c>
      <c r="E7599" s="891" t="s">
        <v>5853</v>
      </c>
      <c r="F7599" s="1957">
        <f>43+70</f>
        <v>113</v>
      </c>
    </row>
    <row r="7600" spans="1:6">
      <c r="A7600" s="47" t="s">
        <v>5855</v>
      </c>
      <c r="B7600" s="47" t="s">
        <v>78</v>
      </c>
      <c r="C7600" s="905">
        <v>10</v>
      </c>
      <c r="D7600" s="891">
        <f>ROUNDUP(F7600/0.6/120,2)</f>
        <v>0.81</v>
      </c>
      <c r="E7600" s="891"/>
      <c r="F7600" s="1957">
        <v>58</v>
      </c>
    </row>
    <row r="7601" spans="1:6">
      <c r="A7601" s="47" t="s">
        <v>5855</v>
      </c>
      <c r="B7601" s="47" t="s">
        <v>5852</v>
      </c>
      <c r="C7601" s="905">
        <v>100</v>
      </c>
      <c r="D7601" s="891">
        <f>ROUNDUP(F7601/0.6/120,2)</f>
        <v>1.78</v>
      </c>
      <c r="E7601" s="891" t="s">
        <v>5853</v>
      </c>
      <c r="F7601" s="1957">
        <f>58+70</f>
        <v>128</v>
      </c>
    </row>
    <row r="7603" spans="1:6">
      <c r="A7603" s="887" t="s">
        <v>455</v>
      </c>
      <c r="B7603" s="887" t="s">
        <v>128</v>
      </c>
      <c r="C7603" s="902" t="s">
        <v>5843</v>
      </c>
      <c r="D7603" s="1783" t="s">
        <v>1323</v>
      </c>
    </row>
    <row r="7604" spans="1:6">
      <c r="A7604" s="47" t="s">
        <v>5839</v>
      </c>
      <c r="B7604" s="47" t="s">
        <v>78</v>
      </c>
      <c r="C7604" s="905">
        <v>4</v>
      </c>
      <c r="D7604" s="891">
        <v>8.9600000000000009</v>
      </c>
    </row>
    <row r="7605" spans="1:6">
      <c r="A7605" s="47"/>
      <c r="B7605" s="260" t="s">
        <v>1993</v>
      </c>
      <c r="C7605" s="894">
        <v>1</v>
      </c>
      <c r="D7605" s="891">
        <v>12</v>
      </c>
    </row>
    <row r="7606" spans="1:6">
      <c r="A7606" s="895"/>
      <c r="B7606" s="1777"/>
      <c r="C7606" s="1972"/>
      <c r="D7606" s="1149"/>
    </row>
    <row r="7607" spans="1:6">
      <c r="A7607" s="895"/>
      <c r="B7607" s="1777"/>
      <c r="C7607" s="1972"/>
      <c r="D7607" s="1149"/>
    </row>
    <row r="7608" spans="1:6">
      <c r="A7608" t="s">
        <v>5856</v>
      </c>
    </row>
    <row r="7609" spans="1:6">
      <c r="A7609" s="2941" t="s">
        <v>5857</v>
      </c>
      <c r="B7609" s="2941"/>
      <c r="D7609" t="s">
        <v>5860</v>
      </c>
    </row>
    <row r="7610" spans="1:6">
      <c r="A7610" s="947" t="s">
        <v>5858</v>
      </c>
      <c r="B7610" s="891">
        <f>ROUNDUP((D7610+20)/0.8/120,2)</f>
        <v>7.6099999999999994</v>
      </c>
      <c r="D7610" s="236">
        <v>710</v>
      </c>
      <c r="E7610" s="236"/>
    </row>
    <row r="7611" spans="1:6">
      <c r="A7611" s="947" t="s">
        <v>5859</v>
      </c>
      <c r="B7611" s="891">
        <f>ROUNDUP((D7611+20)/0.8/120,2)</f>
        <v>10.73</v>
      </c>
      <c r="D7611" s="236">
        <f>710+300</f>
        <v>1010</v>
      </c>
      <c r="E7611" s="236"/>
    </row>
    <row r="7615" spans="1:6">
      <c r="A7615" s="887" t="s">
        <v>455</v>
      </c>
      <c r="B7615" s="887" t="s">
        <v>128</v>
      </c>
      <c r="C7615" s="902" t="s">
        <v>5843</v>
      </c>
      <c r="D7615" s="1783" t="s">
        <v>2042</v>
      </c>
    </row>
    <row r="7616" spans="1:6">
      <c r="A7616" s="47" t="s">
        <v>3491</v>
      </c>
      <c r="B7616" s="260" t="s">
        <v>3718</v>
      </c>
      <c r="C7616" s="983">
        <v>298.89999999999998</v>
      </c>
      <c r="D7616" s="1783" t="s">
        <v>5862</v>
      </c>
    </row>
    <row r="7617" spans="1:5">
      <c r="A7617" s="47" t="s">
        <v>3491</v>
      </c>
      <c r="B7617" s="260" t="s">
        <v>3492</v>
      </c>
      <c r="C7617" s="983">
        <v>316.5</v>
      </c>
      <c r="D7617" s="1783" t="s">
        <v>5862</v>
      </c>
    </row>
    <row r="7618" spans="1:5">
      <c r="A7618" s="47" t="s">
        <v>5493</v>
      </c>
      <c r="B7618" s="260" t="s">
        <v>3492</v>
      </c>
      <c r="C7618" s="983">
        <v>543.29999999999995</v>
      </c>
      <c r="D7618" s="1783" t="s">
        <v>5862</v>
      </c>
    </row>
    <row r="7619" spans="1:5">
      <c r="A7619" s="47" t="s">
        <v>5493</v>
      </c>
      <c r="B7619" s="260" t="s">
        <v>3718</v>
      </c>
      <c r="C7619" s="983">
        <v>50</v>
      </c>
      <c r="D7619" s="1783" t="s">
        <v>5863</v>
      </c>
    </row>
    <row r="7620" spans="1:5">
      <c r="A7620" s="47" t="s">
        <v>5493</v>
      </c>
      <c r="B7620" s="260" t="s">
        <v>3718</v>
      </c>
      <c r="C7620" s="983">
        <f>148-C7619</f>
        <v>98</v>
      </c>
      <c r="D7620" s="1783"/>
    </row>
    <row r="7621" spans="1:5">
      <c r="A7621" s="47" t="s">
        <v>5493</v>
      </c>
      <c r="B7621" s="260" t="s">
        <v>5652</v>
      </c>
      <c r="C7621" s="983">
        <v>1000</v>
      </c>
      <c r="D7621" s="1783" t="s">
        <v>5864</v>
      </c>
    </row>
    <row r="7622" spans="1:5">
      <c r="A7622" s="47" t="s">
        <v>5493</v>
      </c>
      <c r="B7622" s="260" t="s">
        <v>5652</v>
      </c>
      <c r="C7622" s="983">
        <v>623</v>
      </c>
      <c r="D7622" s="1783"/>
    </row>
    <row r="7623" spans="1:5">
      <c r="A7623" s="47" t="s">
        <v>5493</v>
      </c>
      <c r="B7623" s="260" t="s">
        <v>3492</v>
      </c>
      <c r="C7623" s="983">
        <v>200</v>
      </c>
      <c r="D7623" s="1783" t="s">
        <v>5864</v>
      </c>
    </row>
    <row r="7624" spans="1:5">
      <c r="A7624" s="47" t="s">
        <v>5493</v>
      </c>
      <c r="B7624" s="260" t="s">
        <v>3492</v>
      </c>
      <c r="C7624" s="983">
        <v>2948.7</v>
      </c>
      <c r="D7624" s="1783"/>
    </row>
    <row r="7628" spans="1:5">
      <c r="A7628" s="887" t="s">
        <v>455</v>
      </c>
      <c r="B7628" s="887" t="s">
        <v>5870</v>
      </c>
      <c r="C7628" s="887" t="s">
        <v>128</v>
      </c>
      <c r="D7628" s="902" t="s">
        <v>54</v>
      </c>
      <c r="E7628" s="1973" t="s">
        <v>3058</v>
      </c>
    </row>
    <row r="7629" spans="1:5">
      <c r="A7629" s="47" t="s">
        <v>5869</v>
      </c>
      <c r="B7629" s="1146" t="s">
        <v>5828</v>
      </c>
      <c r="C7629" s="47" t="s">
        <v>5866</v>
      </c>
      <c r="D7629" s="49">
        <v>43</v>
      </c>
      <c r="E7629" s="950" t="s">
        <v>5871</v>
      </c>
    </row>
    <row r="7630" spans="1:5">
      <c r="A7630" s="47" t="s">
        <v>5869</v>
      </c>
      <c r="B7630" s="1146" t="s">
        <v>5828</v>
      </c>
      <c r="C7630" s="47" t="s">
        <v>5867</v>
      </c>
      <c r="D7630" s="49">
        <v>43</v>
      </c>
      <c r="E7630" s="950" t="s">
        <v>5872</v>
      </c>
    </row>
    <row r="7631" spans="1:5">
      <c r="A7631" s="47" t="s">
        <v>5869</v>
      </c>
      <c r="B7631" s="1146" t="s">
        <v>5828</v>
      </c>
      <c r="C7631" s="47" t="s">
        <v>5868</v>
      </c>
      <c r="D7631" s="49">
        <v>43</v>
      </c>
      <c r="E7631" s="950" t="s">
        <v>5872</v>
      </c>
    </row>
    <row r="7633" spans="1:118">
      <c r="A7633" s="887" t="s">
        <v>455</v>
      </c>
      <c r="B7633" s="887" t="s">
        <v>5870</v>
      </c>
      <c r="C7633" s="887" t="s">
        <v>128</v>
      </c>
      <c r="D7633" s="887" t="s">
        <v>5876</v>
      </c>
    </row>
    <row r="7634" spans="1:118">
      <c r="A7634" s="47" t="s">
        <v>5873</v>
      </c>
      <c r="B7634" s="1146" t="s">
        <v>5874</v>
      </c>
      <c r="C7634" s="47" t="s">
        <v>5875</v>
      </c>
      <c r="D7634" s="1783" t="s">
        <v>5877</v>
      </c>
    </row>
    <row r="7635" spans="1:118">
      <c r="A7635" s="47" t="s">
        <v>5873</v>
      </c>
      <c r="B7635" s="1146" t="s">
        <v>5874</v>
      </c>
      <c r="C7635" s="47" t="s">
        <v>5875</v>
      </c>
      <c r="D7635" s="1783" t="s">
        <v>5877</v>
      </c>
    </row>
    <row r="7637" spans="1:118">
      <c r="A7637" s="887" t="s">
        <v>455</v>
      </c>
      <c r="B7637" s="887" t="s">
        <v>5870</v>
      </c>
      <c r="C7637" s="887" t="s">
        <v>128</v>
      </c>
      <c r="D7637" s="887" t="s">
        <v>1186</v>
      </c>
      <c r="E7637" s="887" t="s">
        <v>1652</v>
      </c>
      <c r="F7637" s="887" t="s">
        <v>5673</v>
      </c>
      <c r="G7637" s="1783" t="s">
        <v>1323</v>
      </c>
      <c r="H7637" s="1783" t="s">
        <v>5880</v>
      </c>
    </row>
    <row r="7638" spans="1:118">
      <c r="A7638" s="47" t="s">
        <v>5827</v>
      </c>
      <c r="B7638" s="1146" t="s">
        <v>5828</v>
      </c>
      <c r="C7638" s="47" t="s">
        <v>5866</v>
      </c>
      <c r="D7638" s="905">
        <v>43</v>
      </c>
      <c r="E7638" s="906">
        <v>1</v>
      </c>
      <c r="F7638" s="905">
        <f>D7638*E7638</f>
        <v>43</v>
      </c>
      <c r="G7638" s="891">
        <v>9.2799999999999994</v>
      </c>
      <c r="H7638" s="1974" t="s">
        <v>771</v>
      </c>
    </row>
    <row r="7639" spans="1:118">
      <c r="A7639" s="47" t="s">
        <v>5827</v>
      </c>
      <c r="B7639" s="1146" t="s">
        <v>5828</v>
      </c>
      <c r="C7639" s="47" t="s">
        <v>5878</v>
      </c>
      <c r="D7639" s="905">
        <v>43</v>
      </c>
      <c r="E7639" s="906">
        <v>1</v>
      </c>
      <c r="F7639" s="905">
        <f>D7639*E7639</f>
        <v>43</v>
      </c>
      <c r="G7639" s="891">
        <v>17.920000000000002</v>
      </c>
      <c r="H7639" s="1974" t="s">
        <v>5881</v>
      </c>
    </row>
    <row r="7640" spans="1:118">
      <c r="A7640" s="47" t="s">
        <v>5827</v>
      </c>
      <c r="B7640" s="1146" t="s">
        <v>5828</v>
      </c>
      <c r="C7640" s="47" t="s">
        <v>5879</v>
      </c>
      <c r="D7640" s="905">
        <v>43</v>
      </c>
      <c r="E7640" s="906">
        <v>1</v>
      </c>
      <c r="F7640" s="905">
        <f>D7640*E7640</f>
        <v>43</v>
      </c>
      <c r="G7640" s="891">
        <v>17.920000000000002</v>
      </c>
      <c r="H7640" s="1974" t="s">
        <v>5881</v>
      </c>
    </row>
    <row r="7641" spans="1:118">
      <c r="A7641" s="47"/>
      <c r="B7641" s="893"/>
      <c r="C7641" s="260" t="s">
        <v>1993</v>
      </c>
      <c r="D7641" s="905"/>
      <c r="E7641" s="906"/>
      <c r="F7641" s="894">
        <v>1</v>
      </c>
      <c r="G7641" s="891">
        <v>12</v>
      </c>
      <c r="H7641" s="1974"/>
    </row>
    <row r="7643" spans="1:118" ht="15">
      <c r="A7643" s="1871" t="s">
        <v>5882</v>
      </c>
      <c r="B7643" s="1871"/>
    </row>
    <row r="7644" spans="1:118" s="1163" customFormat="1" ht="25.5">
      <c r="A7644" s="1166" t="s">
        <v>1369</v>
      </c>
      <c r="B7644" s="1184" t="s">
        <v>377</v>
      </c>
      <c r="C7644" s="1168" t="s">
        <v>1734</v>
      </c>
      <c r="D7644" s="1169" t="s">
        <v>5894</v>
      </c>
      <c r="E7644" s="1169" t="s">
        <v>5893</v>
      </c>
      <c r="F7644" s="1977" t="s">
        <v>1403</v>
      </c>
      <c r="G7644" s="1975" t="s">
        <v>5825</v>
      </c>
    </row>
    <row r="7645" spans="1:118" s="59" customFormat="1" ht="15" customHeight="1">
      <c r="A7645" s="1170" t="s">
        <v>5883</v>
      </c>
      <c r="B7645" s="1187">
        <v>5</v>
      </c>
      <c r="C7645" s="1171" t="s">
        <v>5884</v>
      </c>
      <c r="D7645" s="1174">
        <f>ROUNDUP(F7645/0.6/120,2)</f>
        <v>0.74</v>
      </c>
      <c r="E7645" s="1174">
        <f>D7645*1.5</f>
        <v>1.1099999999999999</v>
      </c>
      <c r="F7645" s="734">
        <v>53</v>
      </c>
      <c r="G7645" s="1976">
        <f>(D7645-(F7645/120))/D7645</f>
        <v>0.40315315315315314</v>
      </c>
      <c r="H7645" s="1963"/>
      <c r="I7645" s="1963"/>
      <c r="J7645" s="1963"/>
      <c r="K7645" s="1963"/>
      <c r="L7645" s="1963"/>
      <c r="M7645" s="1963"/>
      <c r="N7645" s="1963"/>
      <c r="O7645" s="1963"/>
      <c r="P7645" s="1963"/>
      <c r="Q7645" s="1963"/>
      <c r="R7645" s="1963"/>
      <c r="S7645" s="1963"/>
      <c r="T7645" s="1963"/>
      <c r="U7645" s="1963"/>
      <c r="V7645" s="1963"/>
      <c r="W7645" s="1963"/>
      <c r="X7645" s="1963"/>
      <c r="Y7645" s="1963"/>
      <c r="Z7645" s="1963"/>
      <c r="AA7645" s="1963"/>
      <c r="AB7645" s="1963"/>
      <c r="AC7645" s="1963"/>
      <c r="AD7645" s="1963"/>
      <c r="AE7645" s="1963"/>
      <c r="AF7645" s="1963"/>
      <c r="AG7645" s="1963"/>
      <c r="AH7645" s="1963"/>
      <c r="AI7645" s="1963"/>
      <c r="AJ7645" s="1963"/>
      <c r="AK7645" s="1963"/>
      <c r="AL7645" s="1963"/>
      <c r="AM7645" s="1963"/>
      <c r="AN7645" s="1963"/>
      <c r="AO7645" s="1963"/>
      <c r="AP7645" s="1963"/>
      <c r="AQ7645" s="1963"/>
      <c r="AR7645" s="1963"/>
      <c r="AS7645" s="1963"/>
      <c r="AT7645" s="1963"/>
      <c r="AU7645" s="1963"/>
      <c r="AV7645" s="1963"/>
      <c r="AW7645" s="1963"/>
      <c r="AX7645" s="1963"/>
      <c r="AY7645" s="1963"/>
      <c r="AZ7645" s="1963"/>
      <c r="BA7645" s="1963"/>
      <c r="BB7645" s="1963"/>
      <c r="BC7645" s="1963"/>
      <c r="BD7645" s="1963"/>
      <c r="BE7645" s="1963"/>
      <c r="BF7645" s="1963"/>
      <c r="BG7645" s="1963"/>
      <c r="BH7645" s="1963"/>
      <c r="BI7645" s="1963"/>
      <c r="BJ7645" s="1963"/>
      <c r="BK7645" s="1963"/>
      <c r="BL7645" s="1963"/>
      <c r="BM7645" s="1963"/>
      <c r="BN7645" s="1963"/>
      <c r="BO7645" s="1963"/>
      <c r="BP7645" s="1963"/>
      <c r="BQ7645" s="1963"/>
      <c r="BR7645" s="1963"/>
      <c r="BS7645" s="1963"/>
      <c r="BT7645" s="1963"/>
      <c r="BU7645" s="1963"/>
      <c r="BV7645" s="1963"/>
      <c r="BW7645" s="1963"/>
      <c r="BX7645" s="1963"/>
      <c r="BY7645" s="1963"/>
      <c r="BZ7645" s="1963"/>
      <c r="CA7645" s="1963"/>
      <c r="CB7645" s="1963"/>
      <c r="CC7645" s="1963"/>
      <c r="CD7645" s="1963"/>
      <c r="CE7645" s="1963"/>
      <c r="CF7645" s="1963"/>
      <c r="CG7645" s="1963"/>
      <c r="CH7645" s="1963"/>
      <c r="CI7645" s="1963"/>
      <c r="CJ7645" s="1963"/>
      <c r="CK7645" s="1963"/>
      <c r="CL7645" s="1963"/>
      <c r="CM7645" s="1963"/>
      <c r="CN7645" s="1963"/>
      <c r="CO7645" s="1963"/>
      <c r="CP7645" s="1963"/>
      <c r="CQ7645" s="1963"/>
      <c r="CR7645" s="1963"/>
      <c r="CS7645" s="1963"/>
      <c r="CT7645" s="1963"/>
      <c r="CU7645" s="1963"/>
      <c r="CV7645" s="1963"/>
      <c r="CW7645" s="1963"/>
      <c r="CX7645" s="1963"/>
      <c r="CY7645" s="1963"/>
      <c r="CZ7645" s="1963"/>
      <c r="DA7645" s="1963"/>
      <c r="DB7645" s="1963"/>
      <c r="DC7645" s="1963"/>
      <c r="DD7645" s="1963"/>
      <c r="DE7645" s="1963"/>
      <c r="DF7645" s="1963"/>
      <c r="DG7645" s="1963"/>
      <c r="DH7645" s="1963"/>
      <c r="DI7645" s="1963"/>
      <c r="DJ7645" s="1963"/>
      <c r="DK7645" s="1963"/>
      <c r="DL7645" s="1963"/>
      <c r="DM7645" s="1963"/>
      <c r="DN7645" s="1963"/>
    </row>
    <row r="7646" spans="1:118" s="59" customFormat="1" ht="15" customHeight="1">
      <c r="A7646" s="1170" t="s">
        <v>5885</v>
      </c>
      <c r="B7646" s="1187"/>
      <c r="C7646" s="1171" t="s">
        <v>5886</v>
      </c>
      <c r="D7646" s="1174">
        <f>ROUNDUP(F7646/0.6/120,2)</f>
        <v>7.5</v>
      </c>
      <c r="E7646" s="1174">
        <f>D7646*1.5</f>
        <v>11.25</v>
      </c>
      <c r="F7646" s="734">
        <v>540</v>
      </c>
      <c r="G7646" s="1976">
        <f>(D7646-(F7646/120))/D7646</f>
        <v>0.4</v>
      </c>
      <c r="H7646" s="1963"/>
      <c r="I7646" s="1963"/>
      <c r="J7646" s="1963"/>
      <c r="K7646" s="1963"/>
      <c r="L7646" s="1963"/>
      <c r="M7646" s="1963"/>
      <c r="N7646" s="1963"/>
      <c r="O7646" s="1963"/>
      <c r="P7646" s="1963"/>
      <c r="Q7646" s="1963"/>
      <c r="R7646" s="1963"/>
      <c r="S7646" s="1963"/>
      <c r="T7646" s="1963"/>
      <c r="U7646" s="1963"/>
      <c r="V7646" s="1963"/>
      <c r="W7646" s="1963"/>
      <c r="X7646" s="1963"/>
      <c r="Y7646" s="1963"/>
      <c r="Z7646" s="1963"/>
      <c r="AA7646" s="1963"/>
      <c r="AB7646" s="1963"/>
      <c r="AC7646" s="1963"/>
      <c r="AD7646" s="1963"/>
      <c r="AE7646" s="1963"/>
      <c r="AF7646" s="1963"/>
      <c r="AG7646" s="1963"/>
      <c r="AH7646" s="1963"/>
      <c r="AI7646" s="1963"/>
      <c r="AJ7646" s="1963"/>
      <c r="AK7646" s="1963"/>
      <c r="AL7646" s="1963"/>
      <c r="AM7646" s="1963"/>
      <c r="AN7646" s="1963"/>
      <c r="AO7646" s="1963"/>
      <c r="AP7646" s="1963"/>
      <c r="AQ7646" s="1963"/>
      <c r="AR7646" s="1963"/>
      <c r="AS7646" s="1963"/>
      <c r="AT7646" s="1963"/>
      <c r="AU7646" s="1963"/>
      <c r="AV7646" s="1963"/>
      <c r="AW7646" s="1963"/>
      <c r="AX7646" s="1963"/>
      <c r="AY7646" s="1963"/>
      <c r="AZ7646" s="1963"/>
      <c r="BA7646" s="1963"/>
      <c r="BB7646" s="1963"/>
      <c r="BC7646" s="1963"/>
      <c r="BD7646" s="1963"/>
      <c r="BE7646" s="1963"/>
      <c r="BF7646" s="1963"/>
      <c r="BG7646" s="1963"/>
      <c r="BH7646" s="1963"/>
      <c r="BI7646" s="1963"/>
      <c r="BJ7646" s="1963"/>
      <c r="BK7646" s="1963"/>
      <c r="BL7646" s="1963"/>
      <c r="BM7646" s="1963"/>
      <c r="BN7646" s="1963"/>
      <c r="BO7646" s="1963"/>
      <c r="BP7646" s="1963"/>
      <c r="BQ7646" s="1963"/>
      <c r="BR7646" s="1963"/>
      <c r="BS7646" s="1963"/>
      <c r="BT7646" s="1963"/>
      <c r="BU7646" s="1963"/>
      <c r="BV7646" s="1963"/>
      <c r="BW7646" s="1963"/>
      <c r="BX7646" s="1963"/>
      <c r="BY7646" s="1963"/>
      <c r="BZ7646" s="1963"/>
      <c r="CA7646" s="1963"/>
      <c r="CB7646" s="1963"/>
      <c r="CC7646" s="1963"/>
      <c r="CD7646" s="1963"/>
      <c r="CE7646" s="1963"/>
      <c r="CF7646" s="1963"/>
      <c r="CG7646" s="1963"/>
      <c r="CH7646" s="1963"/>
      <c r="CI7646" s="1963"/>
      <c r="CJ7646" s="1963"/>
      <c r="CK7646" s="1963"/>
      <c r="CL7646" s="1963"/>
      <c r="CM7646" s="1963"/>
      <c r="CN7646" s="1963"/>
      <c r="CO7646" s="1963"/>
      <c r="CP7646" s="1963"/>
      <c r="CQ7646" s="1963"/>
      <c r="CR7646" s="1963"/>
      <c r="CS7646" s="1963"/>
      <c r="CT7646" s="1963"/>
      <c r="CU7646" s="1963"/>
      <c r="CV7646" s="1963"/>
      <c r="CW7646" s="1963"/>
      <c r="CX7646" s="1963"/>
      <c r="CY7646" s="1963"/>
      <c r="CZ7646" s="1963"/>
      <c r="DA7646" s="1963"/>
      <c r="DB7646" s="1963"/>
      <c r="DC7646" s="1963"/>
      <c r="DD7646" s="1963"/>
      <c r="DE7646" s="1963"/>
      <c r="DF7646" s="1963"/>
      <c r="DG7646" s="1963"/>
      <c r="DH7646" s="1963"/>
      <c r="DI7646" s="1963"/>
      <c r="DJ7646" s="1963"/>
      <c r="DK7646" s="1963"/>
      <c r="DL7646" s="1963"/>
      <c r="DM7646" s="1963"/>
      <c r="DN7646" s="1963"/>
    </row>
    <row r="7649" spans="1:8" ht="15">
      <c r="A7649" s="1871" t="s">
        <v>5895</v>
      </c>
    </row>
    <row r="7650" spans="1:8" s="194" customFormat="1" ht="25.5">
      <c r="A7650" s="902" t="s">
        <v>5583</v>
      </c>
      <c r="B7650" s="902" t="s">
        <v>3287</v>
      </c>
      <c r="C7650" s="1772" t="s">
        <v>5914</v>
      </c>
      <c r="D7650" s="1772" t="s">
        <v>5915</v>
      </c>
      <c r="E7650" s="1772" t="s">
        <v>5916</v>
      </c>
      <c r="F7650" s="967" t="s">
        <v>5748</v>
      </c>
    </row>
    <row r="7651" spans="1:8" s="194" customFormat="1" ht="25.5" customHeight="1">
      <c r="A7651" s="909" t="s">
        <v>5896</v>
      </c>
      <c r="B7651" s="1209" t="s">
        <v>5584</v>
      </c>
      <c r="C7651" s="1245">
        <v>5</v>
      </c>
      <c r="D7651" s="1245">
        <f>ROUNDUP(F7651/0.66/120,2)</f>
        <v>4.8</v>
      </c>
      <c r="E7651" s="1245">
        <f>ROUNDUP(F7651/0.69/120,2)</f>
        <v>4.59</v>
      </c>
      <c r="F7651" s="1242">
        <v>380</v>
      </c>
    </row>
    <row r="7652" spans="1:8" s="194" customFormat="1" ht="14.25">
      <c r="A7652" s="1978"/>
      <c r="B7652" s="1982" t="s">
        <v>5912</v>
      </c>
      <c r="C7652" s="1985" t="s">
        <v>5897</v>
      </c>
      <c r="D7652" s="1986" t="s">
        <v>5919</v>
      </c>
      <c r="E7652" s="1986" t="s">
        <v>5920</v>
      </c>
      <c r="F7652" s="1980"/>
      <c r="G7652" s="1978"/>
      <c r="H7652" s="1980"/>
    </row>
    <row r="7653" spans="1:8" s="194" customFormat="1" ht="14.25">
      <c r="A7653" s="1978"/>
      <c r="B7653" s="1978"/>
      <c r="C7653" s="1981"/>
      <c r="D7653" s="1979"/>
      <c r="E7653" s="1979"/>
      <c r="F7653" s="1980"/>
      <c r="G7653" s="1978"/>
      <c r="H7653" s="1980"/>
    </row>
    <row r="7654" spans="1:8" s="194" customFormat="1" ht="25.5">
      <c r="A7654" s="902" t="s">
        <v>5583</v>
      </c>
      <c r="B7654" s="902" t="s">
        <v>3287</v>
      </c>
      <c r="C7654" s="1772" t="s">
        <v>5913</v>
      </c>
      <c r="D7654" s="1772" t="s">
        <v>5917</v>
      </c>
      <c r="E7654" s="1772" t="s">
        <v>5918</v>
      </c>
      <c r="F7654" s="967" t="s">
        <v>5748</v>
      </c>
    </row>
    <row r="7655" spans="1:8" s="194" customFormat="1" ht="25.5" customHeight="1">
      <c r="A7655" s="909" t="s">
        <v>5896</v>
      </c>
      <c r="B7655" s="1209" t="s">
        <v>5584</v>
      </c>
      <c r="C7655" s="1245">
        <v>4.8499999999999996</v>
      </c>
      <c r="D7655" s="1245">
        <f>ROUNDUP(F7655/0.68/120,2)</f>
        <v>4.66</v>
      </c>
      <c r="E7655" s="1245">
        <v>4.45</v>
      </c>
      <c r="F7655" s="1242">
        <v>380</v>
      </c>
    </row>
    <row r="7656" spans="1:8" s="194" customFormat="1" ht="14.25">
      <c r="A7656" s="1978"/>
      <c r="B7656" s="1978"/>
      <c r="C7656" s="1987" t="s">
        <v>5921</v>
      </c>
      <c r="D7656" s="1986" t="s">
        <v>5922</v>
      </c>
      <c r="E7656" s="1988" t="s">
        <v>5923</v>
      </c>
      <c r="F7656" s="1980"/>
      <c r="G7656" s="1978"/>
      <c r="H7656" s="1980"/>
    </row>
    <row r="7657" spans="1:8" s="194" customFormat="1" ht="14.25">
      <c r="A7657" s="1978"/>
      <c r="B7657" s="1978"/>
      <c r="C7657" s="1983"/>
      <c r="D7657" s="1979"/>
      <c r="E7657" s="1984"/>
      <c r="F7657" s="1980"/>
      <c r="G7657" s="1978"/>
      <c r="H7657" s="1980"/>
    </row>
    <row r="7658" spans="1:8" s="194" customFormat="1" ht="14.25">
      <c r="A7658" s="1978"/>
      <c r="B7658" s="1978"/>
      <c r="C7658" s="1983"/>
      <c r="D7658" s="1979"/>
      <c r="E7658" s="1984"/>
      <c r="F7658" s="1980"/>
      <c r="G7658" s="1978"/>
      <c r="H7658" s="1980"/>
    </row>
    <row r="7659" spans="1:8" s="194" customFormat="1" ht="14.25">
      <c r="A7659" s="1978"/>
      <c r="B7659" s="1978"/>
      <c r="C7659" s="1979"/>
      <c r="D7659" s="1979"/>
      <c r="E7659" s="1978"/>
      <c r="F7659" s="1980"/>
      <c r="G7659" s="1978"/>
      <c r="H7659" s="1980"/>
    </row>
    <row r="7660" spans="1:8" s="194" customFormat="1" ht="25.5">
      <c r="A7660" s="902" t="s">
        <v>5583</v>
      </c>
      <c r="B7660" s="902" t="s">
        <v>3287</v>
      </c>
      <c r="C7660" s="1772" t="s">
        <v>5924</v>
      </c>
      <c r="D7660" s="1772" t="s">
        <v>5926</v>
      </c>
      <c r="E7660" s="1772" t="s">
        <v>5927</v>
      </c>
      <c r="F7660" s="902" t="s">
        <v>3297</v>
      </c>
    </row>
    <row r="7661" spans="1:8" s="194" customFormat="1" ht="25.5" customHeight="1">
      <c r="A7661" s="909" t="s">
        <v>5903</v>
      </c>
      <c r="B7661" s="1209" t="s">
        <v>5584</v>
      </c>
      <c r="C7661" s="1245">
        <f>ROUNDUP(F7661/0.72/120,2)</f>
        <v>20.610000000000003</v>
      </c>
      <c r="D7661" s="1245">
        <f>ROUNDUP(F7661/0.73/120,2)</f>
        <v>20.32</v>
      </c>
      <c r="E7661" s="1245">
        <f>ROUNDUP(F7661/0.74/120,2)</f>
        <v>20.05</v>
      </c>
      <c r="F7661" s="1242">
        <v>1780</v>
      </c>
    </row>
    <row r="7662" spans="1:8">
      <c r="C7662" s="1991" t="s">
        <v>5905</v>
      </c>
      <c r="D7662" s="1991" t="s">
        <v>5930</v>
      </c>
      <c r="E7662" s="1991" t="s">
        <v>5931</v>
      </c>
    </row>
    <row r="7663" spans="1:8">
      <c r="C7663" s="1989"/>
      <c r="D7663" s="1989"/>
      <c r="E7663" s="1989"/>
    </row>
    <row r="7664" spans="1:8" s="194" customFormat="1" ht="25.5">
      <c r="A7664" s="902" t="s">
        <v>5583</v>
      </c>
      <c r="B7664" s="902" t="s">
        <v>3287</v>
      </c>
      <c r="C7664" s="1772" t="s">
        <v>5925</v>
      </c>
      <c r="D7664" s="1772" t="s">
        <v>5928</v>
      </c>
      <c r="E7664" s="1772" t="s">
        <v>5929</v>
      </c>
      <c r="F7664" s="902" t="s">
        <v>3297</v>
      </c>
    </row>
    <row r="7665" spans="1:6" s="194" customFormat="1" ht="25.5" customHeight="1">
      <c r="A7665" s="909" t="s">
        <v>5903</v>
      </c>
      <c r="B7665" s="1209" t="s">
        <v>5584</v>
      </c>
      <c r="C7665" s="1245">
        <f>C7661-(C7661*0.03)</f>
        <v>19.991700000000002</v>
      </c>
      <c r="D7665" s="1245">
        <f>D7661-(D7661*0.03)</f>
        <v>19.7104</v>
      </c>
      <c r="E7665" s="1245">
        <f>E7661-(E7661*0.03)</f>
        <v>19.448499999999999</v>
      </c>
      <c r="F7665" s="1242">
        <v>1780</v>
      </c>
    </row>
    <row r="7666" spans="1:6">
      <c r="C7666" s="1987" t="s">
        <v>5921</v>
      </c>
      <c r="D7666" s="1987" t="s">
        <v>5932</v>
      </c>
      <c r="E7666" s="1987" t="s">
        <v>5933</v>
      </c>
    </row>
    <row r="7667" spans="1:6">
      <c r="C7667" s="1989"/>
      <c r="D7667" s="1989"/>
      <c r="E7667" s="1989"/>
    </row>
    <row r="7669" spans="1:6" s="194" customFormat="1" ht="25.5">
      <c r="A7669" s="902" t="s">
        <v>5583</v>
      </c>
      <c r="B7669" s="902" t="s">
        <v>3287</v>
      </c>
      <c r="C7669" s="1772" t="s">
        <v>5924</v>
      </c>
      <c r="D7669" s="1772" t="s">
        <v>5926</v>
      </c>
      <c r="E7669" s="1772" t="s">
        <v>5927</v>
      </c>
      <c r="F7669" s="902" t="s">
        <v>3297</v>
      </c>
    </row>
    <row r="7670" spans="1:6" s="194" customFormat="1" ht="25.5" customHeight="1">
      <c r="A7670" s="909" t="s">
        <v>5904</v>
      </c>
      <c r="B7670" s="1209" t="s">
        <v>5584</v>
      </c>
      <c r="C7670" s="1245">
        <f>ROUNDUP(F7670/0.75/115,2)</f>
        <v>21.57</v>
      </c>
      <c r="D7670" s="1245">
        <f>ROUNDUP(F7670/0.73/120,2)</f>
        <v>21.240000000000002</v>
      </c>
      <c r="E7670" s="1245">
        <f>ROUNDUP(F7670/0.74/120,2)</f>
        <v>20.950000000000003</v>
      </c>
      <c r="F7670" s="1242">
        <v>1860</v>
      </c>
    </row>
    <row r="7671" spans="1:6">
      <c r="C7671" s="1990" t="s">
        <v>5900</v>
      </c>
      <c r="D7671" s="1991" t="s">
        <v>5930</v>
      </c>
      <c r="E7671" s="1991" t="s">
        <v>5931</v>
      </c>
    </row>
    <row r="7672" spans="1:6">
      <c r="C7672" s="1990"/>
      <c r="D7672" s="1989"/>
      <c r="E7672" s="1989"/>
    </row>
    <row r="7673" spans="1:6">
      <c r="C7673" s="1990"/>
      <c r="D7673" s="1989"/>
      <c r="E7673" s="1989"/>
    </row>
    <row r="7674" spans="1:6" s="194" customFormat="1" ht="25.5">
      <c r="A7674" s="902" t="s">
        <v>5583</v>
      </c>
      <c r="B7674" s="902" t="s">
        <v>3287</v>
      </c>
      <c r="C7674" s="1772" t="s">
        <v>5925</v>
      </c>
      <c r="D7674" s="1772" t="s">
        <v>5928</v>
      </c>
      <c r="E7674" s="1772" t="s">
        <v>5929</v>
      </c>
      <c r="F7674" s="902" t="s">
        <v>3297</v>
      </c>
    </row>
    <row r="7675" spans="1:6" s="194" customFormat="1" ht="25.5" customHeight="1">
      <c r="A7675" s="909" t="s">
        <v>5904</v>
      </c>
      <c r="B7675" s="1209" t="s">
        <v>5584</v>
      </c>
      <c r="C7675" s="1245">
        <f>C7670-(C7670*0.03)</f>
        <v>20.922899999999998</v>
      </c>
      <c r="D7675" s="1245">
        <f>D7670-(D7670*0.03)</f>
        <v>20.602800000000002</v>
      </c>
      <c r="E7675" s="1245">
        <f>E7670-(E7670*0.03)</f>
        <v>20.321500000000004</v>
      </c>
      <c r="F7675" s="1242">
        <v>1860</v>
      </c>
    </row>
    <row r="7676" spans="1:6">
      <c r="C7676" s="1987" t="s">
        <v>5921</v>
      </c>
      <c r="D7676" s="1987" t="s">
        <v>5932</v>
      </c>
      <c r="E7676" s="1987" t="s">
        <v>5933</v>
      </c>
    </row>
    <row r="7677" spans="1:6">
      <c r="C7677" s="1990"/>
      <c r="D7677" s="1989"/>
      <c r="E7677" s="1989"/>
    </row>
    <row r="7678" spans="1:6">
      <c r="C7678" s="1990"/>
      <c r="D7678" s="1989"/>
      <c r="E7678" s="1989"/>
    </row>
    <row r="7680" spans="1:6" s="194" customFormat="1" ht="25.5">
      <c r="A7680" s="902" t="s">
        <v>5583</v>
      </c>
      <c r="B7680" s="902" t="s">
        <v>3287</v>
      </c>
      <c r="C7680" s="1772" t="s">
        <v>5901</v>
      </c>
      <c r="D7680" s="1772" t="s">
        <v>5902</v>
      </c>
      <c r="E7680" s="1772" t="s">
        <v>5906</v>
      </c>
      <c r="F7680" s="902" t="s">
        <v>3297</v>
      </c>
    </row>
    <row r="7681" spans="1:6" s="194" customFormat="1" ht="25.5" customHeight="1">
      <c r="A7681" s="909" t="s">
        <v>5907</v>
      </c>
      <c r="B7681" s="1209" t="s">
        <v>5584</v>
      </c>
      <c r="C7681" s="1245">
        <f>ROUNDUP(F7681/0.72/120,2)</f>
        <v>20.84</v>
      </c>
      <c r="D7681" s="1245">
        <f>ROUNDUP(F7681/0.73/120,2)</f>
        <v>20.55</v>
      </c>
      <c r="E7681" s="1245">
        <f>ROUNDUP(F7681/0.74/120,2)</f>
        <v>20.28</v>
      </c>
      <c r="F7681" s="1242">
        <v>1800</v>
      </c>
    </row>
    <row r="7682" spans="1:6">
      <c r="C7682" s="1991" t="s">
        <v>5905</v>
      </c>
      <c r="D7682" s="1991" t="s">
        <v>5930</v>
      </c>
      <c r="E7682" s="1991" t="s">
        <v>5931</v>
      </c>
    </row>
    <row r="7683" spans="1:6">
      <c r="C7683" s="1989"/>
      <c r="D7683" s="1989"/>
      <c r="E7683" s="1989"/>
    </row>
    <row r="7684" spans="1:6">
      <c r="C7684" s="1989"/>
      <c r="D7684" s="1989"/>
      <c r="E7684" s="1989"/>
    </row>
    <row r="7685" spans="1:6" s="194" customFormat="1" ht="25.5">
      <c r="A7685" s="902" t="s">
        <v>5583</v>
      </c>
      <c r="B7685" s="902" t="s">
        <v>3287</v>
      </c>
      <c r="C7685" s="1772" t="s">
        <v>5901</v>
      </c>
      <c r="D7685" s="1772" t="s">
        <v>5902</v>
      </c>
      <c r="E7685" s="1772" t="s">
        <v>5906</v>
      </c>
      <c r="F7685" s="902" t="s">
        <v>3297</v>
      </c>
    </row>
    <row r="7686" spans="1:6" s="194" customFormat="1" ht="25.5" customHeight="1">
      <c r="A7686" s="909" t="s">
        <v>5907</v>
      </c>
      <c r="B7686" s="1209" t="s">
        <v>5584</v>
      </c>
      <c r="C7686" s="1245">
        <f>C7681-(C7681*0.03)</f>
        <v>20.2148</v>
      </c>
      <c r="D7686" s="1245">
        <f>D7681-(D7681*0.03)</f>
        <v>19.933500000000002</v>
      </c>
      <c r="E7686" s="1245">
        <f>E7681-(E7681*0.03)</f>
        <v>19.671600000000002</v>
      </c>
      <c r="F7686" s="1242">
        <v>1800</v>
      </c>
    </row>
    <row r="7687" spans="1:6">
      <c r="C7687" s="1987" t="s">
        <v>5921</v>
      </c>
      <c r="D7687" s="1987" t="s">
        <v>5932</v>
      </c>
      <c r="E7687" s="1987" t="s">
        <v>5933</v>
      </c>
    </row>
    <row r="7688" spans="1:6">
      <c r="C7688" s="1989"/>
      <c r="D7688" s="1989"/>
      <c r="E7688" s="1989"/>
    </row>
    <row r="7689" spans="1:6">
      <c r="C7689" s="1989"/>
      <c r="D7689" s="1989"/>
      <c r="E7689" s="1989"/>
    </row>
    <row r="7692" spans="1:6">
      <c r="A7692" s="902" t="s">
        <v>5583</v>
      </c>
      <c r="B7692" s="902" t="s">
        <v>3297</v>
      </c>
      <c r="C7692" s="967" t="s">
        <v>5911</v>
      </c>
    </row>
    <row r="7693" spans="1:6">
      <c r="A7693" s="909" t="s">
        <v>5903</v>
      </c>
      <c r="B7693" s="1242" t="s">
        <v>5908</v>
      </c>
      <c r="C7693" s="1242"/>
    </row>
    <row r="7694" spans="1:6">
      <c r="A7694" s="909" t="s">
        <v>5904</v>
      </c>
      <c r="B7694" s="1242" t="s">
        <v>5909</v>
      </c>
      <c r="C7694" s="1242"/>
    </row>
    <row r="7695" spans="1:6">
      <c r="A7695" s="909" t="s">
        <v>5907</v>
      </c>
      <c r="B7695" s="1242" t="s">
        <v>5910</v>
      </c>
      <c r="C7695" s="1242"/>
    </row>
    <row r="7698" spans="1:9" ht="15">
      <c r="A7698" s="1871" t="s">
        <v>5895</v>
      </c>
      <c r="B7698" s="1994" t="s">
        <v>5934</v>
      </c>
      <c r="C7698" s="1985" t="s">
        <v>5897</v>
      </c>
      <c r="D7698" s="1986" t="s">
        <v>5919</v>
      </c>
      <c r="E7698" s="1986" t="s">
        <v>5920</v>
      </c>
    </row>
    <row r="7699" spans="1:9" s="1019" customFormat="1" ht="25.5">
      <c r="A7699" s="902" t="s">
        <v>5583</v>
      </c>
      <c r="B7699" s="902" t="s">
        <v>3287</v>
      </c>
      <c r="C7699" s="1772" t="s">
        <v>5898</v>
      </c>
      <c r="D7699" s="1772" t="s">
        <v>5935</v>
      </c>
      <c r="E7699" s="1772" t="s">
        <v>5899</v>
      </c>
      <c r="F7699" s="1772" t="s">
        <v>5936</v>
      </c>
      <c r="G7699" s="967" t="s">
        <v>5748</v>
      </c>
    </row>
    <row r="7700" spans="1:9" s="1019" customFormat="1" ht="25.5" customHeight="1">
      <c r="A7700" s="909" t="s">
        <v>5896</v>
      </c>
      <c r="B7700" s="1209" t="s">
        <v>5584</v>
      </c>
      <c r="C7700" s="1245">
        <v>5</v>
      </c>
      <c r="D7700" s="1245">
        <f>ROUNDUP(G7700/0.66/120,2)</f>
        <v>4.8</v>
      </c>
      <c r="E7700" s="1245">
        <f>ROUNDUP(G7700/0.69/120,2)</f>
        <v>4.59</v>
      </c>
      <c r="F7700" s="1245" t="s">
        <v>5937</v>
      </c>
      <c r="G7700" s="1242">
        <v>380</v>
      </c>
    </row>
    <row r="7701" spans="1:9" s="1019" customFormat="1" ht="25.5" customHeight="1">
      <c r="A7701" s="1331"/>
      <c r="B7701" s="1332"/>
      <c r="C7701" s="1992"/>
      <c r="D7701" s="1992"/>
      <c r="E7701" s="1992"/>
      <c r="F7701" s="1992"/>
      <c r="G7701" s="1993"/>
    </row>
    <row r="7702" spans="1:9" s="888" customFormat="1" ht="12.75">
      <c r="A7702" s="1994" t="s">
        <v>5934</v>
      </c>
      <c r="C7702" s="459" t="s">
        <v>5905</v>
      </c>
      <c r="D7702" s="459" t="s">
        <v>5930</v>
      </c>
      <c r="E7702" s="459" t="s">
        <v>5931</v>
      </c>
      <c r="F7702" s="459"/>
    </row>
    <row r="7703" spans="1:9" s="1019" customFormat="1" ht="25.5">
      <c r="A7703" s="902" t="s">
        <v>5583</v>
      </c>
      <c r="B7703" s="902" t="s">
        <v>3287</v>
      </c>
      <c r="C7703" s="1772" t="s">
        <v>5901</v>
      </c>
      <c r="D7703" s="1772" t="s">
        <v>5902</v>
      </c>
      <c r="E7703" s="1772" t="s">
        <v>5906</v>
      </c>
      <c r="F7703" s="1772" t="s">
        <v>5936</v>
      </c>
      <c r="G7703" s="902" t="s">
        <v>3297</v>
      </c>
    </row>
    <row r="7704" spans="1:9" s="1019" customFormat="1" ht="25.5" customHeight="1">
      <c r="A7704" s="909" t="s">
        <v>5903</v>
      </c>
      <c r="B7704" s="1209" t="s">
        <v>5584</v>
      </c>
      <c r="C7704" s="1245">
        <f>ROUNDUP(G7704/0.72/120,2)</f>
        <v>20.610000000000003</v>
      </c>
      <c r="D7704" s="1245">
        <f>ROUNDUP(G7704/0.73/120,2)</f>
        <v>20.32</v>
      </c>
      <c r="E7704" s="1245">
        <f>ROUNDUP(G7704/0.74/120,2)</f>
        <v>20.05</v>
      </c>
      <c r="F7704" s="1245" t="s">
        <v>5938</v>
      </c>
      <c r="G7704" s="1242">
        <v>1780</v>
      </c>
    </row>
    <row r="7705" spans="1:9" s="1019" customFormat="1" ht="25.5" customHeight="1">
      <c r="A7705" s="909" t="s">
        <v>5904</v>
      </c>
      <c r="B7705" s="1209" t="s">
        <v>5584</v>
      </c>
      <c r="C7705" s="1245">
        <f>ROUNDUP(G7705/0.75/115,2)</f>
        <v>21.57</v>
      </c>
      <c r="D7705" s="1245">
        <f>ROUNDUP(G7705/0.73/120,2)</f>
        <v>21.240000000000002</v>
      </c>
      <c r="E7705" s="1245">
        <f>ROUNDUP(G7705/0.74/120,2)</f>
        <v>20.950000000000003</v>
      </c>
      <c r="F7705" s="1245" t="s">
        <v>5939</v>
      </c>
      <c r="G7705" s="1242">
        <v>1860</v>
      </c>
    </row>
    <row r="7706" spans="1:9" s="1019" customFormat="1" ht="25.5" customHeight="1">
      <c r="A7706" s="909" t="s">
        <v>5907</v>
      </c>
      <c r="B7706" s="1209" t="s">
        <v>5584</v>
      </c>
      <c r="C7706" s="1245">
        <f>ROUNDUP(G7706/0.72/120,2)</f>
        <v>20.84</v>
      </c>
      <c r="D7706" s="1245">
        <f>ROUNDUP(G7706/0.73/120,2)</f>
        <v>20.55</v>
      </c>
      <c r="E7706" s="1245">
        <f>ROUNDUP(G7706/0.74/120,2)</f>
        <v>20.28</v>
      </c>
      <c r="F7706" s="1245" t="s">
        <v>5940</v>
      </c>
      <c r="G7706" s="1242">
        <v>1800</v>
      </c>
    </row>
    <row r="7707" spans="1:9" s="888" customFormat="1" ht="12"/>
    <row r="7708" spans="1:9">
      <c r="A7708" s="629" t="s">
        <v>5949</v>
      </c>
    </row>
    <row r="7709" spans="1:9" ht="15">
      <c r="A7709" s="1996" t="s">
        <v>1603</v>
      </c>
      <c r="B7709" s="1996" t="s">
        <v>377</v>
      </c>
      <c r="C7709" s="1996" t="s">
        <v>2317</v>
      </c>
      <c r="D7709" s="1997" t="s">
        <v>5952</v>
      </c>
      <c r="E7709" s="1997" t="s">
        <v>5954</v>
      </c>
      <c r="F7709" s="1998" t="s">
        <v>5282</v>
      </c>
      <c r="G7709" s="1998" t="s">
        <v>5948</v>
      </c>
      <c r="H7709" s="2001" t="s">
        <v>5955</v>
      </c>
      <c r="I7709" s="2002" t="s">
        <v>5956</v>
      </c>
    </row>
    <row r="7710" spans="1:9">
      <c r="A7710" s="47" t="s">
        <v>5950</v>
      </c>
      <c r="B7710" s="1187">
        <v>10</v>
      </c>
      <c r="C7710" s="47" t="s">
        <v>5951</v>
      </c>
      <c r="D7710" s="47" t="s">
        <v>5953</v>
      </c>
      <c r="E7710" s="1245">
        <f>ROUNDUP(H7710/0.45/120,2)</f>
        <v>0.82000000000000006</v>
      </c>
      <c r="F7710" s="47" t="s">
        <v>5957</v>
      </c>
      <c r="G7710" s="1245">
        <v>190</v>
      </c>
      <c r="H7710" s="1999">
        <v>44</v>
      </c>
      <c r="I7710" s="2000">
        <v>18000</v>
      </c>
    </row>
    <row r="7711" spans="1:9" s="888" customFormat="1" ht="12"/>
    <row r="7714" spans="1:4" ht="14.25" thickBot="1"/>
    <row r="7715" spans="1:4" ht="14.25" thickBot="1">
      <c r="A7715" s="2003" t="s">
        <v>455</v>
      </c>
      <c r="B7715" s="2003" t="s">
        <v>457</v>
      </c>
      <c r="C7715" s="2003" t="s">
        <v>5959</v>
      </c>
      <c r="D7715" s="2004" t="s">
        <v>5960</v>
      </c>
    </row>
    <row r="7716" spans="1:4" ht="14.25" thickBot="1">
      <c r="A7716" s="2005" t="s">
        <v>3461</v>
      </c>
      <c r="B7716" s="2005" t="s">
        <v>5961</v>
      </c>
      <c r="C7716" s="2006" t="s">
        <v>5962</v>
      </c>
      <c r="D7716" s="2007" t="s">
        <v>5963</v>
      </c>
    </row>
    <row r="7717" spans="1:4" ht="14.25" thickBot="1">
      <c r="A7717" s="2005" t="s">
        <v>3461</v>
      </c>
      <c r="B7717" s="2005" t="s">
        <v>5964</v>
      </c>
      <c r="C7717" s="2006" t="s">
        <v>5965</v>
      </c>
      <c r="D7717" s="2007" t="s">
        <v>5963</v>
      </c>
    </row>
    <row r="7718" spans="1:4" ht="14.25" thickBot="1">
      <c r="A7718" s="2005" t="s">
        <v>5966</v>
      </c>
      <c r="B7718" s="2005" t="s">
        <v>5964</v>
      </c>
      <c r="C7718" s="2006" t="s">
        <v>5967</v>
      </c>
      <c r="D7718" s="2007" t="s">
        <v>5963</v>
      </c>
    </row>
    <row r="7719" spans="1:4" ht="14.25" thickBot="1">
      <c r="A7719" s="2005" t="s">
        <v>5966</v>
      </c>
      <c r="B7719" s="2005" t="s">
        <v>5961</v>
      </c>
      <c r="C7719" s="2006" t="s">
        <v>5969</v>
      </c>
      <c r="D7719" s="2007" t="s">
        <v>5968</v>
      </c>
    </row>
    <row r="7720" spans="1:4" ht="14.25" thickBot="1">
      <c r="A7720" s="2005" t="s">
        <v>5966</v>
      </c>
      <c r="B7720" s="2008" t="s">
        <v>3492</v>
      </c>
      <c r="C7720" s="2009">
        <v>102</v>
      </c>
      <c r="D7720" s="2007" t="s">
        <v>5970</v>
      </c>
    </row>
    <row r="7721" spans="1:4" ht="14.25" thickBot="1">
      <c r="A7721" s="2005" t="s">
        <v>5966</v>
      </c>
      <c r="B7721" s="2008" t="s">
        <v>5652</v>
      </c>
      <c r="C7721" s="2009">
        <v>1252.5</v>
      </c>
      <c r="D7721" s="2007" t="s">
        <v>5970</v>
      </c>
    </row>
    <row r="7722" spans="1:4" ht="14.25" thickBot="1">
      <c r="A7722" s="2005" t="s">
        <v>5966</v>
      </c>
      <c r="B7722" s="2008" t="s">
        <v>3718</v>
      </c>
      <c r="C7722" s="2009">
        <v>108</v>
      </c>
      <c r="D7722" s="2007" t="s">
        <v>5970</v>
      </c>
    </row>
    <row r="7723" spans="1:4" ht="14.25" thickBot="1">
      <c r="A7723" s="2005" t="s">
        <v>5966</v>
      </c>
      <c r="B7723" s="2008" t="s">
        <v>5652</v>
      </c>
      <c r="C7723" s="2009">
        <v>370.5</v>
      </c>
      <c r="D7723" s="2011" t="s">
        <v>5971</v>
      </c>
    </row>
    <row r="7724" spans="1:4" ht="14.25" thickBot="1">
      <c r="A7724" s="2005" t="s">
        <v>5966</v>
      </c>
      <c r="B7724" s="2008" t="s">
        <v>3492</v>
      </c>
      <c r="C7724" s="2009">
        <v>3046.7</v>
      </c>
      <c r="D7724" s="2011" t="s">
        <v>5971</v>
      </c>
    </row>
    <row r="7725" spans="1:4" ht="14.25" thickBot="1">
      <c r="A7725" s="2010"/>
      <c r="B7725" s="2010"/>
      <c r="C7725" s="2010"/>
      <c r="D7725" s="2010"/>
    </row>
    <row r="7729" spans="1:7">
      <c r="A7729" s="887" t="s">
        <v>455</v>
      </c>
      <c r="B7729" s="887" t="s">
        <v>52</v>
      </c>
      <c r="C7729" s="887" t="s">
        <v>128</v>
      </c>
      <c r="D7729" s="887" t="s">
        <v>1186</v>
      </c>
      <c r="E7729" s="887" t="s">
        <v>1652</v>
      </c>
      <c r="F7729" s="887" t="s">
        <v>1653</v>
      </c>
      <c r="G7729" s="1783" t="s">
        <v>1323</v>
      </c>
    </row>
    <row r="7730" spans="1:7">
      <c r="A7730" s="47" t="s">
        <v>5973</v>
      </c>
      <c r="B7730" s="48">
        <v>10</v>
      </c>
      <c r="C7730" s="47" t="s">
        <v>5974</v>
      </c>
      <c r="D7730" s="948">
        <v>100</v>
      </c>
      <c r="E7730" s="949">
        <v>1</v>
      </c>
      <c r="F7730" s="49">
        <f>D7730*E7730</f>
        <v>100</v>
      </c>
      <c r="G7730" s="950">
        <v>0.82</v>
      </c>
    </row>
    <row r="7731" spans="1:7">
      <c r="A7731" s="47"/>
      <c r="B7731" s="2015"/>
      <c r="C7731" s="260" t="s">
        <v>1993</v>
      </c>
      <c r="D7731" s="49"/>
      <c r="E7731" s="1213"/>
      <c r="F7731" s="2016">
        <v>1</v>
      </c>
      <c r="G7731" s="950">
        <v>12</v>
      </c>
    </row>
    <row r="7734" spans="1:7">
      <c r="A7734" s="887" t="s">
        <v>5979</v>
      </c>
      <c r="B7734" s="887" t="s">
        <v>455</v>
      </c>
      <c r="C7734" s="887" t="s">
        <v>52</v>
      </c>
      <c r="D7734" s="887" t="s">
        <v>128</v>
      </c>
      <c r="E7734" s="887" t="s">
        <v>1653</v>
      </c>
      <c r="F7734" s="1783" t="s">
        <v>1323</v>
      </c>
    </row>
    <row r="7735" spans="1:7">
      <c r="A7735" s="4" t="s">
        <v>5975</v>
      </c>
      <c r="B7735" s="47" t="s">
        <v>2447</v>
      </c>
      <c r="C7735" s="907">
        <v>152</v>
      </c>
      <c r="D7735" s="47" t="s">
        <v>114</v>
      </c>
      <c r="E7735" s="905">
        <v>20</v>
      </c>
      <c r="F7735" s="891">
        <v>5</v>
      </c>
    </row>
    <row r="7736" spans="1:7">
      <c r="A7736" s="4" t="s">
        <v>5975</v>
      </c>
      <c r="B7736" s="47" t="s">
        <v>2447</v>
      </c>
      <c r="C7736" s="907">
        <v>152</v>
      </c>
      <c r="D7736" s="47" t="s">
        <v>5976</v>
      </c>
      <c r="E7736" s="905">
        <v>20</v>
      </c>
      <c r="F7736" s="891">
        <v>5</v>
      </c>
    </row>
    <row r="7737" spans="1:7">
      <c r="A7737" s="4" t="s">
        <v>5975</v>
      </c>
      <c r="B7737" s="47">
        <v>2440</v>
      </c>
      <c r="C7737" s="907">
        <v>140</v>
      </c>
      <c r="D7737" s="47" t="s">
        <v>5977</v>
      </c>
      <c r="E7737" s="905">
        <v>20</v>
      </c>
      <c r="F7737" s="891">
        <v>4.38</v>
      </c>
    </row>
    <row r="7738" spans="1:7">
      <c r="A7738" s="4" t="s">
        <v>5975</v>
      </c>
      <c r="B7738" s="47"/>
      <c r="C7738" s="893"/>
      <c r="D7738" s="260" t="s">
        <v>75</v>
      </c>
      <c r="E7738" s="894">
        <v>3</v>
      </c>
      <c r="F7738" s="891">
        <v>12</v>
      </c>
    </row>
    <row r="7739" spans="1:7">
      <c r="A7739" s="4" t="s">
        <v>5975</v>
      </c>
      <c r="B7739" s="47"/>
      <c r="C7739" s="893"/>
      <c r="D7739" s="260" t="s">
        <v>1993</v>
      </c>
      <c r="E7739" s="894">
        <v>1</v>
      </c>
      <c r="F7739" s="891">
        <v>20</v>
      </c>
    </row>
    <row r="7743" spans="1:7" ht="15">
      <c r="A7743" s="1219"/>
    </row>
    <row r="7744" spans="1:7">
      <c r="A7744" s="2019" t="s">
        <v>455</v>
      </c>
      <c r="B7744" s="2019" t="s">
        <v>457</v>
      </c>
      <c r="C7744" s="2019" t="s">
        <v>5982</v>
      </c>
      <c r="D7744" s="2019" t="s">
        <v>5988</v>
      </c>
      <c r="E7744" s="2019" t="s">
        <v>5989</v>
      </c>
      <c r="F7744" s="2019" t="s">
        <v>5990</v>
      </c>
    </row>
    <row r="7745" spans="1:7" ht="26.25" thickBot="1">
      <c r="A7745" s="2020" t="s">
        <v>5966</v>
      </c>
      <c r="B7745" s="2020" t="s">
        <v>5983</v>
      </c>
      <c r="C7745" s="2021" t="s">
        <v>5984</v>
      </c>
      <c r="D7745" s="2021" t="s">
        <v>5991</v>
      </c>
      <c r="E7745" s="2022" t="s">
        <v>5992</v>
      </c>
      <c r="F7745" s="2023"/>
      <c r="G7745" s="2017" t="s">
        <v>5985</v>
      </c>
    </row>
    <row r="7746" spans="1:7" ht="26.25" thickBot="1">
      <c r="A7746" s="2020" t="s">
        <v>5966</v>
      </c>
      <c r="B7746" s="2020" t="s">
        <v>5964</v>
      </c>
      <c r="C7746" s="2021" t="s">
        <v>5986</v>
      </c>
      <c r="D7746" s="2021" t="s">
        <v>5993</v>
      </c>
      <c r="E7746" s="2021" t="s">
        <v>5994</v>
      </c>
      <c r="F7746" s="2021" t="s">
        <v>5995</v>
      </c>
      <c r="G7746" s="2018" t="s">
        <v>5987</v>
      </c>
    </row>
    <row r="7747" spans="1:7" ht="15">
      <c r="A7747" s="1219"/>
    </row>
    <row r="7748" spans="1:7">
      <c r="A7748" s="1310"/>
    </row>
    <row r="7750" spans="1:7">
      <c r="A7750" s="1310"/>
    </row>
    <row r="7751" spans="1:7">
      <c r="A7751" s="2019" t="s">
        <v>455</v>
      </c>
      <c r="B7751" s="2019" t="s">
        <v>457</v>
      </c>
      <c r="C7751" s="2019" t="s">
        <v>6000</v>
      </c>
      <c r="D7751" s="2019" t="s">
        <v>6001</v>
      </c>
      <c r="E7751" s="2019" t="s">
        <v>6002</v>
      </c>
    </row>
    <row r="7752" spans="1:7">
      <c r="A7752" s="2020" t="s">
        <v>5966</v>
      </c>
      <c r="B7752" s="2020" t="s">
        <v>5983</v>
      </c>
      <c r="C7752" s="2021" t="s">
        <v>6003</v>
      </c>
      <c r="D7752" s="2026" t="s">
        <v>6007</v>
      </c>
      <c r="E7752" s="2024"/>
    </row>
    <row r="7753" spans="1:7">
      <c r="A7753" s="2020" t="s">
        <v>5966</v>
      </c>
      <c r="B7753" s="2020" t="s">
        <v>5964</v>
      </c>
      <c r="C7753" s="2021" t="s">
        <v>6004</v>
      </c>
      <c r="D7753" s="2021" t="s">
        <v>6005</v>
      </c>
      <c r="E7753" s="2021" t="s">
        <v>6006</v>
      </c>
    </row>
    <row r="7754" spans="1:7">
      <c r="A7754" s="2020" t="s">
        <v>5966</v>
      </c>
      <c r="B7754" s="2020" t="s">
        <v>6008</v>
      </c>
      <c r="C7754" s="2021"/>
      <c r="D7754" s="2021"/>
      <c r="E7754" s="2025" t="s">
        <v>6009</v>
      </c>
    </row>
    <row r="7755" spans="1:7">
      <c r="A7755" s="1310"/>
    </row>
    <row r="7756" spans="1:7" ht="15">
      <c r="A7756" s="1871" t="s">
        <v>6014</v>
      </c>
      <c r="B7756" s="1871"/>
      <c r="C7756" s="1871"/>
      <c r="D7756" s="1871"/>
      <c r="E7756" s="1871"/>
      <c r="F7756" s="1871"/>
    </row>
    <row r="7757" spans="1:7">
      <c r="A7757" s="2019" t="s">
        <v>455</v>
      </c>
      <c r="B7757" s="887" t="s">
        <v>128</v>
      </c>
      <c r="C7757" s="887" t="s">
        <v>1053</v>
      </c>
      <c r="D7757" s="1783" t="s">
        <v>6016</v>
      </c>
      <c r="E7757" s="1783" t="s">
        <v>6017</v>
      </c>
      <c r="F7757" s="317" t="s">
        <v>6010</v>
      </c>
    </row>
    <row r="7758" spans="1:7">
      <c r="A7758" s="2020" t="s">
        <v>6011</v>
      </c>
      <c r="B7758" s="47" t="s">
        <v>78</v>
      </c>
      <c r="C7758" s="49" t="s">
        <v>6015</v>
      </c>
      <c r="D7758" s="950">
        <f>ROUNDUP(F7758/0.6/120,2)</f>
        <v>2.5999999999999996</v>
      </c>
      <c r="E7758" s="950" t="s">
        <v>6018</v>
      </c>
      <c r="F7758">
        <v>187</v>
      </c>
    </row>
    <row r="7759" spans="1:7">
      <c r="A7759" s="47" t="s">
        <v>6012</v>
      </c>
      <c r="B7759" s="47" t="s">
        <v>78</v>
      </c>
      <c r="C7759" s="49" t="s">
        <v>6015</v>
      </c>
      <c r="D7759" s="950">
        <f>ROUNDUP(F7759/0.6/120,2)</f>
        <v>2.5</v>
      </c>
      <c r="E7759" s="950" t="s">
        <v>6019</v>
      </c>
      <c r="F7759">
        <v>180</v>
      </c>
    </row>
    <row r="7760" spans="1:7">
      <c r="A7760" s="47" t="s">
        <v>6013</v>
      </c>
      <c r="B7760" s="47" t="s">
        <v>78</v>
      </c>
      <c r="C7760" s="49" t="s">
        <v>6015</v>
      </c>
      <c r="D7760" s="950">
        <f>ROUNDUP(F7760/0.6/120,2)</f>
        <v>3.34</v>
      </c>
      <c r="E7760" s="950" t="s">
        <v>6020</v>
      </c>
      <c r="F7760">
        <v>240</v>
      </c>
    </row>
    <row r="7763" spans="1:7">
      <c r="A7763" s="887" t="s">
        <v>105</v>
      </c>
      <c r="B7763" s="887" t="s">
        <v>455</v>
      </c>
      <c r="C7763" s="887" t="s">
        <v>128</v>
      </c>
      <c r="D7763" s="887" t="s">
        <v>1186</v>
      </c>
      <c r="E7763" s="887" t="s">
        <v>1652</v>
      </c>
      <c r="F7763" s="887" t="s">
        <v>1653</v>
      </c>
      <c r="G7763" s="1783" t="s">
        <v>1323</v>
      </c>
    </row>
    <row r="7764" spans="1:7">
      <c r="A7764" s="947" t="s">
        <v>6021</v>
      </c>
      <c r="B7764" s="47" t="s">
        <v>5772</v>
      </c>
      <c r="C7764" s="47" t="s">
        <v>17</v>
      </c>
      <c r="D7764" s="1214">
        <v>50</v>
      </c>
      <c r="E7764" s="1877">
        <v>74</v>
      </c>
      <c r="F7764" s="49">
        <f>D7764*E7764</f>
        <v>3700</v>
      </c>
      <c r="G7764" s="950">
        <v>0.26</v>
      </c>
    </row>
    <row r="7765" spans="1:7">
      <c r="A7765" s="947" t="s">
        <v>6021</v>
      </c>
      <c r="B7765" s="47"/>
      <c r="C7765" s="260" t="s">
        <v>1993</v>
      </c>
      <c r="D7765" s="49"/>
      <c r="E7765" s="1213"/>
      <c r="F7765" s="2016">
        <v>1</v>
      </c>
      <c r="G7765" s="950">
        <v>12</v>
      </c>
    </row>
    <row r="7769" spans="1:7" ht="15">
      <c r="A7769" s="1871" t="s">
        <v>6022</v>
      </c>
      <c r="B7769" s="1871"/>
      <c r="C7769" s="1871"/>
      <c r="D7769" s="1871"/>
      <c r="E7769" s="1871"/>
      <c r="F7769" s="1871"/>
    </row>
    <row r="7770" spans="1:7">
      <c r="A7770" s="2019" t="s">
        <v>455</v>
      </c>
      <c r="B7770" s="887" t="s">
        <v>128</v>
      </c>
      <c r="C7770" s="887" t="s">
        <v>1053</v>
      </c>
      <c r="D7770" s="1783" t="s">
        <v>6016</v>
      </c>
      <c r="E7770" s="317" t="s">
        <v>6010</v>
      </c>
    </row>
    <row r="7771" spans="1:7">
      <c r="A7771" s="2020" t="s">
        <v>6023</v>
      </c>
      <c r="B7771" s="47" t="s">
        <v>78</v>
      </c>
      <c r="C7771" s="49" t="s">
        <v>1518</v>
      </c>
      <c r="D7771" s="950">
        <v>0.87</v>
      </c>
      <c r="E7771">
        <v>60</v>
      </c>
    </row>
    <row r="7774" spans="1:7">
      <c r="A7774" s="2027" t="s">
        <v>6026</v>
      </c>
      <c r="B7774" s="1049">
        <v>48103.03</v>
      </c>
    </row>
    <row r="7775" spans="1:7">
      <c r="A7775" s="990" t="s">
        <v>6027</v>
      </c>
      <c r="B7775" s="990">
        <v>7072.73</v>
      </c>
    </row>
    <row r="7776" spans="1:7">
      <c r="A7776" s="990" t="s">
        <v>6028</v>
      </c>
      <c r="B7776" s="990">
        <v>457.03</v>
      </c>
    </row>
    <row r="7777" spans="1:5">
      <c r="A7777" s="990" t="s">
        <v>6029</v>
      </c>
      <c r="B7777" s="990">
        <v>12197.25</v>
      </c>
    </row>
    <row r="7778" spans="1:5">
      <c r="A7778" s="990" t="s">
        <v>6030</v>
      </c>
      <c r="B7778" s="990">
        <v>6941.38</v>
      </c>
    </row>
    <row r="7779" spans="1:5">
      <c r="A7779" s="990" t="s">
        <v>6031</v>
      </c>
      <c r="B7779" s="990">
        <v>22427.93</v>
      </c>
    </row>
    <row r="7780" spans="1:5">
      <c r="A7780" s="2028" t="s">
        <v>6032</v>
      </c>
      <c r="B7780" s="1049">
        <f>B7774-(B7775+B7776+B7777+B7778+B7779)</f>
        <v>-993.29000000000087</v>
      </c>
    </row>
    <row r="7783" spans="1:5" ht="15">
      <c r="A7783" s="1871" t="s">
        <v>6034</v>
      </c>
    </row>
    <row r="7784" spans="1:5">
      <c r="A7784" s="389"/>
    </row>
    <row r="7785" spans="1:5">
      <c r="A7785" s="2019" t="s">
        <v>455</v>
      </c>
      <c r="B7785" s="887" t="s">
        <v>128</v>
      </c>
      <c r="C7785" s="887" t="s">
        <v>1053</v>
      </c>
      <c r="D7785" s="1783" t="s">
        <v>6016</v>
      </c>
      <c r="E7785" s="317" t="s">
        <v>6010</v>
      </c>
    </row>
    <row r="7786" spans="1:5">
      <c r="A7786" s="2020" t="s">
        <v>6039</v>
      </c>
      <c r="B7786" s="47" t="s">
        <v>6038</v>
      </c>
      <c r="C7786" s="49" t="s">
        <v>6040</v>
      </c>
      <c r="D7786" s="950">
        <f>ROUNDUP(E7786/0.6/115,2)</f>
        <v>1.6</v>
      </c>
      <c r="E7786">
        <v>110</v>
      </c>
    </row>
    <row r="7787" spans="1:5">
      <c r="A7787" s="2020" t="s">
        <v>6041</v>
      </c>
      <c r="B7787" s="47" t="s">
        <v>6038</v>
      </c>
      <c r="C7787" s="49" t="s">
        <v>6042</v>
      </c>
      <c r="D7787" s="950">
        <f>ROUNDUP(E7787/0.6/115,2)</f>
        <v>1.74</v>
      </c>
      <c r="E7787">
        <v>120</v>
      </c>
    </row>
    <row r="7788" spans="1:5">
      <c r="A7788" s="2020" t="s">
        <v>6043</v>
      </c>
      <c r="B7788" s="47" t="s">
        <v>6038</v>
      </c>
      <c r="C7788" s="49" t="s">
        <v>6044</v>
      </c>
      <c r="D7788" s="950">
        <f>ROUNDUP(E7788/0.6/115,2)</f>
        <v>2.9</v>
      </c>
      <c r="E7788">
        <v>200</v>
      </c>
    </row>
    <row r="7789" spans="1:5">
      <c r="A7789" s="389"/>
    </row>
    <row r="7790" spans="1:5">
      <c r="A7790" s="389"/>
    </row>
    <row r="7791" spans="1:5">
      <c r="A7791" s="389" t="s">
        <v>6035</v>
      </c>
    </row>
    <row r="7792" spans="1:5">
      <c r="A7792" s="389"/>
    </row>
    <row r="7793" spans="1:8">
      <c r="A7793" s="389" t="s">
        <v>6036</v>
      </c>
    </row>
    <row r="7794" spans="1:8">
      <c r="A7794" s="389"/>
    </row>
    <row r="7795" spans="1:8">
      <c r="A7795" s="389" t="s">
        <v>6037</v>
      </c>
    </row>
    <row r="7796" spans="1:8">
      <c r="A7796" s="389"/>
    </row>
    <row r="7797" spans="1:8" ht="24.75">
      <c r="A7797" s="2029" t="s">
        <v>6033</v>
      </c>
    </row>
    <row r="7800" spans="1:8">
      <c r="A7800" s="887" t="s">
        <v>455</v>
      </c>
      <c r="B7800" s="887" t="s">
        <v>6045</v>
      </c>
      <c r="C7800" s="887" t="s">
        <v>1186</v>
      </c>
      <c r="D7800" s="887" t="s">
        <v>1652</v>
      </c>
      <c r="E7800" s="887" t="s">
        <v>1653</v>
      </c>
      <c r="F7800" s="1783" t="s">
        <v>1323</v>
      </c>
      <c r="G7800" s="52" t="s">
        <v>134</v>
      </c>
    </row>
    <row r="7801" spans="1:8">
      <c r="A7801" s="47" t="s">
        <v>6023</v>
      </c>
      <c r="B7801" s="47" t="s">
        <v>78</v>
      </c>
      <c r="C7801" s="905">
        <v>14</v>
      </c>
      <c r="D7801" s="906">
        <v>43</v>
      </c>
      <c r="E7801" s="905">
        <f>C7801*D7801</f>
        <v>602</v>
      </c>
      <c r="F7801" s="891">
        <v>0.87</v>
      </c>
    </row>
    <row r="7802" spans="1:8">
      <c r="A7802" s="47"/>
      <c r="B7802" s="260" t="s">
        <v>1993</v>
      </c>
      <c r="C7802" s="905"/>
      <c r="D7802" s="906"/>
      <c r="E7802" s="894">
        <v>1</v>
      </c>
      <c r="F7802" s="891">
        <v>12</v>
      </c>
    </row>
    <row r="7805" spans="1:8">
      <c r="A7805" s="902" t="s">
        <v>106</v>
      </c>
      <c r="B7805" s="902" t="s">
        <v>377</v>
      </c>
      <c r="C7805" s="902" t="s">
        <v>128</v>
      </c>
      <c r="D7805" s="887" t="s">
        <v>1186</v>
      </c>
      <c r="E7805" s="887" t="s">
        <v>1652</v>
      </c>
      <c r="F7805" s="887" t="s">
        <v>3109</v>
      </c>
      <c r="G7805" s="887" t="s">
        <v>3130</v>
      </c>
      <c r="H7805" s="887" t="s">
        <v>2751</v>
      </c>
    </row>
    <row r="7806" spans="1:8">
      <c r="A7806" s="47" t="s">
        <v>2447</v>
      </c>
      <c r="B7806" s="907">
        <v>152</v>
      </c>
      <c r="C7806" s="47" t="s">
        <v>6046</v>
      </c>
      <c r="D7806" s="905">
        <v>58</v>
      </c>
      <c r="E7806" s="906">
        <v>16</v>
      </c>
      <c r="F7806" s="50">
        <f>D7806*E7806</f>
        <v>928</v>
      </c>
      <c r="G7806" s="891">
        <v>5.84</v>
      </c>
      <c r="H7806" s="887" t="s">
        <v>6047</v>
      </c>
    </row>
    <row r="7809" spans="1:6" ht="15">
      <c r="A7809" s="1871" t="s">
        <v>6049</v>
      </c>
      <c r="B7809" s="1871"/>
      <c r="C7809" s="1871"/>
      <c r="D7809" s="1871"/>
      <c r="E7809" s="1871"/>
      <c r="F7809" s="1871"/>
    </row>
    <row r="7810" spans="1:6">
      <c r="A7810" s="887" t="s">
        <v>455</v>
      </c>
      <c r="B7810" s="887" t="s">
        <v>128</v>
      </c>
      <c r="C7810" s="887" t="s">
        <v>1053</v>
      </c>
      <c r="D7810" s="1783" t="s">
        <v>1323</v>
      </c>
      <c r="E7810" s="1783" t="s">
        <v>5854</v>
      </c>
    </row>
    <row r="7811" spans="1:6">
      <c r="A7811" s="47" t="s">
        <v>6050</v>
      </c>
      <c r="B7811" s="47" t="s">
        <v>78</v>
      </c>
      <c r="C7811" s="905">
        <v>10</v>
      </c>
      <c r="D7811" s="891">
        <f>ROUNDUP(F7811/0.6/115,2)</f>
        <v>1.02</v>
      </c>
      <c r="E7811" s="891"/>
      <c r="F7811" s="1957">
        <v>70</v>
      </c>
    </row>
    <row r="7812" spans="1:6">
      <c r="A7812" s="47" t="s">
        <v>6050</v>
      </c>
      <c r="B7812" s="47" t="s">
        <v>5852</v>
      </c>
      <c r="C7812" s="905">
        <v>100</v>
      </c>
      <c r="D7812" s="891">
        <f>ROUNDUP(F7812/0.6/115,2)</f>
        <v>2.0299999999999998</v>
      </c>
      <c r="E7812" s="891" t="s">
        <v>5853</v>
      </c>
      <c r="F7812" s="1957">
        <v>140</v>
      </c>
    </row>
    <row r="7815" spans="1:6">
      <c r="A7815" s="47" t="s">
        <v>2447</v>
      </c>
      <c r="B7815" s="47" t="s">
        <v>6046</v>
      </c>
      <c r="C7815" s="905">
        <v>928</v>
      </c>
    </row>
    <row r="7817" spans="1:6" ht="15">
      <c r="A7817" s="1871" t="s">
        <v>6052</v>
      </c>
    </row>
    <row r="7818" spans="1:6">
      <c r="A7818" s="887" t="s">
        <v>455</v>
      </c>
      <c r="B7818" s="887" t="s">
        <v>128</v>
      </c>
      <c r="C7818" s="887" t="s">
        <v>1053</v>
      </c>
      <c r="D7818" s="1783" t="s">
        <v>1323</v>
      </c>
      <c r="E7818" s="1783" t="s">
        <v>5854</v>
      </c>
    </row>
    <row r="7819" spans="1:6">
      <c r="A7819" s="47" t="s">
        <v>6053</v>
      </c>
      <c r="B7819" s="47" t="s">
        <v>78</v>
      </c>
      <c r="C7819" s="905">
        <v>10</v>
      </c>
      <c r="D7819" s="891">
        <f t="shared" ref="D7819:D7830" si="51">ROUNDUP(F7819/0.6/115,2)</f>
        <v>0.66</v>
      </c>
      <c r="E7819" s="891"/>
      <c r="F7819" s="1957">
        <v>45</v>
      </c>
    </row>
    <row r="7820" spans="1:6">
      <c r="A7820" s="47" t="s">
        <v>6053</v>
      </c>
      <c r="B7820" s="47" t="s">
        <v>5852</v>
      </c>
      <c r="C7820" s="905">
        <v>100</v>
      </c>
      <c r="D7820" s="891">
        <f t="shared" si="51"/>
        <v>1.53</v>
      </c>
      <c r="E7820" s="891" t="s">
        <v>6055</v>
      </c>
      <c r="F7820" s="1957">
        <f>45+60</f>
        <v>105</v>
      </c>
    </row>
    <row r="7821" spans="1:6">
      <c r="A7821" s="47" t="s">
        <v>1504</v>
      </c>
      <c r="B7821" s="47" t="s">
        <v>78</v>
      </c>
      <c r="C7821" s="905">
        <v>10</v>
      </c>
      <c r="D7821" s="891">
        <f t="shared" si="51"/>
        <v>0.61</v>
      </c>
      <c r="E7821" s="891"/>
      <c r="F7821" s="1957">
        <v>42</v>
      </c>
    </row>
    <row r="7822" spans="1:6">
      <c r="A7822" s="47" t="s">
        <v>1504</v>
      </c>
      <c r="B7822" s="47" t="s">
        <v>5852</v>
      </c>
      <c r="C7822" s="905">
        <v>100</v>
      </c>
      <c r="D7822" s="891">
        <f t="shared" si="51"/>
        <v>1.48</v>
      </c>
      <c r="E7822" s="891" t="s">
        <v>6055</v>
      </c>
      <c r="F7822" s="1957">
        <f>42+60</f>
        <v>102</v>
      </c>
    </row>
    <row r="7823" spans="1:6">
      <c r="A7823" s="47" t="s">
        <v>6054</v>
      </c>
      <c r="B7823" s="47" t="s">
        <v>78</v>
      </c>
      <c r="C7823" s="905">
        <v>10</v>
      </c>
      <c r="D7823" s="891">
        <f t="shared" si="51"/>
        <v>0.56000000000000005</v>
      </c>
      <c r="E7823" s="891"/>
      <c r="F7823" s="1957">
        <v>38</v>
      </c>
    </row>
    <row r="7824" spans="1:6">
      <c r="A7824" s="47" t="s">
        <v>6054</v>
      </c>
      <c r="B7824" s="47" t="s">
        <v>5852</v>
      </c>
      <c r="C7824" s="905">
        <v>100</v>
      </c>
      <c r="D7824" s="891">
        <f t="shared" si="51"/>
        <v>1.43</v>
      </c>
      <c r="E7824" s="891" t="s">
        <v>6055</v>
      </c>
      <c r="F7824" s="1957">
        <f>38+60</f>
        <v>98</v>
      </c>
    </row>
    <row r="7825" spans="1:9">
      <c r="A7825" s="47" t="s">
        <v>1684</v>
      </c>
      <c r="B7825" s="47" t="s">
        <v>78</v>
      </c>
      <c r="C7825" s="905">
        <v>14</v>
      </c>
      <c r="D7825" s="891">
        <f t="shared" si="51"/>
        <v>1.02</v>
      </c>
      <c r="E7825" s="891"/>
      <c r="F7825" s="1957">
        <v>70</v>
      </c>
    </row>
    <row r="7826" spans="1:9">
      <c r="A7826" s="47" t="s">
        <v>1684</v>
      </c>
      <c r="B7826" s="47" t="s">
        <v>5852</v>
      </c>
      <c r="C7826" s="905">
        <v>301</v>
      </c>
      <c r="D7826" s="891">
        <f t="shared" si="51"/>
        <v>1.6</v>
      </c>
      <c r="E7826" s="891" t="s">
        <v>6056</v>
      </c>
      <c r="F7826" s="1957">
        <f>70+40</f>
        <v>110</v>
      </c>
    </row>
    <row r="7827" spans="1:9">
      <c r="A7827" s="47" t="s">
        <v>1717</v>
      </c>
      <c r="B7827" s="47" t="s">
        <v>78</v>
      </c>
      <c r="C7827" s="905">
        <v>14</v>
      </c>
      <c r="D7827" s="891">
        <f t="shared" si="51"/>
        <v>1.02</v>
      </c>
      <c r="E7827" s="891"/>
      <c r="F7827" s="1957">
        <v>70</v>
      </c>
    </row>
    <row r="7828" spans="1:9">
      <c r="A7828" s="47" t="s">
        <v>1717</v>
      </c>
      <c r="B7828" s="47" t="s">
        <v>5852</v>
      </c>
      <c r="C7828" s="905">
        <v>301</v>
      </c>
      <c r="D7828" s="891">
        <f t="shared" si="51"/>
        <v>1.6</v>
      </c>
      <c r="E7828" s="891" t="s">
        <v>6056</v>
      </c>
      <c r="F7828" s="1957">
        <f>70+40</f>
        <v>110</v>
      </c>
    </row>
    <row r="7829" spans="1:9">
      <c r="A7829" s="47" t="s">
        <v>1713</v>
      </c>
      <c r="B7829" s="47" t="s">
        <v>78</v>
      </c>
      <c r="C7829" s="905">
        <v>14</v>
      </c>
      <c r="D7829" s="891">
        <f t="shared" si="51"/>
        <v>1.24</v>
      </c>
      <c r="E7829" s="891"/>
      <c r="F7829" s="1957">
        <v>85</v>
      </c>
    </row>
    <row r="7830" spans="1:9">
      <c r="A7830" s="47" t="s">
        <v>1713</v>
      </c>
      <c r="B7830" s="47" t="s">
        <v>5852</v>
      </c>
      <c r="C7830" s="905">
        <v>301</v>
      </c>
      <c r="D7830" s="891">
        <f t="shared" si="51"/>
        <v>1.82</v>
      </c>
      <c r="E7830" s="891" t="s">
        <v>6056</v>
      </c>
      <c r="F7830" s="1957">
        <f>F7829+40</f>
        <v>125</v>
      </c>
    </row>
    <row r="7835" spans="1:9">
      <c r="A7835" s="887" t="s">
        <v>105</v>
      </c>
      <c r="B7835" s="887" t="s">
        <v>455</v>
      </c>
      <c r="C7835" s="887" t="s">
        <v>128</v>
      </c>
      <c r="D7835" s="887" t="s">
        <v>1186</v>
      </c>
      <c r="E7835" s="887" t="s">
        <v>1652</v>
      </c>
      <c r="F7835" s="887" t="s">
        <v>1653</v>
      </c>
      <c r="G7835" s="2030" t="s">
        <v>1323</v>
      </c>
      <c r="H7835" s="903"/>
      <c r="I7835" s="52" t="s">
        <v>1027</v>
      </c>
    </row>
    <row r="7836" spans="1:9">
      <c r="A7836" s="947" t="s">
        <v>6048</v>
      </c>
      <c r="B7836" s="47" t="s">
        <v>1219</v>
      </c>
      <c r="C7836" s="47" t="s">
        <v>17</v>
      </c>
      <c r="D7836" s="905">
        <v>50</v>
      </c>
      <c r="E7836" s="906">
        <v>37</v>
      </c>
      <c r="F7836" s="905">
        <f>D7836*E7836</f>
        <v>1850</v>
      </c>
      <c r="G7836" s="891">
        <v>0.3</v>
      </c>
    </row>
    <row r="7837" spans="1:9">
      <c r="A7837" s="947" t="s">
        <v>6048</v>
      </c>
      <c r="B7837" s="47"/>
      <c r="C7837" s="260" t="s">
        <v>1993</v>
      </c>
      <c r="D7837" s="905"/>
      <c r="E7837" s="906"/>
      <c r="F7837" s="894">
        <v>1</v>
      </c>
      <c r="G7837" s="891">
        <v>12</v>
      </c>
    </row>
    <row r="7842" spans="1:2">
      <c r="A7842" s="1310"/>
    </row>
    <row r="7844" spans="1:2" ht="15" thickBot="1">
      <c r="A7844" s="677"/>
    </row>
    <row r="7845" spans="1:2" ht="14.25" thickBot="1">
      <c r="A7845" s="2032" t="s">
        <v>6063</v>
      </c>
      <c r="B7845" s="2033">
        <v>48845.49</v>
      </c>
    </row>
    <row r="7846" spans="1:2" ht="14.25" thickBot="1">
      <c r="A7846" s="1122" t="s">
        <v>6070</v>
      </c>
      <c r="B7846" s="2031">
        <v>127.5</v>
      </c>
    </row>
    <row r="7847" spans="1:2" ht="14.25" thickBot="1">
      <c r="A7847" s="1122" t="s">
        <v>6071</v>
      </c>
      <c r="B7847" s="2031">
        <v>232.46</v>
      </c>
    </row>
    <row r="7848" spans="1:2" ht="14.25" thickBot="1">
      <c r="A7848" s="1122" t="s">
        <v>6062</v>
      </c>
      <c r="B7848" s="2031">
        <v>382.5</v>
      </c>
    </row>
    <row r="7849" spans="1:2" ht="14.25" thickBot="1">
      <c r="A7849" s="1122" t="s">
        <v>6064</v>
      </c>
      <c r="B7849" s="2034">
        <v>7072.73</v>
      </c>
    </row>
    <row r="7850" spans="1:2" ht="14.25" thickBot="1">
      <c r="A7850" s="1122" t="s">
        <v>6065</v>
      </c>
      <c r="B7850" s="2034">
        <v>457.03</v>
      </c>
    </row>
    <row r="7851" spans="1:2" ht="14.25" thickBot="1">
      <c r="A7851" s="1122" t="s">
        <v>6066</v>
      </c>
      <c r="B7851" s="2034">
        <v>12197.25</v>
      </c>
    </row>
    <row r="7852" spans="1:2" ht="14.25" thickBot="1">
      <c r="A7852" s="1122" t="s">
        <v>6067</v>
      </c>
      <c r="B7852" s="2034">
        <v>6941.38</v>
      </c>
    </row>
    <row r="7853" spans="1:2" ht="14.25" thickBot="1">
      <c r="A7853" s="1122" t="s">
        <v>6068</v>
      </c>
      <c r="B7853" s="2034">
        <v>22427.93</v>
      </c>
    </row>
    <row r="7854" spans="1:2" ht="14.25" thickBot="1">
      <c r="A7854" s="2035" t="s">
        <v>6069</v>
      </c>
      <c r="B7854" s="2036">
        <v>-993.29</v>
      </c>
    </row>
    <row r="7855" spans="1:2">
      <c r="A7855" s="776"/>
    </row>
    <row r="7857" spans="1:5">
      <c r="A7857" t="s">
        <v>6076</v>
      </c>
      <c r="C7857" s="317" t="s">
        <v>6082</v>
      </c>
      <c r="D7857" s="2037" t="s">
        <v>6080</v>
      </c>
      <c r="E7857" s="2037" t="s">
        <v>6081</v>
      </c>
    </row>
    <row r="7858" spans="1:5">
      <c r="A7858" s="947" t="s">
        <v>6077</v>
      </c>
      <c r="B7858" s="891">
        <f>ROUNDUP(C7858/0.8/120,2)</f>
        <v>19.28</v>
      </c>
      <c r="C7858" s="236">
        <v>1850</v>
      </c>
      <c r="D7858" s="2038">
        <f t="shared" ref="D7858:D7864" si="52">(((B7858*E7858)-C7858)/(B7858*E7858))</f>
        <v>0.20038035961272488</v>
      </c>
      <c r="E7858" s="245">
        <v>120</v>
      </c>
    </row>
    <row r="7859" spans="1:5">
      <c r="A7859" s="947" t="s">
        <v>6078</v>
      </c>
      <c r="B7859" s="891">
        <v>7.61</v>
      </c>
      <c r="C7859" s="236">
        <f>710+20</f>
        <v>730</v>
      </c>
      <c r="D7859" s="2038">
        <f t="shared" si="52"/>
        <v>0.20061322820849764</v>
      </c>
      <c r="E7859" s="245">
        <v>120</v>
      </c>
    </row>
    <row r="7860" spans="1:5">
      <c r="A7860" s="947" t="s">
        <v>6079</v>
      </c>
      <c r="B7860" s="891">
        <v>10.73</v>
      </c>
      <c r="C7860" s="236">
        <f>710+300</f>
        <v>1010</v>
      </c>
      <c r="D7860" s="2038">
        <f t="shared" si="52"/>
        <v>0.21559490525007774</v>
      </c>
      <c r="E7860" s="245">
        <v>120</v>
      </c>
    </row>
    <row r="7861" spans="1:5">
      <c r="A7861" s="947" t="s">
        <v>6083</v>
      </c>
      <c r="B7861" s="891">
        <f>ROUNDUP(C7861/0.8/120,2)</f>
        <v>14.799999999999999</v>
      </c>
      <c r="C7861" s="236">
        <f>1390+30</f>
        <v>1420</v>
      </c>
      <c r="D7861" s="2038">
        <f t="shared" si="52"/>
        <v>0.20045045045045035</v>
      </c>
      <c r="E7861" s="245">
        <v>120</v>
      </c>
    </row>
    <row r="7862" spans="1:5">
      <c r="A7862" s="947" t="s">
        <v>6084</v>
      </c>
      <c r="B7862" s="891">
        <f>ROUNDUP(C7862/0.8/120,2)</f>
        <v>11.98</v>
      </c>
      <c r="C7862" s="236">
        <f>1120+30</f>
        <v>1150</v>
      </c>
      <c r="D7862" s="2038">
        <f t="shared" si="52"/>
        <v>0.20005564830272685</v>
      </c>
      <c r="E7862" s="245">
        <v>120</v>
      </c>
    </row>
    <row r="7863" spans="1:5">
      <c r="A7863" s="947" t="s">
        <v>6085</v>
      </c>
      <c r="B7863" s="891">
        <f>ROUNDUP(C7863/0.8/120,2)</f>
        <v>10.53</v>
      </c>
      <c r="C7863" s="236">
        <f>980+30</f>
        <v>1010</v>
      </c>
      <c r="D7863" s="2038">
        <f t="shared" si="52"/>
        <v>0.20069642291864509</v>
      </c>
      <c r="E7863" s="245">
        <v>120</v>
      </c>
    </row>
    <row r="7864" spans="1:5">
      <c r="A7864" s="947" t="s">
        <v>6086</v>
      </c>
      <c r="B7864" s="891">
        <f>ROUNDUP(C7864/0.8/120,2)</f>
        <v>7.71</v>
      </c>
      <c r="C7864" s="236">
        <f>710+30</f>
        <v>740</v>
      </c>
      <c r="D7864" s="2038">
        <f t="shared" si="52"/>
        <v>0.20017293558149593</v>
      </c>
      <c r="E7864" s="245">
        <v>120</v>
      </c>
    </row>
    <row r="7867" spans="1:5" ht="15">
      <c r="A7867" s="20" t="s">
        <v>5981</v>
      </c>
      <c r="B7867" s="24"/>
      <c r="C7867" s="151"/>
    </row>
    <row r="7868" spans="1:5" ht="15">
      <c r="A7868" s="1278" t="s">
        <v>5837</v>
      </c>
      <c r="B7868" s="1207" t="s">
        <v>3724</v>
      </c>
      <c r="C7868" s="19">
        <v>320</v>
      </c>
    </row>
    <row r="7870" spans="1:5">
      <c r="A7870" t="s">
        <v>6089</v>
      </c>
      <c r="C7870" s="317" t="s">
        <v>6082</v>
      </c>
      <c r="D7870" s="2037" t="s">
        <v>6080</v>
      </c>
      <c r="E7870" s="2037" t="s">
        <v>6081</v>
      </c>
    </row>
    <row r="7871" spans="1:5">
      <c r="A7871" s="947" t="s">
        <v>6090</v>
      </c>
      <c r="B7871" s="891">
        <v>9.2799999999999994</v>
      </c>
      <c r="C7871" s="236">
        <f>870+20</f>
        <v>890</v>
      </c>
      <c r="D7871" s="2039">
        <f>(((B7871*E7871)-C7871)/(B7871*E7871))</f>
        <v>0.2007902298850574</v>
      </c>
      <c r="E7871" s="245">
        <v>120</v>
      </c>
    </row>
    <row r="7872" spans="1:5">
      <c r="A7872" s="947" t="s">
        <v>6091</v>
      </c>
      <c r="B7872" s="891">
        <v>12.19</v>
      </c>
      <c r="C7872" s="236">
        <f>870+300</f>
        <v>1170</v>
      </c>
      <c r="D7872" s="2039">
        <f>(((B7872*E7872)-C7872)/(B7872*E7872))</f>
        <v>0.20016406890894173</v>
      </c>
      <c r="E7872" s="245">
        <v>120</v>
      </c>
    </row>
    <row r="7873" spans="1:120">
      <c r="A7873" s="947" t="s">
        <v>6094</v>
      </c>
      <c r="B7873" s="891">
        <v>9.3800000000000008</v>
      </c>
      <c r="C7873" s="236">
        <f>870+30</f>
        <v>900</v>
      </c>
      <c r="D7873" s="2039">
        <f>(((B7873*E7873)-C7873)/(B7873*E7873))</f>
        <v>0.20042643923240949</v>
      </c>
      <c r="E7873" s="245">
        <v>120</v>
      </c>
      <c r="F7873" t="s">
        <v>6095</v>
      </c>
    </row>
    <row r="7874" spans="1:120">
      <c r="A7874" s="947" t="s">
        <v>6092</v>
      </c>
      <c r="B7874" s="891">
        <v>9.17</v>
      </c>
      <c r="C7874" s="236">
        <f>850+30</f>
        <v>880</v>
      </c>
      <c r="D7874" s="2039">
        <f>(((B7874*E7874)-C7874)/(B7874*E7874))</f>
        <v>0.20029080334423852</v>
      </c>
      <c r="E7874" s="245">
        <v>120</v>
      </c>
    </row>
    <row r="7875" spans="1:120">
      <c r="A7875" s="947" t="s">
        <v>6093</v>
      </c>
      <c r="B7875" s="891">
        <v>8.75</v>
      </c>
      <c r="C7875" s="236">
        <f>810+30</f>
        <v>840</v>
      </c>
      <c r="D7875" s="2039">
        <f>(((B7875*E7875)-C7875)/(B7875*E7875))</f>
        <v>0.2</v>
      </c>
      <c r="E7875" s="245">
        <v>120</v>
      </c>
    </row>
    <row r="7877" spans="1:120">
      <c r="A7877" s="887" t="s">
        <v>455</v>
      </c>
      <c r="B7877" s="887" t="s">
        <v>52</v>
      </c>
      <c r="C7877" s="887" t="s">
        <v>128</v>
      </c>
      <c r="D7877" s="887" t="s">
        <v>1186</v>
      </c>
      <c r="E7877" s="887" t="s">
        <v>1652</v>
      </c>
      <c r="F7877" s="887" t="s">
        <v>1653</v>
      </c>
      <c r="G7877" s="1783" t="s">
        <v>1323</v>
      </c>
    </row>
    <row r="7878" spans="1:120">
      <c r="A7878" s="47" t="s">
        <v>988</v>
      </c>
      <c r="B7878" s="48">
        <v>24</v>
      </c>
      <c r="C7878" s="47" t="s">
        <v>6102</v>
      </c>
      <c r="D7878" s="905">
        <v>28</v>
      </c>
      <c r="E7878" s="906">
        <v>6</v>
      </c>
      <c r="F7878" s="905">
        <f>D7878*E7878</f>
        <v>168</v>
      </c>
      <c r="G7878" s="891">
        <v>1.33</v>
      </c>
      <c r="H7878" s="891">
        <f>G7878*F7878</f>
        <v>223.44</v>
      </c>
    </row>
    <row r="7879" spans="1:120">
      <c r="A7879" s="47" t="s">
        <v>988</v>
      </c>
      <c r="B7879" s="48">
        <v>24</v>
      </c>
      <c r="C7879" s="47" t="s">
        <v>6101</v>
      </c>
      <c r="D7879" s="905">
        <v>28</v>
      </c>
      <c r="E7879" s="906">
        <v>7</v>
      </c>
      <c r="F7879" s="905">
        <f>D7879*E7879</f>
        <v>196</v>
      </c>
      <c r="G7879" s="891">
        <v>1.33</v>
      </c>
      <c r="H7879" s="891">
        <f>G7879*F7879</f>
        <v>260.68</v>
      </c>
    </row>
    <row r="7880" spans="1:120">
      <c r="A7880" s="47" t="s">
        <v>988</v>
      </c>
      <c r="B7880" s="48">
        <v>24</v>
      </c>
      <c r="C7880" s="47" t="s">
        <v>6103</v>
      </c>
      <c r="D7880" s="905">
        <v>28</v>
      </c>
      <c r="E7880" s="906">
        <v>5</v>
      </c>
      <c r="F7880" s="905">
        <f>D7880*E7880</f>
        <v>140</v>
      </c>
      <c r="G7880" s="891">
        <v>1.33</v>
      </c>
      <c r="H7880" s="891">
        <f>G7880*F7880</f>
        <v>186.20000000000002</v>
      </c>
    </row>
    <row r="7881" spans="1:120">
      <c r="A7881" s="47"/>
      <c r="B7881" s="893"/>
      <c r="C7881" s="260" t="s">
        <v>1993</v>
      </c>
      <c r="D7881" s="905"/>
      <c r="E7881" s="906"/>
      <c r="F7881" s="894">
        <v>1</v>
      </c>
      <c r="G7881" s="891">
        <v>12</v>
      </c>
      <c r="H7881" s="891">
        <f>G7881*F7881</f>
        <v>12</v>
      </c>
    </row>
    <row r="7884" spans="1:120">
      <c r="A7884" t="s">
        <v>6142</v>
      </c>
      <c r="I7884" s="2037" t="s">
        <v>6080</v>
      </c>
      <c r="J7884" s="2037" t="s">
        <v>6081</v>
      </c>
    </row>
    <row r="7885" spans="1:120" s="1163" customFormat="1" ht="25.5">
      <c r="A7885" s="1166" t="s">
        <v>1369</v>
      </c>
      <c r="B7885" s="1167" t="s">
        <v>2</v>
      </c>
      <c r="C7885" s="1168" t="s">
        <v>1734</v>
      </c>
      <c r="D7885" s="1168" t="s">
        <v>6108</v>
      </c>
      <c r="E7885" s="902" t="s">
        <v>2264</v>
      </c>
      <c r="F7885" s="902" t="s">
        <v>1181</v>
      </c>
      <c r="G7885" s="1169" t="s">
        <v>5527</v>
      </c>
      <c r="H7885" s="2042"/>
    </row>
    <row r="7886" spans="1:120" s="59" customFormat="1" ht="15" customHeight="1">
      <c r="A7886" s="1170" t="s">
        <v>6107</v>
      </c>
      <c r="B7886" s="1171">
        <v>30</v>
      </c>
      <c r="C7886" s="1172" t="s">
        <v>5818</v>
      </c>
      <c r="D7886" s="1171" t="s">
        <v>6109</v>
      </c>
      <c r="E7886" s="1172" t="s">
        <v>5263</v>
      </c>
      <c r="F7886" s="1172" t="s">
        <v>6110</v>
      </c>
      <c r="G7886" s="1174">
        <v>0.89</v>
      </c>
      <c r="H7886" s="2043">
        <v>48</v>
      </c>
      <c r="I7886" s="2044">
        <f>(((G7886*J7886)-H7886)/(G7886*J7886))</f>
        <v>0.550561797752809</v>
      </c>
      <c r="J7886" s="1963">
        <v>120</v>
      </c>
      <c r="K7886" s="1963"/>
      <c r="L7886" s="1963"/>
      <c r="M7886" s="1963"/>
      <c r="N7886" s="1963"/>
      <c r="O7886" s="1963"/>
      <c r="P7886" s="1963"/>
      <c r="Q7886" s="1963"/>
      <c r="R7886" s="1963"/>
      <c r="S7886" s="1963"/>
      <c r="T7886" s="1963"/>
      <c r="U7886" s="1963"/>
      <c r="V7886" s="1963"/>
      <c r="W7886" s="1963"/>
      <c r="X7886" s="1963"/>
      <c r="Y7886" s="1963"/>
      <c r="Z7886" s="1963"/>
      <c r="AA7886" s="1963"/>
      <c r="AB7886" s="1963"/>
      <c r="AC7886" s="1963"/>
      <c r="AD7886" s="1963"/>
      <c r="AE7886" s="1963"/>
      <c r="AF7886" s="1963"/>
      <c r="AG7886" s="1963"/>
      <c r="AH7886" s="1963"/>
      <c r="AI7886" s="1963"/>
      <c r="AJ7886" s="1963"/>
      <c r="AK7886" s="1963"/>
      <c r="AL7886" s="1963"/>
      <c r="AM7886" s="1963"/>
      <c r="AN7886" s="1963"/>
      <c r="AO7886" s="1963"/>
      <c r="AP7886" s="1963"/>
      <c r="AQ7886" s="1963"/>
      <c r="AR7886" s="1963"/>
      <c r="AS7886" s="1963"/>
      <c r="AT7886" s="1963"/>
      <c r="AU7886" s="1963"/>
      <c r="AV7886" s="1963"/>
      <c r="AW7886" s="1963"/>
      <c r="AX7886" s="1963"/>
      <c r="AY7886" s="1963"/>
      <c r="AZ7886" s="1963"/>
      <c r="BA7886" s="1963"/>
      <c r="BB7886" s="1963"/>
      <c r="BC7886" s="1963"/>
      <c r="BD7886" s="1963"/>
      <c r="BE7886" s="1963"/>
      <c r="BF7886" s="1963"/>
      <c r="BG7886" s="1963"/>
      <c r="BH7886" s="1963"/>
      <c r="BI7886" s="1963"/>
      <c r="BJ7886" s="1963"/>
      <c r="BK7886" s="1963"/>
      <c r="BL7886" s="1963"/>
      <c r="BM7886" s="1963"/>
      <c r="BN7886" s="1963"/>
      <c r="BO7886" s="1963"/>
      <c r="BP7886" s="1963"/>
      <c r="BQ7886" s="1963"/>
      <c r="BR7886" s="1963"/>
      <c r="BS7886" s="1963"/>
      <c r="BT7886" s="1963"/>
      <c r="BU7886" s="1963"/>
      <c r="BV7886" s="1963"/>
      <c r="BW7886" s="1963"/>
      <c r="BX7886" s="1963"/>
      <c r="BY7886" s="1963"/>
      <c r="BZ7886" s="1963"/>
      <c r="CA7886" s="1963"/>
      <c r="CB7886" s="1963"/>
      <c r="CC7886" s="1963"/>
      <c r="CD7886" s="1963"/>
      <c r="CE7886" s="1963"/>
      <c r="CF7886" s="1963"/>
      <c r="CG7886" s="1963"/>
      <c r="CH7886" s="1963"/>
      <c r="CI7886" s="1963"/>
      <c r="CJ7886" s="1963"/>
      <c r="CK7886" s="1963"/>
      <c r="CL7886" s="1963"/>
      <c r="CM7886" s="1963"/>
      <c r="CN7886" s="1963"/>
      <c r="CO7886" s="1963"/>
      <c r="CP7886" s="1963"/>
      <c r="CQ7886" s="1963"/>
      <c r="CR7886" s="1963"/>
      <c r="CS7886" s="1963"/>
      <c r="CT7886" s="1963"/>
      <c r="CU7886" s="1963"/>
      <c r="CV7886" s="1963"/>
      <c r="CW7886" s="1963"/>
      <c r="CX7886" s="1963"/>
      <c r="CY7886" s="1963"/>
      <c r="CZ7886" s="1963"/>
      <c r="DA7886" s="1963"/>
      <c r="DB7886" s="1963"/>
      <c r="DC7886" s="1963"/>
      <c r="DD7886" s="1963"/>
      <c r="DE7886" s="1963"/>
      <c r="DF7886" s="1963"/>
      <c r="DG7886" s="1963"/>
      <c r="DH7886" s="1963"/>
      <c r="DI7886" s="1963"/>
      <c r="DJ7886" s="1963"/>
      <c r="DK7886" s="1963"/>
      <c r="DL7886" s="1963"/>
      <c r="DM7886" s="1963"/>
      <c r="DN7886" s="1963"/>
      <c r="DO7886" s="1963"/>
      <c r="DP7886" s="1963"/>
    </row>
    <row r="7889" spans="1:12">
      <c r="A7889" t="s">
        <v>6113</v>
      </c>
    </row>
    <row r="7890" spans="1:12" ht="15">
      <c r="A7890" s="1996" t="s">
        <v>1603</v>
      </c>
      <c r="B7890" s="1996" t="s">
        <v>2317</v>
      </c>
      <c r="C7890" s="1997" t="s">
        <v>5310</v>
      </c>
      <c r="D7890" s="1997" t="s">
        <v>5308</v>
      </c>
      <c r="E7890" s="1998" t="s">
        <v>1623</v>
      </c>
      <c r="F7890" s="1998" t="s">
        <v>5282</v>
      </c>
      <c r="G7890" s="1998" t="s">
        <v>5948</v>
      </c>
      <c r="H7890" s="2045" t="s">
        <v>5308</v>
      </c>
      <c r="I7890" s="940" t="s">
        <v>1623</v>
      </c>
      <c r="J7890" s="2037" t="s">
        <v>6117</v>
      </c>
      <c r="K7890" s="2037" t="s">
        <v>6118</v>
      </c>
      <c r="L7890" s="2037" t="s">
        <v>6081</v>
      </c>
    </row>
    <row r="7891" spans="1:12" ht="15">
      <c r="A7891" s="47" t="s">
        <v>6114</v>
      </c>
      <c r="B7891" s="47" t="s">
        <v>1574</v>
      </c>
      <c r="C7891" s="47" t="s">
        <v>6115</v>
      </c>
      <c r="D7891" s="1174">
        <f t="shared" ref="D7891:D7903" si="53">ROUNDUP(H7891/0.6/115,2)</f>
        <v>2.25</v>
      </c>
      <c r="E7891" s="1061">
        <f t="shared" ref="E7891:E7903" si="54">ROUNDUP((H7891+I7891)/0.6/115,2)</f>
        <v>2.8299999999999996</v>
      </c>
      <c r="F7891" s="47" t="s">
        <v>6116</v>
      </c>
      <c r="G7891" s="2046">
        <v>135</v>
      </c>
      <c r="H7891" s="1999">
        <v>155</v>
      </c>
      <c r="I7891" s="2000">
        <v>40</v>
      </c>
      <c r="J7891" s="2044">
        <f t="shared" ref="J7891:J7903" si="55">(((D7891*L7891)-H7891)/(D7891*L7891))</f>
        <v>0.40096618357487923</v>
      </c>
      <c r="K7891" s="2044">
        <f t="shared" ref="K7891:K7903" si="56">(((E7891*L7891)-(H7891+I7891))/(E7891*L7891))</f>
        <v>0.4008296205254262</v>
      </c>
      <c r="L7891">
        <v>115</v>
      </c>
    </row>
    <row r="7892" spans="1:12" ht="15">
      <c r="A7892" s="47" t="s">
        <v>6121</v>
      </c>
      <c r="B7892" s="47" t="s">
        <v>1574</v>
      </c>
      <c r="C7892" s="47" t="s">
        <v>6115</v>
      </c>
      <c r="D7892" s="1174">
        <f t="shared" si="53"/>
        <v>0.66</v>
      </c>
      <c r="E7892" s="1061">
        <f t="shared" si="54"/>
        <v>1.24</v>
      </c>
      <c r="F7892" s="47" t="s">
        <v>6116</v>
      </c>
      <c r="G7892" s="2046">
        <v>135</v>
      </c>
      <c r="H7892" s="1999">
        <v>45</v>
      </c>
      <c r="I7892" s="2000">
        <v>40</v>
      </c>
      <c r="J7892" s="2044">
        <f t="shared" si="55"/>
        <v>0.40711462450592889</v>
      </c>
      <c r="K7892" s="2044">
        <f t="shared" si="56"/>
        <v>0.40392706872370265</v>
      </c>
      <c r="L7892">
        <v>115</v>
      </c>
    </row>
    <row r="7893" spans="1:12" ht="15">
      <c r="A7893" s="47" t="s">
        <v>6122</v>
      </c>
      <c r="B7893" s="47" t="s">
        <v>1574</v>
      </c>
      <c r="C7893" s="47" t="s">
        <v>6115</v>
      </c>
      <c r="D7893" s="1174">
        <f t="shared" si="53"/>
        <v>0.87</v>
      </c>
      <c r="E7893" s="1061">
        <f t="shared" si="54"/>
        <v>1.45</v>
      </c>
      <c r="F7893" s="47" t="s">
        <v>6116</v>
      </c>
      <c r="G7893" s="2046">
        <v>135</v>
      </c>
      <c r="H7893" s="1999">
        <v>60</v>
      </c>
      <c r="I7893" s="2000">
        <v>40</v>
      </c>
      <c r="J7893" s="2044">
        <f t="shared" si="55"/>
        <v>0.40029985007496249</v>
      </c>
      <c r="K7893" s="2044">
        <f t="shared" si="56"/>
        <v>0.40029985007496249</v>
      </c>
      <c r="L7893">
        <v>115</v>
      </c>
    </row>
    <row r="7894" spans="1:12" ht="15">
      <c r="A7894" s="2047" t="s">
        <v>6119</v>
      </c>
      <c r="B7894" s="47" t="s">
        <v>1574</v>
      </c>
      <c r="C7894" s="47" t="s">
        <v>6115</v>
      </c>
      <c r="D7894" s="1174">
        <f t="shared" si="53"/>
        <v>0.8</v>
      </c>
      <c r="E7894" s="1061">
        <f t="shared" si="54"/>
        <v>1.3800000000000001</v>
      </c>
      <c r="F7894" s="47" t="s">
        <v>6116</v>
      </c>
      <c r="G7894" s="2046">
        <v>135</v>
      </c>
      <c r="H7894" s="1999">
        <v>55</v>
      </c>
      <c r="I7894" s="2000">
        <v>40</v>
      </c>
      <c r="J7894" s="2044">
        <f t="shared" si="55"/>
        <v>0.40217391304347827</v>
      </c>
      <c r="K7894" s="2044">
        <f t="shared" si="56"/>
        <v>0.40138626339004418</v>
      </c>
      <c r="L7894">
        <v>115</v>
      </c>
    </row>
    <row r="7895" spans="1:12" ht="15">
      <c r="A7895" s="2047" t="s">
        <v>6120</v>
      </c>
      <c r="B7895" s="47" t="s">
        <v>1574</v>
      </c>
      <c r="C7895" s="47" t="s">
        <v>6115</v>
      </c>
      <c r="D7895" s="1174">
        <f t="shared" si="53"/>
        <v>0.95</v>
      </c>
      <c r="E7895" s="1061">
        <f t="shared" si="54"/>
        <v>1.53</v>
      </c>
      <c r="F7895" s="47" t="s">
        <v>6116</v>
      </c>
      <c r="G7895" s="2046">
        <v>135</v>
      </c>
      <c r="H7895" s="1999">
        <v>65</v>
      </c>
      <c r="I7895" s="2000">
        <v>40</v>
      </c>
      <c r="J7895" s="2044">
        <f t="shared" si="55"/>
        <v>0.40503432494279173</v>
      </c>
      <c r="K7895" s="2044">
        <f t="shared" si="56"/>
        <v>0.40323955669224215</v>
      </c>
      <c r="L7895">
        <v>115</v>
      </c>
    </row>
    <row r="7896" spans="1:12" ht="15">
      <c r="A7896" s="47" t="s">
        <v>6123</v>
      </c>
      <c r="B7896" s="47" t="s">
        <v>1574</v>
      </c>
      <c r="C7896" s="47" t="s">
        <v>6115</v>
      </c>
      <c r="D7896" s="1174">
        <f t="shared" si="53"/>
        <v>1.02</v>
      </c>
      <c r="E7896" s="1061">
        <f t="shared" si="54"/>
        <v>1.6</v>
      </c>
      <c r="F7896" s="47" t="s">
        <v>6116</v>
      </c>
      <c r="G7896" s="2046">
        <v>135</v>
      </c>
      <c r="H7896" s="1999">
        <v>70</v>
      </c>
      <c r="I7896" s="2000">
        <v>40</v>
      </c>
      <c r="J7896" s="2044">
        <f t="shared" si="55"/>
        <v>0.4032395566922421</v>
      </c>
      <c r="K7896" s="2044">
        <f t="shared" si="56"/>
        <v>0.40217391304347827</v>
      </c>
      <c r="L7896">
        <v>115</v>
      </c>
    </row>
    <row r="7897" spans="1:12" ht="15">
      <c r="A7897" s="47" t="s">
        <v>6124</v>
      </c>
      <c r="B7897" s="47" t="s">
        <v>1574</v>
      </c>
      <c r="C7897" s="47" t="s">
        <v>6115</v>
      </c>
      <c r="D7897" s="1174">
        <f t="shared" si="53"/>
        <v>1.0900000000000001</v>
      </c>
      <c r="E7897" s="1061">
        <f t="shared" si="54"/>
        <v>1.67</v>
      </c>
      <c r="F7897" s="47" t="s">
        <v>6116</v>
      </c>
      <c r="G7897" s="2046">
        <v>135</v>
      </c>
      <c r="H7897" s="1999">
        <v>75</v>
      </c>
      <c r="I7897" s="2000">
        <v>40</v>
      </c>
      <c r="J7897" s="2044">
        <f t="shared" si="55"/>
        <v>0.40167530913442367</v>
      </c>
      <c r="K7897" s="2044">
        <f t="shared" si="56"/>
        <v>0.4011976047904191</v>
      </c>
      <c r="L7897">
        <v>115</v>
      </c>
    </row>
    <row r="7898" spans="1:12" ht="15">
      <c r="A7898" s="47" t="s">
        <v>6125</v>
      </c>
      <c r="B7898" s="47" t="s">
        <v>1574</v>
      </c>
      <c r="C7898" s="47" t="s">
        <v>1519</v>
      </c>
      <c r="D7898" s="1174">
        <f t="shared" si="53"/>
        <v>0.69000000000000006</v>
      </c>
      <c r="E7898" s="1061">
        <f t="shared" si="54"/>
        <v>1.7</v>
      </c>
      <c r="F7898" s="47" t="s">
        <v>6131</v>
      </c>
      <c r="G7898" s="2046">
        <v>80</v>
      </c>
      <c r="H7898" s="1999">
        <v>47</v>
      </c>
      <c r="I7898" s="2000">
        <v>70</v>
      </c>
      <c r="J7898" s="2044">
        <f t="shared" si="55"/>
        <v>0.40768746061751737</v>
      </c>
      <c r="K7898" s="2044">
        <f t="shared" si="56"/>
        <v>0.40153452685421998</v>
      </c>
      <c r="L7898">
        <v>115</v>
      </c>
    </row>
    <row r="7899" spans="1:12" ht="15">
      <c r="A7899" s="47" t="s">
        <v>6126</v>
      </c>
      <c r="B7899" s="47" t="s">
        <v>1574</v>
      </c>
      <c r="C7899" s="47" t="s">
        <v>1519</v>
      </c>
      <c r="D7899" s="1174">
        <f t="shared" si="53"/>
        <v>1.02</v>
      </c>
      <c r="E7899" s="1061">
        <f t="shared" si="54"/>
        <v>2.1799999999999997</v>
      </c>
      <c r="F7899" s="47" t="s">
        <v>6131</v>
      </c>
      <c r="G7899" s="2046">
        <v>90</v>
      </c>
      <c r="H7899" s="1999">
        <v>70</v>
      </c>
      <c r="I7899" s="2000">
        <v>80</v>
      </c>
      <c r="J7899" s="2044">
        <f t="shared" si="55"/>
        <v>0.4032395566922421</v>
      </c>
      <c r="K7899" s="2044">
        <f t="shared" si="56"/>
        <v>0.40167530913442351</v>
      </c>
      <c r="L7899">
        <v>115</v>
      </c>
    </row>
    <row r="7900" spans="1:12" ht="15">
      <c r="A7900" s="47" t="s">
        <v>6127</v>
      </c>
      <c r="B7900" s="47" t="s">
        <v>1574</v>
      </c>
      <c r="C7900" s="47" t="s">
        <v>1519</v>
      </c>
      <c r="D7900" s="1174">
        <f t="shared" si="53"/>
        <v>0.66</v>
      </c>
      <c r="E7900" s="1061">
        <f t="shared" si="54"/>
        <v>1.67</v>
      </c>
      <c r="F7900" s="47" t="s">
        <v>6131</v>
      </c>
      <c r="G7900" s="2046">
        <v>80</v>
      </c>
      <c r="H7900" s="1999">
        <v>45</v>
      </c>
      <c r="I7900" s="2000">
        <v>70</v>
      </c>
      <c r="J7900" s="2044">
        <f t="shared" si="55"/>
        <v>0.40711462450592889</v>
      </c>
      <c r="K7900" s="2044">
        <f t="shared" si="56"/>
        <v>0.4011976047904191</v>
      </c>
      <c r="L7900">
        <v>115</v>
      </c>
    </row>
    <row r="7901" spans="1:12" ht="15">
      <c r="A7901" s="47" t="s">
        <v>6128</v>
      </c>
      <c r="B7901" s="47" t="s">
        <v>1574</v>
      </c>
      <c r="C7901" s="47" t="s">
        <v>1519</v>
      </c>
      <c r="D7901" s="1174">
        <f t="shared" si="53"/>
        <v>0.66</v>
      </c>
      <c r="E7901" s="1061">
        <f t="shared" si="54"/>
        <v>1.67</v>
      </c>
      <c r="F7901" s="47" t="s">
        <v>6131</v>
      </c>
      <c r="G7901" s="2046">
        <v>80</v>
      </c>
      <c r="H7901" s="1999">
        <v>45</v>
      </c>
      <c r="I7901" s="2000">
        <v>70</v>
      </c>
      <c r="J7901" s="2044">
        <f t="shared" si="55"/>
        <v>0.40711462450592889</v>
      </c>
      <c r="K7901" s="2044">
        <f t="shared" si="56"/>
        <v>0.4011976047904191</v>
      </c>
      <c r="L7901">
        <v>115</v>
      </c>
    </row>
    <row r="7902" spans="1:12" ht="15">
      <c r="A7902" s="47" t="s">
        <v>6129</v>
      </c>
      <c r="B7902" s="47" t="s">
        <v>1574</v>
      </c>
      <c r="C7902" s="47" t="s">
        <v>1519</v>
      </c>
      <c r="D7902" s="1174">
        <f t="shared" si="53"/>
        <v>2.1399999999999997</v>
      </c>
      <c r="E7902" s="1061">
        <f t="shared" si="54"/>
        <v>3.2899999999999996</v>
      </c>
      <c r="F7902" s="47" t="s">
        <v>6131</v>
      </c>
      <c r="G7902" s="2046">
        <v>90</v>
      </c>
      <c r="H7902" s="1999">
        <v>147</v>
      </c>
      <c r="I7902" s="2000">
        <v>80</v>
      </c>
      <c r="J7902" s="2044">
        <f t="shared" si="55"/>
        <v>0.40268183665176749</v>
      </c>
      <c r="K7902" s="2044">
        <f t="shared" si="56"/>
        <v>0.40002643055372006</v>
      </c>
      <c r="L7902">
        <v>115</v>
      </c>
    </row>
    <row r="7903" spans="1:12" ht="15">
      <c r="A7903" s="47" t="s">
        <v>6130</v>
      </c>
      <c r="B7903" s="47" t="s">
        <v>1574</v>
      </c>
      <c r="C7903" s="47" t="s">
        <v>1519</v>
      </c>
      <c r="D7903" s="1174">
        <f t="shared" si="53"/>
        <v>2</v>
      </c>
      <c r="E7903" s="1061">
        <f t="shared" si="54"/>
        <v>3.1599999999999997</v>
      </c>
      <c r="F7903" s="47" t="s">
        <v>6131</v>
      </c>
      <c r="G7903" s="2046">
        <v>90</v>
      </c>
      <c r="H7903" s="1999">
        <v>138</v>
      </c>
      <c r="I7903" s="2000">
        <v>80</v>
      </c>
      <c r="J7903" s="2044">
        <f t="shared" si="55"/>
        <v>0.4</v>
      </c>
      <c r="K7903" s="2044">
        <f t="shared" si="56"/>
        <v>0.40011007154650519</v>
      </c>
      <c r="L7903">
        <v>115</v>
      </c>
    </row>
    <row r="7904" spans="1:12" ht="15">
      <c r="A7904" s="47"/>
      <c r="B7904" s="47"/>
      <c r="C7904" s="47"/>
      <c r="D7904" s="1174"/>
      <c r="E7904" s="1061"/>
      <c r="F7904" s="47"/>
      <c r="G7904" s="2046"/>
      <c r="H7904" s="1999"/>
      <c r="I7904" s="2000"/>
      <c r="J7904" s="2044"/>
      <c r="K7904" s="2044"/>
    </row>
    <row r="7905" spans="1:12" ht="15">
      <c r="A7905" s="1996" t="s">
        <v>1603</v>
      </c>
      <c r="B7905" s="1996" t="s">
        <v>2317</v>
      </c>
      <c r="C7905" s="1997" t="s">
        <v>6134</v>
      </c>
      <c r="D7905" s="1997" t="s">
        <v>6135</v>
      </c>
      <c r="E7905" s="1998" t="s">
        <v>1623</v>
      </c>
      <c r="F7905" s="1998" t="s">
        <v>5282</v>
      </c>
      <c r="G7905" s="1998" t="s">
        <v>5948</v>
      </c>
      <c r="H7905" s="1997" t="s">
        <v>6135</v>
      </c>
      <c r="I7905" s="940" t="s">
        <v>1623</v>
      </c>
      <c r="J7905" s="2037" t="s">
        <v>6117</v>
      </c>
      <c r="K7905" s="2037" t="s">
        <v>6118</v>
      </c>
      <c r="L7905" s="2037" t="s">
        <v>6081</v>
      </c>
    </row>
    <row r="7906" spans="1:12" ht="15">
      <c r="A7906" s="47" t="s">
        <v>6132</v>
      </c>
      <c r="B7906" s="47" t="s">
        <v>6133</v>
      </c>
      <c r="C7906" s="47" t="s">
        <v>6115</v>
      </c>
      <c r="D7906" s="1174">
        <f>ROUNDUP(H7906/0.6/115,2)</f>
        <v>1.74</v>
      </c>
      <c r="E7906" s="1061">
        <f>ROUNDUP((H7906+I7906)/0.6/115,2)</f>
        <v>2.3199999999999998</v>
      </c>
      <c r="F7906" s="47" t="s">
        <v>6116</v>
      </c>
      <c r="G7906" s="2046">
        <v>135</v>
      </c>
      <c r="H7906" s="1999">
        <v>120</v>
      </c>
      <c r="I7906" s="2000">
        <v>40</v>
      </c>
      <c r="J7906" s="2044">
        <f>(((D7906*L7906)-H7906)/(D7906*L7906))</f>
        <v>0.40029985007496249</v>
      </c>
      <c r="K7906" s="2044">
        <f>(((E7906*L7906)-(H7906+I7906))/(E7906*L7906))</f>
        <v>0.40029985007496244</v>
      </c>
      <c r="L7906">
        <v>115</v>
      </c>
    </row>
    <row r="7907" spans="1:12">
      <c r="A7907" s="2048" t="s">
        <v>6136</v>
      </c>
    </row>
    <row r="7912" spans="1:12">
      <c r="A7912" s="902" t="s">
        <v>106</v>
      </c>
      <c r="B7912" s="902" t="s">
        <v>377</v>
      </c>
      <c r="C7912" s="902" t="s">
        <v>128</v>
      </c>
      <c r="D7912" s="887" t="s">
        <v>1186</v>
      </c>
      <c r="E7912" s="887" t="s">
        <v>1652</v>
      </c>
      <c r="F7912" s="887" t="s">
        <v>3109</v>
      </c>
      <c r="G7912" s="887" t="s">
        <v>3130</v>
      </c>
    </row>
    <row r="7913" spans="1:12">
      <c r="A7913" s="47">
        <v>2440</v>
      </c>
      <c r="B7913" s="907">
        <v>140</v>
      </c>
      <c r="C7913" s="47" t="s">
        <v>114</v>
      </c>
      <c r="D7913" s="905">
        <v>58</v>
      </c>
      <c r="E7913" s="906">
        <v>7</v>
      </c>
      <c r="F7913" s="905">
        <f>D7913*E7913</f>
        <v>406</v>
      </c>
      <c r="G7913" s="891">
        <v>5</v>
      </c>
    </row>
    <row r="7915" spans="1:12">
      <c r="A7915" s="902" t="s">
        <v>106</v>
      </c>
      <c r="B7915" s="902" t="s">
        <v>377</v>
      </c>
      <c r="C7915" s="902" t="s">
        <v>128</v>
      </c>
      <c r="D7915" s="887" t="s">
        <v>5673</v>
      </c>
      <c r="E7915" s="887" t="s">
        <v>3130</v>
      </c>
    </row>
    <row r="7916" spans="1:12">
      <c r="A7916" s="47" t="s">
        <v>2447</v>
      </c>
      <c r="B7916" s="907">
        <v>152</v>
      </c>
      <c r="C7916" s="47" t="s">
        <v>114</v>
      </c>
      <c r="D7916" s="905">
        <v>333</v>
      </c>
      <c r="E7916" s="891">
        <v>5.84</v>
      </c>
    </row>
    <row r="7919" spans="1:12">
      <c r="A7919" s="887" t="s">
        <v>455</v>
      </c>
      <c r="B7919" s="887" t="s">
        <v>52</v>
      </c>
      <c r="C7919" s="887" t="s">
        <v>128</v>
      </c>
      <c r="D7919" s="887" t="s">
        <v>1186</v>
      </c>
      <c r="E7919" s="887" t="s">
        <v>1652</v>
      </c>
      <c r="F7919" s="887" t="s">
        <v>1653</v>
      </c>
      <c r="G7919" s="1783" t="s">
        <v>6139</v>
      </c>
    </row>
    <row r="7920" spans="1:12">
      <c r="A7920" s="47">
        <v>5291</v>
      </c>
      <c r="B7920" s="48">
        <v>6</v>
      </c>
      <c r="C7920" s="47" t="s">
        <v>3473</v>
      </c>
      <c r="D7920" s="905">
        <v>50</v>
      </c>
      <c r="E7920" s="906">
        <v>12</v>
      </c>
      <c r="F7920" s="905">
        <f>D7920*E7920</f>
        <v>600</v>
      </c>
      <c r="G7920" s="891">
        <v>0.47</v>
      </c>
    </row>
    <row r="7923" spans="1:7">
      <c r="A7923" s="887" t="s">
        <v>455</v>
      </c>
      <c r="B7923" s="887" t="s">
        <v>128</v>
      </c>
      <c r="C7923" s="887" t="s">
        <v>1186</v>
      </c>
      <c r="D7923" s="887" t="s">
        <v>1652</v>
      </c>
      <c r="E7923" s="887" t="s">
        <v>1653</v>
      </c>
      <c r="F7923" s="1783" t="s">
        <v>1323</v>
      </c>
    </row>
    <row r="7924" spans="1:7">
      <c r="A7924" s="47" t="s">
        <v>6146</v>
      </c>
      <c r="B7924" s="260" t="s">
        <v>78</v>
      </c>
      <c r="C7924" s="905">
        <v>14</v>
      </c>
      <c r="D7924" s="906">
        <v>1</v>
      </c>
      <c r="E7924" s="905">
        <f>C7924*D7924</f>
        <v>14</v>
      </c>
      <c r="F7924" s="891">
        <v>1.02</v>
      </c>
    </row>
    <row r="7925" spans="1:7">
      <c r="A7925" s="47"/>
      <c r="B7925" s="260" t="s">
        <v>1993</v>
      </c>
      <c r="C7925" s="905"/>
      <c r="D7925" s="906"/>
      <c r="E7925" s="894">
        <v>1</v>
      </c>
      <c r="F7925" s="891">
        <v>12</v>
      </c>
    </row>
    <row r="7927" spans="1:7">
      <c r="A7927" s="887" t="s">
        <v>455</v>
      </c>
      <c r="B7927" s="887" t="s">
        <v>52</v>
      </c>
      <c r="C7927" s="887" t="s">
        <v>128</v>
      </c>
      <c r="D7927" s="887" t="s">
        <v>1186</v>
      </c>
      <c r="E7927" s="887" t="s">
        <v>1652</v>
      </c>
      <c r="F7927" s="887" t="s">
        <v>1653</v>
      </c>
      <c r="G7927" s="1783" t="s">
        <v>6149</v>
      </c>
    </row>
    <row r="7928" spans="1:7">
      <c r="A7928" s="47" t="s">
        <v>5973</v>
      </c>
      <c r="B7928" s="2052">
        <v>10</v>
      </c>
      <c r="C7928" s="47" t="s">
        <v>6147</v>
      </c>
      <c r="D7928" s="903">
        <v>100</v>
      </c>
      <c r="E7928" s="904">
        <v>8</v>
      </c>
      <c r="F7928" s="905">
        <f>D7928*E7928</f>
        <v>800</v>
      </c>
      <c r="G7928" s="891">
        <v>1.01</v>
      </c>
    </row>
    <row r="7929" spans="1:7">
      <c r="A7929" s="47"/>
      <c r="B7929" s="893"/>
      <c r="C7929" s="260" t="s">
        <v>6148</v>
      </c>
      <c r="D7929" s="905"/>
      <c r="E7929" s="906"/>
      <c r="F7929" s="894">
        <v>1</v>
      </c>
      <c r="G7929" s="891">
        <v>190</v>
      </c>
    </row>
    <row r="7931" spans="1:7">
      <c r="A7931" s="887" t="s">
        <v>455</v>
      </c>
      <c r="B7931" s="887" t="s">
        <v>128</v>
      </c>
      <c r="C7931" s="887" t="s">
        <v>1186</v>
      </c>
      <c r="D7931" s="887" t="s">
        <v>1652</v>
      </c>
      <c r="E7931" s="887" t="s">
        <v>1653</v>
      </c>
      <c r="F7931" s="1783" t="s">
        <v>1323</v>
      </c>
    </row>
    <row r="7932" spans="1:7">
      <c r="A7932" s="47" t="s">
        <v>6146</v>
      </c>
      <c r="B7932" s="260" t="s">
        <v>78</v>
      </c>
      <c r="C7932" s="905">
        <v>14</v>
      </c>
      <c r="D7932" s="906">
        <v>1</v>
      </c>
      <c r="E7932" s="905">
        <f>C7932*D7932</f>
        <v>14</v>
      </c>
      <c r="F7932" s="891">
        <v>1.02</v>
      </c>
    </row>
    <row r="7933" spans="1:7">
      <c r="A7933" s="47"/>
      <c r="B7933" s="260" t="s">
        <v>1993</v>
      </c>
      <c r="C7933" s="905"/>
      <c r="D7933" s="906"/>
      <c r="E7933" s="894">
        <v>1</v>
      </c>
      <c r="F7933" s="891">
        <v>12</v>
      </c>
    </row>
    <row r="7936" spans="1:7">
      <c r="A7936" s="887" t="s">
        <v>455</v>
      </c>
      <c r="B7936" s="887" t="s">
        <v>128</v>
      </c>
      <c r="C7936" s="887" t="s">
        <v>1186</v>
      </c>
      <c r="D7936" s="887" t="s">
        <v>1652</v>
      </c>
      <c r="E7936" s="887" t="s">
        <v>1653</v>
      </c>
      <c r="F7936" s="1783" t="s">
        <v>1323</v>
      </c>
      <c r="G7936" s="1783" t="s">
        <v>6155</v>
      </c>
    </row>
    <row r="7937" spans="1:119" ht="15">
      <c r="A7937" s="24" t="s">
        <v>5885</v>
      </c>
      <c r="B7937" s="44" t="s">
        <v>1768</v>
      </c>
      <c r="C7937" s="151">
        <v>30</v>
      </c>
      <c r="D7937" s="152">
        <v>2</v>
      </c>
      <c r="E7937" s="8">
        <f>C7937*D7937</f>
        <v>60</v>
      </c>
      <c r="F7937" s="46">
        <v>7.5</v>
      </c>
      <c r="G7937" s="39" t="s">
        <v>6154</v>
      </c>
    </row>
    <row r="7938" spans="1:119" ht="15">
      <c r="A7938" s="24" t="s">
        <v>5885</v>
      </c>
      <c r="B7938" s="44" t="s">
        <v>160</v>
      </c>
      <c r="C7938" s="151">
        <v>30</v>
      </c>
      <c r="D7938" s="152">
        <v>5</v>
      </c>
      <c r="E7938" s="8">
        <f>C7938*D7938</f>
        <v>150</v>
      </c>
      <c r="F7938" s="46">
        <v>7.5</v>
      </c>
      <c r="G7938" s="2054" t="s">
        <v>6156</v>
      </c>
    </row>
    <row r="7939" spans="1:119" ht="15">
      <c r="A7939" s="24" t="s">
        <v>5885</v>
      </c>
      <c r="B7939" s="44" t="s">
        <v>39</v>
      </c>
      <c r="C7939" s="151">
        <v>30</v>
      </c>
      <c r="D7939" s="152">
        <v>2</v>
      </c>
      <c r="E7939" s="8">
        <f>C7939*D7939</f>
        <v>60</v>
      </c>
      <c r="F7939" s="46">
        <v>7.5</v>
      </c>
      <c r="G7939" s="39" t="s">
        <v>6154</v>
      </c>
    </row>
    <row r="7941" spans="1:119" s="1186" customFormat="1" ht="25.5">
      <c r="A7941" s="1166" t="s">
        <v>1369</v>
      </c>
      <c r="B7941" s="1184" t="s">
        <v>377</v>
      </c>
      <c r="C7941" s="1167" t="s">
        <v>2</v>
      </c>
      <c r="D7941" s="1168" t="s">
        <v>1734</v>
      </c>
      <c r="E7941" s="902" t="s">
        <v>1181</v>
      </c>
      <c r="F7941" s="1169" t="s">
        <v>5527</v>
      </c>
      <c r="G7941" s="1210" t="s">
        <v>1403</v>
      </c>
    </row>
    <row r="7942" spans="1:119" s="1019" customFormat="1" ht="15" customHeight="1">
      <c r="A7942" s="1170" t="s">
        <v>3118</v>
      </c>
      <c r="B7942" s="1187">
        <v>3</v>
      </c>
      <c r="C7942" s="1188">
        <v>50</v>
      </c>
      <c r="D7942" s="1172" t="s">
        <v>1812</v>
      </c>
      <c r="E7942" s="1172" t="s">
        <v>6157</v>
      </c>
      <c r="F7942" s="1174">
        <v>0.09</v>
      </c>
      <c r="G7942" s="1189"/>
      <c r="H7942" s="1190">
        <v>5.3</v>
      </c>
      <c r="I7942" s="1191"/>
      <c r="J7942" s="1191"/>
      <c r="K7942" s="1191"/>
      <c r="L7942" s="1191"/>
      <c r="M7942" s="1191"/>
      <c r="N7942" s="1191"/>
      <c r="O7942" s="1191"/>
      <c r="P7942" s="1191"/>
      <c r="Q7942" s="1191"/>
      <c r="R7942" s="1191"/>
      <c r="S7942" s="1191"/>
      <c r="T7942" s="1191"/>
      <c r="U7942" s="1191"/>
      <c r="V7942" s="1191"/>
      <c r="W7942" s="1191"/>
      <c r="X7942" s="1191"/>
      <c r="Y7942" s="1191"/>
      <c r="Z7942" s="1191"/>
      <c r="AA7942" s="1191"/>
      <c r="AB7942" s="1191"/>
      <c r="AC7942" s="1191"/>
      <c r="AD7942" s="1191"/>
      <c r="AE7942" s="1191"/>
      <c r="AF7942" s="1191"/>
      <c r="AG7942" s="1191"/>
      <c r="AH7942" s="1191"/>
      <c r="AI7942" s="1191"/>
      <c r="AJ7942" s="1191"/>
      <c r="AK7942" s="1191"/>
      <c r="AL7942" s="1191"/>
      <c r="AM7942" s="1191"/>
      <c r="AN7942" s="1191"/>
      <c r="AO7942" s="1191"/>
      <c r="AP7942" s="1191"/>
      <c r="AQ7942" s="1191"/>
      <c r="AR7942" s="1191"/>
      <c r="AS7942" s="1191"/>
      <c r="AT7942" s="1191"/>
      <c r="AU7942" s="1191"/>
      <c r="AV7942" s="1191"/>
      <c r="AW7942" s="1191"/>
      <c r="AX7942" s="1191"/>
      <c r="AY7942" s="1191"/>
      <c r="AZ7942" s="1191"/>
      <c r="BA7942" s="1191"/>
      <c r="BB7942" s="1191"/>
      <c r="BC7942" s="1191"/>
      <c r="BD7942" s="1191"/>
      <c r="BE7942" s="1191"/>
      <c r="BF7942" s="1191"/>
      <c r="BG7942" s="1191"/>
      <c r="BH7942" s="1191"/>
      <c r="BI7942" s="1191"/>
      <c r="BJ7942" s="1191"/>
      <c r="BK7942" s="1191"/>
      <c r="BL7942" s="1191"/>
      <c r="BM7942" s="1191"/>
      <c r="BN7942" s="1191"/>
      <c r="BO7942" s="1191"/>
      <c r="BP7942" s="1191"/>
      <c r="BQ7942" s="1191"/>
      <c r="BR7942" s="1191"/>
      <c r="BS7942" s="1191"/>
      <c r="BT7942" s="1191"/>
      <c r="BU7942" s="1191"/>
      <c r="BV7942" s="1191"/>
      <c r="BW7942" s="1191"/>
      <c r="BX7942" s="1191"/>
      <c r="BY7942" s="1191"/>
      <c r="BZ7942" s="1191"/>
      <c r="CA7942" s="1191"/>
      <c r="CB7942" s="1191"/>
      <c r="CC7942" s="1191"/>
      <c r="CD7942" s="1191"/>
      <c r="CE7942" s="1191"/>
      <c r="CF7942" s="1191"/>
      <c r="CG7942" s="1191"/>
      <c r="CH7942" s="1191"/>
      <c r="CI7942" s="1191"/>
      <c r="CJ7942" s="1191"/>
      <c r="CK7942" s="1191"/>
      <c r="CL7942" s="1191"/>
      <c r="CM7942" s="1191"/>
      <c r="CN7942" s="1191"/>
      <c r="CO7942" s="1191"/>
      <c r="CP7942" s="1191"/>
      <c r="CQ7942" s="1191"/>
      <c r="CR7942" s="1191"/>
      <c r="CS7942" s="1191"/>
      <c r="CT7942" s="1191"/>
      <c r="CU7942" s="1191"/>
      <c r="CV7942" s="1191"/>
      <c r="CW7942" s="1191"/>
      <c r="CX7942" s="1191"/>
      <c r="CY7942" s="1191"/>
      <c r="CZ7942" s="1191"/>
      <c r="DA7942" s="1191"/>
      <c r="DB7942" s="1191"/>
      <c r="DC7942" s="1191"/>
      <c r="DD7942" s="1191"/>
      <c r="DE7942" s="1191"/>
      <c r="DF7942" s="1191"/>
      <c r="DG7942" s="1191"/>
      <c r="DH7942" s="1191"/>
      <c r="DI7942" s="1191"/>
      <c r="DJ7942" s="1191"/>
      <c r="DK7942" s="1191"/>
      <c r="DL7942" s="1191"/>
      <c r="DM7942" s="1191"/>
      <c r="DN7942" s="1191"/>
      <c r="DO7942" s="1191"/>
    </row>
    <row r="7943" spans="1:119" s="1019" customFormat="1" ht="15" customHeight="1">
      <c r="A7943" s="1170" t="s">
        <v>3118</v>
      </c>
      <c r="B7943" s="1187">
        <v>4</v>
      </c>
      <c r="C7943" s="1188">
        <v>50</v>
      </c>
      <c r="D7943" s="1172" t="s">
        <v>1812</v>
      </c>
      <c r="E7943" s="1172" t="s">
        <v>6157</v>
      </c>
      <c r="F7943" s="1174">
        <v>0.13</v>
      </c>
      <c r="G7943" s="1189"/>
      <c r="H7943" s="1190">
        <v>7.7</v>
      </c>
      <c r="I7943" s="1191"/>
      <c r="J7943" s="1191"/>
      <c r="K7943" s="1191"/>
      <c r="L7943" s="1191"/>
      <c r="M7943" s="1191"/>
      <c r="N7943" s="1191"/>
      <c r="O7943" s="1191"/>
      <c r="P7943" s="1191"/>
      <c r="Q7943" s="1191"/>
      <c r="R7943" s="1191"/>
      <c r="S7943" s="1191"/>
      <c r="T7943" s="1191"/>
      <c r="U7943" s="1191"/>
      <c r="V7943" s="1191"/>
      <c r="W7943" s="1191"/>
      <c r="X7943" s="1191"/>
      <c r="Y7943" s="1191"/>
      <c r="Z7943" s="1191"/>
      <c r="AA7943" s="1191"/>
      <c r="AB7943" s="1191"/>
      <c r="AC7943" s="1191"/>
      <c r="AD7943" s="1191"/>
      <c r="AE7943" s="1191"/>
      <c r="AF7943" s="1191"/>
      <c r="AG7943" s="1191"/>
      <c r="AH7943" s="1191"/>
      <c r="AI7943" s="1191"/>
      <c r="AJ7943" s="1191"/>
      <c r="AK7943" s="1191"/>
      <c r="AL7943" s="1191"/>
      <c r="AM7943" s="1191"/>
      <c r="AN7943" s="1191"/>
      <c r="AO7943" s="1191"/>
      <c r="AP7943" s="1191"/>
      <c r="AQ7943" s="1191"/>
      <c r="AR7943" s="1191"/>
      <c r="AS7943" s="1191"/>
      <c r="AT7943" s="1191"/>
      <c r="AU7943" s="1191"/>
      <c r="AV7943" s="1191"/>
      <c r="AW7943" s="1191"/>
      <c r="AX7943" s="1191"/>
      <c r="AY7943" s="1191"/>
      <c r="AZ7943" s="1191"/>
      <c r="BA7943" s="1191"/>
      <c r="BB7943" s="1191"/>
      <c r="BC7943" s="1191"/>
      <c r="BD7943" s="1191"/>
      <c r="BE7943" s="1191"/>
      <c r="BF7943" s="1191"/>
      <c r="BG7943" s="1191"/>
      <c r="BH7943" s="1191"/>
      <c r="BI7943" s="1191"/>
      <c r="BJ7943" s="1191"/>
      <c r="BK7943" s="1191"/>
      <c r="BL7943" s="1191"/>
      <c r="BM7943" s="1191"/>
      <c r="BN7943" s="1191"/>
      <c r="BO7943" s="1191"/>
      <c r="BP7943" s="1191"/>
      <c r="BQ7943" s="1191"/>
      <c r="BR7943" s="1191"/>
      <c r="BS7943" s="1191"/>
      <c r="BT7943" s="1191"/>
      <c r="BU7943" s="1191"/>
      <c r="BV7943" s="1191"/>
      <c r="BW7943" s="1191"/>
      <c r="BX7943" s="1191"/>
      <c r="BY7943" s="1191"/>
      <c r="BZ7943" s="1191"/>
      <c r="CA7943" s="1191"/>
      <c r="CB7943" s="1191"/>
      <c r="CC7943" s="1191"/>
      <c r="CD7943" s="1191"/>
      <c r="CE7943" s="1191"/>
      <c r="CF7943" s="1191"/>
      <c r="CG7943" s="1191"/>
      <c r="CH7943" s="1191"/>
      <c r="CI7943" s="1191"/>
      <c r="CJ7943" s="1191"/>
      <c r="CK7943" s="1191"/>
      <c r="CL7943" s="1191"/>
      <c r="CM7943" s="1191"/>
      <c r="CN7943" s="1191"/>
      <c r="CO7943" s="1191"/>
      <c r="CP7943" s="1191"/>
      <c r="CQ7943" s="1191"/>
      <c r="CR7943" s="1191"/>
      <c r="CS7943" s="1191"/>
      <c r="CT7943" s="1191"/>
      <c r="CU7943" s="1191"/>
      <c r="CV7943" s="1191"/>
      <c r="CW7943" s="1191"/>
      <c r="CX7943" s="1191"/>
      <c r="CY7943" s="1191"/>
      <c r="CZ7943" s="1191"/>
      <c r="DA7943" s="1191"/>
      <c r="DB7943" s="1191"/>
      <c r="DC7943" s="1191"/>
      <c r="DD7943" s="1191"/>
      <c r="DE7943" s="1191"/>
      <c r="DF7943" s="1191"/>
      <c r="DG7943" s="1191"/>
      <c r="DH7943" s="1191"/>
      <c r="DI7943" s="1191"/>
      <c r="DJ7943" s="1191"/>
      <c r="DK7943" s="1191"/>
      <c r="DL7943" s="1191"/>
      <c r="DM7943" s="1191"/>
      <c r="DN7943" s="1191"/>
      <c r="DO7943" s="1191"/>
    </row>
    <row r="7944" spans="1:119" s="1019" customFormat="1" ht="15" customHeight="1">
      <c r="A7944" s="1170" t="s">
        <v>3118</v>
      </c>
      <c r="B7944" s="1187">
        <v>6</v>
      </c>
      <c r="C7944" s="1188">
        <v>50</v>
      </c>
      <c r="D7944" s="1172" t="s">
        <v>1812</v>
      </c>
      <c r="E7944" s="1172" t="s">
        <v>6157</v>
      </c>
      <c r="F7944" s="1174">
        <v>0.25</v>
      </c>
      <c r="G7944" s="1189"/>
      <c r="H7944" s="1190">
        <v>14.6</v>
      </c>
      <c r="I7944" s="1191"/>
      <c r="J7944" s="1191"/>
      <c r="K7944" s="1191"/>
      <c r="L7944" s="1191"/>
      <c r="M7944" s="1191"/>
      <c r="N7944" s="1191"/>
      <c r="O7944" s="1191"/>
      <c r="P7944" s="1191"/>
      <c r="Q7944" s="1191"/>
      <c r="R7944" s="1191"/>
      <c r="S7944" s="1191"/>
      <c r="T7944" s="1191"/>
      <c r="U7944" s="1191"/>
      <c r="V7944" s="1191"/>
      <c r="W7944" s="1191"/>
      <c r="X7944" s="1191"/>
      <c r="Y7944" s="1191"/>
      <c r="Z7944" s="1191"/>
      <c r="AA7944" s="1191"/>
      <c r="AB7944" s="1191"/>
      <c r="AC7944" s="1191"/>
      <c r="AD7944" s="1191"/>
      <c r="AE7944" s="1191"/>
      <c r="AF7944" s="1191"/>
      <c r="AG7944" s="1191"/>
      <c r="AH7944" s="1191"/>
      <c r="AI7944" s="1191"/>
      <c r="AJ7944" s="1191"/>
      <c r="AK7944" s="1191"/>
      <c r="AL7944" s="1191"/>
      <c r="AM7944" s="1191"/>
      <c r="AN7944" s="1191"/>
      <c r="AO7944" s="1191"/>
      <c r="AP7944" s="1191"/>
      <c r="AQ7944" s="1191"/>
      <c r="AR7944" s="1191"/>
      <c r="AS7944" s="1191"/>
      <c r="AT7944" s="1191"/>
      <c r="AU7944" s="1191"/>
      <c r="AV7944" s="1191"/>
      <c r="AW7944" s="1191"/>
      <c r="AX7944" s="1191"/>
      <c r="AY7944" s="1191"/>
      <c r="AZ7944" s="1191"/>
      <c r="BA7944" s="1191"/>
      <c r="BB7944" s="1191"/>
      <c r="BC7944" s="1191"/>
      <c r="BD7944" s="1191"/>
      <c r="BE7944" s="1191"/>
      <c r="BF7944" s="1191"/>
      <c r="BG7944" s="1191"/>
      <c r="BH7944" s="1191"/>
      <c r="BI7944" s="1191"/>
      <c r="BJ7944" s="1191"/>
      <c r="BK7944" s="1191"/>
      <c r="BL7944" s="1191"/>
      <c r="BM7944" s="1191"/>
      <c r="BN7944" s="1191"/>
      <c r="BO7944" s="1191"/>
      <c r="BP7944" s="1191"/>
      <c r="BQ7944" s="1191"/>
      <c r="BR7944" s="1191"/>
      <c r="BS7944" s="1191"/>
      <c r="BT7944" s="1191"/>
      <c r="BU7944" s="1191"/>
      <c r="BV7944" s="1191"/>
      <c r="BW7944" s="1191"/>
      <c r="BX7944" s="1191"/>
      <c r="BY7944" s="1191"/>
      <c r="BZ7944" s="1191"/>
      <c r="CA7944" s="1191"/>
      <c r="CB7944" s="1191"/>
      <c r="CC7944" s="1191"/>
      <c r="CD7944" s="1191"/>
      <c r="CE7944" s="1191"/>
      <c r="CF7944" s="1191"/>
      <c r="CG7944" s="1191"/>
      <c r="CH7944" s="1191"/>
      <c r="CI7944" s="1191"/>
      <c r="CJ7944" s="1191"/>
      <c r="CK7944" s="1191"/>
      <c r="CL7944" s="1191"/>
      <c r="CM7944" s="1191"/>
      <c r="CN7944" s="1191"/>
      <c r="CO7944" s="1191"/>
      <c r="CP7944" s="1191"/>
      <c r="CQ7944" s="1191"/>
      <c r="CR7944" s="1191"/>
      <c r="CS7944" s="1191"/>
      <c r="CT7944" s="1191"/>
      <c r="CU7944" s="1191"/>
      <c r="CV7944" s="1191"/>
      <c r="CW7944" s="1191"/>
      <c r="CX7944" s="1191"/>
      <c r="CY7944" s="1191"/>
      <c r="CZ7944" s="1191"/>
      <c r="DA7944" s="1191"/>
      <c r="DB7944" s="1191"/>
      <c r="DC7944" s="1191"/>
      <c r="DD7944" s="1191"/>
      <c r="DE7944" s="1191"/>
      <c r="DF7944" s="1191"/>
      <c r="DG7944" s="1191"/>
      <c r="DH7944" s="1191"/>
      <c r="DI7944" s="1191"/>
      <c r="DJ7944" s="1191"/>
      <c r="DK7944" s="1191"/>
      <c r="DL7944" s="1191"/>
      <c r="DM7944" s="1191"/>
      <c r="DN7944" s="1191"/>
      <c r="DO7944" s="1191"/>
    </row>
    <row r="7945" spans="1:119" s="1019" customFormat="1" ht="15" customHeight="1">
      <c r="A7945" s="1170" t="s">
        <v>3118</v>
      </c>
      <c r="B7945" s="1187">
        <v>8</v>
      </c>
      <c r="C7945" s="1188">
        <v>50</v>
      </c>
      <c r="D7945" s="1172" t="s">
        <v>1812</v>
      </c>
      <c r="E7945" s="1172" t="s">
        <v>6157</v>
      </c>
      <c r="F7945" s="1174">
        <v>0.49</v>
      </c>
      <c r="G7945" s="1189"/>
      <c r="H7945" s="1192">
        <v>28.8</v>
      </c>
      <c r="I7945" s="1191"/>
      <c r="J7945" s="1191"/>
      <c r="K7945" s="1191"/>
      <c r="L7945" s="1191"/>
      <c r="M7945" s="1191"/>
      <c r="N7945" s="1191"/>
      <c r="O7945" s="1191"/>
      <c r="P7945" s="1191"/>
      <c r="Q7945" s="1191"/>
      <c r="R7945" s="1191"/>
      <c r="S7945" s="1191"/>
      <c r="T7945" s="1191"/>
      <c r="U7945" s="1191"/>
      <c r="V7945" s="1191"/>
      <c r="W7945" s="1191"/>
      <c r="X7945" s="1191"/>
      <c r="Y7945" s="1191"/>
      <c r="Z7945" s="1191"/>
      <c r="AA7945" s="1191"/>
      <c r="AB7945" s="1191"/>
      <c r="AC7945" s="1191"/>
      <c r="AD7945" s="1191"/>
      <c r="AE7945" s="1191"/>
      <c r="AF7945" s="1191"/>
      <c r="AG7945" s="1191"/>
      <c r="AH7945" s="1191"/>
      <c r="AI7945" s="1191"/>
      <c r="AJ7945" s="1191"/>
      <c r="AK7945" s="1191"/>
      <c r="AL7945" s="1191"/>
      <c r="AM7945" s="1191"/>
      <c r="AN7945" s="1191"/>
      <c r="AO7945" s="1191"/>
      <c r="AP7945" s="1191"/>
      <c r="AQ7945" s="1191"/>
      <c r="AR7945" s="1191"/>
      <c r="AS7945" s="1191"/>
      <c r="AT7945" s="1191"/>
      <c r="AU7945" s="1191"/>
      <c r="AV7945" s="1191"/>
      <c r="AW7945" s="1191"/>
      <c r="AX7945" s="1191"/>
      <c r="AY7945" s="1191"/>
      <c r="AZ7945" s="1191"/>
      <c r="BA7945" s="1191"/>
      <c r="BB7945" s="1191"/>
      <c r="BC7945" s="1191"/>
      <c r="BD7945" s="1191"/>
      <c r="BE7945" s="1191"/>
      <c r="BF7945" s="1191"/>
      <c r="BG7945" s="1191"/>
      <c r="BH7945" s="1191"/>
      <c r="BI7945" s="1191"/>
      <c r="BJ7945" s="1191"/>
      <c r="BK7945" s="1191"/>
      <c r="BL7945" s="1191"/>
      <c r="BM7945" s="1191"/>
      <c r="BN7945" s="1191"/>
      <c r="BO7945" s="1191"/>
      <c r="BP7945" s="1191"/>
      <c r="BQ7945" s="1191"/>
      <c r="BR7945" s="1191"/>
      <c r="BS7945" s="1191"/>
      <c r="BT7945" s="1191"/>
      <c r="BU7945" s="1191"/>
      <c r="BV7945" s="1191"/>
      <c r="BW7945" s="1191"/>
      <c r="BX7945" s="1191"/>
      <c r="BY7945" s="1191"/>
      <c r="BZ7945" s="1191"/>
      <c r="CA7945" s="1191"/>
      <c r="CB7945" s="1191"/>
      <c r="CC7945" s="1191"/>
      <c r="CD7945" s="1191"/>
      <c r="CE7945" s="1191"/>
      <c r="CF7945" s="1191"/>
      <c r="CG7945" s="1191"/>
      <c r="CH7945" s="1191"/>
      <c r="CI7945" s="1191"/>
      <c r="CJ7945" s="1191"/>
      <c r="CK7945" s="1191"/>
      <c r="CL7945" s="1191"/>
      <c r="CM7945" s="1191"/>
      <c r="CN7945" s="1191"/>
      <c r="CO7945" s="1191"/>
      <c r="CP7945" s="1191"/>
      <c r="CQ7945" s="1191"/>
      <c r="CR7945" s="1191"/>
      <c r="CS7945" s="1191"/>
      <c r="CT7945" s="1191"/>
      <c r="CU7945" s="1191"/>
      <c r="CV7945" s="1191"/>
      <c r="CW7945" s="1191"/>
      <c r="CX7945" s="1191"/>
      <c r="CY7945" s="1191"/>
      <c r="CZ7945" s="1191"/>
      <c r="DA7945" s="1191"/>
      <c r="DB7945" s="1191"/>
      <c r="DC7945" s="1191"/>
      <c r="DD7945" s="1191"/>
      <c r="DE7945" s="1191"/>
      <c r="DF7945" s="1191"/>
      <c r="DG7945" s="1191"/>
      <c r="DH7945" s="1191"/>
      <c r="DI7945" s="1191"/>
      <c r="DJ7945" s="1191"/>
      <c r="DK7945" s="1191"/>
      <c r="DL7945" s="1191"/>
      <c r="DM7945" s="1191"/>
      <c r="DN7945" s="1191"/>
      <c r="DO7945" s="1191"/>
    </row>
    <row r="7946" spans="1:119" s="1019" customFormat="1" ht="15" customHeight="1">
      <c r="A7946" s="1170" t="s">
        <v>3118</v>
      </c>
      <c r="B7946" s="1187">
        <v>10</v>
      </c>
      <c r="C7946" s="1171">
        <v>20</v>
      </c>
      <c r="D7946" s="1172" t="s">
        <v>1812</v>
      </c>
      <c r="E7946" s="1172" t="s">
        <v>6157</v>
      </c>
      <c r="F7946" s="1174">
        <v>0.72</v>
      </c>
      <c r="G7946" s="1189"/>
      <c r="H7946" s="1190">
        <v>42.5</v>
      </c>
      <c r="I7946" s="1191"/>
      <c r="J7946" s="1191"/>
      <c r="K7946" s="1191"/>
      <c r="L7946" s="1191"/>
      <c r="M7946" s="1191"/>
      <c r="N7946" s="1191"/>
      <c r="O7946" s="1191"/>
      <c r="P7946" s="1191"/>
      <c r="Q7946" s="1191"/>
      <c r="R7946" s="1191"/>
      <c r="S7946" s="1191"/>
      <c r="T7946" s="1191"/>
      <c r="U7946" s="1191"/>
      <c r="V7946" s="1191"/>
      <c r="W7946" s="1191"/>
      <c r="X7946" s="1191"/>
      <c r="Y7946" s="1191"/>
      <c r="Z7946" s="1191"/>
      <c r="AA7946" s="1191"/>
      <c r="AB7946" s="1191"/>
      <c r="AC7946" s="1191"/>
      <c r="AD7946" s="1191"/>
      <c r="AE7946" s="1191"/>
      <c r="AF7946" s="1191"/>
      <c r="AG7946" s="1191"/>
      <c r="AH7946" s="1191"/>
      <c r="AI7946" s="1191"/>
      <c r="AJ7946" s="1191"/>
      <c r="AK7946" s="1191"/>
      <c r="AL7946" s="1191"/>
      <c r="AM7946" s="1191"/>
      <c r="AN7946" s="1191"/>
      <c r="AO7946" s="1191"/>
      <c r="AP7946" s="1191"/>
      <c r="AQ7946" s="1191"/>
      <c r="AR7946" s="1191"/>
      <c r="AS7946" s="1191"/>
      <c r="AT7946" s="1191"/>
      <c r="AU7946" s="1191"/>
      <c r="AV7946" s="1191"/>
      <c r="AW7946" s="1191"/>
      <c r="AX7946" s="1191"/>
      <c r="AY7946" s="1191"/>
      <c r="AZ7946" s="1191"/>
      <c r="BA7946" s="1191"/>
      <c r="BB7946" s="1191"/>
      <c r="BC7946" s="1191"/>
      <c r="BD7946" s="1191"/>
      <c r="BE7946" s="1191"/>
      <c r="BF7946" s="1191"/>
      <c r="BG7946" s="1191"/>
      <c r="BH7946" s="1191"/>
      <c r="BI7946" s="1191"/>
      <c r="BJ7946" s="1191"/>
      <c r="BK7946" s="1191"/>
      <c r="BL7946" s="1191"/>
      <c r="BM7946" s="1191"/>
      <c r="BN7946" s="1191"/>
      <c r="BO7946" s="1191"/>
      <c r="BP7946" s="1191"/>
      <c r="BQ7946" s="1191"/>
      <c r="BR7946" s="1191"/>
      <c r="BS7946" s="1191"/>
      <c r="BT7946" s="1191"/>
      <c r="BU7946" s="1191"/>
      <c r="BV7946" s="1191"/>
      <c r="BW7946" s="1191"/>
      <c r="BX7946" s="1191"/>
      <c r="BY7946" s="1191"/>
      <c r="BZ7946" s="1191"/>
      <c r="CA7946" s="1191"/>
      <c r="CB7946" s="1191"/>
      <c r="CC7946" s="1191"/>
      <c r="CD7946" s="1191"/>
      <c r="CE7946" s="1191"/>
      <c r="CF7946" s="1191"/>
      <c r="CG7946" s="1191"/>
      <c r="CH7946" s="1191"/>
      <c r="CI7946" s="1191"/>
      <c r="CJ7946" s="1191"/>
      <c r="CK7946" s="1191"/>
      <c r="CL7946" s="1191"/>
      <c r="CM7946" s="1191"/>
      <c r="CN7946" s="1191"/>
      <c r="CO7946" s="1191"/>
      <c r="CP7946" s="1191"/>
      <c r="CQ7946" s="1191"/>
      <c r="CR7946" s="1191"/>
      <c r="CS7946" s="1191"/>
      <c r="CT7946" s="1191"/>
      <c r="CU7946" s="1191"/>
      <c r="CV7946" s="1191"/>
      <c r="CW7946" s="1191"/>
      <c r="CX7946" s="1191"/>
      <c r="CY7946" s="1191"/>
      <c r="CZ7946" s="1191"/>
      <c r="DA7946" s="1191"/>
      <c r="DB7946" s="1191"/>
      <c r="DC7946" s="1191"/>
      <c r="DD7946" s="1191"/>
      <c r="DE7946" s="1191"/>
      <c r="DF7946" s="1191"/>
      <c r="DG7946" s="1191"/>
      <c r="DH7946" s="1191"/>
      <c r="DI7946" s="1191"/>
      <c r="DJ7946" s="1191"/>
      <c r="DK7946" s="1191"/>
      <c r="DL7946" s="1191"/>
      <c r="DM7946" s="1191"/>
      <c r="DN7946" s="1191"/>
      <c r="DO7946" s="1191"/>
    </row>
    <row r="7947" spans="1:119" s="888" customFormat="1" ht="12"/>
    <row r="7948" spans="1:119" s="888" customFormat="1" ht="12"/>
    <row r="7949" spans="1:119" s="888" customFormat="1" ht="12">
      <c r="A7949" s="888" t="s">
        <v>6158</v>
      </c>
    </row>
    <row r="7950" spans="1:119" s="888" customFormat="1" ht="12">
      <c r="A7950" s="888" t="s">
        <v>6159</v>
      </c>
    </row>
    <row r="7951" spans="1:119" s="888" customFormat="1" ht="12">
      <c r="A7951" s="888" t="s">
        <v>6161</v>
      </c>
    </row>
    <row r="7952" spans="1:119" s="888" customFormat="1" ht="12">
      <c r="A7952" s="888" t="s">
        <v>6162</v>
      </c>
    </row>
    <row r="7953" spans="1:6">
      <c r="A7953" s="888" t="s">
        <v>6160</v>
      </c>
    </row>
    <row r="7954" spans="1:6">
      <c r="A7954" t="s">
        <v>6163</v>
      </c>
    </row>
    <row r="7956" spans="1:6">
      <c r="A7956" s="1166" t="s">
        <v>6170</v>
      </c>
      <c r="B7956" s="1166" t="s">
        <v>6171</v>
      </c>
      <c r="C7956" s="1166" t="s">
        <v>6172</v>
      </c>
      <c r="D7956" s="236"/>
      <c r="E7956" s="236"/>
      <c r="F7956" s="1166" t="s">
        <v>3816</v>
      </c>
    </row>
    <row r="7957" spans="1:6" ht="16.5">
      <c r="A7957" s="2055" t="s">
        <v>6168</v>
      </c>
      <c r="B7957" s="2056">
        <v>45092</v>
      </c>
      <c r="C7957" s="2056">
        <v>45122</v>
      </c>
      <c r="D7957" s="2056"/>
      <c r="E7957" s="2057"/>
      <c r="F7957" s="2058">
        <v>406.57</v>
      </c>
    </row>
    <row r="7958" spans="1:6" ht="16.5">
      <c r="A7958" s="2055" t="s">
        <v>6169</v>
      </c>
      <c r="B7958" s="2056">
        <v>45100</v>
      </c>
      <c r="C7958" s="2056">
        <v>45115</v>
      </c>
      <c r="D7958" s="2059">
        <v>45099</v>
      </c>
      <c r="E7958" s="2057">
        <v>4774.5</v>
      </c>
      <c r="F7958" s="2058" t="s">
        <v>6173</v>
      </c>
    </row>
    <row r="7959" spans="1:6" ht="16.5">
      <c r="A7959" s="2055" t="s">
        <v>6194</v>
      </c>
      <c r="B7959" s="2056"/>
      <c r="C7959" s="2056"/>
      <c r="D7959" s="2059">
        <v>45099</v>
      </c>
      <c r="E7959" s="2057">
        <v>4774.5</v>
      </c>
      <c r="F7959" s="2058" t="s">
        <v>6173</v>
      </c>
    </row>
    <row r="7961" spans="1:6">
      <c r="A7961" t="s">
        <v>6175</v>
      </c>
      <c r="C7961" s="317" t="s">
        <v>6176</v>
      </c>
      <c r="D7961" s="2037"/>
      <c r="E7961" s="2037" t="s">
        <v>6080</v>
      </c>
      <c r="F7961" s="2037" t="s">
        <v>6081</v>
      </c>
    </row>
    <row r="7962" spans="1:6">
      <c r="A7962" s="1166" t="s">
        <v>1369</v>
      </c>
      <c r="B7962" s="1184" t="s">
        <v>52</v>
      </c>
      <c r="C7962" s="1783" t="s">
        <v>1323</v>
      </c>
      <c r="D7962" s="2037"/>
      <c r="E7962" s="2037"/>
    </row>
    <row r="7963" spans="1:6">
      <c r="A7963" s="947" t="s">
        <v>6174</v>
      </c>
      <c r="B7963" s="947" t="s">
        <v>6182</v>
      </c>
      <c r="C7963" s="891">
        <v>6.85</v>
      </c>
      <c r="D7963" s="236">
        <f>530+80</f>
        <v>610</v>
      </c>
      <c r="E7963" s="2039">
        <f>(((C7963*F7963)-D7963)/(C7963*F7963))</f>
        <v>0.22564265312599174</v>
      </c>
      <c r="F7963" s="245">
        <v>115</v>
      </c>
    </row>
    <row r="7964" spans="1:6">
      <c r="A7964" s="947" t="s">
        <v>6177</v>
      </c>
      <c r="B7964" s="947" t="s">
        <v>6182</v>
      </c>
      <c r="C7964" s="891">
        <v>6.85</v>
      </c>
      <c r="D7964" s="236">
        <f>630</f>
        <v>630</v>
      </c>
      <c r="E7964" s="2039">
        <f>(((C7964*F7964)-D7964)/(C7964*F7964))</f>
        <v>0.2002538876547128</v>
      </c>
      <c r="F7964" s="245">
        <v>115</v>
      </c>
    </row>
    <row r="7965" spans="1:6">
      <c r="A7965" s="947"/>
      <c r="B7965" s="947"/>
      <c r="C7965" s="950" t="s">
        <v>6180</v>
      </c>
      <c r="D7965" s="416" t="s">
        <v>6178</v>
      </c>
      <c r="E7965" s="2039"/>
      <c r="F7965" s="245"/>
    </row>
    <row r="7966" spans="1:6">
      <c r="A7966" s="947" t="s">
        <v>6179</v>
      </c>
      <c r="B7966" s="947" t="s">
        <v>6183</v>
      </c>
      <c r="C7966" s="891">
        <v>9.8000000000000007</v>
      </c>
      <c r="D7966" s="236">
        <f>850+50</f>
        <v>900</v>
      </c>
      <c r="E7966" s="2039">
        <f>(((C7966*F7966)-D7966)/(C7966*F7966))</f>
        <v>0.20141969831410825</v>
      </c>
      <c r="F7966" s="245">
        <v>115</v>
      </c>
    </row>
    <row r="7967" spans="1:6">
      <c r="A7967" s="947"/>
      <c r="B7967" s="947"/>
      <c r="C7967" s="950" t="s">
        <v>6181</v>
      </c>
      <c r="D7967" s="416" t="s">
        <v>6178</v>
      </c>
      <c r="E7967" s="2039"/>
      <c r="F7967" s="245"/>
    </row>
    <row r="7968" spans="1:6">
      <c r="A7968" s="947"/>
      <c r="B7968" s="947"/>
      <c r="C7968" s="891"/>
      <c r="D7968" s="236"/>
      <c r="E7968" s="2039"/>
      <c r="F7968" s="245"/>
    </row>
    <row r="7969" spans="1:10">
      <c r="A7969" s="947"/>
      <c r="B7969" s="947"/>
      <c r="C7969" s="891"/>
      <c r="D7969" s="236"/>
      <c r="E7969" s="2039"/>
      <c r="F7969" s="245"/>
    </row>
    <row r="7973" spans="1:10">
      <c r="A7973" t="s">
        <v>6188</v>
      </c>
    </row>
    <row r="7974" spans="1:10">
      <c r="A7974" s="1166" t="s">
        <v>1369</v>
      </c>
      <c r="B7974" s="1184" t="s">
        <v>52</v>
      </c>
      <c r="C7974" s="1783" t="s">
        <v>1323</v>
      </c>
      <c r="D7974" s="2037"/>
      <c r="E7974" s="2037"/>
    </row>
    <row r="7975" spans="1:10">
      <c r="A7975" s="947" t="s">
        <v>6189</v>
      </c>
      <c r="B7975" s="947" t="s">
        <v>6182</v>
      </c>
      <c r="C7975" s="891">
        <v>5.87</v>
      </c>
      <c r="D7975" s="236">
        <f>480+60</f>
        <v>540</v>
      </c>
      <c r="E7975" s="2039">
        <f>(((C7975*F7975)-D7975)/(C7975*F7975))</f>
        <v>0.20005925487000972</v>
      </c>
      <c r="F7975" s="245">
        <v>115</v>
      </c>
    </row>
    <row r="7976" spans="1:10">
      <c r="A7976" s="947"/>
      <c r="B7976" s="947"/>
      <c r="C7976" s="950" t="s">
        <v>6180</v>
      </c>
      <c r="D7976" s="416" t="s">
        <v>6190</v>
      </c>
      <c r="E7976" s="2039"/>
      <c r="F7976" s="245"/>
    </row>
    <row r="7978" spans="1:10" ht="14.25" thickBot="1"/>
    <row r="7979" spans="1:10" ht="14.25" thickBot="1">
      <c r="A7979" s="1120" t="s">
        <v>6195</v>
      </c>
      <c r="B7979" s="1121" t="s">
        <v>6196</v>
      </c>
      <c r="C7979" s="1121" t="s">
        <v>6197</v>
      </c>
      <c r="D7979" s="1121" t="s">
        <v>6198</v>
      </c>
    </row>
    <row r="7980" spans="1:10" ht="17.25" thickBot="1">
      <c r="A7980" s="2060">
        <v>5316</v>
      </c>
      <c r="B7980" s="2061" t="s">
        <v>6199</v>
      </c>
      <c r="C7980" s="2061" t="s">
        <v>6200</v>
      </c>
      <c r="D7980" s="2061" t="s">
        <v>6201</v>
      </c>
    </row>
    <row r="7981" spans="1:10" ht="17.25" thickBot="1">
      <c r="A7981" s="2060">
        <v>5268</v>
      </c>
      <c r="B7981" s="2061" t="s">
        <v>6202</v>
      </c>
      <c r="C7981" s="2061" t="s">
        <v>6203</v>
      </c>
      <c r="D7981" s="2061" t="s">
        <v>6206</v>
      </c>
    </row>
    <row r="7982" spans="1:10" ht="17.25" thickBot="1">
      <c r="A7982" s="2060" t="s">
        <v>6204</v>
      </c>
      <c r="B7982" s="2061"/>
      <c r="C7982" s="2061"/>
      <c r="D7982" s="2061" t="s">
        <v>6205</v>
      </c>
    </row>
    <row r="7984" spans="1:10">
      <c r="A7984" t="s">
        <v>6207</v>
      </c>
      <c r="I7984" s="2037" t="s">
        <v>6080</v>
      </c>
      <c r="J7984" s="2037" t="s">
        <v>6081</v>
      </c>
    </row>
    <row r="7985" spans="1:120" s="1163" customFormat="1" ht="25.5">
      <c r="A7985" s="1166" t="s">
        <v>1369</v>
      </c>
      <c r="B7985" s="1184" t="s">
        <v>377</v>
      </c>
      <c r="C7985" s="1167" t="s">
        <v>2</v>
      </c>
      <c r="D7985" s="1168" t="s">
        <v>1734</v>
      </c>
      <c r="E7985" s="902" t="s">
        <v>2264</v>
      </c>
      <c r="F7985" s="902" t="s">
        <v>1181</v>
      </c>
      <c r="G7985" s="1169" t="s">
        <v>5527</v>
      </c>
      <c r="H7985" s="2042"/>
    </row>
    <row r="7986" spans="1:120" s="59" customFormat="1" ht="15" customHeight="1">
      <c r="A7986" s="1170" t="s">
        <v>446</v>
      </c>
      <c r="B7986" s="2062">
        <v>7.5</v>
      </c>
      <c r="C7986" s="1171">
        <v>50</v>
      </c>
      <c r="D7986" s="1172" t="s">
        <v>5818</v>
      </c>
      <c r="E7986" s="1172" t="s">
        <v>6208</v>
      </c>
      <c r="F7986" s="1172" t="s">
        <v>6110</v>
      </c>
      <c r="G7986" s="1174">
        <v>0.26</v>
      </c>
      <c r="H7986" s="2063">
        <v>15.1</v>
      </c>
      <c r="I7986" s="2044">
        <f>(((G7986*J7986)-H7986)/(G7986*J7986))</f>
        <v>0.51602564102564097</v>
      </c>
      <c r="J7986" s="1963">
        <v>120</v>
      </c>
      <c r="K7986" s="1963"/>
      <c r="L7986" s="1963"/>
      <c r="M7986" s="1963"/>
      <c r="N7986" s="1963"/>
      <c r="O7986" s="1963"/>
      <c r="P7986" s="1963"/>
      <c r="Q7986" s="1963"/>
      <c r="R7986" s="1963"/>
      <c r="S7986" s="1963"/>
      <c r="T7986" s="1963"/>
      <c r="U7986" s="1963"/>
      <c r="V7986" s="1963"/>
      <c r="W7986" s="1963"/>
      <c r="X7986" s="1963"/>
      <c r="Y7986" s="1963"/>
      <c r="Z7986" s="1963"/>
      <c r="AA7986" s="1963"/>
      <c r="AB7986" s="1963"/>
      <c r="AC7986" s="1963"/>
      <c r="AD7986" s="1963"/>
      <c r="AE7986" s="1963"/>
      <c r="AF7986" s="1963"/>
      <c r="AG7986" s="1963"/>
      <c r="AH7986" s="1963"/>
      <c r="AI7986" s="1963"/>
      <c r="AJ7986" s="1963"/>
      <c r="AK7986" s="1963"/>
      <c r="AL7986" s="1963"/>
      <c r="AM7986" s="1963"/>
      <c r="AN7986" s="1963"/>
      <c r="AO7986" s="1963"/>
      <c r="AP7986" s="1963"/>
      <c r="AQ7986" s="1963"/>
      <c r="AR7986" s="1963"/>
      <c r="AS7986" s="1963"/>
      <c r="AT7986" s="1963"/>
      <c r="AU7986" s="1963"/>
      <c r="AV7986" s="1963"/>
      <c r="AW7986" s="1963"/>
      <c r="AX7986" s="1963"/>
      <c r="AY7986" s="1963"/>
      <c r="AZ7986" s="1963"/>
      <c r="BA7986" s="1963"/>
      <c r="BB7986" s="1963"/>
      <c r="BC7986" s="1963"/>
      <c r="BD7986" s="1963"/>
      <c r="BE7986" s="1963"/>
      <c r="BF7986" s="1963"/>
      <c r="BG7986" s="1963"/>
      <c r="BH7986" s="1963"/>
      <c r="BI7986" s="1963"/>
      <c r="BJ7986" s="1963"/>
      <c r="BK7986" s="1963"/>
      <c r="BL7986" s="1963"/>
      <c r="BM7986" s="1963"/>
      <c r="BN7986" s="1963"/>
      <c r="BO7986" s="1963"/>
      <c r="BP7986" s="1963"/>
      <c r="BQ7986" s="1963"/>
      <c r="BR7986" s="1963"/>
      <c r="BS7986" s="1963"/>
      <c r="BT7986" s="1963"/>
      <c r="BU7986" s="1963"/>
      <c r="BV7986" s="1963"/>
      <c r="BW7986" s="1963"/>
      <c r="BX7986" s="1963"/>
      <c r="BY7986" s="1963"/>
      <c r="BZ7986" s="1963"/>
      <c r="CA7986" s="1963"/>
      <c r="CB7986" s="1963"/>
      <c r="CC7986" s="1963"/>
      <c r="CD7986" s="1963"/>
      <c r="CE7986" s="1963"/>
      <c r="CF7986" s="1963"/>
      <c r="CG7986" s="1963"/>
      <c r="CH7986" s="1963"/>
      <c r="CI7986" s="1963"/>
      <c r="CJ7986" s="1963"/>
      <c r="CK7986" s="1963"/>
      <c r="CL7986" s="1963"/>
      <c r="CM7986" s="1963"/>
      <c r="CN7986" s="1963"/>
      <c r="CO7986" s="1963"/>
      <c r="CP7986" s="1963"/>
      <c r="CQ7986" s="1963"/>
      <c r="CR7986" s="1963"/>
      <c r="CS7986" s="1963"/>
      <c r="CT7986" s="1963"/>
      <c r="CU7986" s="1963"/>
      <c r="CV7986" s="1963"/>
      <c r="CW7986" s="1963"/>
      <c r="CX7986" s="1963"/>
      <c r="CY7986" s="1963"/>
      <c r="CZ7986" s="1963"/>
      <c r="DA7986" s="1963"/>
      <c r="DB7986" s="1963"/>
      <c r="DC7986" s="1963"/>
      <c r="DD7986" s="1963"/>
      <c r="DE7986" s="1963"/>
      <c r="DF7986" s="1963"/>
      <c r="DG7986" s="1963"/>
      <c r="DH7986" s="1963"/>
      <c r="DI7986" s="1963"/>
      <c r="DJ7986" s="1963"/>
      <c r="DK7986" s="1963"/>
      <c r="DL7986" s="1963"/>
      <c r="DM7986" s="1963"/>
      <c r="DN7986" s="1963"/>
      <c r="DO7986" s="1963"/>
      <c r="DP7986" s="1963"/>
    </row>
    <row r="7988" spans="1:120">
      <c r="A7988" s="1166" t="s">
        <v>105</v>
      </c>
      <c r="B7988" s="1184" t="s">
        <v>6209</v>
      </c>
    </row>
    <row r="7989" spans="1:120" ht="14.25">
      <c r="A7989" s="2066">
        <v>229214</v>
      </c>
      <c r="B7989" s="2067">
        <v>45162</v>
      </c>
      <c r="C7989" s="2065"/>
      <c r="D7989" s="2064">
        <v>45162</v>
      </c>
    </row>
    <row r="7990" spans="1:120" ht="14.25">
      <c r="A7990" s="2066">
        <v>229215</v>
      </c>
      <c r="B7990" s="2067">
        <v>45197</v>
      </c>
      <c r="C7990" s="2065"/>
      <c r="D7990" s="2064">
        <v>45197</v>
      </c>
    </row>
    <row r="7991" spans="1:120" ht="14.25">
      <c r="A7991" s="2066">
        <v>229216</v>
      </c>
      <c r="B7991" s="2067">
        <v>45224</v>
      </c>
      <c r="C7991" s="2065"/>
      <c r="D7991" s="2064">
        <v>45224</v>
      </c>
    </row>
    <row r="7992" spans="1:120" ht="14.25">
      <c r="A7992" s="2066">
        <v>229217</v>
      </c>
      <c r="B7992" s="2067">
        <v>45260</v>
      </c>
      <c r="C7992" s="2065"/>
      <c r="D7992" s="2064">
        <v>45260</v>
      </c>
    </row>
    <row r="7993" spans="1:120" ht="14.25">
      <c r="A7993" s="2066">
        <v>229218</v>
      </c>
      <c r="B7993" s="2067">
        <v>45287</v>
      </c>
      <c r="C7993" s="2065"/>
      <c r="D7993" s="2064">
        <v>45287</v>
      </c>
    </row>
    <row r="7997" spans="1:120">
      <c r="A7997" s="887" t="s">
        <v>455</v>
      </c>
      <c r="B7997" s="887" t="s">
        <v>52</v>
      </c>
      <c r="C7997" s="887" t="s">
        <v>128</v>
      </c>
      <c r="D7997" s="887" t="s">
        <v>1186</v>
      </c>
      <c r="E7997" s="887" t="s">
        <v>1652</v>
      </c>
      <c r="F7997" s="887" t="s">
        <v>1653</v>
      </c>
      <c r="G7997" s="1783" t="s">
        <v>1323</v>
      </c>
    </row>
    <row r="7998" spans="1:120">
      <c r="A7998" s="47">
        <v>5291</v>
      </c>
      <c r="B7998" s="48">
        <v>8</v>
      </c>
      <c r="C7998" s="47" t="s">
        <v>6211</v>
      </c>
      <c r="D7998" s="905">
        <v>50</v>
      </c>
      <c r="E7998" s="906">
        <v>1</v>
      </c>
      <c r="F7998" s="905">
        <f>D7998*E7998</f>
        <v>50</v>
      </c>
      <c r="G7998" s="891">
        <v>0.49</v>
      </c>
    </row>
    <row r="7999" spans="1:120">
      <c r="A7999" s="47"/>
      <c r="B7999" s="893"/>
      <c r="C7999" s="260" t="s">
        <v>1993</v>
      </c>
      <c r="D7999" s="905"/>
      <c r="E7999" s="906"/>
      <c r="F7999" s="894">
        <v>1</v>
      </c>
      <c r="G7999" s="891">
        <v>12</v>
      </c>
    </row>
    <row r="8002" spans="1:118" ht="15">
      <c r="A8002" s="1871" t="s">
        <v>6213</v>
      </c>
      <c r="B8002" s="1871"/>
    </row>
    <row r="8003" spans="1:118" s="1163" customFormat="1" ht="25.5">
      <c r="A8003" s="1166" t="s">
        <v>1369</v>
      </c>
      <c r="B8003" s="1184" t="s">
        <v>377</v>
      </c>
      <c r="C8003" s="1168" t="s">
        <v>1734</v>
      </c>
      <c r="D8003" s="1169" t="s">
        <v>6216</v>
      </c>
      <c r="E8003" s="1169" t="s">
        <v>6217</v>
      </c>
      <c r="F8003" s="1977" t="s">
        <v>1403</v>
      </c>
      <c r="G8003" s="1975" t="s">
        <v>6215</v>
      </c>
    </row>
    <row r="8004" spans="1:118" s="59" customFormat="1" ht="15" customHeight="1">
      <c r="A8004" s="1170" t="s">
        <v>6214</v>
      </c>
      <c r="B8004" s="1187">
        <v>9</v>
      </c>
      <c r="C8004" s="1171" t="s">
        <v>6218</v>
      </c>
      <c r="D8004" s="1174">
        <f>ROUNDUP(F8004/0.6/115,2)</f>
        <v>1.25</v>
      </c>
      <c r="E8004" s="1174">
        <f>D8004*1.5</f>
        <v>1.875</v>
      </c>
      <c r="F8004" s="734">
        <v>86</v>
      </c>
      <c r="G8004" s="1976">
        <f>(D8004-(F8004/115))/D8004</f>
        <v>0.4017391304347826</v>
      </c>
      <c r="H8004" s="1963"/>
      <c r="I8004" s="1963"/>
      <c r="J8004" s="1963"/>
      <c r="K8004" s="1963"/>
      <c r="L8004" s="1963"/>
      <c r="M8004" s="1963"/>
      <c r="N8004" s="1963"/>
      <c r="O8004" s="1963"/>
      <c r="P8004" s="1963"/>
      <c r="Q8004" s="1963"/>
      <c r="R8004" s="1963"/>
      <c r="S8004" s="1963"/>
      <c r="T8004" s="1963"/>
      <c r="U8004" s="1963"/>
      <c r="V8004" s="1963"/>
      <c r="W8004" s="1963"/>
      <c r="X8004" s="1963"/>
      <c r="Y8004" s="1963"/>
      <c r="Z8004" s="1963"/>
      <c r="AA8004" s="1963"/>
      <c r="AB8004" s="1963"/>
      <c r="AC8004" s="1963"/>
      <c r="AD8004" s="1963"/>
      <c r="AE8004" s="1963"/>
      <c r="AF8004" s="1963"/>
      <c r="AG8004" s="1963"/>
      <c r="AH8004" s="1963"/>
      <c r="AI8004" s="1963"/>
      <c r="AJ8004" s="1963"/>
      <c r="AK8004" s="1963"/>
      <c r="AL8004" s="1963"/>
      <c r="AM8004" s="1963"/>
      <c r="AN8004" s="1963"/>
      <c r="AO8004" s="1963"/>
      <c r="AP8004" s="1963"/>
      <c r="AQ8004" s="1963"/>
      <c r="AR8004" s="1963"/>
      <c r="AS8004" s="1963"/>
      <c r="AT8004" s="1963"/>
      <c r="AU8004" s="1963"/>
      <c r="AV8004" s="1963"/>
      <c r="AW8004" s="1963"/>
      <c r="AX8004" s="1963"/>
      <c r="AY8004" s="1963"/>
      <c r="AZ8004" s="1963"/>
      <c r="BA8004" s="1963"/>
      <c r="BB8004" s="1963"/>
      <c r="BC8004" s="1963"/>
      <c r="BD8004" s="1963"/>
      <c r="BE8004" s="1963"/>
      <c r="BF8004" s="1963"/>
      <c r="BG8004" s="1963"/>
      <c r="BH8004" s="1963"/>
      <c r="BI8004" s="1963"/>
      <c r="BJ8004" s="1963"/>
      <c r="BK8004" s="1963"/>
      <c r="BL8004" s="1963"/>
      <c r="BM8004" s="1963"/>
      <c r="BN8004" s="1963"/>
      <c r="BO8004" s="1963"/>
      <c r="BP8004" s="1963"/>
      <c r="BQ8004" s="1963"/>
      <c r="BR8004" s="1963"/>
      <c r="BS8004" s="1963"/>
      <c r="BT8004" s="1963"/>
      <c r="BU8004" s="1963"/>
      <c r="BV8004" s="1963"/>
      <c r="BW8004" s="1963"/>
      <c r="BX8004" s="1963"/>
      <c r="BY8004" s="1963"/>
      <c r="BZ8004" s="1963"/>
      <c r="CA8004" s="1963"/>
      <c r="CB8004" s="1963"/>
      <c r="CC8004" s="1963"/>
      <c r="CD8004" s="1963"/>
      <c r="CE8004" s="1963"/>
      <c r="CF8004" s="1963"/>
      <c r="CG8004" s="1963"/>
      <c r="CH8004" s="1963"/>
      <c r="CI8004" s="1963"/>
      <c r="CJ8004" s="1963"/>
      <c r="CK8004" s="1963"/>
      <c r="CL8004" s="1963"/>
      <c r="CM8004" s="1963"/>
      <c r="CN8004" s="1963"/>
      <c r="CO8004" s="1963"/>
      <c r="CP8004" s="1963"/>
      <c r="CQ8004" s="1963"/>
      <c r="CR8004" s="1963"/>
      <c r="CS8004" s="1963"/>
      <c r="CT8004" s="1963"/>
      <c r="CU8004" s="1963"/>
      <c r="CV8004" s="1963"/>
      <c r="CW8004" s="1963"/>
      <c r="CX8004" s="1963"/>
      <c r="CY8004" s="1963"/>
      <c r="CZ8004" s="1963"/>
      <c r="DA8004" s="1963"/>
      <c r="DB8004" s="1963"/>
      <c r="DC8004" s="1963"/>
      <c r="DD8004" s="1963"/>
      <c r="DE8004" s="1963"/>
      <c r="DF8004" s="1963"/>
      <c r="DG8004" s="1963"/>
      <c r="DH8004" s="1963"/>
      <c r="DI8004" s="1963"/>
      <c r="DJ8004" s="1963"/>
      <c r="DK8004" s="1963"/>
      <c r="DL8004" s="1963"/>
      <c r="DM8004" s="1963"/>
      <c r="DN8004" s="1963"/>
    </row>
    <row r="8005" spans="1:118" s="59" customFormat="1" ht="15" customHeight="1">
      <c r="A8005" s="1170" t="s">
        <v>6214</v>
      </c>
      <c r="B8005" s="1187">
        <v>12</v>
      </c>
      <c r="C8005" s="1171" t="s">
        <v>6218</v>
      </c>
      <c r="D8005" s="1174">
        <f>ROUNDUP(F8005/0.6/115,2)</f>
        <v>1.3800000000000001</v>
      </c>
      <c r="E8005" s="1174">
        <f>D8005*1.5</f>
        <v>2.0700000000000003</v>
      </c>
      <c r="F8005" s="734">
        <v>95</v>
      </c>
      <c r="G8005" s="1976">
        <f>(D8005-(F8005/115))/D8005</f>
        <v>0.40138626339004413</v>
      </c>
      <c r="H8005" s="1963"/>
      <c r="I8005" s="1963"/>
      <c r="J8005" s="1963"/>
      <c r="K8005" s="1963"/>
      <c r="L8005" s="1963"/>
      <c r="M8005" s="1963"/>
      <c r="N8005" s="1963"/>
      <c r="O8005" s="1963"/>
      <c r="P8005" s="1963"/>
      <c r="Q8005" s="1963"/>
      <c r="R8005" s="1963"/>
      <c r="S8005" s="1963"/>
      <c r="T8005" s="1963"/>
      <c r="U8005" s="1963"/>
      <c r="V8005" s="1963"/>
      <c r="W8005" s="1963"/>
      <c r="X8005" s="1963"/>
      <c r="Y8005" s="1963"/>
      <c r="Z8005" s="1963"/>
      <c r="AA8005" s="1963"/>
      <c r="AB8005" s="1963"/>
      <c r="AC8005" s="1963"/>
      <c r="AD8005" s="1963"/>
      <c r="AE8005" s="1963"/>
      <c r="AF8005" s="1963"/>
      <c r="AG8005" s="1963"/>
      <c r="AH8005" s="1963"/>
      <c r="AI8005" s="1963"/>
      <c r="AJ8005" s="1963"/>
      <c r="AK8005" s="1963"/>
      <c r="AL8005" s="1963"/>
      <c r="AM8005" s="1963"/>
      <c r="AN8005" s="1963"/>
      <c r="AO8005" s="1963"/>
      <c r="AP8005" s="1963"/>
      <c r="AQ8005" s="1963"/>
      <c r="AR8005" s="1963"/>
      <c r="AS8005" s="1963"/>
      <c r="AT8005" s="1963"/>
      <c r="AU8005" s="1963"/>
      <c r="AV8005" s="1963"/>
      <c r="AW8005" s="1963"/>
      <c r="AX8005" s="1963"/>
      <c r="AY8005" s="1963"/>
      <c r="AZ8005" s="1963"/>
      <c r="BA8005" s="1963"/>
      <c r="BB8005" s="1963"/>
      <c r="BC8005" s="1963"/>
      <c r="BD8005" s="1963"/>
      <c r="BE8005" s="1963"/>
      <c r="BF8005" s="1963"/>
      <c r="BG8005" s="1963"/>
      <c r="BH8005" s="1963"/>
      <c r="BI8005" s="1963"/>
      <c r="BJ8005" s="1963"/>
      <c r="BK8005" s="1963"/>
      <c r="BL8005" s="1963"/>
      <c r="BM8005" s="1963"/>
      <c r="BN8005" s="1963"/>
      <c r="BO8005" s="1963"/>
      <c r="BP8005" s="1963"/>
      <c r="BQ8005" s="1963"/>
      <c r="BR8005" s="1963"/>
      <c r="BS8005" s="1963"/>
      <c r="BT8005" s="1963"/>
      <c r="BU8005" s="1963"/>
      <c r="BV8005" s="1963"/>
      <c r="BW8005" s="1963"/>
      <c r="BX8005" s="1963"/>
      <c r="BY8005" s="1963"/>
      <c r="BZ8005" s="1963"/>
      <c r="CA8005" s="1963"/>
      <c r="CB8005" s="1963"/>
      <c r="CC8005" s="1963"/>
      <c r="CD8005" s="1963"/>
      <c r="CE8005" s="1963"/>
      <c r="CF8005" s="1963"/>
      <c r="CG8005" s="1963"/>
      <c r="CH8005" s="1963"/>
      <c r="CI8005" s="1963"/>
      <c r="CJ8005" s="1963"/>
      <c r="CK8005" s="1963"/>
      <c r="CL8005" s="1963"/>
      <c r="CM8005" s="1963"/>
      <c r="CN8005" s="1963"/>
      <c r="CO8005" s="1963"/>
      <c r="CP8005" s="1963"/>
      <c r="CQ8005" s="1963"/>
      <c r="CR8005" s="1963"/>
      <c r="CS8005" s="1963"/>
      <c r="CT8005" s="1963"/>
      <c r="CU8005" s="1963"/>
      <c r="CV8005" s="1963"/>
      <c r="CW8005" s="1963"/>
      <c r="CX8005" s="1963"/>
      <c r="CY8005" s="1963"/>
      <c r="CZ8005" s="1963"/>
      <c r="DA8005" s="1963"/>
      <c r="DB8005" s="1963"/>
      <c r="DC8005" s="1963"/>
      <c r="DD8005" s="1963"/>
      <c r="DE8005" s="1963"/>
      <c r="DF8005" s="1963"/>
      <c r="DG8005" s="1963"/>
      <c r="DH8005" s="1963"/>
      <c r="DI8005" s="1963"/>
      <c r="DJ8005" s="1963"/>
      <c r="DK8005" s="1963"/>
      <c r="DL8005" s="1963"/>
      <c r="DM8005" s="1963"/>
      <c r="DN8005" s="1963"/>
    </row>
    <row r="8006" spans="1:118" s="59" customFormat="1" ht="15" customHeight="1">
      <c r="A8006" s="1170" t="s">
        <v>6214</v>
      </c>
      <c r="B8006" s="1187">
        <v>15</v>
      </c>
      <c r="C8006" s="1171" t="s">
        <v>6218</v>
      </c>
      <c r="D8006" s="1174">
        <f>ROUNDUP(F8006/0.6/115,2)</f>
        <v>1.53</v>
      </c>
      <c r="E8006" s="1174">
        <f>D8006*1.5</f>
        <v>2.2949999999999999</v>
      </c>
      <c r="F8006" s="734">
        <v>105</v>
      </c>
      <c r="G8006" s="1976">
        <f>(D8006-(F8006/115))/D8006</f>
        <v>0.40323955669224215</v>
      </c>
      <c r="H8006" s="1963"/>
      <c r="I8006" s="1963"/>
      <c r="J8006" s="1963"/>
      <c r="K8006" s="1963"/>
      <c r="L8006" s="1963"/>
      <c r="M8006" s="1963"/>
      <c r="N8006" s="1963"/>
      <c r="O8006" s="1963"/>
      <c r="P8006" s="1963"/>
      <c r="Q8006" s="1963"/>
      <c r="R8006" s="1963"/>
      <c r="S8006" s="1963"/>
      <c r="T8006" s="1963"/>
      <c r="U8006" s="1963"/>
      <c r="V8006" s="1963"/>
      <c r="W8006" s="1963"/>
      <c r="X8006" s="1963"/>
      <c r="Y8006" s="1963"/>
      <c r="Z8006" s="1963"/>
      <c r="AA8006" s="1963"/>
      <c r="AB8006" s="1963"/>
      <c r="AC8006" s="1963"/>
      <c r="AD8006" s="1963"/>
      <c r="AE8006" s="1963"/>
      <c r="AF8006" s="1963"/>
      <c r="AG8006" s="1963"/>
      <c r="AH8006" s="1963"/>
      <c r="AI8006" s="1963"/>
      <c r="AJ8006" s="1963"/>
      <c r="AK8006" s="1963"/>
      <c r="AL8006" s="1963"/>
      <c r="AM8006" s="1963"/>
      <c r="AN8006" s="1963"/>
      <c r="AO8006" s="1963"/>
      <c r="AP8006" s="1963"/>
      <c r="AQ8006" s="1963"/>
      <c r="AR8006" s="1963"/>
      <c r="AS8006" s="1963"/>
      <c r="AT8006" s="1963"/>
      <c r="AU8006" s="1963"/>
      <c r="AV8006" s="1963"/>
      <c r="AW8006" s="1963"/>
      <c r="AX8006" s="1963"/>
      <c r="AY8006" s="1963"/>
      <c r="AZ8006" s="1963"/>
      <c r="BA8006" s="1963"/>
      <c r="BB8006" s="1963"/>
      <c r="BC8006" s="1963"/>
      <c r="BD8006" s="1963"/>
      <c r="BE8006" s="1963"/>
      <c r="BF8006" s="1963"/>
      <c r="BG8006" s="1963"/>
      <c r="BH8006" s="1963"/>
      <c r="BI8006" s="1963"/>
      <c r="BJ8006" s="1963"/>
      <c r="BK8006" s="1963"/>
      <c r="BL8006" s="1963"/>
      <c r="BM8006" s="1963"/>
      <c r="BN8006" s="1963"/>
      <c r="BO8006" s="1963"/>
      <c r="BP8006" s="1963"/>
      <c r="BQ8006" s="1963"/>
      <c r="BR8006" s="1963"/>
      <c r="BS8006" s="1963"/>
      <c r="BT8006" s="1963"/>
      <c r="BU8006" s="1963"/>
      <c r="BV8006" s="1963"/>
      <c r="BW8006" s="1963"/>
      <c r="BX8006" s="1963"/>
      <c r="BY8006" s="1963"/>
      <c r="BZ8006" s="1963"/>
      <c r="CA8006" s="1963"/>
      <c r="CB8006" s="1963"/>
      <c r="CC8006" s="1963"/>
      <c r="CD8006" s="1963"/>
      <c r="CE8006" s="1963"/>
      <c r="CF8006" s="1963"/>
      <c r="CG8006" s="1963"/>
      <c r="CH8006" s="1963"/>
      <c r="CI8006" s="1963"/>
      <c r="CJ8006" s="1963"/>
      <c r="CK8006" s="1963"/>
      <c r="CL8006" s="1963"/>
      <c r="CM8006" s="1963"/>
      <c r="CN8006" s="1963"/>
      <c r="CO8006" s="1963"/>
      <c r="CP8006" s="1963"/>
      <c r="CQ8006" s="1963"/>
      <c r="CR8006" s="1963"/>
      <c r="CS8006" s="1963"/>
      <c r="CT8006" s="1963"/>
      <c r="CU8006" s="1963"/>
      <c r="CV8006" s="1963"/>
      <c r="CW8006" s="1963"/>
      <c r="CX8006" s="1963"/>
      <c r="CY8006" s="1963"/>
      <c r="CZ8006" s="1963"/>
      <c r="DA8006" s="1963"/>
      <c r="DB8006" s="1963"/>
      <c r="DC8006" s="1963"/>
      <c r="DD8006" s="1963"/>
      <c r="DE8006" s="1963"/>
      <c r="DF8006" s="1963"/>
      <c r="DG8006" s="1963"/>
      <c r="DH8006" s="1963"/>
      <c r="DI8006" s="1963"/>
      <c r="DJ8006" s="1963"/>
      <c r="DK8006" s="1963"/>
      <c r="DL8006" s="1963"/>
      <c r="DM8006" s="1963"/>
      <c r="DN8006" s="1963"/>
    </row>
    <row r="8009" spans="1:118" ht="15">
      <c r="A8009" s="24" t="s">
        <v>6223</v>
      </c>
      <c r="B8009" s="26">
        <v>9</v>
      </c>
      <c r="C8009" s="24" t="s">
        <v>6224</v>
      </c>
      <c r="D8009" s="8">
        <v>15</v>
      </c>
    </row>
    <row r="8010" spans="1:118" ht="15">
      <c r="A8010" s="24" t="s">
        <v>6223</v>
      </c>
      <c r="B8010" s="26">
        <v>12</v>
      </c>
      <c r="C8010" s="24" t="s">
        <v>6224</v>
      </c>
      <c r="D8010" s="8">
        <v>15</v>
      </c>
    </row>
    <row r="8011" spans="1:118" ht="15">
      <c r="A8011" s="24" t="s">
        <v>6223</v>
      </c>
      <c r="B8011" s="26">
        <v>15</v>
      </c>
      <c r="C8011" s="24" t="s">
        <v>6224</v>
      </c>
      <c r="D8011" s="8">
        <v>15</v>
      </c>
    </row>
    <row r="8012" spans="1:118" ht="15">
      <c r="A8012" s="24" t="s">
        <v>6223</v>
      </c>
      <c r="B8012" s="26">
        <v>9</v>
      </c>
      <c r="C8012" s="24" t="s">
        <v>6225</v>
      </c>
      <c r="D8012" s="8">
        <v>5</v>
      </c>
    </row>
    <row r="8013" spans="1:118" ht="15">
      <c r="A8013" s="24" t="s">
        <v>6223</v>
      </c>
      <c r="B8013" s="26">
        <v>12</v>
      </c>
      <c r="C8013" s="24" t="s">
        <v>6225</v>
      </c>
      <c r="D8013" s="8">
        <v>5</v>
      </c>
    </row>
    <row r="8014" spans="1:118" ht="15">
      <c r="A8014" s="24" t="s">
        <v>6223</v>
      </c>
      <c r="B8014" s="26">
        <v>15</v>
      </c>
      <c r="C8014" s="24" t="s">
        <v>6225</v>
      </c>
      <c r="D8014" s="8">
        <v>5</v>
      </c>
    </row>
    <row r="8015" spans="1:118" ht="15">
      <c r="A8015" s="24" t="s">
        <v>6223</v>
      </c>
      <c r="B8015" s="26">
        <v>9</v>
      </c>
      <c r="C8015" s="24" t="s">
        <v>6226</v>
      </c>
      <c r="D8015" s="8">
        <v>5</v>
      </c>
    </row>
    <row r="8016" spans="1:118" ht="15">
      <c r="A8016" s="24" t="s">
        <v>6223</v>
      </c>
      <c r="B8016" s="26">
        <v>12</v>
      </c>
      <c r="C8016" s="24" t="s">
        <v>6226</v>
      </c>
      <c r="D8016" s="8">
        <v>5</v>
      </c>
    </row>
    <row r="8017" spans="1:119" ht="15">
      <c r="A8017" s="24" t="s">
        <v>6223</v>
      </c>
      <c r="B8017" s="26">
        <v>15</v>
      </c>
      <c r="C8017" s="24" t="s">
        <v>6226</v>
      </c>
      <c r="D8017" s="8">
        <v>5</v>
      </c>
    </row>
    <row r="8020" spans="1:119" ht="15">
      <c r="A8020" s="1871" t="s">
        <v>6229</v>
      </c>
      <c r="B8020" s="1871"/>
    </row>
    <row r="8021" spans="1:119" s="1186" customFormat="1">
      <c r="A8021" s="1166" t="s">
        <v>1369</v>
      </c>
      <c r="B8021" s="1184" t="s">
        <v>377</v>
      </c>
      <c r="C8021" s="1168" t="s">
        <v>1734</v>
      </c>
      <c r="D8021" s="1169" t="s">
        <v>6230</v>
      </c>
      <c r="E8021" s="2069" t="s">
        <v>6228</v>
      </c>
      <c r="F8021" s="2037" t="s">
        <v>6080</v>
      </c>
      <c r="G8021" s="2037" t="s">
        <v>6081</v>
      </c>
    </row>
    <row r="8022" spans="1:119" s="1019" customFormat="1" ht="15" customHeight="1">
      <c r="A8022" s="1170" t="s">
        <v>2480</v>
      </c>
      <c r="B8022" s="1146">
        <v>140</v>
      </c>
      <c r="C8022" s="1171" t="s">
        <v>6227</v>
      </c>
      <c r="D8022" s="1174">
        <v>4.38</v>
      </c>
      <c r="E8022" s="1357">
        <f>300+30</f>
        <v>330</v>
      </c>
      <c r="F8022" s="2070">
        <f>(D8022-(E8022/G8022))/D8022</f>
        <v>0.34484812388326386</v>
      </c>
      <c r="G8022" s="2071">
        <v>115</v>
      </c>
      <c r="H8022" s="1191"/>
      <c r="I8022" s="1191"/>
      <c r="J8022" s="1191"/>
      <c r="K8022" s="1191"/>
      <c r="L8022" s="1191"/>
      <c r="M8022" s="1191"/>
      <c r="N8022" s="1191"/>
      <c r="O8022" s="1191"/>
      <c r="P8022" s="1191"/>
      <c r="Q8022" s="1191"/>
      <c r="R8022" s="1191"/>
      <c r="S8022" s="1191"/>
      <c r="T8022" s="1191"/>
      <c r="U8022" s="1191"/>
      <c r="V8022" s="1191"/>
      <c r="W8022" s="1191"/>
      <c r="X8022" s="1191"/>
      <c r="Y8022" s="1191"/>
      <c r="Z8022" s="1191"/>
      <c r="AA8022" s="1191"/>
      <c r="AB8022" s="1191"/>
      <c r="AC8022" s="1191"/>
      <c r="AD8022" s="1191"/>
      <c r="AE8022" s="1191"/>
      <c r="AF8022" s="1191"/>
      <c r="AG8022" s="1191"/>
      <c r="AH8022" s="1191"/>
      <c r="AI8022" s="1191"/>
      <c r="AJ8022" s="1191"/>
      <c r="AK8022" s="1191"/>
      <c r="AL8022" s="1191"/>
      <c r="AM8022" s="1191"/>
      <c r="AN8022" s="1191"/>
      <c r="AO8022" s="1191"/>
      <c r="AP8022" s="1191"/>
      <c r="AQ8022" s="1191"/>
      <c r="AR8022" s="1191"/>
      <c r="AS8022" s="1191"/>
      <c r="AT8022" s="1191"/>
      <c r="AU8022" s="1191"/>
      <c r="AV8022" s="1191"/>
      <c r="AW8022" s="1191"/>
      <c r="AX8022" s="1191"/>
      <c r="AY8022" s="1191"/>
      <c r="AZ8022" s="1191"/>
      <c r="BA8022" s="1191"/>
      <c r="BB8022" s="1191"/>
      <c r="BC8022" s="1191"/>
      <c r="BD8022" s="1191"/>
      <c r="BE8022" s="1191"/>
      <c r="BF8022" s="1191"/>
      <c r="BG8022" s="1191"/>
      <c r="BH8022" s="1191"/>
      <c r="BI8022" s="1191"/>
      <c r="BJ8022" s="1191"/>
      <c r="BK8022" s="1191"/>
      <c r="BL8022" s="1191"/>
      <c r="BM8022" s="1191"/>
      <c r="BN8022" s="1191"/>
      <c r="BO8022" s="1191"/>
      <c r="BP8022" s="1191"/>
      <c r="BQ8022" s="1191"/>
      <c r="BR8022" s="1191"/>
      <c r="BS8022" s="1191"/>
      <c r="BT8022" s="1191"/>
      <c r="BU8022" s="1191"/>
      <c r="BV8022" s="1191"/>
      <c r="BW8022" s="1191"/>
      <c r="BX8022" s="1191"/>
      <c r="BY8022" s="1191"/>
      <c r="BZ8022" s="1191"/>
      <c r="CA8022" s="1191"/>
      <c r="CB8022" s="1191"/>
      <c r="CC8022" s="1191"/>
      <c r="CD8022" s="1191"/>
      <c r="CE8022" s="1191"/>
      <c r="CF8022" s="1191"/>
      <c r="CG8022" s="1191"/>
      <c r="CH8022" s="1191"/>
      <c r="CI8022" s="1191"/>
      <c r="CJ8022" s="1191"/>
      <c r="CK8022" s="1191"/>
      <c r="CL8022" s="1191"/>
      <c r="CM8022" s="1191"/>
      <c r="CN8022" s="1191"/>
      <c r="CO8022" s="1191"/>
      <c r="CP8022" s="1191"/>
      <c r="CQ8022" s="1191"/>
      <c r="CR8022" s="1191"/>
      <c r="CS8022" s="1191"/>
      <c r="CT8022" s="1191"/>
      <c r="CU8022" s="1191"/>
      <c r="CV8022" s="1191"/>
      <c r="CW8022" s="1191"/>
      <c r="CX8022" s="1191"/>
      <c r="CY8022" s="1191"/>
      <c r="CZ8022" s="1191"/>
      <c r="DA8022" s="1191"/>
      <c r="DB8022" s="1191"/>
      <c r="DC8022" s="1191"/>
      <c r="DD8022" s="1191"/>
      <c r="DE8022" s="1191"/>
      <c r="DF8022" s="1191"/>
      <c r="DG8022" s="1191"/>
      <c r="DH8022" s="1191"/>
      <c r="DI8022" s="1191"/>
      <c r="DJ8022" s="1191"/>
      <c r="DK8022" s="1191"/>
      <c r="DL8022" s="1191"/>
      <c r="DM8022" s="1191"/>
    </row>
    <row r="8024" spans="1:119" ht="15">
      <c r="A8024" s="1871" t="s">
        <v>6236</v>
      </c>
      <c r="B8024" s="1871"/>
    </row>
    <row r="8025" spans="1:119" s="1186" customFormat="1">
      <c r="A8025" s="1166" t="s">
        <v>1369</v>
      </c>
      <c r="B8025" s="1184" t="s">
        <v>377</v>
      </c>
      <c r="C8025" s="1168" t="s">
        <v>2317</v>
      </c>
      <c r="D8025" s="1168" t="s">
        <v>6243</v>
      </c>
      <c r="E8025" s="1772" t="s">
        <v>6241</v>
      </c>
      <c r="F8025" s="1169" t="s">
        <v>6230</v>
      </c>
      <c r="G8025" s="2069" t="s">
        <v>6228</v>
      </c>
      <c r="H8025" s="2037" t="s">
        <v>6080</v>
      </c>
      <c r="I8025" s="2037" t="s">
        <v>6081</v>
      </c>
    </row>
    <row r="8026" spans="1:119" s="1019" customFormat="1" ht="15" customHeight="1">
      <c r="A8026" s="909" t="s">
        <v>6240</v>
      </c>
      <c r="B8026" s="1146" t="s">
        <v>6237</v>
      </c>
      <c r="C8026" s="1171" t="s">
        <v>6238</v>
      </c>
      <c r="D8026" s="1171" t="s">
        <v>6244</v>
      </c>
      <c r="E8026" s="909" t="s">
        <v>6239</v>
      </c>
      <c r="F8026" s="990">
        <v>18.27</v>
      </c>
      <c r="G8026" s="1357">
        <f>470+1000</f>
        <v>1470</v>
      </c>
      <c r="H8026" s="2070">
        <f>(F8026-(G8026/I8026))/F8026</f>
        <v>0.30034982508745628</v>
      </c>
      <c r="I8026" s="2071">
        <v>115</v>
      </c>
      <c r="J8026" s="1191"/>
      <c r="K8026" s="1191"/>
      <c r="L8026" s="1191"/>
      <c r="M8026" s="1191"/>
      <c r="N8026" s="1191"/>
      <c r="O8026" s="1191"/>
      <c r="P8026" s="1191"/>
      <c r="Q8026" s="1191"/>
      <c r="R8026" s="1191"/>
      <c r="S8026" s="1191"/>
      <c r="T8026" s="1191"/>
      <c r="U8026" s="1191"/>
      <c r="V8026" s="1191"/>
      <c r="W8026" s="1191"/>
      <c r="X8026" s="1191"/>
      <c r="Y8026" s="1191"/>
      <c r="Z8026" s="1191"/>
      <c r="AA8026" s="1191"/>
      <c r="AB8026" s="1191"/>
      <c r="AC8026" s="1191"/>
      <c r="AD8026" s="1191"/>
      <c r="AE8026" s="1191"/>
      <c r="AF8026" s="1191"/>
      <c r="AG8026" s="1191"/>
      <c r="AH8026" s="1191"/>
      <c r="AI8026" s="1191"/>
      <c r="AJ8026" s="1191"/>
      <c r="AK8026" s="1191"/>
      <c r="AL8026" s="1191"/>
      <c r="AM8026" s="1191"/>
      <c r="AN8026" s="1191"/>
      <c r="AO8026" s="1191"/>
      <c r="AP8026" s="1191"/>
      <c r="AQ8026" s="1191"/>
      <c r="AR8026" s="1191"/>
      <c r="AS8026" s="1191"/>
      <c r="AT8026" s="1191"/>
      <c r="AU8026" s="1191"/>
      <c r="AV8026" s="1191"/>
      <c r="AW8026" s="1191"/>
      <c r="AX8026" s="1191"/>
      <c r="AY8026" s="1191"/>
      <c r="AZ8026" s="1191"/>
      <c r="BA8026" s="1191"/>
      <c r="BB8026" s="1191"/>
      <c r="BC8026" s="1191"/>
      <c r="BD8026" s="1191"/>
      <c r="BE8026" s="1191"/>
      <c r="BF8026" s="1191"/>
      <c r="BG8026" s="1191"/>
      <c r="BH8026" s="1191"/>
      <c r="BI8026" s="1191"/>
      <c r="BJ8026" s="1191"/>
      <c r="BK8026" s="1191"/>
      <c r="BL8026" s="1191"/>
      <c r="BM8026" s="1191"/>
      <c r="BN8026" s="1191"/>
      <c r="BO8026" s="1191"/>
      <c r="BP8026" s="1191"/>
      <c r="BQ8026" s="1191"/>
      <c r="BR8026" s="1191"/>
      <c r="BS8026" s="1191"/>
      <c r="BT8026" s="1191"/>
      <c r="BU8026" s="1191"/>
      <c r="BV8026" s="1191"/>
      <c r="BW8026" s="1191"/>
      <c r="BX8026" s="1191"/>
      <c r="BY8026" s="1191"/>
      <c r="BZ8026" s="1191"/>
      <c r="CA8026" s="1191"/>
      <c r="CB8026" s="1191"/>
      <c r="CC8026" s="1191"/>
      <c r="CD8026" s="1191"/>
      <c r="CE8026" s="1191"/>
      <c r="CF8026" s="1191"/>
      <c r="CG8026" s="1191"/>
      <c r="CH8026" s="1191"/>
      <c r="CI8026" s="1191"/>
      <c r="CJ8026" s="1191"/>
      <c r="CK8026" s="1191"/>
      <c r="CL8026" s="1191"/>
      <c r="CM8026" s="1191"/>
      <c r="CN8026" s="1191"/>
      <c r="CO8026" s="1191"/>
      <c r="CP8026" s="1191"/>
      <c r="CQ8026" s="1191"/>
      <c r="CR8026" s="1191"/>
      <c r="CS8026" s="1191"/>
      <c r="CT8026" s="1191"/>
      <c r="CU8026" s="1191"/>
      <c r="CV8026" s="1191"/>
      <c r="CW8026" s="1191"/>
      <c r="CX8026" s="1191"/>
      <c r="CY8026" s="1191"/>
      <c r="CZ8026" s="1191"/>
      <c r="DA8026" s="1191"/>
      <c r="DB8026" s="1191"/>
      <c r="DC8026" s="1191"/>
      <c r="DD8026" s="1191"/>
      <c r="DE8026" s="1191"/>
      <c r="DF8026" s="1191"/>
      <c r="DG8026" s="1191"/>
      <c r="DH8026" s="1191"/>
      <c r="DI8026" s="1191"/>
      <c r="DJ8026" s="1191"/>
      <c r="DK8026" s="1191"/>
      <c r="DL8026" s="1191"/>
      <c r="DM8026" s="1191"/>
      <c r="DN8026" s="1191"/>
      <c r="DO8026" s="1191"/>
    </row>
    <row r="8027" spans="1:119" s="1019" customFormat="1" ht="15" customHeight="1">
      <c r="A8027" s="909" t="s">
        <v>6240</v>
      </c>
      <c r="B8027" s="1146" t="s">
        <v>6237</v>
      </c>
      <c r="C8027" s="1171" t="s">
        <v>6238</v>
      </c>
      <c r="D8027" s="1171" t="s">
        <v>6244</v>
      </c>
      <c r="E8027" s="909" t="s">
        <v>6242</v>
      </c>
      <c r="F8027" s="990">
        <v>17.87</v>
      </c>
      <c r="G8027" s="1357">
        <f>470+1000+30</f>
        <v>1500</v>
      </c>
      <c r="H8027" s="2070">
        <f>(F8027-(G8027/I8027))/F8027</f>
        <v>0.27009075204982858</v>
      </c>
      <c r="I8027" s="2071">
        <v>115</v>
      </c>
      <c r="J8027" s="1191"/>
      <c r="K8027" s="1191"/>
      <c r="L8027" s="1191"/>
      <c r="M8027" s="1191"/>
      <c r="N8027" s="1191"/>
      <c r="O8027" s="1191"/>
      <c r="P8027" s="1191"/>
      <c r="Q8027" s="1191"/>
      <c r="R8027" s="1191"/>
      <c r="S8027" s="1191"/>
      <c r="T8027" s="1191"/>
      <c r="U8027" s="1191"/>
      <c r="V8027" s="1191"/>
      <c r="W8027" s="1191"/>
      <c r="X8027" s="1191"/>
      <c r="Y8027" s="1191"/>
      <c r="Z8027" s="1191"/>
      <c r="AA8027" s="1191"/>
      <c r="AB8027" s="1191"/>
      <c r="AC8027" s="1191"/>
      <c r="AD8027" s="1191"/>
      <c r="AE8027" s="1191"/>
      <c r="AF8027" s="1191"/>
      <c r="AG8027" s="1191"/>
      <c r="AH8027" s="1191"/>
      <c r="AI8027" s="1191"/>
      <c r="AJ8027" s="1191"/>
      <c r="AK8027" s="1191"/>
      <c r="AL8027" s="1191"/>
      <c r="AM8027" s="1191"/>
      <c r="AN8027" s="1191"/>
      <c r="AO8027" s="1191"/>
      <c r="AP8027" s="1191"/>
      <c r="AQ8027" s="1191"/>
      <c r="AR8027" s="1191"/>
      <c r="AS8027" s="1191"/>
      <c r="AT8027" s="1191"/>
      <c r="AU8027" s="1191"/>
      <c r="AV8027" s="1191"/>
      <c r="AW8027" s="1191"/>
      <c r="AX8027" s="1191"/>
      <c r="AY8027" s="1191"/>
      <c r="AZ8027" s="1191"/>
      <c r="BA8027" s="1191"/>
      <c r="BB8027" s="1191"/>
      <c r="BC8027" s="1191"/>
      <c r="BD8027" s="1191"/>
      <c r="BE8027" s="1191"/>
      <c r="BF8027" s="1191"/>
      <c r="BG8027" s="1191"/>
      <c r="BH8027" s="1191"/>
      <c r="BI8027" s="1191"/>
      <c r="BJ8027" s="1191"/>
      <c r="BK8027" s="1191"/>
      <c r="BL8027" s="1191"/>
      <c r="BM8027" s="1191"/>
      <c r="BN8027" s="1191"/>
      <c r="BO8027" s="1191"/>
      <c r="BP8027" s="1191"/>
      <c r="BQ8027" s="1191"/>
      <c r="BR8027" s="1191"/>
      <c r="BS8027" s="1191"/>
      <c r="BT8027" s="1191"/>
      <c r="BU8027" s="1191"/>
      <c r="BV8027" s="1191"/>
      <c r="BW8027" s="1191"/>
      <c r="BX8027" s="1191"/>
      <c r="BY8027" s="1191"/>
      <c r="BZ8027" s="1191"/>
      <c r="CA8027" s="1191"/>
      <c r="CB8027" s="1191"/>
      <c r="CC8027" s="1191"/>
      <c r="CD8027" s="1191"/>
      <c r="CE8027" s="1191"/>
      <c r="CF8027" s="1191"/>
      <c r="CG8027" s="1191"/>
      <c r="CH8027" s="1191"/>
      <c r="CI8027" s="1191"/>
      <c r="CJ8027" s="1191"/>
      <c r="CK8027" s="1191"/>
      <c r="CL8027" s="1191"/>
      <c r="CM8027" s="1191"/>
      <c r="CN8027" s="1191"/>
      <c r="CO8027" s="1191"/>
      <c r="CP8027" s="1191"/>
      <c r="CQ8027" s="1191"/>
      <c r="CR8027" s="1191"/>
      <c r="CS8027" s="1191"/>
      <c r="CT8027" s="1191"/>
      <c r="CU8027" s="1191"/>
      <c r="CV8027" s="1191"/>
      <c r="CW8027" s="1191"/>
      <c r="CX8027" s="1191"/>
      <c r="CY8027" s="1191"/>
      <c r="CZ8027" s="1191"/>
      <c r="DA8027" s="1191"/>
      <c r="DB8027" s="1191"/>
      <c r="DC8027" s="1191"/>
      <c r="DD8027" s="1191"/>
      <c r="DE8027" s="1191"/>
      <c r="DF8027" s="1191"/>
      <c r="DG8027" s="1191"/>
      <c r="DH8027" s="1191"/>
      <c r="DI8027" s="1191"/>
      <c r="DJ8027" s="1191"/>
      <c r="DK8027" s="1191"/>
      <c r="DL8027" s="1191"/>
      <c r="DM8027" s="1191"/>
      <c r="DN8027" s="1191"/>
      <c r="DO8027" s="1191"/>
    </row>
    <row r="8028" spans="1:119" s="1019" customFormat="1" ht="15" customHeight="1">
      <c r="A8028" s="909" t="s">
        <v>6240</v>
      </c>
      <c r="B8028" s="1146" t="s">
        <v>6237</v>
      </c>
      <c r="C8028" s="1171" t="s">
        <v>6238</v>
      </c>
      <c r="D8028" s="1171" t="s">
        <v>6244</v>
      </c>
      <c r="E8028" s="909" t="s">
        <v>6245</v>
      </c>
      <c r="F8028" s="990">
        <v>17.170000000000002</v>
      </c>
      <c r="G8028" s="1357">
        <f>470+1000+30</f>
        <v>1500</v>
      </c>
      <c r="H8028" s="2070">
        <f>(F8028-(G8028/I8028))/F8028</f>
        <v>0.24033324048517396</v>
      </c>
      <c r="I8028" s="2071">
        <v>115</v>
      </c>
      <c r="J8028" s="1191"/>
      <c r="K8028" s="1191"/>
      <c r="L8028" s="1191"/>
      <c r="M8028" s="1191"/>
      <c r="N8028" s="1191"/>
      <c r="O8028" s="1191"/>
      <c r="P8028" s="1191"/>
      <c r="Q8028" s="1191"/>
      <c r="R8028" s="1191"/>
      <c r="S8028" s="1191"/>
      <c r="T8028" s="1191"/>
      <c r="U8028" s="1191"/>
      <c r="V8028" s="1191"/>
      <c r="W8028" s="1191"/>
      <c r="X8028" s="1191"/>
      <c r="Y8028" s="1191"/>
      <c r="Z8028" s="1191"/>
      <c r="AA8028" s="1191"/>
      <c r="AB8028" s="1191"/>
      <c r="AC8028" s="1191"/>
      <c r="AD8028" s="1191"/>
      <c r="AE8028" s="1191"/>
      <c r="AF8028" s="1191"/>
      <c r="AG8028" s="1191"/>
      <c r="AH8028" s="1191"/>
      <c r="AI8028" s="1191"/>
      <c r="AJ8028" s="1191"/>
      <c r="AK8028" s="1191"/>
      <c r="AL8028" s="1191"/>
      <c r="AM8028" s="1191"/>
      <c r="AN8028" s="1191"/>
      <c r="AO8028" s="1191"/>
      <c r="AP8028" s="1191"/>
      <c r="AQ8028" s="1191"/>
      <c r="AR8028" s="1191"/>
      <c r="AS8028" s="1191"/>
      <c r="AT8028" s="1191"/>
      <c r="AU8028" s="1191"/>
      <c r="AV8028" s="1191"/>
      <c r="AW8028" s="1191"/>
      <c r="AX8028" s="1191"/>
      <c r="AY8028" s="1191"/>
      <c r="AZ8028" s="1191"/>
      <c r="BA8028" s="1191"/>
      <c r="BB8028" s="1191"/>
      <c r="BC8028" s="1191"/>
      <c r="BD8028" s="1191"/>
      <c r="BE8028" s="1191"/>
      <c r="BF8028" s="1191"/>
      <c r="BG8028" s="1191"/>
      <c r="BH8028" s="1191"/>
      <c r="BI8028" s="1191"/>
      <c r="BJ8028" s="1191"/>
      <c r="BK8028" s="1191"/>
      <c r="BL8028" s="1191"/>
      <c r="BM8028" s="1191"/>
      <c r="BN8028" s="1191"/>
      <c r="BO8028" s="1191"/>
      <c r="BP8028" s="1191"/>
      <c r="BQ8028" s="1191"/>
      <c r="BR8028" s="1191"/>
      <c r="BS8028" s="1191"/>
      <c r="BT8028" s="1191"/>
      <c r="BU8028" s="1191"/>
      <c r="BV8028" s="1191"/>
      <c r="BW8028" s="1191"/>
      <c r="BX8028" s="1191"/>
      <c r="BY8028" s="1191"/>
      <c r="BZ8028" s="1191"/>
      <c r="CA8028" s="1191"/>
      <c r="CB8028" s="1191"/>
      <c r="CC8028" s="1191"/>
      <c r="CD8028" s="1191"/>
      <c r="CE8028" s="1191"/>
      <c r="CF8028" s="1191"/>
      <c r="CG8028" s="1191"/>
      <c r="CH8028" s="1191"/>
      <c r="CI8028" s="1191"/>
      <c r="CJ8028" s="1191"/>
      <c r="CK8028" s="1191"/>
      <c r="CL8028" s="1191"/>
      <c r="CM8028" s="1191"/>
      <c r="CN8028" s="1191"/>
      <c r="CO8028" s="1191"/>
      <c r="CP8028" s="1191"/>
      <c r="CQ8028" s="1191"/>
      <c r="CR8028" s="1191"/>
      <c r="CS8028" s="1191"/>
      <c r="CT8028" s="1191"/>
      <c r="CU8028" s="1191"/>
      <c r="CV8028" s="1191"/>
      <c r="CW8028" s="1191"/>
      <c r="CX8028" s="1191"/>
      <c r="CY8028" s="1191"/>
      <c r="CZ8028" s="1191"/>
      <c r="DA8028" s="1191"/>
      <c r="DB8028" s="1191"/>
      <c r="DC8028" s="1191"/>
      <c r="DD8028" s="1191"/>
      <c r="DE8028" s="1191"/>
      <c r="DF8028" s="1191"/>
      <c r="DG8028" s="1191"/>
      <c r="DH8028" s="1191"/>
      <c r="DI8028" s="1191"/>
      <c r="DJ8028" s="1191"/>
      <c r="DK8028" s="1191"/>
      <c r="DL8028" s="1191"/>
      <c r="DM8028" s="1191"/>
      <c r="DN8028" s="1191"/>
      <c r="DO8028" s="1191"/>
    </row>
    <row r="8030" spans="1:119">
      <c r="A8030" s="887" t="s">
        <v>455</v>
      </c>
      <c r="B8030" s="887" t="s">
        <v>52</v>
      </c>
      <c r="C8030" s="887" t="s">
        <v>128</v>
      </c>
      <c r="D8030" s="887" t="s">
        <v>1186</v>
      </c>
      <c r="E8030" s="887" t="s">
        <v>1652</v>
      </c>
      <c r="F8030" s="887" t="s">
        <v>1653</v>
      </c>
      <c r="G8030" s="1783" t="s">
        <v>1323</v>
      </c>
    </row>
    <row r="8031" spans="1:119" s="888" customFormat="1" ht="12.75">
      <c r="A8031" s="47" t="s">
        <v>6214</v>
      </c>
      <c r="B8031" s="48">
        <v>9</v>
      </c>
      <c r="C8031" s="47" t="s">
        <v>6224</v>
      </c>
      <c r="D8031" s="905">
        <v>30</v>
      </c>
      <c r="E8031" s="906">
        <v>1</v>
      </c>
      <c r="F8031" s="905">
        <f>D8031*E8031</f>
        <v>30</v>
      </c>
      <c r="G8031" s="891">
        <v>1.25</v>
      </c>
    </row>
    <row r="8032" spans="1:119" s="888" customFormat="1" ht="12.75">
      <c r="A8032" s="47" t="s">
        <v>6214</v>
      </c>
      <c r="B8032" s="48">
        <v>15</v>
      </c>
      <c r="C8032" s="47" t="s">
        <v>6224</v>
      </c>
      <c r="D8032" s="905">
        <v>30</v>
      </c>
      <c r="E8032" s="906">
        <v>1</v>
      </c>
      <c r="F8032" s="905">
        <f>D8032*E8032</f>
        <v>30</v>
      </c>
      <c r="G8032" s="891">
        <v>1.53</v>
      </c>
    </row>
    <row r="8033" spans="1:7" s="888" customFormat="1" ht="12.75">
      <c r="A8033" s="47" t="s">
        <v>6247</v>
      </c>
      <c r="B8033" s="48">
        <v>9</v>
      </c>
      <c r="C8033" s="47" t="s">
        <v>6225</v>
      </c>
      <c r="D8033" s="905"/>
      <c r="E8033" s="906"/>
      <c r="F8033" s="905">
        <v>5</v>
      </c>
      <c r="G8033" s="891">
        <v>1.88</v>
      </c>
    </row>
    <row r="8034" spans="1:7" s="888" customFormat="1" ht="12.75">
      <c r="A8034" s="47" t="s">
        <v>6247</v>
      </c>
      <c r="B8034" s="48">
        <v>15</v>
      </c>
      <c r="C8034" s="47" t="s">
        <v>6225</v>
      </c>
      <c r="D8034" s="905"/>
      <c r="E8034" s="906"/>
      <c r="F8034" s="905">
        <v>5</v>
      </c>
      <c r="G8034" s="891">
        <v>2.2999999999999998</v>
      </c>
    </row>
    <row r="8035" spans="1:7" s="888" customFormat="1" ht="12.75">
      <c r="A8035" s="47" t="s">
        <v>6247</v>
      </c>
      <c r="B8035" s="48">
        <v>9</v>
      </c>
      <c r="C8035" s="47" t="s">
        <v>6226</v>
      </c>
      <c r="D8035" s="905"/>
      <c r="E8035" s="906"/>
      <c r="F8035" s="905">
        <v>5</v>
      </c>
      <c r="G8035" s="891">
        <v>1.88</v>
      </c>
    </row>
    <row r="8036" spans="1:7" s="888" customFormat="1" ht="12.75">
      <c r="A8036" s="47" t="s">
        <v>6247</v>
      </c>
      <c r="B8036" s="48">
        <v>15</v>
      </c>
      <c r="C8036" s="47" t="s">
        <v>6226</v>
      </c>
      <c r="D8036" s="905"/>
      <c r="E8036" s="906"/>
      <c r="F8036" s="905">
        <v>5</v>
      </c>
      <c r="G8036" s="891">
        <v>2.2999999999999998</v>
      </c>
    </row>
    <row r="8037" spans="1:7" s="888" customFormat="1" ht="12.75">
      <c r="A8037" s="47"/>
      <c r="B8037" s="893"/>
      <c r="C8037" s="260" t="s">
        <v>1993</v>
      </c>
      <c r="D8037" s="905"/>
      <c r="E8037" s="906"/>
      <c r="F8037" s="894">
        <v>1</v>
      </c>
      <c r="G8037" s="891">
        <v>12</v>
      </c>
    </row>
    <row r="8040" spans="1:7">
      <c r="A8040" s="887" t="s">
        <v>455</v>
      </c>
      <c r="B8040" s="887" t="s">
        <v>52</v>
      </c>
      <c r="C8040" s="887" t="s">
        <v>128</v>
      </c>
      <c r="D8040" s="887" t="s">
        <v>1186</v>
      </c>
      <c r="E8040" s="887" t="s">
        <v>1652</v>
      </c>
      <c r="F8040" s="887" t="s">
        <v>1653</v>
      </c>
      <c r="G8040" s="1783" t="s">
        <v>1323</v>
      </c>
    </row>
    <row r="8041" spans="1:7">
      <c r="A8041" s="47">
        <v>3920</v>
      </c>
      <c r="B8041" s="48">
        <v>12</v>
      </c>
      <c r="C8041" s="47" t="s">
        <v>6250</v>
      </c>
      <c r="D8041" s="905">
        <v>30</v>
      </c>
      <c r="E8041" s="906">
        <v>1</v>
      </c>
      <c r="F8041" s="905">
        <f t="shared" ref="F8041:F8051" si="57">D8041*E8041</f>
        <v>30</v>
      </c>
      <c r="G8041" s="891">
        <v>0.54</v>
      </c>
    </row>
    <row r="8042" spans="1:7">
      <c r="A8042" s="47">
        <v>3920</v>
      </c>
      <c r="B8042" s="48">
        <v>12</v>
      </c>
      <c r="C8042" s="47" t="s">
        <v>6251</v>
      </c>
      <c r="D8042" s="905">
        <v>30</v>
      </c>
      <c r="E8042" s="906">
        <v>1</v>
      </c>
      <c r="F8042" s="905">
        <f t="shared" si="57"/>
        <v>30</v>
      </c>
      <c r="G8042" s="891">
        <v>0.54</v>
      </c>
    </row>
    <row r="8043" spans="1:7">
      <c r="A8043" s="47">
        <v>3920</v>
      </c>
      <c r="B8043" s="48">
        <v>12</v>
      </c>
      <c r="C8043" s="47" t="s">
        <v>6252</v>
      </c>
      <c r="D8043" s="905">
        <v>30</v>
      </c>
      <c r="E8043" s="906">
        <v>1</v>
      </c>
      <c r="F8043" s="905">
        <f t="shared" si="57"/>
        <v>30</v>
      </c>
      <c r="G8043" s="891">
        <v>0.54</v>
      </c>
    </row>
    <row r="8044" spans="1:7">
      <c r="A8044" s="47">
        <v>3920</v>
      </c>
      <c r="B8044" s="48">
        <v>12</v>
      </c>
      <c r="C8044" s="47" t="s">
        <v>6253</v>
      </c>
      <c r="D8044" s="905">
        <v>30</v>
      </c>
      <c r="E8044" s="906">
        <v>1</v>
      </c>
      <c r="F8044" s="905">
        <f t="shared" si="57"/>
        <v>30</v>
      </c>
      <c r="G8044" s="891">
        <v>0.54</v>
      </c>
    </row>
    <row r="8045" spans="1:7">
      <c r="A8045" s="47">
        <v>3920</v>
      </c>
      <c r="B8045" s="48">
        <v>12</v>
      </c>
      <c r="C8045" s="47" t="s">
        <v>6254</v>
      </c>
      <c r="D8045" s="905">
        <v>30</v>
      </c>
      <c r="E8045" s="906">
        <v>1</v>
      </c>
      <c r="F8045" s="905">
        <f t="shared" si="57"/>
        <v>30</v>
      </c>
      <c r="G8045" s="891">
        <v>0.54</v>
      </c>
    </row>
    <row r="8046" spans="1:7">
      <c r="A8046" s="47">
        <v>3920</v>
      </c>
      <c r="B8046" s="48">
        <v>12</v>
      </c>
      <c r="C8046" s="47" t="s">
        <v>6255</v>
      </c>
      <c r="D8046" s="905">
        <v>30</v>
      </c>
      <c r="E8046" s="906">
        <v>1</v>
      </c>
      <c r="F8046" s="905">
        <f t="shared" si="57"/>
        <v>30</v>
      </c>
      <c r="G8046" s="891">
        <v>0.54</v>
      </c>
    </row>
    <row r="8047" spans="1:7">
      <c r="A8047" s="47">
        <v>3920</v>
      </c>
      <c r="B8047" s="48">
        <v>12</v>
      </c>
      <c r="C8047" s="47" t="s">
        <v>6256</v>
      </c>
      <c r="D8047" s="905">
        <v>30</v>
      </c>
      <c r="E8047" s="906">
        <v>1</v>
      </c>
      <c r="F8047" s="905">
        <f t="shared" si="57"/>
        <v>30</v>
      </c>
      <c r="G8047" s="891">
        <v>0.54</v>
      </c>
    </row>
    <row r="8048" spans="1:7">
      <c r="A8048" s="47">
        <v>3920</v>
      </c>
      <c r="B8048" s="48">
        <v>19</v>
      </c>
      <c r="C8048" s="47" t="s">
        <v>6257</v>
      </c>
      <c r="D8048" s="905">
        <v>30</v>
      </c>
      <c r="E8048" s="906">
        <v>1</v>
      </c>
      <c r="F8048" s="905">
        <f t="shared" si="57"/>
        <v>30</v>
      </c>
      <c r="G8048" s="891">
        <v>0.76</v>
      </c>
    </row>
    <row r="8049" spans="1:11">
      <c r="A8049" s="47">
        <v>3920</v>
      </c>
      <c r="B8049" s="48">
        <v>19</v>
      </c>
      <c r="C8049" s="47" t="s">
        <v>6258</v>
      </c>
      <c r="D8049" s="905">
        <v>30</v>
      </c>
      <c r="E8049" s="906">
        <v>1</v>
      </c>
      <c r="F8049" s="905">
        <f t="shared" si="57"/>
        <v>30</v>
      </c>
      <c r="G8049" s="891">
        <v>0.76</v>
      </c>
    </row>
    <row r="8050" spans="1:11">
      <c r="A8050" s="47">
        <v>3920</v>
      </c>
      <c r="B8050" s="48">
        <v>19</v>
      </c>
      <c r="C8050" s="47" t="s">
        <v>6259</v>
      </c>
      <c r="D8050" s="905">
        <v>30</v>
      </c>
      <c r="E8050" s="906">
        <v>1</v>
      </c>
      <c r="F8050" s="905">
        <f t="shared" si="57"/>
        <v>30</v>
      </c>
      <c r="G8050" s="891">
        <v>0.76</v>
      </c>
    </row>
    <row r="8051" spans="1:11">
      <c r="A8051" s="47">
        <v>3920</v>
      </c>
      <c r="B8051" s="48">
        <v>19</v>
      </c>
      <c r="C8051" s="47" t="s">
        <v>6260</v>
      </c>
      <c r="D8051" s="905">
        <v>30</v>
      </c>
      <c r="E8051" s="906">
        <v>1</v>
      </c>
      <c r="F8051" s="905">
        <f t="shared" si="57"/>
        <v>30</v>
      </c>
      <c r="G8051" s="891">
        <v>0.76</v>
      </c>
    </row>
    <row r="8052" spans="1:11">
      <c r="A8052" s="47"/>
      <c r="B8052" s="893"/>
      <c r="C8052" s="260" t="s">
        <v>1993</v>
      </c>
      <c r="D8052" s="905"/>
      <c r="E8052" s="906"/>
      <c r="F8052" s="894">
        <v>1</v>
      </c>
      <c r="G8052" s="891">
        <v>12</v>
      </c>
    </row>
    <row r="8054" spans="1:11">
      <c r="A8054" t="s">
        <v>6279</v>
      </c>
    </row>
    <row r="8055" spans="1:11" s="1019" customFormat="1" ht="38.25">
      <c r="A8055" s="1874" t="s">
        <v>6275</v>
      </c>
      <c r="B8055" s="1874" t="s">
        <v>1710</v>
      </c>
      <c r="C8055" s="1874" t="s">
        <v>6284</v>
      </c>
      <c r="D8055" s="1874" t="s">
        <v>6283</v>
      </c>
      <c r="E8055" s="1783" t="s">
        <v>6280</v>
      </c>
      <c r="F8055" s="1783" t="s">
        <v>6285</v>
      </c>
      <c r="G8055" s="2073" t="s">
        <v>6271</v>
      </c>
      <c r="H8055" s="2073" t="s">
        <v>6272</v>
      </c>
      <c r="I8055" s="2037" t="s">
        <v>6080</v>
      </c>
      <c r="J8055" s="2037" t="s">
        <v>6081</v>
      </c>
      <c r="K8055" s="1865" t="s">
        <v>6273</v>
      </c>
    </row>
    <row r="8056" spans="1:11" s="1019" customFormat="1" ht="12.75">
      <c r="A8056" s="2076" t="s">
        <v>6261</v>
      </c>
      <c r="B8056" s="1865" t="s">
        <v>6262</v>
      </c>
      <c r="C8056" s="2077">
        <f>50*20</f>
        <v>1000</v>
      </c>
      <c r="D8056" s="2077" t="s">
        <v>6276</v>
      </c>
      <c r="E8056" s="2078">
        <f>ROUNDUP(G8056/0.6/115,2)</f>
        <v>2.0599999999999996</v>
      </c>
      <c r="F8056" s="2079">
        <f t="shared" ref="F8056:F8066" si="58">E8056*0.7</f>
        <v>1.4419999999999997</v>
      </c>
      <c r="G8056" s="2074">
        <v>142</v>
      </c>
      <c r="H8056" s="2074" t="s">
        <v>6263</v>
      </c>
      <c r="I8056" s="2070">
        <f>(E8056-(G8056/J8056))/E8056</f>
        <v>0.40059096665259591</v>
      </c>
      <c r="J8056" s="2071">
        <v>115</v>
      </c>
      <c r="K8056" s="2075">
        <v>45173</v>
      </c>
    </row>
    <row r="8057" spans="1:11" s="1019" customFormat="1" ht="12.75">
      <c r="A8057" s="2076" t="s">
        <v>6264</v>
      </c>
      <c r="B8057" s="1865" t="s">
        <v>6262</v>
      </c>
      <c r="C8057" s="2077">
        <f>100*6+50</f>
        <v>650</v>
      </c>
      <c r="D8057" s="2077" t="s">
        <v>6277</v>
      </c>
      <c r="E8057" s="2078">
        <f>ROUNDUP(G8057/0.6/115,2)</f>
        <v>3.05</v>
      </c>
      <c r="F8057" s="2079">
        <f t="shared" si="58"/>
        <v>2.1349999999999998</v>
      </c>
      <c r="G8057" s="2074">
        <v>210</v>
      </c>
      <c r="H8057" s="2074" t="s">
        <v>6263</v>
      </c>
      <c r="I8057" s="2070">
        <f>(E8057-(G8057/J8057))/E8057</f>
        <v>0.40128296507483963</v>
      </c>
      <c r="J8057" s="2071">
        <v>115</v>
      </c>
      <c r="K8057" s="2075">
        <v>45173</v>
      </c>
    </row>
    <row r="8058" spans="1:11" s="1019" customFormat="1" ht="12.75">
      <c r="A8058" s="2076" t="s">
        <v>6264</v>
      </c>
      <c r="B8058" s="1865" t="s">
        <v>6265</v>
      </c>
      <c r="C8058" s="2077">
        <f>100*14+50*1</f>
        <v>1450</v>
      </c>
      <c r="D8058" s="2077" t="s">
        <v>6277</v>
      </c>
      <c r="E8058" s="2078">
        <f>ROUNDUP((G8058+H8058)/0.6/115,2)</f>
        <v>4.0599999999999996</v>
      </c>
      <c r="F8058" s="2079">
        <f t="shared" si="58"/>
        <v>2.8419999999999996</v>
      </c>
      <c r="G8058" s="2074">
        <v>210</v>
      </c>
      <c r="H8058" s="2074">
        <v>70</v>
      </c>
      <c r="I8058" s="2070">
        <f>(E8058-((G8058+H8058)/J8058))/E8058</f>
        <v>0.40029985007496244</v>
      </c>
      <c r="J8058" s="2071">
        <v>115</v>
      </c>
      <c r="K8058" s="2075">
        <v>45173</v>
      </c>
    </row>
    <row r="8059" spans="1:11" s="1019" customFormat="1" ht="12.75">
      <c r="A8059" s="2076" t="s">
        <v>6266</v>
      </c>
      <c r="B8059" s="1865" t="s">
        <v>6262</v>
      </c>
      <c r="C8059" s="2077">
        <f>100*10</f>
        <v>1000</v>
      </c>
      <c r="D8059" s="2077" t="s">
        <v>6277</v>
      </c>
      <c r="E8059" s="2078">
        <f>ROUNDUP(G8059/0.6/115,2)</f>
        <v>1.93</v>
      </c>
      <c r="F8059" s="2079">
        <f t="shared" si="58"/>
        <v>1.351</v>
      </c>
      <c r="G8059" s="2074">
        <v>133</v>
      </c>
      <c r="H8059" s="2074" t="s">
        <v>6263</v>
      </c>
      <c r="I8059" s="2070">
        <f>(E8059-(G8059/J8059))/E8059</f>
        <v>0.40076593827438611</v>
      </c>
      <c r="J8059" s="2071">
        <v>115</v>
      </c>
      <c r="K8059" s="2075">
        <v>45173</v>
      </c>
    </row>
    <row r="8060" spans="1:11" s="1019" customFormat="1" ht="12.75">
      <c r="A8060" s="2076" t="s">
        <v>6267</v>
      </c>
      <c r="B8060" s="1865" t="s">
        <v>6262</v>
      </c>
      <c r="C8060" s="2077">
        <f>200*13+190*1</f>
        <v>2790</v>
      </c>
      <c r="D8060" s="2077" t="s">
        <v>6278</v>
      </c>
      <c r="E8060" s="2078">
        <f>ROUNDUP(G8060/0.6/115,2)</f>
        <v>0.76</v>
      </c>
      <c r="F8060" s="2079">
        <f t="shared" si="58"/>
        <v>0.53199999999999992</v>
      </c>
      <c r="G8060" s="2074">
        <v>52</v>
      </c>
      <c r="H8060" s="2074" t="s">
        <v>6263</v>
      </c>
      <c r="I8060" s="2070">
        <f>(E8060-(G8060/J8060))/E8060</f>
        <v>0.40503432494279179</v>
      </c>
      <c r="J8060" s="2071">
        <v>115</v>
      </c>
      <c r="K8060" s="2075">
        <v>45173</v>
      </c>
    </row>
    <row r="8061" spans="1:11" s="1019" customFormat="1" ht="12.75">
      <c r="A8061" s="2076" t="s">
        <v>6267</v>
      </c>
      <c r="B8061" s="1865" t="s">
        <v>6265</v>
      </c>
      <c r="C8061" s="2077">
        <f>200*7</f>
        <v>1400</v>
      </c>
      <c r="D8061" s="2077" t="s">
        <v>6278</v>
      </c>
      <c r="E8061" s="2078">
        <f>ROUNDUP((G8061+H8061)/0.6/115,2)</f>
        <v>1.77</v>
      </c>
      <c r="F8061" s="2079">
        <f t="shared" si="58"/>
        <v>1.2389999999999999</v>
      </c>
      <c r="G8061" s="2074">
        <v>52</v>
      </c>
      <c r="H8061" s="2074">
        <v>70</v>
      </c>
      <c r="I8061" s="2070">
        <f>(E8061-((G8061+H8061)/J8061))/E8061</f>
        <v>0.40063866371898793</v>
      </c>
      <c r="J8061" s="2071">
        <v>115</v>
      </c>
      <c r="K8061" s="2075">
        <v>45173</v>
      </c>
    </row>
    <row r="8062" spans="1:11" s="1019" customFormat="1" ht="12.75">
      <c r="A8062" s="2076" t="s">
        <v>6268</v>
      </c>
      <c r="B8062" s="1865" t="s">
        <v>6262</v>
      </c>
      <c r="C8062" s="2077">
        <f>200*2+140</f>
        <v>540</v>
      </c>
      <c r="D8062" s="2077" t="s">
        <v>6278</v>
      </c>
      <c r="E8062" s="2078">
        <f>ROUNDUP(G8062/0.6/115,2)</f>
        <v>0.95</v>
      </c>
      <c r="F8062" s="2079">
        <f t="shared" si="58"/>
        <v>0.66499999999999992</v>
      </c>
      <c r="G8062" s="2074">
        <v>65</v>
      </c>
      <c r="H8062" s="2074" t="s">
        <v>6263</v>
      </c>
      <c r="I8062" s="2070">
        <f>(E8062-(G8062/J8062))/E8062</f>
        <v>0.40503432494279179</v>
      </c>
      <c r="J8062" s="2071">
        <v>115</v>
      </c>
      <c r="K8062" s="2075">
        <v>45173</v>
      </c>
    </row>
    <row r="8063" spans="1:11" s="1019" customFormat="1" ht="12.75">
      <c r="A8063" s="2076" t="s">
        <v>6268</v>
      </c>
      <c r="B8063" s="1865" t="s">
        <v>6265</v>
      </c>
      <c r="C8063" s="2077">
        <v>80</v>
      </c>
      <c r="D8063" s="2077" t="s">
        <v>6282</v>
      </c>
      <c r="E8063" s="2078">
        <f>ROUNDUP((G8063+H8063)/0.6/115,2)</f>
        <v>1.96</v>
      </c>
      <c r="F8063" s="2079">
        <f t="shared" si="58"/>
        <v>1.3719999999999999</v>
      </c>
      <c r="G8063" s="2074">
        <v>65</v>
      </c>
      <c r="H8063" s="2074">
        <v>70</v>
      </c>
      <c r="I8063" s="2070">
        <f>(E8063-((G8063+H8063)/J8063))/E8063</f>
        <v>0.40106477373558114</v>
      </c>
      <c r="J8063" s="2071">
        <v>115</v>
      </c>
      <c r="K8063" s="2075">
        <v>45173</v>
      </c>
    </row>
    <row r="8064" spans="1:11" s="1019" customFormat="1" ht="12.75">
      <c r="A8064" s="2076" t="s">
        <v>6269</v>
      </c>
      <c r="B8064" s="1865" t="s">
        <v>6265</v>
      </c>
      <c r="C8064" s="2077">
        <v>132</v>
      </c>
      <c r="D8064" s="2077" t="s">
        <v>6282</v>
      </c>
      <c r="E8064" s="2078">
        <f>ROUNDUP((G8064+H8064)/0.6/115,2)</f>
        <v>2.73</v>
      </c>
      <c r="F8064" s="2079">
        <f t="shared" si="58"/>
        <v>1.9109999999999998</v>
      </c>
      <c r="G8064" s="2074">
        <v>108</v>
      </c>
      <c r="H8064" s="2074">
        <v>80</v>
      </c>
      <c r="I8064" s="2070">
        <f>(E8064-((G8064+H8064)/J8064))/E8064</f>
        <v>0.40117853161331418</v>
      </c>
      <c r="J8064" s="2071">
        <v>115</v>
      </c>
      <c r="K8064" s="2075">
        <v>45173</v>
      </c>
    </row>
    <row r="8065" spans="1:11" s="1019" customFormat="1" ht="12.75">
      <c r="A8065" s="2076" t="s">
        <v>6270</v>
      </c>
      <c r="B8065" s="1865" t="s">
        <v>6262</v>
      </c>
      <c r="C8065" s="2077">
        <f>200*15+50*1</f>
        <v>3050</v>
      </c>
      <c r="D8065" s="2077" t="s">
        <v>6278</v>
      </c>
      <c r="E8065" s="2078">
        <f>ROUNDUP(G8065/0.6/115,2)</f>
        <v>1.19</v>
      </c>
      <c r="F8065" s="2079">
        <f t="shared" si="58"/>
        <v>0.83299999999999996</v>
      </c>
      <c r="G8065" s="2074">
        <v>82</v>
      </c>
      <c r="H8065" s="2074"/>
      <c r="I8065" s="2070">
        <f>(E8065-(G8065/J8065))/E8065</f>
        <v>0.40080379978078184</v>
      </c>
      <c r="J8065" s="2071">
        <v>115</v>
      </c>
      <c r="K8065" s="2075">
        <v>45173</v>
      </c>
    </row>
    <row r="8066" spans="1:11" s="1019" customFormat="1" ht="12.75">
      <c r="A8066" s="2076" t="s">
        <v>6270</v>
      </c>
      <c r="B8066" s="1865" t="s">
        <v>6281</v>
      </c>
      <c r="C8066" s="2077">
        <f>200*15+130*1</f>
        <v>3130</v>
      </c>
      <c r="D8066" s="2077" t="s">
        <v>6278</v>
      </c>
      <c r="E8066" s="2078">
        <f>ROUNDUP(G8066/0.6/115,2)</f>
        <v>1.58</v>
      </c>
      <c r="F8066" s="2079">
        <f t="shared" si="58"/>
        <v>1.1059999999999999</v>
      </c>
      <c r="G8066" s="2074">
        <v>109</v>
      </c>
      <c r="H8066" s="2074" t="s">
        <v>6274</v>
      </c>
      <c r="I8066" s="2070">
        <f>(E8066-(G8066/J8066))/E8066</f>
        <v>0.4001100715465053</v>
      </c>
      <c r="J8066" s="2071">
        <v>115</v>
      </c>
      <c r="K8066" s="2075">
        <v>45173</v>
      </c>
    </row>
    <row r="8067" spans="1:11" s="1019" customFormat="1" ht="12.75">
      <c r="A8067" s="1019" t="s">
        <v>6286</v>
      </c>
    </row>
    <row r="8068" spans="1:11" s="1019" customFormat="1" ht="12.75">
      <c r="A8068" s="1019" t="s">
        <v>6287</v>
      </c>
    </row>
    <row r="8069" spans="1:11" s="1019" customFormat="1" ht="12.75">
      <c r="A8069" s="1019" t="s">
        <v>6288</v>
      </c>
    </row>
    <row r="8070" spans="1:11" s="1019" customFormat="1" ht="12.75">
      <c r="A8070" s="1019" t="s">
        <v>6289</v>
      </c>
    </row>
    <row r="8071" spans="1:11" s="1019" customFormat="1" ht="12.75"/>
    <row r="8072" spans="1:11">
      <c r="A8072" s="887" t="s">
        <v>455</v>
      </c>
      <c r="B8072" s="887" t="s">
        <v>52</v>
      </c>
      <c r="C8072" s="887" t="s">
        <v>128</v>
      </c>
      <c r="D8072" s="887" t="s">
        <v>1186</v>
      </c>
      <c r="E8072" s="887" t="s">
        <v>1652</v>
      </c>
      <c r="F8072" s="887" t="s">
        <v>1653</v>
      </c>
      <c r="G8072" s="2030" t="s">
        <v>6297</v>
      </c>
      <c r="H8072" s="2030" t="s">
        <v>2245</v>
      </c>
    </row>
    <row r="8073" spans="1:11">
      <c r="A8073" s="47" t="s">
        <v>6294</v>
      </c>
      <c r="B8073" s="48">
        <v>20</v>
      </c>
      <c r="C8073" s="47" t="s">
        <v>6295</v>
      </c>
      <c r="D8073" s="905">
        <v>30</v>
      </c>
      <c r="E8073" s="906">
        <v>1</v>
      </c>
      <c r="F8073" s="905">
        <f>D8073*E8073</f>
        <v>30</v>
      </c>
      <c r="G8073" s="891">
        <v>1.49</v>
      </c>
      <c r="H8073" s="891">
        <f>G8073*F8073</f>
        <v>44.7</v>
      </c>
    </row>
    <row r="8074" spans="1:11">
      <c r="A8074" s="47"/>
      <c r="B8074" s="893"/>
      <c r="C8074" s="260" t="s">
        <v>1993</v>
      </c>
      <c r="D8074" s="905"/>
      <c r="E8074" s="906">
        <v>1</v>
      </c>
      <c r="F8074" s="894">
        <v>1</v>
      </c>
      <c r="G8074" s="891">
        <v>12</v>
      </c>
      <c r="H8074" s="891">
        <f>G8074*F8074</f>
        <v>12</v>
      </c>
    </row>
    <row r="8075" spans="1:11">
      <c r="G8075" s="2030" t="s">
        <v>6296</v>
      </c>
      <c r="H8075" s="919">
        <f>SUM(H8073:H8074)</f>
        <v>56.7</v>
      </c>
    </row>
    <row r="8078" spans="1:11">
      <c r="A8078" s="887" t="s">
        <v>455</v>
      </c>
      <c r="B8078" s="887" t="s">
        <v>128</v>
      </c>
      <c r="C8078" s="887" t="s">
        <v>1186</v>
      </c>
      <c r="D8078" s="887" t="s">
        <v>1652</v>
      </c>
      <c r="E8078" s="887" t="s">
        <v>1653</v>
      </c>
      <c r="F8078" s="2030" t="s">
        <v>6297</v>
      </c>
    </row>
    <row r="8079" spans="1:11">
      <c r="A8079" s="47" t="s">
        <v>1219</v>
      </c>
      <c r="B8079" s="47" t="s">
        <v>17</v>
      </c>
      <c r="C8079" s="905">
        <v>50</v>
      </c>
      <c r="D8079" s="906">
        <v>40</v>
      </c>
      <c r="E8079" s="905">
        <f>C8079*D8079</f>
        <v>2000</v>
      </c>
      <c r="F8079" s="891">
        <v>0.3</v>
      </c>
    </row>
    <row r="8080" spans="1:11">
      <c r="A8080" s="47" t="s">
        <v>5772</v>
      </c>
      <c r="B8080" s="47" t="s">
        <v>17</v>
      </c>
      <c r="C8080" s="905">
        <v>50</v>
      </c>
      <c r="D8080" s="906">
        <v>60</v>
      </c>
      <c r="E8080" s="905">
        <f>C8080*D8080</f>
        <v>3000</v>
      </c>
      <c r="F8080" s="891">
        <v>0.26</v>
      </c>
    </row>
    <row r="8081" spans="1:7">
      <c r="A8081" s="47"/>
      <c r="B8081" s="260" t="s">
        <v>1993</v>
      </c>
      <c r="C8081" s="905"/>
      <c r="D8081" s="906"/>
      <c r="E8081" s="894">
        <v>1</v>
      </c>
      <c r="F8081" s="891">
        <v>12</v>
      </c>
    </row>
    <row r="8085" spans="1:7">
      <c r="A8085" s="887" t="s">
        <v>455</v>
      </c>
      <c r="B8085" s="887" t="s">
        <v>377</v>
      </c>
      <c r="C8085" s="887" t="s">
        <v>128</v>
      </c>
      <c r="D8085" s="887" t="s">
        <v>1186</v>
      </c>
      <c r="E8085" s="887" t="s">
        <v>1652</v>
      </c>
      <c r="F8085" s="887" t="s">
        <v>1653</v>
      </c>
      <c r="G8085" s="967" t="s">
        <v>6304</v>
      </c>
    </row>
    <row r="8086" spans="1:7">
      <c r="A8086" s="47" t="s">
        <v>536</v>
      </c>
      <c r="B8086" s="907">
        <v>160</v>
      </c>
      <c r="C8086" s="47" t="s">
        <v>6300</v>
      </c>
      <c r="D8086" s="905">
        <v>50</v>
      </c>
      <c r="E8086" s="906">
        <v>5</v>
      </c>
      <c r="F8086" s="905">
        <f>D8086*E8086</f>
        <v>250</v>
      </c>
      <c r="G8086" s="236"/>
    </row>
    <row r="8087" spans="1:7">
      <c r="A8087" s="47" t="s">
        <v>536</v>
      </c>
      <c r="B8087" s="907">
        <v>160</v>
      </c>
      <c r="C8087" s="47" t="s">
        <v>6301</v>
      </c>
      <c r="D8087" s="905">
        <v>50</v>
      </c>
      <c r="E8087" s="906">
        <v>1</v>
      </c>
      <c r="F8087" s="905">
        <f>D8087*E8087</f>
        <v>50</v>
      </c>
      <c r="G8087" s="236"/>
    </row>
    <row r="8088" spans="1:7">
      <c r="A8088" s="47" t="s">
        <v>536</v>
      </c>
      <c r="B8088" s="907">
        <v>160</v>
      </c>
      <c r="C8088" s="47" t="s">
        <v>859</v>
      </c>
      <c r="D8088" s="905">
        <v>50</v>
      </c>
      <c r="E8088" s="906">
        <v>2</v>
      </c>
      <c r="F8088" s="905">
        <f>D8088*E8088</f>
        <v>100</v>
      </c>
      <c r="G8088" s="236"/>
    </row>
    <row r="8089" spans="1:7">
      <c r="A8089" s="889"/>
      <c r="B8089" s="907"/>
      <c r="C8089" s="47"/>
      <c r="D8089" s="903"/>
      <c r="E8089" s="904"/>
      <c r="F8089" s="903"/>
      <c r="G8089" s="236"/>
    </row>
    <row r="8090" spans="1:7">
      <c r="A8090" s="47">
        <v>2440</v>
      </c>
      <c r="B8090" s="907">
        <v>140</v>
      </c>
      <c r="C8090" s="47" t="s">
        <v>30</v>
      </c>
      <c r="D8090" s="905">
        <v>58</v>
      </c>
      <c r="E8090" s="906">
        <v>2</v>
      </c>
      <c r="F8090" s="905">
        <f t="shared" ref="F8090:F8096" si="59">D8090*E8090</f>
        <v>116</v>
      </c>
      <c r="G8090" s="236"/>
    </row>
    <row r="8091" spans="1:7">
      <c r="A8091" s="47">
        <v>2440</v>
      </c>
      <c r="B8091" s="907">
        <v>140</v>
      </c>
      <c r="C8091" s="47" t="s">
        <v>1547</v>
      </c>
      <c r="D8091" s="905">
        <v>58</v>
      </c>
      <c r="E8091" s="906">
        <v>3</v>
      </c>
      <c r="F8091" s="905">
        <f t="shared" si="59"/>
        <v>174</v>
      </c>
      <c r="G8091" s="236"/>
    </row>
    <row r="8092" spans="1:7">
      <c r="A8092" s="47">
        <v>2440</v>
      </c>
      <c r="B8092" s="907">
        <v>140</v>
      </c>
      <c r="C8092" s="47" t="s">
        <v>2010</v>
      </c>
      <c r="D8092" s="905">
        <v>58</v>
      </c>
      <c r="E8092" s="906">
        <v>3</v>
      </c>
      <c r="F8092" s="905">
        <f t="shared" si="59"/>
        <v>174</v>
      </c>
      <c r="G8092" s="236"/>
    </row>
    <row r="8093" spans="1:7">
      <c r="A8093" s="47">
        <v>2440</v>
      </c>
      <c r="B8093" s="907">
        <v>140</v>
      </c>
      <c r="C8093" s="47" t="s">
        <v>1298</v>
      </c>
      <c r="D8093" s="905">
        <v>58</v>
      </c>
      <c r="E8093" s="906">
        <v>9</v>
      </c>
      <c r="F8093" s="905">
        <f t="shared" si="59"/>
        <v>522</v>
      </c>
      <c r="G8093" s="236"/>
    </row>
    <row r="8094" spans="1:7">
      <c r="A8094" s="47">
        <v>2440</v>
      </c>
      <c r="B8094" s="907">
        <v>140</v>
      </c>
      <c r="C8094" s="47" t="s">
        <v>620</v>
      </c>
      <c r="D8094" s="905">
        <v>58</v>
      </c>
      <c r="E8094" s="906">
        <v>15</v>
      </c>
      <c r="F8094" s="905">
        <f t="shared" si="59"/>
        <v>870</v>
      </c>
      <c r="G8094" s="236"/>
    </row>
    <row r="8095" spans="1:7">
      <c r="A8095" s="47">
        <v>2440</v>
      </c>
      <c r="B8095" s="907">
        <v>140</v>
      </c>
      <c r="C8095" s="47" t="s">
        <v>6302</v>
      </c>
      <c r="D8095" s="905">
        <v>58</v>
      </c>
      <c r="E8095" s="906">
        <v>3</v>
      </c>
      <c r="F8095" s="905">
        <f t="shared" si="59"/>
        <v>174</v>
      </c>
      <c r="G8095" s="236"/>
    </row>
    <row r="8096" spans="1:7">
      <c r="A8096" s="47">
        <v>2440</v>
      </c>
      <c r="B8096" s="907">
        <v>140</v>
      </c>
      <c r="C8096" s="47" t="s">
        <v>6303</v>
      </c>
      <c r="D8096" s="905">
        <v>58</v>
      </c>
      <c r="E8096" s="906">
        <v>1</v>
      </c>
      <c r="F8096" s="905">
        <f t="shared" si="59"/>
        <v>58</v>
      </c>
      <c r="G8096" s="236"/>
    </row>
    <row r="8098" spans="1:8">
      <c r="A8098" s="887" t="s">
        <v>455</v>
      </c>
      <c r="B8098" s="887" t="s">
        <v>377</v>
      </c>
      <c r="C8098" s="887" t="s">
        <v>128</v>
      </c>
      <c r="D8098" s="887" t="s">
        <v>1186</v>
      </c>
      <c r="E8098" s="887" t="s">
        <v>1652</v>
      </c>
      <c r="F8098" s="887" t="s">
        <v>1653</v>
      </c>
      <c r="G8098" s="2030" t="s">
        <v>1323</v>
      </c>
      <c r="H8098" s="2030" t="s">
        <v>3452</v>
      </c>
    </row>
    <row r="8099" spans="1:8">
      <c r="A8099" s="47" t="s">
        <v>536</v>
      </c>
      <c r="B8099" s="1146">
        <v>160</v>
      </c>
      <c r="C8099" s="47" t="s">
        <v>6300</v>
      </c>
      <c r="D8099" s="49">
        <v>50</v>
      </c>
      <c r="E8099" s="1213">
        <v>5</v>
      </c>
      <c r="F8099" s="49">
        <f>D8099*E8099</f>
        <v>250</v>
      </c>
      <c r="G8099" s="891">
        <v>5</v>
      </c>
      <c r="H8099" s="1088" t="s">
        <v>6305</v>
      </c>
    </row>
    <row r="8100" spans="1:8">
      <c r="A8100" s="47" t="s">
        <v>536</v>
      </c>
      <c r="B8100" s="1146">
        <v>160</v>
      </c>
      <c r="C8100" s="47" t="s">
        <v>6301</v>
      </c>
      <c r="D8100" s="49">
        <v>50</v>
      </c>
      <c r="E8100" s="1213">
        <v>1</v>
      </c>
      <c r="F8100" s="49">
        <f>D8100*E8100</f>
        <v>50</v>
      </c>
      <c r="G8100" s="891">
        <v>5</v>
      </c>
      <c r="H8100" s="1088" t="s">
        <v>6306</v>
      </c>
    </row>
    <row r="8101" spans="1:8">
      <c r="A8101" s="47" t="s">
        <v>536</v>
      </c>
      <c r="B8101" s="1146">
        <v>160</v>
      </c>
      <c r="C8101" s="47" t="s">
        <v>859</v>
      </c>
      <c r="D8101" s="49">
        <v>50</v>
      </c>
      <c r="E8101" s="1213">
        <v>2</v>
      </c>
      <c r="F8101" s="49">
        <f>D8101*E8101</f>
        <v>100</v>
      </c>
      <c r="G8101" s="891">
        <v>5</v>
      </c>
      <c r="H8101" s="1088" t="s">
        <v>6306</v>
      </c>
    </row>
    <row r="8102" spans="1:8">
      <c r="A8102" s="889"/>
      <c r="B8102" s="1146"/>
      <c r="C8102" s="47"/>
      <c r="D8102" s="948"/>
      <c r="E8102" s="949"/>
      <c r="F8102" s="948"/>
      <c r="G8102" s="916"/>
      <c r="H8102" s="39"/>
    </row>
    <row r="8103" spans="1:8">
      <c r="A8103" s="47">
        <v>2440</v>
      </c>
      <c r="B8103" s="1146">
        <v>140</v>
      </c>
      <c r="C8103" s="47" t="s">
        <v>30</v>
      </c>
      <c r="D8103" s="49">
        <v>58</v>
      </c>
      <c r="E8103" s="1213">
        <v>2</v>
      </c>
      <c r="F8103" s="49">
        <f t="shared" ref="F8103:F8109" si="60">D8103*E8103</f>
        <v>116</v>
      </c>
      <c r="G8103" s="891">
        <v>3.89</v>
      </c>
      <c r="H8103" s="1088" t="s">
        <v>6306</v>
      </c>
    </row>
    <row r="8104" spans="1:8">
      <c r="A8104" s="47">
        <v>2440</v>
      </c>
      <c r="B8104" s="1146">
        <v>140</v>
      </c>
      <c r="C8104" s="47" t="s">
        <v>1547</v>
      </c>
      <c r="D8104" s="49">
        <v>58</v>
      </c>
      <c r="E8104" s="1213">
        <v>3</v>
      </c>
      <c r="F8104" s="49">
        <f t="shared" si="60"/>
        <v>174</v>
      </c>
      <c r="G8104" s="891">
        <v>3.89</v>
      </c>
      <c r="H8104" s="1088" t="s">
        <v>6306</v>
      </c>
    </row>
    <row r="8105" spans="1:8">
      <c r="A8105" s="47">
        <v>2440</v>
      </c>
      <c r="B8105" s="1146">
        <v>140</v>
      </c>
      <c r="C8105" s="47" t="s">
        <v>2010</v>
      </c>
      <c r="D8105" s="49">
        <v>58</v>
      </c>
      <c r="E8105" s="1213">
        <v>3</v>
      </c>
      <c r="F8105" s="49">
        <f t="shared" si="60"/>
        <v>174</v>
      </c>
      <c r="G8105" s="891">
        <v>3.89</v>
      </c>
      <c r="H8105" s="1088" t="s">
        <v>6306</v>
      </c>
    </row>
    <row r="8106" spans="1:8">
      <c r="A8106" s="47">
        <v>2440</v>
      </c>
      <c r="B8106" s="1146">
        <v>140</v>
      </c>
      <c r="C8106" s="47" t="s">
        <v>1298</v>
      </c>
      <c r="D8106" s="49">
        <v>58</v>
      </c>
      <c r="E8106" s="1213">
        <v>9</v>
      </c>
      <c r="F8106" s="49">
        <f t="shared" si="60"/>
        <v>522</v>
      </c>
      <c r="G8106" s="891">
        <v>3.89</v>
      </c>
      <c r="H8106" s="1088" t="s">
        <v>6306</v>
      </c>
    </row>
    <row r="8107" spans="1:8">
      <c r="A8107" s="47">
        <v>2440</v>
      </c>
      <c r="B8107" s="1146">
        <v>140</v>
      </c>
      <c r="C8107" s="47" t="s">
        <v>620</v>
      </c>
      <c r="D8107" s="49">
        <v>58</v>
      </c>
      <c r="E8107" s="1213">
        <v>15</v>
      </c>
      <c r="F8107" s="49">
        <f t="shared" si="60"/>
        <v>870</v>
      </c>
      <c r="G8107" s="891">
        <v>3.89</v>
      </c>
      <c r="H8107" s="1088" t="s">
        <v>6306</v>
      </c>
    </row>
    <row r="8108" spans="1:8">
      <c r="A8108" s="47">
        <v>2440</v>
      </c>
      <c r="B8108" s="1146">
        <v>140</v>
      </c>
      <c r="C8108" s="47" t="s">
        <v>6302</v>
      </c>
      <c r="D8108" s="49">
        <v>58</v>
      </c>
      <c r="E8108" s="1213">
        <v>3</v>
      </c>
      <c r="F8108" s="49">
        <f t="shared" si="60"/>
        <v>174</v>
      </c>
      <c r="G8108" s="891">
        <v>3.89</v>
      </c>
      <c r="H8108" s="1088" t="s">
        <v>6306</v>
      </c>
    </row>
    <row r="8109" spans="1:8">
      <c r="A8109" s="47">
        <v>2440</v>
      </c>
      <c r="B8109" s="1146">
        <v>140</v>
      </c>
      <c r="C8109" s="47" t="s">
        <v>6303</v>
      </c>
      <c r="D8109" s="49">
        <v>58</v>
      </c>
      <c r="E8109" s="1213">
        <v>1</v>
      </c>
      <c r="F8109" s="49">
        <f t="shared" si="60"/>
        <v>58</v>
      </c>
      <c r="G8109" s="891">
        <v>3.89</v>
      </c>
      <c r="H8109" s="1088" t="s">
        <v>6306</v>
      </c>
    </row>
    <row r="8113" spans="1:7">
      <c r="A8113" s="887" t="s">
        <v>455</v>
      </c>
      <c r="B8113" s="887" t="s">
        <v>128</v>
      </c>
      <c r="C8113" s="887" t="s">
        <v>1186</v>
      </c>
      <c r="D8113" s="887" t="s">
        <v>1652</v>
      </c>
      <c r="E8113" s="887" t="s">
        <v>1653</v>
      </c>
      <c r="F8113" s="2030" t="s">
        <v>1323</v>
      </c>
    </row>
    <row r="8114" spans="1:7">
      <c r="A8114" s="47" t="s">
        <v>6311</v>
      </c>
      <c r="B8114" s="47" t="s">
        <v>6312</v>
      </c>
      <c r="C8114" s="905">
        <v>50</v>
      </c>
      <c r="D8114" s="906">
        <v>1</v>
      </c>
      <c r="E8114" s="905">
        <f>C8114*D8114</f>
        <v>50</v>
      </c>
      <c r="F8114" s="891">
        <v>3.25</v>
      </c>
    </row>
    <row r="8115" spans="1:7">
      <c r="A8115" s="47"/>
      <c r="B8115" s="260" t="s">
        <v>1993</v>
      </c>
      <c r="C8115" s="905"/>
      <c r="D8115" s="906">
        <v>1</v>
      </c>
      <c r="E8115" s="894">
        <v>1</v>
      </c>
      <c r="F8115" s="891">
        <v>12</v>
      </c>
    </row>
    <row r="8118" spans="1:7">
      <c r="A8118" s="887" t="s">
        <v>455</v>
      </c>
      <c r="B8118" s="887" t="s">
        <v>128</v>
      </c>
      <c r="C8118" s="887" t="s">
        <v>1186</v>
      </c>
      <c r="D8118" s="887" t="s">
        <v>1652</v>
      </c>
      <c r="E8118" s="887" t="s">
        <v>1653</v>
      </c>
      <c r="F8118" s="2030" t="s">
        <v>1323</v>
      </c>
      <c r="G8118" s="39"/>
    </row>
    <row r="8119" spans="1:7">
      <c r="A8119" s="47" t="s">
        <v>6119</v>
      </c>
      <c r="B8119" s="47" t="s">
        <v>78</v>
      </c>
      <c r="C8119" s="905">
        <v>14</v>
      </c>
      <c r="D8119" s="906">
        <v>1</v>
      </c>
      <c r="E8119" s="905">
        <f>C8119*D8119</f>
        <v>14</v>
      </c>
      <c r="F8119" s="891">
        <v>0.8</v>
      </c>
      <c r="G8119" s="891">
        <f>F8119*E8119</f>
        <v>11.200000000000001</v>
      </c>
    </row>
    <row r="8120" spans="1:7">
      <c r="A8120" s="47"/>
      <c r="B8120" s="260" t="s">
        <v>1993</v>
      </c>
      <c r="C8120" s="905"/>
      <c r="D8120" s="906"/>
      <c r="E8120" s="894">
        <v>1</v>
      </c>
      <c r="F8120" s="891">
        <v>12</v>
      </c>
      <c r="G8120" s="891">
        <f>F8120*E8120</f>
        <v>12</v>
      </c>
    </row>
    <row r="8123" spans="1:7">
      <c r="A8123" s="887" t="s">
        <v>455</v>
      </c>
      <c r="B8123" s="887" t="s">
        <v>128</v>
      </c>
      <c r="C8123" s="887" t="s">
        <v>1653</v>
      </c>
      <c r="D8123" s="2030" t="s">
        <v>1323</v>
      </c>
    </row>
    <row r="8124" spans="1:7">
      <c r="A8124" s="47" t="s">
        <v>6319</v>
      </c>
      <c r="B8124" s="47" t="s">
        <v>6320</v>
      </c>
      <c r="C8124" s="905">
        <v>50</v>
      </c>
      <c r="D8124" s="891">
        <v>0.56000000000000005</v>
      </c>
    </row>
    <row r="8125" spans="1:7">
      <c r="A8125" s="47" t="s">
        <v>6321</v>
      </c>
      <c r="B8125" s="47" t="s">
        <v>6322</v>
      </c>
      <c r="C8125" s="905">
        <v>50</v>
      </c>
      <c r="D8125" s="891">
        <v>0.74</v>
      </c>
    </row>
    <row r="8126" spans="1:7">
      <c r="A8126" s="47"/>
      <c r="B8126" s="47" t="s">
        <v>6323</v>
      </c>
      <c r="C8126" s="894">
        <v>1</v>
      </c>
      <c r="D8126" s="891">
        <v>70</v>
      </c>
    </row>
    <row r="8127" spans="1:7">
      <c r="A8127" s="47"/>
      <c r="B8127" s="260" t="s">
        <v>1949</v>
      </c>
      <c r="C8127" s="894">
        <v>1</v>
      </c>
      <c r="D8127" s="891">
        <v>12</v>
      </c>
    </row>
    <row r="8130" spans="1:8">
      <c r="A8130" s="902" t="s">
        <v>106</v>
      </c>
      <c r="B8130" s="902" t="s">
        <v>377</v>
      </c>
      <c r="C8130" s="902" t="s">
        <v>128</v>
      </c>
      <c r="D8130" s="887" t="s">
        <v>1186</v>
      </c>
      <c r="E8130" s="887" t="s">
        <v>1652</v>
      </c>
      <c r="F8130" s="887" t="s">
        <v>1653</v>
      </c>
      <c r="G8130" s="887" t="s">
        <v>3130</v>
      </c>
    </row>
    <row r="8131" spans="1:8">
      <c r="A8131" s="47" t="s">
        <v>2447</v>
      </c>
      <c r="B8131" s="907">
        <v>152</v>
      </c>
      <c r="C8131" s="47" t="s">
        <v>114</v>
      </c>
      <c r="D8131" s="905">
        <v>58</v>
      </c>
      <c r="E8131" s="906">
        <v>4</v>
      </c>
      <c r="F8131" s="905">
        <f>D8131*E8131</f>
        <v>232</v>
      </c>
      <c r="G8131" s="891">
        <v>5.84</v>
      </c>
    </row>
    <row r="8135" spans="1:8">
      <c r="A8135" s="902" t="s">
        <v>106</v>
      </c>
      <c r="B8135" s="902" t="s">
        <v>377</v>
      </c>
      <c r="C8135" s="902" t="s">
        <v>128</v>
      </c>
      <c r="D8135" s="887" t="s">
        <v>1186</v>
      </c>
      <c r="E8135" s="887" t="s">
        <v>1652</v>
      </c>
      <c r="F8135" s="887" t="s">
        <v>1653</v>
      </c>
      <c r="G8135" s="967" t="s">
        <v>6326</v>
      </c>
    </row>
    <row r="8136" spans="1:8">
      <c r="A8136" s="47" t="s">
        <v>18</v>
      </c>
      <c r="B8136" s="260">
        <v>30</v>
      </c>
      <c r="C8136" s="47" t="s">
        <v>2727</v>
      </c>
      <c r="D8136" s="903">
        <v>30</v>
      </c>
      <c r="E8136" s="904">
        <v>28</v>
      </c>
      <c r="F8136" s="905">
        <f>D8136*E8136</f>
        <v>840</v>
      </c>
      <c r="G8136" s="950" t="s">
        <v>6327</v>
      </c>
    </row>
    <row r="8137" spans="1:8">
      <c r="A8137" s="47" t="s">
        <v>18</v>
      </c>
      <c r="B8137" s="260">
        <v>30</v>
      </c>
      <c r="C8137" s="47" t="s">
        <v>137</v>
      </c>
      <c r="D8137" s="903">
        <v>30</v>
      </c>
      <c r="E8137" s="904">
        <v>6</v>
      </c>
      <c r="F8137" s="905">
        <f>D8137*E8137</f>
        <v>180</v>
      </c>
      <c r="G8137" s="950" t="s">
        <v>6327</v>
      </c>
    </row>
    <row r="8140" spans="1:8">
      <c r="A8140" s="902" t="s">
        <v>106</v>
      </c>
      <c r="B8140" s="902" t="s">
        <v>377</v>
      </c>
      <c r="C8140" s="902" t="s">
        <v>128</v>
      </c>
      <c r="D8140" s="887" t="s">
        <v>1186</v>
      </c>
      <c r="E8140" s="887" t="s">
        <v>1652</v>
      </c>
      <c r="F8140" s="887" t="s">
        <v>1653</v>
      </c>
      <c r="G8140" s="2030" t="s">
        <v>1323</v>
      </c>
      <c r="H8140" s="2030" t="s">
        <v>3452</v>
      </c>
    </row>
    <row r="8141" spans="1:8" ht="25.5">
      <c r="A8141" s="47" t="s">
        <v>18</v>
      </c>
      <c r="B8141" s="260">
        <v>30</v>
      </c>
      <c r="C8141" s="47" t="s">
        <v>2727</v>
      </c>
      <c r="D8141" s="903">
        <v>30</v>
      </c>
      <c r="E8141" s="904">
        <v>28</v>
      </c>
      <c r="F8141" s="905">
        <f>D8141*E8141</f>
        <v>840</v>
      </c>
      <c r="G8141" s="891">
        <v>4.26</v>
      </c>
      <c r="H8141" s="2081" t="s">
        <v>6328</v>
      </c>
    </row>
    <row r="8142" spans="1:8">
      <c r="A8142" s="47" t="s">
        <v>18</v>
      </c>
      <c r="B8142" s="260">
        <v>30</v>
      </c>
      <c r="C8142" s="47" t="s">
        <v>137</v>
      </c>
      <c r="D8142" s="903">
        <v>30</v>
      </c>
      <c r="E8142" s="904">
        <v>6</v>
      </c>
      <c r="F8142" s="905">
        <f>D8142*E8142</f>
        <v>180</v>
      </c>
      <c r="G8142" s="891">
        <v>4.26</v>
      </c>
      <c r="H8142" s="2081" t="s">
        <v>771</v>
      </c>
    </row>
    <row r="8145" spans="1:9">
      <c r="A8145" s="1064" t="s">
        <v>6329</v>
      </c>
    </row>
    <row r="8146" spans="1:9">
      <c r="A8146" s="902" t="s">
        <v>455</v>
      </c>
      <c r="B8146" s="902" t="s">
        <v>1825</v>
      </c>
      <c r="C8146" s="902" t="s">
        <v>3645</v>
      </c>
      <c r="D8146" s="2082" t="s">
        <v>6330</v>
      </c>
      <c r="E8146" s="2037" t="s">
        <v>6080</v>
      </c>
      <c r="F8146" s="2037" t="s">
        <v>6081</v>
      </c>
    </row>
    <row r="8147" spans="1:9" ht="14.25">
      <c r="A8147" s="103" t="s">
        <v>5837</v>
      </c>
      <c r="B8147" s="1370">
        <v>11.25</v>
      </c>
      <c r="C8147" s="1370" t="s">
        <v>5838</v>
      </c>
      <c r="D8147" s="317">
        <f>950+20</f>
        <v>970</v>
      </c>
      <c r="E8147" s="2070">
        <f>(B8147-(D8147/F8147))/B8147</f>
        <v>0.25024154589371977</v>
      </c>
      <c r="F8147" s="2071">
        <v>115</v>
      </c>
    </row>
    <row r="8148" spans="1:9" ht="14.25">
      <c r="A8148" s="103" t="s">
        <v>6331</v>
      </c>
      <c r="B8148" s="1370">
        <v>11.25</v>
      </c>
      <c r="C8148" s="1370" t="s">
        <v>5838</v>
      </c>
      <c r="D8148" s="317">
        <f>950+20</f>
        <v>970</v>
      </c>
      <c r="E8148" s="2070">
        <f>(B8148-(D8148/F8148))/B8148</f>
        <v>0.25024154589371977</v>
      </c>
      <c r="F8148" s="2071">
        <v>115</v>
      </c>
    </row>
    <row r="8149" spans="1:9" ht="14.25">
      <c r="A8149" s="103" t="s">
        <v>6332</v>
      </c>
      <c r="B8149" s="1370">
        <v>11.25</v>
      </c>
      <c r="C8149" s="1370" t="s">
        <v>5838</v>
      </c>
      <c r="D8149" s="317">
        <f>950+20</f>
        <v>970</v>
      </c>
      <c r="E8149" s="2070">
        <f>(B8149-(D8149/F8149))/B8149</f>
        <v>0.25024154589371977</v>
      </c>
      <c r="F8149" s="2071">
        <v>115</v>
      </c>
    </row>
    <row r="8151" spans="1:9" ht="14.25" thickBot="1">
      <c r="A8151" t="s">
        <v>6333</v>
      </c>
    </row>
    <row r="8152" spans="1:9" ht="14.25" thickBot="1">
      <c r="A8152" s="1120" t="s">
        <v>455</v>
      </c>
      <c r="B8152" s="1121" t="s">
        <v>3082</v>
      </c>
      <c r="C8152" s="1121" t="s">
        <v>6343</v>
      </c>
      <c r="D8152" s="1121" t="s">
        <v>6345</v>
      </c>
      <c r="E8152" s="1121" t="s">
        <v>3084</v>
      </c>
      <c r="F8152" s="2082" t="s">
        <v>6334</v>
      </c>
      <c r="G8152" s="2037" t="s">
        <v>6080</v>
      </c>
      <c r="H8152" s="2037" t="s">
        <v>6081</v>
      </c>
    </row>
    <row r="8153" spans="1:9" ht="39" thickBot="1">
      <c r="A8153" s="1159" t="s">
        <v>3086</v>
      </c>
      <c r="B8153" s="1160">
        <f>ROUNDUP(F8153/0.75/115,2)</f>
        <v>21.57</v>
      </c>
      <c r="C8153" s="1161" t="s">
        <v>6344</v>
      </c>
      <c r="D8153" s="1161" t="s">
        <v>6346</v>
      </c>
      <c r="E8153" s="1159" t="s">
        <v>3085</v>
      </c>
      <c r="F8153" s="317">
        <f>1850+10</f>
        <v>1860</v>
      </c>
      <c r="G8153" s="2083">
        <f>(B8153-(F8153/H8153))/B8153</f>
        <v>0.25016629376549554</v>
      </c>
      <c r="H8153" s="1331">
        <v>115</v>
      </c>
    </row>
    <row r="8156" spans="1:9">
      <c r="A8156" t="s">
        <v>6333</v>
      </c>
    </row>
    <row r="8157" spans="1:9" ht="25.5">
      <c r="A8157" s="1996" t="s">
        <v>1603</v>
      </c>
      <c r="B8157" s="1996" t="s">
        <v>2317</v>
      </c>
      <c r="C8157" s="1997" t="s">
        <v>6336</v>
      </c>
      <c r="D8157" s="1997" t="s">
        <v>6338</v>
      </c>
      <c r="E8157" s="1998" t="s">
        <v>6339</v>
      </c>
      <c r="F8157" s="1997" t="s">
        <v>6338</v>
      </c>
      <c r="G8157" s="1998" t="s">
        <v>6339</v>
      </c>
      <c r="H8157" s="2037" t="s">
        <v>6117</v>
      </c>
      <c r="I8157" s="2037" t="s">
        <v>6081</v>
      </c>
    </row>
    <row r="8158" spans="1:9">
      <c r="A8158" s="47" t="s">
        <v>6335</v>
      </c>
      <c r="B8158" s="47" t="s">
        <v>6340</v>
      </c>
      <c r="C8158" s="47" t="s">
        <v>6337</v>
      </c>
      <c r="D8158" s="1174">
        <f>ROUNDUP(F8158/0.45/115,2)</f>
        <v>0.24000000000000002</v>
      </c>
      <c r="E8158" s="2046">
        <v>110</v>
      </c>
      <c r="F8158" s="2084">
        <v>12</v>
      </c>
      <c r="G8158" s="2085">
        <v>10000</v>
      </c>
      <c r="H8158" s="2070">
        <f>(D8158-(F8158/I8158))/D8158</f>
        <v>0.56521739130434789</v>
      </c>
      <c r="I8158">
        <v>115</v>
      </c>
    </row>
    <row r="8159" spans="1:9">
      <c r="A8159" s="47" t="s">
        <v>6341</v>
      </c>
      <c r="B8159" s="47" t="s">
        <v>6340</v>
      </c>
      <c r="C8159" s="47" t="s">
        <v>6337</v>
      </c>
      <c r="D8159" s="1174">
        <f>ROUNDUP(F8159/0.45/115,2)</f>
        <v>0.31</v>
      </c>
      <c r="E8159" s="2046">
        <v>110</v>
      </c>
      <c r="F8159" s="2084">
        <v>16</v>
      </c>
      <c r="G8159" s="2085">
        <v>10000</v>
      </c>
      <c r="H8159" s="2070">
        <f>(D8159-(F8159/I8159))/D8159</f>
        <v>0.55119214586255261</v>
      </c>
      <c r="I8159">
        <v>115</v>
      </c>
    </row>
    <row r="8160" spans="1:9">
      <c r="A8160" t="s">
        <v>6342</v>
      </c>
    </row>
    <row r="8164" spans="1:7" ht="15">
      <c r="A8164" s="1996" t="s">
        <v>1603</v>
      </c>
      <c r="B8164" s="1996" t="s">
        <v>53</v>
      </c>
      <c r="C8164" s="1996" t="s">
        <v>54</v>
      </c>
      <c r="D8164" s="2088" t="s">
        <v>6357</v>
      </c>
      <c r="E8164" s="39"/>
    </row>
    <row r="8165" spans="1:7">
      <c r="A8165" s="47" t="s">
        <v>6352</v>
      </c>
      <c r="B8165" s="47" t="s">
        <v>6353</v>
      </c>
      <c r="C8165" s="890">
        <v>2000</v>
      </c>
      <c r="D8165" s="1058" t="s">
        <v>6358</v>
      </c>
      <c r="E8165" s="891" t="e">
        <f>D8165*C8165</f>
        <v>#VALUE!</v>
      </c>
    </row>
    <row r="8166" spans="1:7">
      <c r="A8166" s="47" t="s">
        <v>6352</v>
      </c>
      <c r="B8166" s="47" t="s">
        <v>6354</v>
      </c>
      <c r="C8166" s="890">
        <v>1000</v>
      </c>
      <c r="D8166" s="1058" t="s">
        <v>6358</v>
      </c>
      <c r="E8166" s="891" t="e">
        <f>D8166*C8166</f>
        <v>#VALUE!</v>
      </c>
    </row>
    <row r="8167" spans="1:7">
      <c r="A8167" s="47" t="s">
        <v>6352</v>
      </c>
      <c r="B8167" s="47" t="s">
        <v>6355</v>
      </c>
      <c r="C8167" s="890">
        <v>500</v>
      </c>
      <c r="D8167" s="1058" t="s">
        <v>6358</v>
      </c>
      <c r="E8167" s="891" t="e">
        <f>D8167*C8167</f>
        <v>#VALUE!</v>
      </c>
    </row>
    <row r="8168" spans="1:7">
      <c r="A8168" s="47"/>
      <c r="B8168" s="968" t="s">
        <v>2077</v>
      </c>
      <c r="C8168" s="894">
        <v>3</v>
      </c>
      <c r="D8168" s="1058" t="s">
        <v>6359</v>
      </c>
      <c r="E8168" s="891" t="e">
        <f>D8168*C8168</f>
        <v>#VALUE!</v>
      </c>
    </row>
    <row r="8171" spans="1:7">
      <c r="A8171" s="902" t="s">
        <v>106</v>
      </c>
      <c r="B8171" s="902" t="s">
        <v>377</v>
      </c>
      <c r="C8171" s="902" t="s">
        <v>128</v>
      </c>
      <c r="D8171" s="887" t="s">
        <v>1186</v>
      </c>
      <c r="E8171" s="887" t="s">
        <v>1652</v>
      </c>
      <c r="F8171" s="887" t="s">
        <v>1653</v>
      </c>
      <c r="G8171" s="887" t="s">
        <v>3130</v>
      </c>
    </row>
    <row r="8172" spans="1:7">
      <c r="A8172" s="47">
        <v>2440</v>
      </c>
      <c r="B8172" s="907">
        <v>140</v>
      </c>
      <c r="C8172" s="47" t="s">
        <v>30</v>
      </c>
      <c r="D8172" s="905">
        <v>58</v>
      </c>
      <c r="E8172" s="906">
        <v>4</v>
      </c>
      <c r="F8172" s="905">
        <f>D8172*E8172</f>
        <v>232</v>
      </c>
      <c r="G8172" s="891">
        <v>4.88</v>
      </c>
    </row>
    <row r="8175" spans="1:7">
      <c r="A8175" s="1865" t="s">
        <v>6361</v>
      </c>
      <c r="B8175" s="2091" t="s">
        <v>6363</v>
      </c>
      <c r="C8175" s="2091" t="s">
        <v>6367</v>
      </c>
    </row>
    <row r="8176" spans="1:7">
      <c r="A8176" s="909" t="s">
        <v>6362</v>
      </c>
      <c r="B8176" s="909" t="s">
        <v>6364</v>
      </c>
      <c r="C8176" s="909" t="s">
        <v>6365</v>
      </c>
    </row>
    <row r="8179" spans="1:9">
      <c r="A8179" s="1865" t="s">
        <v>6361</v>
      </c>
      <c r="B8179" s="909" t="s">
        <v>6370</v>
      </c>
      <c r="C8179" s="909" t="s">
        <v>6371</v>
      </c>
    </row>
    <row r="8180" spans="1:9">
      <c r="A8180" s="909" t="s">
        <v>6362</v>
      </c>
      <c r="B8180" s="909" t="s">
        <v>6368</v>
      </c>
      <c r="C8180" s="909" t="s">
        <v>6369</v>
      </c>
    </row>
    <row r="8181" spans="1:9" ht="18.75">
      <c r="A8181" s="1255"/>
    </row>
    <row r="8183" spans="1:9">
      <c r="A8183" s="883" t="s">
        <v>6372</v>
      </c>
    </row>
    <row r="8184" spans="1:9">
      <c r="A8184" s="1166" t="s">
        <v>1372</v>
      </c>
      <c r="B8184" s="1184" t="s">
        <v>377</v>
      </c>
      <c r="C8184" s="1167" t="s">
        <v>128</v>
      </c>
      <c r="D8184" s="887" t="s">
        <v>6375</v>
      </c>
      <c r="E8184" s="887" t="s">
        <v>6376</v>
      </c>
      <c r="F8184" s="887" t="s">
        <v>6345</v>
      </c>
      <c r="G8184" s="317" t="s">
        <v>6374</v>
      </c>
      <c r="H8184" s="2037" t="s">
        <v>6117</v>
      </c>
      <c r="I8184" s="2037" t="s">
        <v>6081</v>
      </c>
    </row>
    <row r="8185" spans="1:9">
      <c r="A8185" s="47">
        <v>1095</v>
      </c>
      <c r="B8185" s="48">
        <v>220</v>
      </c>
      <c r="C8185" s="47" t="s">
        <v>6373</v>
      </c>
      <c r="D8185" s="1214" t="s">
        <v>5382</v>
      </c>
      <c r="E8185" s="51">
        <v>5.8</v>
      </c>
      <c r="F8185" s="2092" t="s">
        <v>6346</v>
      </c>
      <c r="G8185" s="317">
        <v>400</v>
      </c>
      <c r="H8185" s="2070">
        <f>(E8185-(G8185/I8185))/E8185</f>
        <v>0.40029985007496249</v>
      </c>
      <c r="I8185">
        <v>115</v>
      </c>
    </row>
    <row r="8187" spans="1:9">
      <c r="A8187" s="883" t="s">
        <v>6377</v>
      </c>
    </row>
    <row r="8188" spans="1:9">
      <c r="A8188" s="1166" t="s">
        <v>6380</v>
      </c>
      <c r="B8188" s="1184" t="s">
        <v>377</v>
      </c>
      <c r="C8188" s="887" t="s">
        <v>6381</v>
      </c>
      <c r="D8188" s="887" t="s">
        <v>1825</v>
      </c>
      <c r="E8188" s="887" t="s">
        <v>6383</v>
      </c>
      <c r="F8188" s="317" t="s">
        <v>6379</v>
      </c>
      <c r="G8188" s="2037" t="s">
        <v>6117</v>
      </c>
      <c r="H8188" s="2037" t="s">
        <v>6081</v>
      </c>
    </row>
    <row r="8189" spans="1:9">
      <c r="A8189" s="47">
        <v>1095</v>
      </c>
      <c r="B8189" s="48">
        <v>220</v>
      </c>
      <c r="C8189" s="1214" t="s">
        <v>6382</v>
      </c>
      <c r="D8189" s="51">
        <v>5.8</v>
      </c>
      <c r="E8189" s="51">
        <v>400</v>
      </c>
      <c r="F8189" s="317">
        <v>400</v>
      </c>
      <c r="G8189" s="2070">
        <f>(D8189-(F8189/H8189))/D8189</f>
        <v>0.40029985007496249</v>
      </c>
      <c r="H8189">
        <v>115</v>
      </c>
    </row>
    <row r="8190" spans="1:9">
      <c r="E8190" s="200" t="s">
        <v>6384</v>
      </c>
    </row>
    <row r="8191" spans="1:9">
      <c r="A8191" t="s">
        <v>6378</v>
      </c>
    </row>
    <row r="8193" spans="1:12">
      <c r="A8193" s="883" t="s">
        <v>6385</v>
      </c>
    </row>
    <row r="8194" spans="1:12">
      <c r="A8194" s="1166" t="s">
        <v>6380</v>
      </c>
      <c r="B8194" s="1166" t="s">
        <v>6388</v>
      </c>
      <c r="C8194" s="887" t="s">
        <v>6390</v>
      </c>
      <c r="D8194" s="887" t="s">
        <v>6391</v>
      </c>
      <c r="E8194" s="1998" t="s">
        <v>6392</v>
      </c>
      <c r="F8194" s="1998" t="s">
        <v>5282</v>
      </c>
      <c r="G8194" s="317" t="s">
        <v>6393</v>
      </c>
      <c r="H8194" s="2037" t="s">
        <v>6394</v>
      </c>
      <c r="I8194" s="317" t="s">
        <v>6393</v>
      </c>
      <c r="J8194" s="2037" t="s">
        <v>6394</v>
      </c>
      <c r="K8194" s="2037" t="s">
        <v>6081</v>
      </c>
    </row>
    <row r="8195" spans="1:12">
      <c r="A8195" s="47" t="s">
        <v>6387</v>
      </c>
      <c r="B8195" s="47" t="s">
        <v>6389</v>
      </c>
      <c r="C8195" s="1214" t="s">
        <v>6386</v>
      </c>
      <c r="D8195" s="51">
        <v>1.86</v>
      </c>
      <c r="E8195" s="51">
        <v>2.87</v>
      </c>
      <c r="F8195" s="47" t="s">
        <v>6395</v>
      </c>
      <c r="G8195" s="317">
        <v>128</v>
      </c>
      <c r="H8195" s="2070">
        <f>(D8195-(G8195/K8195))/D8195</f>
        <v>0.40158952781673679</v>
      </c>
      <c r="I8195" s="317">
        <f>128+70</f>
        <v>198</v>
      </c>
      <c r="J8195" s="2070">
        <f>(E8195-(I8195/K8195))/E8195</f>
        <v>0.40009089531889108</v>
      </c>
      <c r="K8195">
        <v>115</v>
      </c>
    </row>
    <row r="8197" spans="1:12" ht="15">
      <c r="A8197" s="1996" t="s">
        <v>1603</v>
      </c>
      <c r="B8197" s="1996" t="s">
        <v>2317</v>
      </c>
      <c r="C8197" s="1997" t="s">
        <v>5310</v>
      </c>
      <c r="D8197" s="1997" t="s">
        <v>5308</v>
      </c>
      <c r="E8197" s="1998" t="s">
        <v>1623</v>
      </c>
      <c r="F8197" s="1998" t="s">
        <v>5282</v>
      </c>
      <c r="G8197" s="1998" t="s">
        <v>5948</v>
      </c>
      <c r="H8197" s="2045" t="s">
        <v>5308</v>
      </c>
      <c r="I8197" s="940" t="s">
        <v>1623</v>
      </c>
      <c r="J8197" s="2037" t="s">
        <v>6117</v>
      </c>
      <c r="K8197" s="2037" t="s">
        <v>6118</v>
      </c>
      <c r="L8197" s="2037" t="s">
        <v>6081</v>
      </c>
    </row>
    <row r="8198" spans="1:12" ht="15">
      <c r="A8198" s="47" t="s">
        <v>6114</v>
      </c>
      <c r="B8198" s="47" t="s">
        <v>1574</v>
      </c>
      <c r="C8198" s="47" t="s">
        <v>6115</v>
      </c>
      <c r="D8198" s="1174">
        <f t="shared" ref="D8198:D8207" si="61">ROUNDUP(H8198/0.6/115,2)</f>
        <v>2.25</v>
      </c>
      <c r="E8198" s="1061">
        <f t="shared" ref="E8198:E8207" si="62">ROUNDUP((H8198+I8198)/0.6/115,2)</f>
        <v>2.8299999999999996</v>
      </c>
      <c r="F8198" s="47" t="s">
        <v>6116</v>
      </c>
      <c r="G8198" s="2046">
        <v>135</v>
      </c>
      <c r="H8198" s="1999">
        <v>155</v>
      </c>
      <c r="I8198" s="2000">
        <v>40</v>
      </c>
      <c r="J8198" s="2044">
        <f t="shared" ref="J8198:J8207" si="63">(((D8198*L8198)-H8198)/(D8198*L8198))</f>
        <v>0.40096618357487923</v>
      </c>
      <c r="K8198" s="2044">
        <f t="shared" ref="K8198:K8207" si="64">(((E8198*L8198)-(H8198+I8198))/(E8198*L8198))</f>
        <v>0.4008296205254262</v>
      </c>
      <c r="L8198">
        <v>115</v>
      </c>
    </row>
    <row r="8199" spans="1:12" ht="15">
      <c r="A8199" s="47" t="s">
        <v>92</v>
      </c>
      <c r="B8199" s="47" t="s">
        <v>1574</v>
      </c>
      <c r="C8199" s="47" t="s">
        <v>6115</v>
      </c>
      <c r="D8199" s="1174">
        <f t="shared" si="61"/>
        <v>0.66</v>
      </c>
      <c r="E8199" s="1061">
        <f t="shared" si="62"/>
        <v>1.24</v>
      </c>
      <c r="F8199" s="47" t="s">
        <v>6116</v>
      </c>
      <c r="G8199" s="2046">
        <v>135</v>
      </c>
      <c r="H8199" s="1999">
        <v>45</v>
      </c>
      <c r="I8199" s="2000">
        <v>40</v>
      </c>
      <c r="J8199" s="2044">
        <f t="shared" si="63"/>
        <v>0.40711462450592889</v>
      </c>
      <c r="K8199" s="2044">
        <f t="shared" si="64"/>
        <v>0.40392706872370265</v>
      </c>
      <c r="L8199">
        <v>115</v>
      </c>
    </row>
    <row r="8200" spans="1:12" ht="15">
      <c r="A8200" s="47" t="s">
        <v>6122</v>
      </c>
      <c r="B8200" s="47" t="s">
        <v>1574</v>
      </c>
      <c r="C8200" s="47" t="s">
        <v>6115</v>
      </c>
      <c r="D8200" s="1174">
        <f t="shared" si="61"/>
        <v>0.87</v>
      </c>
      <c r="E8200" s="1061">
        <f t="shared" si="62"/>
        <v>1.45</v>
      </c>
      <c r="F8200" s="47" t="s">
        <v>6116</v>
      </c>
      <c r="G8200" s="2046">
        <v>135</v>
      </c>
      <c r="H8200" s="1999">
        <v>60</v>
      </c>
      <c r="I8200" s="2000">
        <v>40</v>
      </c>
      <c r="J8200" s="2044">
        <f t="shared" si="63"/>
        <v>0.40029985007496249</v>
      </c>
      <c r="K8200" s="2044">
        <f t="shared" si="64"/>
        <v>0.40029985007496249</v>
      </c>
      <c r="L8200">
        <v>115</v>
      </c>
    </row>
    <row r="8201" spans="1:12" ht="15">
      <c r="A8201" s="2047" t="s">
        <v>6119</v>
      </c>
      <c r="B8201" s="47" t="s">
        <v>1574</v>
      </c>
      <c r="C8201" s="47" t="s">
        <v>6115</v>
      </c>
      <c r="D8201" s="1174">
        <f t="shared" si="61"/>
        <v>0.8</v>
      </c>
      <c r="E8201" s="1061">
        <f t="shared" si="62"/>
        <v>1.3800000000000001</v>
      </c>
      <c r="F8201" s="47" t="s">
        <v>6116</v>
      </c>
      <c r="G8201" s="2046">
        <v>135</v>
      </c>
      <c r="H8201" s="1999">
        <v>55</v>
      </c>
      <c r="I8201" s="2000">
        <v>40</v>
      </c>
      <c r="J8201" s="2044">
        <f t="shared" si="63"/>
        <v>0.40217391304347827</v>
      </c>
      <c r="K8201" s="2044">
        <f t="shared" si="64"/>
        <v>0.40138626339004418</v>
      </c>
      <c r="L8201">
        <v>115</v>
      </c>
    </row>
    <row r="8202" spans="1:12" ht="15">
      <c r="A8202" s="2047" t="s">
        <v>1004</v>
      </c>
      <c r="B8202" s="47" t="s">
        <v>1574</v>
      </c>
      <c r="C8202" s="47" t="s">
        <v>6115</v>
      </c>
      <c r="D8202" s="1174">
        <f t="shared" si="61"/>
        <v>0.95</v>
      </c>
      <c r="E8202" s="1061">
        <f t="shared" si="62"/>
        <v>1.53</v>
      </c>
      <c r="F8202" s="47" t="s">
        <v>6116</v>
      </c>
      <c r="G8202" s="2046">
        <v>135</v>
      </c>
      <c r="H8202" s="1999">
        <v>65</v>
      </c>
      <c r="I8202" s="2000">
        <v>40</v>
      </c>
      <c r="J8202" s="2044">
        <f t="shared" si="63"/>
        <v>0.40503432494279173</v>
      </c>
      <c r="K8202" s="2044">
        <f t="shared" si="64"/>
        <v>0.40323955669224215</v>
      </c>
      <c r="L8202">
        <v>115</v>
      </c>
    </row>
    <row r="8203" spans="1:12" ht="15">
      <c r="A8203" s="47" t="s">
        <v>1528</v>
      </c>
      <c r="B8203" s="47" t="s">
        <v>1574</v>
      </c>
      <c r="C8203" s="47" t="s">
        <v>6115</v>
      </c>
      <c r="D8203" s="1174">
        <f t="shared" si="61"/>
        <v>1.02</v>
      </c>
      <c r="E8203" s="1061">
        <f t="shared" si="62"/>
        <v>1.6</v>
      </c>
      <c r="F8203" s="47" t="s">
        <v>6116</v>
      </c>
      <c r="G8203" s="2046">
        <v>135</v>
      </c>
      <c r="H8203" s="1999">
        <v>70</v>
      </c>
      <c r="I8203" s="2000">
        <v>40</v>
      </c>
      <c r="J8203" s="2044">
        <f t="shared" si="63"/>
        <v>0.4032395566922421</v>
      </c>
      <c r="K8203" s="2044">
        <f t="shared" si="64"/>
        <v>0.40217391304347827</v>
      </c>
      <c r="L8203">
        <v>115</v>
      </c>
    </row>
    <row r="8204" spans="1:12" ht="15">
      <c r="A8204" s="47" t="s">
        <v>6124</v>
      </c>
      <c r="B8204" s="47" t="s">
        <v>1574</v>
      </c>
      <c r="C8204" s="47" t="s">
        <v>6115</v>
      </c>
      <c r="D8204" s="1174">
        <f t="shared" si="61"/>
        <v>1.0900000000000001</v>
      </c>
      <c r="E8204" s="1061">
        <f t="shared" si="62"/>
        <v>1.67</v>
      </c>
      <c r="F8204" s="47" t="s">
        <v>6116</v>
      </c>
      <c r="G8204" s="2046">
        <v>135</v>
      </c>
      <c r="H8204" s="1999">
        <v>75</v>
      </c>
      <c r="I8204" s="2000">
        <v>40</v>
      </c>
      <c r="J8204" s="2044">
        <f t="shared" si="63"/>
        <v>0.40167530913442367</v>
      </c>
      <c r="K8204" s="2044">
        <f t="shared" si="64"/>
        <v>0.4011976047904191</v>
      </c>
      <c r="L8204">
        <v>115</v>
      </c>
    </row>
    <row r="8205" spans="1:12" ht="15">
      <c r="A8205" s="47" t="s">
        <v>6125</v>
      </c>
      <c r="B8205" s="47" t="s">
        <v>1574</v>
      </c>
      <c r="C8205" s="47" t="s">
        <v>1519</v>
      </c>
      <c r="D8205" s="1174">
        <f t="shared" si="61"/>
        <v>0.69000000000000006</v>
      </c>
      <c r="E8205" s="1061">
        <f t="shared" si="62"/>
        <v>1.7</v>
      </c>
      <c r="F8205" s="47" t="s">
        <v>6131</v>
      </c>
      <c r="G8205" s="2046">
        <v>80</v>
      </c>
      <c r="H8205" s="1999">
        <v>47</v>
      </c>
      <c r="I8205" s="2000">
        <v>70</v>
      </c>
      <c r="J8205" s="2044">
        <f t="shared" si="63"/>
        <v>0.40768746061751737</v>
      </c>
      <c r="K8205" s="2044">
        <f t="shared" si="64"/>
        <v>0.40153452685421998</v>
      </c>
      <c r="L8205">
        <v>115</v>
      </c>
    </row>
    <row r="8206" spans="1:12" ht="15">
      <c r="A8206" s="47" t="s">
        <v>6126</v>
      </c>
      <c r="B8206" s="47" t="s">
        <v>1574</v>
      </c>
      <c r="C8206" s="47" t="s">
        <v>1519</v>
      </c>
      <c r="D8206" s="1174">
        <f t="shared" si="61"/>
        <v>1.02</v>
      </c>
      <c r="E8206" s="1061">
        <f t="shared" si="62"/>
        <v>2.1799999999999997</v>
      </c>
      <c r="F8206" s="47" t="s">
        <v>6131</v>
      </c>
      <c r="G8206" s="2046">
        <v>90</v>
      </c>
      <c r="H8206" s="1999">
        <v>70</v>
      </c>
      <c r="I8206" s="2000">
        <v>80</v>
      </c>
      <c r="J8206" s="2044">
        <f t="shared" si="63"/>
        <v>0.4032395566922421</v>
      </c>
      <c r="K8206" s="2044">
        <f t="shared" si="64"/>
        <v>0.40167530913442351</v>
      </c>
      <c r="L8206">
        <v>115</v>
      </c>
    </row>
    <row r="8207" spans="1:12" ht="15">
      <c r="A8207" s="47" t="s">
        <v>6127</v>
      </c>
      <c r="B8207" s="47" t="s">
        <v>1574</v>
      </c>
      <c r="C8207" s="47" t="s">
        <v>1519</v>
      </c>
      <c r="D8207" s="1174">
        <f t="shared" si="61"/>
        <v>0.66</v>
      </c>
      <c r="E8207" s="1061">
        <f t="shared" si="62"/>
        <v>1.67</v>
      </c>
      <c r="F8207" s="47" t="s">
        <v>6131</v>
      </c>
      <c r="G8207" s="2046">
        <v>80</v>
      </c>
      <c r="H8207" s="1999">
        <v>45</v>
      </c>
      <c r="I8207" s="2000">
        <v>70</v>
      </c>
      <c r="J8207" s="2044">
        <f t="shared" si="63"/>
        <v>0.40711462450592889</v>
      </c>
      <c r="K8207" s="2044">
        <f t="shared" si="64"/>
        <v>0.4011976047904191</v>
      </c>
      <c r="L8207">
        <v>115</v>
      </c>
    </row>
    <row r="8209" spans="1:8" s="677" customFormat="1" ht="15.75">
      <c r="A8209" s="2093" t="s">
        <v>105</v>
      </c>
      <c r="B8209" s="2093" t="s">
        <v>1603</v>
      </c>
      <c r="C8209" s="402" t="s">
        <v>128</v>
      </c>
      <c r="D8209" s="90" t="s">
        <v>1186</v>
      </c>
      <c r="E8209" s="90" t="s">
        <v>1652</v>
      </c>
      <c r="F8209" s="90" t="s">
        <v>1653</v>
      </c>
      <c r="G8209" s="2030" t="s">
        <v>1323</v>
      </c>
    </row>
    <row r="8210" spans="1:8" s="677" customFormat="1" ht="15">
      <c r="A8210" s="6" t="s">
        <v>6396</v>
      </c>
      <c r="B8210" s="20" t="s">
        <v>6399</v>
      </c>
      <c r="C8210" s="24"/>
      <c r="D8210" s="151"/>
      <c r="E8210" s="152"/>
      <c r="F8210" s="151"/>
      <c r="G8210" s="34" t="s">
        <v>10</v>
      </c>
      <c r="H8210" s="11"/>
    </row>
    <row r="8211" spans="1:8" s="677" customFormat="1" ht="15">
      <c r="A8211" s="6" t="s">
        <v>6396</v>
      </c>
      <c r="B8211" s="24" t="s">
        <v>536</v>
      </c>
      <c r="C8211" s="24" t="s">
        <v>6397</v>
      </c>
      <c r="D8211" s="67">
        <v>50</v>
      </c>
      <c r="E8211" s="68">
        <v>1</v>
      </c>
      <c r="F8211" s="8">
        <f>D8211*E8211</f>
        <v>50</v>
      </c>
      <c r="G8211" s="25">
        <v>5</v>
      </c>
      <c r="H8211" s="46">
        <f>G8211*F8211</f>
        <v>250</v>
      </c>
    </row>
    <row r="8212" spans="1:8" s="677" customFormat="1" ht="15">
      <c r="A8212" s="6" t="s">
        <v>6396</v>
      </c>
      <c r="B8212" s="24" t="s">
        <v>536</v>
      </c>
      <c r="C8212" s="24" t="s">
        <v>6398</v>
      </c>
      <c r="D8212" s="67">
        <v>50</v>
      </c>
      <c r="E8212" s="68">
        <v>1</v>
      </c>
      <c r="F8212" s="8">
        <f>D8212*E8212</f>
        <v>50</v>
      </c>
      <c r="G8212" s="25">
        <v>5</v>
      </c>
      <c r="H8212" s="46">
        <f>G8212*F8212</f>
        <v>250</v>
      </c>
    </row>
    <row r="8213" spans="1:8" s="677" customFormat="1" ht="15">
      <c r="A8213" s="6" t="s">
        <v>6400</v>
      </c>
      <c r="B8213" s="20" t="s">
        <v>6401</v>
      </c>
      <c r="C8213" s="24"/>
      <c r="D8213" s="151"/>
      <c r="E8213" s="152"/>
      <c r="F8213" s="151"/>
      <c r="G8213" s="34" t="s">
        <v>10</v>
      </c>
      <c r="H8213" s="11"/>
    </row>
    <row r="8214" spans="1:8" s="677" customFormat="1" ht="15">
      <c r="A8214" s="6" t="s">
        <v>6400</v>
      </c>
      <c r="B8214" s="24" t="s">
        <v>6362</v>
      </c>
      <c r="C8214" s="24" t="s">
        <v>6402</v>
      </c>
      <c r="D8214" s="67">
        <v>25</v>
      </c>
      <c r="E8214" s="68">
        <v>2</v>
      </c>
      <c r="F8214" s="8">
        <f>D8214*E8214</f>
        <v>50</v>
      </c>
      <c r="G8214" s="25">
        <v>3.23</v>
      </c>
      <c r="H8214" s="46">
        <f>G8214*F8214</f>
        <v>161.5</v>
      </c>
    </row>
    <row r="8215" spans="1:8" s="677" customFormat="1" ht="15">
      <c r="A8215" s="6" t="s">
        <v>6400</v>
      </c>
      <c r="B8215" s="24" t="s">
        <v>6362</v>
      </c>
      <c r="C8215" s="24" t="s">
        <v>6403</v>
      </c>
      <c r="D8215" s="67">
        <v>25</v>
      </c>
      <c r="E8215" s="68">
        <v>2</v>
      </c>
      <c r="F8215" s="8">
        <f>D8215*E8215</f>
        <v>50</v>
      </c>
      <c r="G8215" s="25">
        <v>3.23</v>
      </c>
      <c r="H8215" s="46">
        <f>G8215*F8215</f>
        <v>161.5</v>
      </c>
    </row>
    <row r="8216" spans="1:8" s="677" customFormat="1" ht="14.25"/>
    <row r="8217" spans="1:8" s="677" customFormat="1" ht="14.25">
      <c r="A8217" s="902" t="s">
        <v>106</v>
      </c>
      <c r="B8217" s="902" t="s">
        <v>52</v>
      </c>
      <c r="C8217" s="902" t="s">
        <v>128</v>
      </c>
      <c r="D8217" s="887" t="s">
        <v>1186</v>
      </c>
      <c r="E8217" s="887" t="s">
        <v>1652</v>
      </c>
      <c r="F8217" s="887" t="s">
        <v>1653</v>
      </c>
      <c r="G8217" s="887" t="s">
        <v>5574</v>
      </c>
    </row>
    <row r="8218" spans="1:8">
      <c r="A8218" s="47">
        <v>5291</v>
      </c>
      <c r="B8218" s="48">
        <v>6</v>
      </c>
      <c r="C8218" s="47" t="s">
        <v>499</v>
      </c>
      <c r="D8218" s="905">
        <v>50</v>
      </c>
      <c r="E8218" s="906">
        <v>2</v>
      </c>
      <c r="F8218" s="905">
        <f>D8218*E8218</f>
        <v>100</v>
      </c>
      <c r="G8218" s="891">
        <v>0.51</v>
      </c>
    </row>
    <row r="8219" spans="1:8">
      <c r="A8219" s="47">
        <v>5291</v>
      </c>
      <c r="B8219" s="48">
        <v>6</v>
      </c>
      <c r="C8219" s="47" t="s">
        <v>29</v>
      </c>
      <c r="D8219" s="905">
        <v>50</v>
      </c>
      <c r="E8219" s="906">
        <v>8</v>
      </c>
      <c r="F8219" s="905">
        <f>D8219*E8219</f>
        <v>400</v>
      </c>
      <c r="G8219" s="891">
        <v>0.51</v>
      </c>
    </row>
    <row r="8220" spans="1:8">
      <c r="A8220" s="895"/>
      <c r="B8220" s="2095"/>
      <c r="C8220" s="895"/>
      <c r="D8220" s="1333"/>
      <c r="E8220" s="1778"/>
      <c r="F8220" s="1333"/>
      <c r="G8220" s="1149"/>
    </row>
    <row r="8221" spans="1:8">
      <c r="A8221" t="s">
        <v>6411</v>
      </c>
    </row>
    <row r="8222" spans="1:8">
      <c r="A8222" s="1279" t="s">
        <v>106</v>
      </c>
      <c r="B8222" s="988" t="s">
        <v>52</v>
      </c>
      <c r="C8222" s="988" t="s">
        <v>1186</v>
      </c>
      <c r="D8222" s="988" t="s">
        <v>6412</v>
      </c>
      <c r="E8222" s="988" t="s">
        <v>6413</v>
      </c>
      <c r="F8222" s="317" t="s">
        <v>1225</v>
      </c>
      <c r="G8222" s="2037" t="s">
        <v>6080</v>
      </c>
      <c r="H8222" s="317" t="s">
        <v>6379</v>
      </c>
    </row>
    <row r="8223" spans="1:8" s="888" customFormat="1">
      <c r="A8223" s="47" t="s">
        <v>6409</v>
      </c>
      <c r="B8223" s="48" t="s">
        <v>6410</v>
      </c>
      <c r="C8223" s="346" t="s">
        <v>6414</v>
      </c>
      <c r="D8223" s="346" t="s">
        <v>6414</v>
      </c>
      <c r="E8223" s="2096">
        <v>4.13</v>
      </c>
      <c r="F8223" s="317">
        <v>298</v>
      </c>
      <c r="G8223" s="2070">
        <f>(E8223-(F8223/H8223))/E8223</f>
        <v>0.39870863599677159</v>
      </c>
      <c r="H8223" s="317">
        <v>120</v>
      </c>
    </row>
    <row r="8224" spans="1:8">
      <c r="A8224" s="1310" t="s">
        <v>3503</v>
      </c>
    </row>
    <row r="8225" spans="1:9">
      <c r="A8225" s="1310" t="s">
        <v>6415</v>
      </c>
    </row>
    <row r="8226" spans="1:9">
      <c r="A8226" s="776" t="s">
        <v>6416</v>
      </c>
    </row>
    <row r="8227" spans="1:9">
      <c r="A8227" s="1310" t="s">
        <v>6417</v>
      </c>
    </row>
    <row r="8229" spans="1:9">
      <c r="A8229" t="s">
        <v>6418</v>
      </c>
    </row>
    <row r="8230" spans="1:9" ht="38.25">
      <c r="A8230" s="1279" t="s">
        <v>106</v>
      </c>
      <c r="B8230" s="988" t="s">
        <v>377</v>
      </c>
      <c r="C8230" s="988" t="s">
        <v>1186</v>
      </c>
      <c r="D8230" s="988" t="s">
        <v>6421</v>
      </c>
      <c r="E8230" s="988" t="s">
        <v>6424</v>
      </c>
      <c r="F8230" s="988" t="s">
        <v>6425</v>
      </c>
      <c r="G8230" s="317" t="s">
        <v>1225</v>
      </c>
      <c r="H8230" s="2037" t="s">
        <v>6394</v>
      </c>
      <c r="I8230" s="317"/>
    </row>
    <row r="8231" spans="1:9" s="888" customFormat="1">
      <c r="A8231" s="47" t="s">
        <v>6419</v>
      </c>
      <c r="B8231" s="1146">
        <v>107</v>
      </c>
      <c r="C8231" s="346" t="s">
        <v>6420</v>
      </c>
      <c r="D8231" s="47" t="s">
        <v>6422</v>
      </c>
      <c r="E8231" s="346" t="s">
        <v>6423</v>
      </c>
      <c r="F8231" s="2096">
        <f>ROUNDUP(G8231/0.75/120,2)</f>
        <v>25.67</v>
      </c>
      <c r="G8231" s="317">
        <v>2310</v>
      </c>
      <c r="H8231" s="2070">
        <f>(F8231-(G8231/I8231))/F8231</f>
        <v>0.25009738994935726</v>
      </c>
      <c r="I8231" s="317">
        <v>120</v>
      </c>
    </row>
    <row r="8234" spans="1:9">
      <c r="A8234" s="883" t="s">
        <v>6431</v>
      </c>
    </row>
    <row r="8235" spans="1:9">
      <c r="A8235" s="1166" t="s">
        <v>1369</v>
      </c>
      <c r="B8235" s="1166" t="s">
        <v>2317</v>
      </c>
      <c r="C8235" s="887" t="s">
        <v>6429</v>
      </c>
      <c r="D8235" s="887" t="s">
        <v>6430</v>
      </c>
      <c r="E8235" s="317" t="s">
        <v>6379</v>
      </c>
      <c r="F8235" s="2037" t="s">
        <v>6080</v>
      </c>
      <c r="G8235" s="2037" t="s">
        <v>6081</v>
      </c>
    </row>
    <row r="8236" spans="1:9">
      <c r="A8236" s="47" t="s">
        <v>6427</v>
      </c>
      <c r="B8236" s="47" t="s">
        <v>6428</v>
      </c>
      <c r="C8236" s="1214" t="s">
        <v>1519</v>
      </c>
      <c r="D8236" s="51">
        <v>4.99</v>
      </c>
      <c r="E8236" s="317">
        <v>359</v>
      </c>
      <c r="F8236" s="2070">
        <f>(D8236-(E8236/G8236))/D8236</f>
        <v>0.40046760187040747</v>
      </c>
      <c r="G8236">
        <v>120</v>
      </c>
    </row>
    <row r="8237" spans="1:9">
      <c r="A8237" s="47" t="s">
        <v>6432</v>
      </c>
      <c r="B8237" s="47" t="s">
        <v>6428</v>
      </c>
      <c r="C8237" s="1214" t="s">
        <v>1519</v>
      </c>
      <c r="D8237" s="51">
        <v>5.5</v>
      </c>
      <c r="E8237" s="317">
        <v>396</v>
      </c>
      <c r="F8237" s="2070">
        <f>(D8237-(E8237/G8237))/D8237</f>
        <v>0.4</v>
      </c>
      <c r="G8237">
        <v>120</v>
      </c>
    </row>
    <row r="8240" spans="1:9">
      <c r="A8240" t="s">
        <v>6434</v>
      </c>
    </row>
    <row r="8241" spans="1:8">
      <c r="A8241" s="1279" t="s">
        <v>106</v>
      </c>
      <c r="B8241" s="988" t="s">
        <v>52</v>
      </c>
      <c r="C8241" s="988" t="s">
        <v>1186</v>
      </c>
      <c r="D8241" s="988" t="s">
        <v>6412</v>
      </c>
      <c r="E8241" s="988" t="s">
        <v>6413</v>
      </c>
      <c r="F8241" s="317" t="s">
        <v>1225</v>
      </c>
      <c r="G8241" s="2037" t="s">
        <v>6080</v>
      </c>
      <c r="H8241" s="317" t="s">
        <v>6379</v>
      </c>
    </row>
    <row r="8242" spans="1:8" s="888" customFormat="1">
      <c r="A8242" s="47" t="s">
        <v>6409</v>
      </c>
      <c r="B8242" s="48" t="s">
        <v>6435</v>
      </c>
      <c r="C8242" s="346" t="s">
        <v>6414</v>
      </c>
      <c r="D8242" s="346" t="s">
        <v>6414</v>
      </c>
      <c r="E8242" s="2096">
        <f>ROUNDUP(F8242/0.6/120,2)</f>
        <v>2.8499999999999996</v>
      </c>
      <c r="F8242" s="317">
        <v>205</v>
      </c>
      <c r="G8242" s="2070">
        <f>(E8242-(F8242/H8242))/E8242</f>
        <v>0.40058479532163738</v>
      </c>
      <c r="H8242" s="317">
        <v>120</v>
      </c>
    </row>
    <row r="8245" spans="1:8" ht="15">
      <c r="A8245" s="20" t="s">
        <v>6436</v>
      </c>
      <c r="B8245" s="26"/>
      <c r="C8245" s="24"/>
      <c r="D8245" s="67"/>
      <c r="E8245" s="68"/>
      <c r="F8245" s="67"/>
      <c r="G8245" s="17" t="s">
        <v>10</v>
      </c>
    </row>
    <row r="8246" spans="1:8" ht="25.5">
      <c r="A8246" s="56" t="s">
        <v>6409</v>
      </c>
      <c r="B8246" s="2098" t="s">
        <v>6435</v>
      </c>
      <c r="C8246" s="24" t="s">
        <v>6438</v>
      </c>
      <c r="D8246" s="151">
        <v>25</v>
      </c>
      <c r="E8246" s="2097">
        <v>1</v>
      </c>
      <c r="F8246" s="8">
        <f>E8246*D8246</f>
        <v>25</v>
      </c>
      <c r="G8246" s="46">
        <v>2.85</v>
      </c>
    </row>
    <row r="8247" spans="1:8" ht="22.5">
      <c r="A8247" s="238"/>
      <c r="B8247" s="44"/>
      <c r="C8247" s="24" t="s">
        <v>2975</v>
      </c>
      <c r="D8247" s="8"/>
      <c r="E8247" s="152" ph="1"/>
      <c r="F8247" s="45">
        <v>1</v>
      </c>
      <c r="G8247" s="46">
        <v>12</v>
      </c>
    </row>
    <row r="8250" spans="1:8">
      <c r="A8250" s="1279" t="s">
        <v>106</v>
      </c>
      <c r="B8250" s="988" t="s">
        <v>52</v>
      </c>
      <c r="C8250" s="902" t="s">
        <v>128</v>
      </c>
      <c r="D8250" s="887" t="s">
        <v>1186</v>
      </c>
      <c r="E8250" s="887" t="s">
        <v>1652</v>
      </c>
      <c r="F8250" s="887" t="s">
        <v>1653</v>
      </c>
      <c r="G8250" s="988" t="s">
        <v>6413</v>
      </c>
    </row>
    <row r="8251" spans="1:8" ht="25.5">
      <c r="A8251" s="47" t="s">
        <v>6409</v>
      </c>
      <c r="B8251" s="2098" t="s">
        <v>6435</v>
      </c>
      <c r="C8251" s="47" t="s">
        <v>6438</v>
      </c>
      <c r="D8251" s="903">
        <v>25</v>
      </c>
      <c r="E8251" s="2099">
        <v>1</v>
      </c>
      <c r="F8251" s="905">
        <f>E8251*D8251</f>
        <v>25</v>
      </c>
      <c r="G8251" s="891">
        <v>2.85</v>
      </c>
    </row>
    <row r="8252" spans="1:8" ht="20.25">
      <c r="A8252" s="1059"/>
      <c r="B8252" s="260"/>
      <c r="C8252" s="47" t="s">
        <v>2975</v>
      </c>
      <c r="D8252" s="905"/>
      <c r="E8252" s="904" ph="1"/>
      <c r="F8252" s="894">
        <v>1</v>
      </c>
      <c r="G8252" s="891">
        <v>12</v>
      </c>
    </row>
    <row r="8255" spans="1:8">
      <c r="A8255" t="s">
        <v>6440</v>
      </c>
    </row>
    <row r="8256" spans="1:8">
      <c r="A8256" s="902" t="s">
        <v>106</v>
      </c>
      <c r="B8256" s="902" t="s">
        <v>52</v>
      </c>
      <c r="C8256" s="887" t="s">
        <v>1186</v>
      </c>
      <c r="D8256" s="887" t="s">
        <v>1652</v>
      </c>
      <c r="E8256" s="887" t="s">
        <v>1653</v>
      </c>
      <c r="F8256" s="887" t="s">
        <v>5574</v>
      </c>
    </row>
    <row r="8257" spans="1:8">
      <c r="A8257" s="47">
        <v>5291</v>
      </c>
      <c r="B8257" s="48">
        <v>6</v>
      </c>
      <c r="C8257" s="1214">
        <v>50</v>
      </c>
      <c r="D8257" s="1877">
        <v>10</v>
      </c>
      <c r="E8257" s="1214">
        <f>C8257*D8257</f>
        <v>500</v>
      </c>
      <c r="F8257" s="950">
        <v>0.47</v>
      </c>
    </row>
    <row r="8258" spans="1:8">
      <c r="A8258" s="902" t="s">
        <v>106</v>
      </c>
      <c r="B8258" s="902" t="s">
        <v>52</v>
      </c>
      <c r="C8258" s="887" t="s">
        <v>1186</v>
      </c>
      <c r="D8258" s="887" t="s">
        <v>1652</v>
      </c>
      <c r="E8258" s="887" t="s">
        <v>1653</v>
      </c>
      <c r="F8258" s="887" t="s">
        <v>6439</v>
      </c>
    </row>
    <row r="8259" spans="1:8">
      <c r="A8259" s="47">
        <v>5291</v>
      </c>
      <c r="B8259" s="48">
        <v>6</v>
      </c>
      <c r="C8259" s="1214">
        <v>50</v>
      </c>
      <c r="D8259" s="1877">
        <v>10</v>
      </c>
      <c r="E8259" s="1214">
        <f>C8259*D8259</f>
        <v>500</v>
      </c>
      <c r="F8259" s="950">
        <v>0.27</v>
      </c>
    </row>
    <row r="8262" spans="1:8">
      <c r="A8262" t="s">
        <v>6443</v>
      </c>
      <c r="C8262" s="317" t="s">
        <v>6082</v>
      </c>
      <c r="D8262" s="2037" t="s">
        <v>6080</v>
      </c>
      <c r="E8262" s="2037" t="s">
        <v>6081</v>
      </c>
    </row>
    <row r="8263" spans="1:8">
      <c r="A8263" s="1279" t="s">
        <v>6444</v>
      </c>
      <c r="B8263" s="887" t="s">
        <v>6439</v>
      </c>
      <c r="C8263" s="317"/>
      <c r="D8263" s="2037"/>
      <c r="E8263" s="2037"/>
    </row>
    <row r="8264" spans="1:8">
      <c r="A8264" s="947" t="s">
        <v>6077</v>
      </c>
      <c r="B8264" s="891">
        <f>ROUNDUP(C8264/0.8/120,2)</f>
        <v>19.900000000000002</v>
      </c>
      <c r="C8264" s="236">
        <v>1910</v>
      </c>
      <c r="D8264" s="2038">
        <f>(((B8264*E8264)-C8264)/(B8264*E8264))</f>
        <v>0.20016750418760484</v>
      </c>
      <c r="E8264" s="245">
        <v>120</v>
      </c>
    </row>
    <row r="8269" spans="1:8">
      <c r="A8269" s="2100" t="s">
        <v>1603</v>
      </c>
      <c r="B8269" s="902" t="s">
        <v>377</v>
      </c>
      <c r="C8269" s="902" t="s">
        <v>128</v>
      </c>
      <c r="D8269" s="887" t="s">
        <v>1186</v>
      </c>
      <c r="E8269" s="887" t="s">
        <v>1652</v>
      </c>
      <c r="F8269" s="887" t="s">
        <v>1653</v>
      </c>
      <c r="G8269" s="2030" t="s">
        <v>1323</v>
      </c>
      <c r="H8269" s="916" t="s">
        <v>10</v>
      </c>
    </row>
    <row r="8270" spans="1:8">
      <c r="A8270" s="47" t="s">
        <v>738</v>
      </c>
      <c r="B8270" s="907">
        <v>152</v>
      </c>
      <c r="C8270" s="47" t="s">
        <v>30</v>
      </c>
      <c r="D8270" s="903">
        <v>30</v>
      </c>
      <c r="E8270" s="904">
        <v>1</v>
      </c>
      <c r="F8270" s="905">
        <f>E8270*D8270</f>
        <v>30</v>
      </c>
      <c r="G8270" s="891">
        <v>4.45</v>
      </c>
    </row>
    <row r="8271" spans="1:8" ht="20.25">
      <c r="A8271" s="1059"/>
      <c r="B8271" s="260"/>
      <c r="C8271" s="47" t="s">
        <v>5355</v>
      </c>
      <c r="D8271" s="905"/>
      <c r="E8271" s="904" ph="1"/>
      <c r="F8271" s="894">
        <v>1</v>
      </c>
      <c r="G8271" s="891">
        <v>12</v>
      </c>
    </row>
    <row r="8272" spans="1:8" ht="20.25">
      <c r="A8272" s="1059"/>
      <c r="B8272" s="260"/>
      <c r="C8272" s="47" t="s">
        <v>2975</v>
      </c>
      <c r="D8272" s="905"/>
      <c r="E8272" s="904" ph="1"/>
      <c r="F8272" s="894">
        <v>1</v>
      </c>
      <c r="G8272" s="891">
        <v>20</v>
      </c>
    </row>
    <row r="8273" spans="1:9" ht="14.25" customHeight="1"/>
    <row r="8275" spans="1:9" s="1019" customFormat="1" ht="12.75">
      <c r="A8275" s="1019" t="s">
        <v>6448</v>
      </c>
    </row>
    <row r="8276" spans="1:9" s="2103" customFormat="1" ht="25.5">
      <c r="A8276" s="2101" t="s">
        <v>1400</v>
      </c>
      <c r="B8276" s="1772" t="s">
        <v>5514</v>
      </c>
      <c r="C8276" s="1772" t="s">
        <v>6450</v>
      </c>
      <c r="D8276" s="1783" t="s">
        <v>6449</v>
      </c>
      <c r="E8276" s="2102" t="s">
        <v>6445</v>
      </c>
      <c r="F8276" s="2037" t="s">
        <v>6446</v>
      </c>
      <c r="G8276" s="2037" t="s">
        <v>6081</v>
      </c>
    </row>
    <row r="8277" spans="1:9" s="2103" customFormat="1" ht="24" customHeight="1">
      <c r="A8277" s="1197" t="s">
        <v>6452</v>
      </c>
      <c r="B8277" s="1197" t="s">
        <v>6447</v>
      </c>
      <c r="C8277" s="1197" t="s">
        <v>6451</v>
      </c>
      <c r="D8277" s="2105">
        <f>ROUNDUP(E8277/0.8/120,2)</f>
        <v>22.5</v>
      </c>
      <c r="E8277" s="2104">
        <v>2160</v>
      </c>
      <c r="F8277" s="2083">
        <f>(D8277-(E8277/G8277))/D8277</f>
        <v>0.2</v>
      </c>
      <c r="G8277" s="245">
        <v>120</v>
      </c>
    </row>
    <row r="8278" spans="1:9" s="2103" customFormat="1" ht="24" customHeight="1">
      <c r="A8278" s="1197" t="s">
        <v>6452</v>
      </c>
      <c r="B8278" s="1197" t="s">
        <v>6447</v>
      </c>
      <c r="C8278" s="1197" t="s">
        <v>6453</v>
      </c>
      <c r="D8278" s="2105">
        <f>ROUNDUP(E8278/0.8/120,2)</f>
        <v>11.879999999999999</v>
      </c>
      <c r="E8278" s="2104">
        <f>1110+30</f>
        <v>1140</v>
      </c>
      <c r="F8278" s="2083">
        <f>(D8278-(E8278/G8278))/D8278</f>
        <v>0.20033670033670026</v>
      </c>
      <c r="G8278" s="245">
        <v>120</v>
      </c>
    </row>
    <row r="8282" spans="1:9">
      <c r="A8282" s="1279" t="s">
        <v>106</v>
      </c>
      <c r="B8282" s="902" t="s">
        <v>128</v>
      </c>
      <c r="C8282" s="902" t="s">
        <v>6444</v>
      </c>
      <c r="D8282" s="1783" t="s">
        <v>6455</v>
      </c>
      <c r="E8282" s="52" t="s">
        <v>10</v>
      </c>
    </row>
    <row r="8283" spans="1:9">
      <c r="A8283" s="47" t="s">
        <v>5493</v>
      </c>
      <c r="B8283" s="260" t="s">
        <v>6454</v>
      </c>
      <c r="C8283" s="983">
        <v>25</v>
      </c>
      <c r="D8283" s="891">
        <v>7.94</v>
      </c>
    </row>
    <row r="8284" spans="1:9">
      <c r="A8284" s="47"/>
      <c r="B8284" s="260" t="s">
        <v>3512</v>
      </c>
      <c r="C8284" s="894">
        <v>1</v>
      </c>
      <c r="D8284" s="891">
        <v>40</v>
      </c>
    </row>
    <row r="8286" spans="1:9">
      <c r="A8286" s="902" t="s">
        <v>106</v>
      </c>
      <c r="B8286" s="902" t="s">
        <v>52</v>
      </c>
      <c r="C8286" s="902" t="s">
        <v>128</v>
      </c>
      <c r="D8286" s="887" t="s">
        <v>1186</v>
      </c>
      <c r="E8286" s="887" t="s">
        <v>1652</v>
      </c>
      <c r="F8286" s="887" t="s">
        <v>1653</v>
      </c>
      <c r="G8286" s="2030" t="s">
        <v>1323</v>
      </c>
      <c r="H8286" s="52" t="s">
        <v>134</v>
      </c>
      <c r="I8286" s="39"/>
    </row>
    <row r="8287" spans="1:9">
      <c r="A8287" s="47">
        <v>12740</v>
      </c>
      <c r="B8287" s="48">
        <v>9</v>
      </c>
      <c r="C8287" s="47" t="s">
        <v>6458</v>
      </c>
      <c r="D8287" s="905">
        <v>10</v>
      </c>
      <c r="E8287" s="906">
        <v>1</v>
      </c>
      <c r="F8287" s="905">
        <f>D8287*E8287</f>
        <v>10</v>
      </c>
      <c r="G8287" s="891">
        <v>1.04</v>
      </c>
      <c r="H8287" s="891">
        <f t="shared" ref="H8287:H8292" si="65">G8287*F8287</f>
        <v>10.4</v>
      </c>
    </row>
    <row r="8288" spans="1:9">
      <c r="A8288" s="47">
        <v>12740</v>
      </c>
      <c r="B8288" s="48">
        <v>9</v>
      </c>
      <c r="C8288" s="47" t="s">
        <v>6459</v>
      </c>
      <c r="D8288" s="905">
        <v>10</v>
      </c>
      <c r="E8288" s="906">
        <v>2</v>
      </c>
      <c r="F8288" s="905">
        <f>D8288*E8288</f>
        <v>20</v>
      </c>
      <c r="G8288" s="891">
        <v>1.04</v>
      </c>
      <c r="H8288" s="891">
        <f t="shared" si="65"/>
        <v>20.8</v>
      </c>
    </row>
    <row r="8289" spans="1:8">
      <c r="A8289" s="47">
        <v>12740</v>
      </c>
      <c r="B8289" s="48">
        <v>9</v>
      </c>
      <c r="C8289" s="47" t="s">
        <v>6460</v>
      </c>
      <c r="D8289" s="905">
        <v>10</v>
      </c>
      <c r="E8289" s="906">
        <v>1</v>
      </c>
      <c r="F8289" s="905">
        <f>D8289*E8289</f>
        <v>10</v>
      </c>
      <c r="G8289" s="891">
        <v>1.04</v>
      </c>
      <c r="H8289" s="891">
        <f t="shared" si="65"/>
        <v>10.4</v>
      </c>
    </row>
    <row r="8290" spans="1:8">
      <c r="A8290" s="47">
        <v>12740</v>
      </c>
      <c r="B8290" s="48">
        <v>9</v>
      </c>
      <c r="C8290" s="47" t="s">
        <v>6461</v>
      </c>
      <c r="D8290" s="905">
        <v>10</v>
      </c>
      <c r="E8290" s="906">
        <v>1</v>
      </c>
      <c r="F8290" s="905">
        <f>D8290*E8290</f>
        <v>10</v>
      </c>
      <c r="G8290" s="891">
        <v>1.04</v>
      </c>
      <c r="H8290" s="891">
        <f t="shared" si="65"/>
        <v>10.4</v>
      </c>
    </row>
    <row r="8291" spans="1:8">
      <c r="A8291" s="47">
        <v>12740</v>
      </c>
      <c r="B8291" s="48">
        <v>9</v>
      </c>
      <c r="C8291" s="47" t="s">
        <v>6462</v>
      </c>
      <c r="D8291" s="905">
        <v>10</v>
      </c>
      <c r="E8291" s="906">
        <v>1</v>
      </c>
      <c r="F8291" s="905">
        <f>D8291*E8291</f>
        <v>10</v>
      </c>
      <c r="G8291" s="891">
        <v>1.04</v>
      </c>
      <c r="H8291" s="891">
        <f t="shared" si="65"/>
        <v>10.4</v>
      </c>
    </row>
    <row r="8292" spans="1:8">
      <c r="A8292" s="47"/>
      <c r="B8292" s="893"/>
      <c r="C8292" s="260" t="s">
        <v>1993</v>
      </c>
      <c r="D8292" s="905"/>
      <c r="E8292" s="906"/>
      <c r="F8292" s="894">
        <v>1</v>
      </c>
      <c r="G8292" s="891">
        <v>12</v>
      </c>
      <c r="H8292" s="891">
        <f t="shared" si="65"/>
        <v>12</v>
      </c>
    </row>
    <row r="8294" spans="1:8">
      <c r="A8294" s="1279" t="s">
        <v>106</v>
      </c>
      <c r="B8294" s="902" t="s">
        <v>128</v>
      </c>
      <c r="C8294" s="902" t="s">
        <v>6444</v>
      </c>
      <c r="D8294" s="2030" t="s">
        <v>1323</v>
      </c>
    </row>
    <row r="8295" spans="1:8">
      <c r="A8295" s="47" t="s">
        <v>6406</v>
      </c>
      <c r="B8295" s="47" t="s">
        <v>6320</v>
      </c>
      <c r="C8295" s="905">
        <v>12</v>
      </c>
      <c r="D8295" s="891">
        <v>1.86</v>
      </c>
    </row>
    <row r="8296" spans="1:8">
      <c r="A8296" s="47"/>
      <c r="B8296" s="260" t="s">
        <v>1949</v>
      </c>
      <c r="C8296" s="894">
        <v>1</v>
      </c>
      <c r="D8296" s="891">
        <v>12</v>
      </c>
    </row>
    <row r="8299" spans="1:8">
      <c r="A8299" s="2111" t="s">
        <v>6468</v>
      </c>
      <c r="B8299" s="2109" t="s">
        <v>6469</v>
      </c>
      <c r="C8299" s="2109" t="s">
        <v>5416</v>
      </c>
      <c r="D8299" s="2112" t="s">
        <v>6470</v>
      </c>
      <c r="E8299" s="2110" t="s">
        <v>3816</v>
      </c>
    </row>
    <row r="8300" spans="1:8">
      <c r="A8300" s="1341" t="s">
        <v>6464</v>
      </c>
      <c r="B8300" s="2106">
        <v>45092</v>
      </c>
      <c r="C8300" s="2106">
        <v>45122</v>
      </c>
      <c r="D8300" s="2107" t="s">
        <v>6465</v>
      </c>
      <c r="E8300" s="2108">
        <v>331.23</v>
      </c>
    </row>
    <row r="8301" spans="1:8">
      <c r="A8301" s="1341" t="s">
        <v>6466</v>
      </c>
      <c r="B8301" s="2106">
        <v>45121</v>
      </c>
      <c r="C8301" s="2106">
        <v>45151</v>
      </c>
      <c r="D8301" s="2107" t="s">
        <v>6465</v>
      </c>
      <c r="E8301" s="2108">
        <v>2082.2399999999998</v>
      </c>
    </row>
    <row r="8302" spans="1:8">
      <c r="A8302" s="1341" t="s">
        <v>6467</v>
      </c>
      <c r="B8302" s="2106">
        <v>45250</v>
      </c>
      <c r="C8302" s="2106">
        <v>45280</v>
      </c>
      <c r="D8302" s="2107"/>
      <c r="E8302" s="2108">
        <v>198.4</v>
      </c>
    </row>
    <row r="8304" spans="1:8">
      <c r="A8304" t="s">
        <v>6476</v>
      </c>
    </row>
    <row r="8305" spans="1:9">
      <c r="A8305" s="1279" t="s">
        <v>106</v>
      </c>
      <c r="B8305" s="1279" t="s">
        <v>53</v>
      </c>
      <c r="C8305" s="988" t="s">
        <v>1186</v>
      </c>
      <c r="D8305" s="988" t="s">
        <v>6475</v>
      </c>
      <c r="E8305" s="988" t="s">
        <v>6413</v>
      </c>
      <c r="F8305" s="317" t="s">
        <v>1225</v>
      </c>
      <c r="G8305" s="2037" t="s">
        <v>6080</v>
      </c>
      <c r="H8305" s="317" t="s">
        <v>6379</v>
      </c>
    </row>
    <row r="8306" spans="1:9" s="888" customFormat="1">
      <c r="A8306" s="47" t="s">
        <v>6472</v>
      </c>
      <c r="B8306" s="47" t="s">
        <v>6474</v>
      </c>
      <c r="C8306" s="346" t="s">
        <v>6473</v>
      </c>
      <c r="D8306" s="346" t="s">
        <v>6473</v>
      </c>
      <c r="E8306" s="2096">
        <v>0.93</v>
      </c>
      <c r="F8306" s="317">
        <v>50</v>
      </c>
      <c r="G8306" s="2070">
        <f>(E8306-(F8306/H8306))/E8306</f>
        <v>0.55197132616487465</v>
      </c>
      <c r="H8306" s="317">
        <v>120</v>
      </c>
    </row>
    <row r="8308" spans="1:9">
      <c r="A8308" s="1279" t="s">
        <v>6483</v>
      </c>
      <c r="B8308" s="1279" t="s">
        <v>106</v>
      </c>
      <c r="C8308" s="1279" t="s">
        <v>53</v>
      </c>
      <c r="D8308" s="902" t="s">
        <v>6444</v>
      </c>
      <c r="E8308" s="2030" t="s">
        <v>1323</v>
      </c>
    </row>
    <row r="8309" spans="1:9">
      <c r="A8309" s="47" t="s">
        <v>6484</v>
      </c>
      <c r="B8309" s="47" t="s">
        <v>6480</v>
      </c>
      <c r="C8309" s="47" t="s">
        <v>56</v>
      </c>
      <c r="D8309" s="905">
        <v>40</v>
      </c>
      <c r="E8309" s="891">
        <v>0.93</v>
      </c>
    </row>
    <row r="8310" spans="1:9">
      <c r="A8310" s="47" t="s">
        <v>6485</v>
      </c>
      <c r="B8310" s="47" t="s">
        <v>6480</v>
      </c>
      <c r="C8310" s="47" t="s">
        <v>56</v>
      </c>
      <c r="D8310" s="905">
        <v>10</v>
      </c>
      <c r="E8310" s="891">
        <v>0.93</v>
      </c>
    </row>
    <row r="8311" spans="1:9">
      <c r="A8311" s="47"/>
      <c r="B8311" s="47"/>
      <c r="C8311" s="260" t="s">
        <v>1949</v>
      </c>
      <c r="D8311" s="894">
        <v>1</v>
      </c>
      <c r="E8311" s="891">
        <v>12</v>
      </c>
    </row>
    <row r="8313" spans="1:9">
      <c r="A8313" s="895" t="s">
        <v>6494</v>
      </c>
    </row>
    <row r="8314" spans="1:9" s="888" customFormat="1" ht="25.5">
      <c r="A8314" s="1350" t="s">
        <v>1369</v>
      </c>
      <c r="B8314" s="1351" t="s">
        <v>377</v>
      </c>
      <c r="C8314" s="1352" t="s">
        <v>2</v>
      </c>
      <c r="D8314" s="1353" t="s">
        <v>1734</v>
      </c>
      <c r="E8314" s="1966" t="s">
        <v>2264</v>
      </c>
      <c r="F8314" s="1966" t="s">
        <v>1181</v>
      </c>
      <c r="G8314" s="1354" t="s">
        <v>5527</v>
      </c>
    </row>
    <row r="8315" spans="1:9" s="888" customFormat="1" ht="12.75">
      <c r="A8315" s="909">
        <v>8003</v>
      </c>
      <c r="B8315" s="963">
        <v>10</v>
      </c>
      <c r="C8315" s="1171">
        <v>20</v>
      </c>
      <c r="D8315" s="909" t="s">
        <v>1812</v>
      </c>
      <c r="E8315" s="909" t="s">
        <v>6493</v>
      </c>
      <c r="F8315" s="1172" t="s">
        <v>6492</v>
      </c>
      <c r="G8315" s="1245">
        <v>1.04</v>
      </c>
    </row>
    <row r="8318" spans="1:9" s="2130" customFormat="1" ht="12.75">
      <c r="A8318" s="902" t="s">
        <v>6497</v>
      </c>
      <c r="B8318" s="902" t="s">
        <v>106</v>
      </c>
      <c r="C8318" s="902" t="s">
        <v>377</v>
      </c>
      <c r="D8318" s="902" t="s">
        <v>128</v>
      </c>
      <c r="E8318" s="887" t="s">
        <v>1186</v>
      </c>
      <c r="F8318" s="887" t="s">
        <v>1652</v>
      </c>
      <c r="G8318" s="887" t="s">
        <v>1653</v>
      </c>
      <c r="H8318" s="2030" t="s">
        <v>1323</v>
      </c>
      <c r="I8318" s="2030" t="s">
        <v>6499</v>
      </c>
    </row>
    <row r="8319" spans="1:9" s="2130" customFormat="1" ht="12.75">
      <c r="A8319" s="947" t="s">
        <v>6498</v>
      </c>
      <c r="B8319" s="47" t="s">
        <v>536</v>
      </c>
      <c r="C8319" s="1146">
        <v>160</v>
      </c>
      <c r="D8319" s="47" t="s">
        <v>735</v>
      </c>
      <c r="E8319" s="1214">
        <v>50</v>
      </c>
      <c r="F8319" s="1877">
        <v>6</v>
      </c>
      <c r="G8319" s="49">
        <f>E8319*F8319</f>
        <v>300</v>
      </c>
      <c r="H8319" s="1258">
        <v>5</v>
      </c>
      <c r="I8319" s="2131" t="s">
        <v>3416</v>
      </c>
    </row>
    <row r="8320" spans="1:9" s="2130" customFormat="1" ht="12.75">
      <c r="A8320" s="947" t="s">
        <v>6498</v>
      </c>
      <c r="B8320" s="47" t="s">
        <v>731</v>
      </c>
      <c r="C8320" s="1146">
        <v>140</v>
      </c>
      <c r="D8320" s="47" t="s">
        <v>734</v>
      </c>
      <c r="E8320" s="1214">
        <v>58</v>
      </c>
      <c r="F8320" s="1877">
        <v>6</v>
      </c>
      <c r="G8320" s="1214">
        <f>E8320*F8320</f>
        <v>348</v>
      </c>
      <c r="H8320" s="950">
        <v>10</v>
      </c>
      <c r="I8320" s="2131" t="s">
        <v>6500</v>
      </c>
    </row>
    <row r="8321" spans="1:9" s="2130" customFormat="1" ht="12.75">
      <c r="A8321" s="947" t="s">
        <v>6498</v>
      </c>
      <c r="B8321" s="47">
        <v>2440</v>
      </c>
      <c r="C8321" s="1146">
        <v>140</v>
      </c>
      <c r="D8321" s="47" t="s">
        <v>733</v>
      </c>
      <c r="E8321" s="1214">
        <v>58</v>
      </c>
      <c r="F8321" s="1877">
        <v>7</v>
      </c>
      <c r="G8321" s="1214">
        <f>E8321*F8321</f>
        <v>406</v>
      </c>
      <c r="H8321" s="950">
        <v>3.89</v>
      </c>
      <c r="I8321" s="2131" t="s">
        <v>3416</v>
      </c>
    </row>
    <row r="8322" spans="1:9" s="2130" customFormat="1" ht="12.75">
      <c r="A8322" s="947" t="s">
        <v>6498</v>
      </c>
      <c r="B8322" s="47">
        <v>2440</v>
      </c>
      <c r="C8322" s="1146">
        <v>140</v>
      </c>
      <c r="D8322" s="47" t="s">
        <v>859</v>
      </c>
      <c r="E8322" s="1214">
        <v>58</v>
      </c>
      <c r="F8322" s="1877">
        <v>3</v>
      </c>
      <c r="G8322" s="1214">
        <f>E8322*F8322</f>
        <v>174</v>
      </c>
      <c r="H8322" s="950">
        <v>3.89</v>
      </c>
      <c r="I8322" s="2131" t="s">
        <v>3416</v>
      </c>
    </row>
    <row r="8326" spans="1:9">
      <c r="A8326" s="902" t="s">
        <v>106</v>
      </c>
      <c r="B8326" s="902" t="s">
        <v>377</v>
      </c>
      <c r="C8326" s="902" t="s">
        <v>128</v>
      </c>
      <c r="D8326" s="887" t="s">
        <v>1186</v>
      </c>
      <c r="E8326" s="887" t="s">
        <v>1652</v>
      </c>
      <c r="F8326" s="887" t="s">
        <v>1653</v>
      </c>
      <c r="G8326" s="2030" t="s">
        <v>1323</v>
      </c>
      <c r="H8326" s="39"/>
    </row>
    <row r="8327" spans="1:9">
      <c r="A8327" s="47">
        <v>2440</v>
      </c>
      <c r="B8327" s="907">
        <v>140</v>
      </c>
      <c r="C8327" s="47" t="s">
        <v>6506</v>
      </c>
      <c r="D8327" s="905"/>
      <c r="E8327" s="906"/>
      <c r="F8327" s="905">
        <v>1</v>
      </c>
      <c r="G8327" s="891">
        <v>4.38</v>
      </c>
      <c r="H8327" s="891">
        <f t="shared" ref="H8327:H8335" si="66">G8327*F8327</f>
        <v>4.38</v>
      </c>
    </row>
    <row r="8328" spans="1:9">
      <c r="A8328" s="47">
        <v>2440</v>
      </c>
      <c r="B8328" s="907">
        <v>140</v>
      </c>
      <c r="C8328" s="47" t="s">
        <v>6501</v>
      </c>
      <c r="D8328" s="905"/>
      <c r="E8328" s="906"/>
      <c r="F8328" s="905">
        <v>1</v>
      </c>
      <c r="G8328" s="891">
        <v>4.38</v>
      </c>
      <c r="H8328" s="891">
        <f t="shared" si="66"/>
        <v>4.38</v>
      </c>
    </row>
    <row r="8329" spans="1:9">
      <c r="A8329" s="47">
        <v>2440</v>
      </c>
      <c r="B8329" s="907">
        <v>140</v>
      </c>
      <c r="C8329" s="47" t="s">
        <v>6502</v>
      </c>
      <c r="D8329" s="905"/>
      <c r="E8329" s="906"/>
      <c r="F8329" s="905">
        <v>1</v>
      </c>
      <c r="G8329" s="891">
        <v>4.38</v>
      </c>
      <c r="H8329" s="891">
        <f t="shared" si="66"/>
        <v>4.38</v>
      </c>
    </row>
    <row r="8330" spans="1:9">
      <c r="A8330" s="47">
        <v>2440</v>
      </c>
      <c r="B8330" s="907">
        <v>140</v>
      </c>
      <c r="C8330" s="47" t="s">
        <v>6503</v>
      </c>
      <c r="D8330" s="905"/>
      <c r="E8330" s="906"/>
      <c r="F8330" s="905">
        <v>1</v>
      </c>
      <c r="G8330" s="891">
        <v>4.38</v>
      </c>
      <c r="H8330" s="891">
        <f t="shared" si="66"/>
        <v>4.38</v>
      </c>
    </row>
    <row r="8331" spans="1:9">
      <c r="A8331" s="47">
        <v>2440</v>
      </c>
      <c r="B8331" s="907">
        <v>140</v>
      </c>
      <c r="C8331" s="47" t="s">
        <v>6504</v>
      </c>
      <c r="D8331" s="905"/>
      <c r="E8331" s="906"/>
      <c r="F8331" s="905">
        <v>1</v>
      </c>
      <c r="G8331" s="891">
        <v>4.38</v>
      </c>
      <c r="H8331" s="891">
        <f t="shared" si="66"/>
        <v>4.38</v>
      </c>
    </row>
    <row r="8332" spans="1:9">
      <c r="A8332" s="47">
        <v>2440</v>
      </c>
      <c r="B8332" s="907">
        <v>140</v>
      </c>
      <c r="C8332" s="47" t="s">
        <v>6505</v>
      </c>
      <c r="D8332" s="905"/>
      <c r="E8332" s="906"/>
      <c r="F8332" s="905">
        <v>1</v>
      </c>
      <c r="G8332" s="891">
        <v>4.38</v>
      </c>
      <c r="H8332" s="891">
        <f t="shared" si="66"/>
        <v>4.38</v>
      </c>
    </row>
    <row r="8333" spans="1:9">
      <c r="A8333" s="47">
        <v>2440</v>
      </c>
      <c r="B8333" s="907">
        <v>140</v>
      </c>
      <c r="C8333" s="47" t="s">
        <v>6507</v>
      </c>
      <c r="D8333" s="905"/>
      <c r="E8333" s="906"/>
      <c r="F8333" s="905">
        <v>1</v>
      </c>
      <c r="G8333" s="891">
        <v>4.38</v>
      </c>
      <c r="H8333" s="891">
        <f t="shared" si="66"/>
        <v>4.38</v>
      </c>
    </row>
    <row r="8334" spans="1:9">
      <c r="A8334" s="47"/>
      <c r="B8334" s="893"/>
      <c r="C8334" s="260" t="s">
        <v>75</v>
      </c>
      <c r="D8334" s="905"/>
      <c r="E8334" s="906"/>
      <c r="F8334" s="894">
        <v>7</v>
      </c>
      <c r="G8334" s="891">
        <v>12</v>
      </c>
      <c r="H8334" s="891">
        <f t="shared" si="66"/>
        <v>84</v>
      </c>
    </row>
    <row r="8335" spans="1:9">
      <c r="A8335" s="47"/>
      <c r="B8335" s="893"/>
      <c r="C8335" s="260" t="s">
        <v>1993</v>
      </c>
      <c r="D8335" s="905"/>
      <c r="E8335" s="906"/>
      <c r="F8335" s="894">
        <v>1</v>
      </c>
      <c r="G8335" s="891">
        <v>12</v>
      </c>
      <c r="H8335" s="891">
        <f t="shared" si="66"/>
        <v>12</v>
      </c>
    </row>
    <row r="8339" spans="1:11">
      <c r="A8339" s="902" t="s">
        <v>106</v>
      </c>
      <c r="B8339" s="902" t="s">
        <v>377</v>
      </c>
      <c r="C8339" s="902" t="s">
        <v>128</v>
      </c>
      <c r="D8339" s="887" t="s">
        <v>1186</v>
      </c>
      <c r="E8339" s="887" t="s">
        <v>1652</v>
      </c>
      <c r="F8339" s="887" t="s">
        <v>1653</v>
      </c>
      <c r="G8339" s="2030" t="s">
        <v>1323</v>
      </c>
    </row>
    <row r="8340" spans="1:11">
      <c r="A8340" s="47" t="s">
        <v>736</v>
      </c>
      <c r="B8340" s="907">
        <v>162</v>
      </c>
      <c r="C8340" s="47" t="s">
        <v>5605</v>
      </c>
      <c r="D8340" s="903">
        <v>50</v>
      </c>
      <c r="E8340" s="904">
        <v>2</v>
      </c>
      <c r="F8340" s="905">
        <f>D8340*E8340</f>
        <v>100</v>
      </c>
      <c r="G8340" s="891">
        <v>4.59</v>
      </c>
    </row>
    <row r="8341" spans="1:11" ht="20.25">
      <c r="A8341" s="1059"/>
      <c r="B8341" s="260"/>
      <c r="C8341" s="47" t="s">
        <v>2975</v>
      </c>
      <c r="D8341" s="905"/>
      <c r="E8341" s="904" ph="1"/>
      <c r="F8341" s="894">
        <v>1</v>
      </c>
      <c r="G8341" s="891">
        <v>20</v>
      </c>
    </row>
    <row r="8344" spans="1:11" s="1186" customFormat="1" ht="25.5">
      <c r="A8344" s="1350" t="s">
        <v>1369</v>
      </c>
      <c r="B8344" s="1351" t="s">
        <v>377</v>
      </c>
      <c r="C8344" s="1352" t="s">
        <v>2</v>
      </c>
      <c r="D8344" s="1353" t="s">
        <v>1734</v>
      </c>
      <c r="E8344" s="1966" t="s">
        <v>2264</v>
      </c>
      <c r="F8344" s="1966" t="s">
        <v>1181</v>
      </c>
      <c r="G8344" s="1354" t="s">
        <v>5527</v>
      </c>
      <c r="H8344" s="1185" t="s">
        <v>1403</v>
      </c>
    </row>
    <row r="8345" spans="1:11" s="2103" customFormat="1" ht="15" customHeight="1">
      <c r="A8345" s="2132">
        <v>5300</v>
      </c>
      <c r="B8345" s="2133">
        <v>11</v>
      </c>
      <c r="C8345" s="2134">
        <v>30</v>
      </c>
      <c r="D8345" s="1172" t="s">
        <v>1812</v>
      </c>
      <c r="E8345" s="2135" t="s">
        <v>6509</v>
      </c>
      <c r="F8345" s="2136" t="s">
        <v>6510</v>
      </c>
      <c r="G8345" s="1360">
        <v>1.25</v>
      </c>
      <c r="H8345" s="2137"/>
      <c r="I8345" s="2138"/>
    </row>
    <row r="8348" spans="1:11">
      <c r="A8348" t="s">
        <v>6511</v>
      </c>
    </row>
    <row r="8349" spans="1:11" s="194" customFormat="1" ht="14.25">
      <c r="A8349" s="2939" t="s">
        <v>6548</v>
      </c>
      <c r="B8349" s="2940" t="s">
        <v>6519</v>
      </c>
      <c r="C8349" s="2940" t="s">
        <v>6550</v>
      </c>
      <c r="D8349" s="2940"/>
      <c r="E8349" s="2940"/>
      <c r="F8349" s="2940"/>
      <c r="G8349" s="2940"/>
      <c r="H8349" s="2939" t="s">
        <v>6517</v>
      </c>
      <c r="I8349" s="2939" t="s">
        <v>6531</v>
      </c>
      <c r="J8349" s="2939" t="s">
        <v>6518</v>
      </c>
      <c r="K8349" s="2939" t="s">
        <v>6549</v>
      </c>
    </row>
    <row r="8350" spans="1:11" s="194" customFormat="1" ht="14.25">
      <c r="A8350" s="2940"/>
      <c r="B8350" s="2940"/>
      <c r="C8350" s="2149" t="s">
        <v>6512</v>
      </c>
      <c r="D8350" s="2149" t="s">
        <v>6513</v>
      </c>
      <c r="E8350" s="2149" t="s">
        <v>6514</v>
      </c>
      <c r="F8350" s="2149" t="s">
        <v>6515</v>
      </c>
      <c r="G8350" s="2149" t="s">
        <v>6516</v>
      </c>
      <c r="H8350" s="2940"/>
      <c r="I8350" s="2940"/>
      <c r="J8350" s="2940"/>
      <c r="K8350" s="2940"/>
    </row>
    <row r="8351" spans="1:11" s="2142" customFormat="1" ht="16.5" customHeight="1">
      <c r="A8351" s="2143" t="s">
        <v>6541</v>
      </c>
      <c r="B8351" s="2143" t="s">
        <v>6532</v>
      </c>
      <c r="C8351" s="2140">
        <v>14.42</v>
      </c>
      <c r="D8351" s="2140">
        <v>13.22</v>
      </c>
      <c r="E8351" s="2140">
        <v>12.26</v>
      </c>
      <c r="F8351" s="2140">
        <v>12.14</v>
      </c>
      <c r="G8351" s="2140">
        <v>12.02</v>
      </c>
      <c r="H8351" s="2141">
        <v>1244.4000000000001</v>
      </c>
      <c r="I8351" s="2141">
        <v>109.8</v>
      </c>
      <c r="J8351" s="2141">
        <v>29</v>
      </c>
      <c r="K8351" s="2143" t="s">
        <v>3460</v>
      </c>
    </row>
    <row r="8352" spans="1:11" s="2142" customFormat="1" ht="16.5" customHeight="1">
      <c r="A8352" s="2143" t="s">
        <v>6524</v>
      </c>
      <c r="B8352" s="2143" t="s">
        <v>6525</v>
      </c>
      <c r="C8352" s="2140">
        <v>11.52</v>
      </c>
      <c r="D8352" s="2140">
        <v>10.56</v>
      </c>
      <c r="E8352" s="2140">
        <v>9.7899999999999991</v>
      </c>
      <c r="F8352" s="2140">
        <v>9.69</v>
      </c>
      <c r="G8352" s="2140">
        <v>9.6</v>
      </c>
      <c r="H8352" s="2144">
        <v>1508</v>
      </c>
      <c r="I8352" s="2144">
        <v>156</v>
      </c>
      <c r="J8352" s="2141">
        <v>23</v>
      </c>
      <c r="K8352" s="2143" t="s">
        <v>6526</v>
      </c>
    </row>
    <row r="8353" spans="1:13" s="2142" customFormat="1" ht="16.5" customHeight="1">
      <c r="A8353" s="2143" t="s">
        <v>6542</v>
      </c>
      <c r="B8353" s="2143" t="s">
        <v>6543</v>
      </c>
      <c r="C8353" s="2140">
        <v>14.9</v>
      </c>
      <c r="D8353" s="2140">
        <v>13.66</v>
      </c>
      <c r="E8353" s="2140">
        <v>12.67</v>
      </c>
      <c r="F8353" s="2140">
        <v>12.54</v>
      </c>
      <c r="G8353" s="2140">
        <v>12.42</v>
      </c>
      <c r="H8353" s="2141">
        <v>1207.8</v>
      </c>
      <c r="I8353" s="2141">
        <v>109.8</v>
      </c>
      <c r="J8353" s="2141">
        <v>30</v>
      </c>
      <c r="K8353" s="2143" t="s">
        <v>3460</v>
      </c>
    </row>
    <row r="8354" spans="1:13" s="2142" customFormat="1" ht="16.5" customHeight="1">
      <c r="A8354" s="2143" t="s">
        <v>6544</v>
      </c>
      <c r="B8354" s="2143" t="s">
        <v>6545</v>
      </c>
      <c r="C8354" s="2140">
        <v>14.86</v>
      </c>
      <c r="D8354" s="2140">
        <v>13.62</v>
      </c>
      <c r="E8354" s="2140">
        <v>12.63</v>
      </c>
      <c r="F8354" s="2140">
        <v>12.51</v>
      </c>
      <c r="G8354" s="2140">
        <v>12.38</v>
      </c>
      <c r="H8354" s="2141">
        <v>1207.8</v>
      </c>
      <c r="I8354" s="2141">
        <v>109.8</v>
      </c>
      <c r="J8354" s="2141">
        <v>29.8</v>
      </c>
      <c r="K8354" s="2143" t="s">
        <v>3460</v>
      </c>
    </row>
    <row r="8355" spans="1:13" s="2142" customFormat="1" ht="16.5" customHeight="1">
      <c r="A8355" s="2143" t="s">
        <v>6546</v>
      </c>
      <c r="B8355" s="2143" t="s">
        <v>6547</v>
      </c>
      <c r="C8355" s="2140">
        <v>9.5299999999999994</v>
      </c>
      <c r="D8355" s="2140">
        <v>8.73</v>
      </c>
      <c r="E8355" s="2140">
        <v>8.1</v>
      </c>
      <c r="F8355" s="2140">
        <v>8.02</v>
      </c>
      <c r="G8355" s="2140">
        <v>7.94</v>
      </c>
      <c r="H8355" s="2141">
        <v>1122.4000000000001</v>
      </c>
      <c r="I8355" s="2141">
        <v>146.4</v>
      </c>
      <c r="J8355" s="2141">
        <v>28.2</v>
      </c>
      <c r="K8355" s="2143" t="s">
        <v>3460</v>
      </c>
    </row>
    <row r="8356" spans="1:13" s="2142" customFormat="1" ht="16.5" customHeight="1">
      <c r="A8356" s="2143" t="s">
        <v>6527</v>
      </c>
      <c r="B8356" s="2143" t="s">
        <v>6528</v>
      </c>
      <c r="C8356" s="2140">
        <v>14.43</v>
      </c>
      <c r="D8356" s="2140">
        <v>13.05</v>
      </c>
      <c r="E8356" s="2140">
        <v>12.8</v>
      </c>
      <c r="F8356" s="2140">
        <v>12.55</v>
      </c>
      <c r="G8356" s="2140">
        <v>12.55</v>
      </c>
      <c r="H8356" s="2141">
        <v>1207.8</v>
      </c>
      <c r="I8356" s="2141">
        <v>109.8</v>
      </c>
      <c r="J8356" s="2141">
        <v>30.2</v>
      </c>
      <c r="K8356" s="2143" t="s">
        <v>3460</v>
      </c>
    </row>
    <row r="8357" spans="1:13" s="2142" customFormat="1" ht="16.5" customHeight="1">
      <c r="A8357" s="2143" t="s">
        <v>6529</v>
      </c>
      <c r="B8357" s="2143" t="s">
        <v>6530</v>
      </c>
      <c r="C8357" s="2140">
        <v>10.54</v>
      </c>
      <c r="D8357" s="2140">
        <v>9.66</v>
      </c>
      <c r="E8357" s="2140">
        <v>8.9600000000000009</v>
      </c>
      <c r="F8357" s="2140">
        <v>8.8699999999999992</v>
      </c>
      <c r="G8357" s="2140">
        <v>8.7799999999999994</v>
      </c>
      <c r="H8357" s="2144">
        <v>1769</v>
      </c>
      <c r="I8357" s="2144">
        <v>183</v>
      </c>
      <c r="J8357" s="2141">
        <v>20</v>
      </c>
      <c r="K8357" s="2143" t="s">
        <v>3460</v>
      </c>
    </row>
    <row r="8358" spans="1:13" s="194" customFormat="1" ht="14.25">
      <c r="A8358" s="2147"/>
      <c r="B8358" s="2143"/>
      <c r="C8358" s="2147"/>
      <c r="D8358" s="2147"/>
      <c r="E8358" s="2147"/>
      <c r="F8358" s="2147"/>
      <c r="G8358" s="2147"/>
      <c r="H8358" s="2147"/>
      <c r="I8358" s="2147"/>
      <c r="J8358" s="2147"/>
      <c r="K8358" s="2147"/>
    </row>
    <row r="8359" spans="1:13" s="194" customFormat="1" ht="14.25">
      <c r="A8359" s="2143" t="s">
        <v>6533</v>
      </c>
      <c r="B8359" s="2143" t="s">
        <v>6520</v>
      </c>
      <c r="C8359" s="2140">
        <v>34.340000000000003</v>
      </c>
      <c r="D8359" s="2140">
        <v>33.36</v>
      </c>
      <c r="E8359" s="2140">
        <v>32.71</v>
      </c>
      <c r="F8359" s="2140">
        <v>32.049999999999997</v>
      </c>
      <c r="G8359" s="2140">
        <v>31.07</v>
      </c>
      <c r="H8359" s="2144">
        <v>364</v>
      </c>
      <c r="I8359" s="2141">
        <v>31.2</v>
      </c>
      <c r="J8359" s="2148">
        <v>100</v>
      </c>
      <c r="K8359" s="2143" t="s">
        <v>3460</v>
      </c>
    </row>
    <row r="8360" spans="1:13" s="2139" customFormat="1" ht="16.5" customHeight="1">
      <c r="A8360" s="2143" t="s">
        <v>6534</v>
      </c>
      <c r="B8360" s="2143" t="s">
        <v>6521</v>
      </c>
      <c r="C8360" s="2140">
        <v>36.94</v>
      </c>
      <c r="D8360" s="2140">
        <v>36.21</v>
      </c>
      <c r="E8360" s="2140">
        <v>33.32</v>
      </c>
      <c r="F8360" s="2140">
        <v>31.87</v>
      </c>
      <c r="G8360" s="2140">
        <v>31.87</v>
      </c>
      <c r="H8360" s="2141">
        <v>332.8</v>
      </c>
      <c r="I8360" s="2141">
        <v>31.2</v>
      </c>
      <c r="J8360" s="2141">
        <v>103.8</v>
      </c>
      <c r="K8360" s="2143" t="s">
        <v>6522</v>
      </c>
    </row>
    <row r="8361" spans="1:13" s="2139" customFormat="1" ht="14.25">
      <c r="A8361" s="2143" t="s">
        <v>6535</v>
      </c>
      <c r="B8361" s="2143" t="s">
        <v>6523</v>
      </c>
      <c r="C8361" s="2140">
        <v>53.17</v>
      </c>
      <c r="D8361" s="2140">
        <v>52.13</v>
      </c>
      <c r="E8361" s="2140">
        <v>47.96</v>
      </c>
      <c r="F8361" s="2140">
        <v>45.87</v>
      </c>
      <c r="G8361" s="2140">
        <v>45.87</v>
      </c>
      <c r="H8361" s="2144">
        <v>305</v>
      </c>
      <c r="I8361" s="2141">
        <v>36.6</v>
      </c>
      <c r="J8361" s="2141">
        <v>138.30000000000001</v>
      </c>
      <c r="K8361" s="2143" t="s">
        <v>3460</v>
      </c>
    </row>
    <row r="8362" spans="1:13" ht="16.5" thickBot="1">
      <c r="A8362" s="2150" t="s">
        <v>6536</v>
      </c>
      <c r="B8362" s="2150" t="s">
        <v>6537</v>
      </c>
      <c r="C8362" s="2151">
        <v>53.23</v>
      </c>
      <c r="D8362" s="2151">
        <v>52.19</v>
      </c>
      <c r="E8362" s="2151">
        <v>48.01</v>
      </c>
      <c r="F8362" s="2151">
        <v>45.92</v>
      </c>
      <c r="G8362" s="2151">
        <v>45.92</v>
      </c>
      <c r="H8362" s="2150">
        <v>341.6</v>
      </c>
      <c r="I8362" s="2150">
        <v>36.6</v>
      </c>
      <c r="J8362" s="2150">
        <v>138.1</v>
      </c>
      <c r="K8362" s="2150" t="s">
        <v>3460</v>
      </c>
      <c r="L8362" s="2146">
        <v>6.1</v>
      </c>
      <c r="M8362" t="s">
        <v>6540</v>
      </c>
    </row>
    <row r="8363" spans="1:13" ht="16.5" thickBot="1">
      <c r="A8363" s="2150" t="s">
        <v>6538</v>
      </c>
      <c r="B8363" s="2150" t="s">
        <v>6539</v>
      </c>
      <c r="C8363" s="2151">
        <v>43.83</v>
      </c>
      <c r="D8363" s="2151">
        <v>42.97</v>
      </c>
      <c r="E8363" s="2151">
        <v>39.53</v>
      </c>
      <c r="F8363" s="2151">
        <v>37.81</v>
      </c>
      <c r="G8363" s="2151">
        <v>37.81</v>
      </c>
      <c r="H8363" s="2150">
        <v>366</v>
      </c>
      <c r="I8363" s="2150">
        <v>36.6</v>
      </c>
      <c r="J8363" s="2150">
        <v>118.8</v>
      </c>
      <c r="K8363" s="2150" t="s">
        <v>3460</v>
      </c>
      <c r="L8363" s="2146">
        <v>6.1</v>
      </c>
      <c r="M8363" t="s">
        <v>6540</v>
      </c>
    </row>
    <row r="8364" spans="1:13">
      <c r="A8364" s="2145"/>
    </row>
    <row r="8366" spans="1:13">
      <c r="A8366" t="s">
        <v>6555</v>
      </c>
    </row>
    <row r="8368" spans="1:13" s="1163" customFormat="1" ht="15.75">
      <c r="A8368" s="2152" t="s">
        <v>1369</v>
      </c>
      <c r="B8368" s="2153" t="s">
        <v>377</v>
      </c>
      <c r="C8368" s="649" t="s">
        <v>6557</v>
      </c>
      <c r="D8368" s="2158" t="s">
        <v>5527</v>
      </c>
      <c r="F8368" s="2037" t="s">
        <v>6080</v>
      </c>
      <c r="G8368" s="317" t="s">
        <v>6379</v>
      </c>
    </row>
    <row r="8369" spans="1:116" s="59" customFormat="1" ht="15" customHeight="1">
      <c r="A8369" s="2154" t="s">
        <v>2265</v>
      </c>
      <c r="B8369" s="2155">
        <v>6</v>
      </c>
      <c r="C8369" s="2156" t="s">
        <v>6556</v>
      </c>
      <c r="D8369" s="1602">
        <v>1.47</v>
      </c>
      <c r="E8369" s="735">
        <v>87</v>
      </c>
      <c r="F8369" s="2070">
        <f t="shared" ref="F8369:F8376" si="67">(D8369-(E8369/G8369))/D8369</f>
        <v>0.50680272108843538</v>
      </c>
      <c r="G8369" s="317">
        <v>120</v>
      </c>
      <c r="H8369" s="1963"/>
      <c r="I8369" s="1963"/>
      <c r="J8369" s="1963"/>
      <c r="K8369" s="1963"/>
      <c r="L8369" s="1963"/>
      <c r="M8369" s="1963"/>
      <c r="N8369" s="1963"/>
      <c r="O8369" s="1963"/>
      <c r="P8369" s="1963"/>
      <c r="Q8369" s="1963"/>
      <c r="R8369" s="1963"/>
      <c r="S8369" s="1963"/>
      <c r="T8369" s="1963"/>
      <c r="U8369" s="1963"/>
      <c r="V8369" s="1963"/>
      <c r="W8369" s="1963"/>
      <c r="X8369" s="1963"/>
      <c r="Y8369" s="1963"/>
      <c r="Z8369" s="1963"/>
      <c r="AA8369" s="1963"/>
      <c r="AB8369" s="1963"/>
      <c r="AC8369" s="1963"/>
      <c r="AD8369" s="1963"/>
      <c r="AE8369" s="1963"/>
      <c r="AF8369" s="1963"/>
      <c r="AG8369" s="1963"/>
      <c r="AH8369" s="1963"/>
      <c r="AI8369" s="1963"/>
      <c r="AJ8369" s="1963"/>
      <c r="AK8369" s="1963"/>
      <c r="AL8369" s="1963"/>
      <c r="AM8369" s="1963"/>
      <c r="AN8369" s="1963"/>
      <c r="AO8369" s="1963"/>
      <c r="AP8369" s="1963"/>
      <c r="AQ8369" s="1963"/>
      <c r="AR8369" s="1963"/>
      <c r="AS8369" s="1963"/>
      <c r="AT8369" s="1963"/>
      <c r="AU8369" s="1963"/>
      <c r="AV8369" s="1963"/>
      <c r="AW8369" s="1963"/>
      <c r="AX8369" s="1963"/>
      <c r="AY8369" s="1963"/>
      <c r="AZ8369" s="1963"/>
      <c r="BA8369" s="1963"/>
      <c r="BB8369" s="1963"/>
      <c r="BC8369" s="1963"/>
      <c r="BD8369" s="1963"/>
      <c r="BE8369" s="1963"/>
      <c r="BF8369" s="1963"/>
      <c r="BG8369" s="1963"/>
      <c r="BH8369" s="1963"/>
      <c r="BI8369" s="1963"/>
      <c r="BJ8369" s="1963"/>
      <c r="BK8369" s="1963"/>
      <c r="BL8369" s="1963"/>
      <c r="BM8369" s="1963"/>
      <c r="BN8369" s="1963"/>
      <c r="BO8369" s="1963"/>
      <c r="BP8369" s="1963"/>
      <c r="BQ8369" s="1963"/>
      <c r="BR8369" s="1963"/>
      <c r="BS8369" s="1963"/>
      <c r="BT8369" s="1963"/>
      <c r="BU8369" s="1963"/>
      <c r="BV8369" s="1963"/>
      <c r="BW8369" s="1963"/>
      <c r="BX8369" s="1963"/>
      <c r="BY8369" s="1963"/>
      <c r="BZ8369" s="1963"/>
      <c r="CA8369" s="1963"/>
      <c r="CB8369" s="1963"/>
      <c r="CC8369" s="1963"/>
      <c r="CD8369" s="1963"/>
      <c r="CE8369" s="1963"/>
      <c r="CF8369" s="1963"/>
      <c r="CG8369" s="1963"/>
      <c r="CH8369" s="1963"/>
      <c r="CI8369" s="1963"/>
      <c r="CJ8369" s="1963"/>
      <c r="CK8369" s="1963"/>
      <c r="CL8369" s="1963"/>
      <c r="CM8369" s="1963"/>
      <c r="CN8369" s="1963"/>
      <c r="CO8369" s="1963"/>
      <c r="CP8369" s="1963"/>
      <c r="CQ8369" s="1963"/>
      <c r="CR8369" s="1963"/>
      <c r="CS8369" s="1963"/>
      <c r="CT8369" s="1963"/>
      <c r="CU8369" s="1963"/>
      <c r="CV8369" s="1963"/>
      <c r="CW8369" s="1963"/>
      <c r="CX8369" s="1963"/>
      <c r="CY8369" s="1963"/>
      <c r="CZ8369" s="1963"/>
      <c r="DA8369" s="1963"/>
      <c r="DB8369" s="1963"/>
      <c r="DC8369" s="1963"/>
      <c r="DD8369" s="1963"/>
      <c r="DE8369" s="1963"/>
      <c r="DF8369" s="1963"/>
      <c r="DG8369" s="1963"/>
      <c r="DH8369" s="1963"/>
      <c r="DI8369" s="1963"/>
      <c r="DJ8369" s="1963"/>
      <c r="DK8369" s="1963"/>
      <c r="DL8369" s="1963"/>
    </row>
    <row r="8370" spans="1:116" s="59" customFormat="1" ht="15" customHeight="1">
      <c r="A8370" s="2154" t="s">
        <v>2265</v>
      </c>
      <c r="B8370" s="2155">
        <v>9</v>
      </c>
      <c r="C8370" s="2156" t="s">
        <v>6556</v>
      </c>
      <c r="D8370" s="1602">
        <v>1.6300000000000001</v>
      </c>
      <c r="E8370" s="735">
        <v>97</v>
      </c>
      <c r="F8370" s="2070">
        <f t="shared" si="67"/>
        <v>0.50408997955010226</v>
      </c>
      <c r="G8370" s="317">
        <v>120</v>
      </c>
      <c r="H8370" s="1963"/>
      <c r="I8370" s="1963"/>
      <c r="J8370" s="1963"/>
      <c r="K8370" s="1963"/>
      <c r="L8370" s="1963"/>
      <c r="M8370" s="1963"/>
      <c r="N8370" s="1963"/>
      <c r="O8370" s="1963"/>
      <c r="P8370" s="1963"/>
      <c r="Q8370" s="1963"/>
      <c r="R8370" s="1963"/>
      <c r="S8370" s="1963"/>
      <c r="T8370" s="1963"/>
      <c r="U8370" s="1963"/>
      <c r="V8370" s="1963"/>
      <c r="W8370" s="1963"/>
      <c r="X8370" s="1963"/>
      <c r="Y8370" s="1963"/>
      <c r="Z8370" s="1963"/>
      <c r="AA8370" s="1963"/>
      <c r="AB8370" s="1963"/>
      <c r="AC8370" s="1963"/>
      <c r="AD8370" s="1963"/>
      <c r="AE8370" s="1963"/>
      <c r="AF8370" s="1963"/>
      <c r="AG8370" s="1963"/>
      <c r="AH8370" s="1963"/>
      <c r="AI8370" s="1963"/>
      <c r="AJ8370" s="1963"/>
      <c r="AK8370" s="1963"/>
      <c r="AL8370" s="1963"/>
      <c r="AM8370" s="1963"/>
      <c r="AN8370" s="1963"/>
      <c r="AO8370" s="1963"/>
      <c r="AP8370" s="1963"/>
      <c r="AQ8370" s="1963"/>
      <c r="AR8370" s="1963"/>
      <c r="AS8370" s="1963"/>
      <c r="AT8370" s="1963"/>
      <c r="AU8370" s="1963"/>
      <c r="AV8370" s="1963"/>
      <c r="AW8370" s="1963"/>
      <c r="AX8370" s="1963"/>
      <c r="AY8370" s="1963"/>
      <c r="AZ8370" s="1963"/>
      <c r="BA8370" s="1963"/>
      <c r="BB8370" s="1963"/>
      <c r="BC8370" s="1963"/>
      <c r="BD8370" s="1963"/>
      <c r="BE8370" s="1963"/>
      <c r="BF8370" s="1963"/>
      <c r="BG8370" s="1963"/>
      <c r="BH8370" s="1963"/>
      <c r="BI8370" s="1963"/>
      <c r="BJ8370" s="1963"/>
      <c r="BK8370" s="1963"/>
      <c r="BL8370" s="1963"/>
      <c r="BM8370" s="1963"/>
      <c r="BN8370" s="1963"/>
      <c r="BO8370" s="1963"/>
      <c r="BP8370" s="1963"/>
      <c r="BQ8370" s="1963"/>
      <c r="BR8370" s="1963"/>
      <c r="BS8370" s="1963"/>
      <c r="BT8370" s="1963"/>
      <c r="BU8370" s="1963"/>
      <c r="BV8370" s="1963"/>
      <c r="BW8370" s="1963"/>
      <c r="BX8370" s="1963"/>
      <c r="BY8370" s="1963"/>
      <c r="BZ8370" s="1963"/>
      <c r="CA8370" s="1963"/>
      <c r="CB8370" s="1963"/>
      <c r="CC8370" s="1963"/>
      <c r="CD8370" s="1963"/>
      <c r="CE8370" s="1963"/>
      <c r="CF8370" s="1963"/>
      <c r="CG8370" s="1963"/>
      <c r="CH8370" s="1963"/>
      <c r="CI8370" s="1963"/>
      <c r="CJ8370" s="1963"/>
      <c r="CK8370" s="1963"/>
      <c r="CL8370" s="1963"/>
      <c r="CM8370" s="1963"/>
      <c r="CN8370" s="1963"/>
      <c r="CO8370" s="1963"/>
      <c r="CP8370" s="1963"/>
      <c r="CQ8370" s="1963"/>
      <c r="CR8370" s="1963"/>
      <c r="CS8370" s="1963"/>
      <c r="CT8370" s="1963"/>
      <c r="CU8370" s="1963"/>
      <c r="CV8370" s="1963"/>
      <c r="CW8370" s="1963"/>
      <c r="CX8370" s="1963"/>
      <c r="CY8370" s="1963"/>
      <c r="CZ8370" s="1963"/>
      <c r="DA8370" s="1963"/>
      <c r="DB8370" s="1963"/>
      <c r="DC8370" s="1963"/>
      <c r="DD8370" s="1963"/>
      <c r="DE8370" s="1963"/>
      <c r="DF8370" s="1963"/>
      <c r="DG8370" s="1963"/>
      <c r="DH8370" s="1963"/>
      <c r="DI8370" s="1963"/>
      <c r="DJ8370" s="1963"/>
      <c r="DK8370" s="1963"/>
      <c r="DL8370" s="1963"/>
    </row>
    <row r="8371" spans="1:116" s="59" customFormat="1" ht="15" customHeight="1">
      <c r="A8371" s="2154" t="s">
        <v>2265</v>
      </c>
      <c r="B8371" s="2155">
        <v>12</v>
      </c>
      <c r="C8371" s="2156" t="s">
        <v>6556</v>
      </c>
      <c r="D8371" s="1602">
        <v>1.86</v>
      </c>
      <c r="E8371" s="735">
        <v>110</v>
      </c>
      <c r="F8371" s="2070">
        <f t="shared" si="67"/>
        <v>0.50716845878136207</v>
      </c>
      <c r="G8371" s="317">
        <v>120</v>
      </c>
      <c r="H8371" s="1963"/>
      <c r="I8371" s="1963"/>
      <c r="J8371" s="1963"/>
      <c r="K8371" s="1963"/>
      <c r="L8371" s="1963"/>
      <c r="M8371" s="1963"/>
      <c r="N8371" s="1963"/>
      <c r="O8371" s="1963"/>
      <c r="P8371" s="1963"/>
      <c r="Q8371" s="1963"/>
      <c r="R8371" s="1963"/>
      <c r="S8371" s="1963"/>
      <c r="T8371" s="1963"/>
      <c r="U8371" s="1963"/>
      <c r="V8371" s="1963"/>
      <c r="W8371" s="1963"/>
      <c r="X8371" s="1963"/>
      <c r="Y8371" s="1963"/>
      <c r="Z8371" s="1963"/>
      <c r="AA8371" s="1963"/>
      <c r="AB8371" s="1963"/>
      <c r="AC8371" s="1963"/>
      <c r="AD8371" s="1963"/>
      <c r="AE8371" s="1963"/>
      <c r="AF8371" s="1963"/>
      <c r="AG8371" s="1963"/>
      <c r="AH8371" s="1963"/>
      <c r="AI8371" s="1963"/>
      <c r="AJ8371" s="1963"/>
      <c r="AK8371" s="1963"/>
      <c r="AL8371" s="1963"/>
      <c r="AM8371" s="1963"/>
      <c r="AN8371" s="1963"/>
      <c r="AO8371" s="1963"/>
      <c r="AP8371" s="1963"/>
      <c r="AQ8371" s="1963"/>
      <c r="AR8371" s="1963"/>
      <c r="AS8371" s="1963"/>
      <c r="AT8371" s="1963"/>
      <c r="AU8371" s="1963"/>
      <c r="AV8371" s="1963"/>
      <c r="AW8371" s="1963"/>
      <c r="AX8371" s="1963"/>
      <c r="AY8371" s="1963"/>
      <c r="AZ8371" s="1963"/>
      <c r="BA8371" s="1963"/>
      <c r="BB8371" s="1963"/>
      <c r="BC8371" s="1963"/>
      <c r="BD8371" s="1963"/>
      <c r="BE8371" s="1963"/>
      <c r="BF8371" s="1963"/>
      <c r="BG8371" s="1963"/>
      <c r="BH8371" s="1963"/>
      <c r="BI8371" s="1963"/>
      <c r="BJ8371" s="1963"/>
      <c r="BK8371" s="1963"/>
      <c r="BL8371" s="1963"/>
      <c r="BM8371" s="1963"/>
      <c r="BN8371" s="1963"/>
      <c r="BO8371" s="1963"/>
      <c r="BP8371" s="1963"/>
      <c r="BQ8371" s="1963"/>
      <c r="BR8371" s="1963"/>
      <c r="BS8371" s="1963"/>
      <c r="BT8371" s="1963"/>
      <c r="BU8371" s="1963"/>
      <c r="BV8371" s="1963"/>
      <c r="BW8371" s="1963"/>
      <c r="BX8371" s="1963"/>
      <c r="BY8371" s="1963"/>
      <c r="BZ8371" s="1963"/>
      <c r="CA8371" s="1963"/>
      <c r="CB8371" s="1963"/>
      <c r="CC8371" s="1963"/>
      <c r="CD8371" s="1963"/>
      <c r="CE8371" s="1963"/>
      <c r="CF8371" s="1963"/>
      <c r="CG8371" s="1963"/>
      <c r="CH8371" s="1963"/>
      <c r="CI8371" s="1963"/>
      <c r="CJ8371" s="1963"/>
      <c r="CK8371" s="1963"/>
      <c r="CL8371" s="1963"/>
      <c r="CM8371" s="1963"/>
      <c r="CN8371" s="1963"/>
      <c r="CO8371" s="1963"/>
      <c r="CP8371" s="1963"/>
      <c r="CQ8371" s="1963"/>
      <c r="CR8371" s="1963"/>
      <c r="CS8371" s="1963"/>
      <c r="CT8371" s="1963"/>
      <c r="CU8371" s="1963"/>
      <c r="CV8371" s="1963"/>
      <c r="CW8371" s="1963"/>
      <c r="CX8371" s="1963"/>
      <c r="CY8371" s="1963"/>
      <c r="CZ8371" s="1963"/>
      <c r="DA8371" s="1963"/>
      <c r="DB8371" s="1963"/>
      <c r="DC8371" s="1963"/>
      <c r="DD8371" s="1963"/>
      <c r="DE8371" s="1963"/>
      <c r="DF8371" s="1963"/>
      <c r="DG8371" s="1963"/>
      <c r="DH8371" s="1963"/>
      <c r="DI8371" s="1963"/>
      <c r="DJ8371" s="1963"/>
      <c r="DK8371" s="1963"/>
      <c r="DL8371" s="1963"/>
    </row>
    <row r="8372" spans="1:116" s="59" customFormat="1" ht="15" customHeight="1">
      <c r="A8372" s="2154" t="s">
        <v>2265</v>
      </c>
      <c r="B8372" s="2155">
        <v>18</v>
      </c>
      <c r="C8372" s="2156" t="s">
        <v>6556</v>
      </c>
      <c r="D8372" s="1602">
        <v>2.1199999999999997</v>
      </c>
      <c r="E8372" s="735">
        <v>126</v>
      </c>
      <c r="F8372" s="2070">
        <f t="shared" si="67"/>
        <v>0.50471698113207542</v>
      </c>
      <c r="G8372" s="317">
        <v>120</v>
      </c>
      <c r="H8372" s="1963"/>
      <c r="I8372" s="1963"/>
      <c r="J8372" s="1963"/>
      <c r="K8372" s="1963"/>
      <c r="L8372" s="1963"/>
      <c r="M8372" s="1963"/>
      <c r="N8372" s="1963"/>
      <c r="O8372" s="1963"/>
      <c r="P8372" s="1963"/>
      <c r="Q8372" s="1963"/>
      <c r="R8372" s="1963"/>
      <c r="S8372" s="1963"/>
      <c r="T8372" s="1963"/>
      <c r="U8372" s="1963"/>
      <c r="V8372" s="1963"/>
      <c r="W8372" s="1963"/>
      <c r="X8372" s="1963"/>
      <c r="Y8372" s="1963"/>
      <c r="Z8372" s="1963"/>
      <c r="AA8372" s="1963"/>
      <c r="AB8372" s="1963"/>
      <c r="AC8372" s="1963"/>
      <c r="AD8372" s="1963"/>
      <c r="AE8372" s="1963"/>
      <c r="AF8372" s="1963"/>
      <c r="AG8372" s="1963"/>
      <c r="AH8372" s="1963"/>
      <c r="AI8372" s="1963"/>
      <c r="AJ8372" s="1963"/>
      <c r="AK8372" s="1963"/>
      <c r="AL8372" s="1963"/>
      <c r="AM8372" s="1963"/>
      <c r="AN8372" s="1963"/>
      <c r="AO8372" s="1963"/>
      <c r="AP8372" s="1963"/>
      <c r="AQ8372" s="1963"/>
      <c r="AR8372" s="1963"/>
      <c r="AS8372" s="1963"/>
      <c r="AT8372" s="1963"/>
      <c r="AU8372" s="1963"/>
      <c r="AV8372" s="1963"/>
      <c r="AW8372" s="1963"/>
      <c r="AX8372" s="1963"/>
      <c r="AY8372" s="1963"/>
      <c r="AZ8372" s="1963"/>
      <c r="BA8372" s="1963"/>
      <c r="BB8372" s="1963"/>
      <c r="BC8372" s="1963"/>
      <c r="BD8372" s="1963"/>
      <c r="BE8372" s="1963"/>
      <c r="BF8372" s="1963"/>
      <c r="BG8372" s="1963"/>
      <c r="BH8372" s="1963"/>
      <c r="BI8372" s="1963"/>
      <c r="BJ8372" s="1963"/>
      <c r="BK8372" s="1963"/>
      <c r="BL8372" s="1963"/>
      <c r="BM8372" s="1963"/>
      <c r="BN8372" s="1963"/>
      <c r="BO8372" s="1963"/>
      <c r="BP8372" s="1963"/>
      <c r="BQ8372" s="1963"/>
      <c r="BR8372" s="1963"/>
      <c r="BS8372" s="1963"/>
      <c r="BT8372" s="1963"/>
      <c r="BU8372" s="1963"/>
      <c r="BV8372" s="1963"/>
      <c r="BW8372" s="1963"/>
      <c r="BX8372" s="1963"/>
      <c r="BY8372" s="1963"/>
      <c r="BZ8372" s="1963"/>
      <c r="CA8372" s="1963"/>
      <c r="CB8372" s="1963"/>
      <c r="CC8372" s="1963"/>
      <c r="CD8372" s="1963"/>
      <c r="CE8372" s="1963"/>
      <c r="CF8372" s="1963"/>
      <c r="CG8372" s="1963"/>
      <c r="CH8372" s="1963"/>
      <c r="CI8372" s="1963"/>
      <c r="CJ8372" s="1963"/>
      <c r="CK8372" s="1963"/>
      <c r="CL8372" s="1963"/>
      <c r="CM8372" s="1963"/>
      <c r="CN8372" s="1963"/>
      <c r="CO8372" s="1963"/>
      <c r="CP8372" s="1963"/>
      <c r="CQ8372" s="1963"/>
      <c r="CR8372" s="1963"/>
      <c r="CS8372" s="1963"/>
      <c r="CT8372" s="1963"/>
      <c r="CU8372" s="1963"/>
      <c r="CV8372" s="1963"/>
      <c r="CW8372" s="1963"/>
      <c r="CX8372" s="1963"/>
      <c r="CY8372" s="1963"/>
      <c r="CZ8372" s="1963"/>
      <c r="DA8372" s="1963"/>
      <c r="DB8372" s="1963"/>
      <c r="DC8372" s="1963"/>
      <c r="DD8372" s="1963"/>
      <c r="DE8372" s="1963"/>
      <c r="DF8372" s="1963"/>
      <c r="DG8372" s="1963"/>
      <c r="DH8372" s="1963"/>
      <c r="DI8372" s="1963"/>
      <c r="DJ8372" s="1963"/>
      <c r="DK8372" s="1963"/>
      <c r="DL8372" s="1963"/>
    </row>
    <row r="8373" spans="1:116" s="59" customFormat="1" ht="15" customHeight="1">
      <c r="A8373" s="2154" t="s">
        <v>2265</v>
      </c>
      <c r="B8373" s="2155">
        <v>24</v>
      </c>
      <c r="C8373" s="2156" t="s">
        <v>6556</v>
      </c>
      <c r="D8373" s="1602">
        <v>2.4899999999999998</v>
      </c>
      <c r="E8373" s="735">
        <v>148</v>
      </c>
      <c r="F8373" s="2070">
        <f t="shared" si="67"/>
        <v>0.50468540829986608</v>
      </c>
      <c r="G8373" s="317">
        <v>120</v>
      </c>
      <c r="H8373" s="1963"/>
      <c r="I8373" s="1963"/>
      <c r="J8373" s="1963"/>
      <c r="K8373" s="1963"/>
      <c r="L8373" s="1963"/>
      <c r="M8373" s="1963"/>
      <c r="N8373" s="1963"/>
      <c r="O8373" s="1963"/>
      <c r="P8373" s="1963"/>
      <c r="Q8373" s="1963"/>
      <c r="R8373" s="1963"/>
      <c r="S8373" s="1963"/>
      <c r="T8373" s="1963"/>
      <c r="U8373" s="1963"/>
      <c r="V8373" s="1963"/>
      <c r="W8373" s="1963"/>
      <c r="X8373" s="1963"/>
      <c r="Y8373" s="1963"/>
      <c r="Z8373" s="1963"/>
      <c r="AA8373" s="1963"/>
      <c r="AB8373" s="1963"/>
      <c r="AC8373" s="1963"/>
      <c r="AD8373" s="1963"/>
      <c r="AE8373" s="1963"/>
      <c r="AF8373" s="1963"/>
      <c r="AG8373" s="1963"/>
      <c r="AH8373" s="1963"/>
      <c r="AI8373" s="1963"/>
      <c r="AJ8373" s="1963"/>
      <c r="AK8373" s="1963"/>
      <c r="AL8373" s="1963"/>
      <c r="AM8373" s="1963"/>
      <c r="AN8373" s="1963"/>
      <c r="AO8373" s="1963"/>
      <c r="AP8373" s="1963"/>
      <c r="AQ8373" s="1963"/>
      <c r="AR8373" s="1963"/>
      <c r="AS8373" s="1963"/>
      <c r="AT8373" s="1963"/>
      <c r="AU8373" s="1963"/>
      <c r="AV8373" s="1963"/>
      <c r="AW8373" s="1963"/>
      <c r="AX8373" s="1963"/>
      <c r="AY8373" s="1963"/>
      <c r="AZ8373" s="1963"/>
      <c r="BA8373" s="1963"/>
      <c r="BB8373" s="1963"/>
      <c r="BC8373" s="1963"/>
      <c r="BD8373" s="1963"/>
      <c r="BE8373" s="1963"/>
      <c r="BF8373" s="1963"/>
      <c r="BG8373" s="1963"/>
      <c r="BH8373" s="1963"/>
      <c r="BI8373" s="1963"/>
      <c r="BJ8373" s="1963"/>
      <c r="BK8373" s="1963"/>
      <c r="BL8373" s="1963"/>
      <c r="BM8373" s="1963"/>
      <c r="BN8373" s="1963"/>
      <c r="BO8373" s="1963"/>
      <c r="BP8373" s="1963"/>
      <c r="BQ8373" s="1963"/>
      <c r="BR8373" s="1963"/>
      <c r="BS8373" s="1963"/>
      <c r="BT8373" s="1963"/>
      <c r="BU8373" s="1963"/>
      <c r="BV8373" s="1963"/>
      <c r="BW8373" s="1963"/>
      <c r="BX8373" s="1963"/>
      <c r="BY8373" s="1963"/>
      <c r="BZ8373" s="1963"/>
      <c r="CA8373" s="1963"/>
      <c r="CB8373" s="1963"/>
      <c r="CC8373" s="1963"/>
      <c r="CD8373" s="1963"/>
      <c r="CE8373" s="1963"/>
      <c r="CF8373" s="1963"/>
      <c r="CG8373" s="1963"/>
      <c r="CH8373" s="1963"/>
      <c r="CI8373" s="1963"/>
      <c r="CJ8373" s="1963"/>
      <c r="CK8373" s="1963"/>
      <c r="CL8373" s="1963"/>
      <c r="CM8373" s="1963"/>
      <c r="CN8373" s="1963"/>
      <c r="CO8373" s="1963"/>
      <c r="CP8373" s="1963"/>
      <c r="CQ8373" s="1963"/>
      <c r="CR8373" s="1963"/>
      <c r="CS8373" s="1963"/>
      <c r="CT8373" s="1963"/>
      <c r="CU8373" s="1963"/>
      <c r="CV8373" s="1963"/>
      <c r="CW8373" s="1963"/>
      <c r="CX8373" s="1963"/>
      <c r="CY8373" s="1963"/>
      <c r="CZ8373" s="1963"/>
      <c r="DA8373" s="1963"/>
      <c r="DB8373" s="1963"/>
      <c r="DC8373" s="1963"/>
      <c r="DD8373" s="1963"/>
      <c r="DE8373" s="1963"/>
      <c r="DF8373" s="1963"/>
      <c r="DG8373" s="1963"/>
      <c r="DH8373" s="1963"/>
      <c r="DI8373" s="1963"/>
      <c r="DJ8373" s="1963"/>
      <c r="DK8373" s="1963"/>
      <c r="DL8373" s="1963"/>
    </row>
    <row r="8374" spans="1:116" s="59" customFormat="1" ht="15" customHeight="1">
      <c r="A8374" s="2154" t="s">
        <v>2265</v>
      </c>
      <c r="B8374" s="2157">
        <v>7</v>
      </c>
      <c r="C8374" s="2156" t="s">
        <v>6556</v>
      </c>
      <c r="D8374" s="1602">
        <v>1.89</v>
      </c>
      <c r="E8374" s="735">
        <v>113</v>
      </c>
      <c r="F8374" s="2070">
        <f t="shared" si="67"/>
        <v>0.50176366843033504</v>
      </c>
      <c r="G8374" s="317">
        <v>120</v>
      </c>
      <c r="H8374" s="1963"/>
      <c r="I8374" s="1963"/>
      <c r="J8374" s="1963"/>
      <c r="K8374" s="1963"/>
      <c r="L8374" s="1963"/>
      <c r="M8374" s="1963"/>
      <c r="N8374" s="1963"/>
      <c r="O8374" s="1963"/>
      <c r="P8374" s="1963"/>
      <c r="Q8374" s="1963"/>
      <c r="R8374" s="1963"/>
      <c r="S8374" s="1963"/>
      <c r="T8374" s="1963"/>
      <c r="U8374" s="1963"/>
      <c r="V8374" s="1963"/>
      <c r="W8374" s="1963"/>
      <c r="X8374" s="1963"/>
      <c r="Y8374" s="1963"/>
      <c r="Z8374" s="1963"/>
      <c r="AA8374" s="1963"/>
      <c r="AB8374" s="1963"/>
      <c r="AC8374" s="1963"/>
      <c r="AD8374" s="1963"/>
      <c r="AE8374" s="1963"/>
      <c r="AF8374" s="1963"/>
      <c r="AG8374" s="1963"/>
      <c r="AH8374" s="1963"/>
      <c r="AI8374" s="1963"/>
      <c r="AJ8374" s="1963"/>
      <c r="AK8374" s="1963"/>
      <c r="AL8374" s="1963"/>
      <c r="AM8374" s="1963"/>
      <c r="AN8374" s="1963"/>
      <c r="AO8374" s="1963"/>
      <c r="AP8374" s="1963"/>
      <c r="AQ8374" s="1963"/>
      <c r="AR8374" s="1963"/>
      <c r="AS8374" s="1963"/>
      <c r="AT8374" s="1963"/>
      <c r="AU8374" s="1963"/>
      <c r="AV8374" s="1963"/>
      <c r="AW8374" s="1963"/>
      <c r="AX8374" s="1963"/>
      <c r="AY8374" s="1963"/>
      <c r="AZ8374" s="1963"/>
      <c r="BA8374" s="1963"/>
      <c r="BB8374" s="1963"/>
      <c r="BC8374" s="1963"/>
      <c r="BD8374" s="1963"/>
      <c r="BE8374" s="1963"/>
      <c r="BF8374" s="1963"/>
      <c r="BG8374" s="1963"/>
      <c r="BH8374" s="1963"/>
      <c r="BI8374" s="1963"/>
      <c r="BJ8374" s="1963"/>
      <c r="BK8374" s="1963"/>
      <c r="BL8374" s="1963"/>
      <c r="BM8374" s="1963"/>
      <c r="BN8374" s="1963"/>
      <c r="BO8374" s="1963"/>
      <c r="BP8374" s="1963"/>
      <c r="BQ8374" s="1963"/>
      <c r="BR8374" s="1963"/>
      <c r="BS8374" s="1963"/>
      <c r="BT8374" s="1963"/>
      <c r="BU8374" s="1963"/>
      <c r="BV8374" s="1963"/>
      <c r="BW8374" s="1963"/>
      <c r="BX8374" s="1963"/>
      <c r="BY8374" s="1963"/>
      <c r="BZ8374" s="1963"/>
      <c r="CA8374" s="1963"/>
      <c r="CB8374" s="1963"/>
      <c r="CC8374" s="1963"/>
      <c r="CD8374" s="1963"/>
      <c r="CE8374" s="1963"/>
      <c r="CF8374" s="1963"/>
      <c r="CG8374" s="1963"/>
      <c r="CH8374" s="1963"/>
      <c r="CI8374" s="1963"/>
      <c r="CJ8374" s="1963"/>
      <c r="CK8374" s="1963"/>
      <c r="CL8374" s="1963"/>
      <c r="CM8374" s="1963"/>
      <c r="CN8374" s="1963"/>
      <c r="CO8374" s="1963"/>
      <c r="CP8374" s="1963"/>
      <c r="CQ8374" s="1963"/>
      <c r="CR8374" s="1963"/>
      <c r="CS8374" s="1963"/>
      <c r="CT8374" s="1963"/>
      <c r="CU8374" s="1963"/>
      <c r="CV8374" s="1963"/>
      <c r="CW8374" s="1963"/>
      <c r="CX8374" s="1963"/>
      <c r="CY8374" s="1963"/>
      <c r="CZ8374" s="1963"/>
      <c r="DA8374" s="1963"/>
      <c r="DB8374" s="1963"/>
      <c r="DC8374" s="1963"/>
      <c r="DD8374" s="1963"/>
      <c r="DE8374" s="1963"/>
      <c r="DF8374" s="1963"/>
      <c r="DG8374" s="1963"/>
      <c r="DH8374" s="1963"/>
      <c r="DI8374" s="1963"/>
      <c r="DJ8374" s="1963"/>
      <c r="DK8374" s="1963"/>
      <c r="DL8374" s="1963"/>
    </row>
    <row r="8375" spans="1:116" s="59" customFormat="1" ht="15" customHeight="1">
      <c r="A8375" s="2154" t="s">
        <v>2265</v>
      </c>
      <c r="B8375" s="2157">
        <v>9</v>
      </c>
      <c r="C8375" s="2156" t="s">
        <v>6556</v>
      </c>
      <c r="D8375" s="1602">
        <v>2.1199999999999997</v>
      </c>
      <c r="E8375" s="735">
        <v>126</v>
      </c>
      <c r="F8375" s="2070">
        <f t="shared" si="67"/>
        <v>0.50471698113207542</v>
      </c>
      <c r="G8375" s="317">
        <v>120</v>
      </c>
      <c r="H8375" s="1963"/>
      <c r="I8375" s="1963"/>
      <c r="J8375" s="1963"/>
      <c r="K8375" s="1963"/>
      <c r="L8375" s="1963"/>
      <c r="M8375" s="1963"/>
      <c r="N8375" s="1963"/>
      <c r="O8375" s="1963"/>
      <c r="P8375" s="1963"/>
      <c r="Q8375" s="1963"/>
      <c r="R8375" s="1963"/>
      <c r="S8375" s="1963"/>
      <c r="T8375" s="1963"/>
      <c r="U8375" s="1963"/>
      <c r="V8375" s="1963"/>
      <c r="W8375" s="1963"/>
      <c r="X8375" s="1963"/>
      <c r="Y8375" s="1963"/>
      <c r="Z8375" s="1963"/>
      <c r="AA8375" s="1963"/>
      <c r="AB8375" s="1963"/>
      <c r="AC8375" s="1963"/>
      <c r="AD8375" s="1963"/>
      <c r="AE8375" s="1963"/>
      <c r="AF8375" s="1963"/>
      <c r="AG8375" s="1963"/>
      <c r="AH8375" s="1963"/>
      <c r="AI8375" s="1963"/>
      <c r="AJ8375" s="1963"/>
      <c r="AK8375" s="1963"/>
      <c r="AL8375" s="1963"/>
      <c r="AM8375" s="1963"/>
      <c r="AN8375" s="1963"/>
      <c r="AO8375" s="1963"/>
      <c r="AP8375" s="1963"/>
      <c r="AQ8375" s="1963"/>
      <c r="AR8375" s="1963"/>
      <c r="AS8375" s="1963"/>
      <c r="AT8375" s="1963"/>
      <c r="AU8375" s="1963"/>
      <c r="AV8375" s="1963"/>
      <c r="AW8375" s="1963"/>
      <c r="AX8375" s="1963"/>
      <c r="AY8375" s="1963"/>
      <c r="AZ8375" s="1963"/>
      <c r="BA8375" s="1963"/>
      <c r="BB8375" s="1963"/>
      <c r="BC8375" s="1963"/>
      <c r="BD8375" s="1963"/>
      <c r="BE8375" s="1963"/>
      <c r="BF8375" s="1963"/>
      <c r="BG8375" s="1963"/>
      <c r="BH8375" s="1963"/>
      <c r="BI8375" s="1963"/>
      <c r="BJ8375" s="1963"/>
      <c r="BK8375" s="1963"/>
      <c r="BL8375" s="1963"/>
      <c r="BM8375" s="1963"/>
      <c r="BN8375" s="1963"/>
      <c r="BO8375" s="1963"/>
      <c r="BP8375" s="1963"/>
      <c r="BQ8375" s="1963"/>
      <c r="BR8375" s="1963"/>
      <c r="BS8375" s="1963"/>
      <c r="BT8375" s="1963"/>
      <c r="BU8375" s="1963"/>
      <c r="BV8375" s="1963"/>
      <c r="BW8375" s="1963"/>
      <c r="BX8375" s="1963"/>
      <c r="BY8375" s="1963"/>
      <c r="BZ8375" s="1963"/>
      <c r="CA8375" s="1963"/>
      <c r="CB8375" s="1963"/>
      <c r="CC8375" s="1963"/>
      <c r="CD8375" s="1963"/>
      <c r="CE8375" s="1963"/>
      <c r="CF8375" s="1963"/>
      <c r="CG8375" s="1963"/>
      <c r="CH8375" s="1963"/>
      <c r="CI8375" s="1963"/>
      <c r="CJ8375" s="1963"/>
      <c r="CK8375" s="1963"/>
      <c r="CL8375" s="1963"/>
      <c r="CM8375" s="1963"/>
      <c r="CN8375" s="1963"/>
      <c r="CO8375" s="1963"/>
      <c r="CP8375" s="1963"/>
      <c r="CQ8375" s="1963"/>
      <c r="CR8375" s="1963"/>
      <c r="CS8375" s="1963"/>
      <c r="CT8375" s="1963"/>
      <c r="CU8375" s="1963"/>
      <c r="CV8375" s="1963"/>
      <c r="CW8375" s="1963"/>
      <c r="CX8375" s="1963"/>
      <c r="CY8375" s="1963"/>
      <c r="CZ8375" s="1963"/>
      <c r="DA8375" s="1963"/>
      <c r="DB8375" s="1963"/>
      <c r="DC8375" s="1963"/>
      <c r="DD8375" s="1963"/>
      <c r="DE8375" s="1963"/>
      <c r="DF8375" s="1963"/>
      <c r="DG8375" s="1963"/>
      <c r="DH8375" s="1963"/>
      <c r="DI8375" s="1963"/>
      <c r="DJ8375" s="1963"/>
      <c r="DK8375" s="1963"/>
      <c r="DL8375" s="1963"/>
    </row>
    <row r="8376" spans="1:116" s="59" customFormat="1" ht="15" customHeight="1">
      <c r="A8376" s="2154" t="s">
        <v>2265</v>
      </c>
      <c r="B8376" s="2157">
        <v>12</v>
      </c>
      <c r="C8376" s="2156" t="s">
        <v>6556</v>
      </c>
      <c r="D8376" s="1602">
        <v>2.4899999999999998</v>
      </c>
      <c r="E8376" s="735">
        <v>148</v>
      </c>
      <c r="F8376" s="2070">
        <f t="shared" si="67"/>
        <v>0.50468540829986608</v>
      </c>
      <c r="G8376" s="317">
        <v>120</v>
      </c>
      <c r="H8376" s="1963"/>
      <c r="I8376" s="1963"/>
      <c r="J8376" s="1963"/>
      <c r="K8376" s="1963"/>
      <c r="L8376" s="1963"/>
      <c r="M8376" s="1963"/>
      <c r="N8376" s="1963"/>
      <c r="O8376" s="1963"/>
      <c r="P8376" s="1963"/>
      <c r="Q8376" s="1963"/>
      <c r="R8376" s="1963"/>
      <c r="S8376" s="1963"/>
      <c r="T8376" s="1963"/>
      <c r="U8376" s="1963"/>
      <c r="V8376" s="1963"/>
      <c r="W8376" s="1963"/>
      <c r="X8376" s="1963"/>
      <c r="Y8376" s="1963"/>
      <c r="Z8376" s="1963"/>
      <c r="AA8376" s="1963"/>
      <c r="AB8376" s="1963"/>
      <c r="AC8376" s="1963"/>
      <c r="AD8376" s="1963"/>
      <c r="AE8376" s="1963"/>
      <c r="AF8376" s="1963"/>
      <c r="AG8376" s="1963"/>
      <c r="AH8376" s="1963"/>
      <c r="AI8376" s="1963"/>
      <c r="AJ8376" s="1963"/>
      <c r="AK8376" s="1963"/>
      <c r="AL8376" s="1963"/>
      <c r="AM8376" s="1963"/>
      <c r="AN8376" s="1963"/>
      <c r="AO8376" s="1963"/>
      <c r="AP8376" s="1963"/>
      <c r="AQ8376" s="1963"/>
      <c r="AR8376" s="1963"/>
      <c r="AS8376" s="1963"/>
      <c r="AT8376" s="1963"/>
      <c r="AU8376" s="1963"/>
      <c r="AV8376" s="1963"/>
      <c r="AW8376" s="1963"/>
      <c r="AX8376" s="1963"/>
      <c r="AY8376" s="1963"/>
      <c r="AZ8376" s="1963"/>
      <c r="BA8376" s="1963"/>
      <c r="BB8376" s="1963"/>
      <c r="BC8376" s="1963"/>
      <c r="BD8376" s="1963"/>
      <c r="BE8376" s="1963"/>
      <c r="BF8376" s="1963"/>
      <c r="BG8376" s="1963"/>
      <c r="BH8376" s="1963"/>
      <c r="BI8376" s="1963"/>
      <c r="BJ8376" s="1963"/>
      <c r="BK8376" s="1963"/>
      <c r="BL8376" s="1963"/>
      <c r="BM8376" s="1963"/>
      <c r="BN8376" s="1963"/>
      <c r="BO8376" s="1963"/>
      <c r="BP8376" s="1963"/>
      <c r="BQ8376" s="1963"/>
      <c r="BR8376" s="1963"/>
      <c r="BS8376" s="1963"/>
      <c r="BT8376" s="1963"/>
      <c r="BU8376" s="1963"/>
      <c r="BV8376" s="1963"/>
      <c r="BW8376" s="1963"/>
      <c r="BX8376" s="1963"/>
      <c r="BY8376" s="1963"/>
      <c r="BZ8376" s="1963"/>
      <c r="CA8376" s="1963"/>
      <c r="CB8376" s="1963"/>
      <c r="CC8376" s="1963"/>
      <c r="CD8376" s="1963"/>
      <c r="CE8376" s="1963"/>
      <c r="CF8376" s="1963"/>
      <c r="CG8376" s="1963"/>
      <c r="CH8376" s="1963"/>
      <c r="CI8376" s="1963"/>
      <c r="CJ8376" s="1963"/>
      <c r="CK8376" s="1963"/>
      <c r="CL8376" s="1963"/>
      <c r="CM8376" s="1963"/>
      <c r="CN8376" s="1963"/>
      <c r="CO8376" s="1963"/>
      <c r="CP8376" s="1963"/>
      <c r="CQ8376" s="1963"/>
      <c r="CR8376" s="1963"/>
      <c r="CS8376" s="1963"/>
      <c r="CT8376" s="1963"/>
      <c r="CU8376" s="1963"/>
      <c r="CV8376" s="1963"/>
      <c r="CW8376" s="1963"/>
      <c r="CX8376" s="1963"/>
      <c r="CY8376" s="1963"/>
      <c r="CZ8376" s="1963"/>
      <c r="DA8376" s="1963"/>
      <c r="DB8376" s="1963"/>
      <c r="DC8376" s="1963"/>
      <c r="DD8376" s="1963"/>
      <c r="DE8376" s="1963"/>
      <c r="DF8376" s="1963"/>
      <c r="DG8376" s="1963"/>
      <c r="DH8376" s="1963"/>
      <c r="DI8376" s="1963"/>
      <c r="DJ8376" s="1963"/>
      <c r="DK8376" s="1963"/>
      <c r="DL8376" s="1963"/>
    </row>
    <row r="8379" spans="1:116">
      <c r="A8379" s="1279" t="s">
        <v>106</v>
      </c>
      <c r="B8379" s="988" t="s">
        <v>52</v>
      </c>
      <c r="C8379" s="902" t="s">
        <v>128</v>
      </c>
      <c r="D8379" s="887" t="s">
        <v>1186</v>
      </c>
      <c r="E8379" s="887" t="s">
        <v>1652</v>
      </c>
      <c r="F8379" s="887" t="s">
        <v>1653</v>
      </c>
      <c r="G8379" s="988" t="s">
        <v>6413</v>
      </c>
      <c r="H8379" s="39"/>
    </row>
    <row r="8380" spans="1:116" ht="25.5">
      <c r="A8380" s="47" t="s">
        <v>6409</v>
      </c>
      <c r="B8380" s="2098" t="s">
        <v>6560</v>
      </c>
      <c r="C8380" s="47" t="s">
        <v>6561</v>
      </c>
      <c r="D8380" s="903">
        <v>25</v>
      </c>
      <c r="E8380" s="2099">
        <v>1</v>
      </c>
      <c r="F8380" s="905">
        <f>E8380*D8380</f>
        <v>25</v>
      </c>
      <c r="G8380" s="891">
        <v>1.78</v>
      </c>
      <c r="H8380" s="46">
        <f>G8380*F8380</f>
        <v>44.5</v>
      </c>
    </row>
    <row r="8381" spans="1:116" ht="25.5">
      <c r="A8381" s="47" t="s">
        <v>6409</v>
      </c>
      <c r="B8381" s="2098" t="s">
        <v>6560</v>
      </c>
      <c r="C8381" s="47" t="s">
        <v>6562</v>
      </c>
      <c r="D8381" s="903">
        <v>25</v>
      </c>
      <c r="E8381" s="2099">
        <v>1</v>
      </c>
      <c r="F8381" s="905">
        <f>E8381*D8381</f>
        <v>25</v>
      </c>
      <c r="G8381" s="891">
        <v>1.78</v>
      </c>
      <c r="H8381" s="46">
        <f>G8381*F8381</f>
        <v>44.5</v>
      </c>
    </row>
    <row r="8382" spans="1:116" ht="20.25">
      <c r="A8382" s="1059"/>
      <c r="B8382" s="260"/>
      <c r="C8382" s="47" t="s">
        <v>2975</v>
      </c>
      <c r="D8382" s="905"/>
      <c r="E8382" s="904" ph="1"/>
      <c r="F8382" s="894">
        <v>1</v>
      </c>
      <c r="G8382" s="891">
        <v>12</v>
      </c>
      <c r="H8382" s="46">
        <f>G8382*F8382</f>
        <v>12</v>
      </c>
    </row>
    <row r="8385" spans="1:8">
      <c r="A8385" s="902" t="s">
        <v>106</v>
      </c>
      <c r="B8385" s="902" t="s">
        <v>52</v>
      </c>
      <c r="C8385" s="902" t="s">
        <v>128</v>
      </c>
      <c r="D8385" s="887" t="s">
        <v>1186</v>
      </c>
      <c r="E8385" s="887" t="s">
        <v>1652</v>
      </c>
      <c r="F8385" s="887" t="s">
        <v>1653</v>
      </c>
      <c r="G8385" s="2030" t="s">
        <v>1323</v>
      </c>
      <c r="H8385" s="2030" t="s">
        <v>6570</v>
      </c>
    </row>
    <row r="8386" spans="1:8">
      <c r="A8386" s="47">
        <v>3920</v>
      </c>
      <c r="B8386" s="48">
        <v>19</v>
      </c>
      <c r="C8386" s="47" t="s">
        <v>6567</v>
      </c>
      <c r="D8386" s="905">
        <v>30</v>
      </c>
      <c r="E8386" s="906">
        <v>1</v>
      </c>
      <c r="F8386" s="905">
        <f>D8386*E8386</f>
        <v>30</v>
      </c>
      <c r="G8386" s="891">
        <v>0.76</v>
      </c>
      <c r="H8386" t="s">
        <v>6571</v>
      </c>
    </row>
    <row r="8387" spans="1:8">
      <c r="A8387" s="47">
        <v>3920</v>
      </c>
      <c r="B8387" s="48">
        <v>19</v>
      </c>
      <c r="C8387" s="47" t="s">
        <v>6568</v>
      </c>
      <c r="D8387" s="905">
        <v>30</v>
      </c>
      <c r="E8387" s="906">
        <v>4</v>
      </c>
      <c r="F8387" s="905">
        <f>D8387*E8387</f>
        <v>120</v>
      </c>
      <c r="G8387" s="891">
        <v>0.76</v>
      </c>
    </row>
    <row r="8388" spans="1:8">
      <c r="A8388" s="47"/>
      <c r="B8388" s="893"/>
      <c r="C8388" s="260" t="s">
        <v>1993</v>
      </c>
      <c r="D8388" s="905"/>
      <c r="E8388" s="906"/>
      <c r="F8388" s="894">
        <v>1</v>
      </c>
      <c r="G8388" s="891">
        <v>12</v>
      </c>
    </row>
    <row r="8391" spans="1:8">
      <c r="A8391" s="902" t="s">
        <v>105</v>
      </c>
      <c r="B8391" s="902" t="s">
        <v>106</v>
      </c>
      <c r="C8391" s="902" t="s">
        <v>128</v>
      </c>
      <c r="D8391" s="887" t="s">
        <v>1186</v>
      </c>
      <c r="E8391" s="887" t="s">
        <v>1652</v>
      </c>
      <c r="F8391" s="887" t="s">
        <v>1653</v>
      </c>
      <c r="G8391" s="2030" t="s">
        <v>1323</v>
      </c>
    </row>
    <row r="8392" spans="1:8">
      <c r="A8392" s="947" t="s">
        <v>6565</v>
      </c>
      <c r="B8392" s="47" t="s">
        <v>1219</v>
      </c>
      <c r="C8392" s="47" t="s">
        <v>17</v>
      </c>
      <c r="D8392" s="50">
        <v>50</v>
      </c>
      <c r="E8392" s="911">
        <v>60</v>
      </c>
      <c r="F8392" s="905">
        <f>D8392*E8392</f>
        <v>3000</v>
      </c>
      <c r="G8392" s="891">
        <v>0.3</v>
      </c>
      <c r="H8392" s="891">
        <f>G8392*F8392</f>
        <v>900</v>
      </c>
    </row>
    <row r="8393" spans="1:8">
      <c r="A8393" s="947" t="s">
        <v>6565</v>
      </c>
      <c r="B8393" s="47" t="s">
        <v>5772</v>
      </c>
      <c r="C8393" s="47" t="s">
        <v>17</v>
      </c>
      <c r="D8393" s="50">
        <v>50</v>
      </c>
      <c r="E8393" s="911">
        <v>60</v>
      </c>
      <c r="F8393" s="905">
        <f>D8393*E8393</f>
        <v>3000</v>
      </c>
      <c r="G8393" s="891">
        <v>0.26</v>
      </c>
      <c r="H8393" s="891">
        <f>G8393*F8393</f>
        <v>780</v>
      </c>
    </row>
    <row r="8394" spans="1:8">
      <c r="A8394" s="947" t="s">
        <v>6565</v>
      </c>
      <c r="B8394" s="47"/>
      <c r="C8394" s="260" t="s">
        <v>1993</v>
      </c>
      <c r="D8394" s="905"/>
      <c r="E8394" s="906"/>
      <c r="F8394" s="894">
        <v>1</v>
      </c>
      <c r="G8394" s="891">
        <v>12</v>
      </c>
      <c r="H8394" s="891">
        <f>G8394*F8394</f>
        <v>12</v>
      </c>
    </row>
    <row r="8398" spans="1:8">
      <c r="A8398" s="902" t="s">
        <v>106</v>
      </c>
      <c r="B8398" s="902" t="s">
        <v>52</v>
      </c>
      <c r="C8398" s="902" t="s">
        <v>53</v>
      </c>
      <c r="D8398" s="887" t="s">
        <v>1186</v>
      </c>
      <c r="E8398" s="887" t="s">
        <v>1652</v>
      </c>
      <c r="F8398" s="887" t="s">
        <v>1653</v>
      </c>
      <c r="G8398" s="887" t="s">
        <v>5574</v>
      </c>
      <c r="H8398" s="52" t="s">
        <v>134</v>
      </c>
    </row>
    <row r="8399" spans="1:8">
      <c r="A8399" s="47">
        <v>5291</v>
      </c>
      <c r="B8399" s="48">
        <v>6</v>
      </c>
      <c r="C8399" s="47" t="s">
        <v>499</v>
      </c>
      <c r="D8399" s="905">
        <v>50</v>
      </c>
      <c r="E8399" s="906">
        <v>10</v>
      </c>
      <c r="F8399" s="905">
        <f>D8399*E8399</f>
        <v>500</v>
      </c>
      <c r="G8399" s="891">
        <v>0.51</v>
      </c>
    </row>
    <row r="8400" spans="1:8">
      <c r="A8400" s="47">
        <v>5291</v>
      </c>
      <c r="B8400" s="48">
        <v>6</v>
      </c>
      <c r="C8400" s="47" t="s">
        <v>29</v>
      </c>
      <c r="D8400" s="905">
        <v>50</v>
      </c>
      <c r="E8400" s="906">
        <v>7</v>
      </c>
      <c r="F8400" s="905">
        <f>D8400*E8400</f>
        <v>350</v>
      </c>
      <c r="G8400" s="891">
        <v>0.51</v>
      </c>
    </row>
    <row r="8404" spans="1:9">
      <c r="A8404" s="883" t="s">
        <v>6573</v>
      </c>
    </row>
    <row r="8405" spans="1:9">
      <c r="A8405" s="1166" t="s">
        <v>1369</v>
      </c>
      <c r="B8405" s="1166" t="s">
        <v>2317</v>
      </c>
      <c r="C8405" s="887" t="s">
        <v>6576</v>
      </c>
      <c r="D8405" s="887" t="s">
        <v>6577</v>
      </c>
      <c r="E8405" s="1998" t="s">
        <v>6578</v>
      </c>
      <c r="F8405" s="1998" t="s">
        <v>5282</v>
      </c>
      <c r="G8405" s="317" t="s">
        <v>769</v>
      </c>
      <c r="H8405" s="2037" t="s">
        <v>6394</v>
      </c>
      <c r="I8405" s="317" t="s">
        <v>6081</v>
      </c>
    </row>
    <row r="8406" spans="1:9">
      <c r="A8406" s="47" t="s">
        <v>6574</v>
      </c>
      <c r="B8406" s="47" t="s">
        <v>6575</v>
      </c>
      <c r="C8406" s="1214" t="s">
        <v>1519</v>
      </c>
      <c r="D8406" s="51">
        <v>0.65</v>
      </c>
      <c r="E8406" s="1258" t="s">
        <v>6581</v>
      </c>
      <c r="F8406" s="665" t="s">
        <v>6582</v>
      </c>
      <c r="G8406" s="317">
        <v>39</v>
      </c>
      <c r="H8406" s="2070">
        <f>(D8406-(G8406/I8406))/D8406</f>
        <v>0.5</v>
      </c>
      <c r="I8406" s="317">
        <v>120</v>
      </c>
    </row>
    <row r="8409" spans="1:9">
      <c r="A8409" s="1166" t="s">
        <v>1369</v>
      </c>
      <c r="B8409" s="902" t="s">
        <v>53</v>
      </c>
      <c r="C8409" s="887" t="s">
        <v>6583</v>
      </c>
      <c r="D8409" s="2030" t="s">
        <v>1323</v>
      </c>
    </row>
    <row r="8410" spans="1:9">
      <c r="A8410" s="47" t="s">
        <v>6574</v>
      </c>
      <c r="B8410" s="47" t="s">
        <v>6575</v>
      </c>
      <c r="C8410" s="905">
        <v>20</v>
      </c>
      <c r="D8410" s="891">
        <v>0.65</v>
      </c>
    </row>
    <row r="8411" spans="1:9">
      <c r="A8411" s="47"/>
      <c r="B8411" s="260" t="s">
        <v>1949</v>
      </c>
      <c r="C8411" s="894">
        <v>1</v>
      </c>
      <c r="D8411" s="891">
        <v>12</v>
      </c>
    </row>
    <row r="8413" spans="1:9" s="888" customFormat="1" ht="12.75">
      <c r="A8413" s="902" t="s">
        <v>106</v>
      </c>
      <c r="B8413" s="902" t="s">
        <v>52</v>
      </c>
      <c r="C8413" s="902" t="s">
        <v>53</v>
      </c>
      <c r="D8413" s="887" t="s">
        <v>1186</v>
      </c>
      <c r="E8413" s="887" t="s">
        <v>1652</v>
      </c>
      <c r="F8413" s="887" t="s">
        <v>1653</v>
      </c>
      <c r="G8413" s="887" t="s">
        <v>5574</v>
      </c>
    </row>
    <row r="8414" spans="1:9" s="888" customFormat="1" ht="12.75">
      <c r="A8414" s="47">
        <v>5291</v>
      </c>
      <c r="B8414" s="48">
        <v>8</v>
      </c>
      <c r="C8414" s="47" t="s">
        <v>6589</v>
      </c>
      <c r="D8414" s="905">
        <v>50</v>
      </c>
      <c r="E8414" s="906">
        <v>6</v>
      </c>
      <c r="F8414" s="905">
        <f>D8414*E8414</f>
        <v>300</v>
      </c>
      <c r="G8414" s="891">
        <v>0.9</v>
      </c>
    </row>
    <row r="8417" spans="1:5">
      <c r="A8417" t="s">
        <v>6591</v>
      </c>
      <c r="C8417" s="317" t="s">
        <v>6594</v>
      </c>
      <c r="D8417" s="2037" t="s">
        <v>6080</v>
      </c>
      <c r="E8417" s="2037" t="s">
        <v>6081</v>
      </c>
    </row>
    <row r="8418" spans="1:5">
      <c r="A8418" s="887" t="s">
        <v>6601</v>
      </c>
      <c r="B8418" s="2030" t="s">
        <v>1323</v>
      </c>
      <c r="C8418" s="317"/>
      <c r="D8418" s="2037"/>
      <c r="E8418" s="2037"/>
    </row>
    <row r="8419" spans="1:5" ht="25.5">
      <c r="A8419" s="2159" t="s">
        <v>6592</v>
      </c>
      <c r="B8419" s="891">
        <f t="shared" ref="B8419:B8426" si="68">ROUNDUP(C8419/0.8/120,2)</f>
        <v>13.44</v>
      </c>
      <c r="C8419" s="236">
        <f>1260+30</f>
        <v>1290</v>
      </c>
      <c r="D8419" s="2038">
        <f>(((B8419*E8419)-C8419)/(B8419*E8419))</f>
        <v>0.20014880952380951</v>
      </c>
      <c r="E8419" s="245">
        <v>120</v>
      </c>
    </row>
    <row r="8420" spans="1:5" ht="25.5">
      <c r="A8420" s="2159" t="s">
        <v>6593</v>
      </c>
      <c r="B8420" s="891">
        <f t="shared" si="68"/>
        <v>17.3</v>
      </c>
      <c r="C8420" s="236">
        <f>1260+400</f>
        <v>1660</v>
      </c>
      <c r="D8420" s="2038">
        <f>(((B8420*E8420)-C8420)/(B8420*E8420))</f>
        <v>0.20038535645472061</v>
      </c>
      <c r="E8420" s="245">
        <v>120</v>
      </c>
    </row>
    <row r="8421" spans="1:5">
      <c r="A8421" s="2159" t="s">
        <v>6595</v>
      </c>
      <c r="B8421" s="891">
        <f t="shared" si="68"/>
        <v>22.19</v>
      </c>
      <c r="C8421" s="236">
        <v>2130</v>
      </c>
      <c r="D8421" s="2038">
        <f t="shared" ref="D8421:D8426" si="69">(((B8421*E8421)-C8421)/(B8421*E8421))</f>
        <v>0.20009013068949982</v>
      </c>
      <c r="E8421" s="245">
        <v>120</v>
      </c>
    </row>
    <row r="8422" spans="1:5">
      <c r="A8422" s="2159" t="s">
        <v>6596</v>
      </c>
      <c r="B8422" s="891">
        <f t="shared" si="68"/>
        <v>21.57</v>
      </c>
      <c r="C8422" s="236">
        <v>2070</v>
      </c>
      <c r="D8422" s="2038">
        <f t="shared" si="69"/>
        <v>0.20027816411682894</v>
      </c>
      <c r="E8422" s="245">
        <v>120</v>
      </c>
    </row>
    <row r="8423" spans="1:5">
      <c r="A8423" s="2159" t="s">
        <v>6597</v>
      </c>
      <c r="B8423" s="891">
        <f t="shared" si="68"/>
        <v>16.880000000000003</v>
      </c>
      <c r="C8423" s="236">
        <v>1620</v>
      </c>
      <c r="D8423" s="2038">
        <f t="shared" si="69"/>
        <v>0.2002369668246447</v>
      </c>
      <c r="E8423" s="245">
        <v>120</v>
      </c>
    </row>
    <row r="8424" spans="1:5">
      <c r="A8424" s="2159" t="s">
        <v>6598</v>
      </c>
      <c r="B8424" s="891">
        <f t="shared" si="68"/>
        <v>15.32</v>
      </c>
      <c r="C8424" s="236">
        <f>1440+30</f>
        <v>1470</v>
      </c>
      <c r="D8424" s="2038">
        <f t="shared" si="69"/>
        <v>0.20039164490861622</v>
      </c>
      <c r="E8424" s="245">
        <v>120</v>
      </c>
    </row>
    <row r="8425" spans="1:5">
      <c r="A8425" s="2159" t="s">
        <v>6599</v>
      </c>
      <c r="B8425" s="891">
        <f t="shared" si="68"/>
        <v>14.07</v>
      </c>
      <c r="C8425" s="236">
        <f>1320+30</f>
        <v>1350</v>
      </c>
      <c r="D8425" s="2038">
        <f t="shared" si="69"/>
        <v>0.20042643923240944</v>
      </c>
      <c r="E8425" s="245">
        <v>120</v>
      </c>
    </row>
    <row r="8426" spans="1:5">
      <c r="A8426" s="2159" t="s">
        <v>6600</v>
      </c>
      <c r="B8426" s="891">
        <f t="shared" si="68"/>
        <v>13.44</v>
      </c>
      <c r="C8426" s="236">
        <f>1260+30</f>
        <v>1290</v>
      </c>
      <c r="D8426" s="2038">
        <f t="shared" si="69"/>
        <v>0.20014880952380951</v>
      </c>
      <c r="E8426" s="245">
        <v>120</v>
      </c>
    </row>
    <row r="8428" spans="1:5">
      <c r="A8428" t="s">
        <v>6624</v>
      </c>
      <c r="C8428" s="317" t="s">
        <v>6594</v>
      </c>
      <c r="D8428" s="2037" t="s">
        <v>6080</v>
      </c>
      <c r="E8428" s="2037" t="s">
        <v>6081</v>
      </c>
    </row>
    <row r="8429" spans="1:5">
      <c r="A8429" s="887" t="s">
        <v>6601</v>
      </c>
      <c r="B8429" s="2030" t="s">
        <v>1323</v>
      </c>
      <c r="C8429" s="317"/>
      <c r="D8429" s="2037"/>
      <c r="E8429" s="2037"/>
    </row>
    <row r="8430" spans="1:5" ht="25.5">
      <c r="A8430" s="2159" t="s">
        <v>6592</v>
      </c>
      <c r="B8430" s="891">
        <f t="shared" ref="B8430:B8437" si="70">ROUNDUP(C8430/0.9/120,1)</f>
        <v>12</v>
      </c>
      <c r="C8430" s="236">
        <f>1260+30</f>
        <v>1290</v>
      </c>
      <c r="D8430" s="2038">
        <f t="shared" ref="D8430:D8437" si="71">(((B8430*E8430)-C8430)/(B8430*E8430))</f>
        <v>0.10416666666666667</v>
      </c>
      <c r="E8430" s="245">
        <v>120</v>
      </c>
    </row>
    <row r="8431" spans="1:5" ht="25.5">
      <c r="A8431" s="2159" t="s">
        <v>6593</v>
      </c>
      <c r="B8431" s="891">
        <f t="shared" si="70"/>
        <v>15.4</v>
      </c>
      <c r="C8431" s="236">
        <f>1260+400</f>
        <v>1660</v>
      </c>
      <c r="D8431" s="2038">
        <f t="shared" si="71"/>
        <v>0.10173160173160173</v>
      </c>
      <c r="E8431" s="245">
        <v>120</v>
      </c>
    </row>
    <row r="8432" spans="1:5">
      <c r="A8432" s="2159" t="s">
        <v>6595</v>
      </c>
      <c r="B8432" s="891">
        <f t="shared" si="70"/>
        <v>19.8</v>
      </c>
      <c r="C8432" s="236">
        <v>2130</v>
      </c>
      <c r="D8432" s="2038">
        <f t="shared" si="71"/>
        <v>0.10353535353535354</v>
      </c>
      <c r="E8432" s="245">
        <v>120</v>
      </c>
    </row>
    <row r="8433" spans="1:7">
      <c r="A8433" s="2159" t="s">
        <v>6596</v>
      </c>
      <c r="B8433" s="891">
        <f t="shared" si="70"/>
        <v>19.200000000000003</v>
      </c>
      <c r="C8433" s="236">
        <v>2070</v>
      </c>
      <c r="D8433" s="2038">
        <f t="shared" si="71"/>
        <v>0.10156250000000018</v>
      </c>
      <c r="E8433" s="245">
        <v>120</v>
      </c>
    </row>
    <row r="8434" spans="1:7">
      <c r="A8434" s="2159" t="s">
        <v>6597</v>
      </c>
      <c r="B8434" s="891">
        <f t="shared" si="70"/>
        <v>15</v>
      </c>
      <c r="C8434" s="236">
        <v>1620</v>
      </c>
      <c r="D8434" s="2038">
        <f t="shared" si="71"/>
        <v>0.1</v>
      </c>
      <c r="E8434" s="245">
        <v>120</v>
      </c>
    </row>
    <row r="8435" spans="1:7">
      <c r="A8435" s="2159" t="s">
        <v>6598</v>
      </c>
      <c r="B8435" s="891">
        <f t="shared" si="70"/>
        <v>13.7</v>
      </c>
      <c r="C8435" s="236">
        <f>1440+30</f>
        <v>1470</v>
      </c>
      <c r="D8435" s="2038">
        <f t="shared" si="71"/>
        <v>0.10583941605839416</v>
      </c>
      <c r="E8435" s="245">
        <v>120</v>
      </c>
    </row>
    <row r="8436" spans="1:7">
      <c r="A8436" s="2159" t="s">
        <v>6599</v>
      </c>
      <c r="B8436" s="891">
        <f t="shared" si="70"/>
        <v>12.5</v>
      </c>
      <c r="C8436" s="236">
        <f>1320+30</f>
        <v>1350</v>
      </c>
      <c r="D8436" s="2038">
        <f t="shared" si="71"/>
        <v>0.1</v>
      </c>
      <c r="E8436" s="245">
        <v>120</v>
      </c>
    </row>
    <row r="8437" spans="1:7">
      <c r="A8437" s="2159" t="s">
        <v>6600</v>
      </c>
      <c r="B8437" s="891">
        <f t="shared" si="70"/>
        <v>12</v>
      </c>
      <c r="C8437" s="236">
        <f>1260+30</f>
        <v>1290</v>
      </c>
      <c r="D8437" s="2038">
        <f t="shared" si="71"/>
        <v>0.10416666666666667</v>
      </c>
      <c r="E8437" s="245">
        <v>120</v>
      </c>
    </row>
    <row r="8438" spans="1:7" ht="25.5">
      <c r="A8438" s="2159" t="s">
        <v>6813</v>
      </c>
      <c r="B8438" s="891">
        <f>ROUNDUP(C8438/0.9/120,1)</f>
        <v>11.5</v>
      </c>
      <c r="C8438" s="236">
        <f>1210+30</f>
        <v>1240</v>
      </c>
      <c r="D8438" s="2038">
        <f>(((B8438*E8438)-C8438)/(B8438*E8438))</f>
        <v>0.10144927536231885</v>
      </c>
      <c r="E8438" s="245">
        <v>120</v>
      </c>
    </row>
    <row r="8439" spans="1:7" ht="25.5">
      <c r="A8439" s="2159" t="s">
        <v>6814</v>
      </c>
      <c r="B8439" s="891">
        <f>ROUNDUP(C8439/0.9/120,1)</f>
        <v>11</v>
      </c>
      <c r="C8439" s="236">
        <f>1150+30</f>
        <v>1180</v>
      </c>
      <c r="D8439" s="2038">
        <f>(((B8439*E8439)-C8439)/(B8439*E8439))</f>
        <v>0.10606060606060606</v>
      </c>
      <c r="E8439" s="245">
        <v>120</v>
      </c>
    </row>
    <row r="8440" spans="1:7">
      <c r="A8440" s="2165"/>
      <c r="B8440" s="1149"/>
      <c r="D8440" s="2038"/>
      <c r="E8440" s="245"/>
    </row>
    <row r="8441" spans="1:7">
      <c r="A8441" s="2165"/>
      <c r="B8441" s="1149"/>
      <c r="D8441" s="2038"/>
      <c r="E8441" s="245"/>
    </row>
    <row r="8443" spans="1:7">
      <c r="A8443" s="902" t="s">
        <v>106</v>
      </c>
      <c r="B8443" s="902" t="s">
        <v>52</v>
      </c>
      <c r="C8443" s="902" t="s">
        <v>53</v>
      </c>
      <c r="D8443" s="887" t="s">
        <v>1186</v>
      </c>
      <c r="E8443" s="887" t="s">
        <v>1652</v>
      </c>
      <c r="F8443" s="887" t="s">
        <v>1653</v>
      </c>
      <c r="G8443" s="2030" t="s">
        <v>1323</v>
      </c>
    </row>
    <row r="8444" spans="1:7">
      <c r="A8444" s="47">
        <v>5291</v>
      </c>
      <c r="B8444" s="48">
        <v>6</v>
      </c>
      <c r="C8444" s="47" t="s">
        <v>2330</v>
      </c>
      <c r="D8444" s="905">
        <v>50</v>
      </c>
      <c r="E8444" s="906">
        <v>13</v>
      </c>
      <c r="F8444" s="905">
        <f>D8444*E8444</f>
        <v>650</v>
      </c>
      <c r="G8444" s="891">
        <v>0.27</v>
      </c>
    </row>
    <row r="8445" spans="1:7">
      <c r="A8445" s="47"/>
      <c r="B8445" s="893"/>
      <c r="C8445" s="260" t="s">
        <v>1993</v>
      </c>
      <c r="D8445" s="905"/>
      <c r="E8445" s="906"/>
      <c r="F8445" s="894">
        <v>1</v>
      </c>
      <c r="G8445" s="891">
        <v>12</v>
      </c>
    </row>
    <row r="8448" spans="1:7">
      <c r="A8448" t="s">
        <v>6612</v>
      </c>
    </row>
    <row r="8449" spans="1:16" ht="25.5">
      <c r="A8449" s="1350" t="s">
        <v>1369</v>
      </c>
      <c r="B8449" s="1351" t="s">
        <v>377</v>
      </c>
      <c r="C8449" s="1352" t="s">
        <v>2</v>
      </c>
      <c r="D8449" s="1353" t="s">
        <v>1734</v>
      </c>
      <c r="E8449" s="1354" t="s">
        <v>5527</v>
      </c>
      <c r="F8449" s="754" t="s">
        <v>6613</v>
      </c>
      <c r="G8449" s="2037" t="s">
        <v>6080</v>
      </c>
      <c r="H8449" s="317" t="s">
        <v>6081</v>
      </c>
    </row>
    <row r="8450" spans="1:16">
      <c r="A8450" s="1172" t="s">
        <v>1371</v>
      </c>
      <c r="B8450" s="1782">
        <v>3</v>
      </c>
      <c r="C8450" s="1171">
        <v>30</v>
      </c>
      <c r="D8450" s="1172" t="s">
        <v>1812</v>
      </c>
      <c r="E8450" s="1174">
        <v>0.76</v>
      </c>
      <c r="F8450" s="735">
        <v>41</v>
      </c>
      <c r="G8450" s="2070">
        <f>(E8450-(F8450/H8450))/E8450</f>
        <v>0.55043859649122806</v>
      </c>
      <c r="H8450" s="317">
        <v>120</v>
      </c>
    </row>
    <row r="8452" spans="1:16" ht="15">
      <c r="A8452" s="1871" t="s">
        <v>8236</v>
      </c>
      <c r="B8452" s="1871"/>
      <c r="C8452" s="1871"/>
      <c r="D8452" s="1871"/>
      <c r="E8452" s="1871"/>
      <c r="F8452" s="1871"/>
    </row>
    <row r="8453" spans="1:16">
      <c r="A8453" s="887" t="s">
        <v>455</v>
      </c>
      <c r="B8453" s="887" t="s">
        <v>128</v>
      </c>
      <c r="C8453" s="887" t="s">
        <v>1053</v>
      </c>
      <c r="D8453" s="1783" t="s">
        <v>1323</v>
      </c>
      <c r="F8453" s="2037" t="s">
        <v>6080</v>
      </c>
      <c r="G8453" s="317" t="s">
        <v>6081</v>
      </c>
    </row>
    <row r="8454" spans="1:16">
      <c r="A8454" s="47" t="s">
        <v>6574</v>
      </c>
      <c r="B8454" s="47" t="s">
        <v>78</v>
      </c>
      <c r="C8454" s="905">
        <v>10</v>
      </c>
      <c r="D8454" s="891">
        <f>ROUNDUP(E8454/0.5/120,2)</f>
        <v>0.65</v>
      </c>
      <c r="E8454" s="1957">
        <v>39</v>
      </c>
      <c r="F8454" s="2070">
        <f>(D8454-(E8454/G8454))/D8454</f>
        <v>0.5</v>
      </c>
      <c r="G8454" s="317">
        <v>120</v>
      </c>
    </row>
    <row r="8455" spans="1:16">
      <c r="A8455" s="47" t="s">
        <v>6574</v>
      </c>
      <c r="B8455" s="47" t="s">
        <v>5801</v>
      </c>
      <c r="C8455" s="905">
        <v>200</v>
      </c>
      <c r="D8455" s="891">
        <f>ROUNDUP(E8455/0.5/120,2)</f>
        <v>1.65</v>
      </c>
      <c r="E8455" s="1957">
        <f>39+60</f>
        <v>99</v>
      </c>
      <c r="F8455" s="2070">
        <f>(D8455-(E8455/G8455))/D8455</f>
        <v>0.5</v>
      </c>
      <c r="G8455" s="317">
        <v>120</v>
      </c>
    </row>
    <row r="8458" spans="1:16">
      <c r="A8458" s="902" t="s">
        <v>106</v>
      </c>
      <c r="B8458" s="902" t="s">
        <v>2861</v>
      </c>
      <c r="C8458" s="902" t="s">
        <v>2862</v>
      </c>
      <c r="D8458" s="902" t="s">
        <v>54</v>
      </c>
      <c r="E8458" s="902" t="s">
        <v>2863</v>
      </c>
    </row>
    <row r="8459" spans="1:16">
      <c r="A8459" s="889" t="s">
        <v>3323</v>
      </c>
      <c r="B8459" s="260"/>
      <c r="C8459" s="260"/>
      <c r="D8459" s="260"/>
      <c r="E8459" s="903"/>
      <c r="F8459" s="2162"/>
      <c r="G8459" s="903"/>
      <c r="H8459" s="52" t="s">
        <v>1027</v>
      </c>
      <c r="I8459" s="39"/>
      <c r="J8459" s="39"/>
      <c r="K8459" s="39"/>
      <c r="L8459" s="1148"/>
      <c r="M8459" s="4"/>
      <c r="N8459" s="1267"/>
      <c r="O8459" s="776"/>
      <c r="P8459" s="1151"/>
    </row>
    <row r="8460" spans="1:16">
      <c r="A8460" s="889" t="s">
        <v>3324</v>
      </c>
      <c r="B8460" s="260" t="s">
        <v>5768</v>
      </c>
      <c r="C8460" s="267" t="s">
        <v>5762</v>
      </c>
      <c r="D8460" s="1062">
        <v>40</v>
      </c>
      <c r="E8460" s="1059" t="s">
        <v>6615</v>
      </c>
      <c r="F8460" s="2163"/>
      <c r="G8460" s="1062">
        <v>40</v>
      </c>
      <c r="H8460" s="891">
        <v>2.38</v>
      </c>
      <c r="I8460" s="891">
        <f>H8460*G8460</f>
        <v>95.199999999999989</v>
      </c>
      <c r="J8460" s="1202" t="s">
        <v>2219</v>
      </c>
      <c r="K8460" s="39"/>
      <c r="L8460" s="1148"/>
      <c r="M8460" s="891" t="e">
        <f>H8460*(VLOOKUP(#REF!,$C$2:$F$6,3,FALSE))</f>
        <v>#REF!</v>
      </c>
      <c r="N8460" s="1150">
        <v>2.09</v>
      </c>
      <c r="O8460" s="2161">
        <f>N8460*G8460</f>
        <v>83.6</v>
      </c>
      <c r="P8460" s="1151">
        <v>128.5</v>
      </c>
    </row>
    <row r="8461" spans="1:16">
      <c r="A8461" s="889" t="s">
        <v>3324</v>
      </c>
      <c r="B8461" s="260" t="s">
        <v>5768</v>
      </c>
      <c r="C8461" s="267" t="s">
        <v>5764</v>
      </c>
      <c r="D8461" s="1062">
        <v>80</v>
      </c>
      <c r="E8461" s="1059" t="s">
        <v>6615</v>
      </c>
      <c r="F8461" s="2163"/>
      <c r="G8461" s="1062">
        <v>80</v>
      </c>
      <c r="H8461" s="891">
        <v>2.38</v>
      </c>
      <c r="I8461" s="891">
        <f>H8461*G8461</f>
        <v>190.39999999999998</v>
      </c>
      <c r="J8461" s="1202" t="s">
        <v>2219</v>
      </c>
      <c r="K8461" s="39"/>
      <c r="L8461" s="1148"/>
      <c r="M8461" s="891" t="e">
        <f>H8461*(VLOOKUP(#REF!,$C$2:$F$6,3,FALSE))</f>
        <v>#REF!</v>
      </c>
      <c r="N8461" s="1150">
        <v>2.09</v>
      </c>
      <c r="O8461" s="2161">
        <f>N8461*G8461</f>
        <v>167.2</v>
      </c>
      <c r="P8461" s="1151">
        <v>128.5</v>
      </c>
    </row>
    <row r="8462" spans="1:16">
      <c r="A8462" s="47"/>
      <c r="B8462" s="893"/>
      <c r="C8462" s="260" t="s">
        <v>2014</v>
      </c>
      <c r="D8462" s="894">
        <v>2</v>
      </c>
      <c r="E8462" s="1059" t="s">
        <v>6616</v>
      </c>
      <c r="F8462" s="2164"/>
      <c r="G8462" s="894">
        <v>2</v>
      </c>
      <c r="H8462" s="891">
        <v>7</v>
      </c>
      <c r="I8462" s="891">
        <f>H8462*G8462</f>
        <v>14</v>
      </c>
      <c r="J8462" s="1202" t="s">
        <v>2219</v>
      </c>
      <c r="K8462" s="39"/>
      <c r="L8462" s="1148"/>
      <c r="M8462" s="891" t="e">
        <f>H8462*(VLOOKUP(#REF!,$C$2:$F$6,3,FALSE))</f>
        <v>#REF!</v>
      </c>
      <c r="N8462" s="1150">
        <v>7</v>
      </c>
      <c r="O8462" s="2161">
        <f>N8462*G8462</f>
        <v>14</v>
      </c>
      <c r="P8462" s="1151">
        <v>500</v>
      </c>
    </row>
    <row r="8463" spans="1:16">
      <c r="A8463" s="902" t="s">
        <v>106</v>
      </c>
      <c r="B8463" s="902" t="s">
        <v>53</v>
      </c>
      <c r="C8463" s="887" t="s">
        <v>1653</v>
      </c>
      <c r="D8463" s="1973" t="s">
        <v>6617</v>
      </c>
      <c r="E8463" s="52" t="s">
        <v>1027</v>
      </c>
      <c r="F8463" s="39"/>
      <c r="G8463" s="39"/>
      <c r="H8463" s="39"/>
      <c r="I8463" s="1148"/>
      <c r="J8463" s="4"/>
      <c r="K8463" s="1267"/>
      <c r="L8463" s="776"/>
      <c r="M8463" s="1151"/>
    </row>
    <row r="8464" spans="1:16">
      <c r="A8464" s="47" t="s">
        <v>637</v>
      </c>
      <c r="B8464" s="47" t="s">
        <v>17</v>
      </c>
      <c r="C8464" s="905">
        <v>200</v>
      </c>
      <c r="D8464" s="47" t="s">
        <v>6618</v>
      </c>
      <c r="E8464" s="891" t="e">
        <f>D8464*C8464</f>
        <v>#VALUE!</v>
      </c>
      <c r="F8464" s="1202" t="s">
        <v>2219</v>
      </c>
      <c r="G8464" s="39"/>
      <c r="H8464" s="1148"/>
      <c r="I8464" s="891" t="e">
        <f>D8464*(VLOOKUP(#REF!,$C$2:$F$6,3,FALSE))</f>
        <v>#VALUE!</v>
      </c>
      <c r="J8464" s="1150">
        <v>0.2</v>
      </c>
      <c r="K8464" s="2161">
        <f>J8464*C8464</f>
        <v>40</v>
      </c>
      <c r="L8464" s="1151">
        <v>13.1</v>
      </c>
    </row>
    <row r="8465" spans="1:12">
      <c r="A8465" s="47"/>
      <c r="B8465" s="260" t="s">
        <v>1993</v>
      </c>
      <c r="C8465" s="894">
        <v>1</v>
      </c>
      <c r="D8465" s="891">
        <v>12</v>
      </c>
      <c r="E8465" s="891">
        <f>D8465*C8465</f>
        <v>12</v>
      </c>
      <c r="F8465" s="39"/>
      <c r="G8465" s="39"/>
      <c r="H8465" s="1148"/>
      <c r="I8465" s="4"/>
      <c r="J8465" s="1150">
        <v>12</v>
      </c>
      <c r="K8465" s="2161">
        <f>J8465*C8465</f>
        <v>12</v>
      </c>
      <c r="L8465" s="1151">
        <v>1100</v>
      </c>
    </row>
    <row r="8468" spans="1:12">
      <c r="A8468" s="902" t="s">
        <v>106</v>
      </c>
      <c r="B8468" s="902" t="s">
        <v>53</v>
      </c>
      <c r="C8468" s="887" t="s">
        <v>1186</v>
      </c>
      <c r="D8468" s="887" t="s">
        <v>1652</v>
      </c>
      <c r="E8468" s="887" t="s">
        <v>1653</v>
      </c>
      <c r="F8468" s="2030" t="s">
        <v>1323</v>
      </c>
    </row>
    <row r="8469" spans="1:12">
      <c r="A8469" s="47" t="s">
        <v>637</v>
      </c>
      <c r="B8469" s="47" t="s">
        <v>17</v>
      </c>
      <c r="C8469" s="905">
        <v>50</v>
      </c>
      <c r="D8469" s="906">
        <v>4</v>
      </c>
      <c r="E8469" s="905">
        <f>C8469*D8469</f>
        <v>200</v>
      </c>
      <c r="F8469" s="891">
        <v>0.23</v>
      </c>
    </row>
    <row r="8470" spans="1:12">
      <c r="A8470" s="47"/>
      <c r="B8470" s="260" t="s">
        <v>1993</v>
      </c>
      <c r="C8470" s="905"/>
      <c r="D8470" s="906"/>
      <c r="E8470" s="894">
        <v>1</v>
      </c>
      <c r="F8470" s="891">
        <v>12</v>
      </c>
    </row>
    <row r="8472" spans="1:12">
      <c r="A8472" s="902" t="s">
        <v>106</v>
      </c>
      <c r="B8472" s="902" t="s">
        <v>2861</v>
      </c>
      <c r="C8472" s="902" t="s">
        <v>2862</v>
      </c>
      <c r="D8472" s="902" t="s">
        <v>54</v>
      </c>
      <c r="E8472" s="902" t="s">
        <v>6619</v>
      </c>
    </row>
    <row r="8473" spans="1:12" s="888" customFormat="1" ht="12.75">
      <c r="A8473" s="889" t="s">
        <v>3323</v>
      </c>
      <c r="B8473" s="260"/>
      <c r="C8473" s="260"/>
      <c r="D8473" s="903"/>
      <c r="E8473" s="52" t="s">
        <v>1027</v>
      </c>
    </row>
    <row r="8474" spans="1:12" s="888" customFormat="1" ht="12.75">
      <c r="A8474" s="889" t="s">
        <v>3324</v>
      </c>
      <c r="B8474" s="260" t="s">
        <v>5768</v>
      </c>
      <c r="C8474" s="267" t="s">
        <v>5762</v>
      </c>
      <c r="D8474" s="1062">
        <v>40</v>
      </c>
      <c r="E8474" s="891">
        <v>2.38</v>
      </c>
    </row>
    <row r="8475" spans="1:12" s="888" customFormat="1" ht="12.75">
      <c r="A8475" s="889" t="s">
        <v>3324</v>
      </c>
      <c r="B8475" s="260" t="s">
        <v>5768</v>
      </c>
      <c r="C8475" s="267" t="s">
        <v>5764</v>
      </c>
      <c r="D8475" s="1062">
        <v>80</v>
      </c>
      <c r="E8475" s="891">
        <v>2.38</v>
      </c>
    </row>
    <row r="8476" spans="1:12" s="888" customFormat="1" ht="12.75">
      <c r="A8476" s="47"/>
      <c r="B8476" s="893"/>
      <c r="C8476" s="260" t="s">
        <v>2014</v>
      </c>
      <c r="D8476" s="894">
        <v>2</v>
      </c>
      <c r="E8476" s="891">
        <v>7</v>
      </c>
    </row>
    <row r="8477" spans="1:12">
      <c r="A8477" s="47"/>
      <c r="B8477" s="260"/>
      <c r="C8477" s="905" t="s">
        <v>6620</v>
      </c>
      <c r="D8477" s="894">
        <v>1</v>
      </c>
      <c r="E8477" s="891">
        <v>12</v>
      </c>
      <c r="F8477" s="891">
        <v>12</v>
      </c>
    </row>
    <row r="8479" spans="1:12">
      <c r="A8479" s="902" t="s">
        <v>106</v>
      </c>
      <c r="B8479" s="902" t="s">
        <v>52</v>
      </c>
      <c r="C8479" s="902" t="s">
        <v>53</v>
      </c>
      <c r="D8479" s="887" t="s">
        <v>1186</v>
      </c>
      <c r="E8479" s="887" t="s">
        <v>1652</v>
      </c>
      <c r="F8479" s="887" t="s">
        <v>1653</v>
      </c>
      <c r="G8479" s="2030" t="s">
        <v>1323</v>
      </c>
    </row>
    <row r="8480" spans="1:12">
      <c r="A8480" s="47">
        <v>14552</v>
      </c>
      <c r="B8480" s="48">
        <v>38</v>
      </c>
      <c r="C8480" s="47" t="s">
        <v>2721</v>
      </c>
      <c r="D8480" s="903">
        <v>30</v>
      </c>
      <c r="E8480" s="904">
        <v>1</v>
      </c>
      <c r="F8480" s="905">
        <f>D8480*E8480</f>
        <v>30</v>
      </c>
      <c r="G8480" s="891">
        <v>1.78</v>
      </c>
    </row>
    <row r="8481" spans="1:7">
      <c r="A8481" s="47"/>
      <c r="B8481" s="893"/>
      <c r="C8481" s="260" t="s">
        <v>1993</v>
      </c>
      <c r="D8481" s="905"/>
      <c r="E8481" s="906"/>
      <c r="F8481" s="894">
        <v>1</v>
      </c>
      <c r="G8481" s="891">
        <v>12</v>
      </c>
    </row>
    <row r="8485" spans="1:7">
      <c r="A8485" s="902" t="s">
        <v>105</v>
      </c>
      <c r="B8485" s="902" t="s">
        <v>106</v>
      </c>
      <c r="C8485" s="902" t="s">
        <v>53</v>
      </c>
      <c r="D8485" s="887" t="s">
        <v>1186</v>
      </c>
      <c r="E8485" s="887" t="s">
        <v>1652</v>
      </c>
      <c r="F8485" s="887" t="s">
        <v>1653</v>
      </c>
      <c r="G8485" s="2030" t="s">
        <v>1323</v>
      </c>
    </row>
    <row r="8486" spans="1:7">
      <c r="A8486" s="947" t="s">
        <v>6622</v>
      </c>
      <c r="B8486" s="47" t="s">
        <v>5772</v>
      </c>
      <c r="C8486" s="47" t="s">
        <v>17</v>
      </c>
      <c r="D8486" s="905">
        <v>50</v>
      </c>
      <c r="E8486" s="906">
        <v>12</v>
      </c>
      <c r="F8486" s="905">
        <f>D8486*E8486</f>
        <v>600</v>
      </c>
      <c r="G8486" s="891">
        <v>0.26</v>
      </c>
    </row>
    <row r="8487" spans="1:7">
      <c r="A8487" s="947" t="s">
        <v>6622</v>
      </c>
      <c r="B8487" s="47"/>
      <c r="C8487" s="260" t="s">
        <v>1993</v>
      </c>
      <c r="D8487" s="905"/>
      <c r="E8487" s="906"/>
      <c r="F8487" s="894">
        <v>1</v>
      </c>
      <c r="G8487" s="891">
        <v>12</v>
      </c>
    </row>
    <row r="8490" spans="1:7">
      <c r="A8490" s="902" t="s">
        <v>106</v>
      </c>
      <c r="B8490" s="902" t="s">
        <v>2861</v>
      </c>
      <c r="C8490" s="902" t="s">
        <v>2862</v>
      </c>
      <c r="D8490" s="902" t="s">
        <v>54</v>
      </c>
      <c r="E8490" s="902" t="s">
        <v>6619</v>
      </c>
      <c r="F8490" s="902" t="s">
        <v>2245</v>
      </c>
    </row>
    <row r="8491" spans="1:7">
      <c r="A8491" s="889" t="s">
        <v>3323</v>
      </c>
      <c r="B8491" s="260"/>
      <c r="C8491" s="260"/>
      <c r="D8491" s="903"/>
      <c r="E8491" s="52" t="s">
        <v>1027</v>
      </c>
      <c r="F8491" s="39"/>
    </row>
    <row r="8492" spans="1:7">
      <c r="A8492" s="889" t="s">
        <v>3324</v>
      </c>
      <c r="B8492" s="260" t="s">
        <v>5768</v>
      </c>
      <c r="C8492" s="267" t="s">
        <v>5763</v>
      </c>
      <c r="D8492" s="1062">
        <v>4</v>
      </c>
      <c r="E8492" s="891">
        <v>2.38</v>
      </c>
      <c r="F8492" s="891">
        <f t="shared" ref="F8492:F8498" si="72">E8492*D8492</f>
        <v>9.52</v>
      </c>
    </row>
    <row r="8493" spans="1:7">
      <c r="A8493" s="889" t="s">
        <v>3324</v>
      </c>
      <c r="B8493" s="260" t="s">
        <v>5768</v>
      </c>
      <c r="C8493" s="267" t="s">
        <v>6626</v>
      </c>
      <c r="D8493" s="1062">
        <v>3</v>
      </c>
      <c r="E8493" s="891">
        <v>2.38</v>
      </c>
      <c r="F8493" s="891">
        <f t="shared" si="72"/>
        <v>7.14</v>
      </c>
    </row>
    <row r="8494" spans="1:7">
      <c r="A8494" s="889" t="s">
        <v>3324</v>
      </c>
      <c r="B8494" s="260" t="s">
        <v>5768</v>
      </c>
      <c r="C8494" s="267" t="s">
        <v>5764</v>
      </c>
      <c r="D8494" s="1062">
        <v>80</v>
      </c>
      <c r="E8494" s="891">
        <v>2.38</v>
      </c>
      <c r="F8494" s="891">
        <f t="shared" si="72"/>
        <v>190.39999999999998</v>
      </c>
    </row>
    <row r="8495" spans="1:7">
      <c r="A8495" s="889" t="s">
        <v>3324</v>
      </c>
      <c r="B8495" s="260" t="s">
        <v>5768</v>
      </c>
      <c r="C8495" s="267" t="s">
        <v>6627</v>
      </c>
      <c r="D8495" s="1062">
        <v>3</v>
      </c>
      <c r="E8495" s="891">
        <v>2.38</v>
      </c>
      <c r="F8495" s="891">
        <f t="shared" si="72"/>
        <v>7.14</v>
      </c>
    </row>
    <row r="8496" spans="1:7">
      <c r="A8496" s="889" t="s">
        <v>3324</v>
      </c>
      <c r="B8496" s="260" t="s">
        <v>5768</v>
      </c>
      <c r="C8496" s="267" t="s">
        <v>5762</v>
      </c>
      <c r="D8496" s="1062">
        <v>42</v>
      </c>
      <c r="E8496" s="891">
        <v>2.38</v>
      </c>
      <c r="F8496" s="891">
        <f t="shared" si="72"/>
        <v>99.96</v>
      </c>
    </row>
    <row r="8497" spans="1:120">
      <c r="A8497" s="47"/>
      <c r="B8497" s="893"/>
      <c r="C8497" s="260" t="s">
        <v>2014</v>
      </c>
      <c r="D8497" s="894">
        <v>5</v>
      </c>
      <c r="E8497" s="891">
        <v>7</v>
      </c>
      <c r="F8497" s="891">
        <f t="shared" si="72"/>
        <v>35</v>
      </c>
    </row>
    <row r="8498" spans="1:120">
      <c r="A8498" s="47"/>
      <c r="B8498" s="893"/>
      <c r="C8498" s="260" t="s">
        <v>1993</v>
      </c>
      <c r="D8498" s="894">
        <v>1</v>
      </c>
      <c r="E8498" s="891">
        <v>12</v>
      </c>
      <c r="F8498" s="891">
        <f t="shared" si="72"/>
        <v>12</v>
      </c>
    </row>
    <row r="8499" spans="1:120">
      <c r="A8499" s="47"/>
      <c r="B8499" s="893"/>
      <c r="C8499" s="260"/>
      <c r="D8499" s="894"/>
      <c r="E8499" s="1202" t="s">
        <v>6628</v>
      </c>
      <c r="F8499" s="919">
        <f>SUM(F8492:F8498)</f>
        <v>361.15999999999997</v>
      </c>
    </row>
    <row r="8501" spans="1:120" s="1163" customFormat="1" ht="25.5">
      <c r="A8501" s="1350" t="s">
        <v>1369</v>
      </c>
      <c r="B8501" s="1351" t="s">
        <v>377</v>
      </c>
      <c r="C8501" s="1352" t="s">
        <v>2</v>
      </c>
      <c r="D8501" s="1353" t="s">
        <v>1734</v>
      </c>
      <c r="E8501" s="1966" t="s">
        <v>2264</v>
      </c>
      <c r="F8501" s="1966" t="s">
        <v>1181</v>
      </c>
      <c r="G8501" s="1354" t="s">
        <v>5527</v>
      </c>
      <c r="H8501" s="1162" t="s">
        <v>1403</v>
      </c>
    </row>
    <row r="8502" spans="1:120" s="59" customFormat="1" ht="15" customHeight="1">
      <c r="A8502" s="1170" t="s">
        <v>5823</v>
      </c>
      <c r="B8502" s="1782">
        <v>4</v>
      </c>
      <c r="C8502" s="1171">
        <v>40</v>
      </c>
      <c r="D8502" s="1172" t="s">
        <v>1812</v>
      </c>
      <c r="E8502" s="1172" t="s">
        <v>2354</v>
      </c>
      <c r="F8502" s="1172" t="s">
        <v>5824</v>
      </c>
      <c r="G8502" s="1174">
        <v>0.8</v>
      </c>
      <c r="H8502" s="2166"/>
      <c r="I8502" s="1963"/>
      <c r="J8502" s="1963"/>
      <c r="K8502" s="1963"/>
      <c r="L8502" s="1963"/>
      <c r="M8502" s="1963"/>
      <c r="N8502" s="1963"/>
      <c r="O8502" s="1963"/>
      <c r="P8502" s="1963"/>
      <c r="Q8502" s="1963"/>
      <c r="R8502" s="1963"/>
      <c r="S8502" s="1963"/>
      <c r="T8502" s="1963"/>
      <c r="U8502" s="1963"/>
      <c r="V8502" s="1963"/>
      <c r="W8502" s="1963"/>
      <c r="X8502" s="1963"/>
      <c r="Y8502" s="1963"/>
      <c r="Z8502" s="1963"/>
      <c r="AA8502" s="1963"/>
      <c r="AB8502" s="1963"/>
      <c r="AC8502" s="1963"/>
      <c r="AD8502" s="1963"/>
      <c r="AE8502" s="1963"/>
      <c r="AF8502" s="1963"/>
      <c r="AG8502" s="1963"/>
      <c r="AH8502" s="1963"/>
      <c r="AI8502" s="1963"/>
      <c r="AJ8502" s="1963"/>
      <c r="AK8502" s="1963"/>
      <c r="AL8502" s="1963"/>
      <c r="AM8502" s="1963"/>
      <c r="AN8502" s="1963"/>
      <c r="AO8502" s="1963"/>
      <c r="AP8502" s="1963"/>
      <c r="AQ8502" s="1963"/>
      <c r="AR8502" s="1963"/>
      <c r="AS8502" s="1963"/>
      <c r="AT8502" s="1963"/>
      <c r="AU8502" s="1963"/>
      <c r="AV8502" s="1963"/>
      <c r="AW8502" s="1963"/>
      <c r="AX8502" s="1963"/>
      <c r="AY8502" s="1963"/>
      <c r="AZ8502" s="1963"/>
      <c r="BA8502" s="1963"/>
      <c r="BB8502" s="1963"/>
      <c r="BC8502" s="1963"/>
      <c r="BD8502" s="1963"/>
      <c r="BE8502" s="1963"/>
      <c r="BF8502" s="1963"/>
      <c r="BG8502" s="1963"/>
      <c r="BH8502" s="1963"/>
      <c r="BI8502" s="1963"/>
      <c r="BJ8502" s="1963"/>
      <c r="BK8502" s="1963"/>
      <c r="BL8502" s="1963"/>
      <c r="BM8502" s="1963"/>
      <c r="BN8502" s="1963"/>
      <c r="BO8502" s="1963"/>
      <c r="BP8502" s="1963"/>
      <c r="BQ8502" s="1963"/>
      <c r="BR8502" s="1963"/>
      <c r="BS8502" s="1963"/>
      <c r="BT8502" s="1963"/>
      <c r="BU8502" s="1963"/>
      <c r="BV8502" s="1963"/>
      <c r="BW8502" s="1963"/>
      <c r="BX8502" s="1963"/>
      <c r="BY8502" s="1963"/>
      <c r="BZ8502" s="1963"/>
      <c r="CA8502" s="1963"/>
      <c r="CB8502" s="1963"/>
      <c r="CC8502" s="1963"/>
      <c r="CD8502" s="1963"/>
      <c r="CE8502" s="1963"/>
      <c r="CF8502" s="1963"/>
      <c r="CG8502" s="1963"/>
      <c r="CH8502" s="1963"/>
      <c r="CI8502" s="1963"/>
      <c r="CJ8502" s="1963"/>
      <c r="CK8502" s="1963"/>
      <c r="CL8502" s="1963"/>
      <c r="CM8502" s="1963"/>
      <c r="CN8502" s="1963"/>
      <c r="CO8502" s="1963"/>
      <c r="CP8502" s="1963"/>
      <c r="CQ8502" s="1963"/>
      <c r="CR8502" s="1963"/>
      <c r="CS8502" s="1963"/>
      <c r="CT8502" s="1963"/>
      <c r="CU8502" s="1963"/>
      <c r="CV8502" s="1963"/>
      <c r="CW8502" s="1963"/>
      <c r="CX8502" s="1963"/>
      <c r="CY8502" s="1963"/>
      <c r="CZ8502" s="1963"/>
      <c r="DA8502" s="1963"/>
      <c r="DB8502" s="1963"/>
      <c r="DC8502" s="1963"/>
      <c r="DD8502" s="1963"/>
      <c r="DE8502" s="1963"/>
      <c r="DF8502" s="1963"/>
      <c r="DG8502" s="1963"/>
      <c r="DH8502" s="1963"/>
      <c r="DI8502" s="1963"/>
      <c r="DJ8502" s="1963"/>
      <c r="DK8502" s="1963"/>
      <c r="DL8502" s="1963"/>
      <c r="DM8502" s="1963"/>
      <c r="DN8502" s="1963"/>
      <c r="DO8502" s="1963"/>
      <c r="DP8502" s="1963"/>
    </row>
    <row r="8503" spans="1:120" s="1163" customFormat="1" ht="25.5">
      <c r="A8503" s="1350" t="s">
        <v>1369</v>
      </c>
      <c r="B8503" s="1351" t="s">
        <v>377</v>
      </c>
      <c r="C8503" s="1352" t="s">
        <v>2</v>
      </c>
      <c r="D8503" s="1353" t="s">
        <v>1734</v>
      </c>
      <c r="E8503" s="1966" t="s">
        <v>2264</v>
      </c>
      <c r="F8503" s="1966" t="s">
        <v>1181</v>
      </c>
      <c r="G8503" s="1354" t="s">
        <v>5527</v>
      </c>
      <c r="H8503" s="1162" t="s">
        <v>1403</v>
      </c>
    </row>
    <row r="8504" spans="1:120" s="59" customFormat="1" ht="15" customHeight="1">
      <c r="A8504" s="1170" t="s">
        <v>2353</v>
      </c>
      <c r="B8504" s="1187">
        <v>4</v>
      </c>
      <c r="C8504" s="1188">
        <v>40</v>
      </c>
      <c r="D8504" s="1172" t="s">
        <v>1812</v>
      </c>
      <c r="E8504" s="1172" t="s">
        <v>2354</v>
      </c>
      <c r="F8504" s="1172" t="s">
        <v>2355</v>
      </c>
      <c r="G8504" s="1174">
        <v>0.75</v>
      </c>
      <c r="H8504" s="2166"/>
      <c r="I8504" s="1963"/>
      <c r="J8504" s="1963"/>
      <c r="K8504" s="1963"/>
      <c r="L8504" s="1963"/>
      <c r="M8504" s="1963"/>
      <c r="N8504" s="1963"/>
      <c r="O8504" s="1963"/>
      <c r="P8504" s="1963"/>
      <c r="Q8504" s="1963"/>
      <c r="R8504" s="1963"/>
      <c r="S8504" s="1963"/>
      <c r="T8504" s="1963"/>
      <c r="U8504" s="1963"/>
      <c r="V8504" s="1963"/>
      <c r="W8504" s="1963"/>
      <c r="X8504" s="1963"/>
      <c r="Y8504" s="1963"/>
      <c r="Z8504" s="1963"/>
      <c r="AA8504" s="1963"/>
      <c r="AB8504" s="1963"/>
      <c r="AC8504" s="1963"/>
      <c r="AD8504" s="1963"/>
      <c r="AE8504" s="1963"/>
      <c r="AF8504" s="1963"/>
      <c r="AG8504" s="1963"/>
      <c r="AH8504" s="1963"/>
      <c r="AI8504" s="1963"/>
      <c r="AJ8504" s="1963"/>
      <c r="AK8504" s="1963"/>
      <c r="AL8504" s="1963"/>
      <c r="AM8504" s="1963"/>
      <c r="AN8504" s="1963"/>
      <c r="AO8504" s="1963"/>
      <c r="AP8504" s="1963"/>
      <c r="AQ8504" s="1963"/>
      <c r="AR8504" s="1963"/>
      <c r="AS8504" s="1963"/>
      <c r="AT8504" s="1963"/>
      <c r="AU8504" s="1963"/>
      <c r="AV8504" s="1963"/>
      <c r="AW8504" s="1963"/>
      <c r="AX8504" s="1963"/>
      <c r="AY8504" s="1963"/>
      <c r="AZ8504" s="1963"/>
      <c r="BA8504" s="1963"/>
      <c r="BB8504" s="1963"/>
      <c r="BC8504" s="1963"/>
      <c r="BD8504" s="1963"/>
      <c r="BE8504" s="1963"/>
      <c r="BF8504" s="1963"/>
      <c r="BG8504" s="1963"/>
      <c r="BH8504" s="1963"/>
      <c r="BI8504" s="1963"/>
      <c r="BJ8504" s="1963"/>
      <c r="BK8504" s="1963"/>
      <c r="BL8504" s="1963"/>
      <c r="BM8504" s="1963"/>
      <c r="BN8504" s="1963"/>
      <c r="BO8504" s="1963"/>
      <c r="BP8504" s="1963"/>
      <c r="BQ8504" s="1963"/>
      <c r="BR8504" s="1963"/>
      <c r="BS8504" s="1963"/>
      <c r="BT8504" s="1963"/>
      <c r="BU8504" s="1963"/>
      <c r="BV8504" s="1963"/>
      <c r="BW8504" s="1963"/>
      <c r="BX8504" s="1963"/>
      <c r="BY8504" s="1963"/>
      <c r="BZ8504" s="1963"/>
      <c r="CA8504" s="1963"/>
      <c r="CB8504" s="1963"/>
      <c r="CC8504" s="1963"/>
      <c r="CD8504" s="1963"/>
      <c r="CE8504" s="1963"/>
      <c r="CF8504" s="1963"/>
      <c r="CG8504" s="1963"/>
      <c r="CH8504" s="1963"/>
      <c r="CI8504" s="1963"/>
      <c r="CJ8504" s="1963"/>
      <c r="CK8504" s="1963"/>
      <c r="CL8504" s="1963"/>
      <c r="CM8504" s="1963"/>
      <c r="CN8504" s="1963"/>
      <c r="CO8504" s="1963"/>
      <c r="CP8504" s="1963"/>
      <c r="CQ8504" s="1963"/>
      <c r="CR8504" s="1963"/>
      <c r="CS8504" s="1963"/>
      <c r="CT8504" s="1963"/>
      <c r="CU8504" s="1963"/>
      <c r="CV8504" s="1963"/>
      <c r="CW8504" s="1963"/>
      <c r="CX8504" s="1963"/>
      <c r="CY8504" s="1963"/>
      <c r="CZ8504" s="1963"/>
      <c r="DA8504" s="1963"/>
      <c r="DB8504" s="1963"/>
      <c r="DC8504" s="1963"/>
      <c r="DD8504" s="1963"/>
      <c r="DE8504" s="1963"/>
      <c r="DF8504" s="1963"/>
      <c r="DG8504" s="1963"/>
      <c r="DH8504" s="1963"/>
      <c r="DI8504" s="1963"/>
      <c r="DJ8504" s="1963"/>
      <c r="DK8504" s="1963"/>
      <c r="DL8504" s="1963"/>
      <c r="DM8504" s="1963"/>
      <c r="DN8504" s="1963"/>
      <c r="DO8504" s="1963"/>
      <c r="DP8504" s="1963"/>
    </row>
    <row r="8508" spans="1:120">
      <c r="A8508" s="902" t="s">
        <v>106</v>
      </c>
      <c r="B8508" s="902" t="s">
        <v>52</v>
      </c>
      <c r="C8508" s="902" t="s">
        <v>53</v>
      </c>
      <c r="D8508" s="887" t="s">
        <v>1186</v>
      </c>
      <c r="E8508" s="887" t="s">
        <v>1652</v>
      </c>
      <c r="F8508" s="887" t="s">
        <v>1653</v>
      </c>
      <c r="G8508" s="2030" t="s">
        <v>1323</v>
      </c>
    </row>
    <row r="8509" spans="1:120">
      <c r="A8509" s="47">
        <v>12740</v>
      </c>
      <c r="B8509" s="48">
        <v>19</v>
      </c>
      <c r="C8509" s="47" t="s">
        <v>6630</v>
      </c>
      <c r="D8509" s="905">
        <v>10</v>
      </c>
      <c r="E8509" s="906">
        <v>2</v>
      </c>
      <c r="F8509" s="905">
        <f>D8509*E8509</f>
        <v>20</v>
      </c>
      <c r="G8509" s="891">
        <v>1.5</v>
      </c>
    </row>
    <row r="8510" spans="1:120">
      <c r="A8510" s="47"/>
      <c r="B8510" s="893"/>
      <c r="C8510" s="260" t="s">
        <v>1993</v>
      </c>
      <c r="D8510" s="905"/>
      <c r="E8510" s="906"/>
      <c r="F8510" s="894">
        <v>1</v>
      </c>
      <c r="G8510" s="891">
        <v>12</v>
      </c>
    </row>
    <row r="8513" spans="1:120" s="1186" customFormat="1" ht="25.5">
      <c r="A8513" s="1350" t="s">
        <v>1369</v>
      </c>
      <c r="B8513" s="1351" t="s">
        <v>377</v>
      </c>
      <c r="C8513" s="1352" t="s">
        <v>2</v>
      </c>
      <c r="D8513" s="1353" t="s">
        <v>1734</v>
      </c>
      <c r="E8513" s="1966" t="s">
        <v>2264</v>
      </c>
      <c r="F8513" s="1966" t="s">
        <v>1181</v>
      </c>
      <c r="G8513" s="1354" t="s">
        <v>5527</v>
      </c>
      <c r="H8513" s="1185" t="s">
        <v>1403</v>
      </c>
    </row>
    <row r="8514" spans="1:120" s="1019" customFormat="1" ht="15" customHeight="1">
      <c r="A8514" s="1170" t="s">
        <v>2358</v>
      </c>
      <c r="B8514" s="1187">
        <v>12</v>
      </c>
      <c r="C8514" s="1171">
        <v>30</v>
      </c>
      <c r="D8514" s="1172" t="s">
        <v>1812</v>
      </c>
      <c r="E8514" s="1967" t="s">
        <v>14</v>
      </c>
      <c r="F8514" s="1967" t="s">
        <v>15</v>
      </c>
      <c r="G8514" s="1061">
        <v>0.76</v>
      </c>
      <c r="H8514" s="2167">
        <v>46</v>
      </c>
      <c r="I8514" s="1191"/>
      <c r="J8514" s="1191"/>
      <c r="K8514" s="1191"/>
      <c r="L8514" s="1191"/>
      <c r="M8514" s="1191"/>
      <c r="N8514" s="1191"/>
      <c r="O8514" s="1191"/>
      <c r="P8514" s="1191"/>
      <c r="Q8514" s="1191"/>
      <c r="R8514" s="1191"/>
      <c r="S8514" s="1191"/>
      <c r="T8514" s="1191"/>
      <c r="U8514" s="1191"/>
      <c r="V8514" s="1191"/>
      <c r="W8514" s="1191"/>
      <c r="X8514" s="1191"/>
      <c r="Y8514" s="1191"/>
      <c r="Z8514" s="1191"/>
      <c r="AA8514" s="1191"/>
      <c r="AB8514" s="1191"/>
      <c r="AC8514" s="1191"/>
      <c r="AD8514" s="1191"/>
      <c r="AE8514" s="1191"/>
      <c r="AF8514" s="1191"/>
      <c r="AG8514" s="1191"/>
      <c r="AH8514" s="1191"/>
      <c r="AI8514" s="1191"/>
      <c r="AJ8514" s="1191"/>
      <c r="AK8514" s="1191"/>
      <c r="AL8514" s="1191"/>
      <c r="AM8514" s="1191"/>
      <c r="AN8514" s="1191"/>
      <c r="AO8514" s="1191"/>
      <c r="AP8514" s="1191"/>
      <c r="AQ8514" s="1191"/>
      <c r="AR8514" s="1191"/>
      <c r="AS8514" s="1191"/>
      <c r="AT8514" s="1191"/>
      <c r="AU8514" s="1191"/>
      <c r="AV8514" s="1191"/>
      <c r="AW8514" s="1191"/>
      <c r="AX8514" s="1191"/>
      <c r="AY8514" s="1191"/>
      <c r="AZ8514" s="1191"/>
      <c r="BA8514" s="1191"/>
      <c r="BB8514" s="1191"/>
      <c r="BC8514" s="1191"/>
      <c r="BD8514" s="1191"/>
      <c r="BE8514" s="1191"/>
      <c r="BF8514" s="1191"/>
      <c r="BG8514" s="1191"/>
      <c r="BH8514" s="1191"/>
      <c r="BI8514" s="1191"/>
      <c r="BJ8514" s="1191"/>
      <c r="BK8514" s="1191"/>
      <c r="BL8514" s="1191"/>
      <c r="BM8514" s="1191"/>
      <c r="BN8514" s="1191"/>
      <c r="BO8514" s="1191"/>
      <c r="BP8514" s="1191"/>
      <c r="BQ8514" s="1191"/>
      <c r="BR8514" s="1191"/>
      <c r="BS8514" s="1191"/>
      <c r="BT8514" s="1191"/>
      <c r="BU8514" s="1191"/>
      <c r="BV8514" s="1191"/>
      <c r="BW8514" s="1191"/>
      <c r="BX8514" s="1191"/>
      <c r="BY8514" s="1191"/>
      <c r="BZ8514" s="1191"/>
      <c r="CA8514" s="1191"/>
      <c r="CB8514" s="1191"/>
      <c r="CC8514" s="1191"/>
      <c r="CD8514" s="1191"/>
      <c r="CE8514" s="1191"/>
      <c r="CF8514" s="1191"/>
      <c r="CG8514" s="1191"/>
      <c r="CH8514" s="1191"/>
      <c r="CI8514" s="1191"/>
      <c r="CJ8514" s="1191"/>
      <c r="CK8514" s="1191"/>
      <c r="CL8514" s="1191"/>
      <c r="CM8514" s="1191"/>
      <c r="CN8514" s="1191"/>
      <c r="CO8514" s="1191"/>
      <c r="CP8514" s="1191"/>
      <c r="CQ8514" s="1191"/>
      <c r="CR8514" s="1191"/>
      <c r="CS8514" s="1191"/>
      <c r="CT8514" s="1191"/>
      <c r="CU8514" s="1191"/>
      <c r="CV8514" s="1191"/>
      <c r="CW8514" s="1191"/>
      <c r="CX8514" s="1191"/>
      <c r="CY8514" s="1191"/>
      <c r="CZ8514" s="1191"/>
      <c r="DA8514" s="1191"/>
      <c r="DB8514" s="1191"/>
      <c r="DC8514" s="1191"/>
      <c r="DD8514" s="1191"/>
      <c r="DE8514" s="1191"/>
      <c r="DF8514" s="1191"/>
      <c r="DG8514" s="1191"/>
      <c r="DH8514" s="1191"/>
      <c r="DI8514" s="1191"/>
      <c r="DJ8514" s="1191"/>
      <c r="DK8514" s="1191"/>
      <c r="DL8514" s="1191"/>
      <c r="DM8514" s="1191"/>
      <c r="DN8514" s="1191"/>
      <c r="DO8514" s="1191"/>
      <c r="DP8514" s="1191"/>
    </row>
    <row r="8517" spans="1:120" s="843" customFormat="1" ht="25.5">
      <c r="A8517" s="886" t="s">
        <v>1400</v>
      </c>
      <c r="B8517" s="951" t="s">
        <v>2464</v>
      </c>
      <c r="C8517" s="952" t="s">
        <v>2724</v>
      </c>
      <c r="D8517" s="951" t="s">
        <v>1181</v>
      </c>
      <c r="E8517" s="953" t="s">
        <v>2467</v>
      </c>
      <c r="F8517" s="951" t="s">
        <v>1752</v>
      </c>
      <c r="G8517" s="847" t="s">
        <v>2562</v>
      </c>
    </row>
    <row r="8518" spans="1:120" s="843" customFormat="1" ht="24" customHeight="1">
      <c r="A8518" s="954" t="s">
        <v>804</v>
      </c>
      <c r="B8518" s="954" t="s">
        <v>2504</v>
      </c>
      <c r="C8518" s="954" t="s">
        <v>2501</v>
      </c>
      <c r="D8518" s="954" t="s">
        <v>6645</v>
      </c>
      <c r="E8518" s="1277">
        <v>5</v>
      </c>
      <c r="F8518" s="2170" t="s">
        <v>6646</v>
      </c>
      <c r="G8518" s="2168" t="s">
        <v>6644</v>
      </c>
      <c r="H8518" s="2169">
        <v>400</v>
      </c>
    </row>
    <row r="8521" spans="1:120">
      <c r="A8521" s="902" t="s">
        <v>106</v>
      </c>
      <c r="B8521" s="902" t="s">
        <v>377</v>
      </c>
      <c r="C8521" s="902" t="s">
        <v>53</v>
      </c>
      <c r="D8521" s="887" t="s">
        <v>1653</v>
      </c>
      <c r="E8521" s="2030" t="s">
        <v>1323</v>
      </c>
    </row>
    <row r="8522" spans="1:120">
      <c r="A8522" s="47" t="s">
        <v>6607</v>
      </c>
      <c r="B8522" s="907">
        <v>148</v>
      </c>
      <c r="C8522" s="47" t="s">
        <v>116</v>
      </c>
      <c r="D8522" s="905">
        <v>15</v>
      </c>
      <c r="E8522" s="891">
        <v>15.4</v>
      </c>
    </row>
    <row r="8523" spans="1:120">
      <c r="A8523" s="47"/>
      <c r="B8523" s="893"/>
      <c r="C8523" s="260" t="s">
        <v>1993</v>
      </c>
      <c r="D8523" s="894">
        <v>1</v>
      </c>
      <c r="E8523" s="891">
        <v>20</v>
      </c>
    </row>
    <row r="8527" spans="1:120" s="2171" customFormat="1" ht="61.5" customHeight="1">
      <c r="A8527" s="2944" t="s">
        <v>6665</v>
      </c>
      <c r="B8527" s="2945" t="s">
        <v>6648</v>
      </c>
      <c r="C8527" s="2946"/>
      <c r="D8527" s="2947"/>
    </row>
    <row r="8528" spans="1:120" s="2171" customFormat="1" ht="46.5" customHeight="1">
      <c r="A8528" s="2944"/>
      <c r="B8528" s="2172" t="s">
        <v>6649</v>
      </c>
      <c r="C8528" s="2172" t="s">
        <v>6650</v>
      </c>
      <c r="D8528" s="2172" t="s">
        <v>6651</v>
      </c>
    </row>
    <row r="8529" spans="1:7" s="2171" customFormat="1" ht="15.75">
      <c r="A8529" s="2176" t="s">
        <v>6655</v>
      </c>
      <c r="B8529" s="2173">
        <v>1.5317667536988686</v>
      </c>
      <c r="C8529" s="2173">
        <v>1.2254134029590946</v>
      </c>
      <c r="D8529" s="2173">
        <v>1.0722367275892082</v>
      </c>
    </row>
    <row r="8530" spans="1:7" s="2171" customFormat="1" ht="15.75">
      <c r="A8530" s="2176" t="s">
        <v>6654</v>
      </c>
      <c r="B8530" s="2173">
        <v>1.508558166521613</v>
      </c>
      <c r="C8530" s="2173">
        <v>1.2068465332172906</v>
      </c>
      <c r="D8530" s="2173">
        <v>1.0559907165651292</v>
      </c>
    </row>
    <row r="8531" spans="1:7" s="2171" customFormat="1" ht="15.75">
      <c r="A8531" s="2176" t="s">
        <v>6658</v>
      </c>
      <c r="B8531" s="2173">
        <v>1.5</v>
      </c>
      <c r="C8531" s="2173">
        <v>1.1299999999999999</v>
      </c>
      <c r="D8531" s="2173">
        <v>1.1000000000000001</v>
      </c>
    </row>
    <row r="8532" spans="1:7" s="2171" customFormat="1" ht="15.75">
      <c r="A8532" s="2176" t="s">
        <v>6652</v>
      </c>
      <c r="B8532" s="2173">
        <v>2.4500000000000002</v>
      </c>
      <c r="C8532" s="2173">
        <v>1.98</v>
      </c>
      <c r="D8532" s="2173">
        <v>1.88</v>
      </c>
    </row>
    <row r="8533" spans="1:7" s="2171" customFormat="1" ht="15.75">
      <c r="A8533" s="2176" t="s">
        <v>6653</v>
      </c>
      <c r="B8533" s="2173">
        <v>1.5317667536988686</v>
      </c>
      <c r="C8533" s="2173">
        <v>1.2254134029590946</v>
      </c>
      <c r="D8533" s="2173">
        <v>1.0722367275892082</v>
      </c>
    </row>
    <row r="8534" spans="1:7" s="2171" customFormat="1" ht="15.75">
      <c r="A8534" s="2176" t="s">
        <v>6656</v>
      </c>
      <c r="B8534" s="2173">
        <v>2.1444734551784159</v>
      </c>
      <c r="C8534" s="2173">
        <v>1.7155787641427322</v>
      </c>
      <c r="D8534" s="2173">
        <v>1.5011314186248914</v>
      </c>
    </row>
    <row r="8535" spans="1:7" s="2171" customFormat="1" ht="15.75">
      <c r="A8535" s="2176" t="s">
        <v>6657</v>
      </c>
      <c r="B8535" s="2173">
        <v>1.3577023498694516</v>
      </c>
      <c r="C8535" s="2173">
        <v>1.0861618798955615</v>
      </c>
      <c r="D8535" s="2173">
        <v>0.95039164490861616</v>
      </c>
    </row>
    <row r="8536" spans="1:7" s="2175" customFormat="1" ht="15.75">
      <c r="A8536" s="2177" t="s">
        <v>6664</v>
      </c>
      <c r="B8536" s="2174">
        <v>1.508558166521613</v>
      </c>
      <c r="C8536" s="2174">
        <v>1.2068465332172906</v>
      </c>
      <c r="D8536" s="2174">
        <v>1.0559907165651292</v>
      </c>
    </row>
    <row r="8537" spans="1:7" s="2175" customFormat="1" ht="15.75">
      <c r="A8537" s="2177" t="s">
        <v>6659</v>
      </c>
      <c r="B8537" s="2174">
        <v>3.15</v>
      </c>
      <c r="C8537" s="2174">
        <v>2.83</v>
      </c>
      <c r="D8537" s="2174">
        <v>2.34</v>
      </c>
    </row>
    <row r="8538" spans="1:7" s="2175" customFormat="1" ht="15.75">
      <c r="A8538" s="2177" t="s">
        <v>6660</v>
      </c>
      <c r="B8538" s="2174">
        <v>2.16</v>
      </c>
      <c r="C8538" s="2174">
        <v>2</v>
      </c>
      <c r="D8538" s="2174">
        <v>1.94</v>
      </c>
    </row>
    <row r="8539" spans="1:7" s="2175" customFormat="1" ht="15.75">
      <c r="A8539" s="2177" t="s">
        <v>6662</v>
      </c>
      <c r="B8539" s="2174">
        <v>2.11</v>
      </c>
      <c r="C8539" s="2174">
        <v>1.95</v>
      </c>
      <c r="D8539" s="2174">
        <v>1.76</v>
      </c>
    </row>
    <row r="8540" spans="1:7" s="2175" customFormat="1" ht="15.75">
      <c r="A8540" s="2177" t="s">
        <v>6663</v>
      </c>
      <c r="B8540" s="2174">
        <v>2.2628372497824194</v>
      </c>
      <c r="C8540" s="2174">
        <v>1.8102697998259356</v>
      </c>
      <c r="D8540" s="2174">
        <v>1.75</v>
      </c>
    </row>
    <row r="8541" spans="1:7" s="2175" customFormat="1" ht="15.75">
      <c r="A8541" s="2177" t="s">
        <v>6661</v>
      </c>
      <c r="B8541" s="2174">
        <v>2.16</v>
      </c>
      <c r="C8541" s="2174">
        <v>2</v>
      </c>
      <c r="D8541" s="2174">
        <v>1.94</v>
      </c>
    </row>
    <row r="8543" spans="1:7" s="1019" customFormat="1" ht="12.75">
      <c r="A8543" s="2188" t="s">
        <v>6672</v>
      </c>
      <c r="B8543" s="2178" t="s">
        <v>53</v>
      </c>
      <c r="C8543" s="2178" t="s">
        <v>1053</v>
      </c>
      <c r="D8543" s="2179" t="s">
        <v>2467</v>
      </c>
      <c r="E8543" s="2183" t="s">
        <v>6673</v>
      </c>
      <c r="F8543" s="2184" t="s">
        <v>6669</v>
      </c>
      <c r="G8543" s="2184" t="s">
        <v>6670</v>
      </c>
    </row>
    <row r="8544" spans="1:7" s="1019" customFormat="1" ht="12.75">
      <c r="A8544" s="2182" t="s">
        <v>6667</v>
      </c>
      <c r="B8544" s="2182" t="s">
        <v>6675</v>
      </c>
      <c r="C8544" s="2180" t="s">
        <v>6671</v>
      </c>
      <c r="D8544" s="2181">
        <v>0.5</v>
      </c>
      <c r="E8544" s="2185">
        <v>30</v>
      </c>
      <c r="F8544" s="2186">
        <f>(((D8544*G8544)-E8544)/(D8544*G8544))</f>
        <v>0.5</v>
      </c>
      <c r="G8544" s="2187">
        <v>120</v>
      </c>
    </row>
    <row r="8545" spans="1:7" s="1019" customFormat="1" ht="12.75">
      <c r="A8545" s="2182" t="s">
        <v>6668</v>
      </c>
      <c r="B8545" s="2182" t="s">
        <v>6675</v>
      </c>
      <c r="C8545" s="2180">
        <v>200</v>
      </c>
      <c r="D8545" s="2181">
        <v>0.69</v>
      </c>
      <c r="E8545" s="2185">
        <v>41</v>
      </c>
      <c r="F8545" s="2186">
        <f>(((D8545*G8545)-E8545)/(D8545*G8545))</f>
        <v>0.50483091787439616</v>
      </c>
      <c r="G8545" s="2187">
        <v>120</v>
      </c>
    </row>
    <row r="8546" spans="1:7" s="2189" customFormat="1" ht="12.75">
      <c r="A8546" s="2189" t="s">
        <v>6674</v>
      </c>
      <c r="D8546" s="2185"/>
      <c r="E8546" s="2185">
        <v>4000</v>
      </c>
    </row>
    <row r="8548" spans="1:7" ht="14.25">
      <c r="A8548" s="1971" t="s">
        <v>6676</v>
      </c>
    </row>
    <row r="8549" spans="1:7" s="1019" customFormat="1" ht="12.75">
      <c r="A8549" s="902" t="s">
        <v>106</v>
      </c>
      <c r="B8549" s="2178" t="s">
        <v>53</v>
      </c>
      <c r="C8549" s="2178" t="s">
        <v>1053</v>
      </c>
      <c r="D8549" s="2179" t="s">
        <v>2467</v>
      </c>
      <c r="E8549" s="2183" t="s">
        <v>6673</v>
      </c>
      <c r="F8549" s="2184" t="s">
        <v>6669</v>
      </c>
      <c r="G8549" s="2184" t="s">
        <v>6670</v>
      </c>
    </row>
    <row r="8550" spans="1:7" s="1019" customFormat="1" ht="12.75">
      <c r="A8550" s="2182" t="s">
        <v>6677</v>
      </c>
      <c r="B8550" s="2182" t="s">
        <v>78</v>
      </c>
      <c r="C8550" s="2180" t="s">
        <v>6678</v>
      </c>
      <c r="D8550" s="2181">
        <v>0.59</v>
      </c>
      <c r="E8550" s="2185">
        <v>30</v>
      </c>
      <c r="F8550" s="2186">
        <f>(((D8550*G8550)-E8550)/(D8550*G8550))</f>
        <v>0.57627118644067798</v>
      </c>
      <c r="G8550" s="2187">
        <v>120</v>
      </c>
    </row>
    <row r="8551" spans="1:7" s="1019" customFormat="1" ht="12.75">
      <c r="A8551" s="2182" t="s">
        <v>6677</v>
      </c>
      <c r="B8551" s="2182" t="s">
        <v>200</v>
      </c>
      <c r="C8551" s="2180" t="s">
        <v>6678</v>
      </c>
      <c r="D8551" s="2181">
        <v>0.59</v>
      </c>
      <c r="E8551" s="2185">
        <v>35</v>
      </c>
      <c r="F8551" s="2186">
        <f>(((D8551*G8551)-E8551)/(D8551*G8551))</f>
        <v>0.50564971751412424</v>
      </c>
      <c r="G8551" s="2187">
        <v>120</v>
      </c>
    </row>
    <row r="8555" spans="1:7">
      <c r="A8555" s="902" t="s">
        <v>106</v>
      </c>
      <c r="B8555" s="902" t="s">
        <v>52</v>
      </c>
      <c r="C8555" s="902" t="s">
        <v>53</v>
      </c>
      <c r="D8555" s="887" t="s">
        <v>1653</v>
      </c>
      <c r="E8555" s="2030" t="s">
        <v>1203</v>
      </c>
      <c r="F8555" s="2030" t="s">
        <v>1403</v>
      </c>
    </row>
    <row r="8556" spans="1:7">
      <c r="A8556" s="887" t="s">
        <v>6633</v>
      </c>
      <c r="B8556" s="48"/>
      <c r="C8556" s="47"/>
      <c r="D8556" s="905"/>
      <c r="E8556" s="1779" t="s">
        <v>140</v>
      </c>
      <c r="F8556" s="2030"/>
    </row>
    <row r="8557" spans="1:7">
      <c r="A8557" s="47" t="s">
        <v>6634</v>
      </c>
      <c r="B8557" s="893"/>
      <c r="C8557" s="260"/>
      <c r="D8557" s="894">
        <v>1</v>
      </c>
      <c r="E8557" s="891">
        <v>10</v>
      </c>
      <c r="F8557" s="2030"/>
    </row>
    <row r="8558" spans="1:7">
      <c r="A8558" s="47" t="s">
        <v>6636</v>
      </c>
      <c r="B8558" s="893"/>
      <c r="C8558" s="260"/>
      <c r="D8558" s="894">
        <v>1</v>
      </c>
      <c r="E8558" s="891">
        <v>10</v>
      </c>
      <c r="F8558" s="2030"/>
    </row>
    <row r="8559" spans="1:7">
      <c r="A8559" s="887" t="s">
        <v>6686</v>
      </c>
      <c r="B8559" s="260"/>
      <c r="C8559" s="260"/>
      <c r="D8559" s="903"/>
      <c r="E8559" s="1779" t="s">
        <v>134</v>
      </c>
      <c r="F8559" s="2030"/>
    </row>
    <row r="8560" spans="1:7">
      <c r="A8560" s="47">
        <v>4141</v>
      </c>
      <c r="B8560" s="260">
        <v>9</v>
      </c>
      <c r="C8560" s="47" t="s">
        <v>6683</v>
      </c>
      <c r="D8560" s="905">
        <v>2</v>
      </c>
      <c r="E8560" s="891">
        <v>2.4500000000000002</v>
      </c>
      <c r="F8560" s="2081" t="s">
        <v>6687</v>
      </c>
    </row>
    <row r="8561" spans="1:153">
      <c r="A8561" s="47">
        <v>4142</v>
      </c>
      <c r="B8561" s="260">
        <v>9</v>
      </c>
      <c r="C8561" s="47" t="s">
        <v>6683</v>
      </c>
      <c r="D8561" s="905">
        <v>2</v>
      </c>
      <c r="E8561" s="891">
        <v>2.67</v>
      </c>
      <c r="F8561" s="2081" t="s">
        <v>6688</v>
      </c>
    </row>
    <row r="8562" spans="1:153">
      <c r="A8562" s="47"/>
      <c r="B8562" s="893"/>
      <c r="C8562" s="260" t="s">
        <v>1993</v>
      </c>
      <c r="D8562" s="894">
        <v>1</v>
      </c>
      <c r="E8562" s="891">
        <v>12</v>
      </c>
      <c r="F8562" s="2030"/>
    </row>
    <row r="8564" spans="1:153">
      <c r="A8564" t="s">
        <v>6689</v>
      </c>
    </row>
    <row r="8565" spans="1:153" s="1163" customFormat="1" ht="31.5">
      <c r="A8565" s="2152" t="s">
        <v>1369</v>
      </c>
      <c r="B8565" s="2153" t="s">
        <v>6714</v>
      </c>
      <c r="C8565" s="2190" t="s">
        <v>2</v>
      </c>
      <c r="D8565" s="649" t="s">
        <v>1734</v>
      </c>
      <c r="E8565" s="2191" t="s">
        <v>2264</v>
      </c>
      <c r="F8565" s="2191" t="s">
        <v>1181</v>
      </c>
      <c r="G8565" s="2192" t="s">
        <v>5527</v>
      </c>
      <c r="H8565" s="2183" t="s">
        <v>6673</v>
      </c>
      <c r="I8565" s="2184" t="s">
        <v>6669</v>
      </c>
      <c r="J8565" s="2184" t="s">
        <v>6670</v>
      </c>
    </row>
    <row r="8566" spans="1:153" s="59" customFormat="1" ht="15">
      <c r="A8566" s="2194">
        <v>4255</v>
      </c>
      <c r="B8566" s="2203">
        <v>30</v>
      </c>
      <c r="C8566" s="2156">
        <v>20</v>
      </c>
      <c r="D8566" s="2194" t="s">
        <v>1812</v>
      </c>
      <c r="E8566" s="2194" t="s">
        <v>6716</v>
      </c>
      <c r="F8566" s="2194" t="s">
        <v>6717</v>
      </c>
      <c r="G8566" s="1602">
        <v>2.9699999999999998</v>
      </c>
      <c r="H8566" s="2200">
        <v>176</v>
      </c>
      <c r="I8566" s="2186"/>
      <c r="J8566" s="2187"/>
      <c r="K8566" s="1963"/>
      <c r="L8566" s="1963"/>
      <c r="M8566" s="1963"/>
      <c r="N8566" s="1963"/>
      <c r="O8566" s="1963"/>
      <c r="P8566" s="1963"/>
      <c r="Q8566" s="1963"/>
      <c r="R8566" s="1963"/>
      <c r="S8566" s="1963"/>
      <c r="T8566" s="1963"/>
      <c r="U8566" s="1963"/>
      <c r="V8566" s="1963"/>
      <c r="W8566" s="1963"/>
      <c r="X8566" s="1963"/>
      <c r="Y8566" s="1963"/>
      <c r="Z8566" s="1963"/>
      <c r="AA8566" s="1963"/>
      <c r="AB8566" s="1963"/>
      <c r="AC8566" s="1963"/>
      <c r="AD8566" s="1963"/>
      <c r="AE8566" s="1963"/>
      <c r="AF8566" s="1963"/>
      <c r="AG8566" s="1963"/>
      <c r="AH8566" s="1963"/>
      <c r="AI8566" s="1963"/>
      <c r="AJ8566" s="1963"/>
      <c r="AK8566" s="1963"/>
      <c r="AL8566" s="1963"/>
      <c r="AM8566" s="1963"/>
      <c r="AN8566" s="1963"/>
      <c r="AO8566" s="1963"/>
      <c r="AP8566" s="1963"/>
      <c r="AQ8566" s="1963"/>
      <c r="AR8566" s="1963"/>
      <c r="AS8566" s="1963"/>
      <c r="AT8566" s="1963"/>
      <c r="AU8566" s="1963"/>
      <c r="AV8566" s="1963"/>
      <c r="AW8566" s="1963"/>
      <c r="AX8566" s="1963"/>
      <c r="AY8566" s="1963"/>
      <c r="AZ8566" s="1963"/>
      <c r="BA8566" s="1963"/>
      <c r="BB8566" s="1963"/>
      <c r="BC8566" s="1963"/>
      <c r="BD8566" s="1963"/>
      <c r="BE8566" s="1963"/>
    </row>
    <row r="8567" spans="1:153" s="59" customFormat="1" ht="15">
      <c r="A8567" s="2194">
        <v>4255</v>
      </c>
      <c r="B8567" s="2203">
        <v>40</v>
      </c>
      <c r="C8567" s="2156">
        <v>20</v>
      </c>
      <c r="D8567" s="2194" t="s">
        <v>1812</v>
      </c>
      <c r="E8567" s="2194" t="s">
        <v>6716</v>
      </c>
      <c r="F8567" s="2194" t="s">
        <v>6717</v>
      </c>
      <c r="G8567" s="1602">
        <v>3.38</v>
      </c>
      <c r="H8567" s="2200">
        <v>201</v>
      </c>
      <c r="I8567" s="2186"/>
      <c r="J8567" s="2187"/>
      <c r="K8567" s="1963"/>
      <c r="L8567" s="1963"/>
      <c r="M8567" s="1963"/>
      <c r="N8567" s="1963"/>
      <c r="O8567" s="1963"/>
      <c r="P8567" s="1963"/>
      <c r="Q8567" s="1963"/>
      <c r="R8567" s="1963"/>
      <c r="S8567" s="1963"/>
      <c r="T8567" s="1963"/>
      <c r="U8567" s="1963"/>
      <c r="V8567" s="1963"/>
      <c r="W8567" s="1963"/>
      <c r="X8567" s="1963"/>
      <c r="Y8567" s="1963"/>
      <c r="Z8567" s="1963"/>
      <c r="AA8567" s="1963"/>
      <c r="AB8567" s="1963"/>
      <c r="AC8567" s="1963"/>
      <c r="AD8567" s="1963"/>
      <c r="AE8567" s="1963"/>
      <c r="AF8567" s="1963"/>
      <c r="AG8567" s="1963"/>
      <c r="AH8567" s="1963"/>
      <c r="AI8567" s="1963"/>
      <c r="AJ8567" s="1963"/>
      <c r="AK8567" s="1963"/>
      <c r="AL8567" s="1963"/>
      <c r="AM8567" s="1963"/>
      <c r="AN8567" s="1963"/>
      <c r="AO8567" s="1963"/>
      <c r="AP8567" s="1963"/>
      <c r="AQ8567" s="1963"/>
      <c r="AR8567" s="1963"/>
      <c r="AS8567" s="1963"/>
      <c r="AT8567" s="1963"/>
      <c r="AU8567" s="1963"/>
      <c r="AV8567" s="1963"/>
      <c r="AW8567" s="1963"/>
      <c r="AX8567" s="1963"/>
      <c r="AY8567" s="1963"/>
      <c r="AZ8567" s="1963"/>
      <c r="BA8567" s="1963"/>
      <c r="BB8567" s="1963"/>
      <c r="BC8567" s="1963"/>
      <c r="BD8567" s="1963"/>
      <c r="BE8567" s="1963"/>
    </row>
    <row r="8568" spans="1:153" s="59" customFormat="1" ht="15">
      <c r="A8568" s="2194">
        <v>4255</v>
      </c>
      <c r="B8568" s="2203">
        <v>50</v>
      </c>
      <c r="C8568" s="2156">
        <v>20</v>
      </c>
      <c r="D8568" s="2194" t="s">
        <v>1812</v>
      </c>
      <c r="E8568" s="2194" t="s">
        <v>6716</v>
      </c>
      <c r="F8568" s="2194" t="s">
        <v>6717</v>
      </c>
      <c r="G8568" s="1602">
        <v>3.67</v>
      </c>
      <c r="H8568" s="2200">
        <v>218</v>
      </c>
      <c r="I8568" s="2186">
        <f>(((G8568*J8568)-H8568)/(G8568*J8568))</f>
        <v>0.50499545867393281</v>
      </c>
      <c r="J8568" s="2187">
        <v>120</v>
      </c>
      <c r="K8568" s="1963"/>
      <c r="L8568" s="1963"/>
      <c r="M8568" s="1963"/>
      <c r="N8568" s="1963"/>
      <c r="O8568" s="1963"/>
      <c r="P8568" s="1963"/>
      <c r="Q8568" s="1963"/>
      <c r="R8568" s="1963"/>
      <c r="S8568" s="1963"/>
      <c r="T8568" s="1963"/>
      <c r="U8568" s="1963"/>
      <c r="V8568" s="1963"/>
      <c r="W8568" s="1963"/>
      <c r="X8568" s="1963"/>
      <c r="Y8568" s="1963"/>
      <c r="Z8568" s="1963"/>
      <c r="AA8568" s="1963"/>
      <c r="AB8568" s="1963"/>
      <c r="AC8568" s="1963"/>
      <c r="AD8568" s="1963"/>
      <c r="AE8568" s="1963"/>
      <c r="AF8568" s="1963"/>
      <c r="AG8568" s="1963"/>
      <c r="AH8568" s="1963"/>
      <c r="AI8568" s="1963"/>
      <c r="AJ8568" s="1963"/>
      <c r="AK8568" s="1963"/>
      <c r="AL8568" s="1963"/>
      <c r="AM8568" s="1963"/>
      <c r="AN8568" s="1963"/>
      <c r="AO8568" s="1963"/>
      <c r="AP8568" s="1963"/>
      <c r="AQ8568" s="1963"/>
      <c r="AR8568" s="1963"/>
      <c r="AS8568" s="1963"/>
      <c r="AT8568" s="1963"/>
      <c r="AU8568" s="1963"/>
      <c r="AV8568" s="1963"/>
      <c r="AW8568" s="1963"/>
      <c r="AX8568" s="1963"/>
      <c r="AY8568" s="1963"/>
      <c r="AZ8568" s="1963"/>
      <c r="BA8568" s="1963"/>
      <c r="BB8568" s="1963"/>
      <c r="BC8568" s="1963"/>
      <c r="BD8568" s="1963"/>
      <c r="BE8568" s="1963"/>
    </row>
    <row r="8569" spans="1:153" s="1165" customFormat="1" ht="15">
      <c r="A8569" s="2194" t="s">
        <v>6718</v>
      </c>
      <c r="B8569" s="2203">
        <v>15</v>
      </c>
      <c r="C8569" s="2156">
        <v>30</v>
      </c>
      <c r="D8569" s="2194" t="s">
        <v>1812</v>
      </c>
      <c r="E8569" s="2194" t="s">
        <v>6719</v>
      </c>
      <c r="F8569" s="2194" t="s">
        <v>6720</v>
      </c>
      <c r="G8569" s="1602">
        <v>0.63</v>
      </c>
      <c r="H8569" s="2200"/>
      <c r="I8569" s="2186"/>
      <c r="J8569" s="2187"/>
      <c r="K8569" s="1963"/>
      <c r="L8569" s="1963"/>
      <c r="M8569" s="1963"/>
      <c r="N8569" s="1963"/>
      <c r="O8569" s="1963"/>
      <c r="P8569" s="1963"/>
      <c r="Q8569" s="1963"/>
      <c r="R8569" s="1963"/>
      <c r="S8569" s="1963"/>
      <c r="T8569" s="1963"/>
      <c r="U8569" s="1963"/>
      <c r="V8569" s="1963"/>
      <c r="W8569" s="1963"/>
      <c r="X8569" s="1963"/>
      <c r="Y8569" s="1963"/>
      <c r="Z8569" s="1963"/>
      <c r="AA8569" s="1963"/>
      <c r="AB8569" s="1963"/>
      <c r="AC8569" s="1963"/>
      <c r="AD8569" s="1963"/>
      <c r="AE8569" s="1963"/>
      <c r="AF8569" s="1963"/>
      <c r="AG8569" s="1963"/>
      <c r="AH8569" s="1963"/>
      <c r="AI8569" s="1963"/>
      <c r="AJ8569" s="1963"/>
      <c r="AK8569" s="1963"/>
      <c r="AL8569" s="1963"/>
      <c r="AM8569" s="1963"/>
      <c r="AN8569" s="1963"/>
      <c r="AO8569" s="1963"/>
      <c r="AP8569" s="1963"/>
      <c r="AQ8569" s="1963"/>
      <c r="AR8569" s="1963"/>
      <c r="AS8569" s="1963"/>
      <c r="AT8569" s="1963"/>
      <c r="AU8569" s="1963"/>
      <c r="AV8569" s="1963"/>
      <c r="AW8569" s="1963"/>
      <c r="AX8569" s="1963"/>
      <c r="AY8569" s="1963"/>
      <c r="AZ8569" s="1963"/>
      <c r="BA8569" s="1963"/>
      <c r="BB8569" s="1963"/>
      <c r="BC8569" s="1963"/>
      <c r="BD8569" s="1963"/>
      <c r="BE8569" s="1963"/>
      <c r="BF8569" s="1963"/>
      <c r="BG8569" s="1963"/>
      <c r="BH8569" s="1963"/>
      <c r="BI8569" s="1963"/>
      <c r="BJ8569" s="1963"/>
      <c r="BK8569" s="1963"/>
      <c r="BL8569" s="1963"/>
      <c r="BM8569" s="1963"/>
      <c r="BN8569" s="1963"/>
      <c r="BO8569" s="1963"/>
      <c r="BP8569" s="1963"/>
      <c r="BQ8569" s="1963"/>
      <c r="BR8569" s="1963"/>
      <c r="BS8569" s="1963"/>
      <c r="BT8569" s="1963"/>
      <c r="BU8569" s="1963"/>
      <c r="BV8569" s="1963"/>
      <c r="BW8569" s="1963"/>
      <c r="BX8569" s="1963"/>
      <c r="BY8569" s="1963"/>
      <c r="BZ8569" s="1963"/>
      <c r="CA8569" s="1963"/>
      <c r="CB8569" s="1963"/>
      <c r="CC8569" s="1963"/>
      <c r="CD8569" s="1963"/>
      <c r="CE8569" s="1963"/>
      <c r="CF8569" s="1963"/>
      <c r="CG8569" s="1963"/>
      <c r="CH8569" s="1963"/>
      <c r="CI8569" s="1963"/>
      <c r="CJ8569" s="1963"/>
      <c r="CK8569" s="1963"/>
      <c r="CL8569" s="1963"/>
      <c r="CM8569" s="1963"/>
      <c r="CN8569" s="1963"/>
      <c r="CO8569" s="1963"/>
      <c r="CP8569" s="1963"/>
      <c r="CQ8569" s="1963"/>
      <c r="CR8569" s="1963"/>
      <c r="CS8569" s="1963"/>
      <c r="CT8569" s="1963"/>
      <c r="CU8569" s="1963"/>
      <c r="CV8569" s="1963"/>
      <c r="CW8569" s="1963"/>
      <c r="CX8569" s="1963"/>
      <c r="CY8569" s="1963"/>
      <c r="CZ8569" s="1963"/>
      <c r="DA8569" s="1963"/>
      <c r="DB8569" s="1963"/>
      <c r="DC8569" s="1963"/>
      <c r="DD8569" s="1963"/>
      <c r="DE8569" s="1963"/>
      <c r="DF8569" s="1963"/>
      <c r="DG8569" s="1963"/>
      <c r="DH8569" s="1963"/>
      <c r="DI8569" s="1963"/>
      <c r="DJ8569" s="1963"/>
      <c r="DK8569" s="1963"/>
      <c r="DL8569" s="1963"/>
      <c r="DM8569" s="1963"/>
      <c r="DN8569" s="1963"/>
      <c r="DO8569" s="1963"/>
      <c r="DP8569" s="1963"/>
      <c r="DQ8569" s="1963"/>
      <c r="DR8569" s="1963"/>
      <c r="DS8569" s="1963"/>
      <c r="DT8569" s="1963"/>
      <c r="DU8569" s="1963"/>
      <c r="DV8569" s="1963"/>
      <c r="DW8569" s="1963"/>
      <c r="DX8569" s="1963"/>
      <c r="DY8569" s="1963"/>
      <c r="DZ8569" s="1963"/>
      <c r="EA8569" s="1963"/>
      <c r="EB8569" s="1963"/>
      <c r="EC8569" s="1963"/>
      <c r="ED8569" s="1963"/>
      <c r="EE8569" s="1963"/>
      <c r="EF8569" s="1963"/>
      <c r="EG8569" s="1963"/>
      <c r="EH8569" s="1963"/>
      <c r="EI8569" s="1963"/>
      <c r="EJ8569" s="1963"/>
      <c r="EK8569" s="1963"/>
      <c r="EL8569" s="1963"/>
      <c r="EM8569" s="1963"/>
      <c r="EN8569" s="1963"/>
      <c r="EO8569" s="1963"/>
      <c r="EP8569" s="1963"/>
      <c r="EQ8569" s="1963"/>
      <c r="ER8569" s="1963"/>
      <c r="ES8569" s="1963"/>
      <c r="ET8569" s="1963"/>
      <c r="EU8569" s="1963"/>
      <c r="EV8569" s="1963"/>
      <c r="EW8569" s="1963"/>
    </row>
    <row r="8570" spans="1:153" s="1165" customFormat="1" ht="15">
      <c r="A8570" s="2194" t="s">
        <v>6718</v>
      </c>
      <c r="B8570" s="2203">
        <v>20</v>
      </c>
      <c r="C8570" s="2156">
        <v>30</v>
      </c>
      <c r="D8570" s="2194" t="s">
        <v>1812</v>
      </c>
      <c r="E8570" s="2194" t="s">
        <v>6719</v>
      </c>
      <c r="F8570" s="2194" t="s">
        <v>6720</v>
      </c>
      <c r="G8570" s="1602">
        <v>0.76</v>
      </c>
      <c r="H8570" s="2200"/>
      <c r="I8570" s="2186"/>
      <c r="J8570" s="2187"/>
      <c r="K8570" s="1963"/>
      <c r="L8570" s="1963"/>
      <c r="M8570" s="1963"/>
      <c r="N8570" s="1963"/>
      <c r="O8570" s="1963"/>
      <c r="P8570" s="1963"/>
      <c r="Q8570" s="1963"/>
      <c r="R8570" s="1963"/>
      <c r="S8570" s="1963"/>
      <c r="T8570" s="1963"/>
      <c r="U8570" s="1963"/>
      <c r="V8570" s="1963"/>
      <c r="W8570" s="1963"/>
      <c r="X8570" s="1963"/>
      <c r="Y8570" s="1963"/>
      <c r="Z8570" s="1963"/>
      <c r="AA8570" s="1963"/>
      <c r="AB8570" s="1963"/>
      <c r="AC8570" s="1963"/>
      <c r="AD8570" s="1963"/>
      <c r="AE8570" s="1963"/>
      <c r="AF8570" s="1963"/>
      <c r="AG8570" s="1963"/>
      <c r="AH8570" s="1963"/>
      <c r="AI8570" s="1963"/>
      <c r="AJ8570" s="1963"/>
      <c r="AK8570" s="1963"/>
      <c r="AL8570" s="1963"/>
      <c r="AM8570" s="1963"/>
      <c r="AN8570" s="1963"/>
      <c r="AO8570" s="1963"/>
      <c r="AP8570" s="1963"/>
      <c r="AQ8570" s="1963"/>
      <c r="AR8570" s="1963"/>
      <c r="AS8570" s="1963"/>
      <c r="AT8570" s="1963"/>
      <c r="AU8570" s="1963"/>
      <c r="AV8570" s="1963"/>
      <c r="AW8570" s="1963"/>
      <c r="AX8570" s="1963"/>
      <c r="AY8570" s="1963"/>
      <c r="AZ8570" s="1963"/>
      <c r="BA8570" s="1963"/>
      <c r="BB8570" s="1963"/>
      <c r="BC8570" s="1963"/>
      <c r="BD8570" s="1963"/>
      <c r="BE8570" s="1963"/>
      <c r="BF8570" s="1963"/>
      <c r="BG8570" s="1963"/>
      <c r="BH8570" s="1963"/>
      <c r="BI8570" s="1963"/>
      <c r="BJ8570" s="1963"/>
      <c r="BK8570" s="1963"/>
      <c r="BL8570" s="1963"/>
      <c r="BM8570" s="1963"/>
      <c r="BN8570" s="1963"/>
      <c r="BO8570" s="1963"/>
      <c r="BP8570" s="1963"/>
      <c r="BQ8570" s="1963"/>
      <c r="BR8570" s="1963"/>
      <c r="BS8570" s="1963"/>
      <c r="BT8570" s="1963"/>
      <c r="BU8570" s="1963"/>
      <c r="BV8570" s="1963"/>
      <c r="BW8570" s="1963"/>
      <c r="BX8570" s="1963"/>
      <c r="BY8570" s="1963"/>
      <c r="BZ8570" s="1963"/>
      <c r="CA8570" s="1963"/>
      <c r="CB8570" s="1963"/>
      <c r="CC8570" s="1963"/>
      <c r="CD8570" s="1963"/>
      <c r="CE8570" s="1963"/>
      <c r="CF8570" s="1963"/>
      <c r="CG8570" s="1963"/>
      <c r="CH8570" s="1963"/>
      <c r="CI8570" s="1963"/>
      <c r="CJ8570" s="1963"/>
      <c r="CK8570" s="1963"/>
      <c r="CL8570" s="1963"/>
      <c r="CM8570" s="1963"/>
      <c r="CN8570" s="1963"/>
      <c r="CO8570" s="1963"/>
      <c r="CP8570" s="1963"/>
      <c r="CQ8570" s="1963"/>
      <c r="CR8570" s="1963"/>
      <c r="CS8570" s="1963"/>
      <c r="CT8570" s="1963"/>
      <c r="CU8570" s="1963"/>
      <c r="CV8570" s="1963"/>
      <c r="CW8570" s="1963"/>
      <c r="CX8570" s="1963"/>
      <c r="CY8570" s="1963"/>
      <c r="CZ8570" s="1963"/>
      <c r="DA8570" s="1963"/>
      <c r="DB8570" s="1963"/>
      <c r="DC8570" s="1963"/>
      <c r="DD8570" s="1963"/>
      <c r="DE8570" s="1963"/>
      <c r="DF8570" s="1963"/>
      <c r="DG8570" s="1963"/>
      <c r="DH8570" s="1963"/>
      <c r="DI8570" s="1963"/>
      <c r="DJ8570" s="1963"/>
      <c r="DK8570" s="1963"/>
      <c r="DL8570" s="1963"/>
      <c r="DM8570" s="1963"/>
      <c r="DN8570" s="1963"/>
      <c r="DO8570" s="1963"/>
      <c r="DP8570" s="1963"/>
      <c r="DQ8570" s="1963"/>
      <c r="DR8570" s="1963"/>
      <c r="DS8570" s="1963"/>
      <c r="DT8570" s="1963"/>
      <c r="DU8570" s="1963"/>
      <c r="DV8570" s="1963"/>
      <c r="DW8570" s="1963"/>
      <c r="DX8570" s="1963"/>
      <c r="DY8570" s="1963"/>
      <c r="DZ8570" s="1963"/>
      <c r="EA8570" s="1963"/>
      <c r="EB8570" s="1963"/>
      <c r="EC8570" s="1963"/>
      <c r="ED8570" s="1963"/>
      <c r="EE8570" s="1963"/>
      <c r="EF8570" s="1963"/>
      <c r="EG8570" s="1963"/>
      <c r="EH8570" s="1963"/>
      <c r="EI8570" s="1963"/>
      <c r="EJ8570" s="1963"/>
      <c r="EK8570" s="1963"/>
      <c r="EL8570" s="1963"/>
      <c r="EM8570" s="1963"/>
      <c r="EN8570" s="1963"/>
      <c r="EO8570" s="1963"/>
      <c r="EP8570" s="1963"/>
      <c r="EQ8570" s="1963"/>
      <c r="ER8570" s="1963"/>
      <c r="ES8570" s="1963"/>
      <c r="ET8570" s="1963"/>
      <c r="EU8570" s="1963"/>
      <c r="EV8570" s="1963"/>
      <c r="EW8570" s="1963"/>
    </row>
    <row r="8571" spans="1:153" s="1165" customFormat="1" ht="15">
      <c r="A8571" s="2194" t="s">
        <v>6718</v>
      </c>
      <c r="B8571" s="2203">
        <v>25</v>
      </c>
      <c r="C8571" s="2156">
        <v>30</v>
      </c>
      <c r="D8571" s="2194" t="s">
        <v>1812</v>
      </c>
      <c r="E8571" s="2194" t="s">
        <v>6719</v>
      </c>
      <c r="F8571" s="2194" t="s">
        <v>6720</v>
      </c>
      <c r="G8571" s="1602">
        <v>0.84</v>
      </c>
      <c r="H8571" s="2200"/>
      <c r="I8571" s="2186"/>
      <c r="J8571" s="2187"/>
      <c r="K8571" s="1963"/>
      <c r="L8571" s="1963"/>
      <c r="M8571" s="1963"/>
      <c r="N8571" s="1963"/>
      <c r="O8571" s="1963"/>
      <c r="P8571" s="1963"/>
      <c r="Q8571" s="1963"/>
      <c r="R8571" s="1963"/>
      <c r="S8571" s="1963"/>
      <c r="T8571" s="1963"/>
      <c r="U8571" s="1963"/>
      <c r="V8571" s="1963"/>
      <c r="W8571" s="1963"/>
      <c r="X8571" s="1963"/>
      <c r="Y8571" s="1963"/>
      <c r="Z8571" s="1963"/>
      <c r="AA8571" s="1963"/>
      <c r="AB8571" s="1963"/>
      <c r="AC8571" s="1963"/>
      <c r="AD8571" s="1963"/>
      <c r="AE8571" s="1963"/>
      <c r="AF8571" s="1963"/>
      <c r="AG8571" s="1963"/>
      <c r="AH8571" s="1963"/>
      <c r="AI8571" s="1963"/>
      <c r="AJ8571" s="1963"/>
      <c r="AK8571" s="1963"/>
      <c r="AL8571" s="1963"/>
      <c r="AM8571" s="1963"/>
      <c r="AN8571" s="1963"/>
      <c r="AO8571" s="1963"/>
      <c r="AP8571" s="1963"/>
      <c r="AQ8571" s="1963"/>
      <c r="AR8571" s="1963"/>
      <c r="AS8571" s="1963"/>
      <c r="AT8571" s="1963"/>
      <c r="AU8571" s="1963"/>
      <c r="AV8571" s="1963"/>
      <c r="AW8571" s="1963"/>
      <c r="AX8571" s="1963"/>
      <c r="AY8571" s="1963"/>
      <c r="AZ8571" s="1963"/>
      <c r="BA8571" s="1963"/>
      <c r="BB8571" s="1963"/>
      <c r="BC8571" s="1963"/>
      <c r="BD8571" s="1963"/>
      <c r="BE8571" s="1963"/>
      <c r="BF8571" s="1963"/>
      <c r="BG8571" s="1963"/>
      <c r="BH8571" s="1963"/>
      <c r="BI8571" s="1963"/>
      <c r="BJ8571" s="1963"/>
      <c r="BK8571" s="1963"/>
      <c r="BL8571" s="1963"/>
      <c r="BM8571" s="1963"/>
      <c r="BN8571" s="1963"/>
      <c r="BO8571" s="1963"/>
      <c r="BP8571" s="1963"/>
      <c r="BQ8571" s="1963"/>
      <c r="BR8571" s="1963"/>
      <c r="BS8571" s="1963"/>
      <c r="BT8571" s="1963"/>
      <c r="BU8571" s="1963"/>
      <c r="BV8571" s="1963"/>
      <c r="BW8571" s="1963"/>
      <c r="BX8571" s="1963"/>
      <c r="BY8571" s="1963"/>
      <c r="BZ8571" s="1963"/>
      <c r="CA8571" s="1963"/>
      <c r="CB8571" s="1963"/>
      <c r="CC8571" s="1963"/>
      <c r="CD8571" s="1963"/>
      <c r="CE8571" s="1963"/>
      <c r="CF8571" s="1963"/>
      <c r="CG8571" s="1963"/>
      <c r="CH8571" s="1963"/>
      <c r="CI8571" s="1963"/>
      <c r="CJ8571" s="1963"/>
      <c r="CK8571" s="1963"/>
      <c r="CL8571" s="1963"/>
      <c r="CM8571" s="1963"/>
      <c r="CN8571" s="1963"/>
      <c r="CO8571" s="1963"/>
      <c r="CP8571" s="1963"/>
      <c r="CQ8571" s="1963"/>
      <c r="CR8571" s="1963"/>
      <c r="CS8571" s="1963"/>
      <c r="CT8571" s="1963"/>
      <c r="CU8571" s="1963"/>
      <c r="CV8571" s="1963"/>
      <c r="CW8571" s="1963"/>
      <c r="CX8571" s="1963"/>
      <c r="CY8571" s="1963"/>
      <c r="CZ8571" s="1963"/>
      <c r="DA8571" s="1963"/>
      <c r="DB8571" s="1963"/>
      <c r="DC8571" s="1963"/>
      <c r="DD8571" s="1963"/>
      <c r="DE8571" s="1963"/>
      <c r="DF8571" s="1963"/>
      <c r="DG8571" s="1963"/>
      <c r="DH8571" s="1963"/>
      <c r="DI8571" s="1963"/>
      <c r="DJ8571" s="1963"/>
      <c r="DK8571" s="1963"/>
      <c r="DL8571" s="1963"/>
      <c r="DM8571" s="1963"/>
      <c r="DN8571" s="1963"/>
      <c r="DO8571" s="1963"/>
      <c r="DP8571" s="1963"/>
      <c r="DQ8571" s="1963"/>
      <c r="DR8571" s="1963"/>
      <c r="DS8571" s="1963"/>
      <c r="DT8571" s="1963"/>
      <c r="DU8571" s="1963"/>
      <c r="DV8571" s="1963"/>
      <c r="DW8571" s="1963"/>
      <c r="DX8571" s="1963"/>
      <c r="DY8571" s="1963"/>
      <c r="DZ8571" s="1963"/>
      <c r="EA8571" s="1963"/>
      <c r="EB8571" s="1963"/>
      <c r="EC8571" s="1963"/>
      <c r="ED8571" s="1963"/>
      <c r="EE8571" s="1963"/>
      <c r="EF8571" s="1963"/>
      <c r="EG8571" s="1963"/>
      <c r="EH8571" s="1963"/>
      <c r="EI8571" s="1963"/>
      <c r="EJ8571" s="1963"/>
      <c r="EK8571" s="1963"/>
      <c r="EL8571" s="1963"/>
      <c r="EM8571" s="1963"/>
      <c r="EN8571" s="1963"/>
      <c r="EO8571" s="1963"/>
      <c r="EP8571" s="1963"/>
      <c r="EQ8571" s="1963"/>
      <c r="ER8571" s="1963"/>
      <c r="ES8571" s="1963"/>
      <c r="ET8571" s="1963"/>
      <c r="EU8571" s="1963"/>
      <c r="EV8571" s="1963"/>
      <c r="EW8571" s="1963"/>
    </row>
    <row r="8572" spans="1:153" s="1165" customFormat="1" ht="15">
      <c r="A8572" s="2194" t="s">
        <v>6718</v>
      </c>
      <c r="B8572" s="2203">
        <v>30</v>
      </c>
      <c r="C8572" s="2156">
        <v>30</v>
      </c>
      <c r="D8572" s="2194" t="s">
        <v>1812</v>
      </c>
      <c r="E8572" s="2194" t="s">
        <v>6719</v>
      </c>
      <c r="F8572" s="2194" t="s">
        <v>6720</v>
      </c>
      <c r="G8572" s="1602">
        <v>0.91</v>
      </c>
      <c r="H8572" s="2200"/>
      <c r="I8572" s="2186"/>
      <c r="J8572" s="2187"/>
      <c r="K8572" s="1963"/>
      <c r="L8572" s="1963"/>
      <c r="M8572" s="1963"/>
      <c r="N8572" s="1963"/>
      <c r="O8572" s="1963"/>
      <c r="P8572" s="1963"/>
      <c r="Q8572" s="1963"/>
      <c r="R8572" s="1963"/>
      <c r="S8572" s="1963"/>
      <c r="T8572" s="1963"/>
      <c r="U8572" s="1963"/>
      <c r="V8572" s="1963"/>
      <c r="W8572" s="1963"/>
      <c r="X8572" s="1963"/>
      <c r="Y8572" s="1963"/>
      <c r="Z8572" s="1963"/>
      <c r="AA8572" s="1963"/>
      <c r="AB8572" s="1963"/>
      <c r="AC8572" s="1963"/>
      <c r="AD8572" s="1963"/>
      <c r="AE8572" s="1963"/>
      <c r="AF8572" s="1963"/>
      <c r="AG8572" s="1963"/>
      <c r="AH8572" s="1963"/>
      <c r="AI8572" s="1963"/>
      <c r="AJ8572" s="1963"/>
      <c r="AK8572" s="1963"/>
      <c r="AL8572" s="1963"/>
      <c r="AM8572" s="1963"/>
      <c r="AN8572" s="1963"/>
      <c r="AO8572" s="1963"/>
      <c r="AP8572" s="1963"/>
      <c r="AQ8572" s="1963"/>
      <c r="AR8572" s="1963"/>
      <c r="AS8572" s="1963"/>
      <c r="AT8572" s="1963"/>
      <c r="AU8572" s="1963"/>
      <c r="AV8572" s="1963"/>
      <c r="AW8572" s="1963"/>
      <c r="AX8572" s="1963"/>
      <c r="AY8572" s="1963"/>
      <c r="AZ8572" s="1963"/>
      <c r="BA8572" s="1963"/>
      <c r="BB8572" s="1963"/>
      <c r="BC8572" s="1963"/>
      <c r="BD8572" s="1963"/>
      <c r="BE8572" s="1963"/>
      <c r="BF8572" s="1963"/>
      <c r="BG8572" s="1963"/>
      <c r="BH8572" s="1963"/>
      <c r="BI8572" s="1963"/>
      <c r="BJ8572" s="1963"/>
      <c r="BK8572" s="1963"/>
      <c r="BL8572" s="1963"/>
      <c r="BM8572" s="1963"/>
      <c r="BN8572" s="1963"/>
      <c r="BO8572" s="1963"/>
      <c r="BP8572" s="1963"/>
      <c r="BQ8572" s="1963"/>
      <c r="BR8572" s="1963"/>
      <c r="BS8572" s="1963"/>
      <c r="BT8572" s="1963"/>
      <c r="BU8572" s="1963"/>
      <c r="BV8572" s="1963"/>
      <c r="BW8572" s="1963"/>
      <c r="BX8572" s="1963"/>
      <c r="BY8572" s="1963"/>
      <c r="BZ8572" s="1963"/>
      <c r="CA8572" s="1963"/>
      <c r="CB8572" s="1963"/>
      <c r="CC8572" s="1963"/>
      <c r="CD8572" s="1963"/>
      <c r="CE8572" s="1963"/>
      <c r="CF8572" s="1963"/>
      <c r="CG8572" s="1963"/>
      <c r="CH8572" s="1963"/>
      <c r="CI8572" s="1963"/>
      <c r="CJ8572" s="1963"/>
      <c r="CK8572" s="1963"/>
      <c r="CL8572" s="1963"/>
      <c r="CM8572" s="1963"/>
      <c r="CN8572" s="1963"/>
      <c r="CO8572" s="1963"/>
      <c r="CP8572" s="1963"/>
      <c r="CQ8572" s="1963"/>
      <c r="CR8572" s="1963"/>
      <c r="CS8572" s="1963"/>
      <c r="CT8572" s="1963"/>
      <c r="CU8572" s="1963"/>
      <c r="CV8572" s="1963"/>
      <c r="CW8572" s="1963"/>
      <c r="CX8572" s="1963"/>
      <c r="CY8572" s="1963"/>
      <c r="CZ8572" s="1963"/>
      <c r="DA8572" s="1963"/>
      <c r="DB8572" s="1963"/>
      <c r="DC8572" s="1963"/>
      <c r="DD8572" s="1963"/>
      <c r="DE8572" s="1963"/>
      <c r="DF8572" s="1963"/>
      <c r="DG8572" s="1963"/>
      <c r="DH8572" s="1963"/>
      <c r="DI8572" s="1963"/>
      <c r="DJ8572" s="1963"/>
      <c r="DK8572" s="1963"/>
      <c r="DL8572" s="1963"/>
      <c r="DM8572" s="1963"/>
      <c r="DN8572" s="1963"/>
      <c r="DO8572" s="1963"/>
      <c r="DP8572" s="1963"/>
      <c r="DQ8572" s="1963"/>
      <c r="DR8572" s="1963"/>
      <c r="DS8572" s="1963"/>
      <c r="DT8572" s="1963"/>
      <c r="DU8572" s="1963"/>
      <c r="DV8572" s="1963"/>
      <c r="DW8572" s="1963"/>
      <c r="DX8572" s="1963"/>
      <c r="DY8572" s="1963"/>
      <c r="DZ8572" s="1963"/>
      <c r="EA8572" s="1963"/>
      <c r="EB8572" s="1963"/>
      <c r="EC8572" s="1963"/>
      <c r="ED8572" s="1963"/>
      <c r="EE8572" s="1963"/>
      <c r="EF8572" s="1963"/>
      <c r="EG8572" s="1963"/>
      <c r="EH8572" s="1963"/>
      <c r="EI8572" s="1963"/>
      <c r="EJ8572" s="1963"/>
      <c r="EK8572" s="1963"/>
      <c r="EL8572" s="1963"/>
      <c r="EM8572" s="1963"/>
      <c r="EN8572" s="1963"/>
      <c r="EO8572" s="1963"/>
      <c r="EP8572" s="1963"/>
      <c r="EQ8572" s="1963"/>
      <c r="ER8572" s="1963"/>
      <c r="ES8572" s="1963"/>
      <c r="ET8572" s="1963"/>
      <c r="EU8572" s="1963"/>
      <c r="EV8572" s="1963"/>
      <c r="EW8572" s="1963"/>
    </row>
    <row r="8573" spans="1:153" s="1165" customFormat="1" ht="15">
      <c r="A8573" s="2194" t="s">
        <v>6718</v>
      </c>
      <c r="B8573" s="2203">
        <v>35</v>
      </c>
      <c r="C8573" s="2156">
        <v>30</v>
      </c>
      <c r="D8573" s="2194" t="s">
        <v>1812</v>
      </c>
      <c r="E8573" s="2194" t="s">
        <v>6719</v>
      </c>
      <c r="F8573" s="2194" t="s">
        <v>6720</v>
      </c>
      <c r="G8573" s="1602">
        <v>1.1200000000000001</v>
      </c>
      <c r="H8573" s="2200"/>
      <c r="I8573" s="2186"/>
      <c r="J8573" s="2187"/>
      <c r="K8573" s="1963"/>
      <c r="L8573" s="1963"/>
      <c r="M8573" s="1963"/>
      <c r="N8573" s="1963"/>
      <c r="O8573" s="1963"/>
      <c r="P8573" s="1963"/>
      <c r="Q8573" s="1963"/>
      <c r="R8573" s="1963"/>
      <c r="S8573" s="1963"/>
      <c r="T8573" s="1963"/>
      <c r="U8573" s="1963"/>
      <c r="V8573" s="1963"/>
      <c r="W8573" s="1963"/>
      <c r="X8573" s="1963"/>
      <c r="Y8573" s="1963"/>
      <c r="Z8573" s="1963"/>
      <c r="AA8573" s="1963"/>
      <c r="AB8573" s="1963"/>
      <c r="AC8573" s="1963"/>
      <c r="AD8573" s="1963"/>
      <c r="AE8573" s="1963"/>
      <c r="AF8573" s="1963"/>
      <c r="AG8573" s="1963"/>
      <c r="AH8573" s="1963"/>
      <c r="AI8573" s="1963"/>
      <c r="AJ8573" s="1963"/>
      <c r="AK8573" s="1963"/>
      <c r="AL8573" s="1963"/>
      <c r="AM8573" s="1963"/>
      <c r="AN8573" s="1963"/>
      <c r="AO8573" s="1963"/>
      <c r="AP8573" s="1963"/>
      <c r="AQ8573" s="1963"/>
      <c r="AR8573" s="1963"/>
      <c r="AS8573" s="1963"/>
      <c r="AT8573" s="1963"/>
      <c r="AU8573" s="1963"/>
      <c r="AV8573" s="1963"/>
      <c r="AW8573" s="1963"/>
      <c r="AX8573" s="1963"/>
      <c r="AY8573" s="1963"/>
      <c r="AZ8573" s="1963"/>
      <c r="BA8573" s="1963"/>
      <c r="BB8573" s="1963"/>
      <c r="BC8573" s="1963"/>
      <c r="BD8573" s="1963"/>
      <c r="BE8573" s="1963"/>
      <c r="BF8573" s="1963"/>
      <c r="BG8573" s="1963"/>
      <c r="BH8573" s="1963"/>
      <c r="BI8573" s="1963"/>
      <c r="BJ8573" s="1963"/>
      <c r="BK8573" s="1963"/>
      <c r="BL8573" s="1963"/>
      <c r="BM8573" s="1963"/>
      <c r="BN8573" s="1963"/>
      <c r="BO8573" s="1963"/>
      <c r="BP8573" s="1963"/>
      <c r="BQ8573" s="1963"/>
      <c r="BR8573" s="1963"/>
      <c r="BS8573" s="1963"/>
      <c r="BT8573" s="1963"/>
      <c r="BU8573" s="1963"/>
      <c r="BV8573" s="1963"/>
      <c r="BW8573" s="1963"/>
      <c r="BX8573" s="1963"/>
      <c r="BY8573" s="1963"/>
      <c r="BZ8573" s="1963"/>
      <c r="CA8573" s="1963"/>
      <c r="CB8573" s="1963"/>
      <c r="CC8573" s="1963"/>
      <c r="CD8573" s="1963"/>
      <c r="CE8573" s="1963"/>
      <c r="CF8573" s="1963"/>
      <c r="CG8573" s="1963"/>
      <c r="CH8573" s="1963"/>
      <c r="CI8573" s="1963"/>
      <c r="CJ8573" s="1963"/>
      <c r="CK8573" s="1963"/>
      <c r="CL8573" s="1963"/>
      <c r="CM8573" s="1963"/>
      <c r="CN8573" s="1963"/>
      <c r="CO8573" s="1963"/>
      <c r="CP8573" s="1963"/>
      <c r="CQ8573" s="1963"/>
      <c r="CR8573" s="1963"/>
      <c r="CS8573" s="1963"/>
      <c r="CT8573" s="1963"/>
      <c r="CU8573" s="1963"/>
      <c r="CV8573" s="1963"/>
      <c r="CW8573" s="1963"/>
      <c r="CX8573" s="1963"/>
      <c r="CY8573" s="1963"/>
      <c r="CZ8573" s="1963"/>
      <c r="DA8573" s="1963"/>
      <c r="DB8573" s="1963"/>
      <c r="DC8573" s="1963"/>
      <c r="DD8573" s="1963"/>
      <c r="DE8573" s="1963"/>
      <c r="DF8573" s="1963"/>
      <c r="DG8573" s="1963"/>
      <c r="DH8573" s="1963"/>
      <c r="DI8573" s="1963"/>
      <c r="DJ8573" s="1963"/>
      <c r="DK8573" s="1963"/>
      <c r="DL8573" s="1963"/>
      <c r="DM8573" s="1963"/>
      <c r="DN8573" s="1963"/>
      <c r="DO8573" s="1963"/>
      <c r="DP8573" s="1963"/>
      <c r="DQ8573" s="1963"/>
      <c r="DR8573" s="1963"/>
      <c r="DS8573" s="1963"/>
      <c r="DT8573" s="1963"/>
      <c r="DU8573" s="1963"/>
      <c r="DV8573" s="1963"/>
      <c r="DW8573" s="1963"/>
      <c r="DX8573" s="1963"/>
      <c r="DY8573" s="1963"/>
      <c r="DZ8573" s="1963"/>
      <c r="EA8573" s="1963"/>
      <c r="EB8573" s="1963"/>
      <c r="EC8573" s="1963"/>
      <c r="ED8573" s="1963"/>
      <c r="EE8573" s="1963"/>
      <c r="EF8573" s="1963"/>
      <c r="EG8573" s="1963"/>
      <c r="EH8573" s="1963"/>
      <c r="EI8573" s="1963"/>
      <c r="EJ8573" s="1963"/>
      <c r="EK8573" s="1963"/>
      <c r="EL8573" s="1963"/>
      <c r="EM8573" s="1963"/>
      <c r="EN8573" s="1963"/>
      <c r="EO8573" s="1963"/>
      <c r="EP8573" s="1963"/>
      <c r="EQ8573" s="1963"/>
      <c r="ER8573" s="1963"/>
      <c r="ES8573" s="1963"/>
      <c r="ET8573" s="1963"/>
      <c r="EU8573" s="1963"/>
      <c r="EV8573" s="1963"/>
      <c r="EW8573" s="1963"/>
    </row>
    <row r="8574" spans="1:153" s="1165" customFormat="1" ht="15">
      <c r="A8574" s="2194" t="s">
        <v>6718</v>
      </c>
      <c r="B8574" s="2203">
        <v>40</v>
      </c>
      <c r="C8574" s="2156">
        <v>30</v>
      </c>
      <c r="D8574" s="2194" t="s">
        <v>1812</v>
      </c>
      <c r="E8574" s="2194" t="s">
        <v>6719</v>
      </c>
      <c r="F8574" s="2194" t="s">
        <v>6720</v>
      </c>
      <c r="G8574" s="1602">
        <v>1.28</v>
      </c>
      <c r="H8574" s="2200"/>
      <c r="I8574" s="2186"/>
      <c r="J8574" s="2187"/>
      <c r="K8574" s="1963"/>
      <c r="L8574" s="1963"/>
      <c r="M8574" s="1963"/>
      <c r="N8574" s="1963"/>
      <c r="O8574" s="1963"/>
      <c r="P8574" s="1963"/>
      <c r="Q8574" s="1963"/>
      <c r="R8574" s="1963"/>
      <c r="S8574" s="1963"/>
      <c r="T8574" s="1963"/>
      <c r="U8574" s="1963"/>
      <c r="V8574" s="1963"/>
      <c r="W8574" s="1963"/>
      <c r="X8574" s="1963"/>
      <c r="Y8574" s="1963"/>
      <c r="Z8574" s="1963"/>
      <c r="AA8574" s="1963"/>
      <c r="AB8574" s="1963"/>
      <c r="AC8574" s="1963"/>
      <c r="AD8574" s="1963"/>
      <c r="AE8574" s="1963"/>
      <c r="AF8574" s="1963"/>
      <c r="AG8574" s="1963"/>
      <c r="AH8574" s="1963"/>
      <c r="AI8574" s="1963"/>
      <c r="AJ8574" s="1963"/>
      <c r="AK8574" s="1963"/>
      <c r="AL8574" s="1963"/>
      <c r="AM8574" s="1963"/>
      <c r="AN8574" s="1963"/>
      <c r="AO8574" s="1963"/>
      <c r="AP8574" s="1963"/>
      <c r="AQ8574" s="1963"/>
      <c r="AR8574" s="1963"/>
      <c r="AS8574" s="1963"/>
      <c r="AT8574" s="1963"/>
      <c r="AU8574" s="1963"/>
      <c r="AV8574" s="1963"/>
      <c r="AW8574" s="1963"/>
      <c r="AX8574" s="1963"/>
      <c r="AY8574" s="1963"/>
      <c r="AZ8574" s="1963"/>
      <c r="BA8574" s="1963"/>
      <c r="BB8574" s="1963"/>
      <c r="BC8574" s="1963"/>
      <c r="BD8574" s="1963"/>
      <c r="BE8574" s="1963"/>
      <c r="BF8574" s="1963"/>
      <c r="BG8574" s="1963"/>
      <c r="BH8574" s="1963"/>
      <c r="BI8574" s="1963"/>
      <c r="BJ8574" s="1963"/>
      <c r="BK8574" s="1963"/>
      <c r="BL8574" s="1963"/>
      <c r="BM8574" s="1963"/>
      <c r="BN8574" s="1963"/>
      <c r="BO8574" s="1963"/>
      <c r="BP8574" s="1963"/>
      <c r="BQ8574" s="1963"/>
      <c r="BR8574" s="1963"/>
      <c r="BS8574" s="1963"/>
      <c r="BT8574" s="1963"/>
      <c r="BU8574" s="1963"/>
      <c r="BV8574" s="1963"/>
      <c r="BW8574" s="1963"/>
      <c r="BX8574" s="1963"/>
      <c r="BY8574" s="1963"/>
      <c r="BZ8574" s="1963"/>
      <c r="CA8574" s="1963"/>
      <c r="CB8574" s="1963"/>
      <c r="CC8574" s="1963"/>
      <c r="CD8574" s="1963"/>
      <c r="CE8574" s="1963"/>
      <c r="CF8574" s="1963"/>
      <c r="CG8574" s="1963"/>
      <c r="CH8574" s="1963"/>
      <c r="CI8574" s="1963"/>
      <c r="CJ8574" s="1963"/>
      <c r="CK8574" s="1963"/>
      <c r="CL8574" s="1963"/>
      <c r="CM8574" s="1963"/>
      <c r="CN8574" s="1963"/>
      <c r="CO8574" s="1963"/>
      <c r="CP8574" s="1963"/>
      <c r="CQ8574" s="1963"/>
      <c r="CR8574" s="1963"/>
      <c r="CS8574" s="1963"/>
      <c r="CT8574" s="1963"/>
      <c r="CU8574" s="1963"/>
      <c r="CV8574" s="1963"/>
      <c r="CW8574" s="1963"/>
      <c r="CX8574" s="1963"/>
      <c r="CY8574" s="1963"/>
      <c r="CZ8574" s="1963"/>
      <c r="DA8574" s="1963"/>
      <c r="DB8574" s="1963"/>
      <c r="DC8574" s="1963"/>
      <c r="DD8574" s="1963"/>
      <c r="DE8574" s="1963"/>
      <c r="DF8574" s="1963"/>
      <c r="DG8574" s="1963"/>
      <c r="DH8574" s="1963"/>
      <c r="DI8574" s="1963"/>
      <c r="DJ8574" s="1963"/>
      <c r="DK8574" s="1963"/>
      <c r="DL8574" s="1963"/>
      <c r="DM8574" s="1963"/>
      <c r="DN8574" s="1963"/>
      <c r="DO8574" s="1963"/>
      <c r="DP8574" s="1963"/>
      <c r="DQ8574" s="1963"/>
      <c r="DR8574" s="1963"/>
      <c r="DS8574" s="1963"/>
      <c r="DT8574" s="1963"/>
      <c r="DU8574" s="1963"/>
      <c r="DV8574" s="1963"/>
      <c r="DW8574" s="1963"/>
      <c r="DX8574" s="1963"/>
      <c r="DY8574" s="1963"/>
      <c r="DZ8574" s="1963"/>
      <c r="EA8574" s="1963"/>
      <c r="EB8574" s="1963"/>
      <c r="EC8574" s="1963"/>
      <c r="ED8574" s="1963"/>
      <c r="EE8574" s="1963"/>
      <c r="EF8574" s="1963"/>
      <c r="EG8574" s="1963"/>
      <c r="EH8574" s="1963"/>
      <c r="EI8574" s="1963"/>
      <c r="EJ8574" s="1963"/>
      <c r="EK8574" s="1963"/>
      <c r="EL8574" s="1963"/>
      <c r="EM8574" s="1963"/>
      <c r="EN8574" s="1963"/>
      <c r="EO8574" s="1963"/>
      <c r="EP8574" s="1963"/>
      <c r="EQ8574" s="1963"/>
      <c r="ER8574" s="1963"/>
      <c r="ES8574" s="1963"/>
      <c r="ET8574" s="1963"/>
      <c r="EU8574" s="1963"/>
      <c r="EV8574" s="1963"/>
      <c r="EW8574" s="1963"/>
    </row>
    <row r="8575" spans="1:153" s="1165" customFormat="1" ht="15">
      <c r="A8575" s="2194" t="s">
        <v>6718</v>
      </c>
      <c r="B8575" s="2203">
        <v>45</v>
      </c>
      <c r="C8575" s="2156">
        <v>30</v>
      </c>
      <c r="D8575" s="2194" t="s">
        <v>1812</v>
      </c>
      <c r="E8575" s="2194" t="s">
        <v>6719</v>
      </c>
      <c r="F8575" s="2194" t="s">
        <v>6720</v>
      </c>
      <c r="G8575" s="1602">
        <v>1.45</v>
      </c>
      <c r="H8575" s="2200"/>
      <c r="I8575" s="2186"/>
      <c r="J8575" s="2187"/>
      <c r="K8575" s="1963"/>
      <c r="L8575" s="1963"/>
      <c r="M8575" s="1963"/>
      <c r="N8575" s="1963"/>
      <c r="O8575" s="1963"/>
      <c r="P8575" s="1963"/>
      <c r="Q8575" s="1963"/>
      <c r="R8575" s="1963"/>
      <c r="S8575" s="1963"/>
      <c r="T8575" s="1963"/>
      <c r="U8575" s="1963"/>
      <c r="V8575" s="1963"/>
      <c r="W8575" s="1963"/>
      <c r="X8575" s="1963"/>
      <c r="Y8575" s="1963"/>
      <c r="Z8575" s="1963"/>
      <c r="AA8575" s="1963"/>
      <c r="AB8575" s="1963"/>
      <c r="AC8575" s="1963"/>
      <c r="AD8575" s="1963"/>
      <c r="AE8575" s="1963"/>
      <c r="AF8575" s="1963"/>
      <c r="AG8575" s="1963"/>
      <c r="AH8575" s="1963"/>
      <c r="AI8575" s="1963"/>
      <c r="AJ8575" s="1963"/>
      <c r="AK8575" s="1963"/>
      <c r="AL8575" s="1963"/>
      <c r="AM8575" s="1963"/>
      <c r="AN8575" s="1963"/>
      <c r="AO8575" s="1963"/>
      <c r="AP8575" s="1963"/>
      <c r="AQ8575" s="1963"/>
      <c r="AR8575" s="1963"/>
      <c r="AS8575" s="1963"/>
      <c r="AT8575" s="1963"/>
      <c r="AU8575" s="1963"/>
      <c r="AV8575" s="1963"/>
      <c r="AW8575" s="1963"/>
      <c r="AX8575" s="1963"/>
      <c r="AY8575" s="1963"/>
      <c r="AZ8575" s="1963"/>
      <c r="BA8575" s="1963"/>
      <c r="BB8575" s="1963"/>
      <c r="BC8575" s="1963"/>
      <c r="BD8575" s="1963"/>
      <c r="BE8575" s="1963"/>
      <c r="BF8575" s="1963"/>
      <c r="BG8575" s="1963"/>
      <c r="BH8575" s="1963"/>
      <c r="BI8575" s="1963"/>
      <c r="BJ8575" s="1963"/>
      <c r="BK8575" s="1963"/>
      <c r="BL8575" s="1963"/>
      <c r="BM8575" s="1963"/>
      <c r="BN8575" s="1963"/>
      <c r="BO8575" s="1963"/>
      <c r="BP8575" s="1963"/>
      <c r="BQ8575" s="1963"/>
      <c r="BR8575" s="1963"/>
      <c r="BS8575" s="1963"/>
      <c r="BT8575" s="1963"/>
      <c r="BU8575" s="1963"/>
      <c r="BV8575" s="1963"/>
      <c r="BW8575" s="1963"/>
      <c r="BX8575" s="1963"/>
      <c r="BY8575" s="1963"/>
      <c r="BZ8575" s="1963"/>
      <c r="CA8575" s="1963"/>
      <c r="CB8575" s="1963"/>
      <c r="CC8575" s="1963"/>
      <c r="CD8575" s="1963"/>
      <c r="CE8575" s="1963"/>
      <c r="CF8575" s="1963"/>
      <c r="CG8575" s="1963"/>
      <c r="CH8575" s="1963"/>
      <c r="CI8575" s="1963"/>
      <c r="CJ8575" s="1963"/>
      <c r="CK8575" s="1963"/>
      <c r="CL8575" s="1963"/>
      <c r="CM8575" s="1963"/>
      <c r="CN8575" s="1963"/>
      <c r="CO8575" s="1963"/>
      <c r="CP8575" s="1963"/>
      <c r="CQ8575" s="1963"/>
      <c r="CR8575" s="1963"/>
      <c r="CS8575" s="1963"/>
      <c r="CT8575" s="1963"/>
      <c r="CU8575" s="1963"/>
      <c r="CV8575" s="1963"/>
      <c r="CW8575" s="1963"/>
      <c r="CX8575" s="1963"/>
      <c r="CY8575" s="1963"/>
      <c r="CZ8575" s="1963"/>
      <c r="DA8575" s="1963"/>
      <c r="DB8575" s="1963"/>
      <c r="DC8575" s="1963"/>
      <c r="DD8575" s="1963"/>
      <c r="DE8575" s="1963"/>
      <c r="DF8575" s="1963"/>
      <c r="DG8575" s="1963"/>
      <c r="DH8575" s="1963"/>
      <c r="DI8575" s="1963"/>
      <c r="DJ8575" s="1963"/>
      <c r="DK8575" s="1963"/>
      <c r="DL8575" s="1963"/>
      <c r="DM8575" s="1963"/>
      <c r="DN8575" s="1963"/>
      <c r="DO8575" s="1963"/>
      <c r="DP8575" s="1963"/>
      <c r="DQ8575" s="1963"/>
      <c r="DR8575" s="1963"/>
      <c r="DS8575" s="1963"/>
      <c r="DT8575" s="1963"/>
      <c r="DU8575" s="1963"/>
      <c r="DV8575" s="1963"/>
      <c r="DW8575" s="1963"/>
      <c r="DX8575" s="1963"/>
      <c r="DY8575" s="1963"/>
      <c r="DZ8575" s="1963"/>
      <c r="EA8575" s="1963"/>
      <c r="EB8575" s="1963"/>
      <c r="EC8575" s="1963"/>
      <c r="ED8575" s="1963"/>
      <c r="EE8575" s="1963"/>
      <c r="EF8575" s="1963"/>
      <c r="EG8575" s="1963"/>
      <c r="EH8575" s="1963"/>
      <c r="EI8575" s="1963"/>
      <c r="EJ8575" s="1963"/>
      <c r="EK8575" s="1963"/>
      <c r="EL8575" s="1963"/>
      <c r="EM8575" s="1963"/>
      <c r="EN8575" s="1963"/>
      <c r="EO8575" s="1963"/>
      <c r="EP8575" s="1963"/>
      <c r="EQ8575" s="1963"/>
      <c r="ER8575" s="1963"/>
      <c r="ES8575" s="1963"/>
      <c r="ET8575" s="1963"/>
      <c r="EU8575" s="1963"/>
      <c r="EV8575" s="1963"/>
      <c r="EW8575" s="1963"/>
    </row>
    <row r="8576" spans="1:153" s="1165" customFormat="1" ht="15">
      <c r="A8576" s="2194" t="s">
        <v>6718</v>
      </c>
      <c r="B8576" s="2203">
        <v>50</v>
      </c>
      <c r="C8576" s="2156">
        <v>30</v>
      </c>
      <c r="D8576" s="2194" t="s">
        <v>1812</v>
      </c>
      <c r="E8576" s="2194" t="s">
        <v>6719</v>
      </c>
      <c r="F8576" s="2194" t="s">
        <v>6720</v>
      </c>
      <c r="G8576" s="1602">
        <v>1.58</v>
      </c>
      <c r="H8576" s="2200">
        <v>95.33</v>
      </c>
      <c r="I8576" s="2186">
        <f>(((G8576*J8576)-H8576)/(G8576*J8576))</f>
        <v>0.49720464135021103</v>
      </c>
      <c r="J8576" s="2187">
        <v>120</v>
      </c>
      <c r="K8576" s="1963"/>
      <c r="L8576" s="1963"/>
      <c r="M8576" s="1963"/>
      <c r="N8576" s="1963"/>
      <c r="O8576" s="1963"/>
      <c r="P8576" s="1963"/>
      <c r="Q8576" s="1963"/>
      <c r="R8576" s="1963"/>
      <c r="S8576" s="1963"/>
      <c r="T8576" s="1963"/>
      <c r="U8576" s="1963"/>
      <c r="V8576" s="1963"/>
      <c r="W8576" s="1963"/>
      <c r="X8576" s="1963"/>
      <c r="Y8576" s="1963"/>
      <c r="Z8576" s="1963"/>
      <c r="AA8576" s="1963"/>
      <c r="AB8576" s="1963"/>
      <c r="AC8576" s="1963"/>
      <c r="AD8576" s="1963"/>
      <c r="AE8576" s="1963"/>
      <c r="AF8576" s="1963"/>
      <c r="AG8576" s="1963"/>
      <c r="AH8576" s="1963"/>
      <c r="AI8576" s="1963"/>
      <c r="AJ8576" s="1963"/>
      <c r="AK8576" s="1963"/>
      <c r="AL8576" s="1963"/>
      <c r="AM8576" s="1963"/>
      <c r="AN8576" s="1963"/>
      <c r="AO8576" s="1963"/>
      <c r="AP8576" s="1963"/>
      <c r="AQ8576" s="1963"/>
      <c r="AR8576" s="1963"/>
      <c r="AS8576" s="1963"/>
      <c r="AT8576" s="1963"/>
      <c r="AU8576" s="1963"/>
      <c r="AV8576" s="1963"/>
      <c r="AW8576" s="1963"/>
      <c r="AX8576" s="1963"/>
      <c r="AY8576" s="1963"/>
      <c r="AZ8576" s="1963"/>
      <c r="BA8576" s="1963"/>
      <c r="BB8576" s="1963"/>
      <c r="BC8576" s="1963"/>
      <c r="BD8576" s="1963"/>
      <c r="BE8576" s="1963"/>
      <c r="BF8576" s="1963"/>
      <c r="BG8576" s="1963"/>
      <c r="BH8576" s="1963"/>
      <c r="BI8576" s="1963"/>
      <c r="BJ8576" s="1963"/>
      <c r="BK8576" s="1963"/>
      <c r="BL8576" s="1963"/>
      <c r="BM8576" s="1963"/>
      <c r="BN8576" s="1963"/>
      <c r="BO8576" s="1963"/>
      <c r="BP8576" s="1963"/>
      <c r="BQ8576" s="1963"/>
      <c r="BR8576" s="1963"/>
      <c r="BS8576" s="1963"/>
      <c r="BT8576" s="1963"/>
      <c r="BU8576" s="1963"/>
      <c r="BV8576" s="1963"/>
      <c r="BW8576" s="1963"/>
      <c r="BX8576" s="1963"/>
      <c r="BY8576" s="1963"/>
      <c r="BZ8576" s="1963"/>
      <c r="CA8576" s="1963"/>
      <c r="CB8576" s="1963"/>
      <c r="CC8576" s="1963"/>
      <c r="CD8576" s="1963"/>
      <c r="CE8576" s="1963"/>
      <c r="CF8576" s="1963"/>
      <c r="CG8576" s="1963"/>
      <c r="CH8576" s="1963"/>
      <c r="CI8576" s="1963"/>
      <c r="CJ8576" s="1963"/>
      <c r="CK8576" s="1963"/>
      <c r="CL8576" s="1963"/>
      <c r="CM8576" s="1963"/>
      <c r="CN8576" s="1963"/>
      <c r="CO8576" s="1963"/>
      <c r="CP8576" s="1963"/>
      <c r="CQ8576" s="1963"/>
      <c r="CR8576" s="1963"/>
      <c r="CS8576" s="1963"/>
      <c r="CT8576" s="1963"/>
      <c r="CU8576" s="1963"/>
      <c r="CV8576" s="1963"/>
      <c r="CW8576" s="1963"/>
      <c r="CX8576" s="1963"/>
      <c r="CY8576" s="1963"/>
      <c r="CZ8576" s="1963"/>
      <c r="DA8576" s="1963"/>
      <c r="DB8576" s="1963"/>
      <c r="DC8576" s="1963"/>
      <c r="DD8576" s="1963"/>
      <c r="DE8576" s="1963"/>
      <c r="DF8576" s="1963"/>
      <c r="DG8576" s="1963"/>
      <c r="DH8576" s="1963"/>
      <c r="DI8576" s="1963"/>
      <c r="DJ8576" s="1963"/>
      <c r="DK8576" s="1963"/>
      <c r="DL8576" s="1963"/>
      <c r="DM8576" s="1963"/>
      <c r="DN8576" s="1963"/>
      <c r="DO8576" s="1963"/>
      <c r="DP8576" s="1963"/>
      <c r="DQ8576" s="1963"/>
      <c r="DR8576" s="1963"/>
      <c r="DS8576" s="1963"/>
      <c r="DT8576" s="1963"/>
      <c r="DU8576" s="1963"/>
      <c r="DV8576" s="1963"/>
      <c r="DW8576" s="1963"/>
      <c r="DX8576" s="1963"/>
      <c r="DY8576" s="1963"/>
      <c r="DZ8576" s="1963"/>
      <c r="EA8576" s="1963"/>
      <c r="EB8576" s="1963"/>
      <c r="EC8576" s="1963"/>
      <c r="ED8576" s="1963"/>
      <c r="EE8576" s="1963"/>
      <c r="EF8576" s="1963"/>
      <c r="EG8576" s="1963"/>
      <c r="EH8576" s="1963"/>
      <c r="EI8576" s="1963"/>
      <c r="EJ8576" s="1963"/>
      <c r="EK8576" s="1963"/>
      <c r="EL8576" s="1963"/>
      <c r="EM8576" s="1963"/>
      <c r="EN8576" s="1963"/>
      <c r="EO8576" s="1963"/>
      <c r="EP8576" s="1963"/>
      <c r="EQ8576" s="1963"/>
      <c r="ER8576" s="1963"/>
      <c r="ES8576" s="1963"/>
      <c r="ET8576" s="1963"/>
      <c r="EU8576" s="1963"/>
      <c r="EV8576" s="1963"/>
      <c r="EW8576" s="1963"/>
    </row>
    <row r="8577" spans="1:153" s="1165" customFormat="1" ht="15">
      <c r="A8577" s="2194" t="s">
        <v>6718</v>
      </c>
      <c r="B8577" s="2203">
        <v>55</v>
      </c>
      <c r="C8577" s="2156">
        <v>30</v>
      </c>
      <c r="D8577" s="2194" t="s">
        <v>1812</v>
      </c>
      <c r="E8577" s="2194" t="s">
        <v>6719</v>
      </c>
      <c r="F8577" s="2194" t="s">
        <v>6720</v>
      </c>
      <c r="G8577" s="1602">
        <v>1.95</v>
      </c>
      <c r="H8577" s="2200"/>
      <c r="I8577" s="2186"/>
      <c r="J8577" s="2187"/>
      <c r="K8577" s="1963"/>
      <c r="L8577" s="1963"/>
      <c r="M8577" s="1963"/>
      <c r="N8577" s="1963"/>
      <c r="O8577" s="1963"/>
      <c r="P8577" s="1963"/>
      <c r="Q8577" s="1963"/>
      <c r="R8577" s="1963"/>
      <c r="S8577" s="1963"/>
      <c r="T8577" s="1963"/>
      <c r="U8577" s="1963"/>
      <c r="V8577" s="1963"/>
      <c r="W8577" s="1963"/>
      <c r="X8577" s="1963"/>
      <c r="Y8577" s="1963"/>
      <c r="Z8577" s="1963"/>
      <c r="AA8577" s="1963"/>
      <c r="AB8577" s="1963"/>
      <c r="AC8577" s="1963"/>
      <c r="AD8577" s="1963"/>
      <c r="AE8577" s="1963"/>
      <c r="AF8577" s="1963"/>
      <c r="AG8577" s="1963"/>
      <c r="AH8577" s="1963"/>
      <c r="AI8577" s="1963"/>
      <c r="AJ8577" s="1963"/>
      <c r="AK8577" s="1963"/>
      <c r="AL8577" s="1963"/>
      <c r="AM8577" s="1963"/>
      <c r="AN8577" s="1963"/>
      <c r="AO8577" s="1963"/>
      <c r="AP8577" s="1963"/>
      <c r="AQ8577" s="1963"/>
      <c r="AR8577" s="1963"/>
      <c r="AS8577" s="1963"/>
      <c r="AT8577" s="1963"/>
      <c r="AU8577" s="1963"/>
      <c r="AV8577" s="1963"/>
      <c r="AW8577" s="1963"/>
      <c r="AX8577" s="1963"/>
      <c r="AY8577" s="1963"/>
      <c r="AZ8577" s="1963"/>
      <c r="BA8577" s="1963"/>
      <c r="BB8577" s="1963"/>
      <c r="BC8577" s="1963"/>
      <c r="BD8577" s="1963"/>
      <c r="BE8577" s="1963"/>
      <c r="BF8577" s="1963"/>
      <c r="BG8577" s="1963"/>
      <c r="BH8577" s="1963"/>
      <c r="BI8577" s="1963"/>
      <c r="BJ8577" s="1963"/>
      <c r="BK8577" s="1963"/>
      <c r="BL8577" s="1963"/>
      <c r="BM8577" s="1963"/>
      <c r="BN8577" s="1963"/>
      <c r="BO8577" s="1963"/>
      <c r="BP8577" s="1963"/>
      <c r="BQ8577" s="1963"/>
      <c r="BR8577" s="1963"/>
      <c r="BS8577" s="1963"/>
      <c r="BT8577" s="1963"/>
      <c r="BU8577" s="1963"/>
      <c r="BV8577" s="1963"/>
      <c r="BW8577" s="1963"/>
      <c r="BX8577" s="1963"/>
      <c r="BY8577" s="1963"/>
      <c r="BZ8577" s="1963"/>
      <c r="CA8577" s="1963"/>
      <c r="CB8577" s="1963"/>
      <c r="CC8577" s="1963"/>
      <c r="CD8577" s="1963"/>
      <c r="CE8577" s="1963"/>
      <c r="CF8577" s="1963"/>
      <c r="CG8577" s="1963"/>
      <c r="CH8577" s="1963"/>
      <c r="CI8577" s="1963"/>
      <c r="CJ8577" s="1963"/>
      <c r="CK8577" s="1963"/>
      <c r="CL8577" s="1963"/>
      <c r="CM8577" s="1963"/>
      <c r="CN8577" s="1963"/>
      <c r="CO8577" s="1963"/>
      <c r="CP8577" s="1963"/>
      <c r="CQ8577" s="1963"/>
      <c r="CR8577" s="1963"/>
      <c r="CS8577" s="1963"/>
      <c r="CT8577" s="1963"/>
      <c r="CU8577" s="1963"/>
      <c r="CV8577" s="1963"/>
      <c r="CW8577" s="1963"/>
      <c r="CX8577" s="1963"/>
      <c r="CY8577" s="1963"/>
      <c r="CZ8577" s="1963"/>
      <c r="DA8577" s="1963"/>
      <c r="DB8577" s="1963"/>
      <c r="DC8577" s="1963"/>
      <c r="DD8577" s="1963"/>
      <c r="DE8577" s="1963"/>
      <c r="DF8577" s="1963"/>
      <c r="DG8577" s="1963"/>
      <c r="DH8577" s="1963"/>
      <c r="DI8577" s="1963"/>
      <c r="DJ8577" s="1963"/>
      <c r="DK8577" s="1963"/>
      <c r="DL8577" s="1963"/>
      <c r="DM8577" s="1963"/>
      <c r="DN8577" s="1963"/>
      <c r="DO8577" s="1963"/>
      <c r="DP8577" s="1963"/>
      <c r="DQ8577" s="1963"/>
      <c r="DR8577" s="1963"/>
      <c r="DS8577" s="1963"/>
      <c r="DT8577" s="1963"/>
      <c r="DU8577" s="1963"/>
      <c r="DV8577" s="1963"/>
      <c r="DW8577" s="1963"/>
      <c r="DX8577" s="1963"/>
      <c r="DY8577" s="1963"/>
      <c r="DZ8577" s="1963"/>
      <c r="EA8577" s="1963"/>
      <c r="EB8577" s="1963"/>
      <c r="EC8577" s="1963"/>
      <c r="ED8577" s="1963"/>
      <c r="EE8577" s="1963"/>
      <c r="EF8577" s="1963"/>
      <c r="EG8577" s="1963"/>
      <c r="EH8577" s="1963"/>
      <c r="EI8577" s="1963"/>
      <c r="EJ8577" s="1963"/>
      <c r="EK8577" s="1963"/>
      <c r="EL8577" s="1963"/>
      <c r="EM8577" s="1963"/>
      <c r="EN8577" s="1963"/>
      <c r="EO8577" s="1963"/>
      <c r="EP8577" s="1963"/>
      <c r="EQ8577" s="1963"/>
      <c r="ER8577" s="1963"/>
      <c r="ES8577" s="1963"/>
      <c r="ET8577" s="1963"/>
      <c r="EU8577" s="1963"/>
      <c r="EV8577" s="1963"/>
      <c r="EW8577" s="1963"/>
    </row>
    <row r="8578" spans="1:153" s="1165" customFormat="1" ht="15">
      <c r="A8578" s="2194" t="s">
        <v>6718</v>
      </c>
      <c r="B8578" s="2203">
        <v>60</v>
      </c>
      <c r="C8578" s="2156">
        <v>30</v>
      </c>
      <c r="D8578" s="2194" t="s">
        <v>1812</v>
      </c>
      <c r="E8578" s="2194" t="s">
        <v>6719</v>
      </c>
      <c r="F8578" s="2194" t="s">
        <v>6720</v>
      </c>
      <c r="G8578" s="1602">
        <v>2.0999999999999996</v>
      </c>
      <c r="H8578" s="2200"/>
      <c r="I8578" s="2186"/>
      <c r="J8578" s="2187"/>
      <c r="K8578" s="1963"/>
      <c r="L8578" s="1963"/>
      <c r="M8578" s="1963"/>
      <c r="N8578" s="1963"/>
      <c r="O8578" s="1963"/>
      <c r="P8578" s="1963"/>
      <c r="Q8578" s="1963"/>
      <c r="R8578" s="1963"/>
      <c r="S8578" s="1963"/>
      <c r="T8578" s="1963"/>
      <c r="U8578" s="1963"/>
      <c r="V8578" s="1963"/>
      <c r="W8578" s="1963"/>
      <c r="X8578" s="1963"/>
      <c r="Y8578" s="1963"/>
      <c r="Z8578" s="1963"/>
      <c r="AA8578" s="1963"/>
      <c r="AB8578" s="1963"/>
      <c r="AC8578" s="1963"/>
      <c r="AD8578" s="1963"/>
      <c r="AE8578" s="1963"/>
      <c r="AF8578" s="1963"/>
      <c r="AG8578" s="1963"/>
      <c r="AH8578" s="1963"/>
      <c r="AI8578" s="1963"/>
      <c r="AJ8578" s="1963"/>
      <c r="AK8578" s="1963"/>
      <c r="AL8578" s="1963"/>
      <c r="AM8578" s="1963"/>
      <c r="AN8578" s="1963"/>
      <c r="AO8578" s="1963"/>
      <c r="AP8578" s="1963"/>
      <c r="AQ8578" s="1963"/>
      <c r="AR8578" s="1963"/>
      <c r="AS8578" s="1963"/>
      <c r="AT8578" s="1963"/>
      <c r="AU8578" s="1963"/>
      <c r="AV8578" s="1963"/>
      <c r="AW8578" s="1963"/>
      <c r="AX8578" s="1963"/>
      <c r="AY8578" s="1963"/>
      <c r="AZ8578" s="1963"/>
      <c r="BA8578" s="1963"/>
      <c r="BB8578" s="1963"/>
      <c r="BC8578" s="1963"/>
      <c r="BD8578" s="1963"/>
      <c r="BE8578" s="1963"/>
      <c r="BF8578" s="1963"/>
      <c r="BG8578" s="1963"/>
      <c r="BH8578" s="1963"/>
      <c r="BI8578" s="1963"/>
      <c r="BJ8578" s="1963"/>
      <c r="BK8578" s="1963"/>
      <c r="BL8578" s="1963"/>
      <c r="BM8578" s="1963"/>
      <c r="BN8578" s="1963"/>
      <c r="BO8578" s="1963"/>
      <c r="BP8578" s="1963"/>
      <c r="BQ8578" s="1963"/>
      <c r="BR8578" s="1963"/>
      <c r="BS8578" s="1963"/>
      <c r="BT8578" s="1963"/>
      <c r="BU8578" s="1963"/>
      <c r="BV8578" s="1963"/>
      <c r="BW8578" s="1963"/>
      <c r="BX8578" s="1963"/>
      <c r="BY8578" s="1963"/>
      <c r="BZ8578" s="1963"/>
      <c r="CA8578" s="1963"/>
      <c r="CB8578" s="1963"/>
      <c r="CC8578" s="1963"/>
      <c r="CD8578" s="1963"/>
      <c r="CE8578" s="1963"/>
      <c r="CF8578" s="1963"/>
      <c r="CG8578" s="1963"/>
      <c r="CH8578" s="1963"/>
      <c r="CI8578" s="1963"/>
      <c r="CJ8578" s="1963"/>
      <c r="CK8578" s="1963"/>
      <c r="CL8578" s="1963"/>
      <c r="CM8578" s="1963"/>
      <c r="CN8578" s="1963"/>
      <c r="CO8578" s="1963"/>
      <c r="CP8578" s="1963"/>
      <c r="CQ8578" s="1963"/>
      <c r="CR8578" s="1963"/>
      <c r="CS8578" s="1963"/>
      <c r="CT8578" s="1963"/>
      <c r="CU8578" s="1963"/>
      <c r="CV8578" s="1963"/>
      <c r="CW8578" s="1963"/>
      <c r="CX8578" s="1963"/>
      <c r="CY8578" s="1963"/>
      <c r="CZ8578" s="1963"/>
      <c r="DA8578" s="1963"/>
      <c r="DB8578" s="1963"/>
      <c r="DC8578" s="1963"/>
      <c r="DD8578" s="1963"/>
      <c r="DE8578" s="1963"/>
      <c r="DF8578" s="1963"/>
      <c r="DG8578" s="1963"/>
      <c r="DH8578" s="1963"/>
      <c r="DI8578" s="1963"/>
      <c r="DJ8578" s="1963"/>
      <c r="DK8578" s="1963"/>
      <c r="DL8578" s="1963"/>
      <c r="DM8578" s="1963"/>
      <c r="DN8578" s="1963"/>
      <c r="DO8578" s="1963"/>
      <c r="DP8578" s="1963"/>
      <c r="DQ8578" s="1963"/>
      <c r="DR8578" s="1963"/>
      <c r="DS8578" s="1963"/>
      <c r="DT8578" s="1963"/>
      <c r="DU8578" s="1963"/>
      <c r="DV8578" s="1963"/>
      <c r="DW8578" s="1963"/>
      <c r="DX8578" s="1963"/>
      <c r="DY8578" s="1963"/>
      <c r="DZ8578" s="1963"/>
      <c r="EA8578" s="1963"/>
      <c r="EB8578" s="1963"/>
      <c r="EC8578" s="1963"/>
      <c r="ED8578" s="1963"/>
      <c r="EE8578" s="1963"/>
      <c r="EF8578" s="1963"/>
      <c r="EG8578" s="1963"/>
      <c r="EH8578" s="1963"/>
      <c r="EI8578" s="1963"/>
      <c r="EJ8578" s="1963"/>
      <c r="EK8578" s="1963"/>
      <c r="EL8578" s="1963"/>
      <c r="EM8578" s="1963"/>
      <c r="EN8578" s="1963"/>
      <c r="EO8578" s="1963"/>
      <c r="EP8578" s="1963"/>
      <c r="EQ8578" s="1963"/>
      <c r="ER8578" s="1963"/>
      <c r="ES8578" s="1963"/>
      <c r="ET8578" s="1963"/>
      <c r="EU8578" s="1963"/>
      <c r="EV8578" s="1963"/>
      <c r="EW8578" s="1963"/>
    </row>
    <row r="8579" spans="1:153" s="59" customFormat="1" ht="15">
      <c r="A8579" s="2154" t="s">
        <v>2265</v>
      </c>
      <c r="B8579" s="2155">
        <v>6</v>
      </c>
      <c r="C8579" s="2156">
        <v>20</v>
      </c>
      <c r="D8579" s="2194" t="s">
        <v>1812</v>
      </c>
      <c r="E8579" s="2194" t="s">
        <v>13</v>
      </c>
      <c r="F8579" s="2194" t="s">
        <v>6721</v>
      </c>
      <c r="G8579" s="1602">
        <v>1.47</v>
      </c>
      <c r="H8579" s="2200">
        <v>87</v>
      </c>
      <c r="I8579" s="2186">
        <f t="shared" ref="I8579:I8617" si="73">(((G8579*J8579)-H8579)/(G8579*J8579))</f>
        <v>0.50680272108843538</v>
      </c>
      <c r="J8579" s="2187">
        <v>120</v>
      </c>
      <c r="K8579" s="1963"/>
      <c r="L8579" s="1963"/>
      <c r="M8579" s="1963"/>
      <c r="N8579" s="1963"/>
      <c r="O8579" s="1963"/>
      <c r="P8579" s="1963"/>
      <c r="Q8579" s="1963"/>
      <c r="R8579" s="1963"/>
      <c r="S8579" s="1963"/>
      <c r="T8579" s="1963"/>
      <c r="U8579" s="1963"/>
      <c r="V8579" s="1963"/>
      <c r="W8579" s="1963"/>
      <c r="X8579" s="1963"/>
      <c r="Y8579" s="1963"/>
      <c r="Z8579" s="1963"/>
      <c r="AA8579" s="1963"/>
      <c r="AB8579" s="1963"/>
      <c r="AC8579" s="1963"/>
      <c r="AD8579" s="1963"/>
      <c r="AE8579" s="1963"/>
      <c r="AF8579" s="1963"/>
      <c r="AG8579" s="1963"/>
      <c r="AH8579" s="1963"/>
      <c r="AI8579" s="1963"/>
      <c r="AJ8579" s="1963"/>
      <c r="AK8579" s="1963"/>
      <c r="AL8579" s="1963"/>
      <c r="AM8579" s="1963"/>
      <c r="AN8579" s="1963"/>
      <c r="AO8579" s="1963"/>
      <c r="AP8579" s="1963"/>
      <c r="AQ8579" s="1963"/>
      <c r="AR8579" s="1963"/>
      <c r="AS8579" s="1963"/>
      <c r="AT8579" s="1963"/>
      <c r="AU8579" s="1963"/>
      <c r="AV8579" s="1963"/>
      <c r="AW8579" s="1963"/>
      <c r="AX8579" s="1963"/>
      <c r="AY8579" s="1963"/>
      <c r="AZ8579" s="1963"/>
      <c r="BA8579" s="1963"/>
      <c r="BB8579" s="1963"/>
      <c r="BC8579" s="1963"/>
      <c r="BD8579" s="1963"/>
      <c r="BE8579" s="1963"/>
      <c r="BF8579" s="1963"/>
      <c r="BG8579" s="1963"/>
      <c r="BH8579" s="1963"/>
      <c r="BI8579" s="1963"/>
      <c r="BJ8579" s="1963"/>
      <c r="BK8579" s="1963"/>
      <c r="BL8579" s="1963"/>
      <c r="BM8579" s="1963"/>
      <c r="BN8579" s="1963"/>
      <c r="BO8579" s="1963"/>
      <c r="BP8579" s="1963"/>
      <c r="BQ8579" s="1963"/>
      <c r="BR8579" s="1963"/>
      <c r="BS8579" s="1963"/>
      <c r="BT8579" s="1963"/>
      <c r="BU8579" s="1963"/>
      <c r="BV8579" s="1963"/>
      <c r="BW8579" s="1963"/>
      <c r="BX8579" s="1963"/>
      <c r="BY8579" s="1963"/>
      <c r="BZ8579" s="1963"/>
      <c r="CA8579" s="1963"/>
      <c r="CB8579" s="1963"/>
      <c r="CC8579" s="1963"/>
      <c r="CD8579" s="1963"/>
      <c r="CE8579" s="1963"/>
      <c r="CF8579" s="1963"/>
      <c r="CG8579" s="1963"/>
      <c r="CH8579" s="1963"/>
      <c r="CI8579" s="1963"/>
      <c r="CJ8579" s="1963"/>
      <c r="CK8579" s="1963"/>
      <c r="CL8579" s="1963"/>
      <c r="CM8579" s="1963"/>
      <c r="CN8579" s="1963"/>
      <c r="CO8579" s="1963"/>
      <c r="CP8579" s="1963"/>
      <c r="CQ8579" s="1963"/>
      <c r="CR8579" s="1963"/>
      <c r="CS8579" s="1963"/>
      <c r="CT8579" s="1963"/>
      <c r="CU8579" s="1963"/>
      <c r="CV8579" s="1963"/>
      <c r="CW8579" s="1963"/>
      <c r="CX8579" s="1963"/>
      <c r="CY8579" s="1963"/>
      <c r="CZ8579" s="1963"/>
      <c r="DA8579" s="1963"/>
      <c r="DB8579" s="1963"/>
      <c r="DC8579" s="1963"/>
      <c r="DD8579" s="1963"/>
      <c r="DE8579" s="1963"/>
      <c r="DF8579" s="1963"/>
      <c r="DG8579" s="1963"/>
      <c r="DH8579" s="1963"/>
      <c r="DI8579" s="1963"/>
      <c r="DJ8579" s="1963"/>
      <c r="DK8579" s="1963"/>
      <c r="DL8579" s="1963"/>
      <c r="DM8579" s="1963"/>
      <c r="DN8579" s="1963"/>
      <c r="DO8579" s="1963"/>
      <c r="DP8579" s="1963"/>
    </row>
    <row r="8580" spans="1:153" s="59" customFormat="1" ht="15" customHeight="1">
      <c r="A8580" s="2154" t="s">
        <v>2265</v>
      </c>
      <c r="B8580" s="2155">
        <v>9</v>
      </c>
      <c r="C8580" s="2156">
        <v>20</v>
      </c>
      <c r="D8580" s="2194" t="s">
        <v>1812</v>
      </c>
      <c r="E8580" s="2194" t="s">
        <v>13</v>
      </c>
      <c r="F8580" s="2194" t="s">
        <v>6721</v>
      </c>
      <c r="G8580" s="1602">
        <v>1.6300000000000001</v>
      </c>
      <c r="H8580" s="2200">
        <v>97</v>
      </c>
      <c r="I8580" s="2186">
        <f t="shared" si="73"/>
        <v>0.50408997955010226</v>
      </c>
      <c r="J8580" s="2187">
        <v>120</v>
      </c>
      <c r="K8580" s="1963"/>
      <c r="L8580" s="1963"/>
      <c r="M8580" s="1963"/>
      <c r="N8580" s="1963"/>
      <c r="O8580" s="1963"/>
      <c r="P8580" s="1963"/>
      <c r="Q8580" s="1963"/>
      <c r="R8580" s="1963"/>
      <c r="S8580" s="1963"/>
      <c r="T8580" s="1963"/>
      <c r="U8580" s="1963"/>
      <c r="V8580" s="1963"/>
      <c r="W8580" s="1963"/>
      <c r="X8580" s="1963"/>
      <c r="Y8580" s="1963"/>
      <c r="Z8580" s="1963"/>
      <c r="AA8580" s="1963"/>
      <c r="AB8580" s="1963"/>
      <c r="AC8580" s="1963"/>
      <c r="AD8580" s="1963"/>
      <c r="AE8580" s="1963"/>
      <c r="AF8580" s="1963"/>
      <c r="AG8580" s="1963"/>
      <c r="AH8580" s="1963"/>
      <c r="AI8580" s="1963"/>
      <c r="AJ8580" s="1963"/>
      <c r="AK8580" s="1963"/>
      <c r="AL8580" s="1963"/>
      <c r="AM8580" s="1963"/>
      <c r="AN8580" s="1963"/>
      <c r="AO8580" s="1963"/>
      <c r="AP8580" s="1963"/>
      <c r="AQ8580" s="1963"/>
      <c r="AR8580" s="1963"/>
      <c r="AS8580" s="1963"/>
      <c r="AT8580" s="1963"/>
      <c r="AU8580" s="1963"/>
      <c r="AV8580" s="1963"/>
      <c r="AW8580" s="1963"/>
      <c r="AX8580" s="1963"/>
      <c r="AY8580" s="1963"/>
      <c r="AZ8580" s="1963"/>
      <c r="BA8580" s="1963"/>
      <c r="BB8580" s="1963"/>
      <c r="BC8580" s="1963"/>
      <c r="BD8580" s="1963"/>
      <c r="BE8580" s="1963"/>
      <c r="BF8580" s="1963"/>
      <c r="BG8580" s="1963"/>
      <c r="BH8580" s="1963"/>
      <c r="BI8580" s="1963"/>
      <c r="BJ8580" s="1963"/>
      <c r="BK8580" s="1963"/>
      <c r="BL8580" s="1963"/>
      <c r="BM8580" s="1963"/>
      <c r="BN8580" s="1963"/>
      <c r="BO8580" s="1963"/>
      <c r="BP8580" s="1963"/>
      <c r="BQ8580" s="1963"/>
      <c r="BR8580" s="1963"/>
      <c r="BS8580" s="1963"/>
      <c r="BT8580" s="1963"/>
      <c r="BU8580" s="1963"/>
      <c r="BV8580" s="1963"/>
      <c r="BW8580" s="1963"/>
      <c r="BX8580" s="1963"/>
      <c r="BY8580" s="1963"/>
      <c r="BZ8580" s="1963"/>
      <c r="CA8580" s="1963"/>
      <c r="CB8580" s="1963"/>
      <c r="CC8580" s="1963"/>
      <c r="CD8580" s="1963"/>
      <c r="CE8580" s="1963"/>
      <c r="CF8580" s="1963"/>
      <c r="CG8580" s="1963"/>
      <c r="CH8580" s="1963"/>
      <c r="CI8580" s="1963"/>
      <c r="CJ8580" s="1963"/>
      <c r="CK8580" s="1963"/>
      <c r="CL8580" s="1963"/>
      <c r="CM8580" s="1963"/>
      <c r="CN8580" s="1963"/>
      <c r="CO8580" s="1963"/>
      <c r="CP8580" s="1963"/>
      <c r="CQ8580" s="1963"/>
      <c r="CR8580" s="1963"/>
      <c r="CS8580" s="1963"/>
      <c r="CT8580" s="1963"/>
      <c r="CU8580" s="1963"/>
      <c r="CV8580" s="1963"/>
      <c r="CW8580" s="1963"/>
      <c r="CX8580" s="1963"/>
      <c r="CY8580" s="1963"/>
      <c r="CZ8580" s="1963"/>
      <c r="DA8580" s="1963"/>
      <c r="DB8580" s="1963"/>
      <c r="DC8580" s="1963"/>
      <c r="DD8580" s="1963"/>
      <c r="DE8580" s="1963"/>
      <c r="DF8580" s="1963"/>
      <c r="DG8580" s="1963"/>
      <c r="DH8580" s="1963"/>
      <c r="DI8580" s="1963"/>
      <c r="DJ8580" s="1963"/>
      <c r="DK8580" s="1963"/>
      <c r="DL8580" s="1963"/>
      <c r="DM8580" s="1963"/>
      <c r="DN8580" s="1963"/>
      <c r="DO8580" s="1963"/>
      <c r="DP8580" s="1963"/>
    </row>
    <row r="8581" spans="1:153" s="59" customFormat="1" ht="15" customHeight="1">
      <c r="A8581" s="2154" t="s">
        <v>2265</v>
      </c>
      <c r="B8581" s="2155">
        <v>12</v>
      </c>
      <c r="C8581" s="2156">
        <v>20</v>
      </c>
      <c r="D8581" s="2194" t="s">
        <v>1812</v>
      </c>
      <c r="E8581" s="2194" t="s">
        <v>13</v>
      </c>
      <c r="F8581" s="2194" t="s">
        <v>6721</v>
      </c>
      <c r="G8581" s="1602">
        <v>1.86</v>
      </c>
      <c r="H8581" s="2200">
        <v>110</v>
      </c>
      <c r="I8581" s="2186">
        <f t="shared" si="73"/>
        <v>0.50716845878136207</v>
      </c>
      <c r="J8581" s="2187">
        <v>120</v>
      </c>
      <c r="K8581" s="1963"/>
      <c r="L8581" s="1963"/>
      <c r="M8581" s="1963"/>
      <c r="N8581" s="1963"/>
      <c r="O8581" s="1963"/>
      <c r="P8581" s="1963"/>
      <c r="Q8581" s="1963"/>
      <c r="R8581" s="1963"/>
      <c r="S8581" s="1963"/>
      <c r="T8581" s="1963"/>
      <c r="U8581" s="1963"/>
      <c r="V8581" s="1963"/>
      <c r="W8581" s="1963"/>
      <c r="X8581" s="1963"/>
      <c r="Y8581" s="1963"/>
      <c r="Z8581" s="1963"/>
      <c r="AA8581" s="1963"/>
      <c r="AB8581" s="1963"/>
      <c r="AC8581" s="1963"/>
      <c r="AD8581" s="1963"/>
      <c r="AE8581" s="1963"/>
      <c r="AF8581" s="1963"/>
      <c r="AG8581" s="1963"/>
      <c r="AH8581" s="1963"/>
      <c r="AI8581" s="1963"/>
      <c r="AJ8581" s="1963"/>
      <c r="AK8581" s="1963"/>
      <c r="AL8581" s="1963"/>
      <c r="AM8581" s="1963"/>
      <c r="AN8581" s="1963"/>
      <c r="AO8581" s="1963"/>
      <c r="AP8581" s="1963"/>
      <c r="AQ8581" s="1963"/>
      <c r="AR8581" s="1963"/>
      <c r="AS8581" s="1963"/>
      <c r="AT8581" s="1963"/>
      <c r="AU8581" s="1963"/>
      <c r="AV8581" s="1963"/>
      <c r="AW8581" s="1963"/>
      <c r="AX8581" s="1963"/>
      <c r="AY8581" s="1963"/>
      <c r="AZ8581" s="1963"/>
      <c r="BA8581" s="1963"/>
      <c r="BB8581" s="1963"/>
      <c r="BC8581" s="1963"/>
      <c r="BD8581" s="1963"/>
      <c r="BE8581" s="1963"/>
      <c r="BF8581" s="1963"/>
      <c r="BG8581" s="1963"/>
      <c r="BH8581" s="1963"/>
      <c r="BI8581" s="1963"/>
      <c r="BJ8581" s="1963"/>
      <c r="BK8581" s="1963"/>
      <c r="BL8581" s="1963"/>
      <c r="BM8581" s="1963"/>
      <c r="BN8581" s="1963"/>
      <c r="BO8581" s="1963"/>
      <c r="BP8581" s="1963"/>
      <c r="BQ8581" s="1963"/>
      <c r="BR8581" s="1963"/>
      <c r="BS8581" s="1963"/>
      <c r="BT8581" s="1963"/>
      <c r="BU8581" s="1963"/>
      <c r="BV8581" s="1963"/>
      <c r="BW8581" s="1963"/>
      <c r="BX8581" s="1963"/>
      <c r="BY8581" s="1963"/>
      <c r="BZ8581" s="1963"/>
      <c r="CA8581" s="1963"/>
      <c r="CB8581" s="1963"/>
      <c r="CC8581" s="1963"/>
      <c r="CD8581" s="1963"/>
      <c r="CE8581" s="1963"/>
      <c r="CF8581" s="1963"/>
      <c r="CG8581" s="1963"/>
      <c r="CH8581" s="1963"/>
      <c r="CI8581" s="1963"/>
      <c r="CJ8581" s="1963"/>
      <c r="CK8581" s="1963"/>
      <c r="CL8581" s="1963"/>
      <c r="CM8581" s="1963"/>
      <c r="CN8581" s="1963"/>
      <c r="CO8581" s="1963"/>
      <c r="CP8581" s="1963"/>
      <c r="CQ8581" s="1963"/>
      <c r="CR8581" s="1963"/>
      <c r="CS8581" s="1963"/>
      <c r="CT8581" s="1963"/>
      <c r="CU8581" s="1963"/>
      <c r="CV8581" s="1963"/>
      <c r="CW8581" s="1963"/>
      <c r="CX8581" s="1963"/>
      <c r="CY8581" s="1963"/>
      <c r="CZ8581" s="1963"/>
      <c r="DA8581" s="1963"/>
      <c r="DB8581" s="1963"/>
      <c r="DC8581" s="1963"/>
      <c r="DD8581" s="1963"/>
      <c r="DE8581" s="1963"/>
      <c r="DF8581" s="1963"/>
      <c r="DG8581" s="1963"/>
      <c r="DH8581" s="1963"/>
      <c r="DI8581" s="1963"/>
      <c r="DJ8581" s="1963"/>
      <c r="DK8581" s="1963"/>
      <c r="DL8581" s="1963"/>
      <c r="DM8581" s="1963"/>
      <c r="DN8581" s="1963"/>
      <c r="DO8581" s="1963"/>
      <c r="DP8581" s="1963"/>
    </row>
    <row r="8582" spans="1:153" s="59" customFormat="1" ht="15" customHeight="1">
      <c r="A8582" s="2154" t="s">
        <v>2265</v>
      </c>
      <c r="B8582" s="2155">
        <v>18</v>
      </c>
      <c r="C8582" s="2156">
        <v>20</v>
      </c>
      <c r="D8582" s="2194" t="s">
        <v>1812</v>
      </c>
      <c r="E8582" s="2194" t="s">
        <v>13</v>
      </c>
      <c r="F8582" s="2194" t="s">
        <v>6721</v>
      </c>
      <c r="G8582" s="1602">
        <v>2.1199999999999997</v>
      </c>
      <c r="H8582" s="2200">
        <v>126</v>
      </c>
      <c r="I8582" s="2186">
        <f t="shared" si="73"/>
        <v>0.50471698113207542</v>
      </c>
      <c r="J8582" s="2187">
        <v>120</v>
      </c>
      <c r="K8582" s="1963"/>
      <c r="L8582" s="1963"/>
      <c r="M8582" s="1963"/>
      <c r="N8582" s="1963"/>
      <c r="O8582" s="1963"/>
      <c r="P8582" s="1963"/>
      <c r="Q8582" s="1963"/>
      <c r="R8582" s="1963"/>
      <c r="S8582" s="1963"/>
      <c r="T8582" s="1963"/>
      <c r="U8582" s="1963"/>
      <c r="V8582" s="1963"/>
      <c r="W8582" s="1963"/>
      <c r="X8582" s="1963"/>
      <c r="Y8582" s="1963"/>
      <c r="Z8582" s="1963"/>
      <c r="AA8582" s="1963"/>
      <c r="AB8582" s="1963"/>
      <c r="AC8582" s="1963"/>
      <c r="AD8582" s="1963"/>
      <c r="AE8582" s="1963"/>
      <c r="AF8582" s="1963"/>
      <c r="AG8582" s="1963"/>
      <c r="AH8582" s="1963"/>
      <c r="AI8582" s="1963"/>
      <c r="AJ8582" s="1963"/>
      <c r="AK8582" s="1963"/>
      <c r="AL8582" s="1963"/>
      <c r="AM8582" s="1963"/>
      <c r="AN8582" s="1963"/>
      <c r="AO8582" s="1963"/>
      <c r="AP8582" s="1963"/>
      <c r="AQ8582" s="1963"/>
      <c r="AR8582" s="1963"/>
      <c r="AS8582" s="1963"/>
      <c r="AT8582" s="1963"/>
      <c r="AU8582" s="1963"/>
      <c r="AV8582" s="1963"/>
      <c r="AW8582" s="1963"/>
      <c r="AX8582" s="1963"/>
      <c r="AY8582" s="1963"/>
      <c r="AZ8582" s="1963"/>
      <c r="BA8582" s="1963"/>
      <c r="BB8582" s="1963"/>
      <c r="BC8582" s="1963"/>
      <c r="BD8582" s="1963"/>
      <c r="BE8582" s="1963"/>
      <c r="BF8582" s="1963"/>
      <c r="BG8582" s="1963"/>
      <c r="BH8582" s="1963"/>
      <c r="BI8582" s="1963"/>
      <c r="BJ8582" s="1963"/>
      <c r="BK8582" s="1963"/>
      <c r="BL8582" s="1963"/>
      <c r="BM8582" s="1963"/>
      <c r="BN8582" s="1963"/>
      <c r="BO8582" s="1963"/>
      <c r="BP8582" s="1963"/>
      <c r="BQ8582" s="1963"/>
      <c r="BR8582" s="1963"/>
      <c r="BS8582" s="1963"/>
      <c r="BT8582" s="1963"/>
      <c r="BU8582" s="1963"/>
      <c r="BV8582" s="1963"/>
      <c r="BW8582" s="1963"/>
      <c r="BX8582" s="1963"/>
      <c r="BY8582" s="1963"/>
      <c r="BZ8582" s="1963"/>
      <c r="CA8582" s="1963"/>
      <c r="CB8582" s="1963"/>
      <c r="CC8582" s="1963"/>
      <c r="CD8582" s="1963"/>
      <c r="CE8582" s="1963"/>
      <c r="CF8582" s="1963"/>
      <c r="CG8582" s="1963"/>
      <c r="CH8582" s="1963"/>
      <c r="CI8582" s="1963"/>
      <c r="CJ8582" s="1963"/>
      <c r="CK8582" s="1963"/>
      <c r="CL8582" s="1963"/>
      <c r="CM8582" s="1963"/>
      <c r="CN8582" s="1963"/>
      <c r="CO8582" s="1963"/>
      <c r="CP8582" s="1963"/>
      <c r="CQ8582" s="1963"/>
      <c r="CR8582" s="1963"/>
      <c r="CS8582" s="1963"/>
      <c r="CT8582" s="1963"/>
      <c r="CU8582" s="1963"/>
      <c r="CV8582" s="1963"/>
      <c r="CW8582" s="1963"/>
      <c r="CX8582" s="1963"/>
      <c r="CY8582" s="1963"/>
      <c r="CZ8582" s="1963"/>
      <c r="DA8582" s="1963"/>
      <c r="DB8582" s="1963"/>
      <c r="DC8582" s="1963"/>
      <c r="DD8582" s="1963"/>
      <c r="DE8582" s="1963"/>
      <c r="DF8582" s="1963"/>
      <c r="DG8582" s="1963"/>
      <c r="DH8582" s="1963"/>
      <c r="DI8582" s="1963"/>
      <c r="DJ8582" s="1963"/>
      <c r="DK8582" s="1963"/>
      <c r="DL8582" s="1963"/>
      <c r="DM8582" s="1963"/>
      <c r="DN8582" s="1963"/>
      <c r="DO8582" s="1963"/>
      <c r="DP8582" s="1963"/>
    </row>
    <row r="8583" spans="1:153" s="59" customFormat="1" ht="15" customHeight="1">
      <c r="A8583" s="2154" t="s">
        <v>2265</v>
      </c>
      <c r="B8583" s="2155">
        <v>24</v>
      </c>
      <c r="C8583" s="2156">
        <v>20</v>
      </c>
      <c r="D8583" s="2194" t="s">
        <v>1812</v>
      </c>
      <c r="E8583" s="2194" t="s">
        <v>13</v>
      </c>
      <c r="F8583" s="2194" t="s">
        <v>6721</v>
      </c>
      <c r="G8583" s="1602">
        <v>2.4899999999999998</v>
      </c>
      <c r="H8583" s="2200">
        <v>148</v>
      </c>
      <c r="I8583" s="2186">
        <f t="shared" si="73"/>
        <v>0.50468540829986608</v>
      </c>
      <c r="J8583" s="2187">
        <v>120</v>
      </c>
      <c r="K8583" s="1963"/>
      <c r="L8583" s="1963"/>
      <c r="M8583" s="1963"/>
      <c r="N8583" s="1963"/>
      <c r="O8583" s="1963"/>
      <c r="P8583" s="1963"/>
      <c r="Q8583" s="1963"/>
      <c r="R8583" s="1963"/>
      <c r="S8583" s="1963"/>
      <c r="T8583" s="1963"/>
      <c r="U8583" s="1963"/>
      <c r="V8583" s="1963"/>
      <c r="W8583" s="1963"/>
      <c r="X8583" s="1963"/>
      <c r="Y8583" s="1963"/>
      <c r="Z8583" s="1963"/>
      <c r="AA8583" s="1963"/>
      <c r="AB8583" s="1963"/>
      <c r="AC8583" s="1963"/>
      <c r="AD8583" s="1963"/>
      <c r="AE8583" s="1963"/>
      <c r="AF8583" s="1963"/>
      <c r="AG8583" s="1963"/>
      <c r="AH8583" s="1963"/>
      <c r="AI8583" s="1963"/>
      <c r="AJ8583" s="1963"/>
      <c r="AK8583" s="1963"/>
      <c r="AL8583" s="1963"/>
      <c r="AM8583" s="1963"/>
      <c r="AN8583" s="1963"/>
      <c r="AO8583" s="1963"/>
      <c r="AP8583" s="1963"/>
      <c r="AQ8583" s="1963"/>
      <c r="AR8583" s="1963"/>
      <c r="AS8583" s="1963"/>
      <c r="AT8583" s="1963"/>
      <c r="AU8583" s="1963"/>
      <c r="AV8583" s="1963"/>
      <c r="AW8583" s="1963"/>
      <c r="AX8583" s="1963"/>
      <c r="AY8583" s="1963"/>
      <c r="AZ8583" s="1963"/>
      <c r="BA8583" s="1963"/>
      <c r="BB8583" s="1963"/>
      <c r="BC8583" s="1963"/>
      <c r="BD8583" s="1963"/>
      <c r="BE8583" s="1963"/>
      <c r="BF8583" s="1963"/>
      <c r="BG8583" s="1963"/>
      <c r="BH8583" s="1963"/>
      <c r="BI8583" s="1963"/>
      <c r="BJ8583" s="1963"/>
      <c r="BK8583" s="1963"/>
      <c r="BL8583" s="1963"/>
      <c r="BM8583" s="1963"/>
      <c r="BN8583" s="1963"/>
      <c r="BO8583" s="1963"/>
      <c r="BP8583" s="1963"/>
      <c r="BQ8583" s="1963"/>
      <c r="BR8583" s="1963"/>
      <c r="BS8583" s="1963"/>
      <c r="BT8583" s="1963"/>
      <c r="BU8583" s="1963"/>
      <c r="BV8583" s="1963"/>
      <c r="BW8583" s="1963"/>
      <c r="BX8583" s="1963"/>
      <c r="BY8583" s="1963"/>
      <c r="BZ8583" s="1963"/>
      <c r="CA8583" s="1963"/>
      <c r="CB8583" s="1963"/>
      <c r="CC8583" s="1963"/>
      <c r="CD8583" s="1963"/>
      <c r="CE8583" s="1963"/>
      <c r="CF8583" s="1963"/>
      <c r="CG8583" s="1963"/>
      <c r="CH8583" s="1963"/>
      <c r="CI8583" s="1963"/>
      <c r="CJ8583" s="1963"/>
      <c r="CK8583" s="1963"/>
      <c r="CL8583" s="1963"/>
      <c r="CM8583" s="1963"/>
      <c r="CN8583" s="1963"/>
      <c r="CO8583" s="1963"/>
      <c r="CP8583" s="1963"/>
      <c r="CQ8583" s="1963"/>
      <c r="CR8583" s="1963"/>
      <c r="CS8583" s="1963"/>
      <c r="CT8583" s="1963"/>
      <c r="CU8583" s="1963"/>
      <c r="CV8583" s="1963"/>
      <c r="CW8583" s="1963"/>
      <c r="CX8583" s="1963"/>
      <c r="CY8583" s="1963"/>
      <c r="CZ8583" s="1963"/>
      <c r="DA8583" s="1963"/>
      <c r="DB8583" s="1963"/>
      <c r="DC8583" s="1963"/>
      <c r="DD8583" s="1963"/>
      <c r="DE8583" s="1963"/>
      <c r="DF8583" s="1963"/>
      <c r="DG8583" s="1963"/>
      <c r="DH8583" s="1963"/>
      <c r="DI8583" s="1963"/>
      <c r="DJ8583" s="1963"/>
      <c r="DK8583" s="1963"/>
      <c r="DL8583" s="1963"/>
      <c r="DM8583" s="1963"/>
      <c r="DN8583" s="1963"/>
      <c r="DO8583" s="1963"/>
      <c r="DP8583" s="1963"/>
    </row>
    <row r="8584" spans="1:153" s="59" customFormat="1" ht="15" customHeight="1">
      <c r="A8584" s="2154" t="s">
        <v>2265</v>
      </c>
      <c r="B8584" s="2157">
        <v>7</v>
      </c>
      <c r="C8584" s="2156">
        <v>20</v>
      </c>
      <c r="D8584" s="2194" t="s">
        <v>1812</v>
      </c>
      <c r="E8584" s="2194" t="s">
        <v>13</v>
      </c>
      <c r="F8584" s="2194" t="s">
        <v>6721</v>
      </c>
      <c r="G8584" s="1602">
        <v>1.89</v>
      </c>
      <c r="H8584" s="2200">
        <v>113</v>
      </c>
      <c r="I8584" s="2186">
        <f t="shared" si="73"/>
        <v>0.50176366843033504</v>
      </c>
      <c r="J8584" s="2187">
        <v>120</v>
      </c>
      <c r="K8584" s="1963"/>
      <c r="L8584" s="1963"/>
      <c r="M8584" s="1963"/>
      <c r="N8584" s="1963"/>
      <c r="O8584" s="1963"/>
      <c r="P8584" s="1963"/>
      <c r="Q8584" s="1963"/>
      <c r="R8584" s="1963"/>
      <c r="S8584" s="1963"/>
      <c r="T8584" s="1963"/>
      <c r="U8584" s="1963"/>
      <c r="V8584" s="1963"/>
      <c r="W8584" s="1963"/>
      <c r="X8584" s="1963"/>
      <c r="Y8584" s="1963"/>
      <c r="Z8584" s="1963"/>
      <c r="AA8584" s="1963"/>
      <c r="AB8584" s="1963"/>
      <c r="AC8584" s="1963"/>
      <c r="AD8584" s="1963"/>
      <c r="AE8584" s="1963"/>
      <c r="AF8584" s="1963"/>
      <c r="AG8584" s="1963"/>
      <c r="AH8584" s="1963"/>
      <c r="AI8584" s="1963"/>
      <c r="AJ8584" s="1963"/>
      <c r="AK8584" s="1963"/>
      <c r="AL8584" s="1963"/>
      <c r="AM8584" s="1963"/>
      <c r="AN8584" s="1963"/>
      <c r="AO8584" s="1963"/>
      <c r="AP8584" s="1963"/>
      <c r="AQ8584" s="1963"/>
      <c r="AR8584" s="1963"/>
      <c r="AS8584" s="1963"/>
      <c r="AT8584" s="1963"/>
      <c r="AU8584" s="1963"/>
      <c r="AV8584" s="1963"/>
      <c r="AW8584" s="1963"/>
      <c r="AX8584" s="1963"/>
      <c r="AY8584" s="1963"/>
      <c r="AZ8584" s="1963"/>
      <c r="BA8584" s="1963"/>
      <c r="BB8584" s="1963"/>
      <c r="BC8584" s="1963"/>
      <c r="BD8584" s="1963"/>
      <c r="BE8584" s="1963"/>
      <c r="BF8584" s="1963"/>
      <c r="BG8584" s="1963"/>
      <c r="BH8584" s="1963"/>
      <c r="BI8584" s="1963"/>
      <c r="BJ8584" s="1963"/>
      <c r="BK8584" s="1963"/>
      <c r="BL8584" s="1963"/>
      <c r="BM8584" s="1963"/>
      <c r="BN8584" s="1963"/>
      <c r="BO8584" s="1963"/>
      <c r="BP8584" s="1963"/>
      <c r="BQ8584" s="1963"/>
      <c r="BR8584" s="1963"/>
      <c r="BS8584" s="1963"/>
      <c r="BT8584" s="1963"/>
      <c r="BU8584" s="1963"/>
      <c r="BV8584" s="1963"/>
      <c r="BW8584" s="1963"/>
      <c r="BX8584" s="1963"/>
      <c r="BY8584" s="1963"/>
      <c r="BZ8584" s="1963"/>
      <c r="CA8584" s="1963"/>
      <c r="CB8584" s="1963"/>
      <c r="CC8584" s="1963"/>
      <c r="CD8584" s="1963"/>
      <c r="CE8584" s="1963"/>
      <c r="CF8584" s="1963"/>
      <c r="CG8584" s="1963"/>
      <c r="CH8584" s="1963"/>
      <c r="CI8584" s="1963"/>
      <c r="CJ8584" s="1963"/>
      <c r="CK8584" s="1963"/>
      <c r="CL8584" s="1963"/>
      <c r="CM8584" s="1963"/>
      <c r="CN8584" s="1963"/>
      <c r="CO8584" s="1963"/>
      <c r="CP8584" s="1963"/>
      <c r="CQ8584" s="1963"/>
      <c r="CR8584" s="1963"/>
      <c r="CS8584" s="1963"/>
      <c r="CT8584" s="1963"/>
      <c r="CU8584" s="1963"/>
      <c r="CV8584" s="1963"/>
      <c r="CW8584" s="1963"/>
      <c r="CX8584" s="1963"/>
      <c r="CY8584" s="1963"/>
      <c r="CZ8584" s="1963"/>
      <c r="DA8584" s="1963"/>
      <c r="DB8584" s="1963"/>
      <c r="DC8584" s="1963"/>
      <c r="DD8584" s="1963"/>
      <c r="DE8584" s="1963"/>
      <c r="DF8584" s="1963"/>
      <c r="DG8584" s="1963"/>
      <c r="DH8584" s="1963"/>
      <c r="DI8584" s="1963"/>
      <c r="DJ8584" s="1963"/>
      <c r="DK8584" s="1963"/>
      <c r="DL8584" s="1963"/>
      <c r="DM8584" s="1963"/>
      <c r="DN8584" s="1963"/>
      <c r="DO8584" s="1963"/>
      <c r="DP8584" s="1963"/>
    </row>
    <row r="8585" spans="1:153" s="59" customFormat="1" ht="15" customHeight="1">
      <c r="A8585" s="2154" t="s">
        <v>2265</v>
      </c>
      <c r="B8585" s="2157">
        <v>9</v>
      </c>
      <c r="C8585" s="2156">
        <v>20</v>
      </c>
      <c r="D8585" s="2194" t="s">
        <v>1812</v>
      </c>
      <c r="E8585" s="2194" t="s">
        <v>13</v>
      </c>
      <c r="F8585" s="2194" t="s">
        <v>6721</v>
      </c>
      <c r="G8585" s="1602">
        <v>2.1199999999999997</v>
      </c>
      <c r="H8585" s="2200">
        <v>126</v>
      </c>
      <c r="I8585" s="2186">
        <f t="shared" si="73"/>
        <v>0.50471698113207542</v>
      </c>
      <c r="J8585" s="2187">
        <v>120</v>
      </c>
      <c r="K8585" s="1963"/>
      <c r="L8585" s="1963"/>
      <c r="M8585" s="1963"/>
      <c r="N8585" s="1963"/>
      <c r="O8585" s="1963"/>
      <c r="P8585" s="1963"/>
      <c r="Q8585" s="1963"/>
      <c r="R8585" s="1963"/>
      <c r="S8585" s="1963"/>
      <c r="T8585" s="1963"/>
      <c r="U8585" s="1963"/>
      <c r="V8585" s="1963"/>
      <c r="W8585" s="1963"/>
      <c r="X8585" s="1963"/>
      <c r="Y8585" s="1963"/>
      <c r="Z8585" s="1963"/>
      <c r="AA8585" s="1963"/>
      <c r="AB8585" s="1963"/>
      <c r="AC8585" s="1963"/>
      <c r="AD8585" s="1963"/>
      <c r="AE8585" s="1963"/>
      <c r="AF8585" s="1963"/>
      <c r="AG8585" s="1963"/>
      <c r="AH8585" s="1963"/>
      <c r="AI8585" s="1963"/>
      <c r="AJ8585" s="1963"/>
      <c r="AK8585" s="1963"/>
      <c r="AL8585" s="1963"/>
      <c r="AM8585" s="1963"/>
      <c r="AN8585" s="1963"/>
      <c r="AO8585" s="1963"/>
      <c r="AP8585" s="1963"/>
      <c r="AQ8585" s="1963"/>
      <c r="AR8585" s="1963"/>
      <c r="AS8585" s="1963"/>
      <c r="AT8585" s="1963"/>
      <c r="AU8585" s="1963"/>
      <c r="AV8585" s="1963"/>
      <c r="AW8585" s="1963"/>
      <c r="AX8585" s="1963"/>
      <c r="AY8585" s="1963"/>
      <c r="AZ8585" s="1963"/>
      <c r="BA8585" s="1963"/>
      <c r="BB8585" s="1963"/>
      <c r="BC8585" s="1963"/>
      <c r="BD8585" s="1963"/>
      <c r="BE8585" s="1963"/>
      <c r="BF8585" s="1963"/>
      <c r="BG8585" s="1963"/>
      <c r="BH8585" s="1963"/>
      <c r="BI8585" s="1963"/>
      <c r="BJ8585" s="1963"/>
      <c r="BK8585" s="1963"/>
      <c r="BL8585" s="1963"/>
      <c r="BM8585" s="1963"/>
      <c r="BN8585" s="1963"/>
      <c r="BO8585" s="1963"/>
      <c r="BP8585" s="1963"/>
      <c r="BQ8585" s="1963"/>
      <c r="BR8585" s="1963"/>
      <c r="BS8585" s="1963"/>
      <c r="BT8585" s="1963"/>
      <c r="BU8585" s="1963"/>
      <c r="BV8585" s="1963"/>
      <c r="BW8585" s="1963"/>
      <c r="BX8585" s="1963"/>
      <c r="BY8585" s="1963"/>
      <c r="BZ8585" s="1963"/>
      <c r="CA8585" s="1963"/>
      <c r="CB8585" s="1963"/>
      <c r="CC8585" s="1963"/>
      <c r="CD8585" s="1963"/>
      <c r="CE8585" s="1963"/>
      <c r="CF8585" s="1963"/>
      <c r="CG8585" s="1963"/>
      <c r="CH8585" s="1963"/>
      <c r="CI8585" s="1963"/>
      <c r="CJ8585" s="1963"/>
      <c r="CK8585" s="1963"/>
      <c r="CL8585" s="1963"/>
      <c r="CM8585" s="1963"/>
      <c r="CN8585" s="1963"/>
      <c r="CO8585" s="1963"/>
      <c r="CP8585" s="1963"/>
      <c r="CQ8585" s="1963"/>
      <c r="CR8585" s="1963"/>
      <c r="CS8585" s="1963"/>
      <c r="CT8585" s="1963"/>
      <c r="CU8585" s="1963"/>
      <c r="CV8585" s="1963"/>
      <c r="CW8585" s="1963"/>
      <c r="CX8585" s="1963"/>
      <c r="CY8585" s="1963"/>
      <c r="CZ8585" s="1963"/>
      <c r="DA8585" s="1963"/>
      <c r="DB8585" s="1963"/>
      <c r="DC8585" s="1963"/>
      <c r="DD8585" s="1963"/>
      <c r="DE8585" s="1963"/>
      <c r="DF8585" s="1963"/>
      <c r="DG8585" s="1963"/>
      <c r="DH8585" s="1963"/>
      <c r="DI8585" s="1963"/>
      <c r="DJ8585" s="1963"/>
      <c r="DK8585" s="1963"/>
      <c r="DL8585" s="1963"/>
      <c r="DM8585" s="1963"/>
      <c r="DN8585" s="1963"/>
      <c r="DO8585" s="1963"/>
      <c r="DP8585" s="1963"/>
    </row>
    <row r="8586" spans="1:153" s="59" customFormat="1" ht="15" customHeight="1">
      <c r="A8586" s="2154" t="s">
        <v>2265</v>
      </c>
      <c r="B8586" s="2157">
        <v>12</v>
      </c>
      <c r="C8586" s="2156">
        <v>20</v>
      </c>
      <c r="D8586" s="2194" t="s">
        <v>1812</v>
      </c>
      <c r="E8586" s="2194" t="s">
        <v>13</v>
      </c>
      <c r="F8586" s="2194" t="s">
        <v>6721</v>
      </c>
      <c r="G8586" s="1602">
        <v>2.4899999999999998</v>
      </c>
      <c r="H8586" s="2200">
        <v>148</v>
      </c>
      <c r="I8586" s="2186">
        <f t="shared" si="73"/>
        <v>0.50468540829986608</v>
      </c>
      <c r="J8586" s="2187">
        <v>120</v>
      </c>
      <c r="K8586" s="1963"/>
      <c r="L8586" s="1963"/>
      <c r="M8586" s="1963"/>
      <c r="N8586" s="1963"/>
      <c r="O8586" s="1963"/>
      <c r="P8586" s="1963"/>
      <c r="Q8586" s="1963"/>
      <c r="R8586" s="1963"/>
      <c r="S8586" s="1963"/>
      <c r="T8586" s="1963"/>
      <c r="U8586" s="1963"/>
      <c r="V8586" s="1963"/>
      <c r="W8586" s="1963"/>
      <c r="X8586" s="1963"/>
      <c r="Y8586" s="1963"/>
      <c r="Z8586" s="1963"/>
      <c r="AA8586" s="1963"/>
      <c r="AB8586" s="1963"/>
      <c r="AC8586" s="1963"/>
      <c r="AD8586" s="1963"/>
      <c r="AE8586" s="1963"/>
      <c r="AF8586" s="1963"/>
      <c r="AG8586" s="1963"/>
      <c r="AH8586" s="1963"/>
      <c r="AI8586" s="1963"/>
      <c r="AJ8586" s="1963"/>
      <c r="AK8586" s="1963"/>
      <c r="AL8586" s="1963"/>
      <c r="AM8586" s="1963"/>
      <c r="AN8586" s="1963"/>
      <c r="AO8586" s="1963"/>
      <c r="AP8586" s="1963"/>
      <c r="AQ8586" s="1963"/>
      <c r="AR8586" s="1963"/>
      <c r="AS8586" s="1963"/>
      <c r="AT8586" s="1963"/>
      <c r="AU8586" s="1963"/>
      <c r="AV8586" s="1963"/>
      <c r="AW8586" s="1963"/>
      <c r="AX8586" s="1963"/>
      <c r="AY8586" s="1963"/>
      <c r="AZ8586" s="1963"/>
      <c r="BA8586" s="1963"/>
      <c r="BB8586" s="1963"/>
      <c r="BC8586" s="1963"/>
      <c r="BD8586" s="1963"/>
      <c r="BE8586" s="1963"/>
      <c r="BF8586" s="1963"/>
      <c r="BG8586" s="1963"/>
      <c r="BH8586" s="1963"/>
      <c r="BI8586" s="1963"/>
      <c r="BJ8586" s="1963"/>
      <c r="BK8586" s="1963"/>
      <c r="BL8586" s="1963"/>
      <c r="BM8586" s="1963"/>
      <c r="BN8586" s="1963"/>
      <c r="BO8586" s="1963"/>
      <c r="BP8586" s="1963"/>
      <c r="BQ8586" s="1963"/>
      <c r="BR8586" s="1963"/>
      <c r="BS8586" s="1963"/>
      <c r="BT8586" s="1963"/>
      <c r="BU8586" s="1963"/>
      <c r="BV8586" s="1963"/>
      <c r="BW8586" s="1963"/>
      <c r="BX8586" s="1963"/>
      <c r="BY8586" s="1963"/>
      <c r="BZ8586" s="1963"/>
      <c r="CA8586" s="1963"/>
      <c r="CB8586" s="1963"/>
      <c r="CC8586" s="1963"/>
      <c r="CD8586" s="1963"/>
      <c r="CE8586" s="1963"/>
      <c r="CF8586" s="1963"/>
      <c r="CG8586" s="1963"/>
      <c r="CH8586" s="1963"/>
      <c r="CI8586" s="1963"/>
      <c r="CJ8586" s="1963"/>
      <c r="CK8586" s="1963"/>
      <c r="CL8586" s="1963"/>
      <c r="CM8586" s="1963"/>
      <c r="CN8586" s="1963"/>
      <c r="CO8586" s="1963"/>
      <c r="CP8586" s="1963"/>
      <c r="CQ8586" s="1963"/>
      <c r="CR8586" s="1963"/>
      <c r="CS8586" s="1963"/>
      <c r="CT8586" s="1963"/>
      <c r="CU8586" s="1963"/>
      <c r="CV8586" s="1963"/>
      <c r="CW8586" s="1963"/>
      <c r="CX8586" s="1963"/>
      <c r="CY8586" s="1963"/>
      <c r="CZ8586" s="1963"/>
      <c r="DA8586" s="1963"/>
      <c r="DB8586" s="1963"/>
      <c r="DC8586" s="1963"/>
      <c r="DD8586" s="1963"/>
      <c r="DE8586" s="1963"/>
      <c r="DF8586" s="1963"/>
      <c r="DG8586" s="1963"/>
      <c r="DH8586" s="1963"/>
      <c r="DI8586" s="1963"/>
      <c r="DJ8586" s="1963"/>
      <c r="DK8586" s="1963"/>
      <c r="DL8586" s="1963"/>
      <c r="DM8586" s="1963"/>
      <c r="DN8586" s="1963"/>
      <c r="DO8586" s="1963"/>
      <c r="DP8586" s="1963"/>
    </row>
    <row r="8587" spans="1:153" s="59" customFormat="1" ht="15" customHeight="1">
      <c r="A8587" s="2154" t="s">
        <v>2266</v>
      </c>
      <c r="B8587" s="2155">
        <v>6</v>
      </c>
      <c r="C8587" s="2156">
        <v>20</v>
      </c>
      <c r="D8587" s="2194" t="s">
        <v>1812</v>
      </c>
      <c r="E8587" s="2194" t="s">
        <v>2267</v>
      </c>
      <c r="F8587" s="2194" t="s">
        <v>6717</v>
      </c>
      <c r="G8587" s="1602">
        <v>1.56</v>
      </c>
      <c r="H8587" s="2200">
        <v>93</v>
      </c>
      <c r="I8587" s="2186">
        <f t="shared" si="73"/>
        <v>0.5032051282051283</v>
      </c>
      <c r="J8587" s="2187">
        <v>120</v>
      </c>
      <c r="K8587" s="1963"/>
      <c r="L8587" s="1963"/>
      <c r="M8587" s="1963"/>
      <c r="N8587" s="1963"/>
      <c r="O8587" s="1963"/>
      <c r="P8587" s="1963"/>
      <c r="Q8587" s="1963"/>
      <c r="R8587" s="1963"/>
      <c r="S8587" s="1963"/>
      <c r="T8587" s="1963"/>
      <c r="U8587" s="1963"/>
      <c r="V8587" s="1963"/>
      <c r="W8587" s="1963"/>
      <c r="X8587" s="1963"/>
      <c r="Y8587" s="1963"/>
      <c r="Z8587" s="1963"/>
      <c r="AA8587" s="1963"/>
      <c r="AB8587" s="1963"/>
      <c r="AC8587" s="1963"/>
      <c r="AD8587" s="1963"/>
      <c r="AE8587" s="1963"/>
      <c r="AF8587" s="1963"/>
      <c r="AG8587" s="1963"/>
      <c r="AH8587" s="1963"/>
      <c r="AI8587" s="1963"/>
      <c r="AJ8587" s="1963"/>
      <c r="AK8587" s="1963"/>
      <c r="AL8587" s="1963"/>
      <c r="AM8587" s="1963"/>
      <c r="AN8587" s="1963"/>
      <c r="AO8587" s="1963"/>
      <c r="AP8587" s="1963"/>
      <c r="AQ8587" s="1963"/>
      <c r="AR8587" s="1963"/>
      <c r="AS8587" s="1963"/>
      <c r="AT8587" s="1963"/>
      <c r="AU8587" s="1963"/>
      <c r="AV8587" s="1963"/>
      <c r="AW8587" s="1963"/>
      <c r="AX8587" s="1963"/>
      <c r="AY8587" s="1963"/>
      <c r="AZ8587" s="1963"/>
      <c r="BA8587" s="1963"/>
      <c r="BB8587" s="1963"/>
      <c r="BC8587" s="1963"/>
      <c r="BD8587" s="1963"/>
      <c r="BE8587" s="1963"/>
      <c r="BF8587" s="1963"/>
      <c r="BG8587" s="1963"/>
      <c r="BH8587" s="1963"/>
      <c r="BI8587" s="1963"/>
      <c r="BJ8587" s="1963"/>
      <c r="BK8587" s="1963"/>
      <c r="BL8587" s="1963"/>
      <c r="BM8587" s="1963"/>
      <c r="BN8587" s="1963"/>
      <c r="BO8587" s="1963"/>
      <c r="BP8587" s="1963"/>
      <c r="BQ8587" s="1963"/>
      <c r="BR8587" s="1963"/>
      <c r="BS8587" s="1963"/>
      <c r="BT8587" s="1963"/>
      <c r="BU8587" s="1963"/>
      <c r="BV8587" s="1963"/>
      <c r="BW8587" s="1963"/>
      <c r="BX8587" s="1963"/>
      <c r="BY8587" s="1963"/>
      <c r="BZ8587" s="1963"/>
      <c r="CA8587" s="1963"/>
      <c r="CB8587" s="1963"/>
      <c r="CC8587" s="1963"/>
      <c r="CD8587" s="1963"/>
      <c r="CE8587" s="1963"/>
      <c r="CF8587" s="1963"/>
      <c r="CG8587" s="1963"/>
      <c r="CH8587" s="1963"/>
      <c r="CI8587" s="1963"/>
      <c r="CJ8587" s="1963"/>
      <c r="CK8587" s="1963"/>
      <c r="CL8587" s="1963"/>
      <c r="CM8587" s="1963"/>
      <c r="CN8587" s="1963"/>
      <c r="CO8587" s="1963"/>
      <c r="CP8587" s="1963"/>
      <c r="CQ8587" s="1963"/>
      <c r="CR8587" s="1963"/>
      <c r="CS8587" s="1963"/>
      <c r="CT8587" s="1963"/>
      <c r="CU8587" s="1963"/>
      <c r="CV8587" s="1963"/>
      <c r="CW8587" s="1963"/>
      <c r="CX8587" s="1963"/>
      <c r="CY8587" s="1963"/>
      <c r="CZ8587" s="1963"/>
      <c r="DA8587" s="1963"/>
      <c r="DB8587" s="1963"/>
      <c r="DC8587" s="1963"/>
      <c r="DD8587" s="1963"/>
      <c r="DE8587" s="1963"/>
      <c r="DF8587" s="1963"/>
      <c r="DG8587" s="1963"/>
      <c r="DH8587" s="1963"/>
      <c r="DI8587" s="1963"/>
      <c r="DJ8587" s="1963"/>
      <c r="DK8587" s="1963"/>
      <c r="DL8587" s="1963"/>
      <c r="DM8587" s="1963"/>
      <c r="DN8587" s="1963"/>
      <c r="DO8587" s="1963"/>
      <c r="DP8587" s="1963"/>
    </row>
    <row r="8588" spans="1:153" s="59" customFormat="1" ht="15" customHeight="1">
      <c r="A8588" s="2154" t="s">
        <v>2266</v>
      </c>
      <c r="B8588" s="2155">
        <v>9</v>
      </c>
      <c r="C8588" s="2156">
        <v>20</v>
      </c>
      <c r="D8588" s="2194" t="s">
        <v>1812</v>
      </c>
      <c r="E8588" s="2194" t="s">
        <v>2267</v>
      </c>
      <c r="F8588" s="2194" t="s">
        <v>6717</v>
      </c>
      <c r="G8588" s="1602">
        <v>1.78</v>
      </c>
      <c r="H8588" s="2200">
        <v>106</v>
      </c>
      <c r="I8588" s="2186">
        <f t="shared" si="73"/>
        <v>0.50374531835205993</v>
      </c>
      <c r="J8588" s="2187">
        <v>120</v>
      </c>
      <c r="K8588" s="1963"/>
      <c r="L8588" s="1963"/>
      <c r="M8588" s="1963"/>
      <c r="N8588" s="1963"/>
      <c r="O8588" s="1963"/>
      <c r="P8588" s="1963"/>
      <c r="Q8588" s="1963"/>
      <c r="R8588" s="1963"/>
      <c r="S8588" s="1963"/>
      <c r="T8588" s="1963"/>
      <c r="U8588" s="1963"/>
      <c r="V8588" s="1963"/>
      <c r="W8588" s="1963"/>
      <c r="X8588" s="1963"/>
      <c r="Y8588" s="1963"/>
      <c r="Z8588" s="1963"/>
      <c r="AA8588" s="1963"/>
      <c r="AB8588" s="1963"/>
      <c r="AC8588" s="1963"/>
      <c r="AD8588" s="1963"/>
      <c r="AE8588" s="1963"/>
      <c r="AF8588" s="1963"/>
      <c r="AG8588" s="1963"/>
      <c r="AH8588" s="1963"/>
      <c r="AI8588" s="1963"/>
      <c r="AJ8588" s="1963"/>
      <c r="AK8588" s="1963"/>
      <c r="AL8588" s="1963"/>
      <c r="AM8588" s="1963"/>
      <c r="AN8588" s="1963"/>
      <c r="AO8588" s="1963"/>
      <c r="AP8588" s="1963"/>
      <c r="AQ8588" s="1963"/>
      <c r="AR8588" s="1963"/>
      <c r="AS8588" s="1963"/>
      <c r="AT8588" s="1963"/>
      <c r="AU8588" s="1963"/>
      <c r="AV8588" s="1963"/>
      <c r="AW8588" s="1963"/>
      <c r="AX8588" s="1963"/>
      <c r="AY8588" s="1963"/>
      <c r="AZ8588" s="1963"/>
      <c r="BA8588" s="1963"/>
      <c r="BB8588" s="1963"/>
      <c r="BC8588" s="1963"/>
      <c r="BD8588" s="1963"/>
      <c r="BE8588" s="1963"/>
      <c r="BF8588" s="1963"/>
      <c r="BG8588" s="1963"/>
      <c r="BH8588" s="1963"/>
      <c r="BI8588" s="1963"/>
      <c r="BJ8588" s="1963"/>
      <c r="BK8588" s="1963"/>
      <c r="BL8588" s="1963"/>
      <c r="BM8588" s="1963"/>
      <c r="BN8588" s="1963"/>
      <c r="BO8588" s="1963"/>
      <c r="BP8588" s="1963"/>
      <c r="BQ8588" s="1963"/>
      <c r="BR8588" s="1963"/>
      <c r="BS8588" s="1963"/>
      <c r="BT8588" s="1963"/>
      <c r="BU8588" s="1963"/>
      <c r="BV8588" s="1963"/>
      <c r="BW8588" s="1963"/>
      <c r="BX8588" s="1963"/>
      <c r="BY8588" s="1963"/>
      <c r="BZ8588" s="1963"/>
      <c r="CA8588" s="1963"/>
      <c r="CB8588" s="1963"/>
      <c r="CC8588" s="1963"/>
      <c r="CD8588" s="1963"/>
      <c r="CE8588" s="1963"/>
      <c r="CF8588" s="1963"/>
      <c r="CG8588" s="1963"/>
      <c r="CH8588" s="1963"/>
      <c r="CI8588" s="1963"/>
      <c r="CJ8588" s="1963"/>
      <c r="CK8588" s="1963"/>
      <c r="CL8588" s="1963"/>
      <c r="CM8588" s="1963"/>
      <c r="CN8588" s="1963"/>
      <c r="CO8588" s="1963"/>
      <c r="CP8588" s="1963"/>
      <c r="CQ8588" s="1963"/>
      <c r="CR8588" s="1963"/>
      <c r="CS8588" s="1963"/>
      <c r="CT8588" s="1963"/>
      <c r="CU8588" s="1963"/>
      <c r="CV8588" s="1963"/>
      <c r="CW8588" s="1963"/>
      <c r="CX8588" s="1963"/>
      <c r="CY8588" s="1963"/>
      <c r="CZ8588" s="1963"/>
      <c r="DA8588" s="1963"/>
      <c r="DB8588" s="1963"/>
      <c r="DC8588" s="1963"/>
      <c r="DD8588" s="1963"/>
      <c r="DE8588" s="1963"/>
      <c r="DF8588" s="1963"/>
      <c r="DG8588" s="1963"/>
      <c r="DH8588" s="1963"/>
      <c r="DI8588" s="1963"/>
      <c r="DJ8588" s="1963"/>
      <c r="DK8588" s="1963"/>
      <c r="DL8588" s="1963"/>
      <c r="DM8588" s="1963"/>
      <c r="DN8588" s="1963"/>
      <c r="DO8588" s="1963"/>
      <c r="DP8588" s="1963"/>
    </row>
    <row r="8589" spans="1:153" s="59" customFormat="1" ht="15" customHeight="1">
      <c r="A8589" s="2154" t="s">
        <v>2266</v>
      </c>
      <c r="B8589" s="2155">
        <v>12</v>
      </c>
      <c r="C8589" s="2156">
        <v>20</v>
      </c>
      <c r="D8589" s="2194" t="s">
        <v>1812</v>
      </c>
      <c r="E8589" s="2194" t="s">
        <v>2267</v>
      </c>
      <c r="F8589" s="2194" t="s">
        <v>6717</v>
      </c>
      <c r="G8589" s="1602">
        <v>2.0399999999999996</v>
      </c>
      <c r="H8589" s="2200">
        <v>121</v>
      </c>
      <c r="I8589" s="2186">
        <f t="shared" si="73"/>
        <v>0.50571895424836588</v>
      </c>
      <c r="J8589" s="2187">
        <v>120</v>
      </c>
      <c r="K8589" s="1963"/>
      <c r="L8589" s="1963"/>
      <c r="M8589" s="1963"/>
      <c r="N8589" s="1963"/>
      <c r="O8589" s="1963"/>
      <c r="P8589" s="1963"/>
      <c r="Q8589" s="1963"/>
      <c r="R8589" s="1963"/>
      <c r="S8589" s="1963"/>
      <c r="T8589" s="1963"/>
      <c r="U8589" s="1963"/>
      <c r="V8589" s="1963"/>
      <c r="W8589" s="1963"/>
      <c r="X8589" s="1963"/>
      <c r="Y8589" s="1963"/>
      <c r="Z8589" s="1963"/>
      <c r="AA8589" s="1963"/>
      <c r="AB8589" s="1963"/>
      <c r="AC8589" s="1963"/>
      <c r="AD8589" s="1963"/>
      <c r="AE8589" s="1963"/>
      <c r="AF8589" s="1963"/>
      <c r="AG8589" s="1963"/>
      <c r="AH8589" s="1963"/>
      <c r="AI8589" s="1963"/>
      <c r="AJ8589" s="1963"/>
      <c r="AK8589" s="1963"/>
      <c r="AL8589" s="1963"/>
      <c r="AM8589" s="1963"/>
      <c r="AN8589" s="1963"/>
      <c r="AO8589" s="1963"/>
      <c r="AP8589" s="1963"/>
      <c r="AQ8589" s="1963"/>
      <c r="AR8589" s="1963"/>
      <c r="AS8589" s="1963"/>
      <c r="AT8589" s="1963"/>
      <c r="AU8589" s="1963"/>
      <c r="AV8589" s="1963"/>
      <c r="AW8589" s="1963"/>
      <c r="AX8589" s="1963"/>
      <c r="AY8589" s="1963"/>
      <c r="AZ8589" s="1963"/>
      <c r="BA8589" s="1963"/>
      <c r="BB8589" s="1963"/>
      <c r="BC8589" s="1963"/>
      <c r="BD8589" s="1963"/>
      <c r="BE8589" s="1963"/>
      <c r="BF8589" s="1963"/>
      <c r="BG8589" s="1963"/>
      <c r="BH8589" s="1963"/>
      <c r="BI8589" s="1963"/>
      <c r="BJ8589" s="1963"/>
      <c r="BK8589" s="1963"/>
      <c r="BL8589" s="1963"/>
      <c r="BM8589" s="1963"/>
      <c r="BN8589" s="1963"/>
      <c r="BO8589" s="1963"/>
      <c r="BP8589" s="1963"/>
      <c r="BQ8589" s="1963"/>
      <c r="BR8589" s="1963"/>
      <c r="BS8589" s="1963"/>
      <c r="BT8589" s="1963"/>
      <c r="BU8589" s="1963"/>
      <c r="BV8589" s="1963"/>
      <c r="BW8589" s="1963"/>
      <c r="BX8589" s="1963"/>
      <c r="BY8589" s="1963"/>
      <c r="BZ8589" s="1963"/>
      <c r="CA8589" s="1963"/>
      <c r="CB8589" s="1963"/>
      <c r="CC8589" s="1963"/>
      <c r="CD8589" s="1963"/>
      <c r="CE8589" s="1963"/>
      <c r="CF8589" s="1963"/>
      <c r="CG8589" s="1963"/>
      <c r="CH8589" s="1963"/>
      <c r="CI8589" s="1963"/>
      <c r="CJ8589" s="1963"/>
      <c r="CK8589" s="1963"/>
      <c r="CL8589" s="1963"/>
      <c r="CM8589" s="1963"/>
      <c r="CN8589" s="1963"/>
      <c r="CO8589" s="1963"/>
      <c r="CP8589" s="1963"/>
      <c r="CQ8589" s="1963"/>
      <c r="CR8589" s="1963"/>
      <c r="CS8589" s="1963"/>
      <c r="CT8589" s="1963"/>
      <c r="CU8589" s="1963"/>
      <c r="CV8589" s="1963"/>
      <c r="CW8589" s="1963"/>
      <c r="CX8589" s="1963"/>
      <c r="CY8589" s="1963"/>
      <c r="CZ8589" s="1963"/>
      <c r="DA8589" s="1963"/>
      <c r="DB8589" s="1963"/>
      <c r="DC8589" s="1963"/>
      <c r="DD8589" s="1963"/>
      <c r="DE8589" s="1963"/>
      <c r="DF8589" s="1963"/>
      <c r="DG8589" s="1963"/>
      <c r="DH8589" s="1963"/>
      <c r="DI8589" s="1963"/>
      <c r="DJ8589" s="1963"/>
      <c r="DK8589" s="1963"/>
      <c r="DL8589" s="1963"/>
      <c r="DM8589" s="1963"/>
      <c r="DN8589" s="1963"/>
      <c r="DO8589" s="1963"/>
      <c r="DP8589" s="1963"/>
    </row>
    <row r="8590" spans="1:153" s="59" customFormat="1" ht="15" customHeight="1">
      <c r="A8590" s="2154" t="s">
        <v>2266</v>
      </c>
      <c r="B8590" s="2157">
        <v>7</v>
      </c>
      <c r="C8590" s="2156">
        <v>20</v>
      </c>
      <c r="D8590" s="2194" t="s">
        <v>1812</v>
      </c>
      <c r="E8590" s="2194" t="s">
        <v>2267</v>
      </c>
      <c r="F8590" s="2194" t="s">
        <v>6717</v>
      </c>
      <c r="G8590" s="1602">
        <v>2.1199999999999997</v>
      </c>
      <c r="H8590" s="2200">
        <v>126</v>
      </c>
      <c r="I8590" s="2186">
        <f t="shared" si="73"/>
        <v>0.50471698113207542</v>
      </c>
      <c r="J8590" s="2187">
        <v>120</v>
      </c>
      <c r="K8590" s="1963"/>
      <c r="L8590" s="1963"/>
      <c r="M8590" s="1963"/>
      <c r="N8590" s="1963"/>
      <c r="O8590" s="1963"/>
      <c r="P8590" s="1963"/>
      <c r="Q8590" s="1963"/>
      <c r="R8590" s="1963"/>
      <c r="S8590" s="1963"/>
      <c r="T8590" s="1963"/>
      <c r="U8590" s="1963"/>
      <c r="V8590" s="1963"/>
      <c r="W8590" s="1963"/>
      <c r="X8590" s="1963"/>
      <c r="Y8590" s="1963"/>
      <c r="Z8590" s="1963"/>
      <c r="AA8590" s="1963"/>
      <c r="AB8590" s="1963"/>
      <c r="AC8590" s="1963"/>
      <c r="AD8590" s="1963"/>
      <c r="AE8590" s="1963"/>
      <c r="AF8590" s="1963"/>
      <c r="AG8590" s="1963"/>
      <c r="AH8590" s="1963"/>
      <c r="AI8590" s="1963"/>
      <c r="AJ8590" s="1963"/>
      <c r="AK8590" s="1963"/>
      <c r="AL8590" s="1963"/>
      <c r="AM8590" s="1963"/>
      <c r="AN8590" s="1963"/>
      <c r="AO8590" s="1963"/>
      <c r="AP8590" s="1963"/>
      <c r="AQ8590" s="1963"/>
      <c r="AR8590" s="1963"/>
      <c r="AS8590" s="1963"/>
      <c r="AT8590" s="1963"/>
      <c r="AU8590" s="1963"/>
      <c r="AV8590" s="1963"/>
      <c r="AW8590" s="1963"/>
      <c r="AX8590" s="1963"/>
      <c r="AY8590" s="1963"/>
      <c r="AZ8590" s="1963"/>
      <c r="BA8590" s="1963"/>
      <c r="BB8590" s="1963"/>
      <c r="BC8590" s="1963"/>
      <c r="BD8590" s="1963"/>
      <c r="BE8590" s="1963"/>
      <c r="BF8590" s="1963"/>
      <c r="BG8590" s="1963"/>
      <c r="BH8590" s="1963"/>
      <c r="BI8590" s="1963"/>
      <c r="BJ8590" s="1963"/>
      <c r="BK8590" s="1963"/>
      <c r="BL8590" s="1963"/>
      <c r="BM8590" s="1963"/>
      <c r="BN8590" s="1963"/>
      <c r="BO8590" s="1963"/>
      <c r="BP8590" s="1963"/>
      <c r="BQ8590" s="1963"/>
      <c r="BR8590" s="1963"/>
      <c r="BS8590" s="1963"/>
      <c r="BT8590" s="1963"/>
      <c r="BU8590" s="1963"/>
      <c r="BV8590" s="1963"/>
      <c r="BW8590" s="1963"/>
      <c r="BX8590" s="1963"/>
      <c r="BY8590" s="1963"/>
      <c r="BZ8590" s="1963"/>
      <c r="CA8590" s="1963"/>
      <c r="CB8590" s="1963"/>
      <c r="CC8590" s="1963"/>
      <c r="CD8590" s="1963"/>
      <c r="CE8590" s="1963"/>
      <c r="CF8590" s="1963"/>
      <c r="CG8590" s="1963"/>
      <c r="CH8590" s="1963"/>
      <c r="CI8590" s="1963"/>
      <c r="CJ8590" s="1963"/>
      <c r="CK8590" s="1963"/>
      <c r="CL8590" s="1963"/>
      <c r="CM8590" s="1963"/>
      <c r="CN8590" s="1963"/>
      <c r="CO8590" s="1963"/>
      <c r="CP8590" s="1963"/>
      <c r="CQ8590" s="1963"/>
      <c r="CR8590" s="1963"/>
      <c r="CS8590" s="1963"/>
      <c r="CT8590" s="1963"/>
      <c r="CU8590" s="1963"/>
      <c r="CV8590" s="1963"/>
      <c r="CW8590" s="1963"/>
      <c r="CX8590" s="1963"/>
      <c r="CY8590" s="1963"/>
      <c r="CZ8590" s="1963"/>
      <c r="DA8590" s="1963"/>
      <c r="DB8590" s="1963"/>
      <c r="DC8590" s="1963"/>
      <c r="DD8590" s="1963"/>
      <c r="DE8590" s="1963"/>
      <c r="DF8590" s="1963"/>
      <c r="DG8590" s="1963"/>
      <c r="DH8590" s="1963"/>
      <c r="DI8590" s="1963"/>
      <c r="DJ8590" s="1963"/>
      <c r="DK8590" s="1963"/>
      <c r="DL8590" s="1963"/>
      <c r="DM8590" s="1963"/>
      <c r="DN8590" s="1963"/>
      <c r="DO8590" s="1963"/>
      <c r="DP8590" s="1963"/>
    </row>
    <row r="8591" spans="1:153" s="59" customFormat="1" ht="15" customHeight="1">
      <c r="A8591" s="2154" t="s">
        <v>2266</v>
      </c>
      <c r="B8591" s="2157">
        <v>9</v>
      </c>
      <c r="C8591" s="2156">
        <v>20</v>
      </c>
      <c r="D8591" s="2194" t="s">
        <v>1812</v>
      </c>
      <c r="E8591" s="2194" t="s">
        <v>2267</v>
      </c>
      <c r="F8591" s="2194" t="s">
        <v>6717</v>
      </c>
      <c r="G8591" s="1602">
        <v>2.4099999999999997</v>
      </c>
      <c r="H8591" s="2200">
        <v>143</v>
      </c>
      <c r="I8591" s="2186">
        <f t="shared" si="73"/>
        <v>0.50553250345781464</v>
      </c>
      <c r="J8591" s="2187">
        <v>120</v>
      </c>
      <c r="K8591" s="1963"/>
      <c r="L8591" s="1963"/>
      <c r="M8591" s="1963"/>
      <c r="N8591" s="1963"/>
      <c r="O8591" s="1963"/>
      <c r="P8591" s="1963"/>
      <c r="Q8591" s="1963"/>
      <c r="R8591" s="1963"/>
      <c r="S8591" s="1963"/>
      <c r="T8591" s="1963"/>
      <c r="U8591" s="1963"/>
      <c r="V8591" s="1963"/>
      <c r="W8591" s="1963"/>
      <c r="X8591" s="1963"/>
      <c r="Y8591" s="1963"/>
      <c r="Z8591" s="1963"/>
      <c r="AA8591" s="1963"/>
      <c r="AB8591" s="1963"/>
      <c r="AC8591" s="1963"/>
      <c r="AD8591" s="1963"/>
      <c r="AE8591" s="1963"/>
      <c r="AF8591" s="1963"/>
      <c r="AG8591" s="1963"/>
      <c r="AH8591" s="1963"/>
      <c r="AI8591" s="1963"/>
      <c r="AJ8591" s="1963"/>
      <c r="AK8591" s="1963"/>
      <c r="AL8591" s="1963"/>
      <c r="AM8591" s="1963"/>
      <c r="AN8591" s="1963"/>
      <c r="AO8591" s="1963"/>
      <c r="AP8591" s="1963"/>
      <c r="AQ8591" s="1963"/>
      <c r="AR8591" s="1963"/>
      <c r="AS8591" s="1963"/>
      <c r="AT8591" s="1963"/>
      <c r="AU8591" s="1963"/>
      <c r="AV8591" s="1963"/>
      <c r="AW8591" s="1963"/>
      <c r="AX8591" s="1963"/>
      <c r="AY8591" s="1963"/>
      <c r="AZ8591" s="1963"/>
      <c r="BA8591" s="1963"/>
      <c r="BB8591" s="1963"/>
      <c r="BC8591" s="1963"/>
      <c r="BD8591" s="1963"/>
      <c r="BE8591" s="1963"/>
      <c r="BF8591" s="1963"/>
      <c r="BG8591" s="1963"/>
      <c r="BH8591" s="1963"/>
      <c r="BI8591" s="1963"/>
      <c r="BJ8591" s="1963"/>
      <c r="BK8591" s="1963"/>
      <c r="BL8591" s="1963"/>
      <c r="BM8591" s="1963"/>
      <c r="BN8591" s="1963"/>
      <c r="BO8591" s="1963"/>
      <c r="BP8591" s="1963"/>
      <c r="BQ8591" s="1963"/>
      <c r="BR8591" s="1963"/>
      <c r="BS8591" s="1963"/>
      <c r="BT8591" s="1963"/>
      <c r="BU8591" s="1963"/>
      <c r="BV8591" s="1963"/>
      <c r="BW8591" s="1963"/>
      <c r="BX8591" s="1963"/>
      <c r="BY8591" s="1963"/>
      <c r="BZ8591" s="1963"/>
      <c r="CA8591" s="1963"/>
      <c r="CB8591" s="1963"/>
      <c r="CC8591" s="1963"/>
      <c r="CD8591" s="1963"/>
      <c r="CE8591" s="1963"/>
      <c r="CF8591" s="1963"/>
      <c r="CG8591" s="1963"/>
      <c r="CH8591" s="1963"/>
      <c r="CI8591" s="1963"/>
      <c r="CJ8591" s="1963"/>
      <c r="CK8591" s="1963"/>
      <c r="CL8591" s="1963"/>
      <c r="CM8591" s="1963"/>
      <c r="CN8591" s="1963"/>
      <c r="CO8591" s="1963"/>
      <c r="CP8591" s="1963"/>
      <c r="CQ8591" s="1963"/>
      <c r="CR8591" s="1963"/>
      <c r="CS8591" s="1963"/>
      <c r="CT8591" s="1963"/>
      <c r="CU8591" s="1963"/>
      <c r="CV8591" s="1963"/>
      <c r="CW8591" s="1963"/>
      <c r="CX8591" s="1963"/>
      <c r="CY8591" s="1963"/>
      <c r="CZ8591" s="1963"/>
      <c r="DA8591" s="1963"/>
      <c r="DB8591" s="1963"/>
      <c r="DC8591" s="1963"/>
      <c r="DD8591" s="1963"/>
      <c r="DE8591" s="1963"/>
      <c r="DF8591" s="1963"/>
      <c r="DG8591" s="1963"/>
      <c r="DH8591" s="1963"/>
      <c r="DI8591" s="1963"/>
      <c r="DJ8591" s="1963"/>
      <c r="DK8591" s="1963"/>
      <c r="DL8591" s="1963"/>
      <c r="DM8591" s="1963"/>
      <c r="DN8591" s="1963"/>
      <c r="DO8591" s="1963"/>
      <c r="DP8591" s="1963"/>
    </row>
    <row r="8592" spans="1:153" s="59" customFormat="1" ht="15" customHeight="1">
      <c r="A8592" s="2154" t="s">
        <v>2266</v>
      </c>
      <c r="B8592" s="2157">
        <v>12</v>
      </c>
      <c r="C8592" s="2156">
        <v>20</v>
      </c>
      <c r="D8592" s="2194" t="s">
        <v>1812</v>
      </c>
      <c r="E8592" s="2194" t="s">
        <v>2267</v>
      </c>
      <c r="F8592" s="2194" t="s">
        <v>6717</v>
      </c>
      <c r="G8592" s="1602">
        <v>2.84</v>
      </c>
      <c r="H8592" s="2200">
        <v>169</v>
      </c>
      <c r="I8592" s="2186">
        <f t="shared" si="73"/>
        <v>0.50410798122065725</v>
      </c>
      <c r="J8592" s="2187">
        <v>120</v>
      </c>
      <c r="K8592" s="1963"/>
      <c r="L8592" s="1963"/>
      <c r="M8592" s="1963"/>
      <c r="N8592" s="1963"/>
      <c r="O8592" s="1963"/>
      <c r="P8592" s="1963"/>
      <c r="Q8592" s="1963"/>
      <c r="R8592" s="1963"/>
      <c r="S8592" s="1963"/>
      <c r="T8592" s="1963"/>
      <c r="U8592" s="1963"/>
      <c r="V8592" s="1963"/>
      <c r="W8592" s="1963"/>
      <c r="X8592" s="1963"/>
      <c r="Y8592" s="1963"/>
      <c r="Z8592" s="1963"/>
      <c r="AA8592" s="1963"/>
      <c r="AB8592" s="1963"/>
      <c r="AC8592" s="1963"/>
      <c r="AD8592" s="1963"/>
      <c r="AE8592" s="1963"/>
      <c r="AF8592" s="1963"/>
      <c r="AG8592" s="1963"/>
      <c r="AH8592" s="1963"/>
      <c r="AI8592" s="1963"/>
      <c r="AJ8592" s="1963"/>
      <c r="AK8592" s="1963"/>
      <c r="AL8592" s="1963"/>
      <c r="AM8592" s="1963"/>
      <c r="AN8592" s="1963"/>
      <c r="AO8592" s="1963"/>
      <c r="AP8592" s="1963"/>
      <c r="AQ8592" s="1963"/>
      <c r="AR8592" s="1963"/>
      <c r="AS8592" s="1963"/>
      <c r="AT8592" s="1963"/>
      <c r="AU8592" s="1963"/>
      <c r="AV8592" s="1963"/>
      <c r="AW8592" s="1963"/>
      <c r="AX8592" s="1963"/>
      <c r="AY8592" s="1963"/>
      <c r="AZ8592" s="1963"/>
      <c r="BA8592" s="1963"/>
      <c r="BB8592" s="1963"/>
      <c r="BC8592" s="1963"/>
      <c r="BD8592" s="1963"/>
      <c r="BE8592" s="1963"/>
      <c r="BF8592" s="1963"/>
      <c r="BG8592" s="1963"/>
      <c r="BH8592" s="1963"/>
      <c r="BI8592" s="1963"/>
      <c r="BJ8592" s="1963"/>
      <c r="BK8592" s="1963"/>
      <c r="BL8592" s="1963"/>
      <c r="BM8592" s="1963"/>
      <c r="BN8592" s="1963"/>
      <c r="BO8592" s="1963"/>
      <c r="BP8592" s="1963"/>
      <c r="BQ8592" s="1963"/>
      <c r="BR8592" s="1963"/>
      <c r="BS8592" s="1963"/>
      <c r="BT8592" s="1963"/>
      <c r="BU8592" s="1963"/>
      <c r="BV8592" s="1963"/>
      <c r="BW8592" s="1963"/>
      <c r="BX8592" s="1963"/>
      <c r="BY8592" s="1963"/>
      <c r="BZ8592" s="1963"/>
      <c r="CA8592" s="1963"/>
      <c r="CB8592" s="1963"/>
      <c r="CC8592" s="1963"/>
      <c r="CD8592" s="1963"/>
      <c r="CE8592" s="1963"/>
      <c r="CF8592" s="1963"/>
      <c r="CG8592" s="1963"/>
      <c r="CH8592" s="1963"/>
      <c r="CI8592" s="1963"/>
      <c r="CJ8592" s="1963"/>
      <c r="CK8592" s="1963"/>
      <c r="CL8592" s="1963"/>
      <c r="CM8592" s="1963"/>
      <c r="CN8592" s="1963"/>
      <c r="CO8592" s="1963"/>
      <c r="CP8592" s="1963"/>
      <c r="CQ8592" s="1963"/>
      <c r="CR8592" s="1963"/>
      <c r="CS8592" s="1963"/>
      <c r="CT8592" s="1963"/>
      <c r="CU8592" s="1963"/>
      <c r="CV8592" s="1963"/>
      <c r="CW8592" s="1963"/>
      <c r="CX8592" s="1963"/>
      <c r="CY8592" s="1963"/>
      <c r="CZ8592" s="1963"/>
      <c r="DA8592" s="1963"/>
      <c r="DB8592" s="1963"/>
      <c r="DC8592" s="1963"/>
      <c r="DD8592" s="1963"/>
      <c r="DE8592" s="1963"/>
      <c r="DF8592" s="1963"/>
      <c r="DG8592" s="1963"/>
      <c r="DH8592" s="1963"/>
      <c r="DI8592" s="1963"/>
      <c r="DJ8592" s="1963"/>
      <c r="DK8592" s="1963"/>
      <c r="DL8592" s="1963"/>
      <c r="DM8592" s="1963"/>
      <c r="DN8592" s="1963"/>
      <c r="DO8592" s="1963"/>
      <c r="DP8592" s="1963"/>
    </row>
    <row r="8593" spans="1:10" s="1165" customFormat="1" ht="15" customHeight="1">
      <c r="A8593" s="2154" t="s">
        <v>6690</v>
      </c>
      <c r="B8593" s="2193">
        <v>2.5</v>
      </c>
      <c r="C8593" s="2156">
        <v>50</v>
      </c>
      <c r="D8593" s="2194" t="s">
        <v>1812</v>
      </c>
      <c r="E8593" s="2194" t="s">
        <v>3091</v>
      </c>
      <c r="F8593" s="2194" t="s">
        <v>3092</v>
      </c>
      <c r="G8593" s="2197">
        <v>0.14000000000000001</v>
      </c>
      <c r="H8593" s="2200">
        <v>7.9</v>
      </c>
      <c r="I8593" s="2186">
        <f t="shared" si="73"/>
        <v>0.52976190476190477</v>
      </c>
      <c r="J8593" s="2187">
        <v>120</v>
      </c>
    </row>
    <row r="8594" spans="1:10" s="1165" customFormat="1" ht="15" customHeight="1">
      <c r="A8594" s="2154" t="s">
        <v>6691</v>
      </c>
      <c r="B8594" s="2193">
        <v>3</v>
      </c>
      <c r="C8594" s="2156">
        <v>50</v>
      </c>
      <c r="D8594" s="2194" t="s">
        <v>1812</v>
      </c>
      <c r="E8594" s="2194" t="s">
        <v>3091</v>
      </c>
      <c r="F8594" s="2194" t="s">
        <v>3092</v>
      </c>
      <c r="G8594" s="2197">
        <v>0.17</v>
      </c>
      <c r="H8594" s="2201">
        <v>9.4</v>
      </c>
      <c r="I8594" s="2186">
        <f t="shared" si="73"/>
        <v>0.53921568627450989</v>
      </c>
      <c r="J8594" s="2187">
        <v>120</v>
      </c>
    </row>
    <row r="8595" spans="1:10" s="1165" customFormat="1" ht="15" customHeight="1">
      <c r="A8595" s="2154" t="s">
        <v>6692</v>
      </c>
      <c r="B8595" s="2193">
        <v>4</v>
      </c>
      <c r="C8595" s="2156">
        <v>50</v>
      </c>
      <c r="D8595" s="2194" t="s">
        <v>1812</v>
      </c>
      <c r="E8595" s="2194" t="s">
        <v>3091</v>
      </c>
      <c r="F8595" s="2194" t="s">
        <v>3092</v>
      </c>
      <c r="G8595" s="2197">
        <v>0.23</v>
      </c>
      <c r="H8595" s="2201">
        <v>13.2</v>
      </c>
      <c r="I8595" s="2186">
        <f t="shared" si="73"/>
        <v>0.52173913043478271</v>
      </c>
      <c r="J8595" s="2187">
        <v>120</v>
      </c>
    </row>
    <row r="8596" spans="1:10" s="1165" customFormat="1" ht="15" customHeight="1">
      <c r="A8596" s="2154" t="s">
        <v>6693</v>
      </c>
      <c r="B8596" s="2193">
        <v>8</v>
      </c>
      <c r="C8596" s="2156">
        <v>50</v>
      </c>
      <c r="D8596" s="2194" t="s">
        <v>1812</v>
      </c>
      <c r="E8596" s="2194" t="s">
        <v>3091</v>
      </c>
      <c r="F8596" s="2194" t="s">
        <v>3092</v>
      </c>
      <c r="G8596" s="2197">
        <v>0.28000000000000003</v>
      </c>
      <c r="H8596" s="2201">
        <v>16.2</v>
      </c>
      <c r="I8596" s="2186">
        <f t="shared" si="73"/>
        <v>0.5178571428571429</v>
      </c>
      <c r="J8596" s="2187">
        <v>120</v>
      </c>
    </row>
    <row r="8597" spans="1:10" s="1165" customFormat="1" ht="15" customHeight="1">
      <c r="A8597" s="2154" t="s">
        <v>6694</v>
      </c>
      <c r="B8597" s="2193">
        <v>8</v>
      </c>
      <c r="C8597" s="2156">
        <v>50</v>
      </c>
      <c r="D8597" s="2194" t="s">
        <v>1812</v>
      </c>
      <c r="E8597" s="2194" t="s">
        <v>3091</v>
      </c>
      <c r="F8597" s="2194" t="s">
        <v>3092</v>
      </c>
      <c r="G8597" s="2197">
        <v>0.33</v>
      </c>
      <c r="H8597" s="2201">
        <v>18.8</v>
      </c>
      <c r="I8597" s="2186">
        <f t="shared" si="73"/>
        <v>0.5252525252525253</v>
      </c>
      <c r="J8597" s="2187">
        <v>120</v>
      </c>
    </row>
    <row r="8598" spans="1:10" s="1165" customFormat="1" ht="15" customHeight="1">
      <c r="A8598" s="2154" t="s">
        <v>484</v>
      </c>
      <c r="B8598" s="2193">
        <v>7.5</v>
      </c>
      <c r="C8598" s="2156">
        <v>50</v>
      </c>
      <c r="D8598" s="2194" t="s">
        <v>1812</v>
      </c>
      <c r="E8598" s="2194" t="s">
        <v>3091</v>
      </c>
      <c r="F8598" s="2194" t="s">
        <v>3092</v>
      </c>
      <c r="G8598" s="2197">
        <v>0.26</v>
      </c>
      <c r="H8598" s="2201">
        <v>15.1</v>
      </c>
      <c r="I8598" s="2186">
        <f t="shared" si="73"/>
        <v>0.51602564102564097</v>
      </c>
      <c r="J8598" s="2187">
        <v>120</v>
      </c>
    </row>
    <row r="8599" spans="1:10" s="1165" customFormat="1" ht="15" customHeight="1">
      <c r="A8599" s="2154" t="s">
        <v>6695</v>
      </c>
      <c r="B8599" s="2193">
        <v>9</v>
      </c>
      <c r="C8599" s="2156">
        <v>50</v>
      </c>
      <c r="D8599" s="2194" t="s">
        <v>1812</v>
      </c>
      <c r="E8599" s="2194" t="s">
        <v>3091</v>
      </c>
      <c r="F8599" s="2194" t="s">
        <v>3092</v>
      </c>
      <c r="G8599" s="2197">
        <v>0.29000000000000004</v>
      </c>
      <c r="H8599" s="2201">
        <v>16.600000000000001</v>
      </c>
      <c r="I8599" s="2186">
        <f t="shared" si="73"/>
        <v>0.52298850574712641</v>
      </c>
      <c r="J8599" s="2187">
        <v>120</v>
      </c>
    </row>
    <row r="8600" spans="1:10" s="1165" customFormat="1" ht="15" customHeight="1">
      <c r="A8600" s="2154" t="s">
        <v>6696</v>
      </c>
      <c r="B8600" s="2193">
        <v>5.5</v>
      </c>
      <c r="C8600" s="2156">
        <v>50</v>
      </c>
      <c r="D8600" s="2194" t="s">
        <v>1812</v>
      </c>
      <c r="E8600" s="2194" t="s">
        <v>3091</v>
      </c>
      <c r="F8600" s="2194" t="s">
        <v>3092</v>
      </c>
      <c r="G8600" s="2197">
        <v>0.24000000000000002</v>
      </c>
      <c r="H8600" s="2201">
        <v>14.8</v>
      </c>
      <c r="I8600" s="2186">
        <f t="shared" si="73"/>
        <v>0.4861111111111111</v>
      </c>
      <c r="J8600" s="2187">
        <v>120</v>
      </c>
    </row>
    <row r="8601" spans="1:10" s="1165" customFormat="1" ht="15" customHeight="1">
      <c r="A8601" s="2154" t="s">
        <v>6697</v>
      </c>
      <c r="B8601" s="2193">
        <v>6</v>
      </c>
      <c r="C8601" s="2156">
        <v>50</v>
      </c>
      <c r="D8601" s="2194" t="s">
        <v>1812</v>
      </c>
      <c r="E8601" s="2194" t="s">
        <v>3091</v>
      </c>
      <c r="F8601" s="2194" t="s">
        <v>3092</v>
      </c>
      <c r="G8601" s="2197">
        <v>0.24000000000000002</v>
      </c>
      <c r="H8601" s="2201">
        <v>14.5</v>
      </c>
      <c r="I8601" s="2186">
        <f t="shared" si="73"/>
        <v>0.49652777777777779</v>
      </c>
      <c r="J8601" s="2187">
        <v>120</v>
      </c>
    </row>
    <row r="8602" spans="1:10" s="1165" customFormat="1" ht="15" customHeight="1">
      <c r="A8602" s="2154" t="s">
        <v>6698</v>
      </c>
      <c r="B8602" s="2193">
        <v>4</v>
      </c>
      <c r="C8602" s="2156">
        <v>50</v>
      </c>
      <c r="D8602" s="2194" t="s">
        <v>1812</v>
      </c>
      <c r="E8602" s="2194" t="s">
        <v>3091</v>
      </c>
      <c r="F8602" s="2194" t="s">
        <v>3092</v>
      </c>
      <c r="G8602" s="2197">
        <v>0.26</v>
      </c>
      <c r="H8602" s="2201">
        <v>14.8</v>
      </c>
      <c r="I8602" s="2186">
        <f t="shared" si="73"/>
        <v>0.52564102564102566</v>
      </c>
      <c r="J8602" s="2187">
        <v>120</v>
      </c>
    </row>
    <row r="8603" spans="1:10" s="1165" customFormat="1" ht="15" customHeight="1">
      <c r="A8603" s="2154" t="s">
        <v>6699</v>
      </c>
      <c r="B8603" s="2193">
        <v>1.5</v>
      </c>
      <c r="C8603" s="2156">
        <v>50</v>
      </c>
      <c r="D8603" s="2194" t="s">
        <v>1812</v>
      </c>
      <c r="E8603" s="2194" t="s">
        <v>3091</v>
      </c>
      <c r="F8603" s="2194" t="s">
        <v>3092</v>
      </c>
      <c r="G8603" s="2197">
        <v>0.13</v>
      </c>
      <c r="H8603" s="2199">
        <v>6.8</v>
      </c>
      <c r="I8603" s="2186">
        <f t="shared" si="73"/>
        <v>0.5641025641025641</v>
      </c>
      <c r="J8603" s="2187">
        <v>120</v>
      </c>
    </row>
    <row r="8604" spans="1:10" s="1165" customFormat="1" ht="15" customHeight="1">
      <c r="A8604" s="2154" t="s">
        <v>6700</v>
      </c>
      <c r="B8604" s="2193">
        <v>2.5</v>
      </c>
      <c r="C8604" s="2156">
        <v>50</v>
      </c>
      <c r="D8604" s="2194" t="s">
        <v>1812</v>
      </c>
      <c r="E8604" s="2194" t="s">
        <v>3091</v>
      </c>
      <c r="F8604" s="2194" t="s">
        <v>3092</v>
      </c>
      <c r="G8604" s="2197">
        <v>0.12</v>
      </c>
      <c r="H8604" s="2199">
        <v>6.6</v>
      </c>
      <c r="I8604" s="2186">
        <f t="shared" si="73"/>
        <v>0.54166666666666663</v>
      </c>
      <c r="J8604" s="2187">
        <v>120</v>
      </c>
    </row>
    <row r="8605" spans="1:10" s="1165" customFormat="1" ht="15" customHeight="1">
      <c r="A8605" s="2154" t="s">
        <v>6701</v>
      </c>
      <c r="B8605" s="2193">
        <v>4</v>
      </c>
      <c r="C8605" s="2156">
        <v>50</v>
      </c>
      <c r="D8605" s="2194" t="s">
        <v>1812</v>
      </c>
      <c r="E8605" s="2194" t="s">
        <v>3091</v>
      </c>
      <c r="F8605" s="2194" t="s">
        <v>3092</v>
      </c>
      <c r="G8605" s="2197">
        <v>0.16</v>
      </c>
      <c r="H8605" s="2199">
        <v>9.1999999999999993</v>
      </c>
      <c r="I8605" s="2186">
        <f t="shared" si="73"/>
        <v>0.52083333333333337</v>
      </c>
      <c r="J8605" s="2187">
        <v>120</v>
      </c>
    </row>
    <row r="8606" spans="1:10" s="1165" customFormat="1" ht="15" customHeight="1">
      <c r="A8606" s="2154" t="s">
        <v>6702</v>
      </c>
      <c r="B8606" s="2193">
        <v>5.5</v>
      </c>
      <c r="C8606" s="2156">
        <v>50</v>
      </c>
      <c r="D8606" s="2194" t="s">
        <v>1812</v>
      </c>
      <c r="E8606" s="2194" t="s">
        <v>3091</v>
      </c>
      <c r="F8606" s="2194" t="s">
        <v>3092</v>
      </c>
      <c r="G8606" s="2197">
        <v>0.23</v>
      </c>
      <c r="H8606" s="2199">
        <v>13.1</v>
      </c>
      <c r="I8606" s="2186">
        <f t="shared" si="73"/>
        <v>0.52536231884057971</v>
      </c>
      <c r="J8606" s="2187">
        <v>120</v>
      </c>
    </row>
    <row r="8607" spans="1:10" s="1165" customFormat="1" ht="15" customHeight="1">
      <c r="A8607" s="2154" t="s">
        <v>3090</v>
      </c>
      <c r="B8607" s="2193">
        <v>7</v>
      </c>
      <c r="C8607" s="2156">
        <v>50</v>
      </c>
      <c r="D8607" s="2194" t="s">
        <v>1812</v>
      </c>
      <c r="E8607" s="2194" t="s">
        <v>3091</v>
      </c>
      <c r="F8607" s="2194" t="s">
        <v>3092</v>
      </c>
      <c r="G8607" s="2197">
        <v>0.35000000000000003</v>
      </c>
      <c r="H8607" s="2199">
        <v>20.399999999999999</v>
      </c>
      <c r="I8607" s="2186">
        <f t="shared" si="73"/>
        <v>0.51428571428571446</v>
      </c>
      <c r="J8607" s="2187">
        <v>120</v>
      </c>
    </row>
    <row r="8608" spans="1:10" s="1165" customFormat="1" ht="15" customHeight="1">
      <c r="A8608" s="2154" t="s">
        <v>6703</v>
      </c>
      <c r="B8608" s="2193">
        <v>3</v>
      </c>
      <c r="C8608" s="2156">
        <v>50</v>
      </c>
      <c r="D8608" s="2194" t="s">
        <v>1812</v>
      </c>
      <c r="E8608" s="2194" t="s">
        <v>3091</v>
      </c>
      <c r="F8608" s="2194" t="s">
        <v>3092</v>
      </c>
      <c r="G8608" s="2197">
        <v>0.19</v>
      </c>
      <c r="H8608" s="2199">
        <v>10.8</v>
      </c>
      <c r="I8608" s="2186">
        <f t="shared" si="73"/>
        <v>0.52631578947368418</v>
      </c>
      <c r="J8608" s="2187">
        <v>120</v>
      </c>
    </row>
    <row r="8609" spans="1:10" s="1165" customFormat="1" ht="15" customHeight="1">
      <c r="A8609" s="2154" t="s">
        <v>6704</v>
      </c>
      <c r="B8609" s="2193">
        <v>5</v>
      </c>
      <c r="C8609" s="2156">
        <v>50</v>
      </c>
      <c r="D8609" s="2194" t="s">
        <v>1812</v>
      </c>
      <c r="E8609" s="2194" t="s">
        <v>3091</v>
      </c>
      <c r="F8609" s="2194" t="s">
        <v>3092</v>
      </c>
      <c r="G8609" s="2197">
        <v>0.22</v>
      </c>
      <c r="H8609" s="2199">
        <v>12.4</v>
      </c>
      <c r="I8609" s="2186">
        <f t="shared" si="73"/>
        <v>0.53030303030303028</v>
      </c>
      <c r="J8609" s="2187">
        <v>120</v>
      </c>
    </row>
    <row r="8610" spans="1:10" s="1165" customFormat="1" ht="15" customHeight="1">
      <c r="A8610" s="2154" t="s">
        <v>6705</v>
      </c>
      <c r="B8610" s="2193">
        <v>4</v>
      </c>
      <c r="C8610" s="2156">
        <v>50</v>
      </c>
      <c r="D8610" s="2194" t="s">
        <v>1812</v>
      </c>
      <c r="E8610" s="2194" t="s">
        <v>3091</v>
      </c>
      <c r="F8610" s="2194" t="s">
        <v>3092</v>
      </c>
      <c r="G8610" s="2197">
        <v>0.25</v>
      </c>
      <c r="H8610" s="2199">
        <v>13.9</v>
      </c>
      <c r="I8610" s="2186">
        <f t="shared" si="73"/>
        <v>0.53666666666666674</v>
      </c>
      <c r="J8610" s="2187">
        <v>120</v>
      </c>
    </row>
    <row r="8611" spans="1:10" s="1165" customFormat="1" ht="15" customHeight="1">
      <c r="A8611" s="2154" t="s">
        <v>6706</v>
      </c>
      <c r="B8611" s="2193">
        <v>7</v>
      </c>
      <c r="C8611" s="2156">
        <v>50</v>
      </c>
      <c r="D8611" s="2194" t="s">
        <v>1812</v>
      </c>
      <c r="E8611" s="2194" t="s">
        <v>3091</v>
      </c>
      <c r="F8611" s="2194" t="s">
        <v>3092</v>
      </c>
      <c r="G8611" s="2197">
        <v>0.28000000000000003</v>
      </c>
      <c r="H8611" s="2199">
        <v>16.3</v>
      </c>
      <c r="I8611" s="2186">
        <f t="shared" si="73"/>
        <v>0.51488095238095233</v>
      </c>
      <c r="J8611" s="2187">
        <v>120</v>
      </c>
    </row>
    <row r="8612" spans="1:10" s="1165" customFormat="1" ht="15" customHeight="1">
      <c r="A8612" s="2154" t="s">
        <v>6707</v>
      </c>
      <c r="B8612" s="2193">
        <v>10</v>
      </c>
      <c r="C8612" s="2156">
        <v>50</v>
      </c>
      <c r="D8612" s="2194" t="s">
        <v>1812</v>
      </c>
      <c r="E8612" s="2194" t="s">
        <v>3091</v>
      </c>
      <c r="F8612" s="2194" t="s">
        <v>3092</v>
      </c>
      <c r="G8612" s="2197">
        <v>0.32</v>
      </c>
      <c r="H8612" s="2199">
        <v>18.8</v>
      </c>
      <c r="I8612" s="2186">
        <f t="shared" si="73"/>
        <v>0.51041666666666663</v>
      </c>
      <c r="J8612" s="2187">
        <v>120</v>
      </c>
    </row>
    <row r="8613" spans="1:10" s="1165" customFormat="1" ht="15" customHeight="1">
      <c r="A8613" s="2154" t="s">
        <v>6708</v>
      </c>
      <c r="B8613" s="2193">
        <v>3</v>
      </c>
      <c r="C8613" s="2156">
        <v>50</v>
      </c>
      <c r="D8613" s="2194" t="s">
        <v>1812</v>
      </c>
      <c r="E8613" s="2194" t="s">
        <v>3091</v>
      </c>
      <c r="F8613" s="2194" t="s">
        <v>3092</v>
      </c>
      <c r="G8613" s="2197">
        <v>0.18000000000000002</v>
      </c>
      <c r="H8613" s="2199">
        <v>9.8000000000000007</v>
      </c>
      <c r="I8613" s="2186">
        <f t="shared" si="73"/>
        <v>0.54629629629629628</v>
      </c>
      <c r="J8613" s="2187">
        <v>120</v>
      </c>
    </row>
    <row r="8614" spans="1:10" s="1165" customFormat="1" ht="15" customHeight="1">
      <c r="A8614" s="2154" t="s">
        <v>6709</v>
      </c>
      <c r="B8614" s="2193">
        <v>4</v>
      </c>
      <c r="C8614" s="2156">
        <v>50</v>
      </c>
      <c r="D8614" s="2194" t="s">
        <v>1812</v>
      </c>
      <c r="E8614" s="2194" t="s">
        <v>3091</v>
      </c>
      <c r="F8614" s="2194" t="s">
        <v>3092</v>
      </c>
      <c r="G8614" s="2197">
        <v>0.22</v>
      </c>
      <c r="H8614" s="2199">
        <v>12.4</v>
      </c>
      <c r="I8614" s="2186">
        <f t="shared" si="73"/>
        <v>0.53030303030303028</v>
      </c>
      <c r="J8614" s="2187">
        <v>120</v>
      </c>
    </row>
    <row r="8615" spans="1:10" s="1165" customFormat="1" ht="15" customHeight="1">
      <c r="A8615" s="2154" t="s">
        <v>3140</v>
      </c>
      <c r="B8615" s="2193">
        <v>7</v>
      </c>
      <c r="C8615" s="2156">
        <v>50</v>
      </c>
      <c r="D8615" s="2194" t="s">
        <v>1812</v>
      </c>
      <c r="E8615" s="2194" t="s">
        <v>3091</v>
      </c>
      <c r="F8615" s="2194" t="s">
        <v>3092</v>
      </c>
      <c r="G8615" s="2197">
        <v>0.3</v>
      </c>
      <c r="H8615" s="2199">
        <v>18</v>
      </c>
      <c r="I8615" s="2186">
        <f t="shared" si="73"/>
        <v>0.5</v>
      </c>
      <c r="J8615" s="2187">
        <v>120</v>
      </c>
    </row>
    <row r="8616" spans="1:10" s="1165" customFormat="1" ht="15" customHeight="1">
      <c r="A8616" s="2154" t="s">
        <v>6710</v>
      </c>
      <c r="B8616" s="2193">
        <v>9</v>
      </c>
      <c r="C8616" s="2156">
        <v>50</v>
      </c>
      <c r="D8616" s="2194" t="s">
        <v>1812</v>
      </c>
      <c r="E8616" s="2194" t="s">
        <v>3091</v>
      </c>
      <c r="F8616" s="2194" t="s">
        <v>3092</v>
      </c>
      <c r="G8616" s="2197">
        <v>0.34</v>
      </c>
      <c r="H8616" s="2199">
        <v>19</v>
      </c>
      <c r="I8616" s="2186">
        <f t="shared" si="73"/>
        <v>0.53431372549019618</v>
      </c>
      <c r="J8616" s="2187">
        <v>120</v>
      </c>
    </row>
    <row r="8617" spans="1:10" s="59" customFormat="1" ht="19.5">
      <c r="A8617" s="407">
        <v>3748</v>
      </c>
      <c r="B8617" s="408">
        <v>7</v>
      </c>
      <c r="C8617" s="2195">
        <v>30</v>
      </c>
      <c r="D8617" s="708" t="s">
        <v>6711</v>
      </c>
      <c r="E8617" s="708" t="s">
        <v>6712</v>
      </c>
      <c r="F8617" s="2196" t="s">
        <v>6713</v>
      </c>
      <c r="G8617" s="1602">
        <v>0.82000000000000006</v>
      </c>
      <c r="H8617" s="2202">
        <v>52</v>
      </c>
      <c r="I8617" s="2198">
        <f t="shared" si="73"/>
        <v>0.47154471544715448</v>
      </c>
      <c r="J8617" s="2187">
        <v>120</v>
      </c>
    </row>
    <row r="8619" spans="1:10" s="1019" customFormat="1" ht="15.75">
      <c r="A8619" s="1966" t="s">
        <v>106</v>
      </c>
      <c r="B8619" s="2204" t="s">
        <v>53</v>
      </c>
      <c r="C8619" s="2204" t="s">
        <v>1053</v>
      </c>
      <c r="D8619" s="2191" t="s">
        <v>2264</v>
      </c>
      <c r="E8619" s="2191" t="s">
        <v>1181</v>
      </c>
      <c r="F8619" s="2205" t="s">
        <v>2467</v>
      </c>
      <c r="G8619" s="2183" t="s">
        <v>6673</v>
      </c>
      <c r="H8619" s="2184" t="s">
        <v>6669</v>
      </c>
      <c r="I8619" s="2184" t="s">
        <v>6670</v>
      </c>
    </row>
    <row r="8620" spans="1:10" s="1019" customFormat="1" ht="15">
      <c r="A8620" s="2182" t="s">
        <v>6723</v>
      </c>
      <c r="B8620" s="2182" t="s">
        <v>6389</v>
      </c>
      <c r="C8620" s="2180">
        <v>10</v>
      </c>
      <c r="D8620" s="708" t="s">
        <v>6722</v>
      </c>
      <c r="E8620" s="2180" t="s">
        <v>6728</v>
      </c>
      <c r="F8620" s="2181">
        <v>0.44</v>
      </c>
      <c r="G8620" s="2185">
        <v>26</v>
      </c>
      <c r="H8620" s="2186">
        <f>(((F8620*I8620)-G8620)/(F8620*I8620))</f>
        <v>0.50757575757575757</v>
      </c>
      <c r="I8620" s="2187">
        <v>120</v>
      </c>
    </row>
    <row r="8621" spans="1:10" s="1019" customFormat="1" ht="15">
      <c r="A8621" s="2182" t="s">
        <v>6724</v>
      </c>
      <c r="B8621" s="2182" t="s">
        <v>6389</v>
      </c>
      <c r="C8621" s="2180">
        <v>10</v>
      </c>
      <c r="D8621" s="708" t="s">
        <v>6722</v>
      </c>
      <c r="E8621" s="2180" t="s">
        <v>6728</v>
      </c>
      <c r="F8621" s="2181">
        <v>1.59</v>
      </c>
      <c r="G8621" s="2185">
        <v>95</v>
      </c>
      <c r="H8621" s="2186">
        <f>(((F8621*I8621)-G8621)/(F8621*I8621))</f>
        <v>0.50209643605870025</v>
      </c>
      <c r="I8621" s="2187">
        <v>120</v>
      </c>
    </row>
    <row r="8622" spans="1:10" s="1019" customFormat="1" ht="15">
      <c r="A8622" s="2182" t="s">
        <v>6725</v>
      </c>
      <c r="B8622" s="2182" t="s">
        <v>6389</v>
      </c>
      <c r="C8622" s="2180">
        <v>10</v>
      </c>
      <c r="D8622" s="708" t="s">
        <v>6722</v>
      </c>
      <c r="E8622" s="2180" t="s">
        <v>6728</v>
      </c>
      <c r="F8622" s="2181">
        <v>0.64</v>
      </c>
      <c r="G8622" s="2185">
        <v>38</v>
      </c>
      <c r="H8622" s="2186">
        <f>(((F8622*I8622)-G8622)/(F8622*I8622))</f>
        <v>0.50520833333333337</v>
      </c>
      <c r="I8622" s="2187">
        <v>120</v>
      </c>
    </row>
    <row r="8623" spans="1:10" s="1019" customFormat="1" ht="12.75">
      <c r="A8623" s="2182" t="s">
        <v>6727</v>
      </c>
      <c r="B8623" s="2182" t="s">
        <v>6715</v>
      </c>
      <c r="C8623" s="2180">
        <v>14</v>
      </c>
      <c r="D8623" s="2180" t="s">
        <v>6726</v>
      </c>
      <c r="E8623" s="2180" t="s">
        <v>6729</v>
      </c>
      <c r="F8623" s="2181">
        <v>2.02</v>
      </c>
      <c r="G8623" s="2185">
        <v>145</v>
      </c>
      <c r="H8623" s="2186">
        <f>(((F8623*I8623)-G8623)/(F8623*I8623))</f>
        <v>0.40181518151815182</v>
      </c>
      <c r="I8623" s="2187">
        <v>120</v>
      </c>
    </row>
    <row r="8625" spans="1:15">
      <c r="A8625" t="s">
        <v>6730</v>
      </c>
    </row>
    <row r="8626" spans="1:15">
      <c r="A8626" t="s">
        <v>6735</v>
      </c>
    </row>
    <row r="8627" spans="1:15">
      <c r="A8627" t="s">
        <v>6736</v>
      </c>
    </row>
    <row r="8628" spans="1:15" ht="18.75">
      <c r="A8628" s="1255" t="s">
        <v>6731</v>
      </c>
    </row>
    <row r="8629" spans="1:15" ht="18.75">
      <c r="A8629" s="1255" t="s">
        <v>6732</v>
      </c>
    </row>
    <row r="8630" spans="1:15" ht="18.75">
      <c r="A8630" s="1255" t="s">
        <v>6733</v>
      </c>
    </row>
    <row r="8631" spans="1:15" ht="18.75">
      <c r="A8631" s="1255" t="s">
        <v>6734</v>
      </c>
    </row>
    <row r="8635" spans="1:15">
      <c r="A8635" s="889" t="s">
        <v>79</v>
      </c>
      <c r="B8635" s="907"/>
      <c r="C8635" s="47"/>
      <c r="D8635" s="903"/>
      <c r="E8635" s="904"/>
      <c r="F8635" s="903"/>
      <c r="G8635" s="916" t="s">
        <v>10</v>
      </c>
      <c r="H8635" s="39"/>
      <c r="I8635" s="39"/>
      <c r="J8635" s="39"/>
      <c r="K8635" s="1148"/>
      <c r="L8635" s="1059"/>
      <c r="M8635" s="1150"/>
      <c r="N8635" s="776"/>
      <c r="O8635" s="2206"/>
    </row>
    <row r="8636" spans="1:15">
      <c r="A8636" s="47" t="s">
        <v>6607</v>
      </c>
      <c r="B8636" s="907">
        <v>148</v>
      </c>
      <c r="C8636" s="47" t="s">
        <v>6737</v>
      </c>
      <c r="D8636" s="905">
        <v>50</v>
      </c>
      <c r="E8636" s="906">
        <v>1</v>
      </c>
      <c r="F8636" s="905">
        <f>D8636*E8636</f>
        <v>50</v>
      </c>
      <c r="G8636" s="891">
        <v>12</v>
      </c>
      <c r="H8636" s="891">
        <f>G8636*F8636</f>
        <v>600</v>
      </c>
      <c r="I8636" s="1202" t="s">
        <v>2219</v>
      </c>
      <c r="J8636" s="39"/>
      <c r="K8636" s="1148"/>
      <c r="L8636" s="891" t="e">
        <f>G8636*(VLOOKUP(#REF!,$C$2:$F$6,3,FALSE))</f>
        <v>#REF!</v>
      </c>
      <c r="M8636" s="1150">
        <v>11.28</v>
      </c>
      <c r="N8636" s="2161">
        <f>M8636*F8636</f>
        <v>564</v>
      </c>
      <c r="O8636" s="1151">
        <v>1260</v>
      </c>
    </row>
    <row r="8637" spans="1:15">
      <c r="A8637" s="47" t="s">
        <v>6607</v>
      </c>
      <c r="B8637" s="907">
        <v>148</v>
      </c>
      <c r="C8637" s="889" t="s">
        <v>6738</v>
      </c>
      <c r="D8637" s="905">
        <v>50</v>
      </c>
      <c r="E8637" s="906">
        <v>1</v>
      </c>
      <c r="F8637" s="905">
        <f>D8637*E8637</f>
        <v>50</v>
      </c>
      <c r="G8637" s="891">
        <v>19.8</v>
      </c>
      <c r="H8637" s="891">
        <f>G8637*F8637</f>
        <v>990</v>
      </c>
      <c r="I8637" s="1202" t="s">
        <v>2219</v>
      </c>
      <c r="J8637" s="39"/>
      <c r="K8637" s="1148"/>
      <c r="L8637" s="891" t="e">
        <f>G8637*(VLOOKUP(#REF!,$C$2:$F$6,3,FALSE))</f>
        <v>#REF!</v>
      </c>
      <c r="M8637" s="1150">
        <v>18.61</v>
      </c>
      <c r="N8637" s="2161">
        <f>M8637*F8637</f>
        <v>930.5</v>
      </c>
      <c r="O8637" s="1151">
        <v>2130</v>
      </c>
    </row>
    <row r="8638" spans="1:15">
      <c r="A8638" s="47" t="s">
        <v>6607</v>
      </c>
      <c r="B8638" s="907">
        <v>148</v>
      </c>
      <c r="C8638" s="889" t="s">
        <v>6739</v>
      </c>
      <c r="D8638" s="905">
        <v>50</v>
      </c>
      <c r="E8638" s="906">
        <v>1</v>
      </c>
      <c r="F8638" s="905">
        <f>D8638*E8638</f>
        <v>50</v>
      </c>
      <c r="G8638" s="891">
        <v>19.8</v>
      </c>
      <c r="H8638" s="891">
        <f>G8638*F8638</f>
        <v>990</v>
      </c>
      <c r="I8638" s="1202" t="s">
        <v>2219</v>
      </c>
      <c r="J8638" s="39"/>
      <c r="K8638" s="1148"/>
      <c r="L8638" s="891" t="e">
        <f>G8638*(VLOOKUP(#REF!,$C$2:$F$6,3,FALSE))</f>
        <v>#REF!</v>
      </c>
      <c r="M8638" s="1150">
        <v>18.61</v>
      </c>
      <c r="N8638" s="2161">
        <f>M8638*F8638</f>
        <v>930.5</v>
      </c>
      <c r="O8638" s="1151">
        <v>2130</v>
      </c>
    </row>
    <row r="8641" spans="1:8">
      <c r="A8641" s="902" t="s">
        <v>106</v>
      </c>
      <c r="B8641" s="902" t="s">
        <v>53</v>
      </c>
      <c r="C8641" s="902" t="s">
        <v>54</v>
      </c>
      <c r="D8641" s="2207" t="s">
        <v>6741</v>
      </c>
      <c r="E8641" s="2130"/>
    </row>
    <row r="8642" spans="1:8">
      <c r="A8642" s="47" t="s">
        <v>6740</v>
      </c>
      <c r="B8642" s="47" t="s">
        <v>6737</v>
      </c>
      <c r="C8642" s="49">
        <v>50</v>
      </c>
      <c r="D8642" s="47">
        <v>1260</v>
      </c>
    </row>
    <row r="8643" spans="1:8">
      <c r="A8643" s="47" t="s">
        <v>6740</v>
      </c>
      <c r="B8643" s="47" t="s">
        <v>6738</v>
      </c>
      <c r="C8643" s="49">
        <v>50</v>
      </c>
      <c r="D8643" s="47">
        <v>2130</v>
      </c>
    </row>
    <row r="8644" spans="1:8">
      <c r="A8644" s="47" t="s">
        <v>6740</v>
      </c>
      <c r="B8644" s="47" t="s">
        <v>6739</v>
      </c>
      <c r="C8644" s="49">
        <v>50</v>
      </c>
      <c r="D8644" s="47">
        <v>2130</v>
      </c>
    </row>
    <row r="8647" spans="1:8">
      <c r="A8647" t="s">
        <v>6742</v>
      </c>
    </row>
    <row r="8648" spans="1:8">
      <c r="A8648" s="1279" t="s">
        <v>106</v>
      </c>
      <c r="B8648" s="988" t="s">
        <v>52</v>
      </c>
      <c r="C8648" s="988" t="s">
        <v>1186</v>
      </c>
      <c r="D8648" s="988" t="s">
        <v>6412</v>
      </c>
      <c r="E8648" s="988" t="s">
        <v>6413</v>
      </c>
      <c r="F8648" s="317" t="s">
        <v>1225</v>
      </c>
      <c r="G8648" s="2037" t="s">
        <v>6080</v>
      </c>
      <c r="H8648" s="317" t="s">
        <v>6379</v>
      </c>
    </row>
    <row r="8649" spans="1:8" s="888" customFormat="1">
      <c r="A8649" s="47" t="s">
        <v>6409</v>
      </c>
      <c r="B8649" s="48" t="s">
        <v>6743</v>
      </c>
      <c r="C8649" s="346" t="s">
        <v>6414</v>
      </c>
      <c r="D8649" s="346" t="s">
        <v>6414</v>
      </c>
      <c r="E8649" s="2096">
        <v>1.68</v>
      </c>
      <c r="F8649" s="317">
        <v>121</v>
      </c>
      <c r="G8649" s="2070">
        <f>(E8649-(F8649/H8649))/E8649</f>
        <v>0.39980158730158732</v>
      </c>
      <c r="H8649" s="317">
        <v>120</v>
      </c>
    </row>
    <row r="8651" spans="1:8">
      <c r="A8651" s="902" t="s">
        <v>106</v>
      </c>
      <c r="B8651" s="902" t="s">
        <v>377</v>
      </c>
      <c r="C8651" s="902" t="s">
        <v>53</v>
      </c>
      <c r="D8651" s="887" t="s">
        <v>1186</v>
      </c>
      <c r="E8651" s="887" t="s">
        <v>1652</v>
      </c>
      <c r="F8651" s="887" t="s">
        <v>1653</v>
      </c>
      <c r="G8651" s="2030" t="s">
        <v>1323</v>
      </c>
    </row>
    <row r="8652" spans="1:8">
      <c r="A8652" s="47" t="s">
        <v>6607</v>
      </c>
      <c r="B8652" s="907">
        <v>148</v>
      </c>
      <c r="C8652" s="47" t="s">
        <v>6737</v>
      </c>
      <c r="D8652" s="905">
        <v>50</v>
      </c>
      <c r="E8652" s="906">
        <v>1</v>
      </c>
      <c r="F8652" s="905">
        <f>D8652*E8652</f>
        <v>50</v>
      </c>
      <c r="G8652" s="891">
        <v>12</v>
      </c>
    </row>
    <row r="8653" spans="1:8">
      <c r="A8653" s="47" t="s">
        <v>6607</v>
      </c>
      <c r="B8653" s="907">
        <v>148</v>
      </c>
      <c r="C8653" s="889" t="s">
        <v>6738</v>
      </c>
      <c r="D8653" s="905">
        <v>50</v>
      </c>
      <c r="E8653" s="906">
        <v>1</v>
      </c>
      <c r="F8653" s="905">
        <f>D8653*E8653</f>
        <v>50</v>
      </c>
      <c r="G8653" s="891">
        <v>19.8</v>
      </c>
    </row>
    <row r="8654" spans="1:8">
      <c r="A8654" s="47" t="s">
        <v>6607</v>
      </c>
      <c r="B8654" s="907">
        <v>148</v>
      </c>
      <c r="C8654" s="889" t="s">
        <v>6739</v>
      </c>
      <c r="D8654" s="905">
        <v>50</v>
      </c>
      <c r="E8654" s="906">
        <v>1</v>
      </c>
      <c r="F8654" s="905">
        <f>D8654*E8654</f>
        <v>50</v>
      </c>
      <c r="G8654" s="891">
        <v>19.8</v>
      </c>
    </row>
    <row r="8656" spans="1:8">
      <c r="A8656" s="895" t="s">
        <v>6746</v>
      </c>
    </row>
    <row r="8657" spans="1:12" ht="15">
      <c r="A8657" s="1996" t="s">
        <v>1603</v>
      </c>
      <c r="B8657" s="1996" t="s">
        <v>2317</v>
      </c>
      <c r="C8657" s="1997" t="s">
        <v>5310</v>
      </c>
      <c r="D8657" s="1997" t="s">
        <v>5308</v>
      </c>
      <c r="E8657" s="1998" t="s">
        <v>1623</v>
      </c>
      <c r="F8657" s="1998" t="s">
        <v>5282</v>
      </c>
      <c r="G8657" s="1998" t="s">
        <v>5948</v>
      </c>
      <c r="H8657" s="2045" t="s">
        <v>5308</v>
      </c>
      <c r="I8657" s="940" t="s">
        <v>1623</v>
      </c>
      <c r="J8657" s="2037" t="s">
        <v>6117</v>
      </c>
      <c r="K8657" s="2037" t="s">
        <v>6118</v>
      </c>
      <c r="L8657" s="2037" t="s">
        <v>6081</v>
      </c>
    </row>
    <row r="8658" spans="1:12">
      <c r="A8658" s="47" t="s">
        <v>6747</v>
      </c>
      <c r="B8658" s="47" t="s">
        <v>1574</v>
      </c>
      <c r="C8658" s="47" t="s">
        <v>1519</v>
      </c>
      <c r="D8658" s="1174">
        <v>1.88</v>
      </c>
      <c r="E8658" s="1061">
        <v>2.85</v>
      </c>
      <c r="F8658" s="47" t="s">
        <v>6131</v>
      </c>
      <c r="G8658" s="2046">
        <v>75</v>
      </c>
      <c r="H8658" s="1999">
        <v>135</v>
      </c>
      <c r="I8658" s="2000">
        <f>135+70</f>
        <v>205</v>
      </c>
      <c r="J8658" s="2070">
        <f>(D8658-(H8658/L8658))/D8658</f>
        <v>0.40159574468085102</v>
      </c>
      <c r="K8658" s="2070">
        <f>(E8658-(I8658/L8658))/E8658</f>
        <v>0.40058479532163749</v>
      </c>
      <c r="L8658">
        <v>120</v>
      </c>
    </row>
    <row r="8662" spans="1:12">
      <c r="A8662" s="902" t="s">
        <v>106</v>
      </c>
      <c r="B8662" s="902" t="s">
        <v>53</v>
      </c>
      <c r="C8662" s="887" t="s">
        <v>1653</v>
      </c>
      <c r="D8662" s="2030" t="s">
        <v>1323</v>
      </c>
    </row>
    <row r="8663" spans="1:12">
      <c r="A8663" s="1008" t="s">
        <v>6747</v>
      </c>
      <c r="B8663" s="260" t="s">
        <v>6749</v>
      </c>
      <c r="C8663" s="905">
        <v>10</v>
      </c>
      <c r="D8663" s="1061">
        <v>1.88</v>
      </c>
    </row>
    <row r="8664" spans="1:12">
      <c r="A8664" s="1008" t="s">
        <v>6747</v>
      </c>
      <c r="B8664" s="260" t="s">
        <v>6750</v>
      </c>
      <c r="C8664" s="905">
        <v>10</v>
      </c>
      <c r="D8664" s="1061">
        <v>1.88</v>
      </c>
    </row>
    <row r="8665" spans="1:12">
      <c r="A8665" s="1008" t="s">
        <v>6747</v>
      </c>
      <c r="B8665" s="260" t="s">
        <v>6751</v>
      </c>
      <c r="C8665" s="905">
        <v>10</v>
      </c>
      <c r="D8665" s="1061">
        <v>1.88</v>
      </c>
    </row>
    <row r="8666" spans="1:12">
      <c r="A8666" s="1059"/>
      <c r="B8666" s="47" t="s">
        <v>6752</v>
      </c>
      <c r="C8666" s="894">
        <v>3</v>
      </c>
      <c r="D8666" s="891">
        <v>75</v>
      </c>
    </row>
    <row r="8667" spans="1:12">
      <c r="A8667" s="1059"/>
      <c r="B8667" s="47" t="s">
        <v>2975</v>
      </c>
      <c r="C8667" s="894">
        <v>1</v>
      </c>
      <c r="D8667" s="891">
        <v>12</v>
      </c>
    </row>
    <row r="8670" spans="1:12">
      <c r="A8670" s="887" t="s">
        <v>455</v>
      </c>
      <c r="B8670" s="887" t="s">
        <v>52</v>
      </c>
      <c r="C8670" s="887" t="s">
        <v>128</v>
      </c>
      <c r="D8670" s="887" t="s">
        <v>1186</v>
      </c>
      <c r="E8670" s="887" t="s">
        <v>1652</v>
      </c>
      <c r="F8670" s="887" t="s">
        <v>1653</v>
      </c>
      <c r="G8670" s="1783" t="s">
        <v>6149</v>
      </c>
    </row>
    <row r="8671" spans="1:12">
      <c r="A8671" s="47" t="s">
        <v>5973</v>
      </c>
      <c r="B8671" s="48">
        <v>10</v>
      </c>
      <c r="C8671" s="47" t="s">
        <v>6147</v>
      </c>
      <c r="D8671" s="948">
        <v>100</v>
      </c>
      <c r="E8671" s="949">
        <v>4</v>
      </c>
      <c r="F8671" s="49">
        <f>D8671*E8671</f>
        <v>400</v>
      </c>
      <c r="G8671" s="950">
        <v>1.01</v>
      </c>
    </row>
    <row r="8672" spans="1:12">
      <c r="A8672" s="47"/>
      <c r="B8672" s="2015"/>
      <c r="C8672" s="260" t="s">
        <v>6148</v>
      </c>
      <c r="D8672" s="49"/>
      <c r="E8672" s="1213"/>
      <c r="F8672" s="2016">
        <v>1</v>
      </c>
      <c r="G8672" s="950">
        <v>190</v>
      </c>
    </row>
    <row r="8676" spans="1:8">
      <c r="A8676" s="902" t="s">
        <v>106</v>
      </c>
      <c r="B8676" s="902" t="s">
        <v>377</v>
      </c>
      <c r="C8676" s="902" t="s">
        <v>53</v>
      </c>
      <c r="D8676" s="887" t="s">
        <v>1653</v>
      </c>
      <c r="E8676" s="2030" t="s">
        <v>1323</v>
      </c>
      <c r="F8676" s="903"/>
      <c r="G8676" s="52" t="s">
        <v>10</v>
      </c>
      <c r="H8676" s="39"/>
    </row>
    <row r="8677" spans="1:8">
      <c r="A8677" s="47">
        <v>2440</v>
      </c>
      <c r="B8677" s="907">
        <v>140</v>
      </c>
      <c r="C8677" s="47" t="s">
        <v>6781</v>
      </c>
      <c r="D8677" s="905">
        <v>40</v>
      </c>
      <c r="E8677" s="891">
        <v>4.38</v>
      </c>
      <c r="F8677" s="891">
        <f>E8677*D8677</f>
        <v>175.2</v>
      </c>
    </row>
    <row r="8678" spans="1:8">
      <c r="A8678" s="47">
        <v>2440</v>
      </c>
      <c r="B8678" s="907">
        <v>140</v>
      </c>
      <c r="C8678" s="47" t="s">
        <v>6782</v>
      </c>
      <c r="D8678" s="905">
        <v>40</v>
      </c>
      <c r="E8678" s="891">
        <v>4.38</v>
      </c>
      <c r="F8678" s="891">
        <f>E8678*D8678</f>
        <v>175.2</v>
      </c>
    </row>
    <row r="8679" spans="1:8">
      <c r="A8679" s="47"/>
      <c r="B8679" s="893"/>
      <c r="C8679" s="260" t="s">
        <v>75</v>
      </c>
      <c r="D8679" s="894">
        <v>2</v>
      </c>
      <c r="E8679" s="891">
        <v>12</v>
      </c>
      <c r="F8679" s="891">
        <f>E8679*D8679</f>
        <v>24</v>
      </c>
    </row>
    <row r="8680" spans="1:8">
      <c r="A8680" s="1059"/>
      <c r="B8680" s="260"/>
      <c r="C8680" s="47" t="s">
        <v>2975</v>
      </c>
      <c r="D8680" s="894">
        <v>1</v>
      </c>
      <c r="E8680" s="891">
        <v>20</v>
      </c>
      <c r="F8680" s="891">
        <f>E8680*D8680</f>
        <v>20</v>
      </c>
    </row>
    <row r="8685" spans="1:8" ht="15">
      <c r="A8685" s="2209" t="s">
        <v>6784</v>
      </c>
      <c r="B8685" s="236"/>
      <c r="C8685" s="236"/>
      <c r="D8685" s="236"/>
      <c r="E8685" s="236"/>
      <c r="F8685" s="236"/>
      <c r="G8685" s="236"/>
    </row>
    <row r="8686" spans="1:8" ht="15">
      <c r="A8686" s="2209" t="s">
        <v>6785</v>
      </c>
      <c r="B8686" s="236"/>
      <c r="C8686" s="236"/>
      <c r="D8686" s="236"/>
      <c r="E8686" s="236"/>
      <c r="F8686" s="236"/>
      <c r="G8686" s="236"/>
    </row>
    <row r="8687" spans="1:8" ht="15">
      <c r="A8687" s="2209"/>
      <c r="B8687" s="236"/>
      <c r="C8687" s="236"/>
      <c r="D8687" s="236"/>
      <c r="E8687" s="236"/>
      <c r="F8687" s="236"/>
      <c r="G8687" s="236"/>
    </row>
    <row r="8688" spans="1:8" ht="15.75">
      <c r="A8688" s="2210" t="s">
        <v>6786</v>
      </c>
      <c r="B8688" s="2212" t="s">
        <v>6804</v>
      </c>
      <c r="C8688" s="2213" t="s">
        <v>6787</v>
      </c>
      <c r="D8688" s="2213" t="s">
        <v>6788</v>
      </c>
      <c r="E8688" s="2211"/>
      <c r="F8688" s="2211"/>
      <c r="G8688" s="2211"/>
    </row>
    <row r="8689" spans="1:7" ht="15.75">
      <c r="A8689" s="2211"/>
      <c r="B8689" s="2211"/>
      <c r="C8689" s="2213" t="s">
        <v>6789</v>
      </c>
      <c r="D8689" s="2213" t="s">
        <v>6790</v>
      </c>
      <c r="E8689" s="2211"/>
      <c r="F8689" s="2211"/>
      <c r="G8689" s="2211"/>
    </row>
    <row r="8690" spans="1:7" ht="15.75">
      <c r="A8690" s="2211"/>
      <c r="B8690" s="2211"/>
      <c r="C8690" s="2213" t="s">
        <v>6791</v>
      </c>
      <c r="D8690" s="2213" t="s">
        <v>6792</v>
      </c>
      <c r="E8690" s="2211"/>
      <c r="F8690" s="2211"/>
      <c r="G8690" s="2211"/>
    </row>
    <row r="8691" spans="1:7" ht="15.75">
      <c r="A8691" s="2211"/>
      <c r="B8691" s="2211"/>
      <c r="C8691" s="2213" t="s">
        <v>6793</v>
      </c>
      <c r="D8691" s="2213" t="s">
        <v>6794</v>
      </c>
      <c r="E8691" s="2211"/>
      <c r="F8691" s="2211"/>
      <c r="G8691" s="2211"/>
    </row>
    <row r="8692" spans="1:7" ht="15.75">
      <c r="A8692" s="2211"/>
      <c r="B8692" s="2211"/>
      <c r="C8692" s="2213" t="s">
        <v>6795</v>
      </c>
      <c r="D8692" s="2213" t="s">
        <v>6796</v>
      </c>
      <c r="E8692" s="2211"/>
      <c r="F8692" s="2211"/>
      <c r="G8692" s="2211"/>
    </row>
    <row r="8693" spans="1:7" ht="15.75">
      <c r="A8693" s="2211"/>
      <c r="B8693" s="2211"/>
      <c r="C8693" s="2213" t="s">
        <v>6797</v>
      </c>
      <c r="D8693" s="2213" t="s">
        <v>6798</v>
      </c>
      <c r="E8693" s="2210" t="s">
        <v>6799</v>
      </c>
      <c r="F8693" s="2210"/>
      <c r="G8693" s="2210"/>
    </row>
    <row r="8694" spans="1:7" ht="15.75">
      <c r="A8694" s="2211"/>
      <c r="B8694" s="2211"/>
      <c r="C8694" s="2213" t="s">
        <v>6800</v>
      </c>
      <c r="D8694" s="2213" t="s">
        <v>6801</v>
      </c>
      <c r="E8694" s="2211"/>
      <c r="F8694" s="2211"/>
      <c r="G8694" s="2211"/>
    </row>
    <row r="8695" spans="1:7" ht="15.75">
      <c r="A8695" s="2211"/>
      <c r="B8695" s="2211"/>
      <c r="C8695" s="2213" t="s">
        <v>6802</v>
      </c>
      <c r="D8695" s="2213" t="s">
        <v>6803</v>
      </c>
      <c r="E8695" s="2211"/>
      <c r="F8695" s="2211"/>
      <c r="G8695" s="2211"/>
    </row>
    <row r="8696" spans="1:7" ht="15">
      <c r="A8696" s="2209"/>
      <c r="B8696" s="236"/>
      <c r="C8696" s="236"/>
      <c r="D8696" s="236"/>
      <c r="E8696" s="236"/>
      <c r="F8696" s="236"/>
      <c r="G8696" s="236"/>
    </row>
    <row r="8699" spans="1:7">
      <c r="A8699" s="887" t="s">
        <v>455</v>
      </c>
      <c r="B8699" s="887" t="s">
        <v>52</v>
      </c>
      <c r="C8699" s="887" t="s">
        <v>128</v>
      </c>
      <c r="D8699" s="887" t="s">
        <v>1186</v>
      </c>
      <c r="E8699" s="887" t="s">
        <v>1652</v>
      </c>
      <c r="F8699" s="887" t="s">
        <v>1653</v>
      </c>
      <c r="G8699" s="2030" t="s">
        <v>1323</v>
      </c>
    </row>
    <row r="8700" spans="1:7">
      <c r="A8700" s="47">
        <v>4141</v>
      </c>
      <c r="B8700" s="260">
        <v>6</v>
      </c>
      <c r="C8700" s="47" t="s">
        <v>6807</v>
      </c>
      <c r="D8700" s="905">
        <v>20</v>
      </c>
      <c r="E8700" s="906">
        <v>25</v>
      </c>
      <c r="F8700" s="905">
        <f>D8700*E8700</f>
        <v>500</v>
      </c>
      <c r="G8700" s="891">
        <v>1.47</v>
      </c>
    </row>
    <row r="8701" spans="1:7">
      <c r="A8701" s="47">
        <v>4141</v>
      </c>
      <c r="B8701" s="260">
        <v>6</v>
      </c>
      <c r="C8701" s="47" t="s">
        <v>3096</v>
      </c>
      <c r="D8701" s="905">
        <v>20</v>
      </c>
      <c r="E8701" s="906">
        <v>30</v>
      </c>
      <c r="F8701" s="905">
        <f>D8701*E8701</f>
        <v>600</v>
      </c>
      <c r="G8701" s="891">
        <v>1.47</v>
      </c>
    </row>
    <row r="8702" spans="1:7" ht="20.25">
      <c r="A8702" s="1059"/>
      <c r="B8702" s="260"/>
      <c r="C8702" s="47" t="s">
        <v>2975</v>
      </c>
      <c r="D8702" s="905"/>
      <c r="E8702" s="904" ph="1"/>
      <c r="F8702" s="894">
        <v>1</v>
      </c>
      <c r="G8702" s="891">
        <v>12</v>
      </c>
    </row>
    <row r="8704" spans="1:7">
      <c r="A8704" t="s">
        <v>6811</v>
      </c>
    </row>
    <row r="8705" spans="1:117" s="1163" customFormat="1" ht="15.75">
      <c r="A8705" s="1166" t="s">
        <v>1369</v>
      </c>
      <c r="B8705" s="1167" t="s">
        <v>2</v>
      </c>
      <c r="C8705" s="1168" t="s">
        <v>1734</v>
      </c>
      <c r="D8705" s="2214" t="s">
        <v>2467</v>
      </c>
      <c r="E8705" s="2215" t="s">
        <v>6808</v>
      </c>
      <c r="F8705" s="2216" t="s">
        <v>6669</v>
      </c>
      <c r="G8705" s="2216" t="s">
        <v>6670</v>
      </c>
    </row>
    <row r="8706" spans="1:117" s="59" customFormat="1" ht="15" customHeight="1">
      <c r="A8706" s="1170" t="s">
        <v>6809</v>
      </c>
      <c r="B8706" s="1171">
        <v>30</v>
      </c>
      <c r="C8706" s="1172" t="s">
        <v>6812</v>
      </c>
      <c r="D8706" s="891">
        <v>0.15</v>
      </c>
      <c r="E8706" s="2217">
        <v>8.8000000000000007</v>
      </c>
      <c r="F8706" s="2218">
        <f>(((D8706*G8706)-E8706)/(D8706*G8706))</f>
        <v>0.51111111111111107</v>
      </c>
      <c r="G8706" s="2219">
        <v>120</v>
      </c>
      <c r="H8706" s="1963"/>
      <c r="I8706" s="1963"/>
      <c r="J8706" s="1963"/>
      <c r="K8706" s="1963"/>
      <c r="L8706" s="1963"/>
      <c r="M8706" s="1963"/>
      <c r="N8706" s="1963"/>
      <c r="O8706" s="1963"/>
      <c r="P8706" s="1963"/>
      <c r="Q8706" s="1963"/>
      <c r="R8706" s="1963"/>
      <c r="S8706" s="1963"/>
      <c r="T8706" s="1963"/>
      <c r="U8706" s="1963"/>
      <c r="V8706" s="1963"/>
      <c r="W8706" s="1963"/>
      <c r="X8706" s="1963"/>
      <c r="Y8706" s="1963"/>
      <c r="Z8706" s="1963"/>
      <c r="AA8706" s="1963"/>
      <c r="AB8706" s="1963"/>
      <c r="AC8706" s="1963"/>
      <c r="AD8706" s="1963"/>
      <c r="AE8706" s="1963"/>
      <c r="AF8706" s="1963"/>
      <c r="AG8706" s="1963"/>
      <c r="AH8706" s="1963"/>
      <c r="AI8706" s="1963"/>
      <c r="AJ8706" s="1963"/>
      <c r="AK8706" s="1963"/>
      <c r="AL8706" s="1963"/>
      <c r="AM8706" s="1963"/>
      <c r="AN8706" s="1963"/>
      <c r="AO8706" s="1963"/>
      <c r="AP8706" s="1963"/>
      <c r="AQ8706" s="1963"/>
      <c r="AR8706" s="1963"/>
      <c r="AS8706" s="1963"/>
      <c r="AT8706" s="1963"/>
      <c r="AU8706" s="1963"/>
      <c r="AV8706" s="1963"/>
      <c r="AW8706" s="1963"/>
      <c r="AX8706" s="1963"/>
      <c r="AY8706" s="1963"/>
      <c r="AZ8706" s="1963"/>
      <c r="BA8706" s="1963"/>
      <c r="BB8706" s="1963"/>
      <c r="BC8706" s="1963"/>
      <c r="BD8706" s="1963"/>
      <c r="BE8706" s="1963"/>
      <c r="BF8706" s="1963"/>
      <c r="BG8706" s="1963"/>
      <c r="BH8706" s="1963"/>
      <c r="BI8706" s="1963"/>
      <c r="BJ8706" s="1963"/>
      <c r="BK8706" s="1963"/>
      <c r="BL8706" s="1963"/>
      <c r="BM8706" s="1963"/>
      <c r="BN8706" s="1963"/>
      <c r="BO8706" s="1963"/>
      <c r="BP8706" s="1963"/>
      <c r="BQ8706" s="1963"/>
      <c r="BR8706" s="1963"/>
      <c r="BS8706" s="1963"/>
      <c r="BT8706" s="1963"/>
      <c r="BU8706" s="1963"/>
      <c r="BV8706" s="1963"/>
      <c r="BW8706" s="1963"/>
      <c r="BX8706" s="1963"/>
      <c r="BY8706" s="1963"/>
      <c r="BZ8706" s="1963"/>
      <c r="CA8706" s="1963"/>
      <c r="CB8706" s="1963"/>
      <c r="CC8706" s="1963"/>
      <c r="CD8706" s="1963"/>
      <c r="CE8706" s="1963"/>
      <c r="CF8706" s="1963"/>
      <c r="CG8706" s="1963"/>
      <c r="CH8706" s="1963"/>
      <c r="CI8706" s="1963"/>
      <c r="CJ8706" s="1963"/>
      <c r="CK8706" s="1963"/>
      <c r="CL8706" s="1963"/>
      <c r="CM8706" s="1963"/>
      <c r="CN8706" s="1963"/>
      <c r="CO8706" s="1963"/>
      <c r="CP8706" s="1963"/>
      <c r="CQ8706" s="1963"/>
      <c r="CR8706" s="1963"/>
      <c r="CS8706" s="1963"/>
      <c r="CT8706" s="1963"/>
      <c r="CU8706" s="1963"/>
      <c r="CV8706" s="1963"/>
      <c r="CW8706" s="1963"/>
      <c r="CX8706" s="1963"/>
      <c r="CY8706" s="1963"/>
      <c r="CZ8706" s="1963"/>
      <c r="DA8706" s="1963"/>
      <c r="DB8706" s="1963"/>
      <c r="DC8706" s="1963"/>
      <c r="DD8706" s="1963"/>
      <c r="DE8706" s="1963"/>
      <c r="DF8706" s="1963"/>
      <c r="DG8706" s="1963"/>
      <c r="DH8706" s="1963"/>
      <c r="DI8706" s="1963"/>
      <c r="DJ8706" s="1963"/>
      <c r="DK8706" s="1963"/>
      <c r="DL8706" s="1963"/>
      <c r="DM8706" s="1963"/>
    </row>
    <row r="8707" spans="1:117" s="59" customFormat="1" ht="15" customHeight="1">
      <c r="A8707" s="1170" t="s">
        <v>6810</v>
      </c>
      <c r="B8707" s="1171">
        <v>30</v>
      </c>
      <c r="C8707" s="1172" t="s">
        <v>6812</v>
      </c>
      <c r="D8707" s="891">
        <v>0.22</v>
      </c>
      <c r="E8707" s="2217">
        <v>13.2</v>
      </c>
      <c r="F8707" s="2218">
        <f>(((D8707*G8707)-E8707)/(D8707*G8707))</f>
        <v>0.52</v>
      </c>
      <c r="G8707" s="2219">
        <v>125</v>
      </c>
      <c r="H8707" s="1963"/>
      <c r="I8707" s="1963"/>
      <c r="J8707" s="1963"/>
      <c r="K8707" s="1963"/>
      <c r="L8707" s="1963"/>
      <c r="M8707" s="1963"/>
      <c r="N8707" s="1963"/>
      <c r="O8707" s="1963"/>
      <c r="P8707" s="1963"/>
      <c r="Q8707" s="1963"/>
      <c r="R8707" s="1963"/>
      <c r="S8707" s="1963"/>
      <c r="T8707" s="1963"/>
      <c r="U8707" s="1963"/>
      <c r="V8707" s="1963"/>
      <c r="W8707" s="1963"/>
      <c r="X8707" s="1963"/>
      <c r="Y8707" s="1963"/>
      <c r="Z8707" s="1963"/>
      <c r="AA8707" s="1963"/>
      <c r="AB8707" s="1963"/>
      <c r="AC8707" s="1963"/>
      <c r="AD8707" s="1963"/>
      <c r="AE8707" s="1963"/>
      <c r="AF8707" s="1963"/>
      <c r="AG8707" s="1963"/>
      <c r="AH8707" s="1963"/>
      <c r="AI8707" s="1963"/>
      <c r="AJ8707" s="1963"/>
      <c r="AK8707" s="1963"/>
      <c r="AL8707" s="1963"/>
      <c r="AM8707" s="1963"/>
      <c r="AN8707" s="1963"/>
      <c r="AO8707" s="1963"/>
      <c r="AP8707" s="1963"/>
      <c r="AQ8707" s="1963"/>
      <c r="AR8707" s="1963"/>
      <c r="AS8707" s="1963"/>
      <c r="AT8707" s="1963"/>
      <c r="AU8707" s="1963"/>
      <c r="AV8707" s="1963"/>
      <c r="AW8707" s="1963"/>
      <c r="AX8707" s="1963"/>
      <c r="AY8707" s="1963"/>
      <c r="AZ8707" s="1963"/>
      <c r="BA8707" s="1963"/>
      <c r="BB8707" s="1963"/>
      <c r="BC8707" s="1963"/>
      <c r="BD8707" s="1963"/>
      <c r="BE8707" s="1963"/>
      <c r="BF8707" s="1963"/>
      <c r="BG8707" s="1963"/>
      <c r="BH8707" s="1963"/>
      <c r="BI8707" s="1963"/>
      <c r="BJ8707" s="1963"/>
      <c r="BK8707" s="1963"/>
      <c r="BL8707" s="1963"/>
      <c r="BM8707" s="1963"/>
      <c r="BN8707" s="1963"/>
      <c r="BO8707" s="1963"/>
      <c r="BP8707" s="1963"/>
      <c r="BQ8707" s="1963"/>
      <c r="BR8707" s="1963"/>
      <c r="BS8707" s="1963"/>
      <c r="BT8707" s="1963"/>
      <c r="BU8707" s="1963"/>
      <c r="BV8707" s="1963"/>
      <c r="BW8707" s="1963"/>
      <c r="BX8707" s="1963"/>
      <c r="BY8707" s="1963"/>
      <c r="BZ8707" s="1963"/>
      <c r="CA8707" s="1963"/>
      <c r="CB8707" s="1963"/>
      <c r="CC8707" s="1963"/>
      <c r="CD8707" s="1963"/>
      <c r="CE8707" s="1963"/>
      <c r="CF8707" s="1963"/>
      <c r="CG8707" s="1963"/>
      <c r="CH8707" s="1963"/>
      <c r="CI8707" s="1963"/>
      <c r="CJ8707" s="1963"/>
      <c r="CK8707" s="1963"/>
      <c r="CL8707" s="1963"/>
      <c r="CM8707" s="1963"/>
      <c r="CN8707" s="1963"/>
      <c r="CO8707" s="1963"/>
      <c r="CP8707" s="1963"/>
      <c r="CQ8707" s="1963"/>
      <c r="CR8707" s="1963"/>
      <c r="CS8707" s="1963"/>
      <c r="CT8707" s="1963"/>
      <c r="CU8707" s="1963"/>
      <c r="CV8707" s="1963"/>
      <c r="CW8707" s="1963"/>
      <c r="CX8707" s="1963"/>
      <c r="CY8707" s="1963"/>
      <c r="CZ8707" s="1963"/>
      <c r="DA8707" s="1963"/>
      <c r="DB8707" s="1963"/>
      <c r="DC8707" s="1963"/>
      <c r="DD8707" s="1963"/>
      <c r="DE8707" s="1963"/>
      <c r="DF8707" s="1963"/>
      <c r="DG8707" s="1963"/>
      <c r="DH8707" s="1963"/>
      <c r="DI8707" s="1963"/>
      <c r="DJ8707" s="1963"/>
      <c r="DK8707" s="1963"/>
      <c r="DL8707" s="1963"/>
      <c r="DM8707" s="1963"/>
    </row>
    <row r="8709" spans="1:117">
      <c r="A8709" t="s">
        <v>6815</v>
      </c>
    </row>
    <row r="8710" spans="1:117" ht="15">
      <c r="A8710" s="1996" t="s">
        <v>1603</v>
      </c>
      <c r="B8710" s="1996" t="s">
        <v>2317</v>
      </c>
      <c r="C8710" s="1997" t="s">
        <v>5310</v>
      </c>
      <c r="D8710" s="1997" t="s">
        <v>5308</v>
      </c>
      <c r="E8710" s="1998" t="s">
        <v>1623</v>
      </c>
      <c r="F8710" s="1998" t="s">
        <v>5282</v>
      </c>
      <c r="G8710" s="1998" t="s">
        <v>5948</v>
      </c>
      <c r="H8710" s="2045" t="s">
        <v>5308</v>
      </c>
      <c r="I8710" s="940" t="s">
        <v>1623</v>
      </c>
      <c r="J8710" s="2037" t="s">
        <v>6117</v>
      </c>
      <c r="K8710" s="2037" t="s">
        <v>6118</v>
      </c>
      <c r="L8710" s="2037" t="s">
        <v>6081</v>
      </c>
    </row>
    <row r="8711" spans="1:117" ht="15">
      <c r="A8711" s="47" t="s">
        <v>6122</v>
      </c>
      <c r="B8711" s="47" t="s">
        <v>1574</v>
      </c>
      <c r="C8711" s="47" t="s">
        <v>6115</v>
      </c>
      <c r="D8711" s="1174">
        <f>ROUNDUP(H8711/0.6/120,2)</f>
        <v>0.98</v>
      </c>
      <c r="E8711" s="1061">
        <f>ROUNDUP((H8711+I8711)/0.6/120,2)</f>
        <v>1.53</v>
      </c>
      <c r="F8711" s="47" t="s">
        <v>6116</v>
      </c>
      <c r="G8711" s="2046">
        <v>135</v>
      </c>
      <c r="H8711" s="1999">
        <v>70</v>
      </c>
      <c r="I8711" s="2000">
        <v>40</v>
      </c>
      <c r="J8711" s="2044">
        <f>(((D8711*L8711)-H8711)/(D8711*L8711))</f>
        <v>0.40476190476190471</v>
      </c>
      <c r="K8711" s="2044">
        <f>(((E8711*L8711)-(H8711+I8711))/(E8711*L8711))</f>
        <v>0.40087145969498911</v>
      </c>
      <c r="L8711">
        <v>120</v>
      </c>
    </row>
    <row r="8715" spans="1:117">
      <c r="A8715" s="887" t="s">
        <v>455</v>
      </c>
      <c r="B8715" s="887" t="s">
        <v>52</v>
      </c>
      <c r="C8715" s="887" t="s">
        <v>128</v>
      </c>
      <c r="D8715" s="887" t="s">
        <v>1186</v>
      </c>
      <c r="E8715" s="887" t="s">
        <v>1652</v>
      </c>
      <c r="F8715" s="887" t="s">
        <v>1653</v>
      </c>
      <c r="G8715" s="2030" t="s">
        <v>1323</v>
      </c>
      <c r="H8715" s="2030" t="s">
        <v>2245</v>
      </c>
    </row>
    <row r="8716" spans="1:117">
      <c r="A8716" s="47" t="s">
        <v>6823</v>
      </c>
      <c r="B8716" s="260">
        <v>9</v>
      </c>
      <c r="C8716" s="47" t="s">
        <v>6824</v>
      </c>
      <c r="D8716" s="905"/>
      <c r="E8716" s="906"/>
      <c r="F8716" s="894">
        <v>1</v>
      </c>
      <c r="G8716" s="891">
        <v>65</v>
      </c>
      <c r="H8716" s="891">
        <f>G8716*F8716</f>
        <v>65</v>
      </c>
    </row>
    <row r="8717" spans="1:117">
      <c r="A8717" s="47" t="s">
        <v>6825</v>
      </c>
      <c r="B8717" s="260">
        <v>9</v>
      </c>
      <c r="C8717" s="47" t="s">
        <v>6824</v>
      </c>
      <c r="D8717" s="905">
        <v>20</v>
      </c>
      <c r="E8717" s="906">
        <v>1</v>
      </c>
      <c r="F8717" s="905">
        <f>D8717*E8717</f>
        <v>20</v>
      </c>
      <c r="G8717" s="891">
        <v>1.63</v>
      </c>
      <c r="H8717" s="891">
        <f>G8717*F8717</f>
        <v>32.599999999999994</v>
      </c>
    </row>
    <row r="8718" spans="1:117">
      <c r="A8718" s="47"/>
      <c r="B8718" s="893"/>
      <c r="C8718" s="260" t="s">
        <v>256</v>
      </c>
      <c r="D8718" s="905"/>
      <c r="E8718" s="906"/>
      <c r="F8718" s="894">
        <v>1</v>
      </c>
      <c r="G8718" s="891">
        <v>285</v>
      </c>
      <c r="H8718" s="891">
        <f>G8718*F8718</f>
        <v>285</v>
      </c>
    </row>
    <row r="8719" spans="1:117">
      <c r="A8719" s="47"/>
      <c r="B8719" s="893"/>
      <c r="C8719" s="260" t="s">
        <v>1993</v>
      </c>
      <c r="D8719" s="905"/>
      <c r="E8719" s="906"/>
      <c r="F8719" s="894">
        <v>1</v>
      </c>
      <c r="G8719" s="891">
        <v>12</v>
      </c>
      <c r="H8719" s="891">
        <f>G8719*F8719</f>
        <v>12</v>
      </c>
    </row>
    <row r="8720" spans="1:117">
      <c r="G8720" s="918" t="s">
        <v>6826</v>
      </c>
      <c r="H8720" s="919">
        <f>SUM(H8716:H8719)</f>
        <v>394.6</v>
      </c>
    </row>
    <row r="8724" spans="1:11">
      <c r="A8724" s="902" t="s">
        <v>106</v>
      </c>
      <c r="B8724" s="902" t="s">
        <v>377</v>
      </c>
      <c r="C8724" s="902" t="s">
        <v>128</v>
      </c>
      <c r="D8724" s="887" t="s">
        <v>1186</v>
      </c>
      <c r="E8724" s="887" t="s">
        <v>1652</v>
      </c>
      <c r="F8724" s="887" t="s">
        <v>1653</v>
      </c>
      <c r="G8724" s="887" t="s">
        <v>3130</v>
      </c>
    </row>
    <row r="8725" spans="1:11">
      <c r="A8725" s="47">
        <v>2440</v>
      </c>
      <c r="B8725" s="907">
        <v>140</v>
      </c>
      <c r="C8725" s="47" t="s">
        <v>30</v>
      </c>
      <c r="D8725" s="905">
        <v>58</v>
      </c>
      <c r="E8725" s="906">
        <v>7</v>
      </c>
      <c r="F8725" s="905">
        <f>D8725*E8725</f>
        <v>406</v>
      </c>
      <c r="G8725" s="891">
        <v>4.88</v>
      </c>
    </row>
    <row r="8726" spans="1:11">
      <c r="A8726" s="47" t="s">
        <v>6828</v>
      </c>
      <c r="B8726" s="907">
        <v>152</v>
      </c>
      <c r="C8726" s="47" t="s">
        <v>6827</v>
      </c>
      <c r="D8726" s="905">
        <v>58</v>
      </c>
      <c r="E8726" s="906">
        <v>34</v>
      </c>
      <c r="F8726" s="905">
        <f>D8726*E8726</f>
        <v>1972</v>
      </c>
      <c r="G8726" s="891">
        <v>4.88</v>
      </c>
    </row>
    <row r="8729" spans="1:11">
      <c r="A8729" s="902" t="s">
        <v>106</v>
      </c>
      <c r="B8729" s="902" t="s">
        <v>128</v>
      </c>
      <c r="C8729" s="887" t="s">
        <v>1186</v>
      </c>
      <c r="D8729" s="887" t="s">
        <v>1652</v>
      </c>
      <c r="E8729" s="887" t="s">
        <v>1653</v>
      </c>
      <c r="F8729" s="2214" t="s">
        <v>2467</v>
      </c>
    </row>
    <row r="8730" spans="1:11">
      <c r="A8730" s="47" t="s">
        <v>6832</v>
      </c>
      <c r="B8730" s="47" t="s">
        <v>78</v>
      </c>
      <c r="C8730" s="905">
        <v>14</v>
      </c>
      <c r="D8730" s="906">
        <v>1</v>
      </c>
      <c r="E8730" s="905">
        <f>C8730*D8730</f>
        <v>14</v>
      </c>
      <c r="F8730" s="891">
        <v>0.98</v>
      </c>
    </row>
    <row r="8731" spans="1:11">
      <c r="A8731" s="47"/>
      <c r="B8731" s="260" t="s">
        <v>1993</v>
      </c>
      <c r="C8731" s="905"/>
      <c r="D8731" s="906"/>
      <c r="E8731" s="894">
        <v>1</v>
      </c>
      <c r="F8731" s="891">
        <v>12</v>
      </c>
    </row>
    <row r="8734" spans="1:11">
      <c r="A8734" t="s">
        <v>6840</v>
      </c>
    </row>
    <row r="8735" spans="1:11" s="2220" customFormat="1" ht="23.25" customHeight="1">
      <c r="A8735" s="2943" t="s">
        <v>6833</v>
      </c>
      <c r="B8735" s="2957" t="s">
        <v>6834</v>
      </c>
      <c r="C8735" s="2958" t="s">
        <v>6835</v>
      </c>
      <c r="D8735" s="2958"/>
      <c r="E8735" s="2958"/>
      <c r="F8735" s="2958"/>
      <c r="G8735" s="2958"/>
      <c r="H8735" s="2942" t="s">
        <v>6836</v>
      </c>
      <c r="I8735" s="2943" t="s">
        <v>6837</v>
      </c>
      <c r="J8735" s="2942" t="s">
        <v>6838</v>
      </c>
      <c r="K8735" s="2911" t="s">
        <v>6839</v>
      </c>
    </row>
    <row r="8736" spans="1:11" s="2220" customFormat="1" ht="12" customHeight="1">
      <c r="A8736" s="2943"/>
      <c r="B8736" s="2957"/>
      <c r="C8736" s="2221" t="s">
        <v>6512</v>
      </c>
      <c r="D8736" s="2221" t="s">
        <v>6513</v>
      </c>
      <c r="E8736" s="2221" t="s">
        <v>6514</v>
      </c>
      <c r="F8736" s="2221" t="s">
        <v>6515</v>
      </c>
      <c r="G8736" s="2221" t="s">
        <v>6516</v>
      </c>
      <c r="H8736" s="2942"/>
      <c r="I8736" s="2943"/>
      <c r="J8736" s="2942"/>
      <c r="K8736" s="2911"/>
    </row>
    <row r="8737" spans="1:11" s="2225" customFormat="1" ht="16.5" customHeight="1">
      <c r="A8737" s="2222" t="s">
        <v>6841</v>
      </c>
      <c r="B8737" s="2222" t="s">
        <v>6842</v>
      </c>
      <c r="C8737" s="2223">
        <v>6.25</v>
      </c>
      <c r="D8737" s="2223">
        <v>5.63</v>
      </c>
      <c r="E8737" s="2223">
        <v>5.2</v>
      </c>
      <c r="F8737" s="2223">
        <v>5.05</v>
      </c>
      <c r="G8737" s="2223">
        <v>4.96</v>
      </c>
      <c r="H8737" s="2224">
        <v>4831.2</v>
      </c>
      <c r="I8737" s="2224">
        <v>439.2</v>
      </c>
      <c r="J8737" s="2224">
        <v>7.7</v>
      </c>
      <c r="K8737" s="2222" t="s">
        <v>6843</v>
      </c>
    </row>
    <row r="8738" spans="1:11" s="2225" customFormat="1" ht="16.5" customHeight="1">
      <c r="A8738" s="2222" t="s">
        <v>6844</v>
      </c>
      <c r="B8738" s="2222" t="s">
        <v>6845</v>
      </c>
      <c r="C8738" s="2223">
        <v>5.59</v>
      </c>
      <c r="D8738" s="2223">
        <v>5.12</v>
      </c>
      <c r="E8738" s="2223">
        <v>4.75</v>
      </c>
      <c r="F8738" s="2223">
        <v>4.7</v>
      </c>
      <c r="G8738" s="2223">
        <v>4.66</v>
      </c>
      <c r="H8738" s="2224">
        <v>3708.8</v>
      </c>
      <c r="I8738" s="2224">
        <v>292.8</v>
      </c>
      <c r="J8738" s="2224">
        <v>12.1</v>
      </c>
      <c r="K8738" s="2222" t="s">
        <v>6843</v>
      </c>
    </row>
    <row r="8739" spans="1:11" s="2225" customFormat="1" ht="16.5" customHeight="1">
      <c r="A8739" s="2222" t="s">
        <v>6853</v>
      </c>
      <c r="B8739" s="2222" t="s">
        <v>6854</v>
      </c>
      <c r="C8739" s="2223">
        <v>9.5</v>
      </c>
      <c r="D8739" s="2223">
        <v>8.7100000000000009</v>
      </c>
      <c r="E8739" s="2223">
        <v>8.07</v>
      </c>
      <c r="F8739" s="2223">
        <v>7.99</v>
      </c>
      <c r="G8739" s="2223">
        <v>7.92</v>
      </c>
      <c r="H8739" s="2226">
        <v>1600</v>
      </c>
      <c r="I8739" s="2226">
        <v>150</v>
      </c>
      <c r="J8739" s="2224">
        <v>20</v>
      </c>
      <c r="K8739" s="2222" t="s">
        <v>6843</v>
      </c>
    </row>
    <row r="8740" spans="1:11" s="2225" customFormat="1" ht="16.5" customHeight="1">
      <c r="A8740" s="2222" t="s">
        <v>6855</v>
      </c>
      <c r="B8740" s="2222" t="s">
        <v>6856</v>
      </c>
      <c r="C8740" s="2223">
        <v>5.36</v>
      </c>
      <c r="D8740" s="2223">
        <v>4.82</v>
      </c>
      <c r="E8740" s="2223">
        <v>4.45</v>
      </c>
      <c r="F8740" s="2223">
        <v>4.33</v>
      </c>
      <c r="G8740" s="2223">
        <v>4.25</v>
      </c>
      <c r="H8740" s="2226">
        <v>5180</v>
      </c>
      <c r="I8740" s="2226">
        <v>420</v>
      </c>
      <c r="J8740" s="2224">
        <v>6.6</v>
      </c>
      <c r="K8740" s="2222" t="s">
        <v>6843</v>
      </c>
    </row>
    <row r="8741" spans="1:11" s="2225" customFormat="1" ht="16.5" customHeight="1">
      <c r="A8741" s="2222" t="s">
        <v>6857</v>
      </c>
      <c r="B8741" s="2222" t="s">
        <v>6858</v>
      </c>
      <c r="C8741" s="2223">
        <v>8.35</v>
      </c>
      <c r="D8741" s="2223">
        <v>7.65</v>
      </c>
      <c r="E8741" s="2223">
        <v>7.1</v>
      </c>
      <c r="F8741" s="2223">
        <v>7.03</v>
      </c>
      <c r="G8741" s="2223">
        <v>6.96</v>
      </c>
      <c r="H8741" s="2226">
        <v>2184</v>
      </c>
      <c r="I8741" s="2224">
        <v>187.2</v>
      </c>
      <c r="J8741" s="2224">
        <v>17.899999999999999</v>
      </c>
      <c r="K8741" s="2222" t="s">
        <v>6843</v>
      </c>
    </row>
    <row r="8742" spans="1:11" s="2225" customFormat="1" ht="16.5" customHeight="1">
      <c r="A8742" s="2222" t="s">
        <v>6859</v>
      </c>
      <c r="B8742" s="2222" t="s">
        <v>6860</v>
      </c>
      <c r="C8742" s="2223">
        <v>5.88</v>
      </c>
      <c r="D8742" s="2223">
        <v>4.9000000000000004</v>
      </c>
      <c r="E8742" s="2223">
        <v>4.71</v>
      </c>
      <c r="F8742" s="2223">
        <v>4.3099999999999996</v>
      </c>
      <c r="G8742" s="2223">
        <v>4.12</v>
      </c>
      <c r="H8742" s="2224">
        <v>5387.2</v>
      </c>
      <c r="I8742" s="2224">
        <v>436.8</v>
      </c>
      <c r="J8742" s="2224">
        <v>6</v>
      </c>
      <c r="K8742" s="2222" t="s">
        <v>6843</v>
      </c>
    </row>
    <row r="8743" spans="1:11" s="2225" customFormat="1" ht="16.5" customHeight="1">
      <c r="A8743" s="2222" t="s">
        <v>6864</v>
      </c>
      <c r="B8743" s="2222" t="s">
        <v>6865</v>
      </c>
      <c r="C8743" s="2223">
        <v>4.99</v>
      </c>
      <c r="D8743" s="2223">
        <v>4.58</v>
      </c>
      <c r="E8743" s="2223">
        <v>4.24</v>
      </c>
      <c r="F8743" s="2223">
        <v>4.2</v>
      </c>
      <c r="G8743" s="2223">
        <v>4.16</v>
      </c>
      <c r="H8743" s="2226">
        <v>3276</v>
      </c>
      <c r="I8743" s="2224">
        <v>280.8</v>
      </c>
      <c r="J8743" s="2224">
        <v>10.199999999999999</v>
      </c>
      <c r="K8743" s="2222" t="s">
        <v>6843</v>
      </c>
    </row>
    <row r="8744" spans="1:11" s="2225" customFormat="1" ht="16.5" customHeight="1">
      <c r="A8744" s="2222" t="s">
        <v>6866</v>
      </c>
      <c r="B8744" s="2222" t="s">
        <v>6867</v>
      </c>
      <c r="C8744" s="2223">
        <v>5.57</v>
      </c>
      <c r="D8744" s="2223">
        <v>5.1100000000000003</v>
      </c>
      <c r="E8744" s="2223">
        <v>4.74</v>
      </c>
      <c r="F8744" s="2223">
        <v>4.6900000000000004</v>
      </c>
      <c r="G8744" s="2223">
        <v>4.6500000000000004</v>
      </c>
      <c r="H8744" s="2224">
        <v>2923.2</v>
      </c>
      <c r="I8744" s="2224">
        <v>243.6</v>
      </c>
      <c r="J8744" s="2224">
        <v>13.4</v>
      </c>
      <c r="K8744" s="2222" t="s">
        <v>6843</v>
      </c>
    </row>
    <row r="8745" spans="1:11" s="2225" customFormat="1" ht="16.5" customHeight="1">
      <c r="A8745" s="2222" t="s">
        <v>6868</v>
      </c>
      <c r="B8745" s="2222" t="s">
        <v>6869</v>
      </c>
      <c r="C8745" s="2223">
        <v>5.28</v>
      </c>
      <c r="D8745" s="2223">
        <v>4.84</v>
      </c>
      <c r="E8745" s="2223">
        <v>4.4800000000000004</v>
      </c>
      <c r="F8745" s="2223">
        <v>4.4400000000000004</v>
      </c>
      <c r="G8745" s="2223">
        <v>4.4000000000000004</v>
      </c>
      <c r="H8745" s="2224">
        <v>3623.4</v>
      </c>
      <c r="I8745" s="2224">
        <v>329.4</v>
      </c>
      <c r="J8745" s="2224">
        <v>11.6</v>
      </c>
      <c r="K8745" s="2222" t="s">
        <v>6843</v>
      </c>
    </row>
    <row r="8746" spans="1:11" s="2225" customFormat="1" ht="16.5" customHeight="1">
      <c r="A8746" s="2222" t="s">
        <v>6870</v>
      </c>
      <c r="B8746" s="2222" t="s">
        <v>6871</v>
      </c>
      <c r="C8746" s="2223">
        <v>6.27</v>
      </c>
      <c r="D8746" s="2223">
        <v>5.75</v>
      </c>
      <c r="E8746" s="2223">
        <v>5.33</v>
      </c>
      <c r="F8746" s="2223">
        <v>5.28</v>
      </c>
      <c r="G8746" s="2223">
        <v>5.23</v>
      </c>
      <c r="H8746" s="2224">
        <v>3318.4</v>
      </c>
      <c r="I8746" s="2224">
        <v>292.8</v>
      </c>
      <c r="J8746" s="2224">
        <v>13</v>
      </c>
      <c r="K8746" s="2222" t="s">
        <v>6843</v>
      </c>
    </row>
    <row r="8747" spans="1:11" s="2225" customFormat="1" ht="16.5" customHeight="1">
      <c r="A8747" s="2222" t="s">
        <v>6846</v>
      </c>
      <c r="B8747" s="2222" t="s">
        <v>6847</v>
      </c>
      <c r="C8747" s="2223">
        <v>10.51</v>
      </c>
      <c r="D8747" s="2223">
        <v>9.6300000000000008</v>
      </c>
      <c r="E8747" s="2223">
        <v>8.93</v>
      </c>
      <c r="F8747" s="2223">
        <v>8.84</v>
      </c>
      <c r="G8747" s="2223">
        <v>8.76</v>
      </c>
      <c r="H8747" s="2226">
        <v>1830</v>
      </c>
      <c r="I8747" s="2226">
        <v>183</v>
      </c>
      <c r="J8747" s="2224">
        <v>20</v>
      </c>
      <c r="K8747" s="2222" t="s">
        <v>6843</v>
      </c>
    </row>
    <row r="8748" spans="1:11" s="2225" customFormat="1" ht="16.5" customHeight="1">
      <c r="A8748" s="2222" t="s">
        <v>6848</v>
      </c>
      <c r="B8748" s="2222" t="s">
        <v>6849</v>
      </c>
      <c r="C8748" s="2223">
        <v>10.52</v>
      </c>
      <c r="D8748" s="2223">
        <v>9.65</v>
      </c>
      <c r="E8748" s="2223">
        <v>8.94</v>
      </c>
      <c r="F8748" s="2223">
        <v>8.86</v>
      </c>
      <c r="G8748" s="2223">
        <v>8.77</v>
      </c>
      <c r="H8748" s="2226">
        <v>2013</v>
      </c>
      <c r="I8748" s="2226">
        <v>183</v>
      </c>
      <c r="J8748" s="2224">
        <v>20.100000000000001</v>
      </c>
      <c r="K8748" s="2222" t="s">
        <v>6843</v>
      </c>
    </row>
    <row r="8751" spans="1:11" s="2225" customFormat="1" ht="16.5" customHeight="1">
      <c r="A8751" s="2222" t="s">
        <v>6850</v>
      </c>
      <c r="B8751" s="2222" t="s">
        <v>6851</v>
      </c>
      <c r="C8751" s="2223">
        <v>6.3</v>
      </c>
      <c r="D8751" s="2223">
        <v>5.77</v>
      </c>
      <c r="E8751" s="2223">
        <v>5.35</v>
      </c>
      <c r="F8751" s="2223">
        <v>5.3</v>
      </c>
      <c r="G8751" s="2223">
        <v>5.25</v>
      </c>
      <c r="H8751" s="2226">
        <v>2450</v>
      </c>
      <c r="I8751" s="2226">
        <v>210</v>
      </c>
      <c r="J8751" s="2224">
        <v>13.6</v>
      </c>
      <c r="K8751" s="2222" t="s">
        <v>6852</v>
      </c>
    </row>
    <row r="8752" spans="1:11" s="2225" customFormat="1" ht="16.5" customHeight="1">
      <c r="A8752" s="2222" t="s">
        <v>6861</v>
      </c>
      <c r="B8752" s="2222" t="s">
        <v>6862</v>
      </c>
      <c r="C8752" s="2223">
        <v>5.74</v>
      </c>
      <c r="D8752" s="2223">
        <v>5.27</v>
      </c>
      <c r="E8752" s="2223">
        <v>4.88</v>
      </c>
      <c r="F8752" s="2223">
        <v>4.84</v>
      </c>
      <c r="G8752" s="2223">
        <v>4.79</v>
      </c>
      <c r="H8752" s="2224">
        <v>2745.6</v>
      </c>
      <c r="I8752" s="2224">
        <v>249.6</v>
      </c>
      <c r="J8752" s="2224">
        <v>12.6</v>
      </c>
      <c r="K8752" s="2222" t="s">
        <v>6863</v>
      </c>
    </row>
    <row r="8756" spans="1:7">
      <c r="A8756" s="902" t="s">
        <v>106</v>
      </c>
      <c r="B8756" s="902" t="s">
        <v>128</v>
      </c>
      <c r="C8756" s="887" t="s">
        <v>1653</v>
      </c>
      <c r="D8756" s="2214" t="s">
        <v>2467</v>
      </c>
    </row>
    <row r="8757" spans="1:7">
      <c r="A8757" s="47" t="s">
        <v>6810</v>
      </c>
      <c r="B8757" s="47" t="s">
        <v>6874</v>
      </c>
      <c r="C8757" s="905">
        <v>10</v>
      </c>
      <c r="D8757" s="891">
        <v>0.22</v>
      </c>
    </row>
    <row r="8758" spans="1:7">
      <c r="A8758" s="47"/>
      <c r="B8758" s="260" t="s">
        <v>31</v>
      </c>
      <c r="C8758" s="894">
        <v>1</v>
      </c>
      <c r="D8758" s="891">
        <v>12</v>
      </c>
    </row>
    <row r="8762" spans="1:7">
      <c r="A8762" s="887" t="s">
        <v>455</v>
      </c>
      <c r="B8762" s="887" t="s">
        <v>52</v>
      </c>
      <c r="C8762" s="887" t="s">
        <v>128</v>
      </c>
      <c r="D8762" s="887" t="s">
        <v>1186</v>
      </c>
      <c r="E8762" s="887" t="s">
        <v>1652</v>
      </c>
      <c r="F8762" s="887" t="s">
        <v>1653</v>
      </c>
      <c r="G8762" s="2030" t="s">
        <v>1323</v>
      </c>
    </row>
    <row r="8763" spans="1:7">
      <c r="A8763" s="47">
        <v>5291</v>
      </c>
      <c r="B8763" s="48">
        <v>4</v>
      </c>
      <c r="C8763" s="47" t="s">
        <v>2330</v>
      </c>
      <c r="D8763" s="905">
        <v>50</v>
      </c>
      <c r="E8763" s="906">
        <v>2</v>
      </c>
      <c r="F8763" s="905">
        <f>D8763*E8763</f>
        <v>100</v>
      </c>
      <c r="G8763" s="891">
        <v>0.13</v>
      </c>
    </row>
    <row r="8764" spans="1:7">
      <c r="A8764" s="47"/>
      <c r="B8764" s="893"/>
      <c r="C8764" s="260" t="s">
        <v>1993</v>
      </c>
      <c r="D8764" s="905"/>
      <c r="E8764" s="906"/>
      <c r="F8764" s="894">
        <v>1</v>
      </c>
      <c r="G8764" s="891">
        <v>12</v>
      </c>
    </row>
    <row r="8768" spans="1:7">
      <c r="A8768" s="47" t="s">
        <v>6882</v>
      </c>
      <c r="B8768" s="48">
        <v>11</v>
      </c>
      <c r="C8768" s="47" t="s">
        <v>117</v>
      </c>
      <c r="D8768" s="905">
        <v>30</v>
      </c>
      <c r="E8768" s="906">
        <v>13</v>
      </c>
      <c r="F8768" s="905">
        <f>D8768*E8768</f>
        <v>390</v>
      </c>
    </row>
    <row r="8770" spans="1:9">
      <c r="A8770" s="629" t="s">
        <v>6883</v>
      </c>
    </row>
    <row r="8771" spans="1:9" ht="15">
      <c r="A8771" s="1996" t="s">
        <v>1603</v>
      </c>
      <c r="B8771" s="1996" t="s">
        <v>377</v>
      </c>
      <c r="C8771" s="1996" t="s">
        <v>2317</v>
      </c>
      <c r="D8771" s="1997" t="s">
        <v>5952</v>
      </c>
      <c r="E8771" s="1997" t="s">
        <v>5954</v>
      </c>
      <c r="F8771" s="1998" t="s">
        <v>5282</v>
      </c>
      <c r="G8771" s="1998" t="s">
        <v>5948</v>
      </c>
      <c r="H8771" s="2001" t="s">
        <v>5955</v>
      </c>
      <c r="I8771" s="2002" t="s">
        <v>5956</v>
      </c>
    </row>
    <row r="8772" spans="1:9">
      <c r="A8772" s="47" t="s">
        <v>6884</v>
      </c>
      <c r="B8772" s="1187">
        <v>10</v>
      </c>
      <c r="C8772" s="47" t="s">
        <v>1661</v>
      </c>
      <c r="D8772" s="47" t="s">
        <v>5953</v>
      </c>
      <c r="E8772" s="1245">
        <f>ROUNDUP(H8772/0.45/120,2)</f>
        <v>0.82000000000000006</v>
      </c>
      <c r="F8772" s="47" t="s">
        <v>5957</v>
      </c>
      <c r="G8772" s="1245">
        <v>190</v>
      </c>
      <c r="H8772" s="1999">
        <v>44</v>
      </c>
      <c r="I8772" s="2000">
        <v>18000</v>
      </c>
    </row>
    <row r="8775" spans="1:9">
      <c r="A8775" s="887" t="s">
        <v>455</v>
      </c>
      <c r="B8775" s="887" t="s">
        <v>52</v>
      </c>
      <c r="C8775" s="887" t="s">
        <v>128</v>
      </c>
      <c r="D8775" s="887" t="s">
        <v>1186</v>
      </c>
      <c r="E8775" s="887" t="s">
        <v>1652</v>
      </c>
      <c r="F8775" s="887" t="s">
        <v>1653</v>
      </c>
      <c r="G8775" s="2030" t="s">
        <v>1323</v>
      </c>
      <c r="H8775" s="39"/>
    </row>
    <row r="8776" spans="1:9">
      <c r="A8776" s="47" t="s">
        <v>6885</v>
      </c>
      <c r="B8776" s="2052">
        <v>10</v>
      </c>
      <c r="C8776" s="47" t="s">
        <v>6886</v>
      </c>
      <c r="D8776" s="903">
        <v>100</v>
      </c>
      <c r="E8776" s="904">
        <v>1</v>
      </c>
      <c r="F8776" s="905">
        <f>D8776*E8776</f>
        <v>100</v>
      </c>
      <c r="G8776" s="891">
        <v>0.82</v>
      </c>
      <c r="H8776" s="891">
        <f>G8776*F8776</f>
        <v>82</v>
      </c>
    </row>
    <row r="8777" spans="1:9">
      <c r="A8777" s="47"/>
      <c r="B8777" s="893"/>
      <c r="C8777" s="260" t="s">
        <v>6148</v>
      </c>
      <c r="D8777" s="905"/>
      <c r="E8777" s="906"/>
      <c r="F8777" s="894">
        <v>1</v>
      </c>
      <c r="G8777" s="891">
        <v>190</v>
      </c>
      <c r="H8777" s="891">
        <v>190</v>
      </c>
    </row>
    <row r="8778" spans="1:9">
      <c r="A8778" s="47"/>
      <c r="B8778" s="893"/>
      <c r="C8778" s="260" t="s">
        <v>1993</v>
      </c>
      <c r="D8778" s="905"/>
      <c r="E8778" s="906"/>
      <c r="F8778" s="894">
        <v>1</v>
      </c>
      <c r="G8778" s="891">
        <v>12</v>
      </c>
      <c r="H8778" s="891">
        <f>G8778*F8778</f>
        <v>12</v>
      </c>
    </row>
    <row r="8782" spans="1:9">
      <c r="A8782" s="887" t="s">
        <v>455</v>
      </c>
      <c r="B8782" s="887" t="s">
        <v>52</v>
      </c>
      <c r="C8782" s="887" t="s">
        <v>128</v>
      </c>
      <c r="D8782" s="887" t="s">
        <v>1186</v>
      </c>
      <c r="E8782" s="887" t="s">
        <v>1652</v>
      </c>
      <c r="F8782" s="887" t="s">
        <v>1653</v>
      </c>
      <c r="G8782" s="1783" t="s">
        <v>6890</v>
      </c>
    </row>
    <row r="8783" spans="1:9">
      <c r="A8783" s="47">
        <v>12740</v>
      </c>
      <c r="B8783" s="48">
        <v>9</v>
      </c>
      <c r="C8783" s="47" t="s">
        <v>6461</v>
      </c>
      <c r="D8783" s="905">
        <v>10</v>
      </c>
      <c r="E8783" s="906">
        <v>72</v>
      </c>
      <c r="F8783" s="905">
        <f>D8783*E8783</f>
        <v>720</v>
      </c>
      <c r="G8783" s="891">
        <v>1.21</v>
      </c>
    </row>
    <row r="8786" spans="1:9">
      <c r="A8786" s="887" t="s">
        <v>455</v>
      </c>
      <c r="B8786" s="887" t="s">
        <v>128</v>
      </c>
      <c r="C8786" s="887" t="s">
        <v>1186</v>
      </c>
      <c r="D8786" s="887" t="s">
        <v>1652</v>
      </c>
      <c r="E8786" s="887" t="s">
        <v>1653</v>
      </c>
      <c r="F8786" s="2030" t="s">
        <v>1323</v>
      </c>
      <c r="G8786" s="2030" t="s">
        <v>2245</v>
      </c>
    </row>
    <row r="8787" spans="1:9">
      <c r="A8787" s="47" t="s">
        <v>6894</v>
      </c>
      <c r="B8787" s="47" t="s">
        <v>78</v>
      </c>
      <c r="C8787" s="905">
        <v>14</v>
      </c>
      <c r="D8787" s="906">
        <v>1</v>
      </c>
      <c r="E8787" s="905">
        <f>C8787*D8787</f>
        <v>14</v>
      </c>
      <c r="F8787" s="891">
        <v>1.08</v>
      </c>
      <c r="G8787" s="891">
        <f>F8787*E8787</f>
        <v>15.120000000000001</v>
      </c>
    </row>
    <row r="8788" spans="1:9">
      <c r="A8788" s="47"/>
      <c r="B8788" s="260" t="s">
        <v>1993</v>
      </c>
      <c r="C8788" s="905"/>
      <c r="D8788" s="906"/>
      <c r="E8788" s="894">
        <v>1</v>
      </c>
      <c r="F8788" s="891">
        <v>12</v>
      </c>
      <c r="G8788" s="891">
        <f>F8788*E8788</f>
        <v>12</v>
      </c>
    </row>
    <row r="8789" spans="1:9">
      <c r="A8789" s="47"/>
      <c r="B8789" s="260" t="s">
        <v>6895</v>
      </c>
      <c r="C8789" s="905"/>
      <c r="D8789" s="906"/>
      <c r="E8789" s="894">
        <v>1</v>
      </c>
      <c r="F8789" s="891">
        <v>30</v>
      </c>
      <c r="G8789" s="891">
        <f>F8789*E8789</f>
        <v>30</v>
      </c>
    </row>
    <row r="8790" spans="1:9">
      <c r="A8790" s="47"/>
      <c r="B8790" s="260"/>
      <c r="C8790" s="905"/>
      <c r="D8790" s="906"/>
      <c r="E8790" s="894"/>
      <c r="F8790" s="1202" t="s">
        <v>6896</v>
      </c>
      <c r="G8790" s="919">
        <f>SUM(G8787:G8789)</f>
        <v>57.120000000000005</v>
      </c>
    </row>
    <row r="8795" spans="1:9">
      <c r="A8795" s="2948" t="s">
        <v>6833</v>
      </c>
      <c r="B8795" s="2950" t="s">
        <v>6904</v>
      </c>
      <c r="C8795" s="2951"/>
      <c r="D8795" s="2951"/>
      <c r="E8795" s="2951"/>
      <c r="F8795" s="2952"/>
      <c r="G8795" s="2948" t="s">
        <v>6837</v>
      </c>
      <c r="H8795" s="2953" t="s">
        <v>6838</v>
      </c>
      <c r="I8795" s="2955" t="s">
        <v>6839</v>
      </c>
    </row>
    <row r="8796" spans="1:9">
      <c r="A8796" s="2949"/>
      <c r="B8796" s="2221" t="s">
        <v>6512</v>
      </c>
      <c r="C8796" s="2221" t="s">
        <v>6513</v>
      </c>
      <c r="D8796" s="2221" t="s">
        <v>6514</v>
      </c>
      <c r="E8796" s="2221" t="s">
        <v>6515</v>
      </c>
      <c r="F8796" s="2221" t="s">
        <v>6516</v>
      </c>
      <c r="G8796" s="2949"/>
      <c r="H8796" s="2954"/>
      <c r="I8796" s="2956"/>
    </row>
    <row r="8797" spans="1:9" ht="14.25">
      <c r="A8797" s="2222" t="s">
        <v>6902</v>
      </c>
      <c r="B8797" s="2223">
        <v>60.36</v>
      </c>
      <c r="C8797" s="2241">
        <v>59.18</v>
      </c>
      <c r="D8797" s="2241">
        <v>54.44</v>
      </c>
      <c r="E8797" s="2241">
        <v>52.08</v>
      </c>
      <c r="F8797" s="2241">
        <v>52.08</v>
      </c>
      <c r="G8797" s="2224">
        <v>36.6</v>
      </c>
      <c r="H8797" s="2242">
        <v>120.3</v>
      </c>
      <c r="I8797" s="2240" t="s">
        <v>6903</v>
      </c>
    </row>
    <row r="8799" spans="1:9">
      <c r="A8799" s="883" t="s">
        <v>6906</v>
      </c>
    </row>
    <row r="8800" spans="1:9">
      <c r="A8800" s="887" t="s">
        <v>455</v>
      </c>
      <c r="B8800" s="887" t="s">
        <v>52</v>
      </c>
      <c r="C8800" s="887" t="s">
        <v>128</v>
      </c>
      <c r="D8800" s="887" t="s">
        <v>1186</v>
      </c>
      <c r="E8800" s="887" t="s">
        <v>1652</v>
      </c>
      <c r="F8800" s="887" t="s">
        <v>1653</v>
      </c>
      <c r="G8800" s="1783" t="s">
        <v>6890</v>
      </c>
    </row>
    <row r="8801" spans="1:12">
      <c r="A8801" s="47">
        <v>12740</v>
      </c>
      <c r="B8801" s="48">
        <v>19</v>
      </c>
      <c r="C8801" s="47" t="s">
        <v>6905</v>
      </c>
      <c r="D8801" s="905">
        <v>10</v>
      </c>
      <c r="E8801" s="906">
        <v>10</v>
      </c>
      <c r="F8801" s="905">
        <f>D8801*E8801</f>
        <v>100</v>
      </c>
      <c r="G8801" s="891">
        <v>1.92</v>
      </c>
      <c r="H8801">
        <v>89</v>
      </c>
    </row>
    <row r="8802" spans="1:12">
      <c r="A8802" s="47">
        <v>12740</v>
      </c>
      <c r="B8802" s="48">
        <v>19</v>
      </c>
      <c r="C8802" s="47" t="s">
        <v>6905</v>
      </c>
      <c r="D8802" s="905">
        <v>10</v>
      </c>
      <c r="E8802" s="906">
        <v>30</v>
      </c>
      <c r="F8802" s="905">
        <f>D8802*E8802</f>
        <v>300</v>
      </c>
      <c r="G8802" s="891">
        <v>1.73</v>
      </c>
      <c r="H8802">
        <v>89</v>
      </c>
    </row>
    <row r="8803" spans="1:12">
      <c r="A8803" s="47">
        <v>12740</v>
      </c>
      <c r="B8803" s="48">
        <v>19</v>
      </c>
      <c r="C8803" s="47" t="s">
        <v>6905</v>
      </c>
      <c r="D8803" s="905">
        <v>10</v>
      </c>
      <c r="E8803" s="906">
        <v>50</v>
      </c>
      <c r="F8803" s="905">
        <f>D8803*E8803</f>
        <v>500</v>
      </c>
      <c r="G8803" s="891">
        <v>1.7</v>
      </c>
      <c r="H8803">
        <v>89</v>
      </c>
    </row>
    <row r="8806" spans="1:12">
      <c r="A8806" s="887" t="s">
        <v>455</v>
      </c>
      <c r="B8806" s="887" t="s">
        <v>128</v>
      </c>
      <c r="C8806" s="887" t="s">
        <v>54</v>
      </c>
      <c r="D8806" s="2030" t="s">
        <v>1323</v>
      </c>
      <c r="E8806" s="2030" t="s">
        <v>2245</v>
      </c>
    </row>
    <row r="8807" spans="1:12">
      <c r="A8807" s="1008" t="s">
        <v>6913</v>
      </c>
      <c r="B8807" s="47" t="s">
        <v>78</v>
      </c>
      <c r="C8807" s="905">
        <v>5</v>
      </c>
      <c r="D8807" s="1061">
        <v>0.59</v>
      </c>
      <c r="E8807" s="1061">
        <f>D8807*C8807</f>
        <v>2.9499999999999997</v>
      </c>
    </row>
    <row r="8808" spans="1:12">
      <c r="A8808" s="47"/>
      <c r="B8808" s="260" t="s">
        <v>1993</v>
      </c>
      <c r="C8808" s="894">
        <v>1</v>
      </c>
      <c r="D8808" s="891">
        <v>12</v>
      </c>
      <c r="E8808" s="1061">
        <f>D8808*C8808</f>
        <v>12</v>
      </c>
    </row>
    <row r="8811" spans="1:12">
      <c r="A8811" s="895" t="s">
        <v>6919</v>
      </c>
    </row>
    <row r="8812" spans="1:12" ht="15">
      <c r="A8812" s="1996" t="s">
        <v>1603</v>
      </c>
      <c r="B8812" s="1996" t="s">
        <v>2317</v>
      </c>
      <c r="C8812" s="1997" t="s">
        <v>5310</v>
      </c>
      <c r="D8812" s="1997" t="s">
        <v>5308</v>
      </c>
      <c r="E8812" s="1998" t="s">
        <v>1623</v>
      </c>
      <c r="F8812" s="1998" t="s">
        <v>5282</v>
      </c>
      <c r="G8812" s="1998" t="s">
        <v>5948</v>
      </c>
      <c r="H8812" s="2045" t="s">
        <v>5308</v>
      </c>
      <c r="I8812" s="940" t="s">
        <v>1623</v>
      </c>
      <c r="J8812" s="2037" t="s">
        <v>6117</v>
      </c>
      <c r="K8812" s="2037" t="s">
        <v>6118</v>
      </c>
      <c r="L8812" s="2037" t="s">
        <v>6081</v>
      </c>
    </row>
    <row r="8813" spans="1:12">
      <c r="A8813" s="47" t="s">
        <v>6912</v>
      </c>
      <c r="B8813" s="47" t="s">
        <v>1574</v>
      </c>
      <c r="C8813" s="47" t="s">
        <v>1519</v>
      </c>
      <c r="D8813" s="1174">
        <v>0.59</v>
      </c>
      <c r="E8813" s="1061">
        <v>1.56</v>
      </c>
      <c r="F8813" s="47" t="s">
        <v>6131</v>
      </c>
      <c r="G8813" s="2046">
        <v>75</v>
      </c>
      <c r="H8813" s="1999">
        <v>42</v>
      </c>
      <c r="I8813" s="2000">
        <f>42+70</f>
        <v>112</v>
      </c>
      <c r="J8813" s="2070">
        <f>(D8813-(H8813/L8813))/D8813</f>
        <v>0.40677966101694918</v>
      </c>
      <c r="K8813" s="2070">
        <f>(E8813-(I8813/L8813))/E8813</f>
        <v>0.40170940170940173</v>
      </c>
      <c r="L8813">
        <v>120</v>
      </c>
    </row>
    <row r="8815" spans="1:12">
      <c r="A8815" s="887" t="s">
        <v>455</v>
      </c>
      <c r="B8815" s="887" t="s">
        <v>128</v>
      </c>
      <c r="C8815" s="887" t="s">
        <v>54</v>
      </c>
      <c r="D8815" s="2030" t="s">
        <v>1323</v>
      </c>
      <c r="E8815" s="2030" t="s">
        <v>2245</v>
      </c>
    </row>
    <row r="8816" spans="1:12">
      <c r="A8816" s="1008" t="s">
        <v>6913</v>
      </c>
      <c r="B8816" s="47" t="s">
        <v>6916</v>
      </c>
      <c r="C8816" s="905">
        <v>10</v>
      </c>
      <c r="D8816" s="1061">
        <v>1.56</v>
      </c>
      <c r="E8816" s="891">
        <f>D8816*C8816</f>
        <v>15.600000000000001</v>
      </c>
    </row>
    <row r="8817" spans="1:8">
      <c r="A8817" s="1008" t="s">
        <v>6913</v>
      </c>
      <c r="B8817" s="47" t="s">
        <v>6917</v>
      </c>
      <c r="C8817" s="905">
        <v>10</v>
      </c>
      <c r="D8817" s="1061">
        <v>1.56</v>
      </c>
      <c r="E8817" s="891">
        <f>D8817*C8817</f>
        <v>15.600000000000001</v>
      </c>
    </row>
    <row r="8818" spans="1:8">
      <c r="A8818" s="1008" t="s">
        <v>6913</v>
      </c>
      <c r="B8818" s="47" t="s">
        <v>6918</v>
      </c>
      <c r="C8818" s="905">
        <v>10</v>
      </c>
      <c r="D8818" s="1061">
        <v>1.56</v>
      </c>
      <c r="E8818" s="891">
        <f>D8818*C8818</f>
        <v>15.600000000000001</v>
      </c>
    </row>
    <row r="8819" spans="1:8">
      <c r="A8819" s="47"/>
      <c r="B8819" s="260" t="s">
        <v>256</v>
      </c>
      <c r="C8819" s="894">
        <v>3</v>
      </c>
      <c r="D8819" s="891">
        <v>75</v>
      </c>
      <c r="E8819" s="891">
        <f>D8819*C8819</f>
        <v>225</v>
      </c>
    </row>
    <row r="8822" spans="1:8">
      <c r="A8822" s="902" t="s">
        <v>106</v>
      </c>
      <c r="B8822" s="902" t="s">
        <v>377</v>
      </c>
      <c r="C8822" s="902" t="s">
        <v>128</v>
      </c>
      <c r="D8822" s="887" t="s">
        <v>1186</v>
      </c>
      <c r="E8822" s="887" t="s">
        <v>1652</v>
      </c>
      <c r="F8822" s="887" t="s">
        <v>1653</v>
      </c>
      <c r="G8822" s="887" t="s">
        <v>3130</v>
      </c>
      <c r="H8822" s="887" t="s">
        <v>6925</v>
      </c>
    </row>
    <row r="8823" spans="1:8">
      <c r="A8823" s="47">
        <v>2440</v>
      </c>
      <c r="B8823" s="1146">
        <v>140</v>
      </c>
      <c r="C8823" s="47" t="s">
        <v>30</v>
      </c>
      <c r="D8823" s="905">
        <v>58</v>
      </c>
      <c r="E8823" s="906">
        <v>19</v>
      </c>
      <c r="F8823" s="905">
        <f>D8823*E8823</f>
        <v>1102</v>
      </c>
      <c r="G8823" s="891">
        <v>4.88</v>
      </c>
      <c r="H8823" s="1050" t="s">
        <v>3416</v>
      </c>
    </row>
    <row r="8824" spans="1:8">
      <c r="A8824" s="47">
        <v>2440</v>
      </c>
      <c r="B8824" s="1146">
        <v>140</v>
      </c>
      <c r="C8824" s="47" t="s">
        <v>6921</v>
      </c>
      <c r="D8824" s="905">
        <v>58</v>
      </c>
      <c r="E8824" s="906">
        <v>5</v>
      </c>
      <c r="F8824" s="905">
        <f>D8824*E8824</f>
        <v>290</v>
      </c>
      <c r="G8824" s="891">
        <v>4.88</v>
      </c>
      <c r="H8824" s="1050" t="s">
        <v>3416</v>
      </c>
    </row>
    <row r="8825" spans="1:8">
      <c r="A8825" s="47">
        <v>2440</v>
      </c>
      <c r="B8825" s="1146">
        <v>140</v>
      </c>
      <c r="C8825" s="47" t="s">
        <v>6922</v>
      </c>
      <c r="D8825" s="905">
        <v>58</v>
      </c>
      <c r="E8825" s="906">
        <v>26</v>
      </c>
      <c r="F8825" s="905">
        <f>D8825*E8825</f>
        <v>1508</v>
      </c>
      <c r="G8825" s="891">
        <v>4.88</v>
      </c>
      <c r="H8825" s="1050" t="s">
        <v>6926</v>
      </c>
    </row>
    <row r="8827" spans="1:8">
      <c r="A8827" s="895" t="s">
        <v>6927</v>
      </c>
    </row>
    <row r="8828" spans="1:8" ht="25.5">
      <c r="A8828" s="902" t="s">
        <v>5583</v>
      </c>
      <c r="B8828" s="902" t="s">
        <v>3287</v>
      </c>
      <c r="C8828" s="1772" t="s">
        <v>6928</v>
      </c>
      <c r="D8828" s="2037" t="s">
        <v>6613</v>
      </c>
      <c r="E8828" s="2037" t="s">
        <v>6929</v>
      </c>
      <c r="F8828" s="2037" t="s">
        <v>6081</v>
      </c>
    </row>
    <row r="8829" spans="1:8" ht="15">
      <c r="A8829" s="909" t="s">
        <v>5903</v>
      </c>
      <c r="B8829" s="1209" t="s">
        <v>5584</v>
      </c>
      <c r="C8829" s="1245">
        <v>20.610000000000003</v>
      </c>
      <c r="D8829" s="2253">
        <v>1910</v>
      </c>
      <c r="E8829" s="1965">
        <f>(C8829-(D8829/F8829))/C8829</f>
        <v>0.22772117095261213</v>
      </c>
      <c r="F8829">
        <v>120</v>
      </c>
    </row>
    <row r="8830" spans="1:8" ht="15">
      <c r="A8830" s="909" t="s">
        <v>5907</v>
      </c>
      <c r="B8830" s="1209" t="s">
        <v>5584</v>
      </c>
      <c r="C8830" s="1245">
        <v>20.84</v>
      </c>
      <c r="D8830" s="2253">
        <v>1930</v>
      </c>
      <c r="E8830" s="1965">
        <f>(C8830-(D8830/F8830))/C8830</f>
        <v>0.22824696097248887</v>
      </c>
      <c r="F8830">
        <v>120</v>
      </c>
    </row>
    <row r="8834" spans="1:17">
      <c r="A8834" s="902" t="s">
        <v>106</v>
      </c>
      <c r="B8834" s="902" t="s">
        <v>2861</v>
      </c>
      <c r="C8834" s="902" t="s">
        <v>2862</v>
      </c>
      <c r="D8834" s="902" t="s">
        <v>54</v>
      </c>
      <c r="E8834" s="902" t="s">
        <v>6930</v>
      </c>
      <c r="F8834" s="902" t="s">
        <v>6619</v>
      </c>
      <c r="G8834" s="902" t="s">
        <v>2245</v>
      </c>
    </row>
    <row r="8835" spans="1:17" s="888" customFormat="1" ht="12.75">
      <c r="A8835" s="889" t="s">
        <v>3323</v>
      </c>
      <c r="B8835" s="260"/>
      <c r="C8835" s="260"/>
      <c r="D8835" s="948"/>
      <c r="E8835" s="948"/>
      <c r="F8835" s="903"/>
      <c r="G8835" s="903"/>
      <c r="H8835" s="52" t="s">
        <v>1027</v>
      </c>
      <c r="I8835" s="39"/>
      <c r="J8835" s="39"/>
      <c r="K8835" s="39"/>
      <c r="L8835" s="1148"/>
      <c r="M8835" s="4"/>
      <c r="N8835" s="1267"/>
      <c r="O8835" s="776"/>
      <c r="P8835" s="1151"/>
      <c r="Q8835" s="1204"/>
    </row>
    <row r="8836" spans="1:17" s="888" customFormat="1" ht="12.75">
      <c r="A8836" s="47" t="s">
        <v>3324</v>
      </c>
      <c r="B8836" s="260" t="s">
        <v>5768</v>
      </c>
      <c r="C8836" s="260" t="s">
        <v>5762</v>
      </c>
      <c r="D8836" s="2254">
        <v>100</v>
      </c>
      <c r="E8836" s="47">
        <v>128.5</v>
      </c>
      <c r="F8836" s="891">
        <v>2.38</v>
      </c>
      <c r="G8836" s="891">
        <f>F8836*D8836</f>
        <v>238</v>
      </c>
      <c r="H8836" s="1202" t="s">
        <v>2219</v>
      </c>
      <c r="I8836" s="39"/>
      <c r="J8836" s="1148"/>
      <c r="K8836" s="891" t="e">
        <f>F8836*(VLOOKUP(#REF!,$C$2:$F$6,3,FALSE))</f>
        <v>#REF!</v>
      </c>
      <c r="L8836" s="1150">
        <v>2.09</v>
      </c>
      <c r="M8836" s="2161">
        <f>L8836*D8836</f>
        <v>209</v>
      </c>
      <c r="N8836" s="1151">
        <v>128.5</v>
      </c>
      <c r="O8836" s="1269">
        <f>N8836*D8836</f>
        <v>12850</v>
      </c>
    </row>
    <row r="8837" spans="1:17" s="888" customFormat="1" ht="12.75">
      <c r="A8837" s="47" t="s">
        <v>3324</v>
      </c>
      <c r="B8837" s="260" t="s">
        <v>5768</v>
      </c>
      <c r="C8837" s="260" t="s">
        <v>5764</v>
      </c>
      <c r="D8837" s="2254">
        <v>110</v>
      </c>
      <c r="E8837" s="47">
        <v>128.5</v>
      </c>
      <c r="F8837" s="891">
        <v>2.38</v>
      </c>
      <c r="G8837" s="891">
        <f>F8837*D8837</f>
        <v>261.8</v>
      </c>
      <c r="H8837" s="1202" t="s">
        <v>2219</v>
      </c>
      <c r="I8837" s="39"/>
      <c r="J8837" s="1148"/>
      <c r="K8837" s="891" t="e">
        <f>F8837*(VLOOKUP(#REF!,$C$2:$F$6,3,FALSE))</f>
        <v>#REF!</v>
      </c>
      <c r="L8837" s="1150">
        <v>2.09</v>
      </c>
      <c r="M8837" s="2161">
        <f>L8837*D8837</f>
        <v>229.89999999999998</v>
      </c>
      <c r="N8837" s="1151">
        <v>128.5</v>
      </c>
      <c r="O8837" s="1269">
        <f>N8837*D8837</f>
        <v>14135</v>
      </c>
    </row>
    <row r="8838" spans="1:17" s="888" customFormat="1" ht="12.75">
      <c r="A8838" s="47" t="s">
        <v>3324</v>
      </c>
      <c r="B8838" s="260" t="s">
        <v>5768</v>
      </c>
      <c r="C8838" s="260" t="s">
        <v>6627</v>
      </c>
      <c r="D8838" s="2254">
        <v>38</v>
      </c>
      <c r="E8838" s="47">
        <v>128.5</v>
      </c>
      <c r="F8838" s="891">
        <v>2.38</v>
      </c>
      <c r="G8838" s="891">
        <f>F8838*D8838</f>
        <v>90.44</v>
      </c>
      <c r="H8838" s="1202" t="s">
        <v>2219</v>
      </c>
      <c r="I8838" s="39"/>
      <c r="J8838" s="1148"/>
      <c r="K8838" s="891" t="e">
        <f>F8838*(VLOOKUP(#REF!,$C$2:$F$6,3,FALSE))</f>
        <v>#REF!</v>
      </c>
      <c r="L8838" s="1150">
        <v>2.09</v>
      </c>
      <c r="M8838" s="2161">
        <f>L8838*D8838</f>
        <v>79.419999999999987</v>
      </c>
      <c r="N8838" s="1151">
        <v>128.5</v>
      </c>
      <c r="O8838" s="1269">
        <f>N8838*D8838</f>
        <v>4883</v>
      </c>
    </row>
    <row r="8839" spans="1:17" s="888" customFormat="1" ht="12.75">
      <c r="A8839" s="47" t="s">
        <v>3324</v>
      </c>
      <c r="B8839" s="260" t="s">
        <v>5768</v>
      </c>
      <c r="C8839" s="260" t="s">
        <v>6626</v>
      </c>
      <c r="D8839" s="2254">
        <v>38</v>
      </c>
      <c r="E8839" s="47">
        <v>128.5</v>
      </c>
      <c r="F8839" s="891">
        <v>2.38</v>
      </c>
      <c r="G8839" s="891">
        <f>F8839*D8839</f>
        <v>90.44</v>
      </c>
      <c r="H8839" s="1202" t="s">
        <v>2219</v>
      </c>
      <c r="I8839" s="39"/>
      <c r="J8839" s="1148"/>
      <c r="K8839" s="891" t="e">
        <f>F8839*(VLOOKUP(#REF!,$C$2:$F$6,3,FALSE))</f>
        <v>#REF!</v>
      </c>
      <c r="L8839" s="1150">
        <v>2.09</v>
      </c>
      <c r="M8839" s="2161">
        <f>L8839*D8839</f>
        <v>79.419999999999987</v>
      </c>
      <c r="N8839" s="1151">
        <v>128.5</v>
      </c>
      <c r="O8839" s="1269">
        <f>N8839*D8839</f>
        <v>4883</v>
      </c>
    </row>
    <row r="8840" spans="1:17" s="888" customFormat="1" ht="12.75">
      <c r="A8840" s="47"/>
      <c r="B8840" s="2015"/>
      <c r="C8840" s="260" t="s">
        <v>2014</v>
      </c>
      <c r="D8840" s="2016">
        <v>2</v>
      </c>
      <c r="E8840" s="47" t="s">
        <v>6931</v>
      </c>
      <c r="F8840" s="891">
        <v>7</v>
      </c>
      <c r="G8840" s="891">
        <f>F8840*D8840</f>
        <v>14</v>
      </c>
      <c r="H8840" s="1202" t="s">
        <v>2219</v>
      </c>
      <c r="I8840" s="39"/>
      <c r="J8840" s="1148"/>
      <c r="K8840" s="891" t="e">
        <f>F8840*(VLOOKUP(#REF!,$C$2:$F$6,3,FALSE))</f>
        <v>#REF!</v>
      </c>
      <c r="L8840" s="1150">
        <v>7</v>
      </c>
      <c r="M8840" s="2161">
        <f>L8840*D8840</f>
        <v>14</v>
      </c>
      <c r="N8840" s="1151">
        <v>500</v>
      </c>
      <c r="O8840" s="1269">
        <f>N8840*D8840</f>
        <v>1000</v>
      </c>
    </row>
    <row r="8844" spans="1:17">
      <c r="A8844" s="902" t="s">
        <v>106</v>
      </c>
      <c r="B8844" s="902" t="s">
        <v>2861</v>
      </c>
      <c r="C8844" s="902" t="s">
        <v>2862</v>
      </c>
      <c r="D8844" s="902" t="s">
        <v>54</v>
      </c>
      <c r="E8844" s="902" t="s">
        <v>6619</v>
      </c>
      <c r="F8844" s="902" t="s">
        <v>2245</v>
      </c>
    </row>
    <row r="8845" spans="1:17">
      <c r="A8845" s="889" t="s">
        <v>3323</v>
      </c>
      <c r="B8845" s="260"/>
      <c r="C8845" s="260"/>
      <c r="D8845" s="948"/>
      <c r="E8845" s="903"/>
      <c r="F8845" s="903"/>
    </row>
    <row r="8846" spans="1:17">
      <c r="A8846" s="47" t="s">
        <v>3324</v>
      </c>
      <c r="B8846" s="260" t="s">
        <v>5768</v>
      </c>
      <c r="C8846" s="260" t="s">
        <v>5762</v>
      </c>
      <c r="D8846" s="2254">
        <v>100</v>
      </c>
      <c r="E8846" s="891">
        <v>2.38</v>
      </c>
      <c r="F8846" s="891">
        <f t="shared" ref="F8846:F8851" si="74">E8846*D8846</f>
        <v>238</v>
      </c>
    </row>
    <row r="8847" spans="1:17">
      <c r="A8847" s="47" t="s">
        <v>3324</v>
      </c>
      <c r="B8847" s="260" t="s">
        <v>5768</v>
      </c>
      <c r="C8847" s="260" t="s">
        <v>5764</v>
      </c>
      <c r="D8847" s="2254">
        <v>110</v>
      </c>
      <c r="E8847" s="891">
        <v>2.38</v>
      </c>
      <c r="F8847" s="891">
        <f t="shared" si="74"/>
        <v>261.8</v>
      </c>
    </row>
    <row r="8848" spans="1:17">
      <c r="A8848" s="47" t="s">
        <v>3324</v>
      </c>
      <c r="B8848" s="260" t="s">
        <v>5768</v>
      </c>
      <c r="C8848" s="260" t="s">
        <v>6627</v>
      </c>
      <c r="D8848" s="2254">
        <v>38</v>
      </c>
      <c r="E8848" s="891">
        <v>2.38</v>
      </c>
      <c r="F8848" s="891">
        <f t="shared" si="74"/>
        <v>90.44</v>
      </c>
    </row>
    <row r="8849" spans="1:8">
      <c r="A8849" s="47" t="s">
        <v>3324</v>
      </c>
      <c r="B8849" s="260" t="s">
        <v>5768</v>
      </c>
      <c r="C8849" s="260" t="s">
        <v>6626</v>
      </c>
      <c r="D8849" s="2254">
        <v>38</v>
      </c>
      <c r="E8849" s="891">
        <v>2.38</v>
      </c>
      <c r="F8849" s="891">
        <f t="shared" si="74"/>
        <v>90.44</v>
      </c>
    </row>
    <row r="8850" spans="1:8">
      <c r="A8850" s="47"/>
      <c r="B8850" s="2015"/>
      <c r="C8850" s="260" t="s">
        <v>2014</v>
      </c>
      <c r="D8850" s="2016">
        <v>2</v>
      </c>
      <c r="E8850" s="891">
        <v>7</v>
      </c>
      <c r="F8850" s="891">
        <f t="shared" si="74"/>
        <v>14</v>
      </c>
    </row>
    <row r="8851" spans="1:8">
      <c r="A8851" s="47"/>
      <c r="B8851" s="2015"/>
      <c r="C8851" s="260" t="s">
        <v>1993</v>
      </c>
      <c r="D8851" s="2016">
        <v>1</v>
      </c>
      <c r="E8851" s="891">
        <v>12</v>
      </c>
      <c r="F8851" s="891">
        <f t="shared" si="74"/>
        <v>12</v>
      </c>
    </row>
    <row r="8852" spans="1:8">
      <c r="A8852" s="47"/>
      <c r="B8852" s="2015"/>
      <c r="C8852" s="2255"/>
      <c r="D8852" s="2016"/>
      <c r="E8852" s="2255" t="s">
        <v>375</v>
      </c>
      <c r="F8852" s="919">
        <f>SUM(F8846:F8851)</f>
        <v>706.68000000000006</v>
      </c>
    </row>
    <row r="8854" spans="1:8">
      <c r="A8854" s="902" t="s">
        <v>106</v>
      </c>
      <c r="B8854" s="902" t="s">
        <v>377</v>
      </c>
      <c r="C8854" s="902" t="s">
        <v>128</v>
      </c>
      <c r="D8854" s="887" t="s">
        <v>1186</v>
      </c>
      <c r="E8854" s="887" t="s">
        <v>1652</v>
      </c>
      <c r="F8854" s="887" t="s">
        <v>1653</v>
      </c>
      <c r="G8854" s="887" t="s">
        <v>3130</v>
      </c>
      <c r="H8854" s="887" t="s">
        <v>6925</v>
      </c>
    </row>
    <row r="8855" spans="1:8">
      <c r="A8855" s="47">
        <v>2440</v>
      </c>
      <c r="B8855" s="1146">
        <v>140</v>
      </c>
      <c r="C8855" s="47" t="s">
        <v>6922</v>
      </c>
      <c r="D8855" s="49"/>
      <c r="E8855" s="1213"/>
      <c r="F8855" s="49">
        <v>1804</v>
      </c>
      <c r="G8855" s="950">
        <v>4.88</v>
      </c>
      <c r="H8855" s="2256" t="s">
        <v>6937</v>
      </c>
    </row>
    <row r="8856" spans="1:8">
      <c r="A8856" s="47">
        <v>2440</v>
      </c>
      <c r="B8856" s="1146">
        <v>140</v>
      </c>
      <c r="C8856" s="47" t="s">
        <v>30</v>
      </c>
      <c r="D8856" s="49">
        <v>58</v>
      </c>
      <c r="E8856" s="1213">
        <v>28</v>
      </c>
      <c r="F8856" s="49">
        <f>D8856*E8856</f>
        <v>1624</v>
      </c>
      <c r="G8856" s="950">
        <v>4.88</v>
      </c>
      <c r="H8856" s="1050" t="s">
        <v>3416</v>
      </c>
    </row>
    <row r="8857" spans="1:8">
      <c r="A8857" s="47">
        <v>2440</v>
      </c>
      <c r="B8857" s="1146">
        <v>140</v>
      </c>
      <c r="C8857" s="47" t="s">
        <v>6921</v>
      </c>
      <c r="D8857" s="49">
        <v>58</v>
      </c>
      <c r="E8857" s="1213">
        <v>6</v>
      </c>
      <c r="F8857" s="49">
        <f>D8857*E8857</f>
        <v>348</v>
      </c>
      <c r="G8857" s="950">
        <v>4.88</v>
      </c>
      <c r="H8857" s="1050" t="s">
        <v>3416</v>
      </c>
    </row>
    <row r="8860" spans="1:8">
      <c r="A8860" s="883" t="s">
        <v>6944</v>
      </c>
    </row>
    <row r="8861" spans="1:8">
      <c r="A8861" s="887" t="s">
        <v>455</v>
      </c>
      <c r="B8861" s="887" t="s">
        <v>52</v>
      </c>
      <c r="C8861" s="887" t="s">
        <v>128</v>
      </c>
      <c r="D8861" s="887" t="s">
        <v>1186</v>
      </c>
      <c r="E8861" s="887" t="s">
        <v>1652</v>
      </c>
      <c r="F8861" s="887" t="s">
        <v>1653</v>
      </c>
      <c r="G8861" s="1783" t="s">
        <v>6945</v>
      </c>
    </row>
    <row r="8862" spans="1:8">
      <c r="A8862" s="47">
        <v>12740</v>
      </c>
      <c r="B8862" s="48">
        <v>9</v>
      </c>
      <c r="C8862" s="47" t="s">
        <v>6939</v>
      </c>
      <c r="D8862" s="905">
        <v>10</v>
      </c>
      <c r="E8862" s="906">
        <v>4</v>
      </c>
      <c r="F8862" s="905">
        <f>D8862*E8862</f>
        <v>40</v>
      </c>
      <c r="G8862" s="891">
        <v>1.63</v>
      </c>
    </row>
    <row r="8863" spans="1:8">
      <c r="A8863" s="47">
        <v>12740</v>
      </c>
      <c r="B8863" s="48">
        <v>9</v>
      </c>
      <c r="C8863" s="47" t="s">
        <v>6940</v>
      </c>
      <c r="D8863" s="905">
        <v>10</v>
      </c>
      <c r="E8863" s="906">
        <v>1</v>
      </c>
      <c r="F8863" s="905">
        <f>D8863*E8863</f>
        <v>10</v>
      </c>
      <c r="G8863" s="891">
        <v>1.63</v>
      </c>
    </row>
    <row r="8865" spans="1:8">
      <c r="A8865" s="883" t="s">
        <v>6947</v>
      </c>
    </row>
    <row r="8866" spans="1:8">
      <c r="A8866" s="887" t="s">
        <v>455</v>
      </c>
      <c r="B8866" s="887" t="s">
        <v>52</v>
      </c>
      <c r="C8866" s="887" t="s">
        <v>128</v>
      </c>
      <c r="D8866" s="887" t="s">
        <v>1186</v>
      </c>
      <c r="E8866" s="887" t="s">
        <v>1652</v>
      </c>
      <c r="F8866" s="887" t="s">
        <v>1653</v>
      </c>
      <c r="G8866" s="1783" t="s">
        <v>6945</v>
      </c>
    </row>
    <row r="8867" spans="1:8">
      <c r="A8867" s="47">
        <v>12740</v>
      </c>
      <c r="B8867" s="48">
        <v>9</v>
      </c>
      <c r="C8867" s="47" t="s">
        <v>6939</v>
      </c>
      <c r="D8867" s="905">
        <v>10</v>
      </c>
      <c r="E8867" s="906">
        <v>3</v>
      </c>
      <c r="F8867" s="905">
        <f>D8867*E8867</f>
        <v>30</v>
      </c>
      <c r="G8867" s="891">
        <v>2.02</v>
      </c>
    </row>
    <row r="8870" spans="1:8">
      <c r="A8870" s="887" t="s">
        <v>455</v>
      </c>
      <c r="B8870" s="887" t="s">
        <v>128</v>
      </c>
      <c r="C8870" s="887" t="s">
        <v>1653</v>
      </c>
      <c r="D8870" s="2030" t="s">
        <v>1323</v>
      </c>
      <c r="E8870" s="2030" t="s">
        <v>2245</v>
      </c>
    </row>
    <row r="8871" spans="1:8">
      <c r="A8871" s="909" t="s">
        <v>3315</v>
      </c>
      <c r="B8871" s="1209" t="s">
        <v>6073</v>
      </c>
      <c r="C8871" s="983">
        <v>42.7</v>
      </c>
      <c r="D8871" s="1248">
        <v>20.84</v>
      </c>
      <c r="E8871" s="891">
        <v>889.86800000000005</v>
      </c>
    </row>
    <row r="8872" spans="1:8">
      <c r="A8872" s="47"/>
      <c r="B8872" s="260" t="s">
        <v>1993</v>
      </c>
      <c r="C8872" s="894">
        <v>1</v>
      </c>
      <c r="D8872" s="891">
        <v>20</v>
      </c>
      <c r="E8872" s="891">
        <v>20</v>
      </c>
    </row>
    <row r="8873" spans="1:8">
      <c r="A8873" s="47"/>
      <c r="B8873" s="260" t="s">
        <v>6949</v>
      </c>
      <c r="C8873" s="903"/>
      <c r="D8873" s="1058">
        <v>285</v>
      </c>
      <c r="E8873" s="1058">
        <v>285</v>
      </c>
    </row>
    <row r="8874" spans="1:8">
      <c r="A8874" s="236"/>
      <c r="B8874" s="236"/>
      <c r="C8874" s="236"/>
      <c r="D8874" s="1202" t="s">
        <v>5705</v>
      </c>
      <c r="E8874" s="919">
        <f>SUM(E8871:E8873)</f>
        <v>1194.8679999999999</v>
      </c>
    </row>
    <row r="8879" spans="1:8">
      <c r="A8879" s="902" t="s">
        <v>106</v>
      </c>
      <c r="B8879" s="902" t="s">
        <v>2861</v>
      </c>
      <c r="C8879" s="902" t="s">
        <v>2862</v>
      </c>
      <c r="D8879" s="902" t="s">
        <v>54</v>
      </c>
      <c r="E8879" s="902" t="s">
        <v>6619</v>
      </c>
      <c r="F8879" s="902" t="s">
        <v>2245</v>
      </c>
      <c r="G8879" s="52" t="s">
        <v>1027</v>
      </c>
      <c r="H8879" s="39"/>
    </row>
    <row r="8880" spans="1:8">
      <c r="A8880" s="889" t="s">
        <v>6951</v>
      </c>
      <c r="B8880" s="260" t="s">
        <v>6956</v>
      </c>
      <c r="C8880" s="267" t="s">
        <v>6957</v>
      </c>
      <c r="D8880" s="1062">
        <v>3</v>
      </c>
      <c r="E8880" s="891">
        <v>1.39</v>
      </c>
      <c r="F8880" s="891">
        <f t="shared" ref="F8880:F8886" si="75">E8880*D8880</f>
        <v>4.17</v>
      </c>
    </row>
    <row r="8881" spans="1:6">
      <c r="A8881" s="889" t="s">
        <v>6952</v>
      </c>
      <c r="B8881" s="260" t="s">
        <v>6956</v>
      </c>
      <c r="C8881" s="267" t="s">
        <v>6958</v>
      </c>
      <c r="D8881" s="1062">
        <v>3</v>
      </c>
      <c r="E8881" s="891">
        <v>1.19</v>
      </c>
      <c r="F8881" s="891">
        <f t="shared" si="75"/>
        <v>3.57</v>
      </c>
    </row>
    <row r="8882" spans="1:6">
      <c r="A8882" s="889" t="s">
        <v>6953</v>
      </c>
      <c r="B8882" s="260" t="s">
        <v>6956</v>
      </c>
      <c r="C8882" s="267" t="s">
        <v>6961</v>
      </c>
      <c r="D8882" s="1062">
        <v>3</v>
      </c>
      <c r="E8882" s="891">
        <v>1.76</v>
      </c>
      <c r="F8882" s="891">
        <f t="shared" si="75"/>
        <v>5.28</v>
      </c>
    </row>
    <row r="8883" spans="1:6">
      <c r="A8883" s="889" t="s">
        <v>6954</v>
      </c>
      <c r="B8883" s="260" t="s">
        <v>6956</v>
      </c>
      <c r="C8883" s="267" t="s">
        <v>6959</v>
      </c>
      <c r="D8883" s="1062">
        <v>3</v>
      </c>
      <c r="E8883" s="891">
        <v>1.31</v>
      </c>
      <c r="F8883" s="891">
        <f t="shared" si="75"/>
        <v>3.93</v>
      </c>
    </row>
    <row r="8884" spans="1:6">
      <c r="A8884" s="889" t="s">
        <v>6955</v>
      </c>
      <c r="B8884" s="260" t="s">
        <v>6956</v>
      </c>
      <c r="C8884" s="267" t="s">
        <v>6960</v>
      </c>
      <c r="D8884" s="1062">
        <v>3</v>
      </c>
      <c r="E8884" s="891">
        <v>1.39</v>
      </c>
      <c r="F8884" s="891">
        <f t="shared" si="75"/>
        <v>4.17</v>
      </c>
    </row>
    <row r="8885" spans="1:6">
      <c r="A8885" s="47"/>
      <c r="B8885" s="893"/>
      <c r="C8885" s="260" t="s">
        <v>2014</v>
      </c>
      <c r="D8885" s="894">
        <v>5</v>
      </c>
      <c r="E8885" s="891">
        <v>7</v>
      </c>
      <c r="F8885" s="891">
        <f t="shared" si="75"/>
        <v>35</v>
      </c>
    </row>
    <row r="8886" spans="1:6">
      <c r="A8886" s="47"/>
      <c r="B8886" s="893"/>
      <c r="C8886" s="260" t="s">
        <v>1993</v>
      </c>
      <c r="D8886" s="894">
        <v>1</v>
      </c>
      <c r="E8886" s="891">
        <v>12</v>
      </c>
      <c r="F8886" s="891">
        <f t="shared" si="75"/>
        <v>12</v>
      </c>
    </row>
    <row r="8887" spans="1:6">
      <c r="A8887" s="47"/>
      <c r="B8887" s="2015"/>
      <c r="C8887" s="2255"/>
      <c r="D8887" s="2016"/>
      <c r="E8887" s="2255" t="s">
        <v>375</v>
      </c>
      <c r="F8887" s="919">
        <f>SUM(F8880:F8886)</f>
        <v>68.12</v>
      </c>
    </row>
    <row r="8890" spans="1:6">
      <c r="A8890" s="345" t="s">
        <v>7054</v>
      </c>
      <c r="C8890" s="317" t="s">
        <v>6594</v>
      </c>
      <c r="D8890" s="2037" t="s">
        <v>6080</v>
      </c>
      <c r="E8890" s="2037" t="s">
        <v>6081</v>
      </c>
    </row>
    <row r="8891" spans="1:6">
      <c r="A8891" s="887" t="s">
        <v>6601</v>
      </c>
      <c r="B8891" s="2030" t="s">
        <v>1323</v>
      </c>
      <c r="C8891" s="967" t="s">
        <v>6965</v>
      </c>
      <c r="D8891" s="2257"/>
      <c r="E8891" s="2257"/>
    </row>
    <row r="8892" spans="1:6" ht="25.5">
      <c r="A8892" s="2159" t="s">
        <v>6592</v>
      </c>
      <c r="B8892" s="891">
        <f t="shared" ref="B8892:B8901" si="76">ROUNDUP(C8892/0.9/135,1)</f>
        <v>10.299999999999999</v>
      </c>
      <c r="C8892" s="236">
        <f>1220+30</f>
        <v>1250</v>
      </c>
      <c r="D8892" s="2258">
        <f t="shared" ref="D8892:D8901" si="77">(((B8892*E8892)-C8892)/(B8892*E8892))</f>
        <v>0.10104279036317856</v>
      </c>
      <c r="E8892" s="2259">
        <v>135</v>
      </c>
    </row>
    <row r="8893" spans="1:6" ht="25.5">
      <c r="A8893" s="2159" t="s">
        <v>6963</v>
      </c>
      <c r="B8893" s="891">
        <f t="shared" si="76"/>
        <v>9.7999999999999989</v>
      </c>
      <c r="C8893" s="236">
        <f>1160+30</f>
        <v>1190</v>
      </c>
      <c r="D8893" s="2258">
        <f>(((B8893*E8893)-C8893)/(B8893*E8893))</f>
        <v>0.10052910052910037</v>
      </c>
      <c r="E8893" s="2259">
        <v>135</v>
      </c>
    </row>
    <row r="8894" spans="1:6" ht="25.5">
      <c r="A8894" s="2159" t="s">
        <v>6964</v>
      </c>
      <c r="B8894" s="891">
        <f t="shared" si="76"/>
        <v>9.4</v>
      </c>
      <c r="C8894" s="236">
        <f>1100+30</f>
        <v>1130</v>
      </c>
      <c r="D8894" s="2258">
        <f>(((B8894*E8894)-C8894)/(B8894*E8894))</f>
        <v>0.1095350669818755</v>
      </c>
      <c r="E8894" s="2259">
        <v>135</v>
      </c>
    </row>
    <row r="8895" spans="1:6" ht="25.5">
      <c r="A8895" s="2267" t="s">
        <v>6966</v>
      </c>
      <c r="B8895" s="2268">
        <f t="shared" si="76"/>
        <v>16.600000000000001</v>
      </c>
      <c r="C8895" s="2269">
        <v>2010</v>
      </c>
      <c r="D8895" s="2270">
        <f t="shared" si="77"/>
        <v>0.10307898259705489</v>
      </c>
      <c r="E8895" s="2271">
        <v>135</v>
      </c>
      <c r="F8895" t="s">
        <v>7055</v>
      </c>
    </row>
    <row r="8896" spans="1:6" ht="25.5">
      <c r="A8896" s="2267" t="s">
        <v>6967</v>
      </c>
      <c r="B8896" s="2268">
        <f t="shared" si="76"/>
        <v>13.1</v>
      </c>
      <c r="C8896" s="2269">
        <v>1590</v>
      </c>
      <c r="D8896" s="2270">
        <f t="shared" si="77"/>
        <v>0.10093299406276506</v>
      </c>
      <c r="E8896" s="2271">
        <v>135</v>
      </c>
      <c r="F8896" t="s">
        <v>7055</v>
      </c>
    </row>
    <row r="8897" spans="1:8" ht="25.5">
      <c r="A8897" s="2159" t="s">
        <v>6968</v>
      </c>
      <c r="B8897" s="891">
        <f t="shared" si="76"/>
        <v>11.9</v>
      </c>
      <c r="C8897" s="236">
        <f>1410+30</f>
        <v>1440</v>
      </c>
      <c r="D8897" s="2258">
        <f t="shared" si="77"/>
        <v>0.10364145658263306</v>
      </c>
      <c r="E8897" s="2259">
        <v>135</v>
      </c>
    </row>
    <row r="8898" spans="1:8" ht="25.5">
      <c r="A8898" s="2159" t="s">
        <v>6969</v>
      </c>
      <c r="B8898" s="891">
        <f t="shared" si="76"/>
        <v>10.799999999999999</v>
      </c>
      <c r="C8898" s="236">
        <f>1280+30</f>
        <v>1310</v>
      </c>
      <c r="D8898" s="2258">
        <f t="shared" si="77"/>
        <v>0.101508916323731</v>
      </c>
      <c r="E8898" s="2259">
        <v>135</v>
      </c>
    </row>
    <row r="8899" spans="1:8" ht="25.5">
      <c r="A8899" s="2159" t="s">
        <v>6970</v>
      </c>
      <c r="B8899" s="891">
        <f t="shared" si="76"/>
        <v>10.299999999999999</v>
      </c>
      <c r="C8899" s="236">
        <f>1220+30</f>
        <v>1250</v>
      </c>
      <c r="D8899" s="2258">
        <f t="shared" si="77"/>
        <v>0.10104279036317856</v>
      </c>
      <c r="E8899" s="2259">
        <v>135</v>
      </c>
    </row>
    <row r="8900" spans="1:8" ht="25.5">
      <c r="A8900" s="2159" t="s">
        <v>7052</v>
      </c>
      <c r="B8900" s="891">
        <f t="shared" si="76"/>
        <v>9.7999999999999989</v>
      </c>
      <c r="C8900" s="236">
        <f>1160+30</f>
        <v>1190</v>
      </c>
      <c r="D8900" s="2258">
        <f t="shared" si="77"/>
        <v>0.10052910052910037</v>
      </c>
      <c r="E8900" s="2259">
        <v>135</v>
      </c>
    </row>
    <row r="8901" spans="1:8" ht="25.5">
      <c r="A8901" s="2159" t="s">
        <v>7053</v>
      </c>
      <c r="B8901" s="891">
        <f t="shared" si="76"/>
        <v>9.4</v>
      </c>
      <c r="C8901" s="236">
        <f>1100+30</f>
        <v>1130</v>
      </c>
      <c r="D8901" s="2258">
        <f t="shared" si="77"/>
        <v>0.1095350669818755</v>
      </c>
      <c r="E8901" s="2259">
        <v>135</v>
      </c>
    </row>
    <row r="8905" spans="1:8">
      <c r="A8905" s="629" t="s">
        <v>6977</v>
      </c>
    </row>
    <row r="8906" spans="1:8" ht="15">
      <c r="A8906" s="1996" t="s">
        <v>1603</v>
      </c>
      <c r="B8906" s="1996" t="s">
        <v>128</v>
      </c>
      <c r="C8906" s="1997" t="s">
        <v>1053</v>
      </c>
      <c r="D8906" s="1997" t="s">
        <v>6976</v>
      </c>
      <c r="E8906" s="2001" t="s">
        <v>5955</v>
      </c>
      <c r="F8906" s="2002" t="s">
        <v>5956</v>
      </c>
      <c r="G8906" s="2258"/>
      <c r="H8906" s="2259"/>
    </row>
    <row r="8907" spans="1:8">
      <c r="A8907" s="47" t="s">
        <v>6971</v>
      </c>
      <c r="B8907" s="47" t="s">
        <v>6972</v>
      </c>
      <c r="C8907" s="47" t="s">
        <v>6973</v>
      </c>
      <c r="D8907" s="1245">
        <v>0.64</v>
      </c>
      <c r="E8907" s="1999">
        <v>34</v>
      </c>
      <c r="F8907" s="2000">
        <v>18000</v>
      </c>
      <c r="G8907" s="2258">
        <f>(((D8907*H8907)-E8907)/(D8907*H8907))</f>
        <v>0.55729166666666663</v>
      </c>
      <c r="H8907" s="2259">
        <v>120</v>
      </c>
    </row>
    <row r="8908" spans="1:8">
      <c r="A8908" s="47" t="s">
        <v>6971</v>
      </c>
      <c r="B8908" s="47" t="s">
        <v>6974</v>
      </c>
      <c r="C8908" s="47" t="s">
        <v>6975</v>
      </c>
      <c r="D8908" s="1245">
        <v>0.64</v>
      </c>
      <c r="E8908" s="1999">
        <v>38</v>
      </c>
      <c r="F8908" s="2000"/>
      <c r="G8908" s="2258">
        <f>(((D8908*H8908)-E8908)/(D8908*H8908))</f>
        <v>0.50520833333333337</v>
      </c>
      <c r="H8908" s="2259">
        <v>120</v>
      </c>
    </row>
    <row r="8910" spans="1:8">
      <c r="A8910" s="1064" t="s">
        <v>6981</v>
      </c>
    </row>
    <row r="8911" spans="1:8" ht="25.5">
      <c r="A8911" s="1996" t="s">
        <v>5583</v>
      </c>
      <c r="B8911" s="1997" t="s">
        <v>980</v>
      </c>
      <c r="C8911" s="1997" t="s">
        <v>1323</v>
      </c>
      <c r="D8911" s="1998" t="s">
        <v>6978</v>
      </c>
      <c r="E8911" s="2045" t="s">
        <v>6979</v>
      </c>
      <c r="F8911" s="2045" t="s">
        <v>6080</v>
      </c>
      <c r="G8911" s="940" t="s">
        <v>6081</v>
      </c>
    </row>
    <row r="8912" spans="1:8">
      <c r="A8912" s="47" t="s">
        <v>6982</v>
      </c>
      <c r="B8912" s="47" t="s">
        <v>6983</v>
      </c>
      <c r="C8912" s="1061">
        <f>ROUNDUP(E8912/0.6/120,2)</f>
        <v>3.0599999999999996</v>
      </c>
      <c r="D8912" s="2260" t="s">
        <v>2346</v>
      </c>
      <c r="E8912" s="1999">
        <v>220</v>
      </c>
      <c r="F8912" s="2083">
        <f>(C8912-(E8912/G8912))/C8912</f>
        <v>0.40087145969498905</v>
      </c>
      <c r="G8912" s="2000">
        <v>120</v>
      </c>
    </row>
    <row r="8913" spans="1:9">
      <c r="A8913" s="47" t="s">
        <v>6984</v>
      </c>
      <c r="B8913" s="47" t="s">
        <v>6983</v>
      </c>
      <c r="C8913" s="1061">
        <f>ROUNDUP(E8913/0.6/120,2)</f>
        <v>1.39</v>
      </c>
      <c r="D8913" s="2261" t="s">
        <v>2346</v>
      </c>
      <c r="E8913" s="1999">
        <v>100</v>
      </c>
      <c r="F8913" s="2083">
        <f>(C8913-(E8913/G8913))/C8913</f>
        <v>0.40047961630695439</v>
      </c>
      <c r="G8913" s="2000">
        <v>120</v>
      </c>
      <c r="H8913" s="2000"/>
    </row>
    <row r="8914" spans="1:9">
      <c r="A8914" s="47" t="s">
        <v>6985</v>
      </c>
      <c r="B8914" s="47" t="s">
        <v>6986</v>
      </c>
      <c r="C8914" s="1061">
        <f>ROUNDUP(E8914/0.6/120,2)</f>
        <v>1.95</v>
      </c>
      <c r="D8914" s="2260" t="s">
        <v>6987</v>
      </c>
      <c r="E8914" s="1999">
        <f>100+40</f>
        <v>140</v>
      </c>
      <c r="F8914" s="2083">
        <f>(C8914-(E8914/G8914))/C8914</f>
        <v>0.40170940170940167</v>
      </c>
      <c r="G8914" s="2000">
        <v>120</v>
      </c>
      <c r="H8914" t="s">
        <v>6980</v>
      </c>
    </row>
    <row r="8915" spans="1:9">
      <c r="A8915" s="47" t="s">
        <v>6988</v>
      </c>
      <c r="B8915" s="47" t="s">
        <v>1519</v>
      </c>
      <c r="C8915" s="1061">
        <f>ROUNDUP(E8915/0.6/120,2)</f>
        <v>1.39</v>
      </c>
      <c r="D8915" s="2261" t="s">
        <v>2346</v>
      </c>
      <c r="E8915" s="1999">
        <v>100</v>
      </c>
      <c r="F8915" s="2083">
        <f>(C8915-(E8915/G8915))/C8915</f>
        <v>0.40047961630695439</v>
      </c>
      <c r="G8915" s="2000">
        <v>120</v>
      </c>
      <c r="H8915" s="2000"/>
    </row>
    <row r="8916" spans="1:9">
      <c r="A8916" s="47" t="s">
        <v>6989</v>
      </c>
      <c r="B8916" s="47" t="s">
        <v>6582</v>
      </c>
      <c r="C8916" s="1061">
        <f>ROUNDUP(E8916/0.6/120,2)</f>
        <v>2.23</v>
      </c>
      <c r="D8916" s="2260" t="s">
        <v>6991</v>
      </c>
      <c r="E8916" s="1999">
        <f>100+60</f>
        <v>160</v>
      </c>
      <c r="F8916" s="2083">
        <f>(C8916-(E8916/G8916))/C8916</f>
        <v>0.40209267563527656</v>
      </c>
      <c r="G8916" s="2000">
        <v>120</v>
      </c>
      <c r="H8916" t="s">
        <v>6990</v>
      </c>
    </row>
    <row r="8921" spans="1:9" ht="15">
      <c r="A8921" s="1996" t="s">
        <v>1603</v>
      </c>
      <c r="B8921" s="1996" t="s">
        <v>128</v>
      </c>
      <c r="C8921" s="1996" t="s">
        <v>54</v>
      </c>
      <c r="D8921" s="1997" t="s">
        <v>6976</v>
      </c>
    </row>
    <row r="8922" spans="1:9">
      <c r="A8922" s="1008" t="s">
        <v>6994</v>
      </c>
      <c r="B8922" s="47" t="s">
        <v>6995</v>
      </c>
      <c r="C8922" s="905">
        <v>2</v>
      </c>
      <c r="D8922" s="1061">
        <v>1.39</v>
      </c>
    </row>
    <row r="8923" spans="1:9">
      <c r="A8923" s="1008" t="s">
        <v>6996</v>
      </c>
      <c r="B8923" s="47" t="s">
        <v>6995</v>
      </c>
      <c r="C8923" s="905">
        <v>2</v>
      </c>
      <c r="D8923" s="1061">
        <v>1.39</v>
      </c>
    </row>
    <row r="8924" spans="1:9">
      <c r="A8924" s="47"/>
      <c r="B8924" s="260" t="s">
        <v>1993</v>
      </c>
      <c r="C8924" s="894">
        <v>1</v>
      </c>
      <c r="D8924" s="891">
        <v>12</v>
      </c>
    </row>
    <row r="8926" spans="1:9" s="1019" customFormat="1" ht="12.75">
      <c r="A8926" s="1019" t="s">
        <v>7000</v>
      </c>
    </row>
    <row r="8927" spans="1:9" s="2103" customFormat="1" ht="38.25">
      <c r="A8927" s="2101" t="s">
        <v>1400</v>
      </c>
      <c r="B8927" s="1772" t="s">
        <v>5514</v>
      </c>
      <c r="C8927" s="1772" t="s">
        <v>53</v>
      </c>
      <c r="D8927" s="1783" t="s">
        <v>6997</v>
      </c>
      <c r="E8927" s="1772" t="s">
        <v>6998</v>
      </c>
      <c r="F8927" s="2102" t="s">
        <v>6445</v>
      </c>
      <c r="G8927" s="2037" t="s">
        <v>6446</v>
      </c>
      <c r="H8927" s="2037" t="s">
        <v>6999</v>
      </c>
      <c r="I8927" s="2037" t="s">
        <v>6081</v>
      </c>
    </row>
    <row r="8928" spans="1:9" s="2103" customFormat="1" ht="24" customHeight="1">
      <c r="A8928" s="1197" t="s">
        <v>7001</v>
      </c>
      <c r="B8928" s="1197" t="s">
        <v>7002</v>
      </c>
      <c r="C8928" s="1197" t="s">
        <v>7005</v>
      </c>
      <c r="D8928" s="2105">
        <f>ROUNDUP(F8928/0.8/130,2)</f>
        <v>12.6</v>
      </c>
      <c r="E8928" s="2105">
        <f>ROUNDUP((F8928+300)/0.8/130,2)</f>
        <v>15.49</v>
      </c>
      <c r="F8928" s="2104">
        <f>1280+30</f>
        <v>1310</v>
      </c>
      <c r="G8928" s="2083">
        <f>(D8928-(F8928/I8928))/D8928</f>
        <v>0.20024420024420025</v>
      </c>
      <c r="H8928" s="2083">
        <f>(E8928-((F8928+300)/I8928))/E8928</f>
        <v>0.20047673436956845</v>
      </c>
      <c r="I8928" s="245">
        <v>130</v>
      </c>
    </row>
    <row r="8929" spans="1:9" s="2103" customFormat="1" ht="24" customHeight="1">
      <c r="A8929" s="1197" t="s">
        <v>7003</v>
      </c>
      <c r="B8929" s="1197" t="s">
        <v>7002</v>
      </c>
      <c r="C8929" s="1197" t="s">
        <v>7005</v>
      </c>
      <c r="D8929" s="2105">
        <f>ROUNDUP(F8929/0.8/130,2)</f>
        <v>12.6</v>
      </c>
      <c r="E8929" s="2105">
        <f>ROUNDUP((F8929+300)/0.8/130,2)</f>
        <v>15.49</v>
      </c>
      <c r="F8929" s="2104">
        <f>1280+30</f>
        <v>1310</v>
      </c>
      <c r="G8929" s="2083">
        <f>(D8929-(F8929/I8929))/D8929</f>
        <v>0.20024420024420025</v>
      </c>
      <c r="H8929" s="2083">
        <f>(E8929-((F8929+300)/I8929))/E8929</f>
        <v>0.20047673436956845</v>
      </c>
      <c r="I8929" s="245">
        <v>130</v>
      </c>
    </row>
    <row r="8930" spans="1:9" s="2103" customFormat="1" ht="24" customHeight="1">
      <c r="A8930" s="1197" t="s">
        <v>7004</v>
      </c>
      <c r="B8930" s="1197" t="s">
        <v>7002</v>
      </c>
      <c r="C8930" s="1197" t="s">
        <v>7005</v>
      </c>
      <c r="D8930" s="2105">
        <f>ROUNDUP(F8930/0.8/130,2)</f>
        <v>12.6</v>
      </c>
      <c r="E8930" s="2105">
        <f>ROUNDUP((F8930+300)/0.8/130,2)</f>
        <v>15.49</v>
      </c>
      <c r="F8930" s="2104">
        <f>1280+30</f>
        <v>1310</v>
      </c>
      <c r="G8930" s="2083">
        <f>(D8930-(F8930/I8930))/D8930</f>
        <v>0.20024420024420025</v>
      </c>
      <c r="H8930" s="2083">
        <f>(E8930-((F8930+300)/I8930))/E8930</f>
        <v>0.20047673436956845</v>
      </c>
      <c r="I8930" s="245">
        <v>130</v>
      </c>
    </row>
    <row r="8932" spans="1:9">
      <c r="A8932" s="1019" t="s">
        <v>7027</v>
      </c>
    </row>
    <row r="8934" spans="1:9" s="2103" customFormat="1" ht="25.5">
      <c r="A8934" s="2101" t="s">
        <v>7028</v>
      </c>
      <c r="B8934" s="1772" t="s">
        <v>5514</v>
      </c>
      <c r="C8934" s="1772" t="s">
        <v>53</v>
      </c>
      <c r="D8934" s="1783" t="s">
        <v>6997</v>
      </c>
      <c r="E8934" s="2102" t="s">
        <v>6445</v>
      </c>
      <c r="F8934" s="2037" t="s">
        <v>6446</v>
      </c>
      <c r="G8934" s="2037" t="s">
        <v>6081</v>
      </c>
    </row>
    <row r="8935" spans="1:9" s="2103" customFormat="1" ht="24" customHeight="1">
      <c r="A8935" s="1197" t="s">
        <v>7031</v>
      </c>
      <c r="B8935" s="1197" t="s">
        <v>7029</v>
      </c>
      <c r="C8935" s="1197" t="s">
        <v>7005</v>
      </c>
      <c r="D8935" s="2105">
        <f>ROUNDUP(E8935/0.8/130,2)</f>
        <v>12.31</v>
      </c>
      <c r="E8935" s="2104">
        <f>1250+30</f>
        <v>1280</v>
      </c>
      <c r="F8935" s="2083">
        <f>(D8935-(E8935/G8935))/D8935</f>
        <v>0.20014997188027245</v>
      </c>
      <c r="G8935" s="245">
        <v>130</v>
      </c>
    </row>
    <row r="8936" spans="1:9" s="2103" customFormat="1" ht="24" customHeight="1">
      <c r="A8936" s="1197" t="s">
        <v>7033</v>
      </c>
      <c r="B8936" s="1197" t="s">
        <v>7029</v>
      </c>
      <c r="C8936" s="1197" t="s">
        <v>7005</v>
      </c>
      <c r="D8936" s="2105">
        <f>ROUNDUP(E8936/0.8/130,2)</f>
        <v>11.83</v>
      </c>
      <c r="E8936" s="2104">
        <f>1200+30</f>
        <v>1230</v>
      </c>
      <c r="F8936" s="2083">
        <f>(D8936-(E8936/G8936))/D8936</f>
        <v>0.20020807594772091</v>
      </c>
      <c r="G8936" s="245">
        <v>130</v>
      </c>
    </row>
    <row r="8937" spans="1:9" s="2103" customFormat="1" ht="24" customHeight="1">
      <c r="A8937" s="1197" t="s">
        <v>7035</v>
      </c>
      <c r="B8937" s="1197" t="s">
        <v>7029</v>
      </c>
      <c r="C8937" s="1197" t="s">
        <v>7005</v>
      </c>
      <c r="D8937" s="2105">
        <f>ROUNDUP(E8937/0.8/130,2)</f>
        <v>11.16</v>
      </c>
      <c r="E8937" s="2104">
        <f>1130+30</f>
        <v>1160</v>
      </c>
      <c r="F8937" s="2083">
        <f>(D8937-(E8937/G8937))/D8937</f>
        <v>0.20044113592500687</v>
      </c>
      <c r="G8937" s="245">
        <v>130</v>
      </c>
    </row>
    <row r="8939" spans="1:9">
      <c r="A8939" s="2264" t="s">
        <v>7025</v>
      </c>
    </row>
    <row r="8940" spans="1:9">
      <c r="A8940" s="2264" t="s">
        <v>7026</v>
      </c>
    </row>
    <row r="8941" spans="1:9" ht="16.5">
      <c r="A8941" s="2265" t="s">
        <v>7030</v>
      </c>
    </row>
    <row r="8942" spans="1:9" ht="16.5">
      <c r="A8942" s="2265" t="s">
        <v>7032</v>
      </c>
    </row>
    <row r="8943" spans="1:9" ht="16.5">
      <c r="A8943" s="2265" t="s">
        <v>7034</v>
      </c>
    </row>
    <row r="8944" spans="1:9">
      <c r="A8944" s="2265"/>
    </row>
    <row r="8945" spans="1:8">
      <c r="A8945" s="1019" t="s">
        <v>7036</v>
      </c>
    </row>
    <row r="8946" spans="1:8" ht="25.5">
      <c r="A8946" s="1996" t="s">
        <v>5583</v>
      </c>
      <c r="B8946" s="1997" t="s">
        <v>54</v>
      </c>
      <c r="C8946" s="1997" t="s">
        <v>1323</v>
      </c>
      <c r="D8946" s="1998" t="s">
        <v>6978</v>
      </c>
      <c r="E8946" s="2045" t="s">
        <v>6979</v>
      </c>
      <c r="F8946" s="2045" t="s">
        <v>6080</v>
      </c>
      <c r="G8946" s="940" t="s">
        <v>6081</v>
      </c>
    </row>
    <row r="8947" spans="1:8">
      <c r="A8947" s="47" t="s">
        <v>6984</v>
      </c>
      <c r="B8947" s="2266" t="s">
        <v>7037</v>
      </c>
      <c r="C8947" s="1061">
        <f>ROUNDUP(E8947/0.6/120,2)</f>
        <v>1.39</v>
      </c>
      <c r="D8947" s="2261" t="s">
        <v>2346</v>
      </c>
      <c r="E8947" s="1999">
        <v>100</v>
      </c>
      <c r="F8947" s="2083">
        <f>(C8947-(E8947/G8947))/C8947</f>
        <v>0.40047961630695439</v>
      </c>
      <c r="G8947" s="2000">
        <v>120</v>
      </c>
      <c r="H8947" s="2000"/>
    </row>
    <row r="8948" spans="1:8">
      <c r="A8948" s="47" t="s">
        <v>6984</v>
      </c>
      <c r="B8948" s="2266" t="s">
        <v>7038</v>
      </c>
      <c r="C8948" s="1061">
        <f>ROUNDUP(E8948/0.6/120,2)</f>
        <v>1.35</v>
      </c>
      <c r="D8948" s="2261" t="s">
        <v>2346</v>
      </c>
      <c r="E8948" s="1999">
        <v>97</v>
      </c>
      <c r="F8948" s="2083">
        <f>(C8948-(E8948/G8948))/C8948</f>
        <v>0.40123456790123457</v>
      </c>
      <c r="G8948" s="2000">
        <v>120</v>
      </c>
      <c r="H8948" s="2000"/>
    </row>
    <row r="8949" spans="1:8">
      <c r="A8949" s="47" t="s">
        <v>6984</v>
      </c>
      <c r="B8949" s="2266" t="s">
        <v>7039</v>
      </c>
      <c r="C8949" s="1061">
        <f>ROUNDUP(E8949/0.6/120,2)</f>
        <v>1.25</v>
      </c>
      <c r="D8949" s="2261" t="s">
        <v>2346</v>
      </c>
      <c r="E8949" s="1999">
        <v>90</v>
      </c>
      <c r="F8949" s="2083">
        <f>(C8949-(E8949/G8949))/C8949</f>
        <v>0.4</v>
      </c>
      <c r="G8949" s="2000">
        <v>120</v>
      </c>
      <c r="H8949" s="2000"/>
    </row>
    <row r="8950" spans="1:8">
      <c r="A8950" s="47" t="s">
        <v>6988</v>
      </c>
      <c r="B8950" s="47" t="s">
        <v>1519</v>
      </c>
      <c r="C8950" s="1061">
        <f>ROUNDUP(E8950/0.6/120,2)</f>
        <v>1.39</v>
      </c>
      <c r="D8950" s="2261" t="s">
        <v>2346</v>
      </c>
      <c r="E8950" s="1999">
        <v>100</v>
      </c>
      <c r="F8950" s="2083">
        <f>(C8950-(E8950/G8950))/C8950</f>
        <v>0.40047961630695439</v>
      </c>
      <c r="G8950" s="2000">
        <v>120</v>
      </c>
      <c r="H8950" s="2000"/>
    </row>
    <row r="8951" spans="1:8">
      <c r="A8951" s="2265"/>
    </row>
    <row r="8952" spans="1:8">
      <c r="A8952" s="2265"/>
    </row>
    <row r="8955" spans="1:8">
      <c r="A8955" s="2101" t="s">
        <v>1400</v>
      </c>
      <c r="B8955" s="887" t="s">
        <v>52</v>
      </c>
      <c r="C8955" s="887" t="s">
        <v>128</v>
      </c>
      <c r="D8955" s="887" t="s">
        <v>980</v>
      </c>
      <c r="E8955" s="1997" t="s">
        <v>6976</v>
      </c>
      <c r="F8955" s="1997" t="s">
        <v>7008</v>
      </c>
    </row>
    <row r="8956" spans="1:8" ht="25.5">
      <c r="A8956" s="47" t="s">
        <v>7006</v>
      </c>
      <c r="B8956" s="48"/>
      <c r="C8956" s="47" t="s">
        <v>78</v>
      </c>
      <c r="D8956" s="2262">
        <v>14</v>
      </c>
      <c r="E8956" s="891">
        <v>9.64</v>
      </c>
      <c r="F8956" s="2263" t="s">
        <v>7009</v>
      </c>
    </row>
    <row r="8957" spans="1:8" ht="25.5">
      <c r="A8957" s="47" t="s">
        <v>424</v>
      </c>
      <c r="B8957" s="48" t="s">
        <v>7007</v>
      </c>
      <c r="C8957" s="47" t="s">
        <v>78</v>
      </c>
      <c r="D8957" s="2262">
        <v>19.8</v>
      </c>
      <c r="E8957" s="891">
        <v>11.2</v>
      </c>
      <c r="F8957" s="2263" t="s">
        <v>7011</v>
      </c>
    </row>
    <row r="8958" spans="1:8" ht="25.5">
      <c r="A8958" s="47" t="s">
        <v>425</v>
      </c>
      <c r="B8958" s="48" t="s">
        <v>7007</v>
      </c>
      <c r="C8958" s="47" t="s">
        <v>78</v>
      </c>
      <c r="D8958" s="2262">
        <v>19.8</v>
      </c>
      <c r="E8958" s="891">
        <v>15</v>
      </c>
      <c r="F8958" s="2263" t="s">
        <v>7010</v>
      </c>
    </row>
    <row r="8963" spans="1:6">
      <c r="A8963" s="2101" t="s">
        <v>1400</v>
      </c>
      <c r="B8963" s="887" t="s">
        <v>52</v>
      </c>
      <c r="C8963" s="887" t="s">
        <v>128</v>
      </c>
      <c r="D8963" s="2100" t="s">
        <v>54</v>
      </c>
      <c r="E8963" s="1997" t="s">
        <v>6976</v>
      </c>
      <c r="F8963" s="1997" t="s">
        <v>2245</v>
      </c>
    </row>
    <row r="8964" spans="1:6">
      <c r="A8964" s="1008" t="s">
        <v>6994</v>
      </c>
      <c r="B8964" s="260"/>
      <c r="C8964" s="47" t="s">
        <v>6995</v>
      </c>
      <c r="D8964" s="905">
        <v>3</v>
      </c>
      <c r="E8964" s="1061">
        <v>1.39</v>
      </c>
      <c r="F8964" s="891">
        <f>E8964*D8964</f>
        <v>4.17</v>
      </c>
    </row>
    <row r="8965" spans="1:6">
      <c r="A8965" s="1008" t="s">
        <v>6996</v>
      </c>
      <c r="B8965" s="260"/>
      <c r="C8965" s="47" t="s">
        <v>6995</v>
      </c>
      <c r="D8965" s="905">
        <v>3</v>
      </c>
      <c r="E8965" s="1061">
        <v>1.39</v>
      </c>
      <c r="F8965" s="891">
        <f>E8965*D8965</f>
        <v>4.17</v>
      </c>
    </row>
    <row r="8966" spans="1:6">
      <c r="A8966" s="889"/>
      <c r="B8966" s="47"/>
      <c r="C8966" s="260"/>
      <c r="D8966" s="903"/>
      <c r="E8966" s="1997" t="s">
        <v>7015</v>
      </c>
      <c r="F8966" s="39"/>
    </row>
    <row r="8967" spans="1:6">
      <c r="A8967" s="1008" t="s">
        <v>7003</v>
      </c>
      <c r="B8967" s="260" t="s">
        <v>7014</v>
      </c>
      <c r="C8967" s="47" t="s">
        <v>5875</v>
      </c>
      <c r="D8967" s="905">
        <v>3</v>
      </c>
      <c r="E8967" s="1061">
        <v>15.49</v>
      </c>
      <c r="F8967" s="891">
        <f t="shared" ref="F8967:F8973" si="78">E8967*D8967</f>
        <v>46.47</v>
      </c>
    </row>
    <row r="8968" spans="1:6">
      <c r="A8968" s="1008" t="s">
        <v>7004</v>
      </c>
      <c r="B8968" s="260" t="s">
        <v>7014</v>
      </c>
      <c r="C8968" s="47" t="s">
        <v>5875</v>
      </c>
      <c r="D8968" s="905">
        <v>3</v>
      </c>
      <c r="E8968" s="1061">
        <v>15.49</v>
      </c>
      <c r="F8968" s="891">
        <f t="shared" si="78"/>
        <v>46.47</v>
      </c>
    </row>
    <row r="8969" spans="1:6">
      <c r="A8969" s="1008" t="s">
        <v>7013</v>
      </c>
      <c r="B8969" s="260" t="s">
        <v>7014</v>
      </c>
      <c r="C8969" s="47" t="s">
        <v>5875</v>
      </c>
      <c r="D8969" s="905">
        <v>3</v>
      </c>
      <c r="E8969" s="1061">
        <v>15.49</v>
      </c>
      <c r="F8969" s="891">
        <f t="shared" si="78"/>
        <v>46.47</v>
      </c>
    </row>
    <row r="8970" spans="1:6">
      <c r="A8970" s="1008" t="s">
        <v>7003</v>
      </c>
      <c r="B8970" s="260" t="s">
        <v>7014</v>
      </c>
      <c r="C8970" s="47" t="s">
        <v>7017</v>
      </c>
      <c r="D8970" s="905">
        <v>3</v>
      </c>
      <c r="E8970" s="1061">
        <v>15.49</v>
      </c>
      <c r="F8970" s="891">
        <f t="shared" si="78"/>
        <v>46.47</v>
      </c>
    </row>
    <row r="8971" spans="1:6">
      <c r="A8971" s="1008" t="s">
        <v>7004</v>
      </c>
      <c r="B8971" s="260" t="s">
        <v>7014</v>
      </c>
      <c r="C8971" s="47" t="s">
        <v>7018</v>
      </c>
      <c r="D8971" s="905">
        <v>3</v>
      </c>
      <c r="E8971" s="1061">
        <v>15.49</v>
      </c>
      <c r="F8971" s="891">
        <f t="shared" si="78"/>
        <v>46.47</v>
      </c>
    </row>
    <row r="8972" spans="1:6">
      <c r="A8972" s="1008" t="s">
        <v>7013</v>
      </c>
      <c r="B8972" s="260" t="s">
        <v>7014</v>
      </c>
      <c r="C8972" s="47" t="s">
        <v>7017</v>
      </c>
      <c r="D8972" s="905">
        <v>3</v>
      </c>
      <c r="E8972" s="1061">
        <v>15.49</v>
      </c>
      <c r="F8972" s="891">
        <f t="shared" si="78"/>
        <v>46.47</v>
      </c>
    </row>
    <row r="8973" spans="1:6">
      <c r="A8973" s="47"/>
      <c r="B8973" s="893"/>
      <c r="C8973" s="260" t="s">
        <v>1993</v>
      </c>
      <c r="D8973" s="894">
        <v>1</v>
      </c>
      <c r="E8973" s="891">
        <v>20</v>
      </c>
      <c r="F8973" s="891">
        <f t="shared" si="78"/>
        <v>20</v>
      </c>
    </row>
    <row r="8974" spans="1:6">
      <c r="A8974" s="47"/>
      <c r="B8974" s="893"/>
      <c r="C8974" s="260"/>
      <c r="D8974" s="894"/>
      <c r="E8974" s="1202" t="s">
        <v>7016</v>
      </c>
      <c r="F8974" s="919">
        <f>SUM(F8964:F8973)</f>
        <v>307.15999999999997</v>
      </c>
    </row>
    <row r="8977" spans="1:7">
      <c r="A8977" s="2101" t="s">
        <v>1400</v>
      </c>
      <c r="B8977" s="887" t="s">
        <v>128</v>
      </c>
      <c r="C8977" s="887" t="s">
        <v>1186</v>
      </c>
      <c r="D8977" s="887" t="s">
        <v>1652</v>
      </c>
      <c r="E8977" s="887" t="s">
        <v>1653</v>
      </c>
      <c r="F8977" s="1997" t="s">
        <v>6976</v>
      </c>
      <c r="G8977" s="1997" t="s">
        <v>2245</v>
      </c>
    </row>
    <row r="8978" spans="1:7">
      <c r="A8978" s="47" t="s">
        <v>6971</v>
      </c>
      <c r="B8978" s="47" t="s">
        <v>7020</v>
      </c>
      <c r="C8978" s="903">
        <v>50</v>
      </c>
      <c r="D8978" s="904">
        <v>1</v>
      </c>
      <c r="E8978" s="905">
        <f>C8978*D8978</f>
        <v>50</v>
      </c>
      <c r="F8978" s="891">
        <v>0.64</v>
      </c>
      <c r="G8978" s="891">
        <f>F8978*E8978</f>
        <v>32</v>
      </c>
    </row>
    <row r="8979" spans="1:7">
      <c r="A8979" s="47" t="s">
        <v>6971</v>
      </c>
      <c r="B8979" s="47" t="s">
        <v>7021</v>
      </c>
      <c r="C8979" s="903">
        <v>50</v>
      </c>
      <c r="D8979" s="904">
        <v>1</v>
      </c>
      <c r="E8979" s="905">
        <f>C8979*D8979</f>
        <v>50</v>
      </c>
      <c r="F8979" s="891">
        <v>0.64</v>
      </c>
      <c r="G8979" s="891">
        <f>F8979*E8979</f>
        <v>32</v>
      </c>
    </row>
    <row r="8980" spans="1:7">
      <c r="A8980" s="47"/>
      <c r="B8980" s="260" t="s">
        <v>6148</v>
      </c>
      <c r="C8980" s="905"/>
      <c r="D8980" s="906"/>
      <c r="E8980" s="894">
        <v>2</v>
      </c>
      <c r="F8980" s="891">
        <v>190</v>
      </c>
      <c r="G8980" s="891">
        <f>F8980*E8980</f>
        <v>380</v>
      </c>
    </row>
    <row r="8981" spans="1:7">
      <c r="A8981" s="47"/>
      <c r="B8981" s="260" t="s">
        <v>1993</v>
      </c>
      <c r="C8981" s="905"/>
      <c r="D8981" s="906"/>
      <c r="E8981" s="894">
        <v>1</v>
      </c>
      <c r="F8981" s="891">
        <v>12</v>
      </c>
      <c r="G8981" s="891">
        <f>F8981*E8981</f>
        <v>12</v>
      </c>
    </row>
    <row r="8982" spans="1:7">
      <c r="A8982" s="47"/>
      <c r="B8982" s="260"/>
      <c r="C8982" s="905"/>
      <c r="D8982" s="906"/>
      <c r="E8982" s="894"/>
      <c r="F8982" s="1202" t="s">
        <v>7016</v>
      </c>
      <c r="G8982" s="919">
        <f>SUM(G8978:G8981)</f>
        <v>456</v>
      </c>
    </row>
    <row r="8985" spans="1:7">
      <c r="A8985" s="2101" t="s">
        <v>1400</v>
      </c>
      <c r="B8985" s="887" t="s">
        <v>377</v>
      </c>
      <c r="C8985" s="887" t="s">
        <v>128</v>
      </c>
      <c r="D8985" s="887" t="s">
        <v>1653</v>
      </c>
      <c r="E8985" s="1997" t="s">
        <v>6976</v>
      </c>
      <c r="F8985" s="1997" t="s">
        <v>2245</v>
      </c>
    </row>
    <row r="8986" spans="1:7">
      <c r="A8986" s="47">
        <v>5081</v>
      </c>
      <c r="B8986" s="907">
        <v>140</v>
      </c>
      <c r="C8986" s="47" t="s">
        <v>7023</v>
      </c>
      <c r="D8986" s="905">
        <v>12</v>
      </c>
      <c r="E8986" s="891">
        <v>10.52</v>
      </c>
      <c r="F8986" s="891">
        <f>E8986*D8986</f>
        <v>126.24</v>
      </c>
    </row>
    <row r="8987" spans="1:7">
      <c r="A8987" s="47" t="s">
        <v>7024</v>
      </c>
      <c r="B8987" s="907">
        <v>140</v>
      </c>
      <c r="C8987" s="47" t="s">
        <v>46</v>
      </c>
      <c r="D8987" s="983">
        <v>5.5</v>
      </c>
      <c r="E8987" s="891">
        <v>9.6199999999999992</v>
      </c>
      <c r="F8987" s="891">
        <f>E8987*D8987</f>
        <v>52.91</v>
      </c>
    </row>
    <row r="8988" spans="1:7">
      <c r="A8988" s="47">
        <v>5521</v>
      </c>
      <c r="B8988" s="907">
        <v>148</v>
      </c>
      <c r="C8988" s="47" t="s">
        <v>629</v>
      </c>
      <c r="D8988" s="905">
        <v>2</v>
      </c>
      <c r="E8988" s="891">
        <v>7.95</v>
      </c>
      <c r="F8988" s="891">
        <f>E8988*D8988</f>
        <v>15.9</v>
      </c>
    </row>
    <row r="8989" spans="1:7">
      <c r="A8989" s="47"/>
      <c r="B8989" s="893"/>
      <c r="C8989" s="260" t="s">
        <v>1075</v>
      </c>
      <c r="D8989" s="894">
        <v>3</v>
      </c>
      <c r="E8989" s="891">
        <v>15</v>
      </c>
      <c r="F8989" s="891">
        <f>E8989*D8989</f>
        <v>45</v>
      </c>
    </row>
    <row r="8990" spans="1:7">
      <c r="A8990" s="47"/>
      <c r="B8990" s="893"/>
      <c r="C8990" s="260" t="s">
        <v>1993</v>
      </c>
      <c r="D8990" s="894">
        <v>1</v>
      </c>
      <c r="E8990" s="891">
        <v>20</v>
      </c>
      <c r="F8990" s="891">
        <f>E8990*D8990</f>
        <v>20</v>
      </c>
    </row>
    <row r="8993" spans="1:8">
      <c r="A8993" s="2101" t="s">
        <v>1400</v>
      </c>
      <c r="B8993" s="887" t="s">
        <v>128</v>
      </c>
      <c r="C8993" s="887" t="s">
        <v>1186</v>
      </c>
      <c r="D8993" s="887" t="s">
        <v>1652</v>
      </c>
      <c r="E8993" s="887" t="s">
        <v>1653</v>
      </c>
      <c r="F8993" s="1997" t="s">
        <v>6976</v>
      </c>
    </row>
    <row r="8994" spans="1:8">
      <c r="A8994" s="47" t="s">
        <v>6971</v>
      </c>
      <c r="B8994" s="47" t="s">
        <v>1661</v>
      </c>
      <c r="C8994" s="903">
        <v>50</v>
      </c>
      <c r="D8994" s="904">
        <v>1</v>
      </c>
      <c r="E8994" s="905">
        <f>C8994*D8994</f>
        <v>50</v>
      </c>
      <c r="F8994" s="891">
        <v>0.64</v>
      </c>
    </row>
    <row r="8995" spans="1:8">
      <c r="A8995" s="47"/>
      <c r="B8995" s="260" t="s">
        <v>1993</v>
      </c>
      <c r="C8995" s="905"/>
      <c r="D8995" s="906"/>
      <c r="E8995" s="894">
        <v>1</v>
      </c>
      <c r="F8995" s="891">
        <v>12</v>
      </c>
    </row>
    <row r="8998" spans="1:8">
      <c r="A8998" s="2101" t="s">
        <v>1400</v>
      </c>
      <c r="B8998" s="887" t="s">
        <v>128</v>
      </c>
      <c r="C8998" s="887" t="s">
        <v>1186</v>
      </c>
      <c r="D8998" s="887" t="s">
        <v>1652</v>
      </c>
      <c r="E8998" s="887" t="s">
        <v>1653</v>
      </c>
      <c r="F8998" s="1997" t="s">
        <v>7040</v>
      </c>
      <c r="G8998" s="1997" t="s">
        <v>2245</v>
      </c>
    </row>
    <row r="8999" spans="1:8">
      <c r="A8999" s="47" t="s">
        <v>6909</v>
      </c>
      <c r="B8999" s="260" t="s">
        <v>6900</v>
      </c>
      <c r="C8999" s="983">
        <v>6.1</v>
      </c>
      <c r="D8999" s="890">
        <v>3</v>
      </c>
      <c r="E8999" s="983">
        <f>C8999*D8999</f>
        <v>18.299999999999997</v>
      </c>
      <c r="F8999" s="891">
        <v>60.36</v>
      </c>
      <c r="G8999" s="891">
        <f>F8999*E8999</f>
        <v>1104.5879999999997</v>
      </c>
    </row>
    <row r="9000" spans="1:8">
      <c r="A9000" s="47"/>
      <c r="B9000" s="260"/>
      <c r="C9000" s="894"/>
      <c r="D9000" s="904"/>
      <c r="E9000" s="260" t="s">
        <v>7041</v>
      </c>
      <c r="F9000" s="1058">
        <v>82.1</v>
      </c>
      <c r="G9000" s="1058">
        <v>82.1</v>
      </c>
    </row>
    <row r="9001" spans="1:8">
      <c r="A9001" s="47"/>
      <c r="B9001" s="260"/>
      <c r="C9001" s="894"/>
      <c r="D9001" s="904"/>
      <c r="E9001" s="260"/>
      <c r="F9001" s="918" t="s">
        <v>7042</v>
      </c>
      <c r="G9001" s="918">
        <f>SUM(G8999:G9000)</f>
        <v>1186.6879999999996</v>
      </c>
    </row>
    <row r="9004" spans="1:8">
      <c r="A9004" s="1064" t="s">
        <v>7044</v>
      </c>
    </row>
    <row r="9005" spans="1:8" ht="25.5">
      <c r="A9005" s="1996" t="s">
        <v>5583</v>
      </c>
      <c r="B9005" s="1997" t="s">
        <v>980</v>
      </c>
      <c r="C9005" s="1997" t="s">
        <v>1323</v>
      </c>
      <c r="D9005" s="1998" t="s">
        <v>6978</v>
      </c>
      <c r="E9005" s="2045" t="s">
        <v>6979</v>
      </c>
      <c r="F9005" s="2045" t="s">
        <v>6080</v>
      </c>
      <c r="G9005" s="940" t="s">
        <v>6081</v>
      </c>
    </row>
    <row r="9006" spans="1:8">
      <c r="A9006" s="47" t="s">
        <v>7045</v>
      </c>
      <c r="B9006" s="47" t="s">
        <v>6983</v>
      </c>
      <c r="C9006" s="1061">
        <f>ROUNDUP(E9006/0.6/120,2)</f>
        <v>3.82</v>
      </c>
      <c r="D9006" s="2260" t="s">
        <v>2346</v>
      </c>
      <c r="E9006" s="1999">
        <v>275</v>
      </c>
      <c r="F9006" s="2083">
        <f>(C9006-(E9006/G9006))/C9006</f>
        <v>0.40008726003490402</v>
      </c>
      <c r="G9006" s="2000">
        <v>120</v>
      </c>
    </row>
    <row r="9007" spans="1:8">
      <c r="A9007" s="47" t="s">
        <v>7046</v>
      </c>
      <c r="B9007" s="47" t="s">
        <v>6983</v>
      </c>
      <c r="C9007" s="1061">
        <f>ROUNDUP(E9007/0.6/120,2)</f>
        <v>5.14</v>
      </c>
      <c r="D9007" s="2261" t="s">
        <v>2346</v>
      </c>
      <c r="E9007" s="1999">
        <v>370</v>
      </c>
      <c r="F9007" s="2083">
        <f>(C9007-(E9007/G9007))/C9007</f>
        <v>0.40012970168612183</v>
      </c>
      <c r="G9007" s="2000">
        <v>120</v>
      </c>
      <c r="H9007" s="2000"/>
    </row>
    <row r="9008" spans="1:8">
      <c r="A9008" s="47" t="s">
        <v>7047</v>
      </c>
      <c r="B9008" s="47" t="s">
        <v>7048</v>
      </c>
      <c r="C9008" s="1061">
        <f>ROUNDUP(E9008/0.6/120,2)</f>
        <v>5.9799999999999995</v>
      </c>
      <c r="D9008" s="2260" t="s">
        <v>6987</v>
      </c>
      <c r="E9008" s="1999">
        <f>370+60</f>
        <v>430</v>
      </c>
      <c r="F9008" s="2083">
        <f>(C9008-(E9008/G9008))/C9008</f>
        <v>0.40078037904124852</v>
      </c>
      <c r="G9008" s="2000">
        <v>120</v>
      </c>
      <c r="H9008" t="s">
        <v>6980</v>
      </c>
    </row>
    <row r="9009" spans="1:9">
      <c r="A9009" s="47" t="s">
        <v>7049</v>
      </c>
      <c r="B9009" s="47" t="s">
        <v>6983</v>
      </c>
      <c r="C9009" s="1061">
        <f>ROUNDUP(E9009/0.6/120,2)</f>
        <v>3.8899999999999997</v>
      </c>
      <c r="D9009" s="2261" t="s">
        <v>2346</v>
      </c>
      <c r="E9009" s="1999">
        <v>280</v>
      </c>
      <c r="F9009" s="2083">
        <f>(C9009-(E9009/G9009))/C9009</f>
        <v>0.40017137960582683</v>
      </c>
      <c r="G9009" s="2000">
        <v>120</v>
      </c>
      <c r="H9009" s="2000"/>
    </row>
    <row r="9010" spans="1:9">
      <c r="A9010" s="47" t="s">
        <v>7050</v>
      </c>
      <c r="B9010" s="47" t="s">
        <v>6983</v>
      </c>
      <c r="C9010" s="1061">
        <f>ROUNDUP(E9010/0.6/120,2)</f>
        <v>5.56</v>
      </c>
      <c r="D9010" s="2261" t="s">
        <v>2346</v>
      </c>
      <c r="E9010" s="1999">
        <v>400</v>
      </c>
      <c r="F9010" s="2083">
        <f>(C9010-(E9010/G9010))/C9010</f>
        <v>0.40047961630695439</v>
      </c>
      <c r="G9010" s="2000">
        <v>120</v>
      </c>
      <c r="H9010" s="2000"/>
    </row>
    <row r="9012" spans="1:9">
      <c r="A9012" s="629" t="s">
        <v>7056</v>
      </c>
    </row>
    <row r="9013" spans="1:9" ht="15">
      <c r="A9013" s="1996" t="s">
        <v>1603</v>
      </c>
      <c r="B9013" s="1996" t="s">
        <v>7058</v>
      </c>
      <c r="C9013" s="1996" t="s">
        <v>128</v>
      </c>
      <c r="D9013" s="1997" t="s">
        <v>1053</v>
      </c>
      <c r="E9013" s="1997" t="s">
        <v>6976</v>
      </c>
      <c r="F9013" s="2001" t="s">
        <v>5955</v>
      </c>
      <c r="G9013" s="2002" t="s">
        <v>5956</v>
      </c>
      <c r="H9013" s="2258"/>
      <c r="I9013" s="2259"/>
    </row>
    <row r="9014" spans="1:9">
      <c r="A9014" s="47" t="s">
        <v>7057</v>
      </c>
      <c r="B9014" s="47" t="s">
        <v>7059</v>
      </c>
      <c r="C9014" s="47" t="s">
        <v>6972</v>
      </c>
      <c r="D9014" s="47" t="s">
        <v>6973</v>
      </c>
      <c r="E9014" s="1245">
        <v>0.77</v>
      </c>
      <c r="F9014" s="1999">
        <v>46</v>
      </c>
      <c r="G9014" s="2000">
        <v>18000</v>
      </c>
      <c r="H9014" s="2258">
        <f>(((E9014*I9014)-F9014)/(E9014*I9014))</f>
        <v>0.50216450216450215</v>
      </c>
      <c r="I9014" s="2259">
        <v>120</v>
      </c>
    </row>
    <row r="9017" spans="1:9" ht="15">
      <c r="A9017" s="1996" t="s">
        <v>1603</v>
      </c>
      <c r="B9017" s="1996" t="s">
        <v>52</v>
      </c>
      <c r="C9017" s="1996" t="s">
        <v>128</v>
      </c>
      <c r="D9017" s="887" t="s">
        <v>1186</v>
      </c>
      <c r="E9017" s="887" t="s">
        <v>1652</v>
      </c>
      <c r="F9017" s="887" t="s">
        <v>1653</v>
      </c>
      <c r="G9017" s="1997" t="s">
        <v>6976</v>
      </c>
      <c r="H9017" s="887" t="s">
        <v>7063</v>
      </c>
    </row>
    <row r="9018" spans="1:9">
      <c r="A9018" s="47" t="s">
        <v>7057</v>
      </c>
      <c r="B9018" s="2052">
        <v>10</v>
      </c>
      <c r="C9018" s="47" t="s">
        <v>7062</v>
      </c>
      <c r="D9018" s="903">
        <v>100</v>
      </c>
      <c r="E9018" s="904">
        <v>1</v>
      </c>
      <c r="F9018" s="905">
        <f>D9018*E9018</f>
        <v>100</v>
      </c>
      <c r="G9018" s="891">
        <v>0.77</v>
      </c>
      <c r="H9018" s="891">
        <f>G9018*F9018</f>
        <v>77</v>
      </c>
    </row>
    <row r="9019" spans="1:9">
      <c r="A9019" s="47" t="s">
        <v>7057</v>
      </c>
      <c r="B9019" s="2052">
        <v>10</v>
      </c>
      <c r="C9019" s="47" t="s">
        <v>944</v>
      </c>
      <c r="D9019" s="903">
        <v>100</v>
      </c>
      <c r="E9019" s="904">
        <v>1</v>
      </c>
      <c r="F9019" s="905">
        <f>D9019*E9019</f>
        <v>100</v>
      </c>
      <c r="G9019" s="891">
        <v>0.77</v>
      </c>
      <c r="H9019" s="891">
        <f>G9019*F9019</f>
        <v>77</v>
      </c>
    </row>
    <row r="9020" spans="1:9">
      <c r="A9020" s="47"/>
      <c r="B9020" s="893"/>
      <c r="C9020" s="260" t="s">
        <v>256</v>
      </c>
      <c r="D9020" s="905"/>
      <c r="E9020" s="906"/>
      <c r="F9020" s="894">
        <v>2</v>
      </c>
      <c r="G9020" s="891">
        <v>190</v>
      </c>
      <c r="H9020" s="891">
        <f>G9020*F9020</f>
        <v>380</v>
      </c>
    </row>
    <row r="9021" spans="1:9">
      <c r="A9021" s="47"/>
      <c r="B9021" s="893"/>
      <c r="C9021" s="260" t="s">
        <v>1993</v>
      </c>
      <c r="D9021" s="905"/>
      <c r="E9021" s="906"/>
      <c r="F9021" s="894">
        <v>1</v>
      </c>
      <c r="G9021" s="891">
        <v>12</v>
      </c>
      <c r="H9021" s="891">
        <f>G9021*F9021</f>
        <v>12</v>
      </c>
    </row>
    <row r="9022" spans="1:9">
      <c r="A9022" s="47"/>
      <c r="B9022" s="893"/>
      <c r="C9022" s="260"/>
      <c r="D9022" s="905"/>
      <c r="E9022" s="906"/>
      <c r="F9022" s="894"/>
      <c r="G9022" s="1202" t="s">
        <v>7064</v>
      </c>
      <c r="H9022" s="919">
        <f>SUM(H9018:H9021)</f>
        <v>546</v>
      </c>
    </row>
    <row r="9025" spans="1:7">
      <c r="A9025" s="1064" t="s">
        <v>7066</v>
      </c>
    </row>
    <row r="9026" spans="1:7" ht="15">
      <c r="A9026" s="1996" t="s">
        <v>5583</v>
      </c>
      <c r="B9026" s="1997" t="s">
        <v>980</v>
      </c>
      <c r="C9026" s="1997" t="s">
        <v>1323</v>
      </c>
      <c r="D9026" s="2045" t="s">
        <v>6979</v>
      </c>
      <c r="E9026" s="2045" t="s">
        <v>6080</v>
      </c>
      <c r="F9026" s="940" t="s">
        <v>6081</v>
      </c>
    </row>
    <row r="9027" spans="1:7">
      <c r="A9027" s="47" t="s">
        <v>7065</v>
      </c>
      <c r="B9027" s="47" t="s">
        <v>1519</v>
      </c>
      <c r="C9027" s="1061">
        <f>ROUNDUP(D9027/0.6/120,2)</f>
        <v>1.44</v>
      </c>
      <c r="D9027" s="1999">
        <v>103</v>
      </c>
      <c r="E9027" s="2083">
        <f>(C9027-(D9027/F9027))/C9027</f>
        <v>0.40393518518518517</v>
      </c>
      <c r="F9027" s="2000">
        <v>120</v>
      </c>
    </row>
    <row r="9030" spans="1:7" ht="15">
      <c r="A9030" s="1996" t="s">
        <v>1603</v>
      </c>
      <c r="B9030" s="1996" t="s">
        <v>52</v>
      </c>
      <c r="C9030" s="1996" t="s">
        <v>128</v>
      </c>
      <c r="D9030" s="887" t="s">
        <v>1186</v>
      </c>
      <c r="E9030" s="887" t="s">
        <v>1652</v>
      </c>
      <c r="F9030" s="887" t="s">
        <v>1653</v>
      </c>
      <c r="G9030" s="1997" t="s">
        <v>6976</v>
      </c>
    </row>
    <row r="9031" spans="1:7" ht="25.5">
      <c r="A9031" s="47" t="s">
        <v>6409</v>
      </c>
      <c r="B9031" s="2098" t="s">
        <v>6435</v>
      </c>
      <c r="C9031" s="47" t="s">
        <v>6438</v>
      </c>
      <c r="D9031" s="903">
        <v>25</v>
      </c>
      <c r="E9031" s="2099">
        <v>3</v>
      </c>
      <c r="F9031" s="905">
        <f>E9031*D9031</f>
        <v>75</v>
      </c>
      <c r="G9031" s="891">
        <v>2.85</v>
      </c>
    </row>
    <row r="9032" spans="1:7">
      <c r="A9032" s="47"/>
      <c r="B9032" s="893"/>
      <c r="C9032" s="260" t="s">
        <v>1993</v>
      </c>
      <c r="D9032" s="905"/>
      <c r="E9032" s="906"/>
      <c r="F9032" s="894">
        <v>1</v>
      </c>
      <c r="G9032" s="891">
        <v>12</v>
      </c>
    </row>
    <row r="9035" spans="1:7">
      <c r="A9035" s="2100" t="s">
        <v>1603</v>
      </c>
      <c r="B9035" s="2100" t="s">
        <v>128</v>
      </c>
      <c r="C9035" s="887" t="s">
        <v>1653</v>
      </c>
      <c r="D9035" s="1997" t="s">
        <v>6976</v>
      </c>
    </row>
    <row r="9036" spans="1:7">
      <c r="A9036" s="1008" t="s">
        <v>7068</v>
      </c>
      <c r="B9036" s="47" t="s">
        <v>6995</v>
      </c>
      <c r="C9036" s="905">
        <v>15</v>
      </c>
      <c r="D9036" s="1061">
        <v>1.44</v>
      </c>
    </row>
    <row r="9037" spans="1:7">
      <c r="A9037" s="47"/>
      <c r="B9037" s="260" t="s">
        <v>1993</v>
      </c>
      <c r="C9037" s="894">
        <v>1</v>
      </c>
      <c r="D9037" s="891">
        <v>12</v>
      </c>
    </row>
    <row r="9040" spans="1:7">
      <c r="A9040" t="s">
        <v>7070</v>
      </c>
    </row>
    <row r="9041" spans="1:54" s="1163" customFormat="1" ht="25.5">
      <c r="A9041" s="1350" t="s">
        <v>1369</v>
      </c>
      <c r="B9041" s="1351" t="s">
        <v>6714</v>
      </c>
      <c r="C9041" s="1353" t="s">
        <v>1734</v>
      </c>
      <c r="D9041" s="1354" t="s">
        <v>5527</v>
      </c>
      <c r="E9041" s="2183" t="s">
        <v>6673</v>
      </c>
      <c r="F9041" s="2184" t="s">
        <v>6669</v>
      </c>
      <c r="G9041" s="2184" t="s">
        <v>6670</v>
      </c>
    </row>
    <row r="9042" spans="1:54" s="59" customFormat="1" ht="15" hidden="1" customHeight="1">
      <c r="A9042" s="1172">
        <v>4255</v>
      </c>
      <c r="B9042" s="1782">
        <v>30</v>
      </c>
      <c r="C9042" s="1172" t="s">
        <v>1812</v>
      </c>
      <c r="D9042" s="1061">
        <v>2.9699999999999998</v>
      </c>
      <c r="E9042" s="2200">
        <v>176</v>
      </c>
      <c r="F9042" s="2186"/>
      <c r="G9042" s="2187"/>
      <c r="H9042" s="1963"/>
      <c r="I9042" s="1963"/>
      <c r="J9042" s="1963"/>
      <c r="K9042" s="1963"/>
      <c r="L9042" s="1963"/>
      <c r="M9042" s="1963"/>
      <c r="N9042" s="1963"/>
      <c r="O9042" s="1963"/>
      <c r="P9042" s="1963"/>
      <c r="Q9042" s="1963"/>
      <c r="R9042" s="1963"/>
      <c r="S9042" s="1963"/>
      <c r="T9042" s="1963"/>
      <c r="U9042" s="1963"/>
      <c r="V9042" s="1963"/>
      <c r="W9042" s="1963"/>
      <c r="X9042" s="1963"/>
      <c r="Y9042" s="1963"/>
      <c r="Z9042" s="1963"/>
      <c r="AA9042" s="1963"/>
      <c r="AB9042" s="1963"/>
      <c r="AC9042" s="1963"/>
      <c r="AD9042" s="1963"/>
      <c r="AE9042" s="1963"/>
      <c r="AF9042" s="1963"/>
      <c r="AG9042" s="1963"/>
      <c r="AH9042" s="1963"/>
      <c r="AI9042" s="1963"/>
      <c r="AJ9042" s="1963"/>
      <c r="AK9042" s="1963"/>
      <c r="AL9042" s="1963"/>
      <c r="AM9042" s="1963"/>
      <c r="AN9042" s="1963"/>
      <c r="AO9042" s="1963"/>
      <c r="AP9042" s="1963"/>
      <c r="AQ9042" s="1963"/>
      <c r="AR9042" s="1963"/>
      <c r="AS9042" s="1963"/>
      <c r="AT9042" s="1963"/>
      <c r="AU9042" s="1963"/>
      <c r="AV9042" s="1963"/>
      <c r="AW9042" s="1963"/>
      <c r="AX9042" s="1963"/>
      <c r="AY9042" s="1963"/>
      <c r="AZ9042" s="1963"/>
      <c r="BA9042" s="1963"/>
      <c r="BB9042" s="1963"/>
    </row>
    <row r="9043" spans="1:54" s="59" customFormat="1" ht="15" hidden="1" customHeight="1">
      <c r="A9043" s="1172">
        <v>4255</v>
      </c>
      <c r="B9043" s="1782">
        <v>40</v>
      </c>
      <c r="C9043" s="1172" t="s">
        <v>1812</v>
      </c>
      <c r="D9043" s="1061">
        <v>3.38</v>
      </c>
      <c r="E9043" s="2200">
        <v>201</v>
      </c>
      <c r="F9043" s="2186"/>
      <c r="G9043" s="2187"/>
      <c r="H9043" s="1963"/>
      <c r="I9043" s="1963"/>
      <c r="J9043" s="1963"/>
      <c r="K9043" s="1963"/>
      <c r="L9043" s="1963"/>
      <c r="M9043" s="1963"/>
      <c r="N9043" s="1963"/>
      <c r="O9043" s="1963"/>
      <c r="P9043" s="1963"/>
      <c r="Q9043" s="1963"/>
      <c r="R9043" s="1963"/>
      <c r="S9043" s="1963"/>
      <c r="T9043" s="1963"/>
      <c r="U9043" s="1963"/>
      <c r="V9043" s="1963"/>
      <c r="W9043" s="1963"/>
      <c r="X9043" s="1963"/>
      <c r="Y9043" s="1963"/>
      <c r="Z9043" s="1963"/>
      <c r="AA9043" s="1963"/>
      <c r="AB9043" s="1963"/>
      <c r="AC9043" s="1963"/>
      <c r="AD9043" s="1963"/>
      <c r="AE9043" s="1963"/>
      <c r="AF9043" s="1963"/>
      <c r="AG9043" s="1963"/>
      <c r="AH9043" s="1963"/>
      <c r="AI9043" s="1963"/>
      <c r="AJ9043" s="1963"/>
      <c r="AK9043" s="1963"/>
      <c r="AL9043" s="1963"/>
      <c r="AM9043" s="1963"/>
      <c r="AN9043" s="1963"/>
      <c r="AO9043" s="1963"/>
      <c r="AP9043" s="1963"/>
      <c r="AQ9043" s="1963"/>
      <c r="AR9043" s="1963"/>
      <c r="AS9043" s="1963"/>
      <c r="AT9043" s="1963"/>
      <c r="AU9043" s="1963"/>
      <c r="AV9043" s="1963"/>
      <c r="AW9043" s="1963"/>
      <c r="AX9043" s="1963"/>
      <c r="AY9043" s="1963"/>
      <c r="AZ9043" s="1963"/>
      <c r="BA9043" s="1963"/>
      <c r="BB9043" s="1963"/>
    </row>
    <row r="9044" spans="1:54" s="59" customFormat="1" ht="15" customHeight="1">
      <c r="A9044" s="1172" t="s">
        <v>7071</v>
      </c>
      <c r="B9044" s="1782">
        <v>19</v>
      </c>
      <c r="C9044" s="1172" t="s">
        <v>7072</v>
      </c>
      <c r="D9044" s="1061">
        <f>ROUNDUP(E9044/0.6/120,2)</f>
        <v>0.32</v>
      </c>
      <c r="E9044" s="2200">
        <v>22.97</v>
      </c>
      <c r="F9044" s="2186">
        <f>(((D9044*G9044)-E9044)/(D9044*G9044))</f>
        <v>0.4018229166666667</v>
      </c>
      <c r="G9044" s="2187">
        <v>120</v>
      </c>
      <c r="H9044" s="1963"/>
      <c r="I9044" s="1963"/>
      <c r="J9044" s="1963"/>
      <c r="K9044" s="1963"/>
      <c r="L9044" s="1963"/>
      <c r="M9044" s="1963"/>
      <c r="N9044" s="1963"/>
      <c r="O9044" s="1963"/>
      <c r="P9044" s="1963"/>
      <c r="Q9044" s="1963"/>
      <c r="R9044" s="1963"/>
      <c r="S9044" s="1963"/>
      <c r="T9044" s="1963"/>
      <c r="U9044" s="1963"/>
      <c r="V9044" s="1963"/>
      <c r="W9044" s="1963"/>
      <c r="X9044" s="1963"/>
      <c r="Y9044" s="1963"/>
      <c r="Z9044" s="1963"/>
      <c r="AA9044" s="1963"/>
      <c r="AB9044" s="1963"/>
      <c r="AC9044" s="1963"/>
      <c r="AD9044" s="1963"/>
      <c r="AE9044" s="1963"/>
      <c r="AF9044" s="1963"/>
      <c r="AG9044" s="1963"/>
      <c r="AH9044" s="1963"/>
      <c r="AI9044" s="1963"/>
      <c r="AJ9044" s="1963"/>
      <c r="AK9044" s="1963"/>
      <c r="AL9044" s="1963"/>
      <c r="AM9044" s="1963"/>
      <c r="AN9044" s="1963"/>
      <c r="AO9044" s="1963"/>
      <c r="AP9044" s="1963"/>
      <c r="AQ9044" s="1963"/>
      <c r="AR9044" s="1963"/>
      <c r="AS9044" s="1963"/>
      <c r="AT9044" s="1963"/>
      <c r="AU9044" s="1963"/>
      <c r="AV9044" s="1963"/>
      <c r="AW9044" s="1963"/>
      <c r="AX9044" s="1963"/>
      <c r="AY9044" s="1963"/>
      <c r="AZ9044" s="1963"/>
      <c r="BA9044" s="1963"/>
      <c r="BB9044" s="1963"/>
    </row>
    <row r="9045" spans="1:54" s="59" customFormat="1" ht="15" customHeight="1">
      <c r="A9045" s="1172" t="s">
        <v>7071</v>
      </c>
      <c r="B9045" s="1782">
        <v>25</v>
      </c>
      <c r="C9045" s="1172" t="s">
        <v>7072</v>
      </c>
      <c r="D9045" s="1061">
        <f>ROUNDUP(E9045/0.6/120,2)</f>
        <v>0.39</v>
      </c>
      <c r="E9045" s="2200">
        <v>27.84</v>
      </c>
      <c r="F9045" s="2186">
        <f>(((D9045*G9045)-E9045)/(D9045*G9045))</f>
        <v>0.40512820512820519</v>
      </c>
      <c r="G9045" s="2187">
        <v>120</v>
      </c>
      <c r="H9045" s="1963"/>
      <c r="I9045" s="1963"/>
      <c r="J9045" s="1963"/>
      <c r="K9045" s="1963"/>
      <c r="L9045" s="1963"/>
      <c r="M9045" s="1963"/>
      <c r="N9045" s="1963"/>
      <c r="O9045" s="1963"/>
      <c r="P9045" s="1963"/>
      <c r="Q9045" s="1963"/>
      <c r="R9045" s="1963"/>
      <c r="S9045" s="1963"/>
      <c r="T9045" s="1963"/>
      <c r="U9045" s="1963"/>
      <c r="V9045" s="1963"/>
      <c r="W9045" s="1963"/>
      <c r="X9045" s="1963"/>
      <c r="Y9045" s="1963"/>
      <c r="Z9045" s="1963"/>
      <c r="AA9045" s="1963"/>
      <c r="AB9045" s="1963"/>
      <c r="AC9045" s="1963"/>
      <c r="AD9045" s="1963"/>
      <c r="AE9045" s="1963"/>
      <c r="AF9045" s="1963"/>
      <c r="AG9045" s="1963"/>
      <c r="AH9045" s="1963"/>
      <c r="AI9045" s="1963"/>
      <c r="AJ9045" s="1963"/>
      <c r="AK9045" s="1963"/>
      <c r="AL9045" s="1963"/>
      <c r="AM9045" s="1963"/>
      <c r="AN9045" s="1963"/>
      <c r="AO9045" s="1963"/>
      <c r="AP9045" s="1963"/>
      <c r="AQ9045" s="1963"/>
      <c r="AR9045" s="1963"/>
      <c r="AS9045" s="1963"/>
      <c r="AT9045" s="1963"/>
      <c r="AU9045" s="1963"/>
      <c r="AV9045" s="1963"/>
      <c r="AW9045" s="1963"/>
      <c r="AX9045" s="1963"/>
      <c r="AY9045" s="1963"/>
      <c r="AZ9045" s="1963"/>
      <c r="BA9045" s="1963"/>
      <c r="BB9045" s="1963"/>
    </row>
    <row r="9046" spans="1:54" s="59" customFormat="1" ht="15" customHeight="1">
      <c r="A9046" s="1172">
        <v>3843</v>
      </c>
      <c r="B9046" s="1782">
        <v>22</v>
      </c>
      <c r="C9046" s="1172" t="s">
        <v>7072</v>
      </c>
      <c r="D9046" s="1061">
        <f>ROUNDUP(E9046/0.6/120,2)</f>
        <v>1.06</v>
      </c>
      <c r="E9046" s="2200">
        <v>76</v>
      </c>
      <c r="F9046" s="2186">
        <f>(((D9046*G9046)-E9046)/(D9046*G9046))</f>
        <v>0.40251572327044027</v>
      </c>
      <c r="G9046" s="2187">
        <v>120</v>
      </c>
      <c r="H9046" s="1963"/>
      <c r="I9046" s="1963"/>
      <c r="J9046" s="1963"/>
      <c r="K9046" s="1963"/>
      <c r="L9046" s="1963"/>
      <c r="M9046" s="1963"/>
      <c r="N9046" s="1963"/>
      <c r="O9046" s="1963"/>
      <c r="P9046" s="1963"/>
      <c r="Q9046" s="1963"/>
      <c r="R9046" s="1963"/>
      <c r="S9046" s="1963"/>
      <c r="T9046" s="1963"/>
      <c r="U9046" s="1963"/>
      <c r="V9046" s="1963"/>
      <c r="W9046" s="1963"/>
      <c r="X9046" s="1963"/>
      <c r="Y9046" s="1963"/>
      <c r="Z9046" s="1963"/>
      <c r="AA9046" s="1963"/>
      <c r="AB9046" s="1963"/>
      <c r="AC9046" s="1963"/>
      <c r="AD9046" s="1963"/>
      <c r="AE9046" s="1963"/>
      <c r="AF9046" s="1963"/>
      <c r="AG9046" s="1963"/>
      <c r="AH9046" s="1963"/>
      <c r="AI9046" s="1963"/>
      <c r="AJ9046" s="1963"/>
      <c r="AK9046" s="1963"/>
      <c r="AL9046" s="1963"/>
      <c r="AM9046" s="1963"/>
      <c r="AN9046" s="1963"/>
      <c r="AO9046" s="1963"/>
      <c r="AP9046" s="1963"/>
      <c r="AQ9046" s="1963"/>
      <c r="AR9046" s="1963"/>
      <c r="AS9046" s="1963"/>
      <c r="AT9046" s="1963"/>
      <c r="AU9046" s="1963"/>
      <c r="AV9046" s="1963"/>
      <c r="AW9046" s="1963"/>
      <c r="AX9046" s="1963"/>
      <c r="AY9046" s="1963"/>
      <c r="AZ9046" s="1963"/>
      <c r="BA9046" s="1963"/>
      <c r="BB9046" s="1963"/>
    </row>
    <row r="9047" spans="1:54" s="59" customFormat="1" ht="15" customHeight="1">
      <c r="A9047" s="1172">
        <v>3843</v>
      </c>
      <c r="B9047" s="1782">
        <v>25</v>
      </c>
      <c r="C9047" s="1172" t="s">
        <v>7072</v>
      </c>
      <c r="D9047" s="1061">
        <f>ROUNDUP(E9047/0.6/120,2)</f>
        <v>1.44</v>
      </c>
      <c r="E9047" s="2200">
        <v>103</v>
      </c>
      <c r="F9047" s="2186">
        <f>(((D9047*G9047)-E9047)/(D9047*G9047))</f>
        <v>0.40393518518518512</v>
      </c>
      <c r="G9047" s="2187">
        <v>120</v>
      </c>
      <c r="H9047" s="1963"/>
      <c r="I9047" s="1963"/>
      <c r="J9047" s="1963"/>
      <c r="K9047" s="1963"/>
      <c r="L9047" s="1963"/>
      <c r="M9047" s="1963"/>
      <c r="N9047" s="1963"/>
      <c r="O9047" s="1963"/>
      <c r="P9047" s="1963"/>
      <c r="Q9047" s="1963"/>
      <c r="R9047" s="1963"/>
      <c r="S9047" s="1963"/>
      <c r="T9047" s="1963"/>
      <c r="U9047" s="1963"/>
      <c r="V9047" s="1963"/>
      <c r="W9047" s="1963"/>
      <c r="X9047" s="1963"/>
      <c r="Y9047" s="1963"/>
      <c r="Z9047" s="1963"/>
      <c r="AA9047" s="1963"/>
      <c r="AB9047" s="1963"/>
      <c r="AC9047" s="1963"/>
      <c r="AD9047" s="1963"/>
      <c r="AE9047" s="1963"/>
      <c r="AF9047" s="1963"/>
      <c r="AG9047" s="1963"/>
      <c r="AH9047" s="1963"/>
      <c r="AI9047" s="1963"/>
      <c r="AJ9047" s="1963"/>
      <c r="AK9047" s="1963"/>
      <c r="AL9047" s="1963"/>
      <c r="AM9047" s="1963"/>
      <c r="AN9047" s="1963"/>
      <c r="AO9047" s="1963"/>
      <c r="AP9047" s="1963"/>
      <c r="AQ9047" s="1963"/>
      <c r="AR9047" s="1963"/>
      <c r="AS9047" s="1963"/>
      <c r="AT9047" s="1963"/>
      <c r="AU9047" s="1963"/>
      <c r="AV9047" s="1963"/>
      <c r="AW9047" s="1963"/>
      <c r="AX9047" s="1963"/>
      <c r="AY9047" s="1963"/>
      <c r="AZ9047" s="1963"/>
      <c r="BA9047" s="1963"/>
      <c r="BB9047" s="1963"/>
    </row>
    <row r="9052" spans="1:54">
      <c r="A9052" s="2100" t="s">
        <v>1603</v>
      </c>
      <c r="B9052" s="2100" t="s">
        <v>1603</v>
      </c>
      <c r="C9052" s="887" t="s">
        <v>1186</v>
      </c>
      <c r="D9052" s="887" t="s">
        <v>1652</v>
      </c>
      <c r="E9052" s="887" t="s">
        <v>1653</v>
      </c>
      <c r="F9052" s="2276" t="s">
        <v>7082</v>
      </c>
    </row>
    <row r="9053" spans="1:54">
      <c r="A9053" s="47" t="s">
        <v>7080</v>
      </c>
      <c r="B9053" s="47" t="s">
        <v>78</v>
      </c>
      <c r="C9053" s="903">
        <v>14</v>
      </c>
      <c r="D9053" s="906">
        <v>6</v>
      </c>
      <c r="E9053" s="905">
        <f>C9053*D9053</f>
        <v>84</v>
      </c>
      <c r="F9053" s="1059">
        <v>400</v>
      </c>
    </row>
    <row r="9054" spans="1:54">
      <c r="A9054" s="47" t="s">
        <v>7081</v>
      </c>
      <c r="B9054" s="47" t="s">
        <v>56</v>
      </c>
      <c r="C9054" s="903">
        <v>14</v>
      </c>
      <c r="D9054" s="906">
        <v>6</v>
      </c>
      <c r="E9054" s="905">
        <f>C9054*D9054</f>
        <v>84</v>
      </c>
      <c r="F9054" s="346" t="s">
        <v>7083</v>
      </c>
    </row>
    <row r="9055" spans="1:54">
      <c r="A9055" s="47" t="s">
        <v>7006</v>
      </c>
      <c r="B9055" s="47" t="s">
        <v>78</v>
      </c>
      <c r="C9055" s="903">
        <v>14</v>
      </c>
      <c r="D9055" s="906">
        <v>6</v>
      </c>
      <c r="E9055" s="905">
        <f>C9055*D9055</f>
        <v>84</v>
      </c>
      <c r="F9055" s="1059">
        <v>590</v>
      </c>
    </row>
    <row r="9056" spans="1:54">
      <c r="A9056" s="47" t="s">
        <v>2611</v>
      </c>
      <c r="B9056" s="47" t="s">
        <v>78</v>
      </c>
      <c r="C9056" s="903">
        <v>14</v>
      </c>
      <c r="D9056" s="906">
        <v>7</v>
      </c>
      <c r="E9056" s="905">
        <f>C9056*D9056</f>
        <v>98</v>
      </c>
      <c r="F9056" s="1059">
        <v>280</v>
      </c>
    </row>
    <row r="9059" spans="1:12">
      <c r="A9059" s="895" t="s">
        <v>7084</v>
      </c>
    </row>
    <row r="9060" spans="1:12" ht="15">
      <c r="A9060" s="1996" t="s">
        <v>1603</v>
      </c>
      <c r="B9060" s="1996" t="s">
        <v>2317</v>
      </c>
      <c r="C9060" s="1997" t="s">
        <v>5310</v>
      </c>
      <c r="D9060" s="1997" t="s">
        <v>5308</v>
      </c>
      <c r="E9060" s="1998" t="s">
        <v>1623</v>
      </c>
      <c r="F9060" s="1998" t="s">
        <v>5282</v>
      </c>
      <c r="G9060" s="1998" t="s">
        <v>5948</v>
      </c>
      <c r="H9060" s="2045" t="s">
        <v>5308</v>
      </c>
      <c r="I9060" s="940" t="s">
        <v>1623</v>
      </c>
      <c r="J9060" s="2037" t="s">
        <v>6117</v>
      </c>
      <c r="K9060" s="2037" t="s">
        <v>6118</v>
      </c>
      <c r="L9060" s="2037" t="s">
        <v>6081</v>
      </c>
    </row>
    <row r="9061" spans="1:12">
      <c r="A9061" s="47" t="s">
        <v>7073</v>
      </c>
      <c r="B9061" s="47" t="s">
        <v>1574</v>
      </c>
      <c r="C9061" s="47" t="s">
        <v>1519</v>
      </c>
      <c r="D9061" s="1174">
        <f>ROUNDUP(H9061/0.6/120,2)</f>
        <v>1.3800000000000001</v>
      </c>
      <c r="E9061" s="1174">
        <f>ROUNDUP(I9061/0.6/120,2)</f>
        <v>2.21</v>
      </c>
      <c r="F9061" s="47" t="s">
        <v>6131</v>
      </c>
      <c r="G9061" s="2046">
        <v>75</v>
      </c>
      <c r="H9061" s="1999">
        <v>99</v>
      </c>
      <c r="I9061" s="2000">
        <f>99+60</f>
        <v>159</v>
      </c>
      <c r="J9061" s="2070">
        <f>(D9061-(H9061/L9061))/D9061</f>
        <v>0.40217391304347833</v>
      </c>
      <c r="K9061" s="2070">
        <f>(E9061-(I9061/L9061))/E9061</f>
        <v>0.40045248868778283</v>
      </c>
      <c r="L9061">
        <v>120</v>
      </c>
    </row>
    <row r="9062" spans="1:12">
      <c r="A9062" s="47" t="s">
        <v>7078</v>
      </c>
      <c r="B9062" s="47" t="s">
        <v>1574</v>
      </c>
      <c r="C9062" s="47" t="s">
        <v>1519</v>
      </c>
      <c r="D9062" s="1174">
        <f>ROUNDUP(H9062/0.6/120,2)</f>
        <v>1.85</v>
      </c>
      <c r="E9062" s="1174">
        <f>ROUNDUP(I9062/0.6/120,2)</f>
        <v>2.82</v>
      </c>
      <c r="F9062" s="47" t="s">
        <v>6131</v>
      </c>
      <c r="G9062" s="2046">
        <v>75</v>
      </c>
      <c r="H9062" s="1999">
        <v>133</v>
      </c>
      <c r="I9062" s="2000">
        <f>133+70</f>
        <v>203</v>
      </c>
      <c r="J9062" s="2070">
        <f>(D9062-(H9062/L9062))/D9062</f>
        <v>0.40090090090090091</v>
      </c>
      <c r="K9062" s="2070">
        <f>(E9062-(I9062/L9062))/E9062</f>
        <v>0.40011820330969267</v>
      </c>
      <c r="L9062">
        <v>120</v>
      </c>
    </row>
    <row r="9065" spans="1:12">
      <c r="A9065" s="902" t="s">
        <v>106</v>
      </c>
      <c r="B9065" s="902" t="s">
        <v>53</v>
      </c>
      <c r="C9065" s="887" t="s">
        <v>1653</v>
      </c>
      <c r="D9065" s="2030" t="s">
        <v>1323</v>
      </c>
    </row>
    <row r="9066" spans="1:12">
      <c r="A9066" s="1008" t="s">
        <v>6747</v>
      </c>
      <c r="B9066" s="260" t="s">
        <v>6749</v>
      </c>
      <c r="C9066" s="905">
        <v>10</v>
      </c>
      <c r="D9066" s="1061">
        <v>1.88</v>
      </c>
    </row>
    <row r="9067" spans="1:12">
      <c r="A9067" s="1008" t="s">
        <v>6747</v>
      </c>
      <c r="B9067" s="260" t="s">
        <v>6750</v>
      </c>
      <c r="C9067" s="905">
        <v>10</v>
      </c>
      <c r="D9067" s="1061">
        <v>1.88</v>
      </c>
    </row>
    <row r="9068" spans="1:12">
      <c r="A9068" s="1008" t="s">
        <v>6747</v>
      </c>
      <c r="B9068" s="260" t="s">
        <v>6751</v>
      </c>
      <c r="C9068" s="905">
        <v>10</v>
      </c>
      <c r="D9068" s="1061">
        <v>1.88</v>
      </c>
    </row>
    <row r="9069" spans="1:12">
      <c r="A9069" s="1059"/>
      <c r="B9069" s="47" t="s">
        <v>704</v>
      </c>
      <c r="C9069" s="894">
        <v>3</v>
      </c>
      <c r="D9069" s="891">
        <v>75</v>
      </c>
    </row>
    <row r="9070" spans="1:12">
      <c r="A9070" s="1059"/>
      <c r="B9070" s="47" t="s">
        <v>2975</v>
      </c>
      <c r="C9070" s="894">
        <v>1</v>
      </c>
      <c r="D9070" s="891">
        <v>12</v>
      </c>
    </row>
    <row r="9073" spans="1:5">
      <c r="A9073" s="902" t="s">
        <v>106</v>
      </c>
      <c r="B9073" s="902" t="s">
        <v>53</v>
      </c>
      <c r="C9073" s="887" t="s">
        <v>1653</v>
      </c>
      <c r="D9073" s="2030" t="s">
        <v>1323</v>
      </c>
      <c r="E9073" s="2030" t="s">
        <v>2245</v>
      </c>
    </row>
    <row r="9074" spans="1:5">
      <c r="A9074" s="1008" t="s">
        <v>7073</v>
      </c>
      <c r="B9074" s="260" t="s">
        <v>7074</v>
      </c>
      <c r="C9074" s="905">
        <v>10</v>
      </c>
      <c r="D9074" s="1061">
        <v>1.38</v>
      </c>
      <c r="E9074" s="891">
        <f>D9074*C9074</f>
        <v>13.799999999999999</v>
      </c>
    </row>
    <row r="9075" spans="1:5">
      <c r="A9075" s="1008" t="s">
        <v>7073</v>
      </c>
      <c r="B9075" s="260" t="s">
        <v>7075</v>
      </c>
      <c r="C9075" s="905">
        <v>10</v>
      </c>
      <c r="D9075" s="1061">
        <v>1.38</v>
      </c>
      <c r="E9075" s="891">
        <f>D9075*C9075</f>
        <v>13.799999999999999</v>
      </c>
    </row>
    <row r="9076" spans="1:5">
      <c r="A9076" s="1008" t="s">
        <v>7073</v>
      </c>
      <c r="B9076" s="260" t="s">
        <v>7076</v>
      </c>
      <c r="C9076" s="905">
        <v>10</v>
      </c>
      <c r="D9076" s="1061">
        <v>1.38</v>
      </c>
      <c r="E9076" s="891">
        <f>D9076*C9076</f>
        <v>13.799999999999999</v>
      </c>
    </row>
    <row r="9077" spans="1:5">
      <c r="A9077" s="1008" t="s">
        <v>7073</v>
      </c>
      <c r="B9077" s="260" t="s">
        <v>7077</v>
      </c>
      <c r="C9077" s="905">
        <v>10</v>
      </c>
      <c r="D9077" s="1061">
        <v>1.38</v>
      </c>
      <c r="E9077" s="891">
        <f>D9077*C9077</f>
        <v>13.799999999999999</v>
      </c>
    </row>
    <row r="9078" spans="1:5">
      <c r="A9078" s="889"/>
      <c r="B9078" s="260"/>
      <c r="C9078" s="903"/>
      <c r="D9078" s="52"/>
      <c r="E9078" s="39"/>
    </row>
    <row r="9079" spans="1:5">
      <c r="A9079" s="1008" t="s">
        <v>7078</v>
      </c>
      <c r="B9079" s="260" t="s">
        <v>7074</v>
      </c>
      <c r="C9079" s="905">
        <v>10</v>
      </c>
      <c r="D9079" s="1061">
        <v>1.85</v>
      </c>
      <c r="E9079" s="891">
        <f t="shared" ref="E9079:E9084" si="79">D9079*C9079</f>
        <v>18.5</v>
      </c>
    </row>
    <row r="9080" spans="1:5">
      <c r="A9080" s="1008" t="s">
        <v>7078</v>
      </c>
      <c r="B9080" s="260" t="s">
        <v>7075</v>
      </c>
      <c r="C9080" s="905">
        <v>10</v>
      </c>
      <c r="D9080" s="1061">
        <v>1.85</v>
      </c>
      <c r="E9080" s="891">
        <f t="shared" si="79"/>
        <v>18.5</v>
      </c>
    </row>
    <row r="9081" spans="1:5">
      <c r="A9081" s="1008" t="s">
        <v>7078</v>
      </c>
      <c r="B9081" s="260" t="s">
        <v>7076</v>
      </c>
      <c r="C9081" s="905">
        <v>10</v>
      </c>
      <c r="D9081" s="1061">
        <v>1.85</v>
      </c>
      <c r="E9081" s="891">
        <f t="shared" si="79"/>
        <v>18.5</v>
      </c>
    </row>
    <row r="9082" spans="1:5">
      <c r="A9082" s="1008" t="s">
        <v>7078</v>
      </c>
      <c r="B9082" s="260" t="s">
        <v>7077</v>
      </c>
      <c r="C9082" s="905">
        <v>10</v>
      </c>
      <c r="D9082" s="1061">
        <v>1.85</v>
      </c>
      <c r="E9082" s="891">
        <f t="shared" si="79"/>
        <v>18.5</v>
      </c>
    </row>
    <row r="9083" spans="1:5">
      <c r="A9083" s="1059"/>
      <c r="B9083" s="47" t="s">
        <v>704</v>
      </c>
      <c r="C9083" s="894">
        <v>4</v>
      </c>
      <c r="D9083" s="891">
        <v>75</v>
      </c>
      <c r="E9083" s="891">
        <f t="shared" si="79"/>
        <v>300</v>
      </c>
    </row>
    <row r="9084" spans="1:5">
      <c r="A9084" s="1059"/>
      <c r="B9084" s="47" t="s">
        <v>2975</v>
      </c>
      <c r="C9084" s="894">
        <v>1</v>
      </c>
      <c r="D9084" s="891">
        <v>12</v>
      </c>
      <c r="E9084" s="891">
        <f t="shared" si="79"/>
        <v>12</v>
      </c>
    </row>
    <row r="9085" spans="1:5">
      <c r="A9085" s="1059"/>
      <c r="B9085" s="47"/>
      <c r="C9085" s="894"/>
      <c r="D9085" s="918" t="s">
        <v>7085</v>
      </c>
      <c r="E9085" s="919">
        <f>SUM(E9074:E9084)</f>
        <v>441.2</v>
      </c>
    </row>
    <row r="9089" spans="1:8" s="888" customFormat="1" ht="12.75">
      <c r="A9089" s="902" t="s">
        <v>106</v>
      </c>
      <c r="B9089" s="902" t="s">
        <v>53</v>
      </c>
      <c r="C9089" s="887" t="s">
        <v>1186</v>
      </c>
      <c r="D9089" s="887" t="s">
        <v>1652</v>
      </c>
      <c r="E9089" s="887" t="s">
        <v>1653</v>
      </c>
      <c r="F9089" s="2030" t="s">
        <v>1323</v>
      </c>
      <c r="G9089" s="2030" t="s">
        <v>2751</v>
      </c>
    </row>
    <row r="9090" spans="1:8" s="888" customFormat="1" ht="25.5">
      <c r="A9090" s="47" t="s">
        <v>7080</v>
      </c>
      <c r="B9090" s="47" t="s">
        <v>78</v>
      </c>
      <c r="C9090" s="903">
        <v>14</v>
      </c>
      <c r="D9090" s="906">
        <v>5</v>
      </c>
      <c r="E9090" s="905">
        <f>C9090*D9090</f>
        <v>70</v>
      </c>
      <c r="F9090" s="891">
        <v>5.56</v>
      </c>
      <c r="G9090" s="2030" t="s">
        <v>7088</v>
      </c>
    </row>
    <row r="9091" spans="1:8" s="888" customFormat="1" ht="25.5">
      <c r="A9091" s="47" t="s">
        <v>7081</v>
      </c>
      <c r="B9091" s="47" t="s">
        <v>56</v>
      </c>
      <c r="C9091" s="903">
        <v>14</v>
      </c>
      <c r="D9091" s="906">
        <v>2</v>
      </c>
      <c r="E9091" s="905">
        <f>C9091*D9091</f>
        <v>28</v>
      </c>
      <c r="F9091" s="891">
        <v>6.67</v>
      </c>
      <c r="G9091" s="2030" t="s">
        <v>7089</v>
      </c>
    </row>
    <row r="9092" spans="1:8" s="888" customFormat="1" ht="12.75">
      <c r="A9092" s="47" t="s">
        <v>7006</v>
      </c>
      <c r="B9092" s="47" t="s">
        <v>78</v>
      </c>
      <c r="C9092" s="903">
        <v>14</v>
      </c>
      <c r="D9092" s="906">
        <v>6</v>
      </c>
      <c r="E9092" s="905">
        <f>C9092*D9092</f>
        <v>84</v>
      </c>
      <c r="F9092" s="891">
        <v>9.64</v>
      </c>
      <c r="G9092" s="2030" t="s">
        <v>7086</v>
      </c>
    </row>
    <row r="9093" spans="1:8" s="888" customFormat="1" ht="12.75">
      <c r="A9093" s="47" t="s">
        <v>2611</v>
      </c>
      <c r="B9093" s="47" t="s">
        <v>78</v>
      </c>
      <c r="C9093" s="903">
        <v>14</v>
      </c>
      <c r="D9093" s="906">
        <v>7</v>
      </c>
      <c r="E9093" s="905">
        <f>C9093*D9093</f>
        <v>98</v>
      </c>
      <c r="F9093" s="891">
        <v>3.89</v>
      </c>
      <c r="G9093" s="2030" t="s">
        <v>7087</v>
      </c>
    </row>
    <row r="9094" spans="1:8" ht="20.25">
      <c r="A9094" s="1059"/>
      <c r="B9094" s="47" t="s">
        <v>2975</v>
      </c>
      <c r="C9094" s="905"/>
      <c r="D9094" s="904" ph="1"/>
      <c r="E9094" s="894">
        <v>1</v>
      </c>
      <c r="F9094" s="891">
        <v>12</v>
      </c>
      <c r="G9094" s="891">
        <f>F9094*E9094</f>
        <v>12</v>
      </c>
    </row>
    <row r="9096" spans="1:8" ht="15">
      <c r="A9096" s="1996" t="s">
        <v>1603</v>
      </c>
      <c r="B9096" s="1996" t="s">
        <v>52</v>
      </c>
      <c r="C9096" s="1996" t="s">
        <v>128</v>
      </c>
      <c r="D9096" s="887" t="s">
        <v>1186</v>
      </c>
      <c r="E9096" s="887" t="s">
        <v>1652</v>
      </c>
      <c r="F9096" s="887" t="s">
        <v>1653</v>
      </c>
      <c r="G9096" s="1997" t="s">
        <v>6976</v>
      </c>
      <c r="H9096" s="1997" t="s">
        <v>636</v>
      </c>
    </row>
    <row r="9097" spans="1:8">
      <c r="A9097" s="47">
        <v>5659</v>
      </c>
      <c r="B9097" s="260" t="s">
        <v>502</v>
      </c>
      <c r="C9097" s="260" t="s">
        <v>2707</v>
      </c>
      <c r="D9097" s="905">
        <v>50</v>
      </c>
      <c r="E9097" s="906">
        <v>1</v>
      </c>
      <c r="F9097" s="905">
        <f>D9097*E9097</f>
        <v>50</v>
      </c>
      <c r="G9097" s="891">
        <v>0.66</v>
      </c>
      <c r="H9097" s="891">
        <f>G9097*F9097</f>
        <v>33</v>
      </c>
    </row>
    <row r="9098" spans="1:8">
      <c r="A9098" s="47"/>
      <c r="B9098" s="893"/>
      <c r="C9098" s="260" t="s">
        <v>1993</v>
      </c>
      <c r="D9098" s="905"/>
      <c r="E9098" s="906"/>
      <c r="F9098" s="894">
        <v>1</v>
      </c>
      <c r="G9098" s="891">
        <v>12</v>
      </c>
      <c r="H9098" s="891">
        <f>G9098*F9098</f>
        <v>12</v>
      </c>
    </row>
    <row r="9100" spans="1:8">
      <c r="A9100" s="1064" t="s">
        <v>7097</v>
      </c>
    </row>
    <row r="9101" spans="1:8" ht="25.5">
      <c r="A9101" s="1996" t="s">
        <v>5583</v>
      </c>
      <c r="B9101" s="1997" t="s">
        <v>980</v>
      </c>
      <c r="C9101" s="1997" t="s">
        <v>1323</v>
      </c>
      <c r="D9101" s="1998" t="s">
        <v>6978</v>
      </c>
      <c r="E9101" s="2045" t="s">
        <v>6979</v>
      </c>
      <c r="F9101" s="2045" t="s">
        <v>6080</v>
      </c>
      <c r="G9101" s="940" t="s">
        <v>6081</v>
      </c>
    </row>
    <row r="9102" spans="1:8">
      <c r="A9102" s="47" t="s">
        <v>7099</v>
      </c>
      <c r="B9102" s="47" t="s">
        <v>6983</v>
      </c>
      <c r="C9102" s="1061">
        <f t="shared" ref="C9102:C9107" si="80">ROUNDUP(E9102/0.6/120,2)</f>
        <v>1.64</v>
      </c>
      <c r="D9102" s="2260" t="s">
        <v>2346</v>
      </c>
      <c r="E9102" s="1999">
        <v>118</v>
      </c>
      <c r="F9102" s="2083">
        <f t="shared" ref="F9102:F9107" si="81">(C9102-(E9102/G9102))/C9102</f>
        <v>0.40040650406504064</v>
      </c>
      <c r="G9102" s="2000">
        <v>120</v>
      </c>
    </row>
    <row r="9103" spans="1:8">
      <c r="A9103" s="47" t="s">
        <v>7101</v>
      </c>
      <c r="B9103" s="47" t="s">
        <v>7111</v>
      </c>
      <c r="C9103" s="1061">
        <f t="shared" si="80"/>
        <v>3.4099999999999997</v>
      </c>
      <c r="D9103" s="2261" t="s">
        <v>2346</v>
      </c>
      <c r="E9103" s="1999">
        <v>245</v>
      </c>
      <c r="F9103" s="2083">
        <f t="shared" si="81"/>
        <v>0.40127077223851415</v>
      </c>
      <c r="G9103" s="2000">
        <v>120</v>
      </c>
      <c r="H9103" s="2000"/>
    </row>
    <row r="9104" spans="1:8">
      <c r="A9104" s="47" t="s">
        <v>7103</v>
      </c>
      <c r="B9104" s="47" t="s">
        <v>1519</v>
      </c>
      <c r="C9104" s="1061">
        <f t="shared" si="80"/>
        <v>2.84</v>
      </c>
      <c r="D9104" s="2261" t="s">
        <v>2346</v>
      </c>
      <c r="E9104" s="1999">
        <v>204</v>
      </c>
      <c r="F9104" s="2083">
        <f t="shared" si="81"/>
        <v>0.40140845070422532</v>
      </c>
      <c r="G9104" s="2000">
        <v>120</v>
      </c>
    </row>
    <row r="9105" spans="1:7">
      <c r="A9105" s="47" t="s">
        <v>7105</v>
      </c>
      <c r="B9105" s="47" t="s">
        <v>1519</v>
      </c>
      <c r="C9105" s="1061">
        <f t="shared" si="80"/>
        <v>2.6199999999999997</v>
      </c>
      <c r="D9105" s="2261" t="s">
        <v>2346</v>
      </c>
      <c r="E9105" s="1999">
        <v>188</v>
      </c>
      <c r="F9105" s="2083">
        <f t="shared" si="81"/>
        <v>0.40203562340966914</v>
      </c>
      <c r="G9105" s="2000">
        <v>120</v>
      </c>
    </row>
    <row r="9106" spans="1:7">
      <c r="A9106" s="47" t="s">
        <v>7107</v>
      </c>
      <c r="B9106" s="47" t="s">
        <v>1519</v>
      </c>
      <c r="C9106" s="1061">
        <f t="shared" si="80"/>
        <v>1.21</v>
      </c>
      <c r="D9106" s="2261" t="s">
        <v>2346</v>
      </c>
      <c r="E9106" s="1999">
        <v>87</v>
      </c>
      <c r="F9106" s="2083">
        <f t="shared" si="81"/>
        <v>0.40082644628099173</v>
      </c>
      <c r="G9106" s="2000">
        <v>120</v>
      </c>
    </row>
    <row r="9107" spans="1:7">
      <c r="A9107" s="47" t="s">
        <v>7109</v>
      </c>
      <c r="B9107" s="47" t="s">
        <v>1519</v>
      </c>
      <c r="C9107" s="1061">
        <f t="shared" si="80"/>
        <v>4.5599999999999996</v>
      </c>
      <c r="D9107" s="2261" t="s">
        <v>2346</v>
      </c>
      <c r="E9107" s="1999">
        <v>328</v>
      </c>
      <c r="F9107" s="2083">
        <f t="shared" si="81"/>
        <v>0.40058479532163738</v>
      </c>
      <c r="G9107" s="2000">
        <v>120</v>
      </c>
    </row>
    <row r="9109" spans="1:7">
      <c r="A9109" s="895" t="s">
        <v>7114</v>
      </c>
    </row>
    <row r="9111" spans="1:7">
      <c r="A9111" s="2277" t="s">
        <v>7112</v>
      </c>
      <c r="B9111" s="2277" t="s">
        <v>1187</v>
      </c>
      <c r="C9111" s="2277" t="s">
        <v>6413</v>
      </c>
      <c r="D9111" s="2277" t="s">
        <v>7115</v>
      </c>
      <c r="E9111" s="2277" t="s">
        <v>7124</v>
      </c>
      <c r="F9111" s="2277"/>
    </row>
    <row r="9112" spans="1:7">
      <c r="A9112" s="2278" t="s">
        <v>7098</v>
      </c>
      <c r="B9112" s="2278" t="s">
        <v>7113</v>
      </c>
      <c r="C9112" s="2279">
        <v>1.64</v>
      </c>
      <c r="D9112" s="2030" t="s">
        <v>7116</v>
      </c>
      <c r="E9112" s="2277" t="s">
        <v>7122</v>
      </c>
    </row>
    <row r="9113" spans="1:7">
      <c r="A9113" s="2278" t="s">
        <v>7100</v>
      </c>
      <c r="B9113" s="2278" t="s">
        <v>7110</v>
      </c>
      <c r="C9113" s="2279">
        <v>3.4099999999999997</v>
      </c>
      <c r="D9113" s="2030" t="s">
        <v>7117</v>
      </c>
      <c r="E9113" s="2277" t="s">
        <v>7123</v>
      </c>
    </row>
    <row r="9114" spans="1:7">
      <c r="A9114" s="2278" t="s">
        <v>7102</v>
      </c>
      <c r="B9114" s="2278" t="s">
        <v>2754</v>
      </c>
      <c r="C9114" s="2279">
        <v>2.84</v>
      </c>
      <c r="D9114" s="2030" t="s">
        <v>7118</v>
      </c>
      <c r="E9114" s="2277" t="s">
        <v>7122</v>
      </c>
    </row>
    <row r="9115" spans="1:7">
      <c r="A9115" s="2278" t="s">
        <v>7104</v>
      </c>
      <c r="B9115" s="2278" t="s">
        <v>2754</v>
      </c>
      <c r="C9115" s="2279">
        <v>2.6199999999999997</v>
      </c>
      <c r="D9115" s="2030" t="s">
        <v>7119</v>
      </c>
      <c r="E9115" s="2277" t="s">
        <v>7122</v>
      </c>
    </row>
    <row r="9116" spans="1:7">
      <c r="A9116" s="2278" t="s">
        <v>7106</v>
      </c>
      <c r="B9116" s="2278" t="s">
        <v>2754</v>
      </c>
      <c r="C9116" s="2279">
        <v>1.21</v>
      </c>
      <c r="D9116" s="2030" t="s">
        <v>7120</v>
      </c>
      <c r="E9116" s="2277" t="s">
        <v>7122</v>
      </c>
    </row>
    <row r="9117" spans="1:7">
      <c r="A9117" s="2278" t="s">
        <v>7108</v>
      </c>
      <c r="B9117" s="2278" t="s">
        <v>2754</v>
      </c>
      <c r="C9117" s="2279">
        <v>4.5599999999999996</v>
      </c>
      <c r="D9117" s="2030" t="s">
        <v>7121</v>
      </c>
      <c r="E9117" s="2277" t="s">
        <v>7122</v>
      </c>
    </row>
    <row r="9121" spans="1:7">
      <c r="A9121" s="902" t="s">
        <v>106</v>
      </c>
      <c r="B9121" s="902" t="s">
        <v>52</v>
      </c>
      <c r="C9121" s="902" t="s">
        <v>53</v>
      </c>
      <c r="D9121" s="887" t="s">
        <v>1186</v>
      </c>
      <c r="E9121" s="887" t="s">
        <v>1652</v>
      </c>
      <c r="F9121" s="887" t="s">
        <v>1653</v>
      </c>
      <c r="G9121" s="887" t="s">
        <v>5574</v>
      </c>
    </row>
    <row r="9122" spans="1:7">
      <c r="A9122" s="47">
        <v>5291</v>
      </c>
      <c r="B9122" s="48">
        <v>6</v>
      </c>
      <c r="C9122" s="47" t="s">
        <v>499</v>
      </c>
      <c r="D9122" s="905">
        <v>50</v>
      </c>
      <c r="E9122" s="906">
        <v>6</v>
      </c>
      <c r="F9122" s="905">
        <f>D9122*E9122</f>
        <v>300</v>
      </c>
      <c r="G9122" s="891">
        <v>0.51</v>
      </c>
    </row>
    <row r="9123" spans="1:7">
      <c r="A9123" s="47">
        <v>5291</v>
      </c>
      <c r="B9123" s="48">
        <v>6</v>
      </c>
      <c r="C9123" s="47" t="s">
        <v>29</v>
      </c>
      <c r="D9123" s="905">
        <v>50</v>
      </c>
      <c r="E9123" s="906">
        <v>5</v>
      </c>
      <c r="F9123" s="905">
        <f>D9123*E9123</f>
        <v>250</v>
      </c>
      <c r="G9123" s="891">
        <v>0.51</v>
      </c>
    </row>
    <row r="9125" spans="1:7">
      <c r="A9125" s="1064" t="s">
        <v>7097</v>
      </c>
    </row>
    <row r="9126" spans="1:7" ht="25.5">
      <c r="A9126" s="1996" t="s">
        <v>5583</v>
      </c>
      <c r="B9126" s="1997" t="s">
        <v>980</v>
      </c>
      <c r="C9126" s="1997" t="s">
        <v>1323</v>
      </c>
      <c r="D9126" s="1998" t="s">
        <v>6978</v>
      </c>
      <c r="E9126" s="2045" t="s">
        <v>6979</v>
      </c>
      <c r="F9126" s="2045" t="s">
        <v>6080</v>
      </c>
      <c r="G9126" s="940" t="s">
        <v>6081</v>
      </c>
    </row>
    <row r="9127" spans="1:7">
      <c r="A9127" s="2278" t="s">
        <v>7126</v>
      </c>
      <c r="B9127" s="47" t="s">
        <v>7128</v>
      </c>
      <c r="C9127" s="1061">
        <f>ROUNDUP(E9127/0.6/120,2)</f>
        <v>2.2699999999999996</v>
      </c>
      <c r="D9127" s="2260" t="s">
        <v>7130</v>
      </c>
      <c r="E9127" s="1999">
        <f>118+45</f>
        <v>163</v>
      </c>
      <c r="F9127" s="2083">
        <f>(C9127-(E9127/G9127))/C9127</f>
        <v>0.40161527165932437</v>
      </c>
      <c r="G9127" s="2000">
        <v>120</v>
      </c>
    </row>
    <row r="9128" spans="1:7">
      <c r="A9128" s="47" t="s">
        <v>7132</v>
      </c>
      <c r="B9128" s="47" t="s">
        <v>1519</v>
      </c>
      <c r="C9128" s="1061">
        <f>ROUNDUP(E9128/0.6/120,2)</f>
        <v>1.24</v>
      </c>
      <c r="D9128" s="2261" t="s">
        <v>2346</v>
      </c>
      <c r="E9128" s="1999">
        <v>89</v>
      </c>
      <c r="F9128" s="2083">
        <f>(C9128-(E9128/G9128))/C9128</f>
        <v>0.4018817204301075</v>
      </c>
      <c r="G9128" s="2000">
        <v>120</v>
      </c>
    </row>
    <row r="9129" spans="1:7">
      <c r="A9129" s="47" t="s">
        <v>7134</v>
      </c>
      <c r="B9129" s="47" t="s">
        <v>1519</v>
      </c>
      <c r="C9129" s="1061">
        <f>ROUNDUP(E9129/0.6/120,2)</f>
        <v>4.5599999999999996</v>
      </c>
      <c r="D9129" s="2261" t="s">
        <v>2346</v>
      </c>
      <c r="E9129" s="1999">
        <v>328</v>
      </c>
      <c r="F9129" s="2083">
        <f>(C9129-(E9129/G9129))/C9129</f>
        <v>0.40058479532163738</v>
      </c>
      <c r="G9129" s="2000">
        <v>120</v>
      </c>
    </row>
    <row r="9131" spans="1:7">
      <c r="A9131" s="895" t="s">
        <v>7114</v>
      </c>
    </row>
    <row r="9133" spans="1:7" ht="25.5">
      <c r="A9133" s="1874" t="s">
        <v>7112</v>
      </c>
      <c r="B9133" s="902" t="s">
        <v>1187</v>
      </c>
      <c r="C9133" s="902" t="s">
        <v>6413</v>
      </c>
      <c r="D9133" s="1998" t="s">
        <v>7177</v>
      </c>
      <c r="E9133" s="2277" t="s">
        <v>7135</v>
      </c>
      <c r="F9133" s="2277" t="s">
        <v>3186</v>
      </c>
    </row>
    <row r="9134" spans="1:7">
      <c r="A9134" s="909" t="s">
        <v>7125</v>
      </c>
      <c r="B9134" s="909" t="s">
        <v>7127</v>
      </c>
      <c r="C9134" s="1245">
        <v>2.2699999999999996</v>
      </c>
      <c r="D9134" s="2260" t="s">
        <v>7129</v>
      </c>
      <c r="E9134" s="2278" t="s">
        <v>7136</v>
      </c>
      <c r="F9134" s="2280" t="s">
        <v>7139</v>
      </c>
    </row>
    <row r="9135" spans="1:7">
      <c r="A9135" s="909" t="s">
        <v>7131</v>
      </c>
      <c r="B9135" s="909" t="s">
        <v>2754</v>
      </c>
      <c r="C9135" s="1245">
        <v>1.24</v>
      </c>
      <c r="D9135" s="2261" t="s">
        <v>2345</v>
      </c>
      <c r="E9135" s="2278" t="s">
        <v>7137</v>
      </c>
      <c r="F9135" s="1865" t="s">
        <v>7140</v>
      </c>
    </row>
    <row r="9136" spans="1:7">
      <c r="A9136" s="909" t="s">
        <v>7133</v>
      </c>
      <c r="B9136" s="909" t="s">
        <v>2754</v>
      </c>
      <c r="C9136" s="1245">
        <v>4.5599999999999996</v>
      </c>
      <c r="D9136" s="2261" t="s">
        <v>2345</v>
      </c>
      <c r="E9136" s="2278" t="s">
        <v>7138</v>
      </c>
      <c r="F9136" s="1865" t="s">
        <v>7140</v>
      </c>
    </row>
    <row r="9139" spans="1:7">
      <c r="A9139" s="902" t="s">
        <v>106</v>
      </c>
      <c r="B9139" s="902" t="s">
        <v>52</v>
      </c>
      <c r="C9139" s="902" t="s">
        <v>53</v>
      </c>
      <c r="D9139" s="887" t="s">
        <v>1186</v>
      </c>
      <c r="E9139" s="887" t="s">
        <v>1652</v>
      </c>
      <c r="F9139" s="887" t="s">
        <v>1653</v>
      </c>
      <c r="G9139" s="1997" t="s">
        <v>1323</v>
      </c>
    </row>
    <row r="9140" spans="1:7">
      <c r="A9140" s="47" t="s">
        <v>7071</v>
      </c>
      <c r="B9140" s="260">
        <v>19</v>
      </c>
      <c r="C9140" s="1865" t="s">
        <v>7144</v>
      </c>
      <c r="D9140" s="903">
        <v>30</v>
      </c>
      <c r="E9140" s="904">
        <v>1</v>
      </c>
      <c r="F9140" s="905">
        <f>D9140*E9140</f>
        <v>30</v>
      </c>
      <c r="G9140" s="891">
        <v>0.32</v>
      </c>
    </row>
    <row r="9141" spans="1:7">
      <c r="A9141" s="47" t="s">
        <v>7071</v>
      </c>
      <c r="B9141" s="260">
        <v>19</v>
      </c>
      <c r="C9141" s="909" t="s">
        <v>7145</v>
      </c>
      <c r="D9141" s="903">
        <v>30</v>
      </c>
      <c r="E9141" s="904">
        <v>1</v>
      </c>
      <c r="F9141" s="905">
        <f>D9141*E9141</f>
        <v>30</v>
      </c>
      <c r="G9141" s="891">
        <v>0.32</v>
      </c>
    </row>
    <row r="9142" spans="1:7">
      <c r="A9142" s="47" t="s">
        <v>7071</v>
      </c>
      <c r="B9142" s="260">
        <v>25</v>
      </c>
      <c r="C9142" s="1865" t="s">
        <v>7144</v>
      </c>
      <c r="D9142" s="903">
        <v>30</v>
      </c>
      <c r="E9142" s="904">
        <v>1</v>
      </c>
      <c r="F9142" s="905">
        <f>D9142*E9142</f>
        <v>30</v>
      </c>
      <c r="G9142" s="891">
        <v>0.39</v>
      </c>
    </row>
    <row r="9143" spans="1:7">
      <c r="A9143" s="47" t="s">
        <v>7071</v>
      </c>
      <c r="B9143" s="260">
        <v>25</v>
      </c>
      <c r="C9143" s="909" t="s">
        <v>7145</v>
      </c>
      <c r="D9143" s="903">
        <v>30</v>
      </c>
      <c r="E9143" s="904">
        <v>1</v>
      </c>
      <c r="F9143" s="905">
        <f>D9143*E9143</f>
        <v>30</v>
      </c>
      <c r="G9143" s="891">
        <v>0.39</v>
      </c>
    </row>
    <row r="9144" spans="1:7">
      <c r="A9144" s="47"/>
      <c r="B9144" s="893"/>
      <c r="C9144" s="260" t="s">
        <v>1993</v>
      </c>
      <c r="D9144" s="905"/>
      <c r="E9144" s="906"/>
      <c r="F9144" s="894">
        <v>1</v>
      </c>
      <c r="G9144" s="891">
        <v>12</v>
      </c>
    </row>
    <row r="9148" spans="1:7">
      <c r="A9148" s="1064" t="s">
        <v>7146</v>
      </c>
    </row>
    <row r="9149" spans="1:7" ht="15">
      <c r="A9149" s="1996" t="s">
        <v>5583</v>
      </c>
      <c r="B9149" s="1997" t="s">
        <v>980</v>
      </c>
      <c r="C9149" s="1997" t="s">
        <v>1323</v>
      </c>
      <c r="D9149" s="2045" t="s">
        <v>6979</v>
      </c>
      <c r="E9149" s="2045" t="s">
        <v>6080</v>
      </c>
      <c r="F9149" s="940" t="s">
        <v>6081</v>
      </c>
    </row>
    <row r="9150" spans="1:7">
      <c r="A9150" s="47" t="s">
        <v>7148</v>
      </c>
      <c r="B9150" s="47" t="s">
        <v>1519</v>
      </c>
      <c r="C9150" s="1061">
        <f>ROUNDUP(D9150/0.6/120,2)</f>
        <v>1.8800000000000001</v>
      </c>
      <c r="D9150" s="1999">
        <v>135</v>
      </c>
      <c r="E9150" s="2083">
        <f t="shared" ref="E9150:E9156" si="82">(C9150-(D9150/F9150))/C9150</f>
        <v>0.40159574468085107</v>
      </c>
      <c r="F9150" s="2000">
        <v>120</v>
      </c>
    </row>
    <row r="9151" spans="1:7">
      <c r="A9151" s="47" t="s">
        <v>7156</v>
      </c>
      <c r="B9151" s="47" t="s">
        <v>1519</v>
      </c>
      <c r="C9151" s="1061">
        <f t="shared" ref="C9151:C9156" si="83">ROUNDUP(D9151/0.6/120,2)</f>
        <v>2.23</v>
      </c>
      <c r="D9151" s="1999">
        <v>160</v>
      </c>
      <c r="E9151" s="2083">
        <f t="shared" si="82"/>
        <v>0.40209267563527656</v>
      </c>
      <c r="F9151" s="2000">
        <v>120</v>
      </c>
      <c r="G9151" s="389" t="s">
        <v>7149</v>
      </c>
    </row>
    <row r="9152" spans="1:7">
      <c r="A9152" s="47" t="s">
        <v>7158</v>
      </c>
      <c r="B9152" s="47" t="s">
        <v>1519</v>
      </c>
      <c r="C9152" s="1061">
        <f t="shared" si="83"/>
        <v>1.2</v>
      </c>
      <c r="D9152" s="1999">
        <v>86</v>
      </c>
      <c r="E9152" s="2083">
        <f t="shared" si="82"/>
        <v>0.40277777777777773</v>
      </c>
      <c r="F9152" s="2000">
        <v>120</v>
      </c>
      <c r="G9152" s="389" t="s">
        <v>7150</v>
      </c>
    </row>
    <row r="9153" spans="1:7">
      <c r="A9153" s="47" t="s">
        <v>7160</v>
      </c>
      <c r="B9153" s="47" t="s">
        <v>1519</v>
      </c>
      <c r="C9153" s="1061">
        <f t="shared" si="83"/>
        <v>1.98</v>
      </c>
      <c r="D9153" s="1999">
        <v>142</v>
      </c>
      <c r="E9153" s="2083">
        <f t="shared" si="82"/>
        <v>0.40235690235690236</v>
      </c>
      <c r="F9153" s="2000">
        <v>120</v>
      </c>
      <c r="G9153" s="389" t="s">
        <v>7151</v>
      </c>
    </row>
    <row r="9154" spans="1:7">
      <c r="A9154" s="47" t="s">
        <v>7162</v>
      </c>
      <c r="B9154" s="47" t="s">
        <v>1519</v>
      </c>
      <c r="C9154" s="1061">
        <f t="shared" si="83"/>
        <v>2.6199999999999997</v>
      </c>
      <c r="D9154" s="1999">
        <v>188</v>
      </c>
      <c r="E9154" s="2083">
        <f t="shared" si="82"/>
        <v>0.40203562340966914</v>
      </c>
      <c r="F9154" s="2000">
        <v>120</v>
      </c>
      <c r="G9154" s="389" t="s">
        <v>7152</v>
      </c>
    </row>
    <row r="9155" spans="1:7">
      <c r="A9155" s="47" t="s">
        <v>7164</v>
      </c>
      <c r="B9155" s="47" t="s">
        <v>1519</v>
      </c>
      <c r="C9155" s="1061">
        <f t="shared" si="83"/>
        <v>2.6199999999999997</v>
      </c>
      <c r="D9155" s="1999">
        <v>188</v>
      </c>
      <c r="E9155" s="2083">
        <f t="shared" si="82"/>
        <v>0.40203562340966914</v>
      </c>
      <c r="F9155" s="2000">
        <v>120</v>
      </c>
      <c r="G9155" s="389" t="s">
        <v>7153</v>
      </c>
    </row>
    <row r="9156" spans="1:7">
      <c r="A9156" s="47" t="s">
        <v>7166</v>
      </c>
      <c r="B9156" s="47" t="s">
        <v>1519</v>
      </c>
      <c r="C9156" s="1061">
        <f t="shared" si="83"/>
        <v>2.6199999999999997</v>
      </c>
      <c r="D9156" s="1999">
        <v>188</v>
      </c>
      <c r="E9156" s="2083">
        <f t="shared" si="82"/>
        <v>0.40203562340966914</v>
      </c>
      <c r="F9156" s="2000">
        <v>120</v>
      </c>
      <c r="G9156" s="389" t="s">
        <v>7154</v>
      </c>
    </row>
    <row r="9157" spans="1:7">
      <c r="A9157" s="47" t="s">
        <v>7187</v>
      </c>
      <c r="B9157" s="47" t="s">
        <v>1519</v>
      </c>
      <c r="C9157" s="1061">
        <f>ROUNDUP(D9157/0.6/120,2)</f>
        <v>2.13</v>
      </c>
      <c r="D9157" s="1999">
        <v>153</v>
      </c>
      <c r="E9157" s="2083">
        <f>(C9157-(D9157/F9157))/C9157</f>
        <v>0.40140845070422537</v>
      </c>
      <c r="F9157" s="2000">
        <v>120</v>
      </c>
      <c r="G9157" s="389" t="s">
        <v>7194</v>
      </c>
    </row>
    <row r="9158" spans="1:7">
      <c r="A9158" s="47" t="s">
        <v>7189</v>
      </c>
      <c r="B9158" s="47" t="s">
        <v>1519</v>
      </c>
      <c r="C9158" s="1061">
        <f>ROUNDUP(D9158/0.6/120,2)</f>
        <v>2.6199999999999997</v>
      </c>
      <c r="D9158" s="1999">
        <v>188</v>
      </c>
      <c r="E9158" s="2083">
        <f>(C9158-(D9158/F9158))/C9158</f>
        <v>0.40203562340966914</v>
      </c>
      <c r="F9158" s="2000">
        <v>120</v>
      </c>
      <c r="G9158" s="389" t="s">
        <v>7195</v>
      </c>
    </row>
    <row r="9159" spans="1:7">
      <c r="A9159" s="47" t="s">
        <v>7191</v>
      </c>
      <c r="B9159" s="47" t="s">
        <v>1519</v>
      </c>
      <c r="C9159" s="1061">
        <f>ROUNDUP(D9159/0.6/120,2)</f>
        <v>2.6999999999999997</v>
      </c>
      <c r="D9159" s="1999">
        <v>194</v>
      </c>
      <c r="E9159" s="2083">
        <f>(C9159-(D9159/F9159))/C9159</f>
        <v>0.40123456790123452</v>
      </c>
      <c r="F9159" s="2000">
        <v>120</v>
      </c>
      <c r="G9159" s="389" t="s">
        <v>7196</v>
      </c>
    </row>
    <row r="9160" spans="1:7">
      <c r="A9160" s="47" t="s">
        <v>7193</v>
      </c>
      <c r="B9160" s="47" t="s">
        <v>1519</v>
      </c>
      <c r="C9160" s="1061">
        <f>ROUNDUP(D9160/0.6/120,2)</f>
        <v>3.19</v>
      </c>
      <c r="D9160" s="1999">
        <v>229</v>
      </c>
      <c r="E9160" s="2083">
        <f>(C9160-(D9160/F9160))/C9160</f>
        <v>0.40177638453500519</v>
      </c>
      <c r="F9160" s="2000">
        <v>120</v>
      </c>
      <c r="G9160" s="389" t="s">
        <v>7197</v>
      </c>
    </row>
    <row r="9161" spans="1:7">
      <c r="A9161" s="895"/>
      <c r="B9161" s="895"/>
      <c r="C9161" s="1918"/>
      <c r="D9161" s="2285"/>
      <c r="E9161" s="2083"/>
      <c r="F9161" s="2285"/>
      <c r="G9161" s="389"/>
    </row>
    <row r="9163" spans="1:7">
      <c r="A9163" s="895" t="s">
        <v>7114</v>
      </c>
    </row>
    <row r="9165" spans="1:7">
      <c r="A9165" s="1874" t="s">
        <v>7112</v>
      </c>
      <c r="B9165" s="1874" t="s">
        <v>1187</v>
      </c>
      <c r="C9165" s="1874" t="s">
        <v>6413</v>
      </c>
      <c r="D9165" s="2277" t="s">
        <v>7167</v>
      </c>
    </row>
    <row r="9166" spans="1:7">
      <c r="A9166" s="1865" t="s">
        <v>7147</v>
      </c>
      <c r="B9166" s="1865" t="s">
        <v>2754</v>
      </c>
      <c r="C9166" s="1245">
        <v>1.8800000000000001</v>
      </c>
      <c r="D9166" s="2030" t="s">
        <v>7168</v>
      </c>
    </row>
    <row r="9167" spans="1:7">
      <c r="A9167" s="1865" t="s">
        <v>7155</v>
      </c>
      <c r="B9167" s="1865" t="s">
        <v>2754</v>
      </c>
      <c r="C9167" s="1245">
        <v>2.23</v>
      </c>
      <c r="D9167" s="2030" t="s">
        <v>7120</v>
      </c>
    </row>
    <row r="9168" spans="1:7">
      <c r="A9168" s="1865" t="s">
        <v>7157</v>
      </c>
      <c r="B9168" s="1865" t="s">
        <v>2754</v>
      </c>
      <c r="C9168" s="1245">
        <v>1.2</v>
      </c>
      <c r="D9168" s="2030" t="s">
        <v>7169</v>
      </c>
    </row>
    <row r="9169" spans="1:4">
      <c r="A9169" s="1865" t="s">
        <v>7159</v>
      </c>
      <c r="B9169" s="1865" t="s">
        <v>2754</v>
      </c>
      <c r="C9169" s="1245">
        <v>1.98</v>
      </c>
      <c r="D9169" s="2030" t="s">
        <v>7170</v>
      </c>
    </row>
    <row r="9170" spans="1:4">
      <c r="A9170" s="1865" t="s">
        <v>7161</v>
      </c>
      <c r="B9170" s="1865" t="s">
        <v>2754</v>
      </c>
      <c r="C9170" s="1245">
        <v>2.6199999999999997</v>
      </c>
      <c r="D9170" s="2030" t="s">
        <v>7171</v>
      </c>
    </row>
    <row r="9171" spans="1:4">
      <c r="A9171" s="1865" t="s">
        <v>7163</v>
      </c>
      <c r="B9171" s="1865" t="s">
        <v>2754</v>
      </c>
      <c r="C9171" s="1245">
        <v>2.6199999999999997</v>
      </c>
      <c r="D9171" s="2030" t="s">
        <v>7172</v>
      </c>
    </row>
    <row r="9172" spans="1:4">
      <c r="A9172" s="1865" t="s">
        <v>7165</v>
      </c>
      <c r="B9172" s="1865" t="s">
        <v>2754</v>
      </c>
      <c r="C9172" s="1245">
        <v>2.6199999999999997</v>
      </c>
      <c r="D9172" s="2030" t="s">
        <v>7173</v>
      </c>
    </row>
    <row r="9173" spans="1:4">
      <c r="A9173" s="2283"/>
      <c r="B9173" s="2283"/>
      <c r="C9173" s="1992"/>
      <c r="D9173" s="2284"/>
    </row>
    <row r="9174" spans="1:4">
      <c r="A9174" s="2283"/>
      <c r="B9174" s="2283"/>
      <c r="C9174" s="1992"/>
      <c r="D9174" s="2284"/>
    </row>
    <row r="9175" spans="1:4">
      <c r="A9175" s="2130" t="s">
        <v>7198</v>
      </c>
      <c r="B9175" s="2283"/>
      <c r="C9175" s="1992"/>
      <c r="D9175" s="2284"/>
    </row>
    <row r="9176" spans="1:4">
      <c r="A9176" s="2286">
        <v>20240709</v>
      </c>
      <c r="B9176" s="2283"/>
      <c r="C9176" s="1992"/>
      <c r="D9176" s="2284"/>
    </row>
    <row r="9177" spans="1:4">
      <c r="A9177" s="1874" t="s">
        <v>7112</v>
      </c>
      <c r="B9177" s="1874" t="s">
        <v>1187</v>
      </c>
      <c r="C9177" s="1874" t="s">
        <v>6413</v>
      </c>
      <c r="D9177" s="2277" t="s">
        <v>7199</v>
      </c>
    </row>
    <row r="9178" spans="1:4">
      <c r="A9178" s="1865" t="s">
        <v>7155</v>
      </c>
      <c r="B9178" s="1865" t="s">
        <v>2754</v>
      </c>
      <c r="C9178" s="1245">
        <v>2.23</v>
      </c>
      <c r="D9178" s="2030" t="s">
        <v>7120</v>
      </c>
    </row>
    <row r="9179" spans="1:4">
      <c r="A9179" s="1865" t="s">
        <v>7157</v>
      </c>
      <c r="B9179" s="1865" t="s">
        <v>2754</v>
      </c>
      <c r="C9179" s="1245">
        <v>1.2</v>
      </c>
      <c r="D9179" s="2030" t="s">
        <v>7169</v>
      </c>
    </row>
    <row r="9180" spans="1:4">
      <c r="A9180" s="1865" t="s">
        <v>7159</v>
      </c>
      <c r="B9180" s="1865" t="s">
        <v>2754</v>
      </c>
      <c r="C9180" s="1245">
        <v>1.98</v>
      </c>
      <c r="D9180" s="2030" t="s">
        <v>7170</v>
      </c>
    </row>
    <row r="9181" spans="1:4">
      <c r="A9181" s="1865" t="s">
        <v>7161</v>
      </c>
      <c r="B9181" s="1865" t="s">
        <v>2754</v>
      </c>
      <c r="C9181" s="1245">
        <v>2.6199999999999997</v>
      </c>
      <c r="D9181" s="2030" t="s">
        <v>7171</v>
      </c>
    </row>
    <row r="9182" spans="1:4">
      <c r="A9182" s="1865" t="s">
        <v>7163</v>
      </c>
      <c r="B9182" s="1865" t="s">
        <v>2754</v>
      </c>
      <c r="C9182" s="1245">
        <v>2.6199999999999997</v>
      </c>
      <c r="D9182" s="2030" t="s">
        <v>7172</v>
      </c>
    </row>
    <row r="9183" spans="1:4">
      <c r="A9183" s="1865" t="s">
        <v>7165</v>
      </c>
      <c r="B9183" s="1865" t="s">
        <v>2754</v>
      </c>
      <c r="C9183" s="1245">
        <v>2.6199999999999997</v>
      </c>
      <c r="D9183" s="2030" t="s">
        <v>7173</v>
      </c>
    </row>
    <row r="9184" spans="1:4" ht="25.5">
      <c r="A9184" s="1865" t="s">
        <v>7186</v>
      </c>
      <c r="B9184" s="1865" t="s">
        <v>2754</v>
      </c>
      <c r="C9184" s="1245">
        <v>2.13</v>
      </c>
      <c r="D9184" s="2030" t="s">
        <v>7200</v>
      </c>
    </row>
    <row r="9185" spans="1:5">
      <c r="A9185" s="1865" t="s">
        <v>7188</v>
      </c>
      <c r="B9185" s="1865" t="s">
        <v>2754</v>
      </c>
      <c r="C9185" s="1245">
        <v>2.6199999999999997</v>
      </c>
      <c r="D9185" s="2030" t="s">
        <v>7201</v>
      </c>
      <c r="E9185" s="389" t="s">
        <v>7195</v>
      </c>
    </row>
    <row r="9186" spans="1:5">
      <c r="A9186" s="1865" t="s">
        <v>7190</v>
      </c>
      <c r="B9186" s="1865" t="s">
        <v>2754</v>
      </c>
      <c r="C9186" s="1245">
        <v>2.6999999999999997</v>
      </c>
      <c r="D9186" s="2030" t="s">
        <v>7202</v>
      </c>
      <c r="E9186" s="389" t="s">
        <v>7196</v>
      </c>
    </row>
    <row r="9187" spans="1:5">
      <c r="A9187" s="1865" t="s">
        <v>7192</v>
      </c>
      <c r="B9187" s="1865" t="s">
        <v>2754</v>
      </c>
      <c r="C9187" s="1245">
        <v>3.19</v>
      </c>
      <c r="D9187" s="2030" t="s">
        <v>7203</v>
      </c>
      <c r="E9187" s="389" t="s">
        <v>7197</v>
      </c>
    </row>
    <row r="9188" spans="1:5">
      <c r="A9188" s="2283"/>
      <c r="B9188" s="2283"/>
      <c r="C9188" s="1992"/>
      <c r="D9188" s="2284"/>
    </row>
    <row r="9189" spans="1:5">
      <c r="A9189" s="1874" t="s">
        <v>7112</v>
      </c>
      <c r="B9189" s="1874" t="s">
        <v>1187</v>
      </c>
      <c r="C9189" s="1874" t="s">
        <v>6413</v>
      </c>
      <c r="D9189" s="2277" t="s">
        <v>7199</v>
      </c>
    </row>
    <row r="9190" spans="1:5">
      <c r="A9190" s="1865" t="s">
        <v>7192</v>
      </c>
      <c r="B9190" s="1865" t="s">
        <v>2754</v>
      </c>
      <c r="C9190" s="1245">
        <v>3.19</v>
      </c>
      <c r="D9190" s="2030" t="s">
        <v>7203</v>
      </c>
      <c r="E9190" s="389" t="s">
        <v>7197</v>
      </c>
    </row>
    <row r="9191" spans="1:5">
      <c r="A9191" s="1865" t="s">
        <v>7161</v>
      </c>
      <c r="B9191" s="1865" t="s">
        <v>2754</v>
      </c>
      <c r="C9191" s="1245">
        <v>2.6199999999999997</v>
      </c>
      <c r="D9191" s="2030" t="s">
        <v>7171</v>
      </c>
    </row>
    <row r="9192" spans="1:5">
      <c r="A9192" s="1865" t="s">
        <v>7163</v>
      </c>
      <c r="B9192" s="1865" t="s">
        <v>2754</v>
      </c>
      <c r="C9192" s="1245">
        <v>2.6199999999999997</v>
      </c>
      <c r="D9192" s="2030" t="s">
        <v>7172</v>
      </c>
    </row>
    <row r="9193" spans="1:5">
      <c r="A9193" s="1865" t="s">
        <v>7165</v>
      </c>
      <c r="B9193" s="1865" t="s">
        <v>2754</v>
      </c>
      <c r="C9193" s="1245">
        <v>2.6199999999999997</v>
      </c>
      <c r="D9193" s="2030" t="s">
        <v>7173</v>
      </c>
    </row>
    <row r="9194" spans="1:5">
      <c r="A9194" s="1865" t="s">
        <v>7155</v>
      </c>
      <c r="B9194" s="1865" t="s">
        <v>2754</v>
      </c>
      <c r="C9194" s="1245">
        <v>2.23</v>
      </c>
      <c r="D9194" s="2030" t="s">
        <v>7120</v>
      </c>
    </row>
    <row r="9195" spans="1:5" ht="25.5">
      <c r="A9195" s="1865" t="s">
        <v>7186</v>
      </c>
      <c r="B9195" s="1865" t="s">
        <v>2754</v>
      </c>
      <c r="C9195" s="1245">
        <v>2.13</v>
      </c>
      <c r="D9195" s="2030" t="s">
        <v>7200</v>
      </c>
    </row>
    <row r="9196" spans="1:5">
      <c r="A9196" s="1865" t="s">
        <v>7157</v>
      </c>
      <c r="B9196" s="1865" t="s">
        <v>2754</v>
      </c>
      <c r="C9196" s="1245">
        <v>1.2</v>
      </c>
      <c r="D9196" s="2030" t="s">
        <v>7169</v>
      </c>
    </row>
    <row r="9197" spans="1:5">
      <c r="A9197" s="1865" t="s">
        <v>7188</v>
      </c>
      <c r="B9197" s="1865" t="s">
        <v>2754</v>
      </c>
      <c r="C9197" s="1245">
        <v>2.6199999999999997</v>
      </c>
      <c r="D9197" s="2030" t="s">
        <v>7201</v>
      </c>
      <c r="E9197" s="389" t="s">
        <v>7195</v>
      </c>
    </row>
    <row r="9198" spans="1:5">
      <c r="A9198" s="1865" t="s">
        <v>7159</v>
      </c>
      <c r="B9198" s="1865" t="s">
        <v>2754</v>
      </c>
      <c r="C9198" s="1245">
        <v>1.98</v>
      </c>
      <c r="D9198" s="2030" t="s">
        <v>7170</v>
      </c>
    </row>
    <row r="9199" spans="1:5">
      <c r="A9199" s="1865" t="s">
        <v>7190</v>
      </c>
      <c r="B9199" s="1865" t="s">
        <v>2754</v>
      </c>
      <c r="C9199" s="1245">
        <v>2.6999999999999997</v>
      </c>
      <c r="D9199" s="2030" t="s">
        <v>7202</v>
      </c>
      <c r="E9199" s="389" t="s">
        <v>7196</v>
      </c>
    </row>
    <row r="9201" spans="1:8">
      <c r="A9201" s="1064" t="s">
        <v>7175</v>
      </c>
    </row>
    <row r="9202" spans="1:8" ht="17.25">
      <c r="A9202" s="2282" t="s">
        <v>7176</v>
      </c>
    </row>
    <row r="9203" spans="1:8">
      <c r="A9203" t="s">
        <v>7178</v>
      </c>
    </row>
    <row r="9206" spans="1:8" ht="15">
      <c r="A9206" s="1996" t="s">
        <v>5583</v>
      </c>
      <c r="B9206" s="1997" t="s">
        <v>980</v>
      </c>
      <c r="C9206" s="1997" t="s">
        <v>1323</v>
      </c>
      <c r="D9206" s="1998" t="s">
        <v>7181</v>
      </c>
      <c r="E9206" s="2045" t="s">
        <v>6979</v>
      </c>
      <c r="F9206" s="2045" t="s">
        <v>6080</v>
      </c>
      <c r="G9206" s="940" t="s">
        <v>6081</v>
      </c>
    </row>
    <row r="9207" spans="1:8">
      <c r="A9207" s="47" t="s">
        <v>7179</v>
      </c>
      <c r="B9207" s="47" t="s">
        <v>7180</v>
      </c>
      <c r="C9207" s="1061">
        <f>ROUNDUP(E9207/0.6/120,2)</f>
        <v>4.5599999999999996</v>
      </c>
      <c r="D9207" s="2260" t="s">
        <v>7182</v>
      </c>
      <c r="E9207" s="1999">
        <v>328</v>
      </c>
      <c r="F9207" s="2083">
        <f>(C9207-(E9207/G9207))/C9207</f>
        <v>0.40058479532163738</v>
      </c>
      <c r="G9207" s="2000">
        <v>120</v>
      </c>
    </row>
    <row r="9210" spans="1:8">
      <c r="A9210" s="887" t="s">
        <v>455</v>
      </c>
      <c r="B9210" s="887" t="s">
        <v>52</v>
      </c>
      <c r="C9210" s="887" t="s">
        <v>128</v>
      </c>
      <c r="D9210" s="887" t="s">
        <v>1186</v>
      </c>
      <c r="E9210" s="887" t="s">
        <v>1652</v>
      </c>
      <c r="F9210" s="887" t="s">
        <v>1653</v>
      </c>
      <c r="G9210" s="1783" t="s">
        <v>6945</v>
      </c>
      <c r="H9210" s="39"/>
    </row>
    <row r="9211" spans="1:8">
      <c r="A9211" s="47">
        <v>12740</v>
      </c>
      <c r="B9211" s="48">
        <v>9</v>
      </c>
      <c r="C9211" s="47" t="s">
        <v>7185</v>
      </c>
      <c r="D9211" s="905">
        <v>10</v>
      </c>
      <c r="E9211" s="906">
        <v>5</v>
      </c>
      <c r="F9211" s="905">
        <f>D9211*E9211</f>
        <v>50</v>
      </c>
      <c r="G9211" s="891">
        <v>2.02</v>
      </c>
      <c r="H9211" s="891">
        <f>G9211*F9211</f>
        <v>101</v>
      </c>
    </row>
    <row r="9212" spans="1:8">
      <c r="A9212" s="47"/>
      <c r="B9212" s="893"/>
      <c r="C9212" s="260" t="s">
        <v>1993</v>
      </c>
      <c r="D9212" s="905"/>
      <c r="E9212" s="906"/>
      <c r="F9212" s="894">
        <v>1</v>
      </c>
      <c r="G9212" s="891">
        <v>12</v>
      </c>
      <c r="H9212" s="891">
        <f>G9212*F9212</f>
        <v>12</v>
      </c>
    </row>
    <row r="9214" spans="1:8">
      <c r="A9214" s="1064" t="s">
        <v>7204</v>
      </c>
    </row>
    <row r="9215" spans="1:8" ht="15">
      <c r="A9215" s="1996" t="s">
        <v>5583</v>
      </c>
      <c r="B9215" s="1997" t="s">
        <v>980</v>
      </c>
      <c r="C9215" s="1997" t="s">
        <v>1323</v>
      </c>
      <c r="D9215" s="2045" t="s">
        <v>6979</v>
      </c>
      <c r="E9215" s="2045" t="s">
        <v>6080</v>
      </c>
      <c r="F9215" s="940" t="s">
        <v>6081</v>
      </c>
    </row>
    <row r="9216" spans="1:8">
      <c r="A9216" s="47" t="s">
        <v>7206</v>
      </c>
      <c r="B9216" s="47" t="s">
        <v>1519</v>
      </c>
      <c r="C9216" s="1061">
        <f>ROUNDUP(D9216/0.6/120,2)</f>
        <v>1.28</v>
      </c>
      <c r="D9216" s="1999">
        <v>92</v>
      </c>
      <c r="E9216" s="2083">
        <f>(C9216-(D9216/F9216))/C9216</f>
        <v>0.40104166666666663</v>
      </c>
      <c r="F9216" s="2000">
        <v>120</v>
      </c>
      <c r="G9216" s="389"/>
    </row>
    <row r="9217" spans="1:7">
      <c r="A9217" s="47" t="s">
        <v>7208</v>
      </c>
      <c r="B9217" s="47" t="s">
        <v>1519</v>
      </c>
      <c r="C9217" s="1061">
        <f>ROUNDUP(D9217/0.6/120,2)</f>
        <v>1.31</v>
      </c>
      <c r="D9217" s="1999">
        <v>94</v>
      </c>
      <c r="E9217" s="2083">
        <f>(C9217-(D9217/F9217))/C9217</f>
        <v>0.40203562340966925</v>
      </c>
      <c r="F9217" s="2000">
        <v>120</v>
      </c>
      <c r="G9217" s="389"/>
    </row>
    <row r="9218" spans="1:7">
      <c r="A9218" s="47" t="s">
        <v>7210</v>
      </c>
      <c r="B9218" s="47" t="s">
        <v>1519</v>
      </c>
      <c r="C9218" s="1061">
        <f>ROUNDUP(D9218/0.6/120,2)</f>
        <v>1.1399999999999999</v>
      </c>
      <c r="D9218" s="1999">
        <v>82</v>
      </c>
      <c r="E9218" s="2083">
        <f>(C9218-(D9218/F9218))/C9218</f>
        <v>0.40058479532163738</v>
      </c>
      <c r="F9218" s="2000">
        <v>120</v>
      </c>
      <c r="G9218" s="389"/>
    </row>
    <row r="9220" spans="1:7">
      <c r="A9220" s="895" t="s">
        <v>7114</v>
      </c>
    </row>
    <row r="9222" spans="1:7">
      <c r="A9222" s="1874" t="s">
        <v>7112</v>
      </c>
      <c r="B9222" s="1874" t="s">
        <v>1187</v>
      </c>
      <c r="C9222" s="1874" t="s">
        <v>6413</v>
      </c>
      <c r="D9222" s="2277" t="s">
        <v>7199</v>
      </c>
    </row>
    <row r="9223" spans="1:7">
      <c r="A9223" s="909" t="s">
        <v>7205</v>
      </c>
      <c r="B9223" s="909" t="s">
        <v>2754</v>
      </c>
      <c r="C9223" s="1245">
        <v>1.28</v>
      </c>
      <c r="D9223" s="2030" t="s">
        <v>7211</v>
      </c>
    </row>
    <row r="9224" spans="1:7">
      <c r="A9224" s="909" t="s">
        <v>7207</v>
      </c>
      <c r="B9224" s="909" t="s">
        <v>2754</v>
      </c>
      <c r="C9224" s="1245">
        <v>1.31</v>
      </c>
      <c r="D9224" s="2030" t="s">
        <v>7212</v>
      </c>
    </row>
    <row r="9225" spans="1:7">
      <c r="A9225" s="909" t="s">
        <v>7209</v>
      </c>
      <c r="B9225" s="909" t="s">
        <v>2754</v>
      </c>
      <c r="C9225" s="1245">
        <v>1.1399999999999999</v>
      </c>
      <c r="D9225" s="2030" t="s">
        <v>7211</v>
      </c>
    </row>
    <row r="9230" spans="1:7">
      <c r="A9230" s="887" t="s">
        <v>455</v>
      </c>
      <c r="B9230" s="887" t="s">
        <v>7232</v>
      </c>
      <c r="C9230" s="887" t="s">
        <v>7233</v>
      </c>
      <c r="D9230" s="2276" t="s">
        <v>7234</v>
      </c>
    </row>
    <row r="9231" spans="1:7">
      <c r="A9231" s="47" t="s">
        <v>7218</v>
      </c>
      <c r="B9231" s="47" t="s">
        <v>78</v>
      </c>
      <c r="C9231" s="905">
        <v>100</v>
      </c>
      <c r="D9231" s="1059">
        <v>204</v>
      </c>
    </row>
    <row r="9232" spans="1:7">
      <c r="A9232" s="47" t="s">
        <v>7219</v>
      </c>
      <c r="B9232" s="47" t="s">
        <v>78</v>
      </c>
      <c r="C9232" s="905">
        <v>100</v>
      </c>
      <c r="D9232" s="1059">
        <v>188</v>
      </c>
    </row>
    <row r="9233" spans="1:6">
      <c r="A9233" s="47" t="s">
        <v>7220</v>
      </c>
      <c r="B9233" s="47" t="s">
        <v>78</v>
      </c>
      <c r="C9233" s="905">
        <v>20</v>
      </c>
      <c r="D9233" s="1059">
        <v>87</v>
      </c>
    </row>
    <row r="9234" spans="1:6">
      <c r="A9234" s="47" t="s">
        <v>7221</v>
      </c>
      <c r="B9234" s="47" t="s">
        <v>78</v>
      </c>
      <c r="C9234" s="905">
        <v>15</v>
      </c>
      <c r="D9234" s="1059">
        <v>328</v>
      </c>
    </row>
    <row r="9235" spans="1:6">
      <c r="A9235" s="47" t="s">
        <v>7220</v>
      </c>
      <c r="B9235" s="47" t="s">
        <v>7229</v>
      </c>
      <c r="C9235" s="905">
        <v>5</v>
      </c>
      <c r="D9235" s="1059">
        <v>89</v>
      </c>
    </row>
    <row r="9236" spans="1:6">
      <c r="A9236" s="47" t="s">
        <v>7221</v>
      </c>
      <c r="B9236" s="47" t="s">
        <v>7230</v>
      </c>
      <c r="C9236" s="905">
        <v>10</v>
      </c>
      <c r="D9236" s="1059">
        <v>328</v>
      </c>
    </row>
    <row r="9237" spans="1:6">
      <c r="A9237" s="47" t="s">
        <v>7220</v>
      </c>
      <c r="B9237" s="47" t="s">
        <v>7231</v>
      </c>
      <c r="C9237" s="905">
        <v>5</v>
      </c>
      <c r="D9237" s="1059">
        <v>89</v>
      </c>
    </row>
    <row r="9238" spans="1:6">
      <c r="A9238" s="47" t="s">
        <v>7222</v>
      </c>
      <c r="B9238" s="47" t="s">
        <v>78</v>
      </c>
      <c r="C9238" s="905">
        <v>50</v>
      </c>
      <c r="D9238" s="1059">
        <v>160</v>
      </c>
    </row>
    <row r="9239" spans="1:6">
      <c r="A9239" s="47" t="s">
        <v>7223</v>
      </c>
      <c r="B9239" s="47" t="s">
        <v>78</v>
      </c>
      <c r="C9239" s="905">
        <v>50</v>
      </c>
      <c r="D9239" s="1059">
        <v>86</v>
      </c>
    </row>
    <row r="9240" spans="1:6">
      <c r="A9240" s="47" t="s">
        <v>7224</v>
      </c>
      <c r="B9240" s="47" t="s">
        <v>78</v>
      </c>
      <c r="C9240" s="905">
        <v>50</v>
      </c>
      <c r="D9240" s="1059">
        <v>142</v>
      </c>
    </row>
    <row r="9241" spans="1:6">
      <c r="A9241" s="47" t="s">
        <v>7225</v>
      </c>
      <c r="B9241" s="47" t="s">
        <v>78</v>
      </c>
      <c r="C9241" s="905">
        <v>50</v>
      </c>
      <c r="D9241" s="1059">
        <v>188</v>
      </c>
    </row>
    <row r="9242" spans="1:6">
      <c r="A9242" s="47" t="s">
        <v>7226</v>
      </c>
      <c r="B9242" s="47" t="s">
        <v>78</v>
      </c>
      <c r="C9242" s="905">
        <v>20</v>
      </c>
      <c r="D9242" s="1059">
        <v>229</v>
      </c>
    </row>
    <row r="9243" spans="1:6">
      <c r="A9243" s="47" t="s">
        <v>7227</v>
      </c>
      <c r="B9243" s="47" t="s">
        <v>78</v>
      </c>
      <c r="C9243" s="905">
        <v>50</v>
      </c>
      <c r="D9243" s="1059">
        <v>188</v>
      </c>
    </row>
    <row r="9244" spans="1:6">
      <c r="A9244" s="47" t="s">
        <v>7228</v>
      </c>
      <c r="B9244" s="47" t="s">
        <v>78</v>
      </c>
      <c r="C9244" s="905">
        <v>50</v>
      </c>
      <c r="D9244" s="1059">
        <v>188</v>
      </c>
    </row>
    <row r="9247" spans="1:6">
      <c r="A9247" s="1064" t="s">
        <v>7236</v>
      </c>
    </row>
    <row r="9248" spans="1:6" ht="15">
      <c r="A9248" s="1996" t="s">
        <v>5583</v>
      </c>
      <c r="B9248" s="1997" t="s">
        <v>980</v>
      </c>
      <c r="C9248" s="1997" t="s">
        <v>1323</v>
      </c>
      <c r="D9248" s="2045" t="s">
        <v>6979</v>
      </c>
      <c r="E9248" s="2045" t="s">
        <v>6080</v>
      </c>
      <c r="F9248" s="940" t="s">
        <v>6081</v>
      </c>
    </row>
    <row r="9249" spans="1:7">
      <c r="A9249" s="47" t="s">
        <v>7237</v>
      </c>
      <c r="B9249" s="47" t="s">
        <v>1519</v>
      </c>
      <c r="C9249" s="1061">
        <f>ROUNDUP(D9249/0.6/120,2)</f>
        <v>2.5</v>
      </c>
      <c r="D9249" s="1999">
        <v>180</v>
      </c>
      <c r="E9249" s="2083">
        <f>(C9249-(D9249/F9249))/C9249</f>
        <v>0.4</v>
      </c>
      <c r="F9249" s="2000">
        <v>120</v>
      </c>
    </row>
    <row r="9250" spans="1:7">
      <c r="A9250" s="895"/>
      <c r="B9250" s="895"/>
      <c r="C9250" s="1918"/>
      <c r="D9250" s="2285"/>
      <c r="E9250" s="2083"/>
      <c r="F9250" s="2285"/>
      <c r="G9250" s="389"/>
    </row>
    <row r="9252" spans="1:7">
      <c r="A9252" s="895" t="s">
        <v>7114</v>
      </c>
    </row>
    <row r="9254" spans="1:7">
      <c r="A9254" s="1874" t="s">
        <v>7112</v>
      </c>
      <c r="B9254" s="1874" t="s">
        <v>1187</v>
      </c>
      <c r="C9254" s="1874" t="s">
        <v>6413</v>
      </c>
      <c r="D9254" s="2277" t="s">
        <v>7239</v>
      </c>
    </row>
    <row r="9255" spans="1:7">
      <c r="A9255" s="1865" t="s">
        <v>7238</v>
      </c>
      <c r="B9255" s="1865" t="s">
        <v>2754</v>
      </c>
      <c r="C9255" s="1245">
        <v>2.5</v>
      </c>
      <c r="D9255" s="2030" t="s">
        <v>7120</v>
      </c>
    </row>
    <row r="9259" spans="1:7">
      <c r="A9259" s="887" t="s">
        <v>455</v>
      </c>
      <c r="B9259" s="887" t="s">
        <v>53</v>
      </c>
      <c r="C9259" s="887" t="s">
        <v>54</v>
      </c>
      <c r="D9259" s="1997" t="s">
        <v>1323</v>
      </c>
    </row>
    <row r="9260" spans="1:7">
      <c r="A9260" s="47" t="s">
        <v>7240</v>
      </c>
      <c r="B9260" s="47" t="s">
        <v>78</v>
      </c>
      <c r="C9260" s="905">
        <v>15</v>
      </c>
      <c r="D9260" s="891">
        <v>1.28</v>
      </c>
    </row>
    <row r="9261" spans="1:7">
      <c r="A9261" s="47" t="s">
        <v>7241</v>
      </c>
      <c r="B9261" s="47" t="s">
        <v>78</v>
      </c>
      <c r="C9261" s="905">
        <v>15</v>
      </c>
      <c r="D9261" s="891">
        <v>1.07</v>
      </c>
    </row>
    <row r="9262" spans="1:7">
      <c r="A9262" s="1059"/>
      <c r="B9262" s="47" t="s">
        <v>2975</v>
      </c>
      <c r="C9262" s="894">
        <v>1</v>
      </c>
      <c r="D9262" s="891">
        <v>12</v>
      </c>
    </row>
    <row r="9265" spans="1:7">
      <c r="A9265" s="1064" t="s">
        <v>7242</v>
      </c>
    </row>
    <row r="9266" spans="1:7" ht="15">
      <c r="A9266" s="1996" t="s">
        <v>5583</v>
      </c>
      <c r="B9266" s="1997" t="s">
        <v>980</v>
      </c>
      <c r="C9266" s="1997" t="s">
        <v>1323</v>
      </c>
      <c r="D9266" s="939" t="s">
        <v>6979</v>
      </c>
      <c r="E9266" s="2045" t="s">
        <v>6080</v>
      </c>
      <c r="F9266" s="940" t="s">
        <v>6081</v>
      </c>
    </row>
    <row r="9267" spans="1:7">
      <c r="A9267" s="1865" t="s">
        <v>7148</v>
      </c>
      <c r="B9267" s="47" t="s">
        <v>1519</v>
      </c>
      <c r="C9267" s="1061">
        <f>ROUNDUP(D9267/0.6/120,2)</f>
        <v>1.8800000000000001</v>
      </c>
      <c r="D9267" s="2000">
        <v>135</v>
      </c>
      <c r="E9267" s="2083">
        <f t="shared" ref="E9267:E9275" si="84">(C9267-(D9267/F9267))/C9267</f>
        <v>0.40159574468085107</v>
      </c>
      <c r="F9267" s="2000">
        <v>120</v>
      </c>
    </row>
    <row r="9268" spans="1:7">
      <c r="A9268" s="909" t="s">
        <v>7244</v>
      </c>
      <c r="B9268" s="47" t="s">
        <v>1519</v>
      </c>
      <c r="C9268" s="1061">
        <f t="shared" ref="C9268:C9275" si="85">ROUNDUP(D9268/0.6/120,2)</f>
        <v>3.92</v>
      </c>
      <c r="D9268" s="2000">
        <v>282</v>
      </c>
      <c r="E9268" s="2083">
        <f t="shared" si="84"/>
        <v>0.40051020408163263</v>
      </c>
      <c r="F9268" s="2000">
        <v>120</v>
      </c>
      <c r="G9268" s="389" t="s">
        <v>7259</v>
      </c>
    </row>
    <row r="9269" spans="1:7">
      <c r="A9269" s="909" t="s">
        <v>7246</v>
      </c>
      <c r="B9269" s="47" t="s">
        <v>1519</v>
      </c>
      <c r="C9269" s="1061">
        <f t="shared" si="85"/>
        <v>2.5599999999999996</v>
      </c>
      <c r="D9269" s="2000">
        <v>184</v>
      </c>
      <c r="E9269" s="2083">
        <f t="shared" si="84"/>
        <v>0.40104166666666652</v>
      </c>
      <c r="F9269" s="2000">
        <v>120</v>
      </c>
      <c r="G9269" s="389" t="s">
        <v>7260</v>
      </c>
    </row>
    <row r="9270" spans="1:7">
      <c r="A9270" s="909" t="s">
        <v>7248</v>
      </c>
      <c r="B9270" s="47" t="s">
        <v>1519</v>
      </c>
      <c r="C9270" s="1061">
        <f t="shared" si="85"/>
        <v>3.3699999999999997</v>
      </c>
      <c r="D9270" s="2000">
        <v>242</v>
      </c>
      <c r="E9270" s="2083">
        <f t="shared" si="84"/>
        <v>0.40158259149357067</v>
      </c>
      <c r="F9270" s="2000">
        <v>120</v>
      </c>
      <c r="G9270" s="389" t="s">
        <v>7261</v>
      </c>
    </row>
    <row r="9271" spans="1:7">
      <c r="A9271" s="909" t="s">
        <v>7250</v>
      </c>
      <c r="B9271" s="47" t="s">
        <v>1519</v>
      </c>
      <c r="C9271" s="1061">
        <f t="shared" si="85"/>
        <v>2.59</v>
      </c>
      <c r="D9271" s="2000">
        <v>186</v>
      </c>
      <c r="E9271" s="2083">
        <f t="shared" si="84"/>
        <v>0.40154440154440152</v>
      </c>
      <c r="F9271" s="2000">
        <v>120</v>
      </c>
      <c r="G9271" s="389" t="s">
        <v>7262</v>
      </c>
    </row>
    <row r="9272" spans="1:7">
      <c r="A9272" s="909" t="s">
        <v>7252</v>
      </c>
      <c r="B9272" s="47" t="s">
        <v>1519</v>
      </c>
      <c r="C9272" s="1061">
        <f t="shared" si="85"/>
        <v>4.6399999999999997</v>
      </c>
      <c r="D9272" s="2000">
        <v>334</v>
      </c>
      <c r="E9272" s="2083">
        <f t="shared" si="84"/>
        <v>0.4001436781609195</v>
      </c>
      <c r="F9272" s="2000">
        <v>120</v>
      </c>
      <c r="G9272" s="389" t="s">
        <v>7263</v>
      </c>
    </row>
    <row r="9273" spans="1:7">
      <c r="A9273" s="909" t="s">
        <v>7254</v>
      </c>
      <c r="B9273" s="47" t="s">
        <v>1519</v>
      </c>
      <c r="C9273" s="1061">
        <f t="shared" si="85"/>
        <v>2.13</v>
      </c>
      <c r="D9273" s="2000">
        <v>153</v>
      </c>
      <c r="E9273" s="2083">
        <f t="shared" si="84"/>
        <v>0.40140845070422537</v>
      </c>
      <c r="F9273" s="2000">
        <v>120</v>
      </c>
      <c r="G9273" s="389">
        <v>600</v>
      </c>
    </row>
    <row r="9274" spans="1:7">
      <c r="A9274" s="909" t="s">
        <v>7256</v>
      </c>
      <c r="B9274" s="47" t="s">
        <v>1519</v>
      </c>
      <c r="C9274" s="1061">
        <f t="shared" si="85"/>
        <v>2.6199999999999997</v>
      </c>
      <c r="D9274" s="2000">
        <v>188</v>
      </c>
      <c r="E9274" s="2083">
        <f t="shared" si="84"/>
        <v>0.40203562340966914</v>
      </c>
      <c r="F9274" s="2000">
        <v>120</v>
      </c>
      <c r="G9274" s="389">
        <v>300</v>
      </c>
    </row>
    <row r="9275" spans="1:7">
      <c r="A9275" s="909" t="s">
        <v>7258</v>
      </c>
      <c r="B9275" s="47" t="s">
        <v>1519</v>
      </c>
      <c r="C9275" s="1061">
        <f t="shared" si="85"/>
        <v>1.28</v>
      </c>
      <c r="D9275" s="2000">
        <v>92</v>
      </c>
      <c r="E9275" s="2083">
        <f t="shared" si="84"/>
        <v>0.40104166666666663</v>
      </c>
      <c r="F9275" s="2000">
        <v>120</v>
      </c>
      <c r="G9275" s="389">
        <v>700</v>
      </c>
    </row>
    <row r="9278" spans="1:7">
      <c r="A9278" s="895" t="s">
        <v>7114</v>
      </c>
    </row>
    <row r="9279" spans="1:7" ht="15">
      <c r="A9279" s="1996" t="s">
        <v>5583</v>
      </c>
      <c r="B9279" s="1997" t="s">
        <v>980</v>
      </c>
      <c r="C9279" s="1997" t="s">
        <v>1323</v>
      </c>
      <c r="D9279" s="2277" t="s">
        <v>7264</v>
      </c>
    </row>
    <row r="9280" spans="1:7">
      <c r="A9280" s="1865" t="s">
        <v>7147</v>
      </c>
      <c r="B9280" s="1865" t="s">
        <v>2754</v>
      </c>
      <c r="C9280" s="1245">
        <v>1.8800000000000001</v>
      </c>
      <c r="D9280" s="47" t="s">
        <v>7265</v>
      </c>
    </row>
    <row r="9281" spans="1:23">
      <c r="A9281" s="1865" t="s">
        <v>7243</v>
      </c>
      <c r="B9281" s="1865" t="s">
        <v>2754</v>
      </c>
      <c r="C9281" s="1245">
        <v>3.92</v>
      </c>
      <c r="D9281" s="47" t="s">
        <v>7266</v>
      </c>
    </row>
    <row r="9282" spans="1:23">
      <c r="A9282" s="1865" t="s">
        <v>7245</v>
      </c>
      <c r="B9282" s="1865" t="s">
        <v>2754</v>
      </c>
      <c r="C9282" s="1245">
        <v>2.5599999999999996</v>
      </c>
      <c r="D9282" s="47" t="s">
        <v>7267</v>
      </c>
    </row>
    <row r="9283" spans="1:23">
      <c r="A9283" s="1865" t="s">
        <v>7247</v>
      </c>
      <c r="B9283" s="1865" t="s">
        <v>2754</v>
      </c>
      <c r="C9283" s="1245">
        <v>3.3699999999999997</v>
      </c>
      <c r="D9283" s="47" t="s">
        <v>7268</v>
      </c>
    </row>
    <row r="9284" spans="1:23">
      <c r="A9284" s="1865" t="s">
        <v>7249</v>
      </c>
      <c r="B9284" s="1865" t="s">
        <v>2754</v>
      </c>
      <c r="C9284" s="1245">
        <v>2.59</v>
      </c>
      <c r="D9284" s="47" t="s">
        <v>7269</v>
      </c>
    </row>
    <row r="9285" spans="1:23">
      <c r="A9285" s="1865" t="s">
        <v>7251</v>
      </c>
      <c r="B9285" s="1865" t="s">
        <v>2754</v>
      </c>
      <c r="C9285" s="1245">
        <v>4.6399999999999997</v>
      </c>
      <c r="D9285" s="47" t="s">
        <v>7270</v>
      </c>
    </row>
    <row r="9286" spans="1:23">
      <c r="A9286" s="1865" t="s">
        <v>7253</v>
      </c>
      <c r="B9286" s="1865" t="s">
        <v>2754</v>
      </c>
      <c r="C9286" s="1245">
        <v>2.13</v>
      </c>
      <c r="D9286" s="47" t="s">
        <v>7265</v>
      </c>
    </row>
    <row r="9287" spans="1:23">
      <c r="A9287" s="1865" t="s">
        <v>7255</v>
      </c>
      <c r="B9287" s="1865" t="s">
        <v>2754</v>
      </c>
      <c r="C9287" s="1245">
        <v>2.6199999999999997</v>
      </c>
      <c r="D9287" s="47" t="s">
        <v>7271</v>
      </c>
    </row>
    <row r="9288" spans="1:23">
      <c r="A9288" s="1865" t="s">
        <v>7257</v>
      </c>
      <c r="B9288" s="1865" t="s">
        <v>2754</v>
      </c>
      <c r="C9288" s="1245">
        <v>1.28</v>
      </c>
      <c r="D9288" s="47" t="s">
        <v>7272</v>
      </c>
    </row>
    <row r="9291" spans="1:23" s="7" customFormat="1" ht="15.75" customHeight="1">
      <c r="A9291" s="1"/>
      <c r="B9291" s="12" t="s">
        <v>1856</v>
      </c>
      <c r="C9291" s="6" t="s">
        <v>7274</v>
      </c>
      <c r="D9291" s="15" t="s">
        <v>169</v>
      </c>
      <c r="E9291" s="95" t="s">
        <v>7220</v>
      </c>
      <c r="F9291" s="26"/>
      <c r="G9291" s="24" t="s">
        <v>78</v>
      </c>
      <c r="H9291" s="151"/>
      <c r="I9291" s="41"/>
      <c r="J9291" s="67">
        <v>20</v>
      </c>
      <c r="K9291" s="25">
        <v>1.24</v>
      </c>
      <c r="L9291" s="46">
        <f t="shared" ref="L9291:L9296" si="86">K9291*J9291</f>
        <v>24.8</v>
      </c>
      <c r="M9291" s="162" t="s">
        <v>2219</v>
      </c>
      <c r="N9291" s="39"/>
      <c r="O9291" s="38"/>
      <c r="P9291" s="180">
        <f>K9291*(VLOOKUP(B9291,'LA BackOrder'!$C$2:$F$6,3,FALSE))</f>
        <v>1.0911999999999999</v>
      </c>
      <c r="Q9291" s="483">
        <v>1.0900000000000001</v>
      </c>
      <c r="R9291" s="704">
        <f t="shared" ref="R9291:R9296" si="87">Q9291*J9291</f>
        <v>21.8</v>
      </c>
      <c r="S9291" s="489">
        <v>87</v>
      </c>
      <c r="T9291" s="113">
        <f t="shared" ref="T9291:T9296" si="88">S9291*J9291</f>
        <v>1740</v>
      </c>
      <c r="U9291" s="517"/>
      <c r="V9291" s="494">
        <v>120</v>
      </c>
      <c r="W9291" s="2041">
        <f t="shared" ref="W9291:W9296" si="89">(((K9291*V9291)-S9291)/(K9291*V9291))</f>
        <v>0.41532258064516131</v>
      </c>
    </row>
    <row r="9292" spans="1:23" s="7" customFormat="1" ht="15.75" customHeight="1">
      <c r="A9292" s="1"/>
      <c r="B9292" s="12" t="s">
        <v>1856</v>
      </c>
      <c r="C9292" s="6" t="s">
        <v>7274</v>
      </c>
      <c r="D9292" s="15" t="s">
        <v>169</v>
      </c>
      <c r="E9292" s="95" t="s">
        <v>7221</v>
      </c>
      <c r="F9292" s="26"/>
      <c r="G9292" s="24" t="s">
        <v>78</v>
      </c>
      <c r="H9292" s="151"/>
      <c r="I9292" s="41"/>
      <c r="J9292" s="67">
        <v>15</v>
      </c>
      <c r="K9292" s="25">
        <v>4.5599999999999996</v>
      </c>
      <c r="L9292" s="46">
        <f t="shared" si="86"/>
        <v>68.399999999999991</v>
      </c>
      <c r="M9292" s="162" t="s">
        <v>2219</v>
      </c>
      <c r="N9292" s="39"/>
      <c r="O9292" s="38"/>
      <c r="P9292" s="180">
        <f>K9292*(VLOOKUP(B9292,'LA BackOrder'!$C$2:$F$6,3,FALSE))</f>
        <v>4.0127999999999995</v>
      </c>
      <c r="Q9292" s="483">
        <v>4.01</v>
      </c>
      <c r="R9292" s="704">
        <f t="shared" si="87"/>
        <v>60.15</v>
      </c>
      <c r="S9292" s="489">
        <v>328</v>
      </c>
      <c r="T9292" s="113">
        <f t="shared" si="88"/>
        <v>4920</v>
      </c>
      <c r="U9292" s="517"/>
      <c r="V9292" s="494">
        <v>120</v>
      </c>
      <c r="W9292" s="2041">
        <f t="shared" si="89"/>
        <v>0.40058479532163738</v>
      </c>
    </row>
    <row r="9293" spans="1:23" s="7" customFormat="1" ht="15.75" customHeight="1">
      <c r="A9293" s="1"/>
      <c r="B9293" s="12" t="s">
        <v>1856</v>
      </c>
      <c r="C9293" s="6" t="s">
        <v>7273</v>
      </c>
      <c r="D9293" s="15" t="s">
        <v>169</v>
      </c>
      <c r="E9293" s="95" t="s">
        <v>7220</v>
      </c>
      <c r="F9293" s="26"/>
      <c r="G9293" s="24" t="s">
        <v>7229</v>
      </c>
      <c r="H9293" s="151"/>
      <c r="I9293" s="41"/>
      <c r="J9293" s="67">
        <v>5</v>
      </c>
      <c r="K9293" s="25">
        <v>1.24</v>
      </c>
      <c r="L9293" s="46">
        <f t="shared" si="86"/>
        <v>6.2</v>
      </c>
      <c r="M9293" s="162" t="s">
        <v>2219</v>
      </c>
      <c r="N9293" s="39"/>
      <c r="O9293" s="38"/>
      <c r="P9293" s="180">
        <f>K9293*(VLOOKUP(B9293,'LA BackOrder'!$C$2:$F$6,3,FALSE))</f>
        <v>1.0911999999999999</v>
      </c>
      <c r="Q9293" s="483">
        <v>1.0900000000000001</v>
      </c>
      <c r="R9293" s="704">
        <f t="shared" si="87"/>
        <v>5.45</v>
      </c>
      <c r="S9293" s="489">
        <v>89</v>
      </c>
      <c r="T9293" s="113">
        <f t="shared" si="88"/>
        <v>445</v>
      </c>
      <c r="U9293" s="517"/>
      <c r="V9293" s="494">
        <v>120</v>
      </c>
      <c r="W9293" s="2041">
        <f t="shared" si="89"/>
        <v>0.40188172043010756</v>
      </c>
    </row>
    <row r="9294" spans="1:23" s="7" customFormat="1" ht="15.75" customHeight="1">
      <c r="A9294" s="1"/>
      <c r="B9294" s="12" t="s">
        <v>1856</v>
      </c>
      <c r="C9294" s="6" t="s">
        <v>7273</v>
      </c>
      <c r="D9294" s="15" t="s">
        <v>169</v>
      </c>
      <c r="E9294" s="95" t="s">
        <v>7221</v>
      </c>
      <c r="F9294" s="26"/>
      <c r="G9294" s="24" t="s">
        <v>7230</v>
      </c>
      <c r="H9294" s="151"/>
      <c r="I9294" s="41"/>
      <c r="J9294" s="67">
        <v>10</v>
      </c>
      <c r="K9294" s="25">
        <v>4.5599999999999996</v>
      </c>
      <c r="L9294" s="46">
        <f t="shared" si="86"/>
        <v>45.599999999999994</v>
      </c>
      <c r="M9294" s="162" t="s">
        <v>2219</v>
      </c>
      <c r="N9294" s="39"/>
      <c r="O9294" s="38"/>
      <c r="P9294" s="180">
        <f>K9294*(VLOOKUP(B9294,'LA BackOrder'!$C$2:$F$6,3,FALSE))</f>
        <v>4.0127999999999995</v>
      </c>
      <c r="Q9294" s="483">
        <v>4.01</v>
      </c>
      <c r="R9294" s="704">
        <f t="shared" si="87"/>
        <v>40.099999999999994</v>
      </c>
      <c r="S9294" s="489">
        <v>328</v>
      </c>
      <c r="T9294" s="113">
        <f t="shared" si="88"/>
        <v>3280</v>
      </c>
      <c r="U9294" s="517"/>
      <c r="V9294" s="494">
        <v>120</v>
      </c>
      <c r="W9294" s="2041">
        <f t="shared" si="89"/>
        <v>0.40058479532163738</v>
      </c>
    </row>
    <row r="9295" spans="1:23" s="7" customFormat="1" ht="15.75" customHeight="1">
      <c r="A9295" s="1"/>
      <c r="B9295" s="12" t="s">
        <v>1856</v>
      </c>
      <c r="C9295" s="6" t="s">
        <v>7273</v>
      </c>
      <c r="D9295" s="15" t="s">
        <v>169</v>
      </c>
      <c r="E9295" s="95" t="s">
        <v>7220</v>
      </c>
      <c r="F9295" s="26"/>
      <c r="G9295" s="24" t="s">
        <v>7235</v>
      </c>
      <c r="H9295" s="151"/>
      <c r="I9295" s="41"/>
      <c r="J9295" s="67">
        <v>5</v>
      </c>
      <c r="K9295" s="25">
        <v>1.24</v>
      </c>
      <c r="L9295" s="46">
        <f t="shared" si="86"/>
        <v>6.2</v>
      </c>
      <c r="M9295" s="162" t="s">
        <v>2219</v>
      </c>
      <c r="N9295" s="39"/>
      <c r="O9295" s="38"/>
      <c r="P9295" s="180">
        <f>K9295*(VLOOKUP(B9295,'LA BackOrder'!$C$2:$F$6,3,FALSE))</f>
        <v>1.0911999999999999</v>
      </c>
      <c r="Q9295" s="483">
        <v>1.0900000000000001</v>
      </c>
      <c r="R9295" s="704">
        <f t="shared" si="87"/>
        <v>5.45</v>
      </c>
      <c r="S9295" s="489">
        <v>89</v>
      </c>
      <c r="T9295" s="113">
        <f t="shared" si="88"/>
        <v>445</v>
      </c>
      <c r="U9295" s="517"/>
      <c r="V9295" s="494">
        <v>120</v>
      </c>
      <c r="W9295" s="2041">
        <f t="shared" si="89"/>
        <v>0.40188172043010756</v>
      </c>
    </row>
    <row r="9296" spans="1:23" s="7" customFormat="1" ht="15.75" customHeight="1">
      <c r="A9296" s="1"/>
      <c r="B9296" s="12" t="s">
        <v>1856</v>
      </c>
      <c r="C9296" s="6" t="s">
        <v>7273</v>
      </c>
      <c r="D9296" s="15" t="s">
        <v>169</v>
      </c>
      <c r="E9296" s="95" t="s">
        <v>7225</v>
      </c>
      <c r="F9296" s="26"/>
      <c r="G9296" s="24" t="s">
        <v>78</v>
      </c>
      <c r="H9296" s="151"/>
      <c r="I9296" s="41"/>
      <c r="J9296" s="67">
        <v>50</v>
      </c>
      <c r="K9296" s="25">
        <v>2.62</v>
      </c>
      <c r="L9296" s="46">
        <f t="shared" si="86"/>
        <v>131</v>
      </c>
      <c r="M9296" s="162" t="s">
        <v>2219</v>
      </c>
      <c r="N9296" s="39"/>
      <c r="O9296" s="38"/>
      <c r="P9296" s="180">
        <f>K9296*(VLOOKUP(B9296,'LA BackOrder'!$C$2:$F$6,3,FALSE))</f>
        <v>2.3056000000000001</v>
      </c>
      <c r="Q9296" s="483">
        <v>2.31</v>
      </c>
      <c r="R9296" s="704">
        <f t="shared" si="87"/>
        <v>115.5</v>
      </c>
      <c r="S9296" s="489">
        <v>188</v>
      </c>
      <c r="T9296" s="113">
        <f t="shared" si="88"/>
        <v>9400</v>
      </c>
      <c r="U9296" s="517"/>
      <c r="V9296" s="494">
        <v>120</v>
      </c>
      <c r="W9296" s="2041">
        <f t="shared" si="89"/>
        <v>0.40203562340966925</v>
      </c>
    </row>
    <row r="9300" spans="1:3" ht="15">
      <c r="A9300" s="24" t="s">
        <v>7218</v>
      </c>
      <c r="B9300" s="24" t="s">
        <v>78</v>
      </c>
      <c r="C9300" s="120">
        <v>100</v>
      </c>
    </row>
    <row r="9301" spans="1:3" ht="15">
      <c r="A9301" s="24" t="s">
        <v>7219</v>
      </c>
      <c r="B9301" s="24" t="s">
        <v>78</v>
      </c>
      <c r="C9301" s="120">
        <v>100</v>
      </c>
    </row>
    <row r="9302" spans="1:3" ht="15">
      <c r="A9302" s="24" t="s">
        <v>7222</v>
      </c>
      <c r="B9302" s="24" t="s">
        <v>78</v>
      </c>
      <c r="C9302" s="120">
        <v>50</v>
      </c>
    </row>
    <row r="9303" spans="1:3" ht="15">
      <c r="A9303" s="24" t="s">
        <v>7223</v>
      </c>
      <c r="B9303" s="24" t="s">
        <v>78</v>
      </c>
      <c r="C9303" s="120">
        <v>50</v>
      </c>
    </row>
    <row r="9304" spans="1:3" ht="15">
      <c r="A9304" s="24" t="s">
        <v>7224</v>
      </c>
      <c r="B9304" s="24" t="s">
        <v>78</v>
      </c>
      <c r="C9304" s="120">
        <v>50</v>
      </c>
    </row>
    <row r="9305" spans="1:3" ht="15">
      <c r="A9305" s="24" t="s">
        <v>7226</v>
      </c>
      <c r="B9305" s="24" t="s">
        <v>78</v>
      </c>
      <c r="C9305" s="120">
        <v>20</v>
      </c>
    </row>
    <row r="9306" spans="1:3" ht="15">
      <c r="A9306" s="24" t="s">
        <v>7227</v>
      </c>
      <c r="B9306" s="24" t="s">
        <v>78</v>
      </c>
      <c r="C9306" s="120">
        <v>50</v>
      </c>
    </row>
    <row r="9307" spans="1:3" ht="15">
      <c r="A9307" s="24" t="s">
        <v>7228</v>
      </c>
      <c r="B9307" s="24" t="s">
        <v>78</v>
      </c>
      <c r="C9307" s="120">
        <v>50</v>
      </c>
    </row>
    <row r="9308" spans="1:3" ht="15">
      <c r="A9308" s="24" t="s">
        <v>7276</v>
      </c>
      <c r="B9308" s="24" t="s">
        <v>78</v>
      </c>
      <c r="C9308" s="120">
        <v>50</v>
      </c>
    </row>
    <row r="9309" spans="1:3" ht="15">
      <c r="A9309" s="24" t="s">
        <v>7277</v>
      </c>
      <c r="B9309" s="24" t="s">
        <v>78</v>
      </c>
      <c r="C9309" s="120">
        <v>50</v>
      </c>
    </row>
    <row r="9310" spans="1:3" ht="15">
      <c r="A9310" s="24" t="s">
        <v>7278</v>
      </c>
      <c r="B9310" s="24" t="s">
        <v>78</v>
      </c>
      <c r="C9310" s="120">
        <v>50</v>
      </c>
    </row>
    <row r="9311" spans="1:3" ht="15">
      <c r="A9311" s="24" t="s">
        <v>7279</v>
      </c>
      <c r="B9311" s="24" t="s">
        <v>78</v>
      </c>
      <c r="C9311" s="120">
        <v>50</v>
      </c>
    </row>
    <row r="9312" spans="1:3" ht="15">
      <c r="A9312" s="24" t="s">
        <v>7280</v>
      </c>
      <c r="B9312" s="24" t="s">
        <v>78</v>
      </c>
      <c r="C9312" s="120">
        <v>50</v>
      </c>
    </row>
    <row r="9317" spans="1:5">
      <c r="A9317" s="887" t="s">
        <v>455</v>
      </c>
      <c r="B9317" s="887" t="s">
        <v>53</v>
      </c>
      <c r="C9317" s="887" t="s">
        <v>54</v>
      </c>
      <c r="D9317" s="1997" t="s">
        <v>1323</v>
      </c>
    </row>
    <row r="9318" spans="1:5">
      <c r="A9318" s="47" t="s">
        <v>7281</v>
      </c>
      <c r="B9318" s="47" t="s">
        <v>78</v>
      </c>
      <c r="C9318" s="905">
        <v>10</v>
      </c>
      <c r="D9318" s="891">
        <v>0.38</v>
      </c>
    </row>
    <row r="9319" spans="1:5">
      <c r="A9319" s="1059"/>
      <c r="B9319" s="47" t="s">
        <v>2975</v>
      </c>
      <c r="C9319" s="894">
        <v>1</v>
      </c>
      <c r="D9319" s="891">
        <v>12</v>
      </c>
    </row>
    <row r="9322" spans="1:5">
      <c r="A9322" s="887" t="s">
        <v>455</v>
      </c>
      <c r="B9322" s="887" t="s">
        <v>53</v>
      </c>
      <c r="C9322" s="887" t="s">
        <v>54</v>
      </c>
      <c r="D9322" s="1997" t="s">
        <v>1323</v>
      </c>
      <c r="E9322" s="574" t="s">
        <v>7286</v>
      </c>
    </row>
    <row r="9323" spans="1:5">
      <c r="A9323" s="47" t="s">
        <v>7217</v>
      </c>
      <c r="B9323" s="47" t="s">
        <v>78</v>
      </c>
      <c r="C9323" s="905">
        <v>56</v>
      </c>
      <c r="D9323" s="891">
        <v>1.64</v>
      </c>
      <c r="E9323" s="891">
        <f t="shared" ref="E9323:E9337" si="90">D9323*C9323</f>
        <v>91.839999999999989</v>
      </c>
    </row>
    <row r="9324" spans="1:5">
      <c r="A9324" s="47" t="s">
        <v>7218</v>
      </c>
      <c r="B9324" s="47" t="s">
        <v>78</v>
      </c>
      <c r="C9324" s="905">
        <v>100</v>
      </c>
      <c r="D9324" s="891">
        <v>2.84</v>
      </c>
      <c r="E9324" s="891">
        <f t="shared" si="90"/>
        <v>284</v>
      </c>
    </row>
    <row r="9325" spans="1:5">
      <c r="A9325" s="47" t="s">
        <v>7219</v>
      </c>
      <c r="B9325" s="47" t="s">
        <v>78</v>
      </c>
      <c r="C9325" s="905">
        <v>100</v>
      </c>
      <c r="D9325" s="891">
        <v>2.62</v>
      </c>
      <c r="E9325" s="891">
        <f t="shared" si="90"/>
        <v>262</v>
      </c>
    </row>
    <row r="9326" spans="1:5">
      <c r="A9326" s="47" t="s">
        <v>7222</v>
      </c>
      <c r="B9326" s="47" t="s">
        <v>78</v>
      </c>
      <c r="C9326" s="905">
        <v>50</v>
      </c>
      <c r="D9326" s="891">
        <v>2.23</v>
      </c>
      <c r="E9326" s="891">
        <f t="shared" si="90"/>
        <v>111.5</v>
      </c>
    </row>
    <row r="9327" spans="1:5">
      <c r="A9327" s="47" t="s">
        <v>7223</v>
      </c>
      <c r="B9327" s="47" t="s">
        <v>78</v>
      </c>
      <c r="C9327" s="905">
        <v>50</v>
      </c>
      <c r="D9327" s="891">
        <v>1.2</v>
      </c>
      <c r="E9327" s="891">
        <f t="shared" si="90"/>
        <v>60</v>
      </c>
    </row>
    <row r="9328" spans="1:5">
      <c r="A9328" s="47" t="s">
        <v>7224</v>
      </c>
      <c r="B9328" s="47" t="s">
        <v>78</v>
      </c>
      <c r="C9328" s="905">
        <v>50</v>
      </c>
      <c r="D9328" s="891">
        <v>1.98</v>
      </c>
      <c r="E9328" s="891">
        <f t="shared" si="90"/>
        <v>99</v>
      </c>
    </row>
    <row r="9329" spans="1:5">
      <c r="A9329" s="47" t="s">
        <v>7226</v>
      </c>
      <c r="B9329" s="47" t="s">
        <v>78</v>
      </c>
      <c r="C9329" s="905">
        <v>20</v>
      </c>
      <c r="D9329" s="891">
        <v>3.19</v>
      </c>
      <c r="E9329" s="891">
        <f t="shared" si="90"/>
        <v>63.8</v>
      </c>
    </row>
    <row r="9330" spans="1:5">
      <c r="A9330" s="47" t="s">
        <v>7227</v>
      </c>
      <c r="B9330" s="47" t="s">
        <v>78</v>
      </c>
      <c r="C9330" s="905">
        <v>50</v>
      </c>
      <c r="D9330" s="891">
        <v>2.62</v>
      </c>
      <c r="E9330" s="891">
        <f t="shared" si="90"/>
        <v>131</v>
      </c>
    </row>
    <row r="9331" spans="1:5">
      <c r="A9331" s="47" t="s">
        <v>7228</v>
      </c>
      <c r="B9331" s="47" t="s">
        <v>78</v>
      </c>
      <c r="C9331" s="905">
        <v>50</v>
      </c>
      <c r="D9331" s="891">
        <v>2.62</v>
      </c>
      <c r="E9331" s="891">
        <f t="shared" si="90"/>
        <v>131</v>
      </c>
    </row>
    <row r="9332" spans="1:5">
      <c r="A9332" s="47" t="s">
        <v>7275</v>
      </c>
      <c r="B9332" s="47" t="s">
        <v>78</v>
      </c>
      <c r="C9332" s="905">
        <v>50</v>
      </c>
      <c r="D9332" s="891">
        <v>1.88</v>
      </c>
      <c r="E9332" s="891">
        <f t="shared" si="90"/>
        <v>94</v>
      </c>
    </row>
    <row r="9333" spans="1:5">
      <c r="A9333" s="47" t="s">
        <v>7276</v>
      </c>
      <c r="B9333" s="47" t="s">
        <v>78</v>
      </c>
      <c r="C9333" s="905">
        <v>50</v>
      </c>
      <c r="D9333" s="891">
        <v>1.28</v>
      </c>
      <c r="E9333" s="891">
        <f t="shared" si="90"/>
        <v>64</v>
      </c>
    </row>
    <row r="9334" spans="1:5">
      <c r="A9334" s="47" t="s">
        <v>7277</v>
      </c>
      <c r="B9334" s="47" t="s">
        <v>78</v>
      </c>
      <c r="C9334" s="905">
        <v>50</v>
      </c>
      <c r="D9334" s="891">
        <v>4.6399999999999997</v>
      </c>
      <c r="E9334" s="891">
        <f t="shared" si="90"/>
        <v>231.99999999999997</v>
      </c>
    </row>
    <row r="9335" spans="1:5">
      <c r="A9335" s="47" t="s">
        <v>7278</v>
      </c>
      <c r="B9335" s="47" t="s">
        <v>78</v>
      </c>
      <c r="C9335" s="905">
        <v>50</v>
      </c>
      <c r="D9335" s="891">
        <v>2.13</v>
      </c>
      <c r="E9335" s="891">
        <f t="shared" si="90"/>
        <v>106.5</v>
      </c>
    </row>
    <row r="9336" spans="1:5">
      <c r="A9336" s="47" t="s">
        <v>7279</v>
      </c>
      <c r="B9336" s="47" t="s">
        <v>78</v>
      </c>
      <c r="C9336" s="905">
        <v>50</v>
      </c>
      <c r="D9336" s="891">
        <v>3.37</v>
      </c>
      <c r="E9336" s="891">
        <f t="shared" si="90"/>
        <v>168.5</v>
      </c>
    </row>
    <row r="9337" spans="1:5">
      <c r="A9337" s="47" t="s">
        <v>7280</v>
      </c>
      <c r="B9337" s="47" t="s">
        <v>78</v>
      </c>
      <c r="C9337" s="905">
        <v>50</v>
      </c>
      <c r="D9337" s="891">
        <v>2.59</v>
      </c>
      <c r="E9337" s="891">
        <f t="shared" si="90"/>
        <v>129.5</v>
      </c>
    </row>
    <row r="9338" spans="1:5">
      <c r="A9338" s="47"/>
      <c r="B9338" s="47"/>
      <c r="C9338" s="905"/>
      <c r="D9338" s="918" t="s">
        <v>7287</v>
      </c>
      <c r="E9338" s="918" t="s">
        <v>7288</v>
      </c>
    </row>
    <row r="9340" spans="1:5">
      <c r="A9340" s="887" t="s">
        <v>455</v>
      </c>
      <c r="B9340" s="887" t="s">
        <v>53</v>
      </c>
      <c r="C9340" s="887" t="s">
        <v>54</v>
      </c>
      <c r="D9340" s="1997" t="s">
        <v>1323</v>
      </c>
      <c r="E9340" s="574" t="s">
        <v>2245</v>
      </c>
    </row>
    <row r="9341" spans="1:5">
      <c r="A9341" s="47" t="s">
        <v>7217</v>
      </c>
      <c r="B9341" s="47" t="s">
        <v>78</v>
      </c>
      <c r="C9341" s="905">
        <v>56</v>
      </c>
      <c r="D9341" s="891">
        <v>1.64</v>
      </c>
      <c r="E9341" s="891">
        <f t="shared" ref="E9341:E9354" si="91">D9341*C9341</f>
        <v>91.839999999999989</v>
      </c>
    </row>
    <row r="9342" spans="1:5">
      <c r="A9342" s="47" t="s">
        <v>7218</v>
      </c>
      <c r="B9342" s="47" t="s">
        <v>78</v>
      </c>
      <c r="C9342" s="905">
        <v>100</v>
      </c>
      <c r="D9342" s="891">
        <v>2.84</v>
      </c>
      <c r="E9342" s="891">
        <f t="shared" si="91"/>
        <v>284</v>
      </c>
    </row>
    <row r="9343" spans="1:5">
      <c r="A9343" s="47" t="s">
        <v>7219</v>
      </c>
      <c r="B9343" s="47" t="s">
        <v>78</v>
      </c>
      <c r="C9343" s="905">
        <v>100</v>
      </c>
      <c r="D9343" s="891">
        <v>2.62</v>
      </c>
      <c r="E9343" s="891">
        <f t="shared" si="91"/>
        <v>262</v>
      </c>
    </row>
    <row r="9344" spans="1:5">
      <c r="A9344" s="47" t="s">
        <v>7222</v>
      </c>
      <c r="B9344" s="47" t="s">
        <v>78</v>
      </c>
      <c r="C9344" s="905">
        <v>50</v>
      </c>
      <c r="D9344" s="891">
        <v>2.23</v>
      </c>
      <c r="E9344" s="891">
        <f t="shared" si="91"/>
        <v>111.5</v>
      </c>
    </row>
    <row r="9345" spans="1:6">
      <c r="A9345" s="47" t="s">
        <v>7223</v>
      </c>
      <c r="B9345" s="47" t="s">
        <v>78</v>
      </c>
      <c r="C9345" s="905">
        <v>50</v>
      </c>
      <c r="D9345" s="891">
        <v>1.2</v>
      </c>
      <c r="E9345" s="891">
        <f t="shared" si="91"/>
        <v>60</v>
      </c>
    </row>
    <row r="9346" spans="1:6">
      <c r="A9346" s="47" t="s">
        <v>7224</v>
      </c>
      <c r="B9346" s="47" t="s">
        <v>78</v>
      </c>
      <c r="C9346" s="905">
        <v>50</v>
      </c>
      <c r="D9346" s="891">
        <v>1.98</v>
      </c>
      <c r="E9346" s="891">
        <f t="shared" si="91"/>
        <v>99</v>
      </c>
    </row>
    <row r="9347" spans="1:6">
      <c r="A9347" s="47" t="s">
        <v>7226</v>
      </c>
      <c r="B9347" s="47" t="s">
        <v>78</v>
      </c>
      <c r="C9347" s="905">
        <v>20</v>
      </c>
      <c r="D9347" s="891">
        <v>3.19</v>
      </c>
      <c r="E9347" s="891">
        <f t="shared" si="91"/>
        <v>63.8</v>
      </c>
    </row>
    <row r="9348" spans="1:6">
      <c r="A9348" s="47" t="s">
        <v>7228</v>
      </c>
      <c r="B9348" s="47" t="s">
        <v>78</v>
      </c>
      <c r="C9348" s="905">
        <v>50</v>
      </c>
      <c r="D9348" s="891">
        <v>2.62</v>
      </c>
      <c r="E9348" s="891">
        <f t="shared" si="91"/>
        <v>131</v>
      </c>
    </row>
    <row r="9349" spans="1:6">
      <c r="A9349" s="47" t="s">
        <v>7275</v>
      </c>
      <c r="B9349" s="47" t="s">
        <v>78</v>
      </c>
      <c r="C9349" s="905">
        <v>50</v>
      </c>
      <c r="D9349" s="891">
        <v>1.88</v>
      </c>
      <c r="E9349" s="891">
        <f t="shared" si="91"/>
        <v>94</v>
      </c>
    </row>
    <row r="9350" spans="1:6">
      <c r="A9350" s="47" t="s">
        <v>7276</v>
      </c>
      <c r="B9350" s="47" t="s">
        <v>78</v>
      </c>
      <c r="C9350" s="905">
        <v>50</v>
      </c>
      <c r="D9350" s="891">
        <v>1.28</v>
      </c>
      <c r="E9350" s="891">
        <f t="shared" si="91"/>
        <v>64</v>
      </c>
    </row>
    <row r="9351" spans="1:6">
      <c r="A9351" s="47" t="s">
        <v>7277</v>
      </c>
      <c r="B9351" s="47" t="s">
        <v>78</v>
      </c>
      <c r="C9351" s="905">
        <v>50</v>
      </c>
      <c r="D9351" s="891">
        <v>4.6399999999999997</v>
      </c>
      <c r="E9351" s="891">
        <f t="shared" si="91"/>
        <v>231.99999999999997</v>
      </c>
    </row>
    <row r="9352" spans="1:6">
      <c r="A9352" s="47" t="s">
        <v>7278</v>
      </c>
      <c r="B9352" s="47" t="s">
        <v>78</v>
      </c>
      <c r="C9352" s="905">
        <v>50</v>
      </c>
      <c r="D9352" s="891">
        <v>2.13</v>
      </c>
      <c r="E9352" s="891">
        <f t="shared" si="91"/>
        <v>106.5</v>
      </c>
    </row>
    <row r="9353" spans="1:6">
      <c r="A9353" s="47" t="s">
        <v>7279</v>
      </c>
      <c r="B9353" s="47" t="s">
        <v>78</v>
      </c>
      <c r="C9353" s="905">
        <v>50</v>
      </c>
      <c r="D9353" s="891">
        <v>3.37</v>
      </c>
      <c r="E9353" s="891">
        <f t="shared" si="91"/>
        <v>168.5</v>
      </c>
    </row>
    <row r="9354" spans="1:6">
      <c r="A9354" s="1059"/>
      <c r="B9354" s="47" t="s">
        <v>2975</v>
      </c>
      <c r="C9354" s="894">
        <v>1</v>
      </c>
      <c r="D9354" s="891">
        <v>12</v>
      </c>
      <c r="E9354" s="891">
        <f t="shared" si="91"/>
        <v>12</v>
      </c>
    </row>
    <row r="9355" spans="1:6">
      <c r="A9355" s="47"/>
      <c r="B9355" s="47"/>
      <c r="C9355" s="905"/>
      <c r="D9355" s="918" t="s">
        <v>7287</v>
      </c>
      <c r="E9355" s="918" t="s">
        <v>1037</v>
      </c>
    </row>
    <row r="9358" spans="1:6">
      <c r="A9358" s="776" t="s">
        <v>7289</v>
      </c>
    </row>
    <row r="9359" spans="1:6" s="843" customFormat="1" ht="25.5">
      <c r="A9359" s="886" t="s">
        <v>1400</v>
      </c>
      <c r="B9359" s="952" t="s">
        <v>2724</v>
      </c>
      <c r="C9359" s="951" t="s">
        <v>1181</v>
      </c>
      <c r="D9359" s="953" t="s">
        <v>2467</v>
      </c>
      <c r="E9359" s="951" t="s">
        <v>1752</v>
      </c>
    </row>
    <row r="9360" spans="1:6" s="843" customFormat="1" ht="24" customHeight="1">
      <c r="A9360" s="954" t="s">
        <v>3124</v>
      </c>
      <c r="B9360" s="954" t="s">
        <v>3125</v>
      </c>
      <c r="C9360" s="954" t="s">
        <v>2725</v>
      </c>
      <c r="D9360" s="957">
        <f>ROUNDUP(F9360/0.8/120,2)</f>
        <v>40.629999999999995</v>
      </c>
      <c r="E9360" s="1197" t="s">
        <v>2472</v>
      </c>
      <c r="F9360" s="843">
        <v>3900</v>
      </c>
    </row>
    <row r="9363" spans="1:10">
      <c r="A9363" t="s">
        <v>7292</v>
      </c>
    </row>
    <row r="9364" spans="1:10" ht="25.5">
      <c r="A9364" s="1350" t="s">
        <v>1369</v>
      </c>
      <c r="B9364" s="1351" t="s">
        <v>377</v>
      </c>
      <c r="C9364" s="1352" t="s">
        <v>7297</v>
      </c>
      <c r="D9364" s="1353" t="s">
        <v>1734</v>
      </c>
      <c r="E9364" s="1966" t="s">
        <v>2264</v>
      </c>
      <c r="F9364" s="1966" t="s">
        <v>1181</v>
      </c>
      <c r="G9364" s="1354" t="s">
        <v>5527</v>
      </c>
      <c r="H9364" t="s">
        <v>7299</v>
      </c>
      <c r="I9364" s="2045" t="s">
        <v>6080</v>
      </c>
      <c r="J9364" s="940" t="s">
        <v>6081</v>
      </c>
    </row>
    <row r="9365" spans="1:10" s="888" customFormat="1" ht="16.5">
      <c r="A9365" s="909" t="s">
        <v>7293</v>
      </c>
      <c r="B9365" s="963">
        <v>4</v>
      </c>
      <c r="C9365" s="2288">
        <v>30</v>
      </c>
      <c r="D9365" s="1172" t="s">
        <v>1812</v>
      </c>
      <c r="E9365" s="1617" t="s">
        <v>7290</v>
      </c>
      <c r="F9365" s="2287" t="s">
        <v>7291</v>
      </c>
      <c r="G9365" s="1355">
        <v>0.29000000000000004</v>
      </c>
      <c r="H9365" s="888">
        <v>16.033000000000001</v>
      </c>
      <c r="I9365" s="2083">
        <f t="shared" ref="I9365:I9382" si="92">(G9365-(H9365/J9365))/G9365</f>
        <v>0.53928160919540225</v>
      </c>
      <c r="J9365" s="2000">
        <v>120</v>
      </c>
    </row>
    <row r="9366" spans="1:10" s="888" customFormat="1" ht="16.5">
      <c r="A9366" s="909" t="s">
        <v>7293</v>
      </c>
      <c r="B9366" s="963">
        <v>6</v>
      </c>
      <c r="C9366" s="2288">
        <v>30</v>
      </c>
      <c r="D9366" s="1172" t="s">
        <v>1812</v>
      </c>
      <c r="E9366" s="1617" t="s">
        <v>7290</v>
      </c>
      <c r="F9366" s="2287" t="s">
        <v>7291</v>
      </c>
      <c r="G9366" s="1355">
        <v>0.3</v>
      </c>
      <c r="H9366" s="888">
        <v>16.7</v>
      </c>
      <c r="I9366" s="2083">
        <f t="shared" si="92"/>
        <v>0.53611111111111109</v>
      </c>
      <c r="J9366" s="2000">
        <v>120</v>
      </c>
    </row>
    <row r="9367" spans="1:10" s="888" customFormat="1" ht="16.5">
      <c r="A9367" s="909" t="s">
        <v>7293</v>
      </c>
      <c r="B9367" s="963">
        <v>9</v>
      </c>
      <c r="C9367" s="2288">
        <v>30</v>
      </c>
      <c r="D9367" s="1172" t="s">
        <v>1812</v>
      </c>
      <c r="E9367" s="1617" t="s">
        <v>7290</v>
      </c>
      <c r="F9367" s="2287" t="s">
        <v>7291</v>
      </c>
      <c r="G9367" s="1355">
        <v>0.32</v>
      </c>
      <c r="H9367" s="888">
        <v>17.600000000000001</v>
      </c>
      <c r="I9367" s="2083">
        <f t="shared" si="92"/>
        <v>0.54166666666666663</v>
      </c>
      <c r="J9367" s="2000">
        <v>120</v>
      </c>
    </row>
    <row r="9368" spans="1:10" s="888" customFormat="1" ht="16.5">
      <c r="A9368" s="909" t="s">
        <v>7293</v>
      </c>
      <c r="B9368" s="963">
        <v>12</v>
      </c>
      <c r="C9368" s="2288">
        <v>30</v>
      </c>
      <c r="D9368" s="1172" t="s">
        <v>1812</v>
      </c>
      <c r="E9368" s="1617" t="s">
        <v>7290</v>
      </c>
      <c r="F9368" s="2287" t="s">
        <v>7291</v>
      </c>
      <c r="G9368" s="1355">
        <v>0.36</v>
      </c>
      <c r="H9368" s="888">
        <v>20.033000000000001</v>
      </c>
      <c r="I9368" s="2083">
        <f t="shared" si="92"/>
        <v>0.53627314814814808</v>
      </c>
      <c r="J9368" s="2000">
        <v>120</v>
      </c>
    </row>
    <row r="9369" spans="1:10" s="888" customFormat="1" ht="16.5">
      <c r="A9369" s="909" t="s">
        <v>7293</v>
      </c>
      <c r="B9369" s="963">
        <v>15</v>
      </c>
      <c r="C9369" s="2288">
        <v>30</v>
      </c>
      <c r="D9369" s="1172" t="s">
        <v>1812</v>
      </c>
      <c r="E9369" s="1617" t="s">
        <v>7290</v>
      </c>
      <c r="F9369" s="2287" t="s">
        <v>7291</v>
      </c>
      <c r="G9369" s="1355">
        <v>0.42</v>
      </c>
      <c r="H9369" s="888">
        <v>23.6</v>
      </c>
      <c r="I9369" s="2083">
        <f t="shared" si="92"/>
        <v>0.53174603174603163</v>
      </c>
      <c r="J9369" s="2000">
        <v>120</v>
      </c>
    </row>
    <row r="9370" spans="1:10" s="888" customFormat="1" ht="16.5">
      <c r="A9370" s="909" t="s">
        <v>7293</v>
      </c>
      <c r="B9370" s="963">
        <v>19</v>
      </c>
      <c r="C9370" s="2288">
        <v>30</v>
      </c>
      <c r="D9370" s="1172" t="s">
        <v>1812</v>
      </c>
      <c r="E9370" s="1617" t="s">
        <v>7290</v>
      </c>
      <c r="F9370" s="2287" t="s">
        <v>7291</v>
      </c>
      <c r="G9370" s="1355">
        <v>0.49</v>
      </c>
      <c r="H9370" s="888">
        <v>27.565999999999999</v>
      </c>
      <c r="I9370" s="2083">
        <f t="shared" si="92"/>
        <v>0.5311904761904761</v>
      </c>
      <c r="J9370" s="2000">
        <v>120</v>
      </c>
    </row>
    <row r="9371" spans="1:10" s="888" customFormat="1" ht="16.5">
      <c r="A9371" s="909" t="s">
        <v>7293</v>
      </c>
      <c r="B9371" s="963">
        <v>25</v>
      </c>
      <c r="C9371" s="2288">
        <v>30</v>
      </c>
      <c r="D9371" s="1172" t="s">
        <v>1812</v>
      </c>
      <c r="E9371" s="1617" t="s">
        <v>7290</v>
      </c>
      <c r="F9371" s="2287" t="s">
        <v>7291</v>
      </c>
      <c r="G9371" s="1355">
        <v>0.62</v>
      </c>
      <c r="H9371" s="888">
        <v>35.165999999999997</v>
      </c>
      <c r="I9371" s="2083">
        <f t="shared" si="92"/>
        <v>0.52733870967741936</v>
      </c>
      <c r="J9371" s="2000">
        <v>120</v>
      </c>
    </row>
    <row r="9372" spans="1:10" s="888" customFormat="1" ht="16.5">
      <c r="A9372" s="909" t="s">
        <v>7293</v>
      </c>
      <c r="B9372" s="963">
        <v>32</v>
      </c>
      <c r="C9372" s="2288">
        <v>30</v>
      </c>
      <c r="D9372" s="1172" t="s">
        <v>1812</v>
      </c>
      <c r="E9372" s="1617" t="s">
        <v>7290</v>
      </c>
      <c r="F9372" s="2287" t="s">
        <v>7291</v>
      </c>
      <c r="G9372" s="1355">
        <v>0.82000000000000006</v>
      </c>
      <c r="H9372" s="888">
        <v>46.066000000000003</v>
      </c>
      <c r="I9372" s="2083">
        <f t="shared" si="92"/>
        <v>0.53184959349593497</v>
      </c>
      <c r="J9372" s="2000">
        <v>120</v>
      </c>
    </row>
    <row r="9373" spans="1:10" s="888" customFormat="1" ht="16.5">
      <c r="A9373" s="909" t="s">
        <v>7293</v>
      </c>
      <c r="B9373" s="963">
        <v>38</v>
      </c>
      <c r="C9373" s="2288">
        <v>30</v>
      </c>
      <c r="D9373" s="1172" t="s">
        <v>1812</v>
      </c>
      <c r="E9373" s="1617" t="s">
        <v>7290</v>
      </c>
      <c r="F9373" s="2287" t="s">
        <v>7291</v>
      </c>
      <c r="G9373" s="1355">
        <v>0.93</v>
      </c>
      <c r="H9373" s="888">
        <v>52.665999999999997</v>
      </c>
      <c r="I9373" s="2083">
        <f t="shared" si="92"/>
        <v>0.52808243727598569</v>
      </c>
      <c r="J9373" s="2000">
        <v>120</v>
      </c>
    </row>
    <row r="9374" spans="1:10" s="888" customFormat="1" ht="16.5">
      <c r="A9374" s="909" t="s">
        <v>7293</v>
      </c>
      <c r="B9374" s="963">
        <v>50</v>
      </c>
      <c r="C9374" s="2288">
        <v>30</v>
      </c>
      <c r="D9374" s="1172" t="s">
        <v>1812</v>
      </c>
      <c r="E9374" s="1617" t="s">
        <v>7290</v>
      </c>
      <c r="F9374" s="2287" t="s">
        <v>7291</v>
      </c>
      <c r="G9374" s="1355">
        <v>1.73</v>
      </c>
      <c r="H9374" s="888">
        <v>98.033000000000001</v>
      </c>
      <c r="I9374" s="2083">
        <f t="shared" si="92"/>
        <v>0.52777938342967246</v>
      </c>
      <c r="J9374" s="2000">
        <v>120</v>
      </c>
    </row>
    <row r="9375" spans="1:10" s="888" customFormat="1" ht="16.5">
      <c r="A9375" s="909" t="s">
        <v>7293</v>
      </c>
      <c r="B9375" s="963">
        <v>75</v>
      </c>
      <c r="C9375" s="2288">
        <v>30</v>
      </c>
      <c r="D9375" s="1172" t="s">
        <v>1812</v>
      </c>
      <c r="E9375" s="1617" t="s">
        <v>7290</v>
      </c>
      <c r="F9375" s="2287" t="s">
        <v>7291</v>
      </c>
      <c r="G9375" s="1355">
        <v>2.5099999999999998</v>
      </c>
      <c r="H9375" s="888">
        <v>142.30000000000001</v>
      </c>
      <c r="I9375" s="2083">
        <f t="shared" si="92"/>
        <v>0.52755644090305431</v>
      </c>
      <c r="J9375" s="2000">
        <v>120</v>
      </c>
    </row>
    <row r="9376" spans="1:10" s="888" customFormat="1" ht="12.75">
      <c r="A9376" s="1172">
        <v>11707</v>
      </c>
      <c r="B9376" s="1187">
        <v>6</v>
      </c>
      <c r="C9376" s="2288">
        <v>10</v>
      </c>
      <c r="D9376" s="1172" t="s">
        <v>1812</v>
      </c>
      <c r="E9376" s="1967" t="s">
        <v>7294</v>
      </c>
      <c r="F9376" s="1967" t="s">
        <v>7295</v>
      </c>
      <c r="G9376" s="1355">
        <v>1.49</v>
      </c>
      <c r="H9376" s="888">
        <v>83.3</v>
      </c>
      <c r="I9376" s="2083">
        <f t="shared" si="92"/>
        <v>0.53411633109619694</v>
      </c>
      <c r="J9376" s="2000">
        <v>120</v>
      </c>
    </row>
    <row r="9377" spans="1:10" s="888" customFormat="1" ht="12.75">
      <c r="A9377" s="1172">
        <v>11707</v>
      </c>
      <c r="B9377" s="1187">
        <v>10</v>
      </c>
      <c r="C9377" s="2288">
        <v>10</v>
      </c>
      <c r="D9377" s="1172" t="s">
        <v>1812</v>
      </c>
      <c r="E9377" s="1967" t="s">
        <v>7294</v>
      </c>
      <c r="F9377" s="1967" t="s">
        <v>7295</v>
      </c>
      <c r="G9377" s="1355">
        <v>1.57</v>
      </c>
      <c r="H9377" s="888">
        <v>91.9</v>
      </c>
      <c r="I9377" s="2083">
        <f t="shared" si="92"/>
        <v>0.51220806794055207</v>
      </c>
      <c r="J9377" s="2000">
        <v>120</v>
      </c>
    </row>
    <row r="9378" spans="1:10" s="888" customFormat="1" ht="12.75">
      <c r="A9378" s="1172">
        <v>11707</v>
      </c>
      <c r="B9378" s="1187">
        <v>12</v>
      </c>
      <c r="C9378" s="2288">
        <v>10</v>
      </c>
      <c r="D9378" s="1172" t="s">
        <v>1812</v>
      </c>
      <c r="E9378" s="1967" t="s">
        <v>7294</v>
      </c>
      <c r="F9378" s="1967" t="s">
        <v>7295</v>
      </c>
      <c r="G9378" s="1355">
        <v>1.78</v>
      </c>
      <c r="H9378" s="888">
        <v>99.2</v>
      </c>
      <c r="I9378" s="2083">
        <f t="shared" si="92"/>
        <v>0.53558052434456926</v>
      </c>
      <c r="J9378" s="2000">
        <v>120</v>
      </c>
    </row>
    <row r="9379" spans="1:10" s="888" customFormat="1" ht="12.75">
      <c r="A9379" s="1172">
        <v>11707</v>
      </c>
      <c r="B9379" s="1187">
        <v>19</v>
      </c>
      <c r="C9379" s="2288">
        <v>10</v>
      </c>
      <c r="D9379" s="1172" t="s">
        <v>1812</v>
      </c>
      <c r="E9379" s="1967" t="s">
        <v>7294</v>
      </c>
      <c r="F9379" s="1967" t="s">
        <v>7295</v>
      </c>
      <c r="G9379" s="1355">
        <v>2.2999999999999998</v>
      </c>
      <c r="H9379" s="888">
        <v>128.5</v>
      </c>
      <c r="I9379" s="2083">
        <f t="shared" si="92"/>
        <v>0.53442028985507239</v>
      </c>
      <c r="J9379" s="2000">
        <v>120</v>
      </c>
    </row>
    <row r="9380" spans="1:10" s="888" customFormat="1" ht="12.75">
      <c r="A9380" s="1172">
        <v>11707</v>
      </c>
      <c r="B9380" s="1187">
        <v>25</v>
      </c>
      <c r="C9380" s="2288">
        <v>10</v>
      </c>
      <c r="D9380" s="1172" t="s">
        <v>1812</v>
      </c>
      <c r="E9380" s="1967" t="s">
        <v>7294</v>
      </c>
      <c r="F9380" s="1967" t="s">
        <v>7295</v>
      </c>
      <c r="G9380" s="1355">
        <v>2.86</v>
      </c>
      <c r="H9380" s="888">
        <v>159.19999999999999</v>
      </c>
      <c r="I9380" s="2083">
        <f t="shared" si="92"/>
        <v>0.53613053613053607</v>
      </c>
      <c r="J9380" s="2000">
        <v>120</v>
      </c>
    </row>
    <row r="9381" spans="1:10" s="888" customFormat="1" ht="12.75">
      <c r="A9381" s="1172">
        <v>11707</v>
      </c>
      <c r="B9381" s="1187">
        <v>38</v>
      </c>
      <c r="C9381" s="2288">
        <v>10</v>
      </c>
      <c r="D9381" s="1172" t="s">
        <v>1812</v>
      </c>
      <c r="E9381" s="1967" t="s">
        <v>7294</v>
      </c>
      <c r="F9381" s="1967" t="s">
        <v>7295</v>
      </c>
      <c r="G9381" s="1355">
        <v>4.74</v>
      </c>
      <c r="H9381" s="888">
        <v>264.89999999999998</v>
      </c>
      <c r="I9381" s="2083">
        <f t="shared" si="92"/>
        <v>0.53428270042194093</v>
      </c>
      <c r="J9381" s="2000">
        <v>120</v>
      </c>
    </row>
    <row r="9382" spans="1:10" s="888" customFormat="1" ht="12.75">
      <c r="A9382" s="1172">
        <v>11707</v>
      </c>
      <c r="B9382" s="1187">
        <v>52</v>
      </c>
      <c r="C9382" s="2288">
        <v>10</v>
      </c>
      <c r="D9382" s="1172" t="s">
        <v>1812</v>
      </c>
      <c r="E9382" s="1967" t="s">
        <v>7294</v>
      </c>
      <c r="F9382" s="1967" t="s">
        <v>7295</v>
      </c>
      <c r="G9382" s="1355">
        <v>6.9799999999999995</v>
      </c>
      <c r="H9382" s="888">
        <v>390</v>
      </c>
      <c r="I9382" s="2083">
        <f t="shared" si="92"/>
        <v>0.53438395415472772</v>
      </c>
      <c r="J9382" s="2000">
        <v>120</v>
      </c>
    </row>
    <row r="9383" spans="1:10" s="888" customFormat="1" ht="12.75">
      <c r="A9383" s="1170" t="s">
        <v>2356</v>
      </c>
      <c r="B9383" s="1187">
        <v>3</v>
      </c>
      <c r="C9383" s="2288">
        <v>40</v>
      </c>
      <c r="D9383" s="1172" t="s">
        <v>1812</v>
      </c>
      <c r="E9383" s="1967" t="s">
        <v>289</v>
      </c>
      <c r="F9383" s="1967" t="s">
        <v>2357</v>
      </c>
      <c r="G9383" s="1355">
        <v>1.29</v>
      </c>
      <c r="H9383" s="888">
        <v>76.174999999999997</v>
      </c>
      <c r="I9383" s="2083">
        <f t="shared" ref="I9383:I9399" si="93">(G9383-(H9383/J9383))/G9383</f>
        <v>0.50791343669250644</v>
      </c>
      <c r="J9383" s="2000">
        <v>120</v>
      </c>
    </row>
    <row r="9384" spans="1:10" s="888" customFormat="1" ht="12.75">
      <c r="A9384" s="1170" t="s">
        <v>2356</v>
      </c>
      <c r="B9384" s="1187">
        <v>6</v>
      </c>
      <c r="C9384" s="2288">
        <v>10</v>
      </c>
      <c r="D9384" s="1172" t="s">
        <v>1812</v>
      </c>
      <c r="E9384" s="1967" t="s">
        <v>289</v>
      </c>
      <c r="F9384" s="1967" t="s">
        <v>2357</v>
      </c>
      <c r="G9384" s="1355">
        <v>1.35</v>
      </c>
      <c r="H9384" s="888">
        <v>79.900000000000006</v>
      </c>
      <c r="I9384" s="2083">
        <f t="shared" si="93"/>
        <v>0.50679012345679009</v>
      </c>
      <c r="J9384" s="2000">
        <v>120</v>
      </c>
    </row>
    <row r="9385" spans="1:10" s="888" customFormat="1" ht="12.75">
      <c r="A9385" s="1170" t="s">
        <v>2356</v>
      </c>
      <c r="B9385" s="1187">
        <v>9</v>
      </c>
      <c r="C9385" s="2288">
        <v>10</v>
      </c>
      <c r="D9385" s="1172" t="s">
        <v>1812</v>
      </c>
      <c r="E9385" s="1967" t="s">
        <v>289</v>
      </c>
      <c r="F9385" s="1967" t="s">
        <v>2357</v>
      </c>
      <c r="G9385" s="1355">
        <v>1.49</v>
      </c>
      <c r="H9385" s="888">
        <v>88.3</v>
      </c>
      <c r="I9385" s="2083">
        <f t="shared" si="93"/>
        <v>0.50615212527964204</v>
      </c>
      <c r="J9385" s="2000">
        <v>120</v>
      </c>
    </row>
    <row r="9386" spans="1:10" s="888" customFormat="1" ht="12.75">
      <c r="A9386" s="1170" t="s">
        <v>2356</v>
      </c>
      <c r="B9386" s="1187">
        <v>12</v>
      </c>
      <c r="C9386" s="2288">
        <v>10</v>
      </c>
      <c r="D9386" s="1172" t="s">
        <v>1812</v>
      </c>
      <c r="E9386" s="1967" t="s">
        <v>289</v>
      </c>
      <c r="F9386" s="1967" t="s">
        <v>2357</v>
      </c>
      <c r="G9386" s="1355">
        <v>1.61</v>
      </c>
      <c r="H9386" s="888">
        <v>95.5</v>
      </c>
      <c r="I9386" s="2083">
        <f t="shared" si="93"/>
        <v>0.50569358178053836</v>
      </c>
      <c r="J9386" s="2000">
        <v>120</v>
      </c>
    </row>
    <row r="9387" spans="1:10" s="888" customFormat="1" ht="12.75">
      <c r="A9387" s="1170" t="s">
        <v>2356</v>
      </c>
      <c r="B9387" s="1187">
        <v>18</v>
      </c>
      <c r="C9387" s="2288">
        <v>10</v>
      </c>
      <c r="D9387" s="1172" t="s">
        <v>1812</v>
      </c>
      <c r="E9387" s="1967" t="s">
        <v>289</v>
      </c>
      <c r="F9387" s="1967" t="s">
        <v>2357</v>
      </c>
      <c r="G9387" s="1355">
        <v>2.09</v>
      </c>
      <c r="H9387" s="888">
        <v>123.6</v>
      </c>
      <c r="I9387" s="2083">
        <f t="shared" si="93"/>
        <v>0.50717703349282295</v>
      </c>
      <c r="J9387" s="2000">
        <v>120</v>
      </c>
    </row>
    <row r="9388" spans="1:10" s="888" customFormat="1" ht="12.75">
      <c r="A9388" s="1170" t="s">
        <v>2356</v>
      </c>
      <c r="B9388" s="1187">
        <v>24</v>
      </c>
      <c r="C9388" s="2288">
        <v>10</v>
      </c>
      <c r="D9388" s="1172" t="s">
        <v>1812</v>
      </c>
      <c r="E9388" s="1967" t="s">
        <v>289</v>
      </c>
      <c r="F9388" s="1967" t="s">
        <v>2357</v>
      </c>
      <c r="G9388" s="1355">
        <v>2.59</v>
      </c>
      <c r="H9388" s="888">
        <v>153.30000000000001</v>
      </c>
      <c r="I9388" s="2083">
        <f t="shared" si="93"/>
        <v>0.50675675675675669</v>
      </c>
      <c r="J9388" s="2000">
        <v>120</v>
      </c>
    </row>
    <row r="9389" spans="1:10" s="888" customFormat="1" ht="12.75">
      <c r="A9389" s="1170" t="s">
        <v>2356</v>
      </c>
      <c r="B9389" s="1187">
        <v>36</v>
      </c>
      <c r="C9389" s="2288">
        <v>10</v>
      </c>
      <c r="D9389" s="1172" t="s">
        <v>1812</v>
      </c>
      <c r="E9389" s="1967" t="s">
        <v>289</v>
      </c>
      <c r="F9389" s="1967" t="s">
        <v>2357</v>
      </c>
      <c r="G9389" s="1355">
        <v>4.3</v>
      </c>
      <c r="H9389" s="888">
        <v>255.1</v>
      </c>
      <c r="I9389" s="2083">
        <f t="shared" si="93"/>
        <v>0.50562015503875968</v>
      </c>
      <c r="J9389" s="2000">
        <v>120</v>
      </c>
    </row>
    <row r="9390" spans="1:10" s="888" customFormat="1" ht="12.75">
      <c r="A9390" s="1170" t="s">
        <v>2356</v>
      </c>
      <c r="B9390" s="1187">
        <v>48</v>
      </c>
      <c r="C9390" s="2288">
        <v>10</v>
      </c>
      <c r="D9390" s="1172" t="s">
        <v>1812</v>
      </c>
      <c r="E9390" s="1967" t="s">
        <v>289</v>
      </c>
      <c r="F9390" s="1967" t="s">
        <v>2357</v>
      </c>
      <c r="G9390" s="1355">
        <v>6.33</v>
      </c>
      <c r="H9390" s="888">
        <v>376</v>
      </c>
      <c r="I9390" s="2083">
        <f t="shared" si="93"/>
        <v>0.50500263296471826</v>
      </c>
      <c r="J9390" s="2000">
        <v>120</v>
      </c>
    </row>
    <row r="9391" spans="1:10" s="888" customFormat="1" ht="16.5">
      <c r="A9391" s="1170" t="s">
        <v>7296</v>
      </c>
      <c r="B9391" s="1187">
        <v>4</v>
      </c>
      <c r="C9391" s="2288">
        <v>30</v>
      </c>
      <c r="D9391" s="1172" t="s">
        <v>1812</v>
      </c>
      <c r="E9391" s="1967" t="s">
        <v>7298</v>
      </c>
      <c r="F9391" s="2287" t="s">
        <v>7291</v>
      </c>
      <c r="G9391" s="1355">
        <v>0.18000000000000002</v>
      </c>
      <c r="H9391" s="888">
        <v>9.7333333333333325</v>
      </c>
      <c r="I9391" s="2083">
        <f t="shared" si="93"/>
        <v>0.54938271604938282</v>
      </c>
      <c r="J9391" s="2000">
        <v>120</v>
      </c>
    </row>
    <row r="9392" spans="1:10" s="888" customFormat="1" ht="16.5">
      <c r="A9392" s="1170" t="s">
        <v>7296</v>
      </c>
      <c r="B9392" s="1187">
        <v>6</v>
      </c>
      <c r="C9392" s="2288">
        <v>30</v>
      </c>
      <c r="D9392" s="1172" t="s">
        <v>1812</v>
      </c>
      <c r="E9392" s="1967" t="s">
        <v>7298</v>
      </c>
      <c r="F9392" s="2287" t="s">
        <v>7291</v>
      </c>
      <c r="G9392" s="1355">
        <v>0.2</v>
      </c>
      <c r="H9392" s="888">
        <v>11.033333333333333</v>
      </c>
      <c r="I9392" s="2083">
        <f t="shared" si="93"/>
        <v>0.54027777777777786</v>
      </c>
      <c r="J9392" s="2000">
        <v>120</v>
      </c>
    </row>
    <row r="9393" spans="1:10" s="888" customFormat="1" ht="16.5">
      <c r="A9393" s="1170" t="s">
        <v>7296</v>
      </c>
      <c r="B9393" s="1187">
        <v>9</v>
      </c>
      <c r="C9393" s="2288">
        <v>30</v>
      </c>
      <c r="D9393" s="1172" t="s">
        <v>1812</v>
      </c>
      <c r="E9393" s="1967" t="s">
        <v>7298</v>
      </c>
      <c r="F9393" s="2287" t="s">
        <v>7291</v>
      </c>
      <c r="G9393" s="1355">
        <v>0.25</v>
      </c>
      <c r="H9393" s="888">
        <v>13.8</v>
      </c>
      <c r="I9393" s="2083">
        <f t="shared" si="93"/>
        <v>0.54</v>
      </c>
      <c r="J9393" s="2000">
        <v>120</v>
      </c>
    </row>
    <row r="9394" spans="1:10" s="888" customFormat="1" ht="16.5">
      <c r="A9394" s="1170" t="s">
        <v>7296</v>
      </c>
      <c r="B9394" s="1187">
        <v>12</v>
      </c>
      <c r="C9394" s="2288">
        <v>30</v>
      </c>
      <c r="D9394" s="1172" t="s">
        <v>1812</v>
      </c>
      <c r="E9394" s="1967" t="s">
        <v>7298</v>
      </c>
      <c r="F9394" s="2287" t="s">
        <v>7291</v>
      </c>
      <c r="G9394" s="1355">
        <v>0.32</v>
      </c>
      <c r="H9394" s="888">
        <v>17.766666666666666</v>
      </c>
      <c r="I9394" s="2083">
        <f t="shared" si="93"/>
        <v>0.53732638888888895</v>
      </c>
      <c r="J9394" s="2000">
        <v>120</v>
      </c>
    </row>
    <row r="9395" spans="1:10" s="888" customFormat="1" ht="16.5">
      <c r="A9395" s="1170" t="s">
        <v>7296</v>
      </c>
      <c r="B9395" s="1187">
        <v>15</v>
      </c>
      <c r="C9395" s="2288">
        <v>30</v>
      </c>
      <c r="D9395" s="1172" t="s">
        <v>1812</v>
      </c>
      <c r="E9395" s="1967" t="s">
        <v>7298</v>
      </c>
      <c r="F9395" s="2287" t="s">
        <v>7291</v>
      </c>
      <c r="G9395" s="1355">
        <v>0.39</v>
      </c>
      <c r="H9395" s="888">
        <v>21.6</v>
      </c>
      <c r="I9395" s="2083">
        <f t="shared" si="93"/>
        <v>0.53846153846153844</v>
      </c>
      <c r="J9395" s="2000">
        <v>120</v>
      </c>
    </row>
    <row r="9396" spans="1:10" s="888" customFormat="1" ht="16.5">
      <c r="A9396" s="1170" t="s">
        <v>7296</v>
      </c>
      <c r="B9396" s="1187">
        <v>18</v>
      </c>
      <c r="C9396" s="2288">
        <v>30</v>
      </c>
      <c r="D9396" s="1172" t="s">
        <v>1812</v>
      </c>
      <c r="E9396" s="1967" t="s">
        <v>7298</v>
      </c>
      <c r="F9396" s="2287" t="s">
        <v>7291</v>
      </c>
      <c r="G9396" s="1355">
        <v>0.48</v>
      </c>
      <c r="H9396" s="888">
        <v>26.666666666666668</v>
      </c>
      <c r="I9396" s="2083">
        <f t="shared" si="93"/>
        <v>0.53703703703703709</v>
      </c>
      <c r="J9396" s="2000">
        <v>120</v>
      </c>
    </row>
    <row r="9397" spans="1:10" s="888" customFormat="1" ht="16.5">
      <c r="A9397" s="1170" t="s">
        <v>7296</v>
      </c>
      <c r="B9397" s="1187">
        <v>24</v>
      </c>
      <c r="C9397" s="2288">
        <v>30</v>
      </c>
      <c r="D9397" s="1172" t="s">
        <v>1812</v>
      </c>
      <c r="E9397" s="1967" t="s">
        <v>7298</v>
      </c>
      <c r="F9397" s="2287" t="s">
        <v>7291</v>
      </c>
      <c r="G9397" s="1355">
        <v>0.59</v>
      </c>
      <c r="H9397" s="888">
        <v>33.033333333333331</v>
      </c>
      <c r="I9397" s="2083">
        <f t="shared" si="93"/>
        <v>0.53342749529190203</v>
      </c>
      <c r="J9397" s="2000">
        <v>120</v>
      </c>
    </row>
    <row r="9398" spans="1:10" s="888" customFormat="1" ht="16.5">
      <c r="A9398" s="1170" t="s">
        <v>7296</v>
      </c>
      <c r="B9398" s="1187">
        <v>36</v>
      </c>
      <c r="C9398" s="2288">
        <v>30</v>
      </c>
      <c r="D9398" s="1172" t="s">
        <v>1812</v>
      </c>
      <c r="E9398" s="1967" t="s">
        <v>7298</v>
      </c>
      <c r="F9398" s="2287" t="s">
        <v>7291</v>
      </c>
      <c r="G9398" s="1355">
        <v>0.93</v>
      </c>
      <c r="H9398" s="888">
        <v>52.5</v>
      </c>
      <c r="I9398" s="2083">
        <f t="shared" si="93"/>
        <v>0.52956989247311825</v>
      </c>
      <c r="J9398" s="2000">
        <v>120</v>
      </c>
    </row>
    <row r="9399" spans="1:10" s="888" customFormat="1" ht="16.5">
      <c r="A9399" s="1170" t="s">
        <v>7296</v>
      </c>
      <c r="B9399" s="1187">
        <v>50</v>
      </c>
      <c r="C9399" s="2288">
        <v>30</v>
      </c>
      <c r="D9399" s="1172" t="s">
        <v>1812</v>
      </c>
      <c r="E9399" s="1967" t="s">
        <v>7298</v>
      </c>
      <c r="F9399" s="2287" t="s">
        <v>7291</v>
      </c>
      <c r="G9399" s="1355">
        <v>1.24</v>
      </c>
      <c r="H9399" s="888">
        <v>69.900000000000006</v>
      </c>
      <c r="I9399" s="2083">
        <f t="shared" si="93"/>
        <v>0.530241935483871</v>
      </c>
      <c r="J9399" s="2000">
        <v>120</v>
      </c>
    </row>
    <row r="9402" spans="1:10">
      <c r="A9402" s="887" t="s">
        <v>455</v>
      </c>
      <c r="B9402" s="887" t="s">
        <v>53</v>
      </c>
      <c r="C9402" s="887" t="s">
        <v>54</v>
      </c>
      <c r="D9402" s="1997" t="s">
        <v>1323</v>
      </c>
    </row>
    <row r="9403" spans="1:10">
      <c r="A9403" s="47" t="s">
        <v>7300</v>
      </c>
      <c r="B9403" s="47" t="s">
        <v>78</v>
      </c>
      <c r="C9403" s="905">
        <v>15</v>
      </c>
      <c r="D9403" s="891">
        <v>5</v>
      </c>
    </row>
    <row r="9404" spans="1:10">
      <c r="A9404" s="1059"/>
      <c r="B9404" s="47" t="s">
        <v>2975</v>
      </c>
      <c r="C9404" s="894">
        <v>1</v>
      </c>
      <c r="D9404" s="891">
        <v>12</v>
      </c>
    </row>
    <row r="9408" spans="1:10">
      <c r="A9408" s="1064" t="s">
        <v>7301</v>
      </c>
    </row>
    <row r="9409" spans="1:8" ht="15">
      <c r="A9409" s="1996" t="s">
        <v>5583</v>
      </c>
      <c r="B9409" s="1997" t="s">
        <v>980</v>
      </c>
      <c r="C9409" s="1997" t="s">
        <v>1323</v>
      </c>
      <c r="D9409" s="2277" t="s">
        <v>7314</v>
      </c>
      <c r="E9409" s="939" t="s">
        <v>6979</v>
      </c>
      <c r="F9409" s="2045" t="s">
        <v>6080</v>
      </c>
      <c r="G9409" s="940" t="s">
        <v>6081</v>
      </c>
    </row>
    <row r="9410" spans="1:8">
      <c r="A9410" s="909" t="s">
        <v>7302</v>
      </c>
      <c r="B9410" s="47" t="s">
        <v>1519</v>
      </c>
      <c r="C9410" s="1061">
        <f>ROUNDUP(E9410/0.6/120,2)</f>
        <v>3.07</v>
      </c>
      <c r="D9410" s="2289" t="s">
        <v>7309</v>
      </c>
      <c r="E9410" s="2000">
        <v>221</v>
      </c>
      <c r="F9410" s="2083">
        <f>(C9410-(E9410/G9410))/C9410</f>
        <v>0.40010857763300761</v>
      </c>
      <c r="G9410" s="2000">
        <v>120</v>
      </c>
      <c r="H9410" s="389" t="s">
        <v>7309</v>
      </c>
    </row>
    <row r="9411" spans="1:8">
      <c r="A9411" s="909" t="s">
        <v>7303</v>
      </c>
      <c r="B9411" s="47" t="s">
        <v>1519</v>
      </c>
      <c r="C9411" s="1061">
        <f>ROUNDUP(E9411/0.6/120,2)</f>
        <v>3.2399999999999998</v>
      </c>
      <c r="D9411" s="2289" t="s">
        <v>7310</v>
      </c>
      <c r="E9411" s="2000">
        <v>233</v>
      </c>
      <c r="F9411" s="2083">
        <f>(C9411-(E9411/G9411))/C9411</f>
        <v>0.40072016460905346</v>
      </c>
      <c r="G9411" s="2000">
        <v>120</v>
      </c>
      <c r="H9411" s="389" t="s">
        <v>7310</v>
      </c>
    </row>
    <row r="9412" spans="1:8">
      <c r="A9412" s="909" t="s">
        <v>7304</v>
      </c>
      <c r="B9412" s="47" t="s">
        <v>1519</v>
      </c>
      <c r="C9412" s="1061">
        <f>ROUNDUP(E9412/0.6/120,2)</f>
        <v>2.98</v>
      </c>
      <c r="D9412" s="2289" t="s">
        <v>7310</v>
      </c>
      <c r="E9412" s="2000">
        <v>214</v>
      </c>
      <c r="F9412" s="2083">
        <f>(C9412-(E9412/G9412))/C9412</f>
        <v>0.40156599552572703</v>
      </c>
      <c r="G9412" s="2000">
        <v>120</v>
      </c>
      <c r="H9412" s="389" t="s">
        <v>7310</v>
      </c>
    </row>
    <row r="9413" spans="1:8">
      <c r="A9413" s="909" t="s">
        <v>7305</v>
      </c>
      <c r="B9413" s="47" t="s">
        <v>1519</v>
      </c>
      <c r="C9413" s="1061">
        <f>ROUNDUP(E9413/0.6/120,2)</f>
        <v>0.38</v>
      </c>
      <c r="D9413" s="2289" t="s">
        <v>7311</v>
      </c>
      <c r="E9413" s="2000">
        <v>27</v>
      </c>
      <c r="F9413" s="2083">
        <f>(C9413-(E9413/G9413))/C9413</f>
        <v>0.40789473684210525</v>
      </c>
      <c r="G9413" s="2000">
        <v>120</v>
      </c>
      <c r="H9413" s="389" t="s">
        <v>7311</v>
      </c>
    </row>
    <row r="9416" spans="1:8">
      <c r="A9416" s="1064" t="s">
        <v>7306</v>
      </c>
    </row>
    <row r="9417" spans="1:8" ht="15">
      <c r="A9417" s="1996" t="s">
        <v>5583</v>
      </c>
      <c r="B9417" s="1997" t="s">
        <v>980</v>
      </c>
      <c r="C9417" s="1997" t="s">
        <v>1323</v>
      </c>
      <c r="D9417" s="2277" t="s">
        <v>7314</v>
      </c>
      <c r="E9417" s="2290" t="s">
        <v>6979</v>
      </c>
      <c r="F9417" s="2045" t="s">
        <v>6080</v>
      </c>
      <c r="G9417" s="940" t="s">
        <v>6081</v>
      </c>
    </row>
    <row r="9418" spans="1:8">
      <c r="A9418" s="909" t="s">
        <v>7307</v>
      </c>
      <c r="B9418" s="47" t="s">
        <v>1519</v>
      </c>
      <c r="C9418" s="1245">
        <f>ROUNDUP(E9418/0.6/120,2)</f>
        <v>4.63</v>
      </c>
      <c r="D9418" s="47" t="s">
        <v>7315</v>
      </c>
      <c r="E9418" s="2000">
        <v>333</v>
      </c>
      <c r="F9418" s="2083">
        <f>(C9418-(E9418/G9418))/C9418</f>
        <v>0.40064794816414689</v>
      </c>
      <c r="G9418" s="2000">
        <v>120</v>
      </c>
      <c r="H9418" s="389" t="s">
        <v>7312</v>
      </c>
    </row>
    <row r="9419" spans="1:8">
      <c r="A9419" s="909" t="s">
        <v>7308</v>
      </c>
      <c r="B9419" s="47" t="s">
        <v>1519</v>
      </c>
      <c r="C9419" s="1245">
        <f>ROUNDUP(E9419/0.6/120,2)</f>
        <v>3.69</v>
      </c>
      <c r="D9419" s="47" t="s">
        <v>7316</v>
      </c>
      <c r="E9419" s="2000">
        <v>265</v>
      </c>
      <c r="F9419" s="2083">
        <f>(C9419-(E9419/G9419))/C9419</f>
        <v>0.40153568202348683</v>
      </c>
      <c r="G9419" s="2000">
        <v>120</v>
      </c>
      <c r="H9419" s="389" t="s">
        <v>7313</v>
      </c>
    </row>
    <row r="9422" spans="1:8">
      <c r="A9422" s="887" t="s">
        <v>455</v>
      </c>
      <c r="B9422" s="887" t="s">
        <v>7318</v>
      </c>
      <c r="C9422" s="887" t="s">
        <v>7319</v>
      </c>
      <c r="D9422" s="887" t="s">
        <v>1186</v>
      </c>
      <c r="E9422" s="887" t="s">
        <v>1652</v>
      </c>
      <c r="F9422" s="887" t="s">
        <v>1653</v>
      </c>
    </row>
    <row r="9423" spans="1:8">
      <c r="A9423" s="47" t="s">
        <v>18</v>
      </c>
      <c r="B9423" s="260">
        <v>30</v>
      </c>
      <c r="C9423" s="47" t="s">
        <v>2727</v>
      </c>
      <c r="D9423" s="903">
        <v>30</v>
      </c>
      <c r="E9423" s="904">
        <v>15</v>
      </c>
      <c r="F9423" s="905">
        <f>D9423*E9423</f>
        <v>450</v>
      </c>
    </row>
    <row r="9425" spans="1:9">
      <c r="A9425" s="887" t="s">
        <v>7326</v>
      </c>
      <c r="B9425" s="887" t="s">
        <v>455</v>
      </c>
      <c r="C9425" s="887" t="s">
        <v>53</v>
      </c>
      <c r="D9425" s="887" t="s">
        <v>1653</v>
      </c>
      <c r="E9425" s="1997" t="s">
        <v>1323</v>
      </c>
    </row>
    <row r="9426" spans="1:9">
      <c r="A9426" s="4" t="s">
        <v>7323</v>
      </c>
      <c r="B9426" s="889" t="s">
        <v>2801</v>
      </c>
      <c r="C9426" s="260"/>
      <c r="D9426" s="903"/>
      <c r="E9426" s="52" t="s">
        <v>10</v>
      </c>
      <c r="F9426" s="39"/>
    </row>
    <row r="9427" spans="1:9">
      <c r="A9427" s="4" t="s">
        <v>7323</v>
      </c>
      <c r="B9427" s="1008" t="s">
        <v>6747</v>
      </c>
      <c r="C9427" s="260" t="s">
        <v>6820</v>
      </c>
      <c r="D9427" s="905">
        <v>280</v>
      </c>
      <c r="E9427" s="1061">
        <v>2.85</v>
      </c>
      <c r="F9427" s="891">
        <f>E9427*D9427</f>
        <v>798</v>
      </c>
    </row>
    <row r="9428" spans="1:9">
      <c r="A9428" s="4" t="s">
        <v>7323</v>
      </c>
      <c r="B9428" s="1059"/>
      <c r="C9428" s="47" t="s">
        <v>2975</v>
      </c>
      <c r="D9428" s="894">
        <v>1</v>
      </c>
      <c r="E9428" s="891">
        <v>12</v>
      </c>
      <c r="F9428" s="891">
        <f>E9428*D9428</f>
        <v>12</v>
      </c>
    </row>
    <row r="9429" spans="1:9">
      <c r="A9429" s="887" t="s">
        <v>7326</v>
      </c>
      <c r="B9429" s="887" t="s">
        <v>455</v>
      </c>
      <c r="C9429" s="887" t="s">
        <v>52</v>
      </c>
      <c r="D9429" s="887" t="s">
        <v>53</v>
      </c>
      <c r="E9429" s="887" t="s">
        <v>1186</v>
      </c>
      <c r="F9429" s="887" t="s">
        <v>1652</v>
      </c>
      <c r="G9429" s="887" t="s">
        <v>1653</v>
      </c>
      <c r="H9429" s="1997" t="s">
        <v>1323</v>
      </c>
      <c r="I9429" s="310"/>
    </row>
    <row r="9430" spans="1:9">
      <c r="A9430" s="4" t="s">
        <v>7325</v>
      </c>
      <c r="B9430" s="889" t="s">
        <v>79</v>
      </c>
      <c r="C9430" s="907"/>
      <c r="D9430" s="47"/>
      <c r="E9430" s="903"/>
      <c r="F9430" s="904"/>
      <c r="G9430" s="903"/>
      <c r="H9430" s="52" t="s">
        <v>10</v>
      </c>
      <c r="I9430" s="39"/>
    </row>
    <row r="9431" spans="1:9">
      <c r="A9431" s="4" t="s">
        <v>7325</v>
      </c>
      <c r="B9431" s="47">
        <v>2440</v>
      </c>
      <c r="C9431" s="907">
        <v>140</v>
      </c>
      <c r="D9431" s="47" t="s">
        <v>6781</v>
      </c>
      <c r="E9431" s="905">
        <v>48</v>
      </c>
      <c r="F9431" s="906">
        <v>1</v>
      </c>
      <c r="G9431" s="905">
        <f>E9431*F9431</f>
        <v>48</v>
      </c>
      <c r="H9431" s="891">
        <v>4.38</v>
      </c>
      <c r="I9431" s="891">
        <f>H9431*G9431</f>
        <v>210.24</v>
      </c>
    </row>
    <row r="9432" spans="1:9">
      <c r="A9432" s="4" t="s">
        <v>7325</v>
      </c>
      <c r="B9432" s="47">
        <v>2440</v>
      </c>
      <c r="C9432" s="907">
        <v>140</v>
      </c>
      <c r="D9432" s="47" t="s">
        <v>6781</v>
      </c>
      <c r="E9432" s="905">
        <v>50</v>
      </c>
      <c r="F9432" s="906">
        <v>1</v>
      </c>
      <c r="G9432" s="905">
        <f>E9432*F9432</f>
        <v>50</v>
      </c>
      <c r="H9432" s="891">
        <v>4.38</v>
      </c>
      <c r="I9432" s="891">
        <f>H9432*G9432</f>
        <v>219</v>
      </c>
    </row>
    <row r="9433" spans="1:9">
      <c r="A9433" s="4" t="s">
        <v>7325</v>
      </c>
      <c r="B9433" s="47">
        <v>2440</v>
      </c>
      <c r="C9433" s="907">
        <v>140</v>
      </c>
      <c r="D9433" s="47" t="s">
        <v>6781</v>
      </c>
      <c r="E9433" s="905">
        <v>51</v>
      </c>
      <c r="F9433" s="906">
        <v>1</v>
      </c>
      <c r="G9433" s="905">
        <f>E9433*F9433</f>
        <v>51</v>
      </c>
      <c r="H9433" s="891">
        <v>4.38</v>
      </c>
      <c r="I9433" s="891">
        <f>H9433*G9433</f>
        <v>223.38</v>
      </c>
    </row>
    <row r="9434" spans="1:9">
      <c r="A9434" s="4" t="s">
        <v>7325</v>
      </c>
      <c r="B9434" s="47">
        <v>2440</v>
      </c>
      <c r="C9434" s="907">
        <v>140</v>
      </c>
      <c r="D9434" s="47" t="s">
        <v>6781</v>
      </c>
      <c r="E9434" s="905">
        <v>52</v>
      </c>
      <c r="F9434" s="906">
        <v>1</v>
      </c>
      <c r="G9434" s="905">
        <f>E9434*F9434</f>
        <v>52</v>
      </c>
      <c r="H9434" s="891">
        <v>4.38</v>
      </c>
      <c r="I9434" s="891">
        <f>H9434*G9434</f>
        <v>227.76</v>
      </c>
    </row>
    <row r="9435" spans="1:9" ht="20.25">
      <c r="A9435" s="4" t="s">
        <v>7325</v>
      </c>
      <c r="B9435" s="1059"/>
      <c r="C9435" s="260"/>
      <c r="D9435" s="47" t="s">
        <v>2975</v>
      </c>
      <c r="E9435" s="905"/>
      <c r="F9435" s="904" ph="1"/>
      <c r="G9435" s="894">
        <v>1</v>
      </c>
      <c r="H9435" s="891">
        <v>20</v>
      </c>
      <c r="I9435" s="891">
        <f>H9435*G9435</f>
        <v>20</v>
      </c>
    </row>
    <row r="9436" spans="1:9">
      <c r="A9436" s="710"/>
      <c r="B9436" s="1116"/>
      <c r="C9436" s="921"/>
      <c r="D9436" s="921"/>
      <c r="E9436" s="922"/>
      <c r="F9436" s="923"/>
      <c r="G9436" s="924"/>
      <c r="H9436" s="925"/>
      <c r="I9436" s="310"/>
    </row>
    <row r="9439" spans="1:9">
      <c r="A9439" s="887" t="s">
        <v>7326</v>
      </c>
      <c r="B9439" s="887" t="s">
        <v>455</v>
      </c>
      <c r="C9439" s="887" t="s">
        <v>52</v>
      </c>
      <c r="D9439" s="887" t="s">
        <v>53</v>
      </c>
      <c r="E9439" s="887" t="s">
        <v>1186</v>
      </c>
      <c r="F9439" s="887" t="s">
        <v>1652</v>
      </c>
      <c r="G9439" s="887" t="s">
        <v>1653</v>
      </c>
      <c r="H9439" s="1997" t="s">
        <v>1323</v>
      </c>
    </row>
    <row r="9440" spans="1:9">
      <c r="A9440" s="4" t="s">
        <v>7320</v>
      </c>
      <c r="B9440" s="47" t="s">
        <v>6607</v>
      </c>
      <c r="C9440" s="907">
        <v>148</v>
      </c>
      <c r="D9440" s="47" t="s">
        <v>7322</v>
      </c>
      <c r="E9440" s="905">
        <v>50</v>
      </c>
      <c r="F9440" s="906">
        <v>4</v>
      </c>
      <c r="G9440" s="905">
        <f>E9440*F9440</f>
        <v>200</v>
      </c>
      <c r="H9440" s="891">
        <v>10.3</v>
      </c>
    </row>
    <row r="9441" spans="1:8">
      <c r="A9441" s="4" t="s">
        <v>7320</v>
      </c>
      <c r="B9441" s="47" t="s">
        <v>6607</v>
      </c>
      <c r="C9441" s="907">
        <v>148</v>
      </c>
      <c r="D9441" s="47" t="s">
        <v>6737</v>
      </c>
      <c r="E9441" s="905">
        <v>50</v>
      </c>
      <c r="F9441" s="906">
        <v>4</v>
      </c>
      <c r="G9441" s="905">
        <f>E9441*F9441</f>
        <v>200</v>
      </c>
      <c r="H9441" s="891">
        <v>10.3</v>
      </c>
    </row>
    <row r="9444" spans="1:8" ht="15">
      <c r="A9444" s="1615" t="s">
        <v>7329</v>
      </c>
    </row>
    <row r="9445" spans="1:8" ht="15.75">
      <c r="A9445" s="99" t="s">
        <v>455</v>
      </c>
      <c r="B9445" s="99" t="s">
        <v>389</v>
      </c>
      <c r="C9445" s="99" t="s">
        <v>128</v>
      </c>
      <c r="D9445" s="90" t="s">
        <v>980</v>
      </c>
      <c r="E9445" s="146" t="s">
        <v>1055</v>
      </c>
      <c r="F9445" s="2293" t="s">
        <v>7331</v>
      </c>
      <c r="G9445" s="2045" t="s">
        <v>6080</v>
      </c>
      <c r="H9445" s="940" t="s">
        <v>6081</v>
      </c>
    </row>
    <row r="9446" spans="1:8" ht="15">
      <c r="A9446" s="20" t="s">
        <v>1459</v>
      </c>
      <c r="B9446" s="44">
        <v>3</v>
      </c>
      <c r="C9446" s="24" t="s">
        <v>7330</v>
      </c>
      <c r="D9446" s="409">
        <v>25</v>
      </c>
      <c r="E9446" s="46">
        <f>ROUNDUP(F9446/0.6/120,2)</f>
        <v>1.57</v>
      </c>
      <c r="F9446">
        <v>113</v>
      </c>
      <c r="G9446" s="2083">
        <f>(E9446-(F9446/H9446))/E9446</f>
        <v>0.4002123142250531</v>
      </c>
      <c r="H9446" s="2000">
        <v>120</v>
      </c>
    </row>
    <row r="9447" spans="1:8" ht="15">
      <c r="A9447" s="20" t="s">
        <v>1460</v>
      </c>
      <c r="B9447" s="44">
        <v>5</v>
      </c>
      <c r="C9447" s="24" t="s">
        <v>7330</v>
      </c>
      <c r="D9447" s="409">
        <v>25</v>
      </c>
      <c r="E9447" s="46">
        <f>ROUNDUP(F9447/0.6/120,2)</f>
        <v>2.1599999999999997</v>
      </c>
      <c r="F9447">
        <v>155</v>
      </c>
      <c r="G9447" s="2083">
        <f>(E9447-(F9447/H9447))/E9447</f>
        <v>0.40200617283950607</v>
      </c>
      <c r="H9447" s="2000">
        <v>120</v>
      </c>
    </row>
    <row r="9448" spans="1:8" ht="15">
      <c r="A9448" s="20" t="s">
        <v>1461</v>
      </c>
      <c r="B9448" s="44">
        <v>7</v>
      </c>
      <c r="C9448" s="24" t="s">
        <v>7330</v>
      </c>
      <c r="D9448" s="409">
        <v>25</v>
      </c>
      <c r="E9448" s="46">
        <f>ROUNDUP(F9448/0.6/120,2)</f>
        <v>2.6999999999999997</v>
      </c>
      <c r="F9448">
        <v>194</v>
      </c>
      <c r="G9448" s="2083">
        <f>(E9448-(F9448/H9448))/E9448</f>
        <v>0.40123456790123452</v>
      </c>
      <c r="H9448" s="2000">
        <v>120</v>
      </c>
    </row>
    <row r="9452" spans="1:8">
      <c r="A9452" s="887" t="s">
        <v>455</v>
      </c>
      <c r="B9452" s="887" t="s">
        <v>53</v>
      </c>
      <c r="C9452" s="887" t="s">
        <v>54</v>
      </c>
      <c r="D9452" s="1997" t="s">
        <v>1323</v>
      </c>
    </row>
    <row r="9453" spans="1:8">
      <c r="A9453" s="1008" t="s">
        <v>6747</v>
      </c>
      <c r="B9453" s="260" t="s">
        <v>6820</v>
      </c>
      <c r="C9453" s="905">
        <v>50</v>
      </c>
      <c r="D9453" s="1061">
        <v>1.88</v>
      </c>
    </row>
    <row r="9454" spans="1:8">
      <c r="A9454" s="1059"/>
      <c r="B9454" s="47" t="s">
        <v>256</v>
      </c>
      <c r="C9454" s="894">
        <v>1</v>
      </c>
      <c r="D9454" s="891">
        <v>75</v>
      </c>
    </row>
    <row r="9458" spans="1:6">
      <c r="A9458" s="1064" t="s">
        <v>7333</v>
      </c>
    </row>
    <row r="9459" spans="1:6" ht="15">
      <c r="A9459" s="1996" t="s">
        <v>5583</v>
      </c>
      <c r="B9459" s="1997" t="s">
        <v>980</v>
      </c>
      <c r="C9459" s="1997" t="s">
        <v>1323</v>
      </c>
      <c r="D9459" s="939" t="s">
        <v>6979</v>
      </c>
      <c r="E9459" s="2045" t="s">
        <v>6080</v>
      </c>
      <c r="F9459" s="940" t="s">
        <v>6081</v>
      </c>
    </row>
    <row r="9460" spans="1:6">
      <c r="A9460" s="1865" t="s">
        <v>7335</v>
      </c>
      <c r="B9460" s="47" t="s">
        <v>1519</v>
      </c>
      <c r="C9460" s="1061">
        <f>ROUNDUP(D9460/0.6/120,2)</f>
        <v>2.2699999999999996</v>
      </c>
      <c r="D9460" s="2000">
        <v>163</v>
      </c>
      <c r="E9460" s="2083">
        <f>(C9460-(D9460/F9460))/C9460</f>
        <v>0.40161527165932437</v>
      </c>
      <c r="F9460" s="2000">
        <v>120</v>
      </c>
    </row>
    <row r="9463" spans="1:6" ht="15">
      <c r="A9463" s="1996" t="s">
        <v>7112</v>
      </c>
      <c r="B9463" s="1997" t="s">
        <v>1187</v>
      </c>
      <c r="C9463" s="1997" t="s">
        <v>6413</v>
      </c>
      <c r="D9463" s="2277" t="s">
        <v>7336</v>
      </c>
    </row>
    <row r="9464" spans="1:6">
      <c r="A9464" s="1865" t="s">
        <v>7334</v>
      </c>
      <c r="B9464" s="47" t="s">
        <v>2754</v>
      </c>
      <c r="C9464" s="1061">
        <v>2.2699999999999996</v>
      </c>
      <c r="D9464" s="47" t="s">
        <v>7337</v>
      </c>
    </row>
    <row r="9467" spans="1:6" ht="15">
      <c r="A9467" s="1996" t="s">
        <v>7112</v>
      </c>
      <c r="B9467" s="1997" t="s">
        <v>1187</v>
      </c>
      <c r="C9467" s="1997" t="s">
        <v>6413</v>
      </c>
      <c r="D9467" s="2277" t="s">
        <v>7336</v>
      </c>
    </row>
    <row r="9468" spans="1:6">
      <c r="A9468" s="1865" t="s">
        <v>7339</v>
      </c>
    </row>
    <row r="9469" spans="1:6">
      <c r="A9469" s="1865" t="s">
        <v>7340</v>
      </c>
    </row>
    <row r="9470" spans="1:6">
      <c r="A9470" s="1865" t="s">
        <v>7343</v>
      </c>
    </row>
    <row r="9471" spans="1:6">
      <c r="A9471" s="1865" t="s">
        <v>7341</v>
      </c>
    </row>
    <row r="9472" spans="1:6">
      <c r="A9472" s="1865" t="s">
        <v>7342</v>
      </c>
    </row>
    <row r="9473" spans="1:1">
      <c r="A9473" s="1865" t="s">
        <v>7344</v>
      </c>
    </row>
    <row r="9474" spans="1:1">
      <c r="A9474" s="1865" t="s">
        <v>7345</v>
      </c>
    </row>
    <row r="9475" spans="1:1">
      <c r="A9475" s="1865" t="s">
        <v>7346</v>
      </c>
    </row>
    <row r="9476" spans="1:1">
      <c r="A9476" s="1865" t="s">
        <v>7347</v>
      </c>
    </row>
    <row r="9477" spans="1:1">
      <c r="A9477" s="1865" t="s">
        <v>7348</v>
      </c>
    </row>
    <row r="9478" spans="1:1">
      <c r="A9478" s="1865" t="s">
        <v>7349</v>
      </c>
    </row>
    <row r="9479" spans="1:1">
      <c r="A9479" s="1865" t="s">
        <v>7350</v>
      </c>
    </row>
    <row r="9480" spans="1:1">
      <c r="A9480" s="1865" t="s">
        <v>7351</v>
      </c>
    </row>
    <row r="9481" spans="1:1">
      <c r="A9481" s="1865" t="s">
        <v>7352</v>
      </c>
    </row>
    <row r="9482" spans="1:1">
      <c r="A9482" s="1865" t="s">
        <v>7353</v>
      </c>
    </row>
    <row r="9483" spans="1:1">
      <c r="A9483" s="1865" t="s">
        <v>7354</v>
      </c>
    </row>
    <row r="9484" spans="1:1">
      <c r="A9484" s="1865" t="s">
        <v>7355</v>
      </c>
    </row>
    <row r="9485" spans="1:1">
      <c r="A9485" s="1865" t="s">
        <v>7356</v>
      </c>
    </row>
    <row r="9486" spans="1:1">
      <c r="A9486" s="1865" t="s">
        <v>7357</v>
      </c>
    </row>
    <row r="9487" spans="1:1">
      <c r="A9487" s="1865" t="s">
        <v>7372</v>
      </c>
    </row>
    <row r="9488" spans="1:1">
      <c r="A9488" s="1865" t="s">
        <v>7358</v>
      </c>
    </row>
    <row r="9489" spans="1:1">
      <c r="A9489" s="1865" t="s">
        <v>7359</v>
      </c>
    </row>
    <row r="9490" spans="1:1">
      <c r="A9490" s="1865" t="s">
        <v>7360</v>
      </c>
    </row>
    <row r="9491" spans="1:1">
      <c r="A9491" s="1865" t="s">
        <v>7361</v>
      </c>
    </row>
    <row r="9492" spans="1:1">
      <c r="A9492" s="1865" t="s">
        <v>7362</v>
      </c>
    </row>
    <row r="9493" spans="1:1">
      <c r="A9493" s="1865" t="s">
        <v>7363</v>
      </c>
    </row>
    <row r="9494" spans="1:1">
      <c r="A9494" s="1865" t="s">
        <v>7364</v>
      </c>
    </row>
    <row r="9495" spans="1:1">
      <c r="A9495" s="1865" t="s">
        <v>7365</v>
      </c>
    </row>
    <row r="9496" spans="1:1">
      <c r="A9496" s="1865" t="s">
        <v>7366</v>
      </c>
    </row>
    <row r="9497" spans="1:1">
      <c r="A9497" s="1865" t="s">
        <v>7367</v>
      </c>
    </row>
    <row r="9498" spans="1:1">
      <c r="A9498" s="1865" t="s">
        <v>7368</v>
      </c>
    </row>
    <row r="9499" spans="1:1">
      <c r="A9499" s="1865" t="s">
        <v>7369</v>
      </c>
    </row>
    <row r="9500" spans="1:1">
      <c r="A9500" s="1865" t="s">
        <v>7370</v>
      </c>
    </row>
    <row r="9501" spans="1:1">
      <c r="A9501" s="1865" t="s">
        <v>7371</v>
      </c>
    </row>
    <row r="9502" spans="1:1">
      <c r="A9502" s="1865" t="s">
        <v>7373</v>
      </c>
    </row>
    <row r="9503" spans="1:1">
      <c r="A9503" s="1865" t="s">
        <v>7374</v>
      </c>
    </row>
    <row r="9504" spans="1:1">
      <c r="A9504" s="1865" t="s">
        <v>7375</v>
      </c>
    </row>
    <row r="9505" spans="1:8">
      <c r="A9505" s="1865" t="s">
        <v>7376</v>
      </c>
    </row>
    <row r="9506" spans="1:8">
      <c r="A9506" s="1865" t="s">
        <v>7377</v>
      </c>
    </row>
    <row r="9507" spans="1:8">
      <c r="A9507" s="1865" t="s">
        <v>7378</v>
      </c>
    </row>
    <row r="9508" spans="1:8">
      <c r="A9508" s="1865" t="s">
        <v>7379</v>
      </c>
    </row>
    <row r="9511" spans="1:8">
      <c r="A9511" s="1064" t="s">
        <v>7380</v>
      </c>
    </row>
    <row r="9512" spans="1:8" ht="25.5">
      <c r="A9512" s="1996" t="s">
        <v>5583</v>
      </c>
      <c r="B9512" s="1997" t="s">
        <v>980</v>
      </c>
      <c r="C9512" s="1997" t="s">
        <v>1323</v>
      </c>
      <c r="D9512" s="1998" t="s">
        <v>6978</v>
      </c>
      <c r="E9512" s="2045" t="s">
        <v>6979</v>
      </c>
      <c r="F9512" s="2045" t="s">
        <v>6080</v>
      </c>
      <c r="G9512" s="940" t="s">
        <v>6081</v>
      </c>
    </row>
    <row r="9513" spans="1:8">
      <c r="A9513" s="47" t="s">
        <v>7383</v>
      </c>
      <c r="B9513" s="47" t="s">
        <v>5774</v>
      </c>
      <c r="C9513" s="1061">
        <f>ROUNDUP(E9513/0.45/120,2)</f>
        <v>0.75</v>
      </c>
      <c r="D9513" s="2260" t="s">
        <v>2346</v>
      </c>
      <c r="E9513" s="1999">
        <v>40</v>
      </c>
      <c r="F9513" s="2083">
        <f>(C9513-(E9513/G9513))/C9513</f>
        <v>0.55555555555555558</v>
      </c>
      <c r="G9513" s="2000">
        <v>120</v>
      </c>
    </row>
    <row r="9514" spans="1:8">
      <c r="A9514" s="47" t="s">
        <v>7381</v>
      </c>
      <c r="B9514" s="47" t="s">
        <v>7382</v>
      </c>
      <c r="C9514" s="1061">
        <f>ROUNDUP(E9514/0.5/120,2)</f>
        <v>1.34</v>
      </c>
      <c r="D9514" s="2260" t="s">
        <v>6987</v>
      </c>
      <c r="E9514" s="1999">
        <f>40+40</f>
        <v>80</v>
      </c>
      <c r="F9514" s="2083">
        <f>(C9514-(E9514/G9514))/C9514</f>
        <v>0.50248756218905477</v>
      </c>
      <c r="G9514" s="2000">
        <v>120</v>
      </c>
      <c r="H9514" t="s">
        <v>6980</v>
      </c>
    </row>
    <row r="9518" spans="1:8" ht="15">
      <c r="A9518" s="1996" t="s">
        <v>5583</v>
      </c>
      <c r="B9518" s="1997" t="s">
        <v>53</v>
      </c>
      <c r="C9518" s="1997" t="s">
        <v>54</v>
      </c>
      <c r="D9518" s="1997" t="s">
        <v>1323</v>
      </c>
    </row>
    <row r="9519" spans="1:8">
      <c r="A9519" s="47" t="s">
        <v>6472</v>
      </c>
      <c r="B9519" s="47" t="s">
        <v>7338</v>
      </c>
      <c r="C9519" s="905">
        <v>10</v>
      </c>
      <c r="D9519" s="891">
        <v>0.75</v>
      </c>
    </row>
    <row r="9520" spans="1:8">
      <c r="A9520" s="47"/>
      <c r="B9520" s="260" t="s">
        <v>3334</v>
      </c>
      <c r="C9520" s="894">
        <v>1</v>
      </c>
      <c r="D9520" s="891">
        <v>125</v>
      </c>
    </row>
    <row r="9521" spans="1:10">
      <c r="A9521" s="47"/>
      <c r="B9521" s="260" t="s">
        <v>1949</v>
      </c>
      <c r="C9521" s="894">
        <v>1</v>
      </c>
      <c r="D9521" s="891">
        <v>12</v>
      </c>
    </row>
    <row r="9523" spans="1:10">
      <c r="A9523" t="s">
        <v>7384</v>
      </c>
    </row>
    <row r="9524" spans="1:10" s="2220" customFormat="1" ht="23.25" customHeight="1">
      <c r="A9524" s="2294" t="s">
        <v>6833</v>
      </c>
      <c r="B9524" s="2300" t="s">
        <v>6519</v>
      </c>
      <c r="C9524" s="2950" t="s">
        <v>7388</v>
      </c>
      <c r="D9524" s="2951"/>
      <c r="E9524" s="2951"/>
      <c r="F9524" s="2951"/>
      <c r="G9524" s="2952"/>
      <c r="H9524" s="2294" t="s">
        <v>6837</v>
      </c>
      <c r="I9524" s="2295" t="s">
        <v>6838</v>
      </c>
      <c r="J9524" s="2296" t="s">
        <v>6839</v>
      </c>
    </row>
    <row r="9525" spans="1:10" s="2220" customFormat="1" ht="12" customHeight="1">
      <c r="A9525" s="2294"/>
      <c r="B9525" s="2297"/>
      <c r="C9525" s="2221" t="s">
        <v>6512</v>
      </c>
      <c r="D9525" s="2221" t="s">
        <v>6513</v>
      </c>
      <c r="E9525" s="2221" t="s">
        <v>6514</v>
      </c>
      <c r="F9525" s="2221" t="s">
        <v>6515</v>
      </c>
      <c r="G9525" s="2221" t="s">
        <v>6516</v>
      </c>
      <c r="H9525" s="2294"/>
      <c r="I9525" s="2295"/>
      <c r="J9525" s="2296"/>
    </row>
    <row r="9526" spans="1:10" s="2220" customFormat="1" ht="16.5" customHeight="1">
      <c r="A9526" s="2298" t="s">
        <v>6841</v>
      </c>
      <c r="B9526" s="2240" t="s">
        <v>6842</v>
      </c>
      <c r="C9526" s="2299">
        <v>6.25</v>
      </c>
      <c r="D9526" s="2299">
        <v>5.63</v>
      </c>
      <c r="E9526" s="2241">
        <v>5.2</v>
      </c>
      <c r="F9526" s="2299">
        <v>5.05</v>
      </c>
      <c r="G9526" s="2299">
        <v>4.96</v>
      </c>
      <c r="H9526" s="2224">
        <v>439.2</v>
      </c>
      <c r="I9526" s="2242">
        <v>7.7</v>
      </c>
      <c r="J9526" s="2240" t="s">
        <v>6843</v>
      </c>
    </row>
    <row r="9527" spans="1:10" s="2220" customFormat="1" ht="16.5" customHeight="1">
      <c r="A9527" s="2298" t="s">
        <v>7385</v>
      </c>
      <c r="B9527" s="2240" t="s">
        <v>7386</v>
      </c>
      <c r="C9527" s="2299">
        <v>6.04</v>
      </c>
      <c r="D9527" s="2299">
        <v>5.43</v>
      </c>
      <c r="E9527" s="2241">
        <v>5.0199999999999996</v>
      </c>
      <c r="F9527" s="2299">
        <v>4.88</v>
      </c>
      <c r="G9527" s="2299">
        <v>4.78</v>
      </c>
      <c r="H9527" s="2224">
        <v>343.2</v>
      </c>
      <c r="I9527" s="2242">
        <v>7.7</v>
      </c>
      <c r="J9527" s="2240" t="s">
        <v>6843</v>
      </c>
    </row>
    <row r="9528" spans="1:10" s="2220" customFormat="1" ht="16.5" customHeight="1">
      <c r="A9528" s="2298" t="s">
        <v>7387</v>
      </c>
      <c r="B9528" s="2301" t="s">
        <v>7389</v>
      </c>
      <c r="C9528" s="2299">
        <v>5.07</v>
      </c>
      <c r="D9528" s="2299">
        <v>4.22</v>
      </c>
      <c r="E9528" s="2241">
        <v>4.05</v>
      </c>
      <c r="F9528" s="2299">
        <v>3.71</v>
      </c>
      <c r="G9528" s="2299">
        <v>3.55</v>
      </c>
      <c r="H9528" s="2226">
        <v>468</v>
      </c>
      <c r="I9528" s="2242">
        <v>5.5</v>
      </c>
      <c r="J9528" s="2240" t="s">
        <v>6843</v>
      </c>
    </row>
    <row r="9531" spans="1:10" ht="14.25">
      <c r="A9531" s="2302" t="s">
        <v>7416</v>
      </c>
      <c r="B9531" s="2303" t="s">
        <v>7417</v>
      </c>
    </row>
    <row r="9532" spans="1:10">
      <c r="A9532" s="47" t="s">
        <v>7420</v>
      </c>
      <c r="B9532" s="416"/>
    </row>
    <row r="9533" spans="1:10">
      <c r="A9533" s="47" t="s">
        <v>7390</v>
      </c>
      <c r="B9533" s="416"/>
    </row>
    <row r="9534" spans="1:10">
      <c r="A9534" s="47" t="s">
        <v>7391</v>
      </c>
      <c r="B9534" s="416"/>
    </row>
    <row r="9535" spans="1:10">
      <c r="A9535" s="47" t="s">
        <v>7392</v>
      </c>
      <c r="B9535" s="416"/>
    </row>
    <row r="9536" spans="1:10">
      <c r="A9536" s="2304" t="s">
        <v>7418</v>
      </c>
      <c r="B9536" s="416"/>
    </row>
    <row r="9537" spans="1:2">
      <c r="A9537" s="2304" t="s">
        <v>7419</v>
      </c>
      <c r="B9537" s="416"/>
    </row>
    <row r="9538" spans="1:2">
      <c r="A9538" s="47" t="s">
        <v>7393</v>
      </c>
      <c r="B9538" s="416"/>
    </row>
    <row r="9539" spans="1:2">
      <c r="A9539" s="47" t="s">
        <v>7394</v>
      </c>
      <c r="B9539" s="416"/>
    </row>
    <row r="9540" spans="1:2">
      <c r="A9540" s="47" t="s">
        <v>7395</v>
      </c>
      <c r="B9540" s="416"/>
    </row>
    <row r="9541" spans="1:2">
      <c r="A9541" s="47" t="s">
        <v>7396</v>
      </c>
      <c r="B9541" s="416"/>
    </row>
    <row r="9542" spans="1:2">
      <c r="A9542" s="47" t="s">
        <v>7397</v>
      </c>
      <c r="B9542" s="416"/>
    </row>
    <row r="9543" spans="1:2">
      <c r="A9543" s="47" t="s">
        <v>7398</v>
      </c>
      <c r="B9543" s="416"/>
    </row>
    <row r="9544" spans="1:2">
      <c r="A9544" s="47" t="s">
        <v>7399</v>
      </c>
      <c r="B9544" s="416"/>
    </row>
    <row r="9545" spans="1:2">
      <c r="A9545" s="47" t="s">
        <v>7400</v>
      </c>
      <c r="B9545" s="416"/>
    </row>
    <row r="9546" spans="1:2">
      <c r="A9546" s="47" t="s">
        <v>7401</v>
      </c>
      <c r="B9546" s="416"/>
    </row>
    <row r="9547" spans="1:2">
      <c r="A9547" s="47" t="s">
        <v>7402</v>
      </c>
      <c r="B9547" s="416"/>
    </row>
    <row r="9548" spans="1:2">
      <c r="A9548" s="47" t="s">
        <v>7403</v>
      </c>
      <c r="B9548" s="416"/>
    </row>
    <row r="9549" spans="1:2">
      <c r="A9549" s="47" t="s">
        <v>7404</v>
      </c>
      <c r="B9549" s="416"/>
    </row>
    <row r="9550" spans="1:2">
      <c r="A9550" s="47" t="s">
        <v>7405</v>
      </c>
      <c r="B9550" s="416"/>
    </row>
    <row r="9551" spans="1:2">
      <c r="A9551" s="47" t="s">
        <v>7406</v>
      </c>
      <c r="B9551" s="416"/>
    </row>
    <row r="9552" spans="1:2">
      <c r="A9552" s="47" t="s">
        <v>7407</v>
      </c>
      <c r="B9552" s="416"/>
    </row>
    <row r="9553" spans="1:4">
      <c r="A9553" s="47" t="s">
        <v>7408</v>
      </c>
      <c r="B9553" s="416"/>
    </row>
    <row r="9554" spans="1:4">
      <c r="A9554" s="47" t="s">
        <v>7409</v>
      </c>
      <c r="B9554" s="416"/>
    </row>
    <row r="9555" spans="1:4">
      <c r="A9555" s="47" t="s">
        <v>7410</v>
      </c>
      <c r="B9555" s="416"/>
    </row>
    <row r="9556" spans="1:4">
      <c r="A9556" s="47" t="s">
        <v>7411</v>
      </c>
      <c r="B9556" s="416"/>
    </row>
    <row r="9557" spans="1:4">
      <c r="A9557" s="47" t="s">
        <v>7412</v>
      </c>
      <c r="B9557" s="416"/>
    </row>
    <row r="9558" spans="1:4">
      <c r="A9558" s="47" t="s">
        <v>7413</v>
      </c>
      <c r="B9558" s="416"/>
    </row>
    <row r="9559" spans="1:4">
      <c r="A9559" s="47" t="s">
        <v>7414</v>
      </c>
      <c r="B9559" s="416"/>
    </row>
    <row r="9560" spans="1:4">
      <c r="A9560" s="47" t="s">
        <v>7415</v>
      </c>
      <c r="B9560" s="416"/>
    </row>
    <row r="9564" spans="1:4" ht="15">
      <c r="A9564" s="2305"/>
    </row>
    <row r="9565" spans="1:4" ht="15">
      <c r="A9565" s="2306" t="s">
        <v>7421</v>
      </c>
      <c r="B9565" s="2306" t="s">
        <v>7505</v>
      </c>
      <c r="C9565" s="2306" t="s">
        <v>7422</v>
      </c>
      <c r="D9565" s="2306" t="s">
        <v>7506</v>
      </c>
    </row>
    <row r="9566" spans="1:4" ht="15">
      <c r="A9566" s="2307" t="s">
        <v>7423</v>
      </c>
      <c r="B9566" s="2307"/>
      <c r="C9566" s="2307" t="s">
        <v>7424</v>
      </c>
      <c r="D9566" s="416"/>
    </row>
    <row r="9567" spans="1:4" ht="15">
      <c r="A9567" s="2307" t="s">
        <v>7425</v>
      </c>
      <c r="B9567" s="2307"/>
      <c r="C9567" s="2307" t="s">
        <v>7426</v>
      </c>
      <c r="D9567" s="416"/>
    </row>
    <row r="9568" spans="1:4" ht="15">
      <c r="A9568" s="2307" t="s">
        <v>7427</v>
      </c>
      <c r="B9568" s="2307"/>
      <c r="C9568" s="2307" t="s">
        <v>7428</v>
      </c>
      <c r="D9568" s="416"/>
    </row>
    <row r="9569" spans="1:4" ht="15">
      <c r="A9569" s="2307" t="s">
        <v>7429</v>
      </c>
      <c r="B9569" s="2307"/>
      <c r="C9569" s="2307" t="s">
        <v>7430</v>
      </c>
      <c r="D9569" s="416"/>
    </row>
    <row r="9570" spans="1:4" ht="15">
      <c r="A9570" s="2307" t="s">
        <v>7431</v>
      </c>
      <c r="B9570" s="2307"/>
      <c r="C9570" s="2307" t="s">
        <v>7432</v>
      </c>
      <c r="D9570" s="416"/>
    </row>
    <row r="9571" spans="1:4" ht="15">
      <c r="A9571" s="2307" t="s">
        <v>7433</v>
      </c>
      <c r="B9571" s="2307"/>
      <c r="C9571" s="2307" t="s">
        <v>7434</v>
      </c>
      <c r="D9571" s="416"/>
    </row>
    <row r="9572" spans="1:4" ht="15">
      <c r="A9572" s="2307" t="s">
        <v>7435</v>
      </c>
      <c r="B9572" s="2307"/>
      <c r="C9572" s="2307" t="s">
        <v>7436</v>
      </c>
      <c r="D9572" s="416"/>
    </row>
    <row r="9573" spans="1:4" ht="15">
      <c r="A9573" s="2307" t="s">
        <v>7437</v>
      </c>
      <c r="B9573" s="2307"/>
      <c r="C9573" s="2307" t="s">
        <v>7438</v>
      </c>
      <c r="D9573" s="416"/>
    </row>
    <row r="9574" spans="1:4" ht="15">
      <c r="A9574" s="2307" t="s">
        <v>7439</v>
      </c>
      <c r="B9574" s="2307"/>
      <c r="C9574" s="2307" t="s">
        <v>7440</v>
      </c>
      <c r="D9574" s="416"/>
    </row>
    <row r="9575" spans="1:4" ht="15">
      <c r="A9575" s="2307" t="s">
        <v>7441</v>
      </c>
      <c r="B9575" s="2307"/>
      <c r="C9575" s="2307" t="s">
        <v>7442</v>
      </c>
      <c r="D9575" s="416"/>
    </row>
    <row r="9576" spans="1:4" ht="15">
      <c r="A9576" s="2307" t="s">
        <v>7443</v>
      </c>
      <c r="B9576" s="2307"/>
      <c r="C9576" s="2307" t="s">
        <v>7444</v>
      </c>
      <c r="D9576" s="416"/>
    </row>
    <row r="9577" spans="1:4" ht="15">
      <c r="A9577" s="2307" t="s">
        <v>7445</v>
      </c>
      <c r="B9577" s="2307"/>
      <c r="C9577" s="2307" t="s">
        <v>7446</v>
      </c>
      <c r="D9577" s="416"/>
    </row>
    <row r="9578" spans="1:4" ht="15">
      <c r="A9578" s="2307" t="s">
        <v>7447</v>
      </c>
      <c r="B9578" s="2307"/>
      <c r="C9578" s="2307" t="s">
        <v>7448</v>
      </c>
      <c r="D9578" s="416"/>
    </row>
    <row r="9579" spans="1:4" ht="15">
      <c r="A9579" s="2307" t="s">
        <v>7449</v>
      </c>
      <c r="B9579" s="2307"/>
      <c r="C9579" s="2307" t="s">
        <v>7450</v>
      </c>
      <c r="D9579" s="416"/>
    </row>
    <row r="9580" spans="1:4" ht="15">
      <c r="A9580" s="2307" t="s">
        <v>7451</v>
      </c>
      <c r="B9580" s="2307"/>
      <c r="C9580" s="2307" t="s">
        <v>7452</v>
      </c>
      <c r="D9580" s="416"/>
    </row>
    <row r="9581" spans="1:4" ht="15">
      <c r="A9581" s="2307" t="s">
        <v>7453</v>
      </c>
      <c r="B9581" s="2307"/>
      <c r="C9581" s="2307" t="s">
        <v>7454</v>
      </c>
      <c r="D9581" s="416"/>
    </row>
    <row r="9582" spans="1:4" ht="15">
      <c r="A9582" s="2307" t="s">
        <v>7455</v>
      </c>
      <c r="B9582" s="2307"/>
      <c r="C9582" s="2307" t="s">
        <v>7456</v>
      </c>
      <c r="D9582" s="416"/>
    </row>
    <row r="9583" spans="1:4" ht="15">
      <c r="A9583" s="2307" t="s">
        <v>7457</v>
      </c>
      <c r="B9583" s="2307"/>
      <c r="C9583" s="2307" t="s">
        <v>7458</v>
      </c>
      <c r="D9583" s="416"/>
    </row>
    <row r="9584" spans="1:4" ht="15">
      <c r="A9584" s="2307" t="s">
        <v>7459</v>
      </c>
      <c r="B9584" s="2307"/>
      <c r="C9584" s="2307" t="s">
        <v>7460</v>
      </c>
      <c r="D9584" s="416"/>
    </row>
    <row r="9585" spans="1:4" ht="15">
      <c r="A9585" s="2307" t="s">
        <v>7461</v>
      </c>
      <c r="B9585" s="2307"/>
      <c r="C9585" s="2307" t="s">
        <v>7462</v>
      </c>
      <c r="D9585" s="416"/>
    </row>
    <row r="9586" spans="1:4" ht="15">
      <c r="A9586" s="2307" t="s">
        <v>7463</v>
      </c>
      <c r="B9586" s="2307"/>
      <c r="C9586" s="2307" t="s">
        <v>7464</v>
      </c>
      <c r="D9586" s="416"/>
    </row>
    <row r="9587" spans="1:4" ht="15">
      <c r="A9587" s="2307" t="s">
        <v>7465</v>
      </c>
      <c r="B9587" s="2307"/>
      <c r="C9587" s="2307" t="s">
        <v>7466</v>
      </c>
      <c r="D9587" s="416"/>
    </row>
    <row r="9588" spans="1:4" ht="15">
      <c r="A9588" s="2307" t="s">
        <v>7467</v>
      </c>
      <c r="B9588" s="2307"/>
      <c r="C9588" s="2307" t="s">
        <v>7468</v>
      </c>
      <c r="D9588" s="416"/>
    </row>
    <row r="9589" spans="1:4" ht="15">
      <c r="A9589" s="2307" t="s">
        <v>7469</v>
      </c>
      <c r="B9589" s="2307"/>
      <c r="C9589" s="2307" t="s">
        <v>7470</v>
      </c>
      <c r="D9589" s="416"/>
    </row>
    <row r="9590" spans="1:4" ht="15">
      <c r="A9590" s="2307" t="s">
        <v>7471</v>
      </c>
      <c r="B9590" s="2307"/>
      <c r="C9590" s="2307" t="s">
        <v>7472</v>
      </c>
      <c r="D9590" s="416"/>
    </row>
    <row r="9591" spans="1:4" ht="15">
      <c r="A9591" s="2307" t="s">
        <v>7473</v>
      </c>
      <c r="B9591" s="2307"/>
      <c r="C9591" s="2307" t="s">
        <v>7474</v>
      </c>
      <c r="D9591" s="416"/>
    </row>
    <row r="9592" spans="1:4" ht="15">
      <c r="A9592" s="2307" t="s">
        <v>7475</v>
      </c>
      <c r="B9592" s="2307"/>
      <c r="C9592" s="2307" t="s">
        <v>7476</v>
      </c>
      <c r="D9592" s="416"/>
    </row>
    <row r="9593" spans="1:4" ht="15">
      <c r="A9593" s="2307" t="s">
        <v>7477</v>
      </c>
      <c r="B9593" s="2307"/>
      <c r="C9593" s="2307" t="s">
        <v>7478</v>
      </c>
      <c r="D9593" s="416"/>
    </row>
    <row r="9594" spans="1:4" ht="15">
      <c r="A9594" s="2307" t="s">
        <v>7479</v>
      </c>
      <c r="B9594" s="2307"/>
      <c r="C9594" s="2307" t="s">
        <v>7480</v>
      </c>
      <c r="D9594" s="416"/>
    </row>
    <row r="9595" spans="1:4" ht="15">
      <c r="A9595" s="2307" t="s">
        <v>7481</v>
      </c>
      <c r="B9595" s="2307"/>
      <c r="C9595" s="2307" t="s">
        <v>7482</v>
      </c>
      <c r="D9595" s="416"/>
    </row>
    <row r="9596" spans="1:4" ht="15">
      <c r="A9596" s="2307"/>
      <c r="B9596" s="2307"/>
      <c r="C9596" s="2307" t="s">
        <v>7483</v>
      </c>
      <c r="D9596" s="416"/>
    </row>
    <row r="9597" spans="1:4" ht="15">
      <c r="A9597" s="2307"/>
      <c r="B9597" s="2307"/>
      <c r="C9597" s="2307" t="s">
        <v>7484</v>
      </c>
      <c r="D9597" s="416"/>
    </row>
    <row r="9598" spans="1:4" ht="15">
      <c r="A9598" s="2307"/>
      <c r="B9598" s="2307"/>
      <c r="C9598" s="2307" t="s">
        <v>7485</v>
      </c>
      <c r="D9598" s="416"/>
    </row>
    <row r="9599" spans="1:4" ht="15">
      <c r="A9599" s="2307"/>
      <c r="B9599" s="2307"/>
      <c r="C9599" s="2307" t="s">
        <v>7486</v>
      </c>
      <c r="D9599" s="416"/>
    </row>
    <row r="9600" spans="1:4" ht="15">
      <c r="A9600" s="2307"/>
      <c r="B9600" s="2307"/>
      <c r="C9600" s="2307" t="s">
        <v>7487</v>
      </c>
      <c r="D9600" s="416"/>
    </row>
    <row r="9601" spans="1:4" ht="15">
      <c r="A9601" s="2308"/>
      <c r="B9601" s="2308"/>
      <c r="C9601" s="2307" t="s">
        <v>7488</v>
      </c>
      <c r="D9601" s="416"/>
    </row>
    <row r="9602" spans="1:4" ht="15">
      <c r="A9602" s="2308"/>
      <c r="B9602" s="2308"/>
      <c r="C9602" s="2307" t="s">
        <v>7489</v>
      </c>
      <c r="D9602" s="416"/>
    </row>
    <row r="9603" spans="1:4" ht="15">
      <c r="A9603" s="2308"/>
      <c r="B9603" s="2308"/>
      <c r="C9603" s="2307" t="s">
        <v>7490</v>
      </c>
      <c r="D9603" s="416"/>
    </row>
    <row r="9604" spans="1:4" ht="15">
      <c r="A9604" s="2308"/>
      <c r="B9604" s="2308"/>
      <c r="C9604" s="2307" t="s">
        <v>7491</v>
      </c>
      <c r="D9604" s="416"/>
    </row>
    <row r="9605" spans="1:4" ht="15">
      <c r="A9605" s="2308"/>
      <c r="B9605" s="2308"/>
      <c r="C9605" s="2307" t="s">
        <v>7492</v>
      </c>
      <c r="D9605" s="416"/>
    </row>
    <row r="9606" spans="1:4" ht="15">
      <c r="A9606" s="2308"/>
      <c r="B9606" s="2308"/>
      <c r="C9606" s="2307" t="s">
        <v>7493</v>
      </c>
      <c r="D9606" s="416"/>
    </row>
    <row r="9607" spans="1:4" ht="15">
      <c r="A9607" s="2308"/>
      <c r="B9607" s="2308"/>
      <c r="C9607" s="2307" t="s">
        <v>7494</v>
      </c>
      <c r="D9607" s="416"/>
    </row>
    <row r="9608" spans="1:4" ht="15">
      <c r="A9608" s="2308"/>
      <c r="B9608" s="2308"/>
      <c r="C9608" s="2307" t="s">
        <v>7495</v>
      </c>
      <c r="D9608" s="416"/>
    </row>
    <row r="9609" spans="1:4" ht="15">
      <c r="A9609" s="2308"/>
      <c r="B9609" s="2308"/>
      <c r="C9609" s="2307" t="s">
        <v>7496</v>
      </c>
      <c r="D9609" s="416"/>
    </row>
    <row r="9610" spans="1:4" ht="15">
      <c r="A9610" s="2308"/>
      <c r="B9610" s="2308"/>
      <c r="C9610" s="2307" t="s">
        <v>7497</v>
      </c>
      <c r="D9610" s="416"/>
    </row>
    <row r="9611" spans="1:4" ht="15">
      <c r="A9611" s="2308"/>
      <c r="B9611" s="2308"/>
      <c r="C9611" s="2307" t="s">
        <v>7498</v>
      </c>
      <c r="D9611" s="416"/>
    </row>
    <row r="9612" spans="1:4" ht="15">
      <c r="A9612" s="2305"/>
    </row>
    <row r="9613" spans="1:4" ht="15">
      <c r="A9613" s="2309" t="s">
        <v>7499</v>
      </c>
      <c r="B9613" s="2306" t="s">
        <v>7505</v>
      </c>
    </row>
    <row r="9614" spans="1:4" ht="15">
      <c r="A9614" s="2310" t="s">
        <v>7500</v>
      </c>
      <c r="B9614" s="236"/>
    </row>
    <row r="9615" spans="1:4" ht="15">
      <c r="A9615" s="2310" t="s">
        <v>7501</v>
      </c>
      <c r="B9615" s="236"/>
    </row>
    <row r="9616" spans="1:4" ht="15">
      <c r="A9616" s="2310" t="s">
        <v>7502</v>
      </c>
      <c r="B9616" s="236"/>
    </row>
    <row r="9617" spans="1:7" ht="15">
      <c r="A9617" s="2310" t="s">
        <v>7503</v>
      </c>
      <c r="B9617" s="236"/>
    </row>
    <row r="9618" spans="1:7" ht="15">
      <c r="A9618" s="2310" t="s">
        <v>7504</v>
      </c>
      <c r="B9618" s="236"/>
    </row>
    <row r="9619" spans="1:7" ht="15">
      <c r="A9619" s="2305"/>
    </row>
    <row r="9621" spans="1:7">
      <c r="A9621" s="902" t="s">
        <v>106</v>
      </c>
      <c r="B9621" s="902" t="s">
        <v>52</v>
      </c>
      <c r="C9621" s="902" t="s">
        <v>53</v>
      </c>
      <c r="D9621" s="887" t="s">
        <v>1186</v>
      </c>
      <c r="E9621" s="887" t="s">
        <v>1652</v>
      </c>
      <c r="F9621" s="887" t="s">
        <v>1653</v>
      </c>
      <c r="G9621" s="1997" t="s">
        <v>1323</v>
      </c>
    </row>
    <row r="9622" spans="1:7">
      <c r="A9622" s="47">
        <v>14552</v>
      </c>
      <c r="B9622" s="48">
        <v>38</v>
      </c>
      <c r="C9622" s="47" t="s">
        <v>2721</v>
      </c>
      <c r="D9622" s="903">
        <v>30</v>
      </c>
      <c r="E9622" s="904">
        <v>9</v>
      </c>
      <c r="F9622" s="905">
        <f>D9622*E9622</f>
        <v>270</v>
      </c>
      <c r="G9622" s="891">
        <v>1.78</v>
      </c>
    </row>
    <row r="9623" spans="1:7">
      <c r="A9623" s="47">
        <v>14552</v>
      </c>
      <c r="B9623" s="48">
        <v>12</v>
      </c>
      <c r="C9623" s="47" t="s">
        <v>2721</v>
      </c>
      <c r="D9623" s="903">
        <v>30</v>
      </c>
      <c r="E9623" s="904">
        <v>6</v>
      </c>
      <c r="F9623" s="905">
        <f>D9623*E9623</f>
        <v>180</v>
      </c>
      <c r="G9623" s="891">
        <v>0.76</v>
      </c>
    </row>
    <row r="9624" spans="1:7">
      <c r="A9624" s="47"/>
      <c r="B9624" s="893"/>
      <c r="C9624" s="260" t="s">
        <v>1993</v>
      </c>
      <c r="D9624" s="905"/>
      <c r="E9624" s="906"/>
      <c r="F9624" s="894">
        <v>1</v>
      </c>
      <c r="G9624" s="891">
        <v>12</v>
      </c>
    </row>
    <row r="9627" spans="1:7">
      <c r="A9627" s="902" t="s">
        <v>106</v>
      </c>
      <c r="B9627" s="902" t="s">
        <v>53</v>
      </c>
      <c r="C9627" s="902" t="s">
        <v>54</v>
      </c>
      <c r="D9627" s="902" t="s">
        <v>7522</v>
      </c>
      <c r="E9627" s="902" t="s">
        <v>2751</v>
      </c>
    </row>
    <row r="9628" spans="1:7">
      <c r="A9628" s="47" t="s">
        <v>6899</v>
      </c>
      <c r="B9628" s="260" t="s">
        <v>7523</v>
      </c>
      <c r="C9628" s="890">
        <v>360</v>
      </c>
      <c r="D9628" s="891">
        <v>1.06</v>
      </c>
      <c r="E9628" s="39" t="s">
        <v>7520</v>
      </c>
    </row>
    <row r="9629" spans="1:7">
      <c r="A9629" s="47" t="s">
        <v>7515</v>
      </c>
      <c r="B9629" s="260" t="s">
        <v>7517</v>
      </c>
      <c r="C9629" s="890">
        <v>360</v>
      </c>
      <c r="D9629" s="891">
        <v>1.8</v>
      </c>
      <c r="E9629" s="1088" t="s">
        <v>7521</v>
      </c>
    </row>
    <row r="9630" spans="1:7">
      <c r="A9630" s="47" t="s">
        <v>7516</v>
      </c>
      <c r="B9630" s="260" t="s">
        <v>7523</v>
      </c>
      <c r="C9630" s="2312">
        <v>540</v>
      </c>
      <c r="D9630" s="891">
        <v>5.56</v>
      </c>
      <c r="E9630" s="39" t="s">
        <v>7520</v>
      </c>
    </row>
    <row r="9632" spans="1:7">
      <c r="A9632" s="902" t="s">
        <v>106</v>
      </c>
      <c r="B9632" s="902" t="s">
        <v>52</v>
      </c>
      <c r="C9632" s="902" t="s">
        <v>53</v>
      </c>
      <c r="D9632" s="887" t="s">
        <v>1186</v>
      </c>
      <c r="E9632" s="887" t="s">
        <v>1652</v>
      </c>
      <c r="F9632" s="887" t="s">
        <v>1653</v>
      </c>
      <c r="G9632" s="1997" t="s">
        <v>1323</v>
      </c>
    </row>
    <row r="9633" spans="1:7">
      <c r="A9633" s="47">
        <v>5291</v>
      </c>
      <c r="B9633" s="48">
        <v>4</v>
      </c>
      <c r="C9633" s="47" t="s">
        <v>29</v>
      </c>
      <c r="D9633" s="905">
        <v>50</v>
      </c>
      <c r="E9633" s="906">
        <v>1</v>
      </c>
      <c r="F9633" s="905">
        <f>D9633*E9633</f>
        <v>50</v>
      </c>
      <c r="G9633" s="891">
        <v>0.15</v>
      </c>
    </row>
    <row r="9634" spans="1:7" ht="20.25">
      <c r="A9634" s="47"/>
      <c r="B9634" s="260"/>
      <c r="C9634" s="260" t="s">
        <v>1949</v>
      </c>
      <c r="D9634" s="894"/>
      <c r="E9634" s="904" ph="1"/>
      <c r="F9634" s="894">
        <v>1</v>
      </c>
      <c r="G9634" s="891">
        <v>12</v>
      </c>
    </row>
    <row r="9638" spans="1:7">
      <c r="A9638" s="902" t="s">
        <v>106</v>
      </c>
      <c r="B9638" s="902" t="s">
        <v>53</v>
      </c>
      <c r="C9638" s="887" t="s">
        <v>1653</v>
      </c>
      <c r="D9638" s="1997" t="s">
        <v>1323</v>
      </c>
    </row>
    <row r="9639" spans="1:7">
      <c r="A9639" s="1008" t="s">
        <v>6747</v>
      </c>
      <c r="B9639" s="260" t="s">
        <v>944</v>
      </c>
      <c r="C9639" s="905">
        <v>115</v>
      </c>
      <c r="D9639" s="1061">
        <v>2.85</v>
      </c>
    </row>
    <row r="9640" spans="1:7">
      <c r="A9640" s="1008" t="s">
        <v>6747</v>
      </c>
      <c r="B9640" s="260" t="s">
        <v>6751</v>
      </c>
      <c r="C9640" s="905">
        <v>178</v>
      </c>
      <c r="D9640" s="1061">
        <v>2.85</v>
      </c>
    </row>
    <row r="9641" spans="1:7">
      <c r="A9641" s="1008"/>
      <c r="B9641" s="260" t="s">
        <v>1949</v>
      </c>
      <c r="C9641" s="894">
        <v>1</v>
      </c>
      <c r="D9641" s="891">
        <v>12</v>
      </c>
    </row>
    <row r="9643" spans="1:7">
      <c r="A9643" s="2313" t="s">
        <v>7526</v>
      </c>
    </row>
    <row r="9644" spans="1:7">
      <c r="A9644" s="2101" t="s">
        <v>7528</v>
      </c>
      <c r="B9644" s="887" t="s">
        <v>52</v>
      </c>
      <c r="C9644" s="887" t="s">
        <v>2</v>
      </c>
      <c r="D9644" s="1997" t="s">
        <v>6976</v>
      </c>
      <c r="E9644" s="2315" t="s">
        <v>6979</v>
      </c>
      <c r="F9644" s="2315" t="s">
        <v>6080</v>
      </c>
      <c r="G9644" s="2315" t="s">
        <v>6081</v>
      </c>
    </row>
    <row r="9645" spans="1:7">
      <c r="A9645" s="47" t="s">
        <v>7527</v>
      </c>
      <c r="B9645" s="48" t="s">
        <v>7007</v>
      </c>
      <c r="C9645" s="2314" t="s">
        <v>7529</v>
      </c>
      <c r="D9645" s="891">
        <v>15</v>
      </c>
      <c r="E9645" s="1999">
        <v>1290</v>
      </c>
      <c r="F9645" s="2083">
        <f>(D9645-(E9645/G9645))/D9645</f>
        <v>0.28333333333333333</v>
      </c>
      <c r="G9645">
        <v>120</v>
      </c>
    </row>
    <row r="9646" spans="1:7">
      <c r="A9646" s="47"/>
      <c r="B9646" s="48"/>
      <c r="C9646" s="2314"/>
      <c r="D9646" s="891"/>
      <c r="E9646" s="1999"/>
      <c r="F9646" s="2083"/>
    </row>
    <row r="9647" spans="1:7">
      <c r="A9647" s="47" t="s">
        <v>7530</v>
      </c>
      <c r="B9647" s="48" t="s">
        <v>7007</v>
      </c>
      <c r="C9647" s="2314" t="s">
        <v>7529</v>
      </c>
      <c r="D9647" s="891">
        <f>ROUNDUP(E9647/0.7/120,2)</f>
        <v>22.62</v>
      </c>
      <c r="E9647" s="1999">
        <v>1900</v>
      </c>
      <c r="F9647" s="2083">
        <f>(D9647-(E9647/G9647))/D9647</f>
        <v>0.30002947244326555</v>
      </c>
      <c r="G9647">
        <v>120</v>
      </c>
    </row>
    <row r="9648" spans="1:7">
      <c r="A9648" s="47" t="s">
        <v>7531</v>
      </c>
      <c r="B9648" s="48" t="s">
        <v>7007</v>
      </c>
      <c r="C9648" s="2314" t="s">
        <v>7529</v>
      </c>
      <c r="D9648" s="891">
        <f>ROUNDUP(E9648/0.7/120,2)</f>
        <v>19.05</v>
      </c>
      <c r="E9648" s="1999">
        <v>1600</v>
      </c>
      <c r="F9648" s="2083">
        <f>(D9648-(E9648/G9648))/D9648</f>
        <v>0.30008748906386701</v>
      </c>
      <c r="G9648">
        <v>120</v>
      </c>
    </row>
    <row r="9649" spans="1:8">
      <c r="A9649" s="47" t="s">
        <v>7532</v>
      </c>
      <c r="B9649" s="48" t="s">
        <v>7007</v>
      </c>
      <c r="C9649" s="2314" t="s">
        <v>7529</v>
      </c>
      <c r="D9649" s="891">
        <f>ROUNDUP(E9649/0.7/120,2)</f>
        <v>18.46</v>
      </c>
      <c r="E9649" s="1999">
        <v>1550</v>
      </c>
      <c r="F9649" s="2083">
        <f>(D9649-(E9649/G9649))/D9649</f>
        <v>0.30028891296496935</v>
      </c>
      <c r="G9649">
        <v>120</v>
      </c>
    </row>
    <row r="9650" spans="1:8">
      <c r="A9650" s="47" t="s">
        <v>7533</v>
      </c>
      <c r="B9650" s="48" t="s">
        <v>7007</v>
      </c>
      <c r="C9650" s="2314" t="s">
        <v>7529</v>
      </c>
      <c r="D9650" s="891">
        <f>ROUNDUP(E9650/0.7/120,2)</f>
        <v>17.860000000000003</v>
      </c>
      <c r="E9650" s="1999">
        <v>1500</v>
      </c>
      <c r="F9650" s="2083">
        <f>(D9650-(E9650/G9650))/D9650</f>
        <v>0.30011198208286688</v>
      </c>
      <c r="G9650">
        <v>120</v>
      </c>
    </row>
    <row r="9655" spans="1:8">
      <c r="A9655" s="2101" t="s">
        <v>1400</v>
      </c>
      <c r="B9655" s="887" t="s">
        <v>7540</v>
      </c>
      <c r="C9655" s="887" t="s">
        <v>7541</v>
      </c>
      <c r="D9655" s="1779" t="s">
        <v>7542</v>
      </c>
    </row>
    <row r="9656" spans="1:8">
      <c r="A9656" s="47" t="s">
        <v>7512</v>
      </c>
      <c r="B9656" s="260" t="s">
        <v>7513</v>
      </c>
      <c r="C9656" s="905">
        <v>20</v>
      </c>
      <c r="D9656" s="39" t="s">
        <v>7524</v>
      </c>
    </row>
    <row r="9657" spans="1:8">
      <c r="A9657" s="47" t="s">
        <v>7512</v>
      </c>
      <c r="B9657" s="260" t="s">
        <v>6900</v>
      </c>
      <c r="C9657" s="905">
        <v>20</v>
      </c>
      <c r="D9657" s="39" t="s">
        <v>7543</v>
      </c>
    </row>
    <row r="9658" spans="1:8">
      <c r="A9658" s="47" t="s">
        <v>7512</v>
      </c>
      <c r="B9658" s="260" t="s">
        <v>7538</v>
      </c>
      <c r="C9658" s="905">
        <v>20</v>
      </c>
      <c r="D9658" s="39" t="s">
        <v>7539</v>
      </c>
    </row>
    <row r="9660" spans="1:8">
      <c r="A9660" s="1064" t="s">
        <v>7579</v>
      </c>
    </row>
    <row r="9661" spans="1:8" ht="25.5">
      <c r="A9661" s="1996" t="s">
        <v>5583</v>
      </c>
      <c r="B9661" s="1997" t="s">
        <v>980</v>
      </c>
      <c r="C9661" s="1997" t="s">
        <v>1323</v>
      </c>
      <c r="D9661" s="1998" t="s">
        <v>6978</v>
      </c>
      <c r="E9661" s="939" t="s">
        <v>6979</v>
      </c>
      <c r="F9661" s="939" t="s">
        <v>6080</v>
      </c>
      <c r="G9661" s="940" t="s">
        <v>6081</v>
      </c>
    </row>
    <row r="9662" spans="1:8">
      <c r="A9662" s="47" t="s">
        <v>7548</v>
      </c>
      <c r="B9662" s="47" t="s">
        <v>1519</v>
      </c>
      <c r="C9662" s="1061">
        <f>ROUNDUP(E9662/0.6/120,2)</f>
        <v>1.1399999999999999</v>
      </c>
      <c r="D9662" s="1245" t="s">
        <v>7546</v>
      </c>
      <c r="E9662" s="2000">
        <v>82</v>
      </c>
      <c r="F9662" s="2317">
        <f>(C9662-(E9662/G9662))/C9662</f>
        <v>0.40058479532163738</v>
      </c>
      <c r="G9662" s="2000">
        <v>120</v>
      </c>
      <c r="H9662" s="389"/>
    </row>
    <row r="9663" spans="1:8">
      <c r="A9663" s="47" t="s">
        <v>7547</v>
      </c>
      <c r="B9663" s="47" t="s">
        <v>6582</v>
      </c>
      <c r="C9663" s="1061">
        <f>ROUNDUP(E9663/0.6/120,2)</f>
        <v>2.1199999999999997</v>
      </c>
      <c r="D9663" s="2260" t="s">
        <v>7551</v>
      </c>
      <c r="E9663" s="47">
        <f>82+70</f>
        <v>152</v>
      </c>
      <c r="F9663" s="2317">
        <f>(C9663-(E9663/G9663))/C9663</f>
        <v>0.40251572327044016</v>
      </c>
      <c r="G9663" s="2000">
        <v>120</v>
      </c>
      <c r="H9663" s="1957" t="s">
        <v>7552</v>
      </c>
    </row>
    <row r="9664" spans="1:8">
      <c r="A9664" s="47" t="s">
        <v>7549</v>
      </c>
      <c r="B9664" s="47" t="s">
        <v>1519</v>
      </c>
      <c r="C9664" s="1061">
        <f>ROUNDUP(E9664/0.6/120,2)</f>
        <v>1.07</v>
      </c>
      <c r="D9664" s="1245" t="s">
        <v>7546</v>
      </c>
      <c r="E9664" s="2000">
        <v>77</v>
      </c>
      <c r="F9664" s="2317">
        <f>(C9664-(E9664/G9664))/C9664</f>
        <v>0.40031152647975077</v>
      </c>
      <c r="G9664" s="2000">
        <v>120</v>
      </c>
    </row>
    <row r="9665" spans="1:9">
      <c r="A9665" s="47" t="s">
        <v>7550</v>
      </c>
      <c r="B9665" s="47" t="s">
        <v>6582</v>
      </c>
      <c r="C9665" s="1061">
        <f>ROUNDUP(E9665/0.6/120,2)</f>
        <v>2.0499999999999998</v>
      </c>
      <c r="D9665" s="2260" t="s">
        <v>7551</v>
      </c>
      <c r="E9665" s="47">
        <f>77+70</f>
        <v>147</v>
      </c>
      <c r="F9665" s="2317">
        <f>(C9665-(E9665/G9665))/C9665</f>
        <v>0.40243902439024382</v>
      </c>
      <c r="G9665" s="2000">
        <v>120</v>
      </c>
      <c r="H9665" s="1957" t="s">
        <v>7552</v>
      </c>
    </row>
    <row r="9667" spans="1:9" ht="15">
      <c r="A9667" s="1996" t="s">
        <v>3335</v>
      </c>
      <c r="B9667" s="1996" t="s">
        <v>7576</v>
      </c>
      <c r="C9667" s="887" t="s">
        <v>1653</v>
      </c>
      <c r="D9667" s="887" t="s">
        <v>3130</v>
      </c>
    </row>
    <row r="9668" spans="1:9">
      <c r="A9668" s="47" t="s">
        <v>7577</v>
      </c>
      <c r="B9668" s="47" t="s">
        <v>7581</v>
      </c>
      <c r="C9668" s="47" t="s">
        <v>7578</v>
      </c>
      <c r="D9668" s="1061">
        <f>ROUNDUP(E9668/0.6/120,2)+0.17</f>
        <v>2.2899999999999996</v>
      </c>
      <c r="E9668" s="47">
        <f>82+70</f>
        <v>152</v>
      </c>
      <c r="F9668" s="2317">
        <f>(D9668-(E9668/G9668))/D9668</f>
        <v>0.44687045123726338</v>
      </c>
      <c r="G9668" s="2000">
        <v>120</v>
      </c>
      <c r="H9668" s="1957" t="s">
        <v>7552</v>
      </c>
    </row>
    <row r="9669" spans="1:9">
      <c r="A9669" s="47" t="s">
        <v>7241</v>
      </c>
      <c r="B9669" s="47" t="s">
        <v>7581</v>
      </c>
      <c r="C9669" s="47" t="s">
        <v>7578</v>
      </c>
      <c r="D9669" s="1061">
        <f>ROUNDUP(E9669/0.6/120,2)+0.17</f>
        <v>2.2199999999999998</v>
      </c>
      <c r="E9669" s="47">
        <v>147</v>
      </c>
      <c r="F9669" s="2317">
        <f>(D9669-(E9669/G9669))/D9669</f>
        <v>0.44819819819819812</v>
      </c>
      <c r="G9669" s="2000">
        <v>120</v>
      </c>
      <c r="H9669" s="1957" t="s">
        <v>7552</v>
      </c>
    </row>
    <row r="9670" spans="1:9">
      <c r="A9670" s="2332" t="s">
        <v>7580</v>
      </c>
      <c r="B9670" s="895"/>
      <c r="C9670" s="895"/>
      <c r="D9670" s="1918"/>
      <c r="E9670" s="895"/>
      <c r="F9670" s="2331"/>
      <c r="G9670" s="2285"/>
      <c r="H9670" s="1957"/>
    </row>
    <row r="9672" spans="1:9">
      <c r="A9672" t="s">
        <v>7559</v>
      </c>
    </row>
    <row r="9673" spans="1:9" ht="30">
      <c r="A9673" s="844" t="s">
        <v>1400</v>
      </c>
      <c r="B9673" s="845" t="s">
        <v>2464</v>
      </c>
      <c r="C9673" s="846" t="s">
        <v>2561</v>
      </c>
      <c r="D9673" s="847" t="s">
        <v>1181</v>
      </c>
      <c r="E9673" s="848" t="s">
        <v>2467</v>
      </c>
      <c r="F9673" s="847" t="s">
        <v>1752</v>
      </c>
      <c r="G9673" s="2318" t="s">
        <v>7560</v>
      </c>
      <c r="H9673" s="939" t="s">
        <v>6080</v>
      </c>
      <c r="I9673" s="940" t="s">
        <v>6081</v>
      </c>
    </row>
    <row r="9674" spans="1:9" s="843" customFormat="1" ht="24" customHeight="1">
      <c r="A9674" s="837" t="s">
        <v>804</v>
      </c>
      <c r="B9674" s="837" t="s">
        <v>2504</v>
      </c>
      <c r="C9674" s="837" t="s">
        <v>2501</v>
      </c>
      <c r="D9674" s="837" t="s">
        <v>2564</v>
      </c>
      <c r="E9674" s="840">
        <f>ROUNDUP(G9674/0.7/120,2)</f>
        <v>5.3599999999999994</v>
      </c>
      <c r="F9674" s="841" t="s">
        <v>2502</v>
      </c>
      <c r="G9674" s="2000">
        <f>420+30</f>
        <v>450</v>
      </c>
      <c r="H9674" s="2317">
        <f t="shared" ref="H9674:H9681" si="94">(E9674-(G9674/I9674))/E9674</f>
        <v>0.30037313432835816</v>
      </c>
      <c r="I9674" s="2000">
        <v>120</v>
      </c>
    </row>
    <row r="9675" spans="1:9" s="843" customFormat="1" ht="24" customHeight="1">
      <c r="A9675" s="837">
        <v>2440</v>
      </c>
      <c r="B9675" s="837" t="s">
        <v>2483</v>
      </c>
      <c r="C9675" s="837" t="s">
        <v>2482</v>
      </c>
      <c r="D9675" s="837" t="s">
        <v>2565</v>
      </c>
      <c r="E9675" s="840">
        <f>ROUNDUP(G9675/0.7/120,2)</f>
        <v>4.05</v>
      </c>
      <c r="F9675" s="837"/>
      <c r="G9675" s="2000">
        <f>310+30</f>
        <v>340</v>
      </c>
      <c r="H9675" s="2317">
        <f t="shared" si="94"/>
        <v>0.30041152263374477</v>
      </c>
      <c r="I9675" s="2000">
        <v>120</v>
      </c>
    </row>
    <row r="9676" spans="1:9" s="843" customFormat="1" ht="24" customHeight="1">
      <c r="A9676" s="837">
        <v>5600</v>
      </c>
      <c r="B9676" s="837" t="s">
        <v>2486</v>
      </c>
      <c r="C9676" s="837" t="s">
        <v>1923</v>
      </c>
      <c r="D9676" s="837" t="s">
        <v>2565</v>
      </c>
      <c r="E9676" s="840">
        <f>ROUNDUP(G9676/0.7/120,2)</f>
        <v>7.8599999999999994</v>
      </c>
      <c r="F9676" s="837"/>
      <c r="G9676" s="2000">
        <f>630+30</f>
        <v>660</v>
      </c>
      <c r="H9676" s="2317">
        <f t="shared" si="94"/>
        <v>0.30025445292620861</v>
      </c>
      <c r="I9676" s="2000">
        <v>120</v>
      </c>
    </row>
    <row r="9677" spans="1:9" s="843" customFormat="1" ht="24" customHeight="1">
      <c r="A9677" s="837" t="s">
        <v>2566</v>
      </c>
      <c r="B9677" s="837" t="s">
        <v>2488</v>
      </c>
      <c r="C9677" s="837" t="s">
        <v>2482</v>
      </c>
      <c r="D9677" s="837" t="s">
        <v>2565</v>
      </c>
      <c r="E9677" s="840">
        <v>10</v>
      </c>
      <c r="F9677" s="837"/>
      <c r="G9677" s="2000">
        <f>780+30</f>
        <v>810</v>
      </c>
      <c r="H9677" s="2317">
        <f t="shared" si="94"/>
        <v>0.32500000000000001</v>
      </c>
      <c r="I9677" s="2000">
        <v>120</v>
      </c>
    </row>
    <row r="9678" spans="1:9" s="843" customFormat="1" ht="24" customHeight="1">
      <c r="A9678" s="837" t="s">
        <v>2567</v>
      </c>
      <c r="B9678" s="837" t="s">
        <v>2492</v>
      </c>
      <c r="C9678" s="837" t="s">
        <v>2491</v>
      </c>
      <c r="D9678" s="837" t="s">
        <v>2565</v>
      </c>
      <c r="E9678" s="840">
        <f>ROUNDUP(G9678/0.7/120,2)</f>
        <v>27.740000000000002</v>
      </c>
      <c r="F9678" s="841" t="s">
        <v>2472</v>
      </c>
      <c r="G9678" s="2000">
        <f>2300+30</f>
        <v>2330</v>
      </c>
      <c r="H9678" s="2317">
        <f t="shared" si="94"/>
        <v>0.30004806536890172</v>
      </c>
      <c r="I9678" s="2000">
        <v>120</v>
      </c>
    </row>
    <row r="9679" spans="1:9" s="843" customFormat="1" ht="24" customHeight="1">
      <c r="A9679" s="837" t="s">
        <v>2568</v>
      </c>
      <c r="B9679" s="837" t="s">
        <v>2479</v>
      </c>
      <c r="C9679" s="837" t="s">
        <v>2477</v>
      </c>
      <c r="D9679" s="837" t="s">
        <v>2565</v>
      </c>
      <c r="E9679" s="840">
        <f>ROUNDUP(G9679/0.7/120,2)</f>
        <v>5.3599999999999994</v>
      </c>
      <c r="F9679" s="837"/>
      <c r="G9679" s="2000">
        <f>420+30</f>
        <v>450</v>
      </c>
      <c r="H9679" s="2317">
        <f t="shared" si="94"/>
        <v>0.30037313432835816</v>
      </c>
      <c r="I9679" s="2000">
        <v>120</v>
      </c>
    </row>
    <row r="9680" spans="1:9" s="843" customFormat="1" ht="24" customHeight="1">
      <c r="A9680" s="837">
        <v>5049</v>
      </c>
      <c r="B9680" s="837" t="s">
        <v>2523</v>
      </c>
      <c r="C9680" s="837" t="s">
        <v>1407</v>
      </c>
      <c r="D9680" s="837" t="s">
        <v>2565</v>
      </c>
      <c r="E9680" s="840">
        <f>ROUNDUP(G9680/0.7/120,2)</f>
        <v>6.91</v>
      </c>
      <c r="F9680" s="837"/>
      <c r="G9680" s="2000">
        <f>550+30</f>
        <v>580</v>
      </c>
      <c r="H9680" s="2317">
        <f t="shared" si="94"/>
        <v>0.30053063193439467</v>
      </c>
      <c r="I9680" s="2000">
        <v>120</v>
      </c>
    </row>
    <row r="9681" spans="1:9" s="843" customFormat="1" ht="24" customHeight="1">
      <c r="A9681" s="837" t="s">
        <v>2569</v>
      </c>
      <c r="B9681" s="837" t="s">
        <v>2538</v>
      </c>
      <c r="C9681" s="837" t="s">
        <v>1404</v>
      </c>
      <c r="D9681" s="837" t="s">
        <v>2565</v>
      </c>
      <c r="E9681" s="840">
        <v>15.28</v>
      </c>
      <c r="F9681" s="837"/>
      <c r="G9681" s="2000">
        <f>1250+30</f>
        <v>1280</v>
      </c>
      <c r="H9681" s="2317">
        <f t="shared" si="94"/>
        <v>0.30191972076788831</v>
      </c>
      <c r="I9681" s="2000">
        <v>120</v>
      </c>
    </row>
    <row r="9685" spans="1:9">
      <c r="A9685" s="2319" t="s">
        <v>2563</v>
      </c>
      <c r="B9685" s="2319"/>
      <c r="C9685" s="2319"/>
      <c r="D9685" s="2319"/>
      <c r="E9685" s="2319"/>
      <c r="F9685" s="2319"/>
      <c r="G9685" s="2319"/>
    </row>
    <row r="9686" spans="1:9" ht="30">
      <c r="A9686" s="2320" t="s">
        <v>1400</v>
      </c>
      <c r="B9686" s="2321" t="s">
        <v>2464</v>
      </c>
      <c r="C9686" s="2322" t="s">
        <v>2561</v>
      </c>
      <c r="D9686" s="836" t="s">
        <v>1181</v>
      </c>
      <c r="E9686" s="2323" t="s">
        <v>2467</v>
      </c>
      <c r="F9686" s="836" t="s">
        <v>1752</v>
      </c>
      <c r="G9686" s="836" t="s">
        <v>2562</v>
      </c>
    </row>
    <row r="9687" spans="1:9" s="843" customFormat="1" ht="24" customHeight="1">
      <c r="A9687" s="2324" t="s">
        <v>804</v>
      </c>
      <c r="B9687" s="2324" t="s">
        <v>2504</v>
      </c>
      <c r="C9687" s="2325" t="s">
        <v>2501</v>
      </c>
      <c r="D9687" s="2326" t="s">
        <v>2564</v>
      </c>
      <c r="E9687" s="2327">
        <v>5</v>
      </c>
      <c r="F9687" s="2328" t="s">
        <v>2502</v>
      </c>
      <c r="G9687" s="2329" t="s">
        <v>5289</v>
      </c>
    </row>
    <row r="9688" spans="1:9" s="843" customFormat="1" ht="24" customHeight="1">
      <c r="A9688" s="2324">
        <v>2440</v>
      </c>
      <c r="B9688" s="2324" t="s">
        <v>2483</v>
      </c>
      <c r="C9688" s="2325" t="s">
        <v>2482</v>
      </c>
      <c r="D9688" s="2326" t="s">
        <v>2565</v>
      </c>
      <c r="E9688" s="2327">
        <v>3.8899999999999997</v>
      </c>
      <c r="F9688" s="2324"/>
      <c r="G9688" s="2324"/>
    </row>
    <row r="9689" spans="1:9" s="843" customFormat="1" ht="24" customHeight="1">
      <c r="A9689" s="2324">
        <v>5600</v>
      </c>
      <c r="B9689" s="2324" t="s">
        <v>2486</v>
      </c>
      <c r="C9689" s="2325" t="s">
        <v>1923</v>
      </c>
      <c r="D9689" s="2326" t="s">
        <v>2565</v>
      </c>
      <c r="E9689" s="2327">
        <v>7.7799999999999994</v>
      </c>
      <c r="F9689" s="2324"/>
      <c r="G9689" s="2324"/>
    </row>
    <row r="9690" spans="1:9" s="843" customFormat="1" ht="24" customHeight="1">
      <c r="A9690" s="2324" t="s">
        <v>2566</v>
      </c>
      <c r="B9690" s="2324" t="s">
        <v>2488</v>
      </c>
      <c r="C9690" s="2325" t="s">
        <v>2482</v>
      </c>
      <c r="D9690" s="2326" t="s">
        <v>2565</v>
      </c>
      <c r="E9690" s="2327">
        <v>10</v>
      </c>
      <c r="F9690" s="2324"/>
      <c r="G9690" s="2324"/>
    </row>
    <row r="9691" spans="1:9" s="843" customFormat="1" ht="24" customHeight="1">
      <c r="A9691" s="2324" t="s">
        <v>2567</v>
      </c>
      <c r="B9691" s="2324" t="s">
        <v>2492</v>
      </c>
      <c r="C9691" s="2325" t="s">
        <v>2491</v>
      </c>
      <c r="D9691" s="2326" t="s">
        <v>2565</v>
      </c>
      <c r="E9691" s="2327">
        <v>25</v>
      </c>
      <c r="F9691" s="2328" t="s">
        <v>2472</v>
      </c>
      <c r="G9691" s="2328"/>
    </row>
    <row r="9692" spans="1:9" s="843" customFormat="1" ht="24" customHeight="1">
      <c r="A9692" s="2324" t="s">
        <v>2568</v>
      </c>
      <c r="B9692" s="2324" t="s">
        <v>2479</v>
      </c>
      <c r="C9692" s="2325" t="s">
        <v>2477</v>
      </c>
      <c r="D9692" s="2326" t="s">
        <v>2565</v>
      </c>
      <c r="E9692" s="2327">
        <v>5</v>
      </c>
      <c r="F9692" s="2324"/>
      <c r="G9692" s="2324"/>
    </row>
    <row r="9693" spans="1:9" s="843" customFormat="1" ht="24" customHeight="1">
      <c r="A9693" s="2324">
        <v>5049</v>
      </c>
      <c r="B9693" s="2324" t="s">
        <v>2523</v>
      </c>
      <c r="C9693" s="2325" t="s">
        <v>1407</v>
      </c>
      <c r="D9693" s="2326" t="s">
        <v>2565</v>
      </c>
      <c r="E9693" s="2327">
        <v>6.25</v>
      </c>
      <c r="F9693" s="2324"/>
      <c r="G9693" s="2324"/>
    </row>
    <row r="9694" spans="1:9" s="843" customFormat="1" ht="24" customHeight="1">
      <c r="A9694" s="2324" t="s">
        <v>2569</v>
      </c>
      <c r="B9694" s="2324" t="s">
        <v>2538</v>
      </c>
      <c r="C9694" s="2325" t="s">
        <v>1404</v>
      </c>
      <c r="D9694" s="2326" t="s">
        <v>2565</v>
      </c>
      <c r="E9694" s="2327">
        <v>15.28</v>
      </c>
      <c r="F9694" s="2324"/>
      <c r="G9694" s="2324"/>
    </row>
    <row r="9698" spans="1:7">
      <c r="A9698" s="967" t="s">
        <v>64</v>
      </c>
      <c r="B9698" s="967" t="s">
        <v>162</v>
      </c>
      <c r="C9698" s="2330" t="s">
        <v>7561</v>
      </c>
      <c r="D9698" s="2330" t="s">
        <v>7562</v>
      </c>
      <c r="E9698" s="2330" t="s">
        <v>7563</v>
      </c>
      <c r="F9698" s="2330" t="s">
        <v>7564</v>
      </c>
      <c r="G9698" s="2330" t="s">
        <v>7565</v>
      </c>
    </row>
    <row r="9699" spans="1:7">
      <c r="A9699" s="47" t="s">
        <v>7558</v>
      </c>
      <c r="B9699" s="48" t="s">
        <v>7556</v>
      </c>
      <c r="C9699" s="1865" t="s">
        <v>7566</v>
      </c>
      <c r="D9699" s="905">
        <v>20</v>
      </c>
      <c r="E9699" s="906">
        <v>7</v>
      </c>
      <c r="F9699" s="905">
        <f t="shared" ref="F9699:F9704" si="95">D9699*E9699</f>
        <v>140</v>
      </c>
      <c r="G9699" s="1059">
        <v>126</v>
      </c>
    </row>
    <row r="9700" spans="1:7">
      <c r="A9700" s="47" t="s">
        <v>7555</v>
      </c>
      <c r="B9700" s="48" t="s">
        <v>7556</v>
      </c>
      <c r="C9700" s="909" t="s">
        <v>7567</v>
      </c>
      <c r="D9700" s="905">
        <v>20</v>
      </c>
      <c r="E9700" s="906">
        <v>10</v>
      </c>
      <c r="F9700" s="905">
        <f t="shared" si="95"/>
        <v>200</v>
      </c>
      <c r="G9700" s="1059">
        <v>126</v>
      </c>
    </row>
    <row r="9701" spans="1:7">
      <c r="A9701" s="47" t="s">
        <v>7555</v>
      </c>
      <c r="B9701" s="48" t="s">
        <v>7556</v>
      </c>
      <c r="C9701" s="909" t="s">
        <v>7568</v>
      </c>
      <c r="D9701" s="905">
        <v>20</v>
      </c>
      <c r="E9701" s="906">
        <v>4</v>
      </c>
      <c r="F9701" s="905">
        <f t="shared" si="95"/>
        <v>80</v>
      </c>
      <c r="G9701" s="1059">
        <v>126</v>
      </c>
    </row>
    <row r="9702" spans="1:7">
      <c r="A9702" s="47" t="s">
        <v>7555</v>
      </c>
      <c r="B9702" s="48" t="s">
        <v>7556</v>
      </c>
      <c r="C9702" s="909" t="s">
        <v>7569</v>
      </c>
      <c r="D9702" s="905">
        <v>20</v>
      </c>
      <c r="E9702" s="906">
        <v>5</v>
      </c>
      <c r="F9702" s="905">
        <f t="shared" si="95"/>
        <v>100</v>
      </c>
      <c r="G9702" s="1059">
        <v>126</v>
      </c>
    </row>
    <row r="9703" spans="1:7">
      <c r="A9703" s="47" t="s">
        <v>7555</v>
      </c>
      <c r="B9703" s="48" t="s">
        <v>7557</v>
      </c>
      <c r="C9703" s="909" t="s">
        <v>7570</v>
      </c>
      <c r="D9703" s="905">
        <v>20</v>
      </c>
      <c r="E9703" s="906">
        <v>6</v>
      </c>
      <c r="F9703" s="905">
        <f t="shared" si="95"/>
        <v>120</v>
      </c>
      <c r="G9703" s="1059">
        <v>97</v>
      </c>
    </row>
    <row r="9704" spans="1:7">
      <c r="A9704" s="47" t="s">
        <v>7555</v>
      </c>
      <c r="B9704" s="48" t="s">
        <v>7557</v>
      </c>
      <c r="C9704" s="909" t="s">
        <v>7571</v>
      </c>
      <c r="D9704" s="905">
        <v>20</v>
      </c>
      <c r="E9704" s="906">
        <v>18</v>
      </c>
      <c r="F9704" s="905">
        <f t="shared" si="95"/>
        <v>360</v>
      </c>
      <c r="G9704" s="1059">
        <v>97</v>
      </c>
    </row>
    <row r="9708" spans="1:7">
      <c r="A9708" s="902" t="s">
        <v>106</v>
      </c>
      <c r="B9708" s="902" t="s">
        <v>52</v>
      </c>
      <c r="C9708" s="902" t="s">
        <v>53</v>
      </c>
      <c r="D9708" s="887" t="s">
        <v>1186</v>
      </c>
      <c r="E9708" s="887" t="s">
        <v>1652</v>
      </c>
      <c r="F9708" s="887" t="s">
        <v>1653</v>
      </c>
      <c r="G9708" s="1997" t="s">
        <v>1323</v>
      </c>
    </row>
    <row r="9709" spans="1:7">
      <c r="A9709" s="47" t="s">
        <v>7558</v>
      </c>
      <c r="B9709" s="48" t="s">
        <v>7556</v>
      </c>
      <c r="C9709" s="1865" t="s">
        <v>7566</v>
      </c>
      <c r="D9709" s="905">
        <v>20</v>
      </c>
      <c r="E9709" s="906">
        <v>7</v>
      </c>
      <c r="F9709" s="905">
        <f t="shared" ref="F9709:F9714" si="96">D9709*E9709</f>
        <v>140</v>
      </c>
      <c r="G9709" s="891">
        <v>2.1</v>
      </c>
    </row>
    <row r="9710" spans="1:7">
      <c r="A9710" s="47" t="s">
        <v>7555</v>
      </c>
      <c r="B9710" s="48" t="s">
        <v>7556</v>
      </c>
      <c r="C9710" s="909" t="s">
        <v>7572</v>
      </c>
      <c r="D9710" s="905">
        <v>20</v>
      </c>
      <c r="E9710" s="906">
        <v>10</v>
      </c>
      <c r="F9710" s="905">
        <f t="shared" si="96"/>
        <v>200</v>
      </c>
      <c r="G9710" s="891">
        <v>2.1</v>
      </c>
    </row>
    <row r="9711" spans="1:7">
      <c r="A9711" s="47" t="s">
        <v>7555</v>
      </c>
      <c r="B9711" s="48" t="s">
        <v>7556</v>
      </c>
      <c r="C9711" s="909" t="s">
        <v>7573</v>
      </c>
      <c r="D9711" s="905">
        <v>20</v>
      </c>
      <c r="E9711" s="906">
        <v>4</v>
      </c>
      <c r="F9711" s="905">
        <f t="shared" si="96"/>
        <v>80</v>
      </c>
      <c r="G9711" s="891">
        <v>2.1</v>
      </c>
    </row>
    <row r="9712" spans="1:7">
      <c r="A9712" s="47" t="s">
        <v>7555</v>
      </c>
      <c r="B9712" s="48" t="s">
        <v>7556</v>
      </c>
      <c r="C9712" s="909" t="s">
        <v>7574</v>
      </c>
      <c r="D9712" s="905">
        <v>20</v>
      </c>
      <c r="E9712" s="906">
        <v>5</v>
      </c>
      <c r="F9712" s="905">
        <f t="shared" si="96"/>
        <v>100</v>
      </c>
      <c r="G9712" s="891">
        <v>2.1</v>
      </c>
    </row>
    <row r="9713" spans="1:7">
      <c r="A9713" s="47" t="s">
        <v>7555</v>
      </c>
      <c r="B9713" s="48" t="s">
        <v>7557</v>
      </c>
      <c r="C9713" s="909" t="s">
        <v>7570</v>
      </c>
      <c r="D9713" s="905">
        <v>20</v>
      </c>
      <c r="E9713" s="906">
        <v>6</v>
      </c>
      <c r="F9713" s="905">
        <f t="shared" si="96"/>
        <v>120</v>
      </c>
      <c r="G9713" s="891">
        <v>1.62</v>
      </c>
    </row>
    <row r="9714" spans="1:7">
      <c r="A9714" s="47" t="s">
        <v>7555</v>
      </c>
      <c r="B9714" s="48" t="s">
        <v>7557</v>
      </c>
      <c r="C9714" s="909" t="s">
        <v>7575</v>
      </c>
      <c r="D9714" s="905">
        <v>20</v>
      </c>
      <c r="E9714" s="906">
        <v>18</v>
      </c>
      <c r="F9714" s="905">
        <f t="shared" si="96"/>
        <v>360</v>
      </c>
      <c r="G9714" s="891">
        <v>1.62</v>
      </c>
    </row>
    <row r="9715" spans="1:7">
      <c r="A9715" s="2345" t="s">
        <v>7621</v>
      </c>
      <c r="B9715" s="2347" t="s">
        <v>7622</v>
      </c>
    </row>
    <row r="9716" spans="1:7">
      <c r="A9716" s="2346" t="s">
        <v>7624</v>
      </c>
      <c r="B9716" s="2347" t="s">
        <v>7623</v>
      </c>
    </row>
    <row r="9718" spans="1:7">
      <c r="A9718" s="887" t="s">
        <v>455</v>
      </c>
      <c r="B9718" s="887" t="s">
        <v>52</v>
      </c>
      <c r="C9718" s="887" t="s">
        <v>128</v>
      </c>
      <c r="D9718" s="887" t="s">
        <v>1186</v>
      </c>
      <c r="E9718" s="887" t="s">
        <v>1652</v>
      </c>
      <c r="F9718" s="887" t="s">
        <v>1653</v>
      </c>
      <c r="G9718" s="1783" t="s">
        <v>7584</v>
      </c>
    </row>
    <row r="9719" spans="1:7">
      <c r="A9719" s="47" t="s">
        <v>18</v>
      </c>
      <c r="B9719" s="260">
        <v>30</v>
      </c>
      <c r="C9719" s="47" t="s">
        <v>7582</v>
      </c>
      <c r="D9719" s="903">
        <v>30</v>
      </c>
      <c r="E9719" s="904">
        <v>19</v>
      </c>
      <c r="F9719" s="905">
        <f>D9719*E9719</f>
        <v>570</v>
      </c>
      <c r="G9719" s="891">
        <v>4.6100000000000003</v>
      </c>
    </row>
    <row r="9720" spans="1:7">
      <c r="A9720" s="47" t="s">
        <v>18</v>
      </c>
      <c r="B9720" s="260">
        <v>30</v>
      </c>
      <c r="C9720" s="47" t="s">
        <v>2727</v>
      </c>
      <c r="D9720" s="903">
        <v>30</v>
      </c>
      <c r="E9720" s="904">
        <v>7</v>
      </c>
      <c r="F9720" s="905">
        <f>D9720*E9720</f>
        <v>210</v>
      </c>
      <c r="G9720" s="891">
        <v>4.6100000000000003</v>
      </c>
    </row>
    <row r="9725" spans="1:7">
      <c r="A9725" s="887" t="s">
        <v>455</v>
      </c>
      <c r="B9725" s="887" t="s">
        <v>128</v>
      </c>
      <c r="C9725" s="887" t="s">
        <v>54</v>
      </c>
      <c r="D9725" s="1997" t="s">
        <v>1323</v>
      </c>
    </row>
    <row r="9726" spans="1:7">
      <c r="A9726" s="1008" t="s">
        <v>7577</v>
      </c>
      <c r="B9726" s="47" t="s">
        <v>78</v>
      </c>
      <c r="C9726" s="905">
        <v>5</v>
      </c>
      <c r="D9726" s="1061">
        <v>1.1399999999999999</v>
      </c>
    </row>
    <row r="9727" spans="1:7">
      <c r="A9727" s="47"/>
      <c r="B9727" s="260" t="s">
        <v>1949</v>
      </c>
      <c r="C9727" s="894">
        <v>1</v>
      </c>
      <c r="D9727" s="891">
        <v>12</v>
      </c>
    </row>
    <row r="9728" spans="1:7">
      <c r="A9728" s="47"/>
      <c r="B9728" s="260" t="s">
        <v>7587</v>
      </c>
      <c r="C9728" s="894">
        <v>1</v>
      </c>
      <c r="D9728" s="891">
        <v>15</v>
      </c>
    </row>
    <row r="9731" spans="1:10">
      <c r="A9731" s="895" t="s">
        <v>7589</v>
      </c>
    </row>
    <row r="9732" spans="1:10" ht="25.5">
      <c r="A9732" s="902" t="s">
        <v>1603</v>
      </c>
      <c r="B9732" s="902" t="s">
        <v>7591</v>
      </c>
      <c r="C9732" s="1772" t="s">
        <v>6928</v>
      </c>
      <c r="D9732" s="1772" t="s">
        <v>1403</v>
      </c>
      <c r="E9732" s="2037" t="s">
        <v>6613</v>
      </c>
      <c r="F9732" s="2037" t="s">
        <v>6929</v>
      </c>
      <c r="G9732" s="2037" t="s">
        <v>6081</v>
      </c>
    </row>
    <row r="9733" spans="1:10" ht="15">
      <c r="A9733" s="909" t="s">
        <v>7590</v>
      </c>
      <c r="B9733" s="1209" t="s">
        <v>7592</v>
      </c>
      <c r="C9733" s="1245">
        <v>20.84</v>
      </c>
      <c r="D9733" s="1245" t="s">
        <v>7595</v>
      </c>
      <c r="E9733" s="2253">
        <v>1930</v>
      </c>
      <c r="F9733" s="1965">
        <f>(C9733-(E9733/G9733))/C9733</f>
        <v>0.22824696097248887</v>
      </c>
      <c r="G9733">
        <v>120</v>
      </c>
      <c r="H9733" s="317" t="s">
        <v>7593</v>
      </c>
    </row>
    <row r="9734" spans="1:10" ht="15">
      <c r="A9734" s="909" t="s">
        <v>7590</v>
      </c>
      <c r="B9734" s="1209" t="s">
        <v>7592</v>
      </c>
      <c r="C9734" s="1245">
        <v>22.75</v>
      </c>
      <c r="D9734" s="1245" t="s">
        <v>7596</v>
      </c>
      <c r="E9734" s="2253">
        <v>2100</v>
      </c>
      <c r="F9734" s="1965">
        <f>(C9734-(E9734/G9734))/C9734</f>
        <v>0.23076923076923078</v>
      </c>
      <c r="G9734">
        <v>120</v>
      </c>
      <c r="H9734" s="2335" t="s">
        <v>7594</v>
      </c>
    </row>
    <row r="9737" spans="1:10">
      <c r="A9737" s="887" t="s">
        <v>7617</v>
      </c>
      <c r="B9737" s="887" t="s">
        <v>455</v>
      </c>
      <c r="C9737" s="887" t="s">
        <v>377</v>
      </c>
      <c r="D9737" s="887" t="s">
        <v>53</v>
      </c>
      <c r="E9737" s="887" t="s">
        <v>1186</v>
      </c>
      <c r="F9737" s="887" t="s">
        <v>1652</v>
      </c>
      <c r="G9737" s="887" t="s">
        <v>1653</v>
      </c>
      <c r="H9737" s="1997" t="s">
        <v>1323</v>
      </c>
      <c r="I9737" s="1997" t="s">
        <v>6155</v>
      </c>
      <c r="J9737" s="39"/>
    </row>
    <row r="9738" spans="1:10">
      <c r="A9738" s="947" t="s">
        <v>7616</v>
      </c>
      <c r="B9738" s="47">
        <v>2440</v>
      </c>
      <c r="C9738" s="907">
        <v>140</v>
      </c>
      <c r="D9738" s="47" t="s">
        <v>7605</v>
      </c>
      <c r="E9738" s="50">
        <v>58</v>
      </c>
      <c r="F9738" s="911">
        <v>4</v>
      </c>
      <c r="G9738" s="50">
        <f t="shared" ref="G9738:G9748" si="97">E9738*F9738</f>
        <v>232</v>
      </c>
      <c r="H9738" s="891">
        <v>3.89</v>
      </c>
      <c r="I9738" s="2336" t="s">
        <v>3416</v>
      </c>
      <c r="J9738" s="1202" t="s">
        <v>2219</v>
      </c>
    </row>
    <row r="9739" spans="1:10">
      <c r="A9739" s="947" t="s">
        <v>7616</v>
      </c>
      <c r="B9739" s="47">
        <v>2440</v>
      </c>
      <c r="C9739" s="907">
        <v>140</v>
      </c>
      <c r="D9739" s="47" t="s">
        <v>7606</v>
      </c>
      <c r="E9739" s="50">
        <v>58</v>
      </c>
      <c r="F9739" s="911">
        <v>3</v>
      </c>
      <c r="G9739" s="50">
        <f t="shared" si="97"/>
        <v>174</v>
      </c>
      <c r="H9739" s="891">
        <v>3.89</v>
      </c>
      <c r="I9739" s="2336" t="s">
        <v>3416</v>
      </c>
      <c r="J9739" s="1202" t="s">
        <v>2219</v>
      </c>
    </row>
    <row r="9740" spans="1:10">
      <c r="A9740" s="947" t="s">
        <v>7616</v>
      </c>
      <c r="B9740" s="47">
        <v>2440</v>
      </c>
      <c r="C9740" s="907">
        <v>140</v>
      </c>
      <c r="D9740" s="47" t="s">
        <v>7607</v>
      </c>
      <c r="E9740" s="50">
        <v>58</v>
      </c>
      <c r="F9740" s="911">
        <v>1</v>
      </c>
      <c r="G9740" s="50">
        <f t="shared" si="97"/>
        <v>58</v>
      </c>
      <c r="H9740" s="891">
        <v>3.89</v>
      </c>
      <c r="I9740" s="2336" t="s">
        <v>3416</v>
      </c>
      <c r="J9740" s="1202" t="s">
        <v>2219</v>
      </c>
    </row>
    <row r="9741" spans="1:10">
      <c r="A9741" s="947" t="s">
        <v>7616</v>
      </c>
      <c r="B9741" s="47">
        <v>2440</v>
      </c>
      <c r="C9741" s="907">
        <v>140</v>
      </c>
      <c r="D9741" s="47" t="s">
        <v>7608</v>
      </c>
      <c r="E9741" s="50">
        <v>58</v>
      </c>
      <c r="F9741" s="911">
        <v>1</v>
      </c>
      <c r="G9741" s="50">
        <f t="shared" si="97"/>
        <v>58</v>
      </c>
      <c r="H9741" s="891">
        <v>3.89</v>
      </c>
      <c r="I9741" s="2336" t="s">
        <v>3416</v>
      </c>
      <c r="J9741" s="1202" t="s">
        <v>2219</v>
      </c>
    </row>
    <row r="9742" spans="1:10">
      <c r="A9742" s="947" t="s">
        <v>7616</v>
      </c>
      <c r="B9742" s="47">
        <v>2440</v>
      </c>
      <c r="C9742" s="907">
        <v>140</v>
      </c>
      <c r="D9742" s="47" t="s">
        <v>7609</v>
      </c>
      <c r="E9742" s="50">
        <v>58</v>
      </c>
      <c r="F9742" s="911">
        <v>1</v>
      </c>
      <c r="G9742" s="50">
        <f t="shared" si="97"/>
        <v>58</v>
      </c>
      <c r="H9742" s="891">
        <v>3.89</v>
      </c>
      <c r="I9742" s="2336" t="s">
        <v>3416</v>
      </c>
      <c r="J9742" s="1202" t="s">
        <v>2219</v>
      </c>
    </row>
    <row r="9743" spans="1:10">
      <c r="A9743" s="947" t="s">
        <v>7616</v>
      </c>
      <c r="B9743" s="47">
        <v>2440</v>
      </c>
      <c r="C9743" s="907">
        <v>140</v>
      </c>
      <c r="D9743" s="47" t="s">
        <v>7610</v>
      </c>
      <c r="E9743" s="50">
        <v>58</v>
      </c>
      <c r="F9743" s="911">
        <v>3</v>
      </c>
      <c r="G9743" s="50">
        <f t="shared" si="97"/>
        <v>174</v>
      </c>
      <c r="H9743" s="891">
        <v>3.89</v>
      </c>
      <c r="I9743" s="2336" t="s">
        <v>3416</v>
      </c>
      <c r="J9743" s="1202" t="s">
        <v>2219</v>
      </c>
    </row>
    <row r="9744" spans="1:10">
      <c r="A9744" s="947" t="s">
        <v>7616</v>
      </c>
      <c r="B9744" s="47">
        <v>2440</v>
      </c>
      <c r="C9744" s="907">
        <v>140</v>
      </c>
      <c r="D9744" s="47" t="s">
        <v>7611</v>
      </c>
      <c r="E9744" s="50">
        <v>58</v>
      </c>
      <c r="F9744" s="911">
        <v>1</v>
      </c>
      <c r="G9744" s="50">
        <f t="shared" si="97"/>
        <v>58</v>
      </c>
      <c r="H9744" s="891">
        <v>3.89</v>
      </c>
      <c r="I9744" s="2336" t="s">
        <v>3416</v>
      </c>
      <c r="J9744" s="1202" t="s">
        <v>2219</v>
      </c>
    </row>
    <row r="9745" spans="1:12">
      <c r="A9745" s="947" t="s">
        <v>7616</v>
      </c>
      <c r="B9745" s="47">
        <v>2440</v>
      </c>
      <c r="C9745" s="907">
        <v>140</v>
      </c>
      <c r="D9745" s="47" t="s">
        <v>7612</v>
      </c>
      <c r="E9745" s="50">
        <v>58</v>
      </c>
      <c r="F9745" s="911">
        <v>2</v>
      </c>
      <c r="G9745" s="50">
        <f t="shared" si="97"/>
        <v>116</v>
      </c>
      <c r="H9745" s="891">
        <v>3.89</v>
      </c>
      <c r="I9745" s="2336" t="s">
        <v>3416</v>
      </c>
      <c r="J9745" s="1202" t="s">
        <v>2219</v>
      </c>
    </row>
    <row r="9746" spans="1:12">
      <c r="A9746" s="947" t="s">
        <v>7616</v>
      </c>
      <c r="B9746" s="47" t="s">
        <v>3073</v>
      </c>
      <c r="C9746" s="907">
        <v>152</v>
      </c>
      <c r="D9746" s="47" t="s">
        <v>859</v>
      </c>
      <c r="E9746" s="50">
        <v>58</v>
      </c>
      <c r="F9746" s="911">
        <v>30</v>
      </c>
      <c r="G9746" s="50">
        <f t="shared" si="97"/>
        <v>1740</v>
      </c>
      <c r="H9746" s="891">
        <v>3.89</v>
      </c>
      <c r="I9746" s="2336" t="s">
        <v>7618</v>
      </c>
      <c r="J9746" s="1202" t="s">
        <v>2219</v>
      </c>
    </row>
    <row r="9747" spans="1:12">
      <c r="A9747" s="947" t="s">
        <v>7616</v>
      </c>
      <c r="B9747" s="47">
        <v>2440</v>
      </c>
      <c r="C9747" s="907">
        <v>140</v>
      </c>
      <c r="D9747" s="47" t="s">
        <v>7613</v>
      </c>
      <c r="E9747" s="50">
        <v>58</v>
      </c>
      <c r="F9747" s="911">
        <v>2</v>
      </c>
      <c r="G9747" s="50">
        <f t="shared" si="97"/>
        <v>116</v>
      </c>
      <c r="H9747" s="891">
        <v>3.89</v>
      </c>
      <c r="I9747" s="2336" t="s">
        <v>7619</v>
      </c>
      <c r="J9747" s="1202" t="s">
        <v>2219</v>
      </c>
    </row>
    <row r="9748" spans="1:12">
      <c r="A9748" s="947" t="s">
        <v>7616</v>
      </c>
      <c r="B9748" s="47">
        <v>2440</v>
      </c>
      <c r="C9748" s="907">
        <v>140</v>
      </c>
      <c r="D9748" s="47" t="s">
        <v>7614</v>
      </c>
      <c r="E9748" s="50">
        <v>58</v>
      </c>
      <c r="F9748" s="911">
        <v>3</v>
      </c>
      <c r="G9748" s="50">
        <f t="shared" si="97"/>
        <v>174</v>
      </c>
      <c r="H9748" s="891">
        <v>3.89</v>
      </c>
      <c r="I9748" s="2336" t="s">
        <v>3416</v>
      </c>
      <c r="J9748" s="1202" t="s">
        <v>2219</v>
      </c>
    </row>
    <row r="9751" spans="1:12">
      <c r="A9751" s="887" t="s">
        <v>455</v>
      </c>
      <c r="B9751" s="887" t="s">
        <v>377</v>
      </c>
      <c r="C9751" s="887" t="s">
        <v>53</v>
      </c>
      <c r="D9751" s="887" t="s">
        <v>54</v>
      </c>
      <c r="E9751" s="1997" t="s">
        <v>1323</v>
      </c>
    </row>
    <row r="9752" spans="1:12">
      <c r="A9752" s="47" t="s">
        <v>6607</v>
      </c>
      <c r="B9752" s="907">
        <v>148</v>
      </c>
      <c r="C9752" s="47" t="s">
        <v>7322</v>
      </c>
      <c r="D9752" s="905">
        <v>4</v>
      </c>
      <c r="E9752" s="891">
        <v>15.4</v>
      </c>
    </row>
    <row r="9753" spans="1:12">
      <c r="A9753" s="47" t="s">
        <v>6607</v>
      </c>
      <c r="B9753" s="907">
        <v>148</v>
      </c>
      <c r="C9753" s="47" t="s">
        <v>6737</v>
      </c>
      <c r="D9753" s="905">
        <v>4</v>
      </c>
      <c r="E9753" s="891">
        <v>15.4</v>
      </c>
    </row>
    <row r="9757" spans="1:12">
      <c r="A9757" t="s">
        <v>7635</v>
      </c>
    </row>
    <row r="9758" spans="1:12" s="1186" customFormat="1" ht="25.5">
      <c r="A9758" s="1350" t="s">
        <v>1369</v>
      </c>
      <c r="B9758" s="1351" t="s">
        <v>52</v>
      </c>
      <c r="C9758" s="1352" t="s">
        <v>2</v>
      </c>
      <c r="D9758" s="1353" t="s">
        <v>1734</v>
      </c>
      <c r="E9758" s="1966" t="s">
        <v>2264</v>
      </c>
      <c r="F9758" s="1966" t="s">
        <v>1181</v>
      </c>
      <c r="G9758" s="1354" t="s">
        <v>5527</v>
      </c>
      <c r="H9758" s="2037" t="s">
        <v>7637</v>
      </c>
      <c r="I9758" s="2037" t="s">
        <v>6929</v>
      </c>
      <c r="J9758" s="2037" t="s">
        <v>6081</v>
      </c>
    </row>
    <row r="9759" spans="1:12" s="1331" customFormat="1" ht="13.7" customHeight="1">
      <c r="A9759" s="909" t="s">
        <v>7636</v>
      </c>
      <c r="B9759" s="963">
        <v>9</v>
      </c>
      <c r="C9759" s="2349">
        <v>30</v>
      </c>
      <c r="D9759" s="909" t="s">
        <v>1812</v>
      </c>
      <c r="E9759" s="909" t="s">
        <v>7290</v>
      </c>
      <c r="F9759" s="2348" t="s">
        <v>7291</v>
      </c>
      <c r="G9759" s="1345">
        <v>0.32</v>
      </c>
      <c r="H9759" s="2253">
        <v>17.600000000000001</v>
      </c>
      <c r="I9759" s="1965">
        <f>(G9759-(H9759/J9759))/G9759</f>
        <v>0.54166666666666663</v>
      </c>
      <c r="J9759">
        <v>120</v>
      </c>
      <c r="K9759" s="986"/>
      <c r="L9759" s="986"/>
    </row>
    <row r="9764" spans="1:7">
      <c r="A9764" s="902" t="s">
        <v>106</v>
      </c>
      <c r="B9764" s="902" t="s">
        <v>52</v>
      </c>
      <c r="C9764" s="902" t="s">
        <v>53</v>
      </c>
      <c r="D9764" s="887" t="s">
        <v>1186</v>
      </c>
      <c r="E9764" s="887" t="s">
        <v>1652</v>
      </c>
      <c r="F9764" s="887" t="s">
        <v>1653</v>
      </c>
      <c r="G9764" s="1997" t="s">
        <v>1323</v>
      </c>
    </row>
    <row r="9765" spans="1:7">
      <c r="A9765" s="47" t="s">
        <v>7558</v>
      </c>
      <c r="B9765" s="48" t="s">
        <v>7556</v>
      </c>
      <c r="C9765" s="47" t="s">
        <v>7639</v>
      </c>
      <c r="D9765" s="905">
        <v>20</v>
      </c>
      <c r="E9765" s="906">
        <v>7</v>
      </c>
      <c r="F9765" s="905">
        <f t="shared" ref="F9765:F9770" si="98">D9765*E9765</f>
        <v>140</v>
      </c>
      <c r="G9765" s="891">
        <v>2.1</v>
      </c>
    </row>
    <row r="9766" spans="1:7">
      <c r="A9766" s="47" t="s">
        <v>7555</v>
      </c>
      <c r="B9766" s="48" t="s">
        <v>7556</v>
      </c>
      <c r="C9766" s="47" t="s">
        <v>7640</v>
      </c>
      <c r="D9766" s="905">
        <v>20</v>
      </c>
      <c r="E9766" s="906">
        <v>10</v>
      </c>
      <c r="F9766" s="905">
        <f t="shared" si="98"/>
        <v>200</v>
      </c>
      <c r="G9766" s="891">
        <v>2.1</v>
      </c>
    </row>
    <row r="9767" spans="1:7">
      <c r="A9767" s="47" t="s">
        <v>7555</v>
      </c>
      <c r="B9767" s="48" t="s">
        <v>7556</v>
      </c>
      <c r="C9767" s="47" t="s">
        <v>7641</v>
      </c>
      <c r="D9767" s="905">
        <v>20</v>
      </c>
      <c r="E9767" s="906">
        <v>4</v>
      </c>
      <c r="F9767" s="905">
        <f t="shared" si="98"/>
        <v>80</v>
      </c>
      <c r="G9767" s="891">
        <v>2.1</v>
      </c>
    </row>
    <row r="9768" spans="1:7">
      <c r="A9768" s="47" t="s">
        <v>7555</v>
      </c>
      <c r="B9768" s="48" t="s">
        <v>7556</v>
      </c>
      <c r="C9768" s="47" t="s">
        <v>7638</v>
      </c>
      <c r="D9768" s="905">
        <v>20</v>
      </c>
      <c r="E9768" s="906">
        <v>5</v>
      </c>
      <c r="F9768" s="905">
        <f t="shared" si="98"/>
        <v>100</v>
      </c>
      <c r="G9768" s="891">
        <v>2.1</v>
      </c>
    </row>
    <row r="9769" spans="1:7">
      <c r="A9769" s="47" t="s">
        <v>7555</v>
      </c>
      <c r="B9769" s="48" t="s">
        <v>7557</v>
      </c>
      <c r="C9769" s="47" t="s">
        <v>7639</v>
      </c>
      <c r="D9769" s="905">
        <v>20</v>
      </c>
      <c r="E9769" s="906">
        <v>6</v>
      </c>
      <c r="F9769" s="905">
        <f t="shared" si="98"/>
        <v>120</v>
      </c>
      <c r="G9769" s="891">
        <v>1.62</v>
      </c>
    </row>
    <row r="9770" spans="1:7">
      <c r="A9770" s="47" t="s">
        <v>7555</v>
      </c>
      <c r="B9770" s="48" t="s">
        <v>7557</v>
      </c>
      <c r="C9770" s="47" t="s">
        <v>7640</v>
      </c>
      <c r="D9770" s="905">
        <v>20</v>
      </c>
      <c r="E9770" s="906">
        <v>18</v>
      </c>
      <c r="F9770" s="905">
        <f t="shared" si="98"/>
        <v>360</v>
      </c>
      <c r="G9770" s="891">
        <v>1.62</v>
      </c>
    </row>
    <row r="9774" spans="1:7">
      <c r="A9774" s="887" t="s">
        <v>455</v>
      </c>
      <c r="B9774" s="887" t="s">
        <v>52</v>
      </c>
      <c r="C9774" s="887" t="s">
        <v>128</v>
      </c>
      <c r="D9774" s="887" t="s">
        <v>1186</v>
      </c>
      <c r="E9774" s="887" t="s">
        <v>1652</v>
      </c>
      <c r="F9774" s="887" t="s">
        <v>1653</v>
      </c>
      <c r="G9774" s="1783" t="s">
        <v>6945</v>
      </c>
    </row>
    <row r="9775" spans="1:7">
      <c r="A9775" s="47">
        <v>12740</v>
      </c>
      <c r="B9775" s="48">
        <v>9</v>
      </c>
      <c r="C9775" s="47" t="s">
        <v>7643</v>
      </c>
      <c r="D9775" s="905">
        <v>10</v>
      </c>
      <c r="E9775" s="906">
        <v>11</v>
      </c>
      <c r="F9775" s="905">
        <f>D9775*E9775</f>
        <v>110</v>
      </c>
      <c r="G9775" s="891">
        <v>2.02</v>
      </c>
    </row>
    <row r="9776" spans="1:7">
      <c r="A9776" s="47"/>
      <c r="B9776" s="893"/>
      <c r="C9776" s="260" t="s">
        <v>1993</v>
      </c>
      <c r="D9776" s="905"/>
      <c r="E9776" s="906"/>
      <c r="F9776" s="894">
        <v>1</v>
      </c>
      <c r="G9776" s="891">
        <v>12</v>
      </c>
    </row>
    <row r="9779" spans="1:9">
      <c r="A9779" s="887" t="s">
        <v>455</v>
      </c>
      <c r="B9779" s="887" t="s">
        <v>52</v>
      </c>
      <c r="C9779" s="887" t="s">
        <v>128</v>
      </c>
      <c r="D9779" s="887" t="s">
        <v>1186</v>
      </c>
      <c r="E9779" s="887" t="s">
        <v>1652</v>
      </c>
      <c r="F9779" s="887" t="s">
        <v>1653</v>
      </c>
      <c r="G9779" s="1997" t="s">
        <v>1323</v>
      </c>
    </row>
    <row r="9780" spans="1:9">
      <c r="A9780" s="47" t="s">
        <v>5973</v>
      </c>
      <c r="B9780" s="2052">
        <v>10</v>
      </c>
      <c r="C9780" s="47" t="s">
        <v>7653</v>
      </c>
      <c r="D9780" s="903">
        <v>100</v>
      </c>
      <c r="E9780" s="904">
        <v>1</v>
      </c>
      <c r="F9780" s="905">
        <f>D9780*E9780</f>
        <v>100</v>
      </c>
      <c r="G9780" s="891">
        <v>0.82</v>
      </c>
    </row>
    <row r="9781" spans="1:9">
      <c r="A9781" s="47"/>
      <c r="B9781" s="893"/>
      <c r="C9781" s="260" t="s">
        <v>1993</v>
      </c>
      <c r="D9781" s="905"/>
      <c r="E9781" s="906"/>
      <c r="F9781" s="894">
        <v>1</v>
      </c>
      <c r="G9781" s="891">
        <v>12</v>
      </c>
    </row>
    <row r="9784" spans="1:9">
      <c r="A9784" s="1064" t="s">
        <v>7776</v>
      </c>
    </row>
    <row r="9785" spans="1:9" ht="15">
      <c r="A9785" s="1996" t="s">
        <v>3335</v>
      </c>
      <c r="B9785" s="1996" t="s">
        <v>53</v>
      </c>
      <c r="C9785" s="1997" t="s">
        <v>54</v>
      </c>
      <c r="D9785" s="1997" t="s">
        <v>1323</v>
      </c>
      <c r="E9785" s="1998" t="s">
        <v>7658</v>
      </c>
      <c r="F9785" s="939" t="s">
        <v>6979</v>
      </c>
      <c r="G9785" s="939" t="s">
        <v>6080</v>
      </c>
      <c r="H9785" s="940" t="s">
        <v>6081</v>
      </c>
    </row>
    <row r="9786" spans="1:9">
      <c r="A9786" s="47" t="s">
        <v>7655</v>
      </c>
      <c r="B9786" s="260" t="s">
        <v>7633</v>
      </c>
      <c r="C9786" s="47" t="s">
        <v>7661</v>
      </c>
      <c r="D9786" s="1061">
        <f>ROUNDUP(F9786/0.7/120,2)</f>
        <v>6.4799999999999995</v>
      </c>
      <c r="E9786" s="2260" t="s">
        <v>7659</v>
      </c>
      <c r="F9786" s="2000">
        <f>482+48+14</f>
        <v>544</v>
      </c>
      <c r="G9786" s="2317">
        <f>(D9786-(F9786/H9786))/D9786</f>
        <v>0.30041152263374482</v>
      </c>
      <c r="H9786" s="2000">
        <v>120</v>
      </c>
      <c r="I9786" s="389"/>
    </row>
    <row r="9787" spans="1:9">
      <c r="A9787" s="47" t="s">
        <v>7655</v>
      </c>
      <c r="B9787" s="260" t="s">
        <v>7633</v>
      </c>
      <c r="C9787" s="47" t="s">
        <v>7662</v>
      </c>
      <c r="D9787" s="1061">
        <f>ROUNDUP(F9787/0.7/120,2)</f>
        <v>6.4799999999999995</v>
      </c>
      <c r="E9787" s="2260" t="s">
        <v>7659</v>
      </c>
      <c r="F9787" s="2000">
        <f>482+48+14</f>
        <v>544</v>
      </c>
      <c r="G9787" s="2317">
        <f>(D9787-(F9787/H9787))/D9787</f>
        <v>0.30041152263374482</v>
      </c>
      <c r="H9787" s="2000">
        <v>120</v>
      </c>
      <c r="I9787" s="1957"/>
    </row>
    <row r="9788" spans="1:9">
      <c r="A9788" s="47" t="s">
        <v>7549</v>
      </c>
      <c r="B9788" s="47"/>
      <c r="C9788" s="47" t="s">
        <v>1519</v>
      </c>
      <c r="D9788" s="1061">
        <f>ROUNDUP(F9788/0.6/120,2)</f>
        <v>1.07</v>
      </c>
      <c r="E9788" s="1245" t="s">
        <v>2346</v>
      </c>
      <c r="F9788" s="2000">
        <v>77</v>
      </c>
      <c r="G9788" s="2317">
        <f>(D9788-(F9788/H9788))/D9788</f>
        <v>0.40031152647975077</v>
      </c>
      <c r="H9788" s="2000">
        <v>120</v>
      </c>
    </row>
    <row r="9789" spans="1:9">
      <c r="A9789" s="47" t="s">
        <v>7550</v>
      </c>
      <c r="B9789" s="47"/>
      <c r="C9789" s="47" t="s">
        <v>6582</v>
      </c>
      <c r="D9789" s="1061">
        <f>ROUNDUP(F9789/0.6/120,2)</f>
        <v>2.0499999999999998</v>
      </c>
      <c r="E9789" s="2260" t="s">
        <v>7551</v>
      </c>
      <c r="F9789" s="47">
        <f>77+70</f>
        <v>147</v>
      </c>
      <c r="G9789" s="2317">
        <f>(D9789-(F9789/H9789))/D9789</f>
        <v>0.40243902439024382</v>
      </c>
      <c r="H9789" s="2000">
        <v>120</v>
      </c>
      <c r="I9789" s="1957" t="s">
        <v>7552</v>
      </c>
    </row>
    <row r="9791" spans="1:9">
      <c r="A9791" s="895" t="s">
        <v>7656</v>
      </c>
    </row>
    <row r="9792" spans="1:9" ht="54">
      <c r="A9792" s="2355" t="s">
        <v>7657</v>
      </c>
      <c r="B9792" s="2963" t="s">
        <v>7660</v>
      </c>
      <c r="C9792" s="2964"/>
      <c r="D9792" s="2964"/>
    </row>
    <row r="9795" spans="1:8" ht="15">
      <c r="A9795" s="1996" t="s">
        <v>3335</v>
      </c>
      <c r="B9795" s="1996" t="s">
        <v>53</v>
      </c>
      <c r="C9795" s="1996" t="s">
        <v>54</v>
      </c>
      <c r="D9795" s="1997" t="s">
        <v>1203</v>
      </c>
    </row>
    <row r="9796" spans="1:8">
      <c r="A9796" s="889" t="s">
        <v>7664</v>
      </c>
      <c r="B9796" s="47"/>
      <c r="C9796" s="905"/>
      <c r="D9796" s="52" t="s">
        <v>134</v>
      </c>
    </row>
    <row r="9797" spans="1:8">
      <c r="A9797" s="47" t="s">
        <v>7655</v>
      </c>
      <c r="B9797" s="260" t="s">
        <v>7633</v>
      </c>
      <c r="C9797" s="905">
        <v>50</v>
      </c>
      <c r="D9797" s="891">
        <v>6.48</v>
      </c>
    </row>
    <row r="9798" spans="1:8">
      <c r="A9798" s="47"/>
      <c r="B9798" s="260"/>
      <c r="C9798" s="905"/>
      <c r="D9798" s="891"/>
    </row>
    <row r="9799" spans="1:8">
      <c r="A9799" s="889" t="s">
        <v>7665</v>
      </c>
      <c r="B9799" s="47"/>
      <c r="C9799" s="905"/>
      <c r="D9799" s="52" t="s">
        <v>7666</v>
      </c>
    </row>
    <row r="9800" spans="1:8">
      <c r="A9800" s="47" t="s">
        <v>7655</v>
      </c>
      <c r="B9800" s="260" t="s">
        <v>7633</v>
      </c>
      <c r="C9800" s="894">
        <v>1</v>
      </c>
      <c r="D9800" s="891">
        <v>110</v>
      </c>
    </row>
    <row r="9803" spans="1:8">
      <c r="A9803" s="1064" t="s">
        <v>7667</v>
      </c>
    </row>
    <row r="9804" spans="1:8" ht="25.5">
      <c r="A9804" s="1996" t="s">
        <v>5583</v>
      </c>
      <c r="B9804" s="1997" t="s">
        <v>980</v>
      </c>
      <c r="C9804" s="1997" t="s">
        <v>1323</v>
      </c>
      <c r="D9804" s="1998" t="s">
        <v>6978</v>
      </c>
      <c r="E9804" s="939" t="s">
        <v>6979</v>
      </c>
      <c r="F9804" s="939" t="s">
        <v>6080</v>
      </c>
      <c r="G9804" s="940" t="s">
        <v>6081</v>
      </c>
    </row>
    <row r="9805" spans="1:8">
      <c r="A9805" s="47" t="s">
        <v>7668</v>
      </c>
      <c r="B9805" s="47" t="s">
        <v>1519</v>
      </c>
      <c r="C9805" s="1061">
        <f>ROUNDUP(E9805/0.6/120,2)</f>
        <v>1.42</v>
      </c>
      <c r="D9805" s="1245" t="s">
        <v>2346</v>
      </c>
      <c r="E9805" s="2000">
        <v>102</v>
      </c>
      <c r="F9805" s="2317">
        <f>(C9805-(E9805/G9805))/C9805</f>
        <v>0.40140845070422532</v>
      </c>
      <c r="G9805" s="2000">
        <v>120</v>
      </c>
      <c r="H9805" s="389"/>
    </row>
    <row r="9806" spans="1:8">
      <c r="A9806" s="47" t="s">
        <v>7670</v>
      </c>
      <c r="B9806" s="47" t="s">
        <v>6582</v>
      </c>
      <c r="C9806" s="1061">
        <f>ROUNDUP(E9806/0.6/120,2)</f>
        <v>2.3899999999999997</v>
      </c>
      <c r="D9806" s="2260" t="s">
        <v>7551</v>
      </c>
      <c r="E9806" s="47">
        <f>102+70</f>
        <v>172</v>
      </c>
      <c r="F9806" s="2317">
        <f>(C9806-(E9806/G9806))/C9806</f>
        <v>0.40027894002789394</v>
      </c>
      <c r="G9806" s="2000">
        <v>120</v>
      </c>
      <c r="H9806" s="1957" t="s">
        <v>7552</v>
      </c>
    </row>
    <row r="9808" spans="1:8" ht="15">
      <c r="A9808" s="1996" t="s">
        <v>3335</v>
      </c>
      <c r="B9808" s="887" t="s">
        <v>1653</v>
      </c>
      <c r="C9808" s="887" t="s">
        <v>3130</v>
      </c>
    </row>
    <row r="9809" spans="1:10">
      <c r="A9809" s="47" t="s">
        <v>7670</v>
      </c>
      <c r="B9809" s="47" t="s">
        <v>7685</v>
      </c>
      <c r="C9809" s="1061">
        <f>ROUNDUP(D9809/0.6/120,2)+0.25</f>
        <v>2.6399999999999997</v>
      </c>
      <c r="D9809" s="47">
        <f>102+70</f>
        <v>172</v>
      </c>
      <c r="E9809" s="2317">
        <f>(C9809-(D9809/F9809))/C9809</f>
        <v>0.45707070707070702</v>
      </c>
      <c r="F9809" s="2000">
        <v>120</v>
      </c>
      <c r="G9809" s="1957" t="s">
        <v>7552</v>
      </c>
    </row>
    <row r="9810" spans="1:10">
      <c r="A9810" s="2332" t="s">
        <v>7669</v>
      </c>
      <c r="B9810" s="895"/>
      <c r="C9810" s="895"/>
      <c r="D9810" s="1918"/>
      <c r="E9810" s="895"/>
      <c r="F9810" s="2331"/>
      <c r="G9810" s="2285"/>
      <c r="H9810" s="1957"/>
    </row>
    <row r="9813" spans="1:10">
      <c r="A9813" t="s">
        <v>7676</v>
      </c>
    </row>
    <row r="9814" spans="1:10" ht="25.5">
      <c r="A9814" s="1350" t="s">
        <v>1369</v>
      </c>
      <c r="B9814" s="1351" t="s">
        <v>377</v>
      </c>
      <c r="C9814" s="1352" t="s">
        <v>7297</v>
      </c>
      <c r="D9814" s="1353" t="s">
        <v>1734</v>
      </c>
      <c r="E9814" s="1966" t="s">
        <v>2264</v>
      </c>
      <c r="F9814" s="1966" t="s">
        <v>1181</v>
      </c>
      <c r="G9814" s="1354" t="s">
        <v>5527</v>
      </c>
      <c r="H9814" t="s">
        <v>7299</v>
      </c>
      <c r="I9814" s="2045" t="s">
        <v>6080</v>
      </c>
      <c r="J9814" s="940" t="s">
        <v>6081</v>
      </c>
    </row>
    <row r="9815" spans="1:10" s="888" customFormat="1" ht="16.5">
      <c r="A9815" s="909" t="s">
        <v>7293</v>
      </c>
      <c r="B9815" s="963">
        <v>4</v>
      </c>
      <c r="C9815" s="2288">
        <v>30</v>
      </c>
      <c r="D9815" s="1172" t="s">
        <v>1812</v>
      </c>
      <c r="E9815" s="1617" t="s">
        <v>7290</v>
      </c>
      <c r="F9815" s="2287" t="s">
        <v>7291</v>
      </c>
      <c r="G9815" s="1355">
        <v>0.29000000000000004</v>
      </c>
      <c r="H9815" s="888">
        <v>16.033000000000001</v>
      </c>
      <c r="I9815" s="2083">
        <f t="shared" ref="I9815:I9842" si="99">(G9815-(H9815/J9815))/G9815</f>
        <v>0.53928160919540225</v>
      </c>
      <c r="J9815" s="2000">
        <v>120</v>
      </c>
    </row>
    <row r="9816" spans="1:10" s="888" customFormat="1" ht="16.5">
      <c r="A9816" s="909" t="s">
        <v>7293</v>
      </c>
      <c r="B9816" s="963">
        <v>6</v>
      </c>
      <c r="C9816" s="2288">
        <v>30</v>
      </c>
      <c r="D9816" s="1172" t="s">
        <v>1812</v>
      </c>
      <c r="E9816" s="1617" t="s">
        <v>7290</v>
      </c>
      <c r="F9816" s="2287" t="s">
        <v>7291</v>
      </c>
      <c r="G9816" s="1355">
        <v>0.3</v>
      </c>
      <c r="H9816" s="888">
        <v>16.7</v>
      </c>
      <c r="I9816" s="2083">
        <f t="shared" si="99"/>
        <v>0.53611111111111109</v>
      </c>
      <c r="J9816" s="2000">
        <v>120</v>
      </c>
    </row>
    <row r="9817" spans="1:10" s="888" customFormat="1" ht="16.5">
      <c r="A9817" s="909" t="s">
        <v>7293</v>
      </c>
      <c r="B9817" s="963">
        <v>9</v>
      </c>
      <c r="C9817" s="2288">
        <v>30</v>
      </c>
      <c r="D9817" s="1172" t="s">
        <v>1812</v>
      </c>
      <c r="E9817" s="1617" t="s">
        <v>7290</v>
      </c>
      <c r="F9817" s="2287" t="s">
        <v>7291</v>
      </c>
      <c r="G9817" s="1355">
        <v>0.32</v>
      </c>
      <c r="H9817" s="888">
        <v>17.600000000000001</v>
      </c>
      <c r="I9817" s="2083">
        <f t="shared" si="99"/>
        <v>0.54166666666666663</v>
      </c>
      <c r="J9817" s="2000">
        <v>120</v>
      </c>
    </row>
    <row r="9818" spans="1:10" s="888" customFormat="1" ht="16.5">
      <c r="A9818" s="909" t="s">
        <v>7293</v>
      </c>
      <c r="B9818" s="963">
        <v>12</v>
      </c>
      <c r="C9818" s="2288">
        <v>30</v>
      </c>
      <c r="D9818" s="1172" t="s">
        <v>1812</v>
      </c>
      <c r="E9818" s="1617" t="s">
        <v>7290</v>
      </c>
      <c r="F9818" s="2287" t="s">
        <v>7291</v>
      </c>
      <c r="G9818" s="1355">
        <v>0.36</v>
      </c>
      <c r="H9818" s="888">
        <v>20.033000000000001</v>
      </c>
      <c r="I9818" s="2083">
        <f t="shared" si="99"/>
        <v>0.53627314814814808</v>
      </c>
      <c r="J9818" s="2000">
        <v>120</v>
      </c>
    </row>
    <row r="9819" spans="1:10" s="888" customFormat="1" ht="16.5">
      <c r="A9819" s="909" t="s">
        <v>7293</v>
      </c>
      <c r="B9819" s="963">
        <v>15</v>
      </c>
      <c r="C9819" s="2288">
        <v>30</v>
      </c>
      <c r="D9819" s="1172" t="s">
        <v>1812</v>
      </c>
      <c r="E9819" s="1617" t="s">
        <v>7290</v>
      </c>
      <c r="F9819" s="2287" t="s">
        <v>7291</v>
      </c>
      <c r="G9819" s="1355">
        <v>0.42</v>
      </c>
      <c r="H9819" s="888">
        <v>23.6</v>
      </c>
      <c r="I9819" s="2083">
        <f t="shared" si="99"/>
        <v>0.53174603174603163</v>
      </c>
      <c r="J9819" s="2000">
        <v>120</v>
      </c>
    </row>
    <row r="9820" spans="1:10" s="888" customFormat="1" ht="16.5">
      <c r="A9820" s="909" t="s">
        <v>7293</v>
      </c>
      <c r="B9820" s="963">
        <v>19</v>
      </c>
      <c r="C9820" s="2288">
        <v>30</v>
      </c>
      <c r="D9820" s="1172" t="s">
        <v>1812</v>
      </c>
      <c r="E9820" s="1617" t="s">
        <v>7290</v>
      </c>
      <c r="F9820" s="2287" t="s">
        <v>7291</v>
      </c>
      <c r="G9820" s="1355">
        <v>0.49</v>
      </c>
      <c r="H9820" s="888">
        <v>27.565999999999999</v>
      </c>
      <c r="I9820" s="2083">
        <f t="shared" si="99"/>
        <v>0.5311904761904761</v>
      </c>
      <c r="J9820" s="2000">
        <v>120</v>
      </c>
    </row>
    <row r="9821" spans="1:10" s="888" customFormat="1" ht="16.5">
      <c r="A9821" s="909" t="s">
        <v>7293</v>
      </c>
      <c r="B9821" s="963">
        <v>25</v>
      </c>
      <c r="C9821" s="2288">
        <v>30</v>
      </c>
      <c r="D9821" s="1172" t="s">
        <v>1812</v>
      </c>
      <c r="E9821" s="1617" t="s">
        <v>7290</v>
      </c>
      <c r="F9821" s="2287" t="s">
        <v>7291</v>
      </c>
      <c r="G9821" s="1355">
        <v>0.62</v>
      </c>
      <c r="H9821" s="888">
        <v>35.165999999999997</v>
      </c>
      <c r="I9821" s="2083">
        <f t="shared" si="99"/>
        <v>0.52733870967741936</v>
      </c>
      <c r="J9821" s="2000">
        <v>120</v>
      </c>
    </row>
    <row r="9822" spans="1:10" s="888" customFormat="1" ht="16.5">
      <c r="A9822" s="909" t="s">
        <v>7293</v>
      </c>
      <c r="B9822" s="963">
        <v>32</v>
      </c>
      <c r="C9822" s="2288">
        <v>30</v>
      </c>
      <c r="D9822" s="1172" t="s">
        <v>1812</v>
      </c>
      <c r="E9822" s="1617" t="s">
        <v>7290</v>
      </c>
      <c r="F9822" s="2287" t="s">
        <v>7291</v>
      </c>
      <c r="G9822" s="1355">
        <v>0.82000000000000006</v>
      </c>
      <c r="H9822" s="888">
        <v>46.066000000000003</v>
      </c>
      <c r="I9822" s="2083">
        <f t="shared" si="99"/>
        <v>0.53184959349593497</v>
      </c>
      <c r="J9822" s="2000">
        <v>120</v>
      </c>
    </row>
    <row r="9823" spans="1:10" s="888" customFormat="1" ht="16.5">
      <c r="A9823" s="909" t="s">
        <v>7293</v>
      </c>
      <c r="B9823" s="963">
        <v>38</v>
      </c>
      <c r="C9823" s="2288">
        <v>30</v>
      </c>
      <c r="D9823" s="1172" t="s">
        <v>1812</v>
      </c>
      <c r="E9823" s="1617" t="s">
        <v>7290</v>
      </c>
      <c r="F9823" s="2287" t="s">
        <v>7291</v>
      </c>
      <c r="G9823" s="1355">
        <v>0.93</v>
      </c>
      <c r="H9823" s="888">
        <v>52.665999999999997</v>
      </c>
      <c r="I9823" s="2083">
        <f t="shared" si="99"/>
        <v>0.52808243727598569</v>
      </c>
      <c r="J9823" s="2000">
        <v>120</v>
      </c>
    </row>
    <row r="9824" spans="1:10" s="888" customFormat="1" ht="16.5">
      <c r="A9824" s="909" t="s">
        <v>7293</v>
      </c>
      <c r="B9824" s="963">
        <v>50</v>
      </c>
      <c r="C9824" s="2288">
        <v>30</v>
      </c>
      <c r="D9824" s="1172" t="s">
        <v>1812</v>
      </c>
      <c r="E9824" s="1617" t="s">
        <v>7290</v>
      </c>
      <c r="F9824" s="2287" t="s">
        <v>7291</v>
      </c>
      <c r="G9824" s="1355">
        <v>1.73</v>
      </c>
      <c r="H9824" s="888">
        <v>98.033000000000001</v>
      </c>
      <c r="I9824" s="2083">
        <f t="shared" si="99"/>
        <v>0.52777938342967246</v>
      </c>
      <c r="J9824" s="2000">
        <v>120</v>
      </c>
    </row>
    <row r="9825" spans="1:10" s="888" customFormat="1" ht="16.5">
      <c r="A9825" s="909" t="s">
        <v>7293</v>
      </c>
      <c r="B9825" s="963">
        <v>75</v>
      </c>
      <c r="C9825" s="2288">
        <v>30</v>
      </c>
      <c r="D9825" s="1172" t="s">
        <v>1812</v>
      </c>
      <c r="E9825" s="1617" t="s">
        <v>7290</v>
      </c>
      <c r="F9825" s="2287" t="s">
        <v>7291</v>
      </c>
      <c r="G9825" s="1355">
        <v>2.5099999999999998</v>
      </c>
      <c r="H9825" s="888">
        <v>142.30000000000001</v>
      </c>
      <c r="I9825" s="2083">
        <f t="shared" si="99"/>
        <v>0.52755644090305431</v>
      </c>
      <c r="J9825" s="2000">
        <v>120</v>
      </c>
    </row>
    <row r="9826" spans="1:10" s="888" customFormat="1" ht="12.75">
      <c r="A9826" s="1170" t="s">
        <v>2356</v>
      </c>
      <c r="B9826" s="1187">
        <v>3</v>
      </c>
      <c r="C9826" s="2288">
        <v>40</v>
      </c>
      <c r="D9826" s="1172" t="s">
        <v>1812</v>
      </c>
      <c r="E9826" s="1967" t="s">
        <v>289</v>
      </c>
      <c r="F9826" s="1967" t="s">
        <v>2357</v>
      </c>
      <c r="G9826" s="1355">
        <v>1.29</v>
      </c>
      <c r="H9826" s="888">
        <v>76.174999999999997</v>
      </c>
      <c r="I9826" s="2083">
        <f t="shared" si="99"/>
        <v>0.50791343669250644</v>
      </c>
      <c r="J9826" s="2000">
        <v>120</v>
      </c>
    </row>
    <row r="9827" spans="1:10" s="888" customFormat="1" ht="12.75">
      <c r="A9827" s="1170" t="s">
        <v>2356</v>
      </c>
      <c r="B9827" s="1187">
        <v>6</v>
      </c>
      <c r="C9827" s="2288">
        <v>10</v>
      </c>
      <c r="D9827" s="1172" t="s">
        <v>1812</v>
      </c>
      <c r="E9827" s="1967" t="s">
        <v>289</v>
      </c>
      <c r="F9827" s="1967" t="s">
        <v>2357</v>
      </c>
      <c r="G9827" s="1355">
        <v>1.35</v>
      </c>
      <c r="H9827" s="888">
        <v>79.900000000000006</v>
      </c>
      <c r="I9827" s="2083">
        <f t="shared" si="99"/>
        <v>0.50679012345679009</v>
      </c>
      <c r="J9827" s="2000">
        <v>120</v>
      </c>
    </row>
    <row r="9828" spans="1:10" s="888" customFormat="1" ht="12.75">
      <c r="A9828" s="1170" t="s">
        <v>2356</v>
      </c>
      <c r="B9828" s="1187">
        <v>9</v>
      </c>
      <c r="C9828" s="2288">
        <v>10</v>
      </c>
      <c r="D9828" s="1172" t="s">
        <v>1812</v>
      </c>
      <c r="E9828" s="1967" t="s">
        <v>289</v>
      </c>
      <c r="F9828" s="1967" t="s">
        <v>2357</v>
      </c>
      <c r="G9828" s="1355">
        <v>1.49</v>
      </c>
      <c r="H9828" s="888">
        <v>88.3</v>
      </c>
      <c r="I9828" s="2083">
        <f t="shared" si="99"/>
        <v>0.50615212527964204</v>
      </c>
      <c r="J9828" s="2000">
        <v>120</v>
      </c>
    </row>
    <row r="9829" spans="1:10" s="888" customFormat="1" ht="12.75">
      <c r="A9829" s="1170" t="s">
        <v>2356</v>
      </c>
      <c r="B9829" s="1187">
        <v>12</v>
      </c>
      <c r="C9829" s="2288">
        <v>10</v>
      </c>
      <c r="D9829" s="1172" t="s">
        <v>1812</v>
      </c>
      <c r="E9829" s="1967" t="s">
        <v>289</v>
      </c>
      <c r="F9829" s="1967" t="s">
        <v>2357</v>
      </c>
      <c r="G9829" s="1355">
        <v>1.61</v>
      </c>
      <c r="H9829" s="888">
        <v>95.5</v>
      </c>
      <c r="I9829" s="2083">
        <f t="shared" si="99"/>
        <v>0.50569358178053836</v>
      </c>
      <c r="J9829" s="2000">
        <v>120</v>
      </c>
    </row>
    <row r="9830" spans="1:10" s="888" customFormat="1" ht="12.75">
      <c r="A9830" s="1170" t="s">
        <v>2356</v>
      </c>
      <c r="B9830" s="1187">
        <v>18</v>
      </c>
      <c r="C9830" s="2288">
        <v>10</v>
      </c>
      <c r="D9830" s="1172" t="s">
        <v>1812</v>
      </c>
      <c r="E9830" s="1967" t="s">
        <v>289</v>
      </c>
      <c r="F9830" s="1967" t="s">
        <v>2357</v>
      </c>
      <c r="G9830" s="1355">
        <v>2.09</v>
      </c>
      <c r="H9830" s="888">
        <v>123.6</v>
      </c>
      <c r="I9830" s="2083">
        <f t="shared" si="99"/>
        <v>0.50717703349282295</v>
      </c>
      <c r="J9830" s="2000">
        <v>120</v>
      </c>
    </row>
    <row r="9831" spans="1:10" s="888" customFormat="1" ht="12.75">
      <c r="A9831" s="1170" t="s">
        <v>2356</v>
      </c>
      <c r="B9831" s="1187">
        <v>24</v>
      </c>
      <c r="C9831" s="2288">
        <v>10</v>
      </c>
      <c r="D9831" s="1172" t="s">
        <v>1812</v>
      </c>
      <c r="E9831" s="1967" t="s">
        <v>289</v>
      </c>
      <c r="F9831" s="1967" t="s">
        <v>2357</v>
      </c>
      <c r="G9831" s="1355">
        <v>2.59</v>
      </c>
      <c r="H9831" s="888">
        <v>153.30000000000001</v>
      </c>
      <c r="I9831" s="2083">
        <f t="shared" si="99"/>
        <v>0.50675675675675669</v>
      </c>
      <c r="J9831" s="2000">
        <v>120</v>
      </c>
    </row>
    <row r="9832" spans="1:10" s="888" customFormat="1" ht="12.75">
      <c r="A9832" s="1170" t="s">
        <v>2356</v>
      </c>
      <c r="B9832" s="1187">
        <v>36</v>
      </c>
      <c r="C9832" s="2288">
        <v>10</v>
      </c>
      <c r="D9832" s="1172" t="s">
        <v>1812</v>
      </c>
      <c r="E9832" s="1967" t="s">
        <v>289</v>
      </c>
      <c r="F9832" s="1967" t="s">
        <v>2357</v>
      </c>
      <c r="G9832" s="1355">
        <v>4.3</v>
      </c>
      <c r="H9832" s="888">
        <v>255.1</v>
      </c>
      <c r="I9832" s="2083">
        <f t="shared" si="99"/>
        <v>0.50562015503875968</v>
      </c>
      <c r="J9832" s="2000">
        <v>120</v>
      </c>
    </row>
    <row r="9833" spans="1:10" s="888" customFormat="1" ht="12.75">
      <c r="A9833" s="1170" t="s">
        <v>2356</v>
      </c>
      <c r="B9833" s="1187">
        <v>48</v>
      </c>
      <c r="C9833" s="2288">
        <v>10</v>
      </c>
      <c r="D9833" s="1172" t="s">
        <v>1812</v>
      </c>
      <c r="E9833" s="1967" t="s">
        <v>289</v>
      </c>
      <c r="F9833" s="1967" t="s">
        <v>2357</v>
      </c>
      <c r="G9833" s="1355">
        <v>6.33</v>
      </c>
      <c r="H9833" s="888">
        <v>376</v>
      </c>
      <c r="I9833" s="2083">
        <f t="shared" si="99"/>
        <v>0.50500263296471826</v>
      </c>
      <c r="J9833" s="2000">
        <v>120</v>
      </c>
    </row>
    <row r="9834" spans="1:10" s="888" customFormat="1" ht="16.5">
      <c r="A9834" s="1170" t="s">
        <v>7296</v>
      </c>
      <c r="B9834" s="1187">
        <v>4</v>
      </c>
      <c r="C9834" s="2288">
        <v>30</v>
      </c>
      <c r="D9834" s="1172" t="s">
        <v>1812</v>
      </c>
      <c r="E9834" s="1967" t="s">
        <v>7298</v>
      </c>
      <c r="F9834" s="2287" t="s">
        <v>7291</v>
      </c>
      <c r="G9834" s="1355">
        <v>0.18000000000000002</v>
      </c>
      <c r="H9834" s="888">
        <v>9.7333333333333325</v>
      </c>
      <c r="I9834" s="2083">
        <f t="shared" si="99"/>
        <v>0.54938271604938282</v>
      </c>
      <c r="J9834" s="2000">
        <v>120</v>
      </c>
    </row>
    <row r="9835" spans="1:10" s="888" customFormat="1" ht="16.5">
      <c r="A9835" s="1170" t="s">
        <v>7296</v>
      </c>
      <c r="B9835" s="1187">
        <v>6</v>
      </c>
      <c r="C9835" s="2288">
        <v>30</v>
      </c>
      <c r="D9835" s="1172" t="s">
        <v>1812</v>
      </c>
      <c r="E9835" s="1967" t="s">
        <v>7298</v>
      </c>
      <c r="F9835" s="2287" t="s">
        <v>7291</v>
      </c>
      <c r="G9835" s="1355">
        <v>0.2</v>
      </c>
      <c r="H9835" s="888">
        <v>11.033333333333333</v>
      </c>
      <c r="I9835" s="2083">
        <f t="shared" si="99"/>
        <v>0.54027777777777786</v>
      </c>
      <c r="J9835" s="2000">
        <v>120</v>
      </c>
    </row>
    <row r="9836" spans="1:10" s="888" customFormat="1" ht="16.5">
      <c r="A9836" s="1170" t="s">
        <v>7296</v>
      </c>
      <c r="B9836" s="1187">
        <v>9</v>
      </c>
      <c r="C9836" s="2288">
        <v>30</v>
      </c>
      <c r="D9836" s="1172" t="s">
        <v>1812</v>
      </c>
      <c r="E9836" s="1967" t="s">
        <v>7298</v>
      </c>
      <c r="F9836" s="2287" t="s">
        <v>7291</v>
      </c>
      <c r="G9836" s="1355">
        <v>0.25</v>
      </c>
      <c r="H9836" s="888">
        <v>13.8</v>
      </c>
      <c r="I9836" s="2083">
        <f t="shared" si="99"/>
        <v>0.54</v>
      </c>
      <c r="J9836" s="2000">
        <v>120</v>
      </c>
    </row>
    <row r="9837" spans="1:10" s="888" customFormat="1" ht="16.5">
      <c r="A9837" s="1170" t="s">
        <v>7296</v>
      </c>
      <c r="B9837" s="1187">
        <v>12</v>
      </c>
      <c r="C9837" s="2288">
        <v>30</v>
      </c>
      <c r="D9837" s="1172" t="s">
        <v>1812</v>
      </c>
      <c r="E9837" s="1967" t="s">
        <v>7298</v>
      </c>
      <c r="F9837" s="2287" t="s">
        <v>7291</v>
      </c>
      <c r="G9837" s="1355">
        <v>0.32</v>
      </c>
      <c r="H9837" s="888">
        <v>17.766666666666666</v>
      </c>
      <c r="I9837" s="2083">
        <f t="shared" si="99"/>
        <v>0.53732638888888895</v>
      </c>
      <c r="J9837" s="2000">
        <v>120</v>
      </c>
    </row>
    <row r="9838" spans="1:10" s="888" customFormat="1" ht="16.5">
      <c r="A9838" s="1170" t="s">
        <v>7296</v>
      </c>
      <c r="B9838" s="1187">
        <v>15</v>
      </c>
      <c r="C9838" s="2288">
        <v>30</v>
      </c>
      <c r="D9838" s="1172" t="s">
        <v>1812</v>
      </c>
      <c r="E9838" s="1967" t="s">
        <v>7298</v>
      </c>
      <c r="F9838" s="2287" t="s">
        <v>7291</v>
      </c>
      <c r="G9838" s="1355">
        <v>0.39</v>
      </c>
      <c r="H9838" s="888">
        <v>21.6</v>
      </c>
      <c r="I9838" s="2083">
        <f t="shared" si="99"/>
        <v>0.53846153846153844</v>
      </c>
      <c r="J9838" s="2000">
        <v>120</v>
      </c>
    </row>
    <row r="9839" spans="1:10" s="888" customFormat="1" ht="16.5">
      <c r="A9839" s="1170" t="s">
        <v>7296</v>
      </c>
      <c r="B9839" s="1187">
        <v>18</v>
      </c>
      <c r="C9839" s="2288">
        <v>30</v>
      </c>
      <c r="D9839" s="1172" t="s">
        <v>1812</v>
      </c>
      <c r="E9839" s="1967" t="s">
        <v>7298</v>
      </c>
      <c r="F9839" s="2287" t="s">
        <v>7291</v>
      </c>
      <c r="G9839" s="1355">
        <v>0.48</v>
      </c>
      <c r="H9839" s="888">
        <v>26.666666666666668</v>
      </c>
      <c r="I9839" s="2083">
        <f t="shared" si="99"/>
        <v>0.53703703703703709</v>
      </c>
      <c r="J9839" s="2000">
        <v>120</v>
      </c>
    </row>
    <row r="9840" spans="1:10" s="888" customFormat="1" ht="16.5">
      <c r="A9840" s="1170" t="s">
        <v>7296</v>
      </c>
      <c r="B9840" s="1187">
        <v>24</v>
      </c>
      <c r="C9840" s="2288">
        <v>30</v>
      </c>
      <c r="D9840" s="1172" t="s">
        <v>1812</v>
      </c>
      <c r="E9840" s="1967" t="s">
        <v>7298</v>
      </c>
      <c r="F9840" s="2287" t="s">
        <v>7291</v>
      </c>
      <c r="G9840" s="1355">
        <v>0.59</v>
      </c>
      <c r="H9840" s="888">
        <v>33.033333333333331</v>
      </c>
      <c r="I9840" s="2083">
        <f t="shared" si="99"/>
        <v>0.53342749529190203</v>
      </c>
      <c r="J9840" s="2000">
        <v>120</v>
      </c>
    </row>
    <row r="9841" spans="1:120" s="888" customFormat="1" ht="16.5">
      <c r="A9841" s="1170" t="s">
        <v>7296</v>
      </c>
      <c r="B9841" s="1187">
        <v>36</v>
      </c>
      <c r="C9841" s="2288">
        <v>30</v>
      </c>
      <c r="D9841" s="1172" t="s">
        <v>1812</v>
      </c>
      <c r="E9841" s="1967" t="s">
        <v>7298</v>
      </c>
      <c r="F9841" s="2287" t="s">
        <v>7291</v>
      </c>
      <c r="G9841" s="1355">
        <v>0.93</v>
      </c>
      <c r="H9841" s="888">
        <v>52.5</v>
      </c>
      <c r="I9841" s="2083">
        <f t="shared" si="99"/>
        <v>0.52956989247311825</v>
      </c>
      <c r="J9841" s="2000">
        <v>120</v>
      </c>
    </row>
    <row r="9842" spans="1:120" s="888" customFormat="1" ht="16.5">
      <c r="A9842" s="1170" t="s">
        <v>7296</v>
      </c>
      <c r="B9842" s="1187">
        <v>50</v>
      </c>
      <c r="C9842" s="2288">
        <v>30</v>
      </c>
      <c r="D9842" s="1172" t="s">
        <v>1812</v>
      </c>
      <c r="E9842" s="1967" t="s">
        <v>7298</v>
      </c>
      <c r="F9842" s="2287" t="s">
        <v>7291</v>
      </c>
      <c r="G9842" s="1355">
        <v>1.24</v>
      </c>
      <c r="H9842" s="888">
        <v>69.900000000000006</v>
      </c>
      <c r="I9842" s="2083">
        <f t="shared" si="99"/>
        <v>0.530241935483871</v>
      </c>
      <c r="J9842" s="2000">
        <v>120</v>
      </c>
    </row>
    <row r="9843" spans="1:120" s="1019" customFormat="1" ht="15" customHeight="1">
      <c r="A9843" s="1170" t="s">
        <v>7671</v>
      </c>
      <c r="B9843" s="979">
        <v>4</v>
      </c>
      <c r="C9843" s="2288">
        <v>15</v>
      </c>
      <c r="D9843" s="1172" t="s">
        <v>1812</v>
      </c>
      <c r="E9843" s="1967" t="s">
        <v>7672</v>
      </c>
      <c r="F9843" s="1967" t="s">
        <v>2745</v>
      </c>
      <c r="G9843" s="1355">
        <v>0.5</v>
      </c>
      <c r="H9843" s="2357">
        <v>29.466660000000001</v>
      </c>
      <c r="I9843" s="2083">
        <f>(G9843-(H9843/J9843))/G9843</f>
        <v>0.50888899999999992</v>
      </c>
      <c r="J9843" s="2000">
        <v>120</v>
      </c>
      <c r="K9843" s="1191"/>
      <c r="L9843" s="1191"/>
      <c r="M9843" s="1191"/>
      <c r="N9843" s="1191"/>
      <c r="O9843" s="1191"/>
      <c r="P9843" s="1191"/>
      <c r="Q9843" s="1191"/>
      <c r="R9843" s="1191"/>
      <c r="S9843" s="1191"/>
      <c r="T9843" s="1191"/>
      <c r="U9843" s="1191"/>
      <c r="V9843" s="1191"/>
      <c r="W9843" s="1191"/>
      <c r="X9843" s="1191"/>
      <c r="Y9843" s="1191"/>
      <c r="Z9843" s="1191"/>
      <c r="AA9843" s="1191"/>
      <c r="AB9843" s="1191"/>
      <c r="AC9843" s="1191"/>
      <c r="AD9843" s="1191"/>
      <c r="AE9843" s="1191"/>
      <c r="AF9843" s="1191"/>
      <c r="AG9843" s="1191"/>
      <c r="AH9843" s="1191"/>
      <c r="AI9843" s="1191"/>
      <c r="AJ9843" s="1191"/>
      <c r="AK9843" s="1191"/>
      <c r="AL9843" s="1191"/>
      <c r="AM9843" s="1191"/>
      <c r="AN9843" s="1191"/>
      <c r="AO9843" s="1191"/>
      <c r="AP9843" s="1191"/>
      <c r="AQ9843" s="1191"/>
      <c r="AR9843" s="1191"/>
      <c r="AS9843" s="1191"/>
      <c r="AT9843" s="1191"/>
      <c r="AU9843" s="1191"/>
      <c r="AV9843" s="1191"/>
      <c r="AW9843" s="1191"/>
      <c r="AX9843" s="1191"/>
      <c r="AY9843" s="1191"/>
      <c r="AZ9843" s="1191"/>
      <c r="BA9843" s="1191"/>
      <c r="BB9843" s="1191"/>
      <c r="BC9843" s="1191"/>
      <c r="BD9843" s="1191"/>
      <c r="BE9843" s="1191"/>
      <c r="BF9843" s="1191"/>
      <c r="BG9843" s="1191"/>
      <c r="BH9843" s="1191"/>
      <c r="BI9843" s="1191"/>
      <c r="BJ9843" s="1191"/>
      <c r="BK9843" s="1191"/>
      <c r="BL9843" s="1191"/>
      <c r="BM9843" s="1191"/>
      <c r="BN9843" s="1191"/>
      <c r="BO9843" s="1191"/>
      <c r="BP9843" s="1191"/>
      <c r="BQ9843" s="1191"/>
      <c r="BR9843" s="1191"/>
      <c r="BS9843" s="1191"/>
      <c r="BT9843" s="1191"/>
      <c r="BU9843" s="1191"/>
      <c r="BV9843" s="1191"/>
      <c r="BW9843" s="1191"/>
      <c r="BX9843" s="1191"/>
      <c r="BY9843" s="1191"/>
      <c r="BZ9843" s="1191"/>
      <c r="CA9843" s="1191"/>
      <c r="CB9843" s="1191"/>
      <c r="CC9843" s="1191"/>
      <c r="CD9843" s="1191"/>
      <c r="CE9843" s="1191"/>
      <c r="CF9843" s="1191"/>
      <c r="CG9843" s="1191"/>
      <c r="CH9843" s="1191"/>
      <c r="CI9843" s="1191"/>
      <c r="CJ9843" s="1191"/>
      <c r="CK9843" s="1191"/>
      <c r="CL9843" s="1191"/>
      <c r="CM9843" s="1191"/>
      <c r="CN9843" s="1191"/>
      <c r="CO9843" s="1191"/>
      <c r="CP9843" s="1191"/>
      <c r="CQ9843" s="1191"/>
      <c r="CR9843" s="1191"/>
      <c r="CS9843" s="1191"/>
      <c r="CT9843" s="1191"/>
      <c r="CU9843" s="1191"/>
      <c r="CV9843" s="1191"/>
      <c r="CW9843" s="1191"/>
      <c r="CX9843" s="1191"/>
      <c r="CY9843" s="1191"/>
      <c r="CZ9843" s="1191"/>
      <c r="DA9843" s="1191"/>
      <c r="DB9843" s="1191"/>
      <c r="DC9843" s="1191"/>
      <c r="DD9843" s="1191"/>
      <c r="DE9843" s="1191"/>
      <c r="DF9843" s="1191"/>
      <c r="DG9843" s="1191"/>
      <c r="DH9843" s="1191"/>
      <c r="DI9843" s="1191"/>
      <c r="DJ9843" s="1191"/>
      <c r="DK9843" s="1191"/>
      <c r="DL9843" s="1191"/>
      <c r="DM9843" s="1191"/>
      <c r="DN9843" s="1191"/>
      <c r="DO9843" s="1191"/>
      <c r="DP9843" s="1191"/>
    </row>
    <row r="9844" spans="1:120" s="1019" customFormat="1" ht="15" customHeight="1">
      <c r="A9844" s="1170" t="s">
        <v>7671</v>
      </c>
      <c r="B9844" s="979">
        <v>6</v>
      </c>
      <c r="C9844" s="2288">
        <v>15</v>
      </c>
      <c r="D9844" s="1172" t="s">
        <v>1812</v>
      </c>
      <c r="E9844" s="1967" t="s">
        <v>7672</v>
      </c>
      <c r="F9844" s="1967" t="s">
        <v>2745</v>
      </c>
      <c r="G9844" s="1355">
        <v>0.57999999999999996</v>
      </c>
      <c r="H9844" s="2357">
        <v>34.333300000000001</v>
      </c>
      <c r="I9844" s="2083">
        <f>(G9844-(H9844/J9844))/G9844</f>
        <v>0.50670545977011483</v>
      </c>
      <c r="J9844" s="2000">
        <v>120</v>
      </c>
      <c r="K9844" s="1191"/>
      <c r="L9844" s="1191"/>
      <c r="M9844" s="1191"/>
      <c r="N9844" s="1191"/>
      <c r="O9844" s="1191"/>
      <c r="P9844" s="1191"/>
      <c r="Q9844" s="1191"/>
      <c r="R9844" s="1191"/>
      <c r="S9844" s="1191"/>
      <c r="T9844" s="1191"/>
      <c r="U9844" s="1191"/>
      <c r="V9844" s="1191"/>
      <c r="W9844" s="1191"/>
      <c r="X9844" s="1191"/>
      <c r="Y9844" s="1191"/>
      <c r="Z9844" s="1191"/>
      <c r="AA9844" s="1191"/>
      <c r="AB9844" s="1191"/>
      <c r="AC9844" s="1191"/>
      <c r="AD9844" s="1191"/>
      <c r="AE9844" s="1191"/>
      <c r="AF9844" s="1191"/>
      <c r="AG9844" s="1191"/>
      <c r="AH9844" s="1191"/>
      <c r="AI9844" s="1191"/>
      <c r="AJ9844" s="1191"/>
      <c r="AK9844" s="1191"/>
      <c r="AL9844" s="1191"/>
      <c r="AM9844" s="1191"/>
      <c r="AN9844" s="1191"/>
      <c r="AO9844" s="1191"/>
      <c r="AP9844" s="1191"/>
      <c r="AQ9844" s="1191"/>
      <c r="AR9844" s="1191"/>
      <c r="AS9844" s="1191"/>
      <c r="AT9844" s="1191"/>
      <c r="AU9844" s="1191"/>
      <c r="AV9844" s="1191"/>
      <c r="AW9844" s="1191"/>
      <c r="AX9844" s="1191"/>
      <c r="AY9844" s="1191"/>
      <c r="AZ9844" s="1191"/>
      <c r="BA9844" s="1191"/>
      <c r="BB9844" s="1191"/>
      <c r="BC9844" s="1191"/>
      <c r="BD9844" s="1191"/>
      <c r="BE9844" s="1191"/>
      <c r="BF9844" s="1191"/>
      <c r="BG9844" s="1191"/>
      <c r="BH9844" s="1191"/>
      <c r="BI9844" s="1191"/>
      <c r="BJ9844" s="1191"/>
      <c r="BK9844" s="1191"/>
      <c r="BL9844" s="1191"/>
      <c r="BM9844" s="1191"/>
      <c r="BN9844" s="1191"/>
      <c r="BO9844" s="1191"/>
      <c r="BP9844" s="1191"/>
      <c r="BQ9844" s="1191"/>
      <c r="BR9844" s="1191"/>
      <c r="BS9844" s="1191"/>
      <c r="BT9844" s="1191"/>
      <c r="BU9844" s="1191"/>
      <c r="BV9844" s="1191"/>
      <c r="BW9844" s="1191"/>
      <c r="BX9844" s="1191"/>
      <c r="BY9844" s="1191"/>
      <c r="BZ9844" s="1191"/>
      <c r="CA9844" s="1191"/>
      <c r="CB9844" s="1191"/>
      <c r="CC9844" s="1191"/>
      <c r="CD9844" s="1191"/>
      <c r="CE9844" s="1191"/>
      <c r="CF9844" s="1191"/>
      <c r="CG9844" s="1191"/>
      <c r="CH9844" s="1191"/>
      <c r="CI9844" s="1191"/>
      <c r="CJ9844" s="1191"/>
      <c r="CK9844" s="1191"/>
      <c r="CL9844" s="1191"/>
      <c r="CM9844" s="1191"/>
      <c r="CN9844" s="1191"/>
      <c r="CO9844" s="1191"/>
      <c r="CP9844" s="1191"/>
      <c r="CQ9844" s="1191"/>
      <c r="CR9844" s="1191"/>
      <c r="CS9844" s="1191"/>
      <c r="CT9844" s="1191"/>
      <c r="CU9844" s="1191"/>
      <c r="CV9844" s="1191"/>
      <c r="CW9844" s="1191"/>
      <c r="CX9844" s="1191"/>
      <c r="CY9844" s="1191"/>
      <c r="CZ9844" s="1191"/>
      <c r="DA9844" s="1191"/>
      <c r="DB9844" s="1191"/>
      <c r="DC9844" s="1191"/>
      <c r="DD9844" s="1191"/>
      <c r="DE9844" s="1191"/>
      <c r="DF9844" s="1191"/>
      <c r="DG9844" s="1191"/>
      <c r="DH9844" s="1191"/>
      <c r="DI9844" s="1191"/>
      <c r="DJ9844" s="1191"/>
      <c r="DK9844" s="1191"/>
      <c r="DL9844" s="1191"/>
      <c r="DM9844" s="1191"/>
      <c r="DN9844" s="1191"/>
      <c r="DO9844" s="1191"/>
      <c r="DP9844" s="1191"/>
    </row>
    <row r="9845" spans="1:120" s="1019" customFormat="1" ht="15" customHeight="1">
      <c r="A9845" s="1170" t="s">
        <v>7671</v>
      </c>
      <c r="B9845" s="979">
        <v>9</v>
      </c>
      <c r="C9845" s="2288">
        <v>15</v>
      </c>
      <c r="D9845" s="1172" t="s">
        <v>1812</v>
      </c>
      <c r="E9845" s="1967" t="s">
        <v>7672</v>
      </c>
      <c r="F9845" s="1967" t="s">
        <v>2745</v>
      </c>
      <c r="G9845" s="1355">
        <v>0.82000000000000006</v>
      </c>
      <c r="H9845" s="2357">
        <v>48.666600000000003</v>
      </c>
      <c r="I9845" s="2083">
        <f>(G9845-(H9845/J9845))/G9845</f>
        <v>0.50542073170731716</v>
      </c>
      <c r="J9845" s="2000">
        <v>120</v>
      </c>
      <c r="K9845" s="1191"/>
      <c r="L9845" s="1191"/>
      <c r="M9845" s="1191"/>
      <c r="N9845" s="1191"/>
      <c r="O9845" s="1191"/>
      <c r="P9845" s="1191"/>
      <c r="Q9845" s="1191"/>
      <c r="R9845" s="1191"/>
      <c r="S9845" s="1191"/>
      <c r="T9845" s="1191"/>
      <c r="U9845" s="1191"/>
      <c r="V9845" s="1191"/>
      <c r="W9845" s="1191"/>
      <c r="X9845" s="1191"/>
      <c r="Y9845" s="1191"/>
      <c r="Z9845" s="1191"/>
      <c r="AA9845" s="1191"/>
      <c r="AB9845" s="1191"/>
      <c r="AC9845" s="1191"/>
      <c r="AD9845" s="1191"/>
      <c r="AE9845" s="1191"/>
      <c r="AF9845" s="1191"/>
      <c r="AG9845" s="1191"/>
      <c r="AH9845" s="1191"/>
      <c r="AI9845" s="1191"/>
      <c r="AJ9845" s="1191"/>
      <c r="AK9845" s="1191"/>
      <c r="AL9845" s="1191"/>
      <c r="AM9845" s="1191"/>
      <c r="AN9845" s="1191"/>
      <c r="AO9845" s="1191"/>
      <c r="AP9845" s="1191"/>
      <c r="AQ9845" s="1191"/>
      <c r="AR9845" s="1191"/>
      <c r="AS9845" s="1191"/>
      <c r="AT9845" s="1191"/>
      <c r="AU9845" s="1191"/>
      <c r="AV9845" s="1191"/>
      <c r="AW9845" s="1191"/>
      <c r="AX9845" s="1191"/>
      <c r="AY9845" s="1191"/>
      <c r="AZ9845" s="1191"/>
      <c r="BA9845" s="1191"/>
      <c r="BB9845" s="1191"/>
      <c r="BC9845" s="1191"/>
      <c r="BD9845" s="1191"/>
      <c r="BE9845" s="1191"/>
      <c r="BF9845" s="1191"/>
      <c r="BG9845" s="1191"/>
      <c r="BH9845" s="1191"/>
      <c r="BI9845" s="1191"/>
      <c r="BJ9845" s="1191"/>
      <c r="BK9845" s="1191"/>
      <c r="BL9845" s="1191"/>
      <c r="BM9845" s="1191"/>
      <c r="BN9845" s="1191"/>
      <c r="BO9845" s="1191"/>
      <c r="BP9845" s="1191"/>
      <c r="BQ9845" s="1191"/>
      <c r="BR9845" s="1191"/>
      <c r="BS9845" s="1191"/>
      <c r="BT9845" s="1191"/>
      <c r="BU9845" s="1191"/>
      <c r="BV9845" s="1191"/>
      <c r="BW9845" s="1191"/>
      <c r="BX9845" s="1191"/>
      <c r="BY9845" s="1191"/>
      <c r="BZ9845" s="1191"/>
      <c r="CA9845" s="1191"/>
      <c r="CB9845" s="1191"/>
      <c r="CC9845" s="1191"/>
      <c r="CD9845" s="1191"/>
      <c r="CE9845" s="1191"/>
      <c r="CF9845" s="1191"/>
      <c r="CG9845" s="1191"/>
      <c r="CH9845" s="1191"/>
      <c r="CI9845" s="1191"/>
      <c r="CJ9845" s="1191"/>
      <c r="CK9845" s="1191"/>
      <c r="CL9845" s="1191"/>
      <c r="CM9845" s="1191"/>
      <c r="CN9845" s="1191"/>
      <c r="CO9845" s="1191"/>
      <c r="CP9845" s="1191"/>
      <c r="CQ9845" s="1191"/>
      <c r="CR9845" s="1191"/>
      <c r="CS9845" s="1191"/>
      <c r="CT9845" s="1191"/>
      <c r="CU9845" s="1191"/>
      <c r="CV9845" s="1191"/>
      <c r="CW9845" s="1191"/>
      <c r="CX9845" s="1191"/>
      <c r="CY9845" s="1191"/>
      <c r="CZ9845" s="1191"/>
      <c r="DA9845" s="1191"/>
      <c r="DB9845" s="1191"/>
      <c r="DC9845" s="1191"/>
      <c r="DD9845" s="1191"/>
      <c r="DE9845" s="1191"/>
      <c r="DF9845" s="1191"/>
      <c r="DG9845" s="1191"/>
      <c r="DH9845" s="1191"/>
      <c r="DI9845" s="1191"/>
      <c r="DJ9845" s="1191"/>
      <c r="DK9845" s="1191"/>
      <c r="DL9845" s="1191"/>
      <c r="DM9845" s="1191"/>
      <c r="DN9845" s="1191"/>
      <c r="DO9845" s="1191"/>
      <c r="DP9845" s="1191"/>
    </row>
    <row r="9846" spans="1:120" s="1019" customFormat="1" ht="15" customHeight="1">
      <c r="A9846" s="1170" t="s">
        <v>7671</v>
      </c>
      <c r="B9846" s="979">
        <v>12</v>
      </c>
      <c r="C9846" s="2288">
        <v>15</v>
      </c>
      <c r="D9846" s="1172" t="s">
        <v>1812</v>
      </c>
      <c r="E9846" s="1967" t="s">
        <v>7672</v>
      </c>
      <c r="F9846" s="1967" t="s">
        <v>2745</v>
      </c>
      <c r="G9846" s="1355">
        <v>1.02</v>
      </c>
      <c r="H9846" s="2357">
        <v>60.6</v>
      </c>
      <c r="I9846" s="2083">
        <f t="shared" ref="I9846:I9864" si="100">(G9846-(H9846/J9846))/G9846</f>
        <v>0.50490196078431371</v>
      </c>
      <c r="J9846" s="2000">
        <v>120</v>
      </c>
      <c r="K9846" s="1191"/>
      <c r="L9846" s="1191"/>
      <c r="M9846" s="1191"/>
      <c r="N9846" s="1191"/>
      <c r="O9846" s="1191"/>
      <c r="P9846" s="1191"/>
      <c r="Q9846" s="1191"/>
      <c r="R9846" s="1191"/>
      <c r="S9846" s="1191"/>
      <c r="T9846" s="1191"/>
      <c r="U9846" s="1191"/>
      <c r="V9846" s="1191"/>
      <c r="W9846" s="1191"/>
      <c r="X9846" s="1191"/>
      <c r="Y9846" s="1191"/>
      <c r="Z9846" s="1191"/>
      <c r="AA9846" s="1191"/>
      <c r="AB9846" s="1191"/>
      <c r="AC9846" s="1191"/>
      <c r="AD9846" s="1191"/>
      <c r="AE9846" s="1191"/>
      <c r="AF9846" s="1191"/>
      <c r="AG9846" s="1191"/>
      <c r="AH9846" s="1191"/>
      <c r="AI9846" s="1191"/>
      <c r="AJ9846" s="1191"/>
      <c r="AK9846" s="1191"/>
      <c r="AL9846" s="1191"/>
      <c r="AM9846" s="1191"/>
      <c r="AN9846" s="1191"/>
      <c r="AO9846" s="1191"/>
      <c r="AP9846" s="1191"/>
      <c r="AQ9846" s="1191"/>
      <c r="AR9846" s="1191"/>
      <c r="AS9846" s="1191"/>
      <c r="AT9846" s="1191"/>
      <c r="AU9846" s="1191"/>
      <c r="AV9846" s="1191"/>
      <c r="AW9846" s="1191"/>
      <c r="AX9846" s="1191"/>
      <c r="AY9846" s="1191"/>
      <c r="AZ9846" s="1191"/>
      <c r="BA9846" s="1191"/>
      <c r="BB9846" s="1191"/>
      <c r="BC9846" s="1191"/>
      <c r="BD9846" s="1191"/>
      <c r="BE9846" s="1191"/>
      <c r="BF9846" s="1191"/>
      <c r="BG9846" s="1191"/>
      <c r="BH9846" s="1191"/>
      <c r="BI9846" s="1191"/>
      <c r="BJ9846" s="1191"/>
      <c r="BK9846" s="1191"/>
      <c r="BL9846" s="1191"/>
      <c r="BM9846" s="1191"/>
      <c r="BN9846" s="1191"/>
      <c r="BO9846" s="1191"/>
      <c r="BP9846" s="1191"/>
      <c r="BQ9846" s="1191"/>
      <c r="BR9846" s="1191"/>
      <c r="BS9846" s="1191"/>
      <c r="BT9846" s="1191"/>
      <c r="BU9846" s="1191"/>
      <c r="BV9846" s="1191"/>
      <c r="BW9846" s="1191"/>
      <c r="BX9846" s="1191"/>
      <c r="BY9846" s="1191"/>
      <c r="BZ9846" s="1191"/>
      <c r="CA9846" s="1191"/>
      <c r="CB9846" s="1191"/>
      <c r="CC9846" s="1191"/>
      <c r="CD9846" s="1191"/>
      <c r="CE9846" s="1191"/>
      <c r="CF9846" s="1191"/>
      <c r="CG9846" s="1191"/>
      <c r="CH9846" s="1191"/>
      <c r="CI9846" s="1191"/>
      <c r="CJ9846" s="1191"/>
      <c r="CK9846" s="1191"/>
      <c r="CL9846" s="1191"/>
      <c r="CM9846" s="1191"/>
      <c r="CN9846" s="1191"/>
      <c r="CO9846" s="1191"/>
      <c r="CP9846" s="1191"/>
      <c r="CQ9846" s="1191"/>
      <c r="CR9846" s="1191"/>
      <c r="CS9846" s="1191"/>
      <c r="CT9846" s="1191"/>
      <c r="CU9846" s="1191"/>
      <c r="CV9846" s="1191"/>
      <c r="CW9846" s="1191"/>
      <c r="CX9846" s="1191"/>
      <c r="CY9846" s="1191"/>
      <c r="CZ9846" s="1191"/>
      <c r="DA9846" s="1191"/>
      <c r="DB9846" s="1191"/>
      <c r="DC9846" s="1191"/>
      <c r="DD9846" s="1191"/>
      <c r="DE9846" s="1191"/>
      <c r="DF9846" s="1191"/>
      <c r="DG9846" s="1191"/>
      <c r="DH9846" s="1191"/>
      <c r="DI9846" s="1191"/>
      <c r="DJ9846" s="1191"/>
      <c r="DK9846" s="1191"/>
      <c r="DL9846" s="1191"/>
      <c r="DM9846" s="1191"/>
      <c r="DN9846" s="1191"/>
      <c r="DO9846" s="1191"/>
      <c r="DP9846" s="1191"/>
    </row>
    <row r="9847" spans="1:120" s="1019" customFormat="1" ht="15" customHeight="1">
      <c r="A9847" s="1170" t="s">
        <v>7671</v>
      </c>
      <c r="B9847" s="979">
        <v>15</v>
      </c>
      <c r="C9847" s="2288">
        <v>15</v>
      </c>
      <c r="D9847" s="1172" t="s">
        <v>1812</v>
      </c>
      <c r="E9847" s="1967" t="s">
        <v>7672</v>
      </c>
      <c r="F9847" s="1967" t="s">
        <v>2745</v>
      </c>
      <c r="G9847" s="1355">
        <v>1.3</v>
      </c>
      <c r="H9847" s="2358">
        <v>77</v>
      </c>
      <c r="I9847" s="2083">
        <f t="shared" si="100"/>
        <v>0.50641025641025639</v>
      </c>
      <c r="J9847" s="2000">
        <v>120</v>
      </c>
      <c r="K9847" s="1191"/>
      <c r="L9847" s="1191"/>
      <c r="M9847" s="1191"/>
      <c r="N9847" s="1191"/>
      <c r="O9847" s="1191"/>
      <c r="P9847" s="1191"/>
      <c r="Q9847" s="1191"/>
      <c r="R9847" s="1191"/>
      <c r="S9847" s="1191"/>
      <c r="T9847" s="1191"/>
      <c r="U9847" s="1191"/>
      <c r="V9847" s="1191"/>
      <c r="W9847" s="1191"/>
      <c r="X9847" s="1191"/>
      <c r="Y9847" s="1191"/>
      <c r="Z9847" s="1191"/>
      <c r="AA9847" s="1191"/>
      <c r="AB9847" s="1191"/>
      <c r="AC9847" s="1191"/>
      <c r="AD9847" s="1191"/>
      <c r="AE9847" s="1191"/>
      <c r="AF9847" s="1191"/>
      <c r="AG9847" s="1191"/>
      <c r="AH9847" s="1191"/>
      <c r="AI9847" s="1191"/>
      <c r="AJ9847" s="1191"/>
      <c r="AK9847" s="1191"/>
      <c r="AL9847" s="1191"/>
      <c r="AM9847" s="1191"/>
      <c r="AN9847" s="1191"/>
      <c r="AO9847" s="1191"/>
      <c r="AP9847" s="1191"/>
      <c r="AQ9847" s="1191"/>
      <c r="AR9847" s="1191"/>
      <c r="AS9847" s="1191"/>
      <c r="AT9847" s="1191"/>
      <c r="AU9847" s="1191"/>
      <c r="AV9847" s="1191"/>
      <c r="AW9847" s="1191"/>
      <c r="AX9847" s="1191"/>
      <c r="AY9847" s="1191"/>
      <c r="AZ9847" s="1191"/>
      <c r="BA9847" s="1191"/>
      <c r="BB9847" s="1191"/>
      <c r="BC9847" s="1191"/>
      <c r="BD9847" s="1191"/>
      <c r="BE9847" s="1191"/>
      <c r="BF9847" s="1191"/>
      <c r="BG9847" s="1191"/>
      <c r="BH9847" s="1191"/>
      <c r="BI9847" s="1191"/>
      <c r="BJ9847" s="1191"/>
      <c r="BK9847" s="1191"/>
      <c r="BL9847" s="1191"/>
      <c r="BM9847" s="1191"/>
      <c r="BN9847" s="1191"/>
      <c r="BO9847" s="1191"/>
      <c r="BP9847" s="1191"/>
      <c r="BQ9847" s="1191"/>
      <c r="BR9847" s="1191"/>
      <c r="BS9847" s="1191"/>
      <c r="BT9847" s="1191"/>
      <c r="BU9847" s="1191"/>
      <c r="BV9847" s="1191"/>
      <c r="BW9847" s="1191"/>
      <c r="BX9847" s="1191"/>
      <c r="BY9847" s="1191"/>
      <c r="BZ9847" s="1191"/>
      <c r="CA9847" s="1191"/>
      <c r="CB9847" s="1191"/>
      <c r="CC9847" s="1191"/>
      <c r="CD9847" s="1191"/>
      <c r="CE9847" s="1191"/>
      <c r="CF9847" s="1191"/>
      <c r="CG9847" s="1191"/>
      <c r="CH9847" s="1191"/>
      <c r="CI9847" s="1191"/>
      <c r="CJ9847" s="1191"/>
      <c r="CK9847" s="1191"/>
      <c r="CL9847" s="1191"/>
      <c r="CM9847" s="1191"/>
      <c r="CN9847" s="1191"/>
      <c r="CO9847" s="1191"/>
      <c r="CP9847" s="1191"/>
      <c r="CQ9847" s="1191"/>
      <c r="CR9847" s="1191"/>
      <c r="CS9847" s="1191"/>
      <c r="CT9847" s="1191"/>
      <c r="CU9847" s="1191"/>
      <c r="CV9847" s="1191"/>
      <c r="CW9847" s="1191"/>
      <c r="CX9847" s="1191"/>
      <c r="CY9847" s="1191"/>
      <c r="CZ9847" s="1191"/>
      <c r="DA9847" s="1191"/>
      <c r="DB9847" s="1191"/>
      <c r="DC9847" s="1191"/>
      <c r="DD9847" s="1191"/>
      <c r="DE9847" s="1191"/>
      <c r="DF9847" s="1191"/>
      <c r="DG9847" s="1191"/>
      <c r="DH9847" s="1191"/>
      <c r="DI9847" s="1191"/>
      <c r="DJ9847" s="1191"/>
      <c r="DK9847" s="1191"/>
      <c r="DL9847" s="1191"/>
      <c r="DM9847" s="1191"/>
      <c r="DN9847" s="1191"/>
      <c r="DO9847" s="1191"/>
      <c r="DP9847" s="1191"/>
    </row>
    <row r="9848" spans="1:120" s="1019" customFormat="1" ht="15" customHeight="1">
      <c r="A9848" s="1170" t="s">
        <v>7671</v>
      </c>
      <c r="B9848" s="979">
        <v>18</v>
      </c>
      <c r="C9848" s="2288">
        <v>15</v>
      </c>
      <c r="D9848" s="1172" t="s">
        <v>1812</v>
      </c>
      <c r="E9848" s="1967" t="s">
        <v>7672</v>
      </c>
      <c r="F9848" s="1967" t="s">
        <v>2745</v>
      </c>
      <c r="G9848" s="1355">
        <v>1.52</v>
      </c>
      <c r="H9848" s="2358">
        <v>90</v>
      </c>
      <c r="I9848" s="2083">
        <f t="shared" si="100"/>
        <v>0.50657894736842102</v>
      </c>
      <c r="J9848" s="2000">
        <v>120</v>
      </c>
      <c r="K9848" s="1191"/>
      <c r="L9848" s="1191"/>
      <c r="M9848" s="1191"/>
      <c r="N9848" s="1191"/>
      <c r="O9848" s="1191"/>
      <c r="P9848" s="1191"/>
      <c r="Q9848" s="1191"/>
      <c r="R9848" s="1191"/>
      <c r="S9848" s="1191"/>
      <c r="T9848" s="1191"/>
      <c r="U9848" s="1191"/>
      <c r="V9848" s="1191"/>
      <c r="W9848" s="1191"/>
      <c r="X9848" s="1191"/>
      <c r="Y9848" s="1191"/>
      <c r="Z9848" s="1191"/>
      <c r="AA9848" s="1191"/>
      <c r="AB9848" s="1191"/>
      <c r="AC9848" s="1191"/>
      <c r="AD9848" s="1191"/>
      <c r="AE9848" s="1191"/>
      <c r="AF9848" s="1191"/>
      <c r="AG9848" s="1191"/>
      <c r="AH9848" s="1191"/>
      <c r="AI9848" s="1191"/>
      <c r="AJ9848" s="1191"/>
      <c r="AK9848" s="1191"/>
      <c r="AL9848" s="1191"/>
      <c r="AM9848" s="1191"/>
      <c r="AN9848" s="1191"/>
      <c r="AO9848" s="1191"/>
      <c r="AP9848" s="1191"/>
      <c r="AQ9848" s="1191"/>
      <c r="AR9848" s="1191"/>
      <c r="AS9848" s="1191"/>
      <c r="AT9848" s="1191"/>
      <c r="AU9848" s="1191"/>
      <c r="AV9848" s="1191"/>
      <c r="AW9848" s="1191"/>
      <c r="AX9848" s="1191"/>
      <c r="AY9848" s="1191"/>
      <c r="AZ9848" s="1191"/>
      <c r="BA9848" s="1191"/>
      <c r="BB9848" s="1191"/>
      <c r="BC9848" s="1191"/>
      <c r="BD9848" s="1191"/>
      <c r="BE9848" s="1191"/>
      <c r="BF9848" s="1191"/>
      <c r="BG9848" s="1191"/>
      <c r="BH9848" s="1191"/>
      <c r="BI9848" s="1191"/>
      <c r="BJ9848" s="1191"/>
      <c r="BK9848" s="1191"/>
      <c r="BL9848" s="1191"/>
      <c r="BM9848" s="1191"/>
      <c r="BN9848" s="1191"/>
      <c r="BO9848" s="1191"/>
      <c r="BP9848" s="1191"/>
      <c r="BQ9848" s="1191"/>
      <c r="BR9848" s="1191"/>
      <c r="BS9848" s="1191"/>
      <c r="BT9848" s="1191"/>
      <c r="BU9848" s="1191"/>
      <c r="BV9848" s="1191"/>
      <c r="BW9848" s="1191"/>
      <c r="BX9848" s="1191"/>
      <c r="BY9848" s="1191"/>
      <c r="BZ9848" s="1191"/>
      <c r="CA9848" s="1191"/>
      <c r="CB9848" s="1191"/>
      <c r="CC9848" s="1191"/>
      <c r="CD9848" s="1191"/>
      <c r="CE9848" s="1191"/>
      <c r="CF9848" s="1191"/>
      <c r="CG9848" s="1191"/>
      <c r="CH9848" s="1191"/>
      <c r="CI9848" s="1191"/>
      <c r="CJ9848" s="1191"/>
      <c r="CK9848" s="1191"/>
      <c r="CL9848" s="1191"/>
      <c r="CM9848" s="1191"/>
      <c r="CN9848" s="1191"/>
      <c r="CO9848" s="1191"/>
      <c r="CP9848" s="1191"/>
      <c r="CQ9848" s="1191"/>
      <c r="CR9848" s="1191"/>
      <c r="CS9848" s="1191"/>
      <c r="CT9848" s="1191"/>
      <c r="CU9848" s="1191"/>
      <c r="CV9848" s="1191"/>
      <c r="CW9848" s="1191"/>
      <c r="CX9848" s="1191"/>
      <c r="CY9848" s="1191"/>
      <c r="CZ9848" s="1191"/>
      <c r="DA9848" s="1191"/>
      <c r="DB9848" s="1191"/>
      <c r="DC9848" s="1191"/>
      <c r="DD9848" s="1191"/>
      <c r="DE9848" s="1191"/>
      <c r="DF9848" s="1191"/>
      <c r="DG9848" s="1191"/>
      <c r="DH9848" s="1191"/>
      <c r="DI9848" s="1191"/>
      <c r="DJ9848" s="1191"/>
      <c r="DK9848" s="1191"/>
      <c r="DL9848" s="1191"/>
      <c r="DM9848" s="1191"/>
      <c r="DN9848" s="1191"/>
      <c r="DO9848" s="1191"/>
      <c r="DP9848" s="1191"/>
    </row>
    <row r="9849" spans="1:120" s="1019" customFormat="1" ht="15" customHeight="1">
      <c r="A9849" s="1170" t="s">
        <v>7671</v>
      </c>
      <c r="B9849" s="979">
        <v>24</v>
      </c>
      <c r="C9849" s="2288">
        <v>15</v>
      </c>
      <c r="D9849" s="1172" t="s">
        <v>1812</v>
      </c>
      <c r="E9849" s="1967" t="s">
        <v>7672</v>
      </c>
      <c r="F9849" s="1967" t="s">
        <v>2745</v>
      </c>
      <c r="G9849" s="1355">
        <v>1.92</v>
      </c>
      <c r="H9849" s="2357">
        <v>113.86666</v>
      </c>
      <c r="I9849" s="2083">
        <f t="shared" si="100"/>
        <v>0.50578706597222223</v>
      </c>
      <c r="J9849" s="2000">
        <v>120</v>
      </c>
      <c r="K9849" s="1191"/>
      <c r="L9849" s="1191"/>
      <c r="M9849" s="1191"/>
      <c r="N9849" s="1191"/>
      <c r="O9849" s="1191"/>
      <c r="P9849" s="1191"/>
      <c r="Q9849" s="1191"/>
      <c r="R9849" s="1191"/>
      <c r="S9849" s="1191"/>
      <c r="T9849" s="1191"/>
      <c r="U9849" s="1191"/>
      <c r="V9849" s="1191"/>
      <c r="W9849" s="1191"/>
      <c r="X9849" s="1191"/>
      <c r="Y9849" s="1191"/>
      <c r="Z9849" s="1191"/>
      <c r="AA9849" s="1191"/>
      <c r="AB9849" s="1191"/>
      <c r="AC9849" s="1191"/>
      <c r="AD9849" s="1191"/>
      <c r="AE9849" s="1191"/>
      <c r="AF9849" s="1191"/>
      <c r="AG9849" s="1191"/>
      <c r="AH9849" s="1191"/>
      <c r="AI9849" s="1191"/>
      <c r="AJ9849" s="1191"/>
      <c r="AK9849" s="1191"/>
      <c r="AL9849" s="1191"/>
      <c r="AM9849" s="1191"/>
      <c r="AN9849" s="1191"/>
      <c r="AO9849" s="1191"/>
      <c r="AP9849" s="1191"/>
      <c r="AQ9849" s="1191"/>
      <c r="AR9849" s="1191"/>
      <c r="AS9849" s="1191"/>
      <c r="AT9849" s="1191"/>
      <c r="AU9849" s="1191"/>
      <c r="AV9849" s="1191"/>
      <c r="AW9849" s="1191"/>
      <c r="AX9849" s="1191"/>
      <c r="AY9849" s="1191"/>
      <c r="AZ9849" s="1191"/>
      <c r="BA9849" s="1191"/>
      <c r="BB9849" s="1191"/>
      <c r="BC9849" s="1191"/>
      <c r="BD9849" s="1191"/>
      <c r="BE9849" s="1191"/>
      <c r="BF9849" s="1191"/>
      <c r="BG9849" s="1191"/>
      <c r="BH9849" s="1191"/>
      <c r="BI9849" s="1191"/>
      <c r="BJ9849" s="1191"/>
      <c r="BK9849" s="1191"/>
      <c r="BL9849" s="1191"/>
      <c r="BM9849" s="1191"/>
      <c r="BN9849" s="1191"/>
      <c r="BO9849" s="1191"/>
      <c r="BP9849" s="1191"/>
      <c r="BQ9849" s="1191"/>
      <c r="BR9849" s="1191"/>
      <c r="BS9849" s="1191"/>
      <c r="BT9849" s="1191"/>
      <c r="BU9849" s="1191"/>
      <c r="BV9849" s="1191"/>
      <c r="BW9849" s="1191"/>
      <c r="BX9849" s="1191"/>
      <c r="BY9849" s="1191"/>
      <c r="BZ9849" s="1191"/>
      <c r="CA9849" s="1191"/>
      <c r="CB9849" s="1191"/>
      <c r="CC9849" s="1191"/>
      <c r="CD9849" s="1191"/>
      <c r="CE9849" s="1191"/>
      <c r="CF9849" s="1191"/>
      <c r="CG9849" s="1191"/>
      <c r="CH9849" s="1191"/>
      <c r="CI9849" s="1191"/>
      <c r="CJ9849" s="1191"/>
      <c r="CK9849" s="1191"/>
      <c r="CL9849" s="1191"/>
      <c r="CM9849" s="1191"/>
      <c r="CN9849" s="1191"/>
      <c r="CO9849" s="1191"/>
      <c r="CP9849" s="1191"/>
      <c r="CQ9849" s="1191"/>
      <c r="CR9849" s="1191"/>
      <c r="CS9849" s="1191"/>
      <c r="CT9849" s="1191"/>
      <c r="CU9849" s="1191"/>
      <c r="CV9849" s="1191"/>
      <c r="CW9849" s="1191"/>
      <c r="CX9849" s="1191"/>
      <c r="CY9849" s="1191"/>
      <c r="CZ9849" s="1191"/>
      <c r="DA9849" s="1191"/>
      <c r="DB9849" s="1191"/>
      <c r="DC9849" s="1191"/>
      <c r="DD9849" s="1191"/>
      <c r="DE9849" s="1191"/>
      <c r="DF9849" s="1191"/>
      <c r="DG9849" s="1191"/>
      <c r="DH9849" s="1191"/>
      <c r="DI9849" s="1191"/>
      <c r="DJ9849" s="1191"/>
      <c r="DK9849" s="1191"/>
      <c r="DL9849" s="1191"/>
      <c r="DM9849" s="1191"/>
      <c r="DN9849" s="1191"/>
      <c r="DO9849" s="1191"/>
      <c r="DP9849" s="1191"/>
    </row>
    <row r="9850" spans="1:120" s="1019" customFormat="1" ht="15" customHeight="1">
      <c r="A9850" s="1170" t="s">
        <v>7671</v>
      </c>
      <c r="B9850" s="979">
        <v>36</v>
      </c>
      <c r="C9850" s="2288">
        <v>15</v>
      </c>
      <c r="D9850" s="1172" t="s">
        <v>1812</v>
      </c>
      <c r="E9850" s="1967" t="s">
        <v>7672</v>
      </c>
      <c r="F9850" s="1967" t="s">
        <v>2745</v>
      </c>
      <c r="G9850" s="1355">
        <v>3.05</v>
      </c>
      <c r="H9850" s="2357">
        <v>180.93333000000001</v>
      </c>
      <c r="I9850" s="2083">
        <f t="shared" si="100"/>
        <v>0.50564663934426224</v>
      </c>
      <c r="J9850" s="2000">
        <v>120</v>
      </c>
      <c r="K9850" s="1191"/>
      <c r="L9850" s="1191"/>
      <c r="M9850" s="1191"/>
      <c r="N9850" s="1191"/>
      <c r="O9850" s="1191"/>
      <c r="P9850" s="1191"/>
      <c r="Q9850" s="1191"/>
      <c r="R9850" s="1191"/>
      <c r="S9850" s="1191"/>
      <c r="T9850" s="1191"/>
      <c r="U9850" s="1191"/>
      <c r="V9850" s="1191"/>
      <c r="W9850" s="1191"/>
      <c r="X9850" s="1191"/>
      <c r="Y9850" s="1191"/>
      <c r="Z9850" s="1191"/>
      <c r="AA9850" s="1191"/>
      <c r="AB9850" s="1191"/>
      <c r="AC9850" s="1191"/>
      <c r="AD9850" s="1191"/>
      <c r="AE9850" s="1191"/>
      <c r="AF9850" s="1191"/>
      <c r="AG9850" s="1191"/>
      <c r="AH9850" s="1191"/>
      <c r="AI9850" s="1191"/>
      <c r="AJ9850" s="1191"/>
      <c r="AK9850" s="1191"/>
      <c r="AL9850" s="1191"/>
      <c r="AM9850" s="1191"/>
      <c r="AN9850" s="1191"/>
      <c r="AO9850" s="1191"/>
      <c r="AP9850" s="1191"/>
      <c r="AQ9850" s="1191"/>
      <c r="AR9850" s="1191"/>
      <c r="AS9850" s="1191"/>
      <c r="AT9850" s="1191"/>
      <c r="AU9850" s="1191"/>
      <c r="AV9850" s="1191"/>
      <c r="AW9850" s="1191"/>
      <c r="AX9850" s="1191"/>
      <c r="AY9850" s="1191"/>
      <c r="AZ9850" s="1191"/>
      <c r="BA9850" s="1191"/>
      <c r="BB9850" s="1191"/>
      <c r="BC9850" s="1191"/>
      <c r="BD9850" s="1191"/>
      <c r="BE9850" s="1191"/>
      <c r="BF9850" s="1191"/>
      <c r="BG9850" s="1191"/>
      <c r="BH9850" s="1191"/>
      <c r="BI9850" s="1191"/>
      <c r="BJ9850" s="1191"/>
      <c r="BK9850" s="1191"/>
      <c r="BL9850" s="1191"/>
      <c r="BM9850" s="1191"/>
      <c r="BN9850" s="1191"/>
      <c r="BO9850" s="1191"/>
      <c r="BP9850" s="1191"/>
      <c r="BQ9850" s="1191"/>
      <c r="BR9850" s="1191"/>
      <c r="BS9850" s="1191"/>
      <c r="BT9850" s="1191"/>
      <c r="BU9850" s="1191"/>
      <c r="BV9850" s="1191"/>
      <c r="BW9850" s="1191"/>
      <c r="BX9850" s="1191"/>
      <c r="BY9850" s="1191"/>
      <c r="BZ9850" s="1191"/>
      <c r="CA9850" s="1191"/>
      <c r="CB9850" s="1191"/>
      <c r="CC9850" s="1191"/>
      <c r="CD9850" s="1191"/>
      <c r="CE9850" s="1191"/>
      <c r="CF9850" s="1191"/>
      <c r="CG9850" s="1191"/>
      <c r="CH9850" s="1191"/>
      <c r="CI9850" s="1191"/>
      <c r="CJ9850" s="1191"/>
      <c r="CK9850" s="1191"/>
      <c r="CL9850" s="1191"/>
      <c r="CM9850" s="1191"/>
      <c r="CN9850" s="1191"/>
      <c r="CO9850" s="1191"/>
      <c r="CP9850" s="1191"/>
      <c r="CQ9850" s="1191"/>
      <c r="CR9850" s="1191"/>
      <c r="CS9850" s="1191"/>
      <c r="CT9850" s="1191"/>
      <c r="CU9850" s="1191"/>
      <c r="CV9850" s="1191"/>
      <c r="CW9850" s="1191"/>
      <c r="CX9850" s="1191"/>
      <c r="CY9850" s="1191"/>
      <c r="CZ9850" s="1191"/>
      <c r="DA9850" s="1191"/>
      <c r="DB9850" s="1191"/>
      <c r="DC9850" s="1191"/>
      <c r="DD9850" s="1191"/>
      <c r="DE9850" s="1191"/>
      <c r="DF9850" s="1191"/>
      <c r="DG9850" s="1191"/>
      <c r="DH9850" s="1191"/>
      <c r="DI9850" s="1191"/>
      <c r="DJ9850" s="1191"/>
      <c r="DK9850" s="1191"/>
      <c r="DL9850" s="1191"/>
      <c r="DM9850" s="1191"/>
      <c r="DN9850" s="1191"/>
      <c r="DO9850" s="1191"/>
      <c r="DP9850" s="1191"/>
    </row>
    <row r="9851" spans="1:120" s="1019" customFormat="1" ht="15" customHeight="1">
      <c r="A9851" s="1170" t="s">
        <v>7671</v>
      </c>
      <c r="B9851" s="979">
        <v>50</v>
      </c>
      <c r="C9851" s="2288">
        <v>15</v>
      </c>
      <c r="D9851" s="1172" t="s">
        <v>1812</v>
      </c>
      <c r="E9851" s="1967" t="s">
        <v>7672</v>
      </c>
      <c r="F9851" s="1967" t="s">
        <v>2745</v>
      </c>
      <c r="G9851" s="1355">
        <v>4.1899999999999995</v>
      </c>
      <c r="H9851" s="2358">
        <v>249.26666</v>
      </c>
      <c r="I9851" s="2083">
        <f t="shared" si="100"/>
        <v>0.50424291964996015</v>
      </c>
      <c r="J9851" s="2000">
        <v>120</v>
      </c>
      <c r="K9851" s="1191"/>
      <c r="L9851" s="1191"/>
      <c r="M9851" s="1191"/>
      <c r="N9851" s="1191"/>
      <c r="O9851" s="1191"/>
      <c r="P9851" s="1191"/>
      <c r="Q9851" s="1191"/>
      <c r="R9851" s="1191"/>
      <c r="S9851" s="1191"/>
      <c r="T9851" s="1191"/>
      <c r="U9851" s="1191"/>
      <c r="V9851" s="1191"/>
      <c r="W9851" s="1191"/>
      <c r="X9851" s="1191"/>
      <c r="Y9851" s="1191"/>
      <c r="Z9851" s="1191"/>
      <c r="AA9851" s="1191"/>
      <c r="AB9851" s="1191"/>
      <c r="AC9851" s="1191"/>
      <c r="AD9851" s="1191"/>
      <c r="AE9851" s="1191"/>
      <c r="AF9851" s="1191"/>
      <c r="AG9851" s="1191"/>
      <c r="AH9851" s="1191"/>
      <c r="AI9851" s="1191"/>
      <c r="AJ9851" s="1191"/>
      <c r="AK9851" s="1191"/>
      <c r="AL9851" s="1191"/>
      <c r="AM9851" s="1191"/>
      <c r="AN9851" s="1191"/>
      <c r="AO9851" s="1191"/>
      <c r="AP9851" s="1191"/>
      <c r="AQ9851" s="1191"/>
      <c r="AR9851" s="1191"/>
      <c r="AS9851" s="1191"/>
      <c r="AT9851" s="1191"/>
      <c r="AU9851" s="1191"/>
      <c r="AV9851" s="1191"/>
      <c r="AW9851" s="1191"/>
      <c r="AX9851" s="1191"/>
      <c r="AY9851" s="1191"/>
      <c r="AZ9851" s="1191"/>
      <c r="BA9851" s="1191"/>
      <c r="BB9851" s="1191"/>
      <c r="BC9851" s="1191"/>
      <c r="BD9851" s="1191"/>
      <c r="BE9851" s="1191"/>
      <c r="BF9851" s="1191"/>
      <c r="BG9851" s="1191"/>
      <c r="BH9851" s="1191"/>
      <c r="BI9851" s="1191"/>
      <c r="BJ9851" s="1191"/>
      <c r="BK9851" s="1191"/>
      <c r="BL9851" s="1191"/>
      <c r="BM9851" s="1191"/>
      <c r="BN9851" s="1191"/>
      <c r="BO9851" s="1191"/>
      <c r="BP9851" s="1191"/>
      <c r="BQ9851" s="1191"/>
      <c r="BR9851" s="1191"/>
      <c r="BS9851" s="1191"/>
      <c r="BT9851" s="1191"/>
      <c r="BU9851" s="1191"/>
      <c r="BV9851" s="1191"/>
      <c r="BW9851" s="1191"/>
      <c r="BX9851" s="1191"/>
      <c r="BY9851" s="1191"/>
      <c r="BZ9851" s="1191"/>
      <c r="CA9851" s="1191"/>
      <c r="CB9851" s="1191"/>
      <c r="CC9851" s="1191"/>
      <c r="CD9851" s="1191"/>
      <c r="CE9851" s="1191"/>
      <c r="CF9851" s="1191"/>
      <c r="CG9851" s="1191"/>
      <c r="CH9851" s="1191"/>
      <c r="CI9851" s="1191"/>
      <c r="CJ9851" s="1191"/>
      <c r="CK9851" s="1191"/>
      <c r="CL9851" s="1191"/>
      <c r="CM9851" s="1191"/>
      <c r="CN9851" s="1191"/>
      <c r="CO9851" s="1191"/>
      <c r="CP9851" s="1191"/>
      <c r="CQ9851" s="1191"/>
      <c r="CR9851" s="1191"/>
      <c r="CS9851" s="1191"/>
      <c r="CT9851" s="1191"/>
      <c r="CU9851" s="1191"/>
      <c r="CV9851" s="1191"/>
      <c r="CW9851" s="1191"/>
      <c r="CX9851" s="1191"/>
      <c r="CY9851" s="1191"/>
      <c r="CZ9851" s="1191"/>
      <c r="DA9851" s="1191"/>
      <c r="DB9851" s="1191"/>
      <c r="DC9851" s="1191"/>
      <c r="DD9851" s="1191"/>
      <c r="DE9851" s="1191"/>
      <c r="DF9851" s="1191"/>
      <c r="DG9851" s="1191"/>
      <c r="DH9851" s="1191"/>
      <c r="DI9851" s="1191"/>
      <c r="DJ9851" s="1191"/>
      <c r="DK9851" s="1191"/>
      <c r="DL9851" s="1191"/>
      <c r="DM9851" s="1191"/>
      <c r="DN9851" s="1191"/>
      <c r="DO9851" s="1191"/>
      <c r="DP9851" s="1191"/>
    </row>
    <row r="9852" spans="1:120" s="1019" customFormat="1" ht="15" customHeight="1">
      <c r="A9852" s="1172">
        <v>3717</v>
      </c>
      <c r="B9852" s="1187">
        <v>6</v>
      </c>
      <c r="C9852" s="2288">
        <v>30</v>
      </c>
      <c r="D9852" s="1172" t="s">
        <v>1812</v>
      </c>
      <c r="E9852" s="1967" t="s">
        <v>7673</v>
      </c>
      <c r="F9852" s="1967" t="s">
        <v>2622</v>
      </c>
      <c r="G9852" s="1355">
        <v>0.24000000000000002</v>
      </c>
      <c r="H9852" s="2357">
        <v>13.7</v>
      </c>
      <c r="I9852" s="2083">
        <f t="shared" si="100"/>
        <v>0.52430555555555558</v>
      </c>
      <c r="J9852" s="2000">
        <v>120</v>
      </c>
      <c r="K9852" s="1191"/>
      <c r="L9852" s="1191"/>
      <c r="M9852" s="1191"/>
      <c r="N9852" s="1191"/>
      <c r="O9852" s="1191"/>
      <c r="P9852" s="1191"/>
      <c r="Q9852" s="1191"/>
      <c r="R9852" s="1191"/>
      <c r="S9852" s="1191"/>
      <c r="T9852" s="1191"/>
      <c r="U9852" s="1191"/>
      <c r="V9852" s="1191"/>
      <c r="W9852" s="1191"/>
      <c r="X9852" s="1191"/>
      <c r="Y9852" s="1191"/>
      <c r="Z9852" s="1191"/>
      <c r="AA9852" s="1191"/>
      <c r="AB9852" s="1191"/>
      <c r="AC9852" s="1191"/>
      <c r="AD9852" s="1191"/>
      <c r="AE9852" s="1191"/>
      <c r="AF9852" s="1191"/>
      <c r="AG9852" s="1191"/>
      <c r="AH9852" s="1191"/>
      <c r="AI9852" s="1191"/>
      <c r="AJ9852" s="1191"/>
      <c r="AK9852" s="1191"/>
      <c r="AL9852" s="1191"/>
      <c r="AM9852" s="1191"/>
      <c r="AN9852" s="1191"/>
      <c r="AO9852" s="1191"/>
      <c r="AP9852" s="1191"/>
      <c r="AQ9852" s="1191"/>
      <c r="AR9852" s="1191"/>
      <c r="AS9852" s="1191"/>
      <c r="AT9852" s="1191"/>
      <c r="AU9852" s="1191"/>
      <c r="AV9852" s="1191"/>
      <c r="AW9852" s="1191"/>
      <c r="AX9852" s="1191"/>
      <c r="AY9852" s="1191"/>
      <c r="AZ9852" s="1191"/>
      <c r="BA9852" s="1191"/>
      <c r="BB9852" s="1191"/>
      <c r="BC9852" s="1191"/>
      <c r="BD9852" s="1191"/>
      <c r="BE9852" s="1191"/>
      <c r="BF9852" s="1191"/>
      <c r="BG9852" s="1191"/>
      <c r="BH9852" s="1191"/>
      <c r="BI9852" s="1191"/>
      <c r="BJ9852" s="1191"/>
      <c r="BK9852" s="1191"/>
      <c r="BL9852" s="1191"/>
      <c r="BM9852" s="1191"/>
      <c r="BN9852" s="1191"/>
      <c r="BO9852" s="1191"/>
      <c r="BP9852" s="1191"/>
      <c r="BQ9852" s="1191"/>
      <c r="BR9852" s="1191"/>
      <c r="BS9852" s="1191"/>
      <c r="BT9852" s="1191"/>
      <c r="BU9852" s="1191"/>
      <c r="BV9852" s="1191"/>
      <c r="BW9852" s="1191"/>
      <c r="BX9852" s="1191"/>
      <c r="BY9852" s="1191"/>
      <c r="BZ9852" s="1191"/>
      <c r="CA9852" s="1191"/>
      <c r="CB9852" s="1191"/>
      <c r="CC9852" s="1191"/>
      <c r="CD9852" s="1191"/>
      <c r="CE9852" s="1191"/>
      <c r="CF9852" s="1191"/>
      <c r="CG9852" s="1191"/>
      <c r="CH9852" s="1191"/>
      <c r="CI9852" s="1191"/>
      <c r="CJ9852" s="1191"/>
      <c r="CK9852" s="1191"/>
      <c r="CL9852" s="1191"/>
      <c r="CM9852" s="1191"/>
      <c r="CN9852" s="1191"/>
      <c r="CO9852" s="1191"/>
      <c r="CP9852" s="1191"/>
      <c r="CQ9852" s="1191"/>
      <c r="CR9852" s="1191"/>
      <c r="CS9852" s="1191"/>
      <c r="CT9852" s="1191"/>
      <c r="CU9852" s="1191"/>
      <c r="CV9852" s="1191"/>
      <c r="CW9852" s="1191"/>
      <c r="CX9852" s="1191"/>
      <c r="CY9852" s="1191"/>
      <c r="CZ9852" s="1191"/>
      <c r="DA9852" s="1191"/>
      <c r="DB9852" s="1191"/>
      <c r="DC9852" s="1191"/>
      <c r="DD9852" s="1191"/>
      <c r="DE9852" s="1191"/>
      <c r="DF9852" s="1191"/>
      <c r="DG9852" s="1191"/>
      <c r="DH9852" s="1191"/>
      <c r="DI9852" s="1191"/>
      <c r="DJ9852" s="1191"/>
      <c r="DK9852" s="1191"/>
      <c r="DL9852" s="1191"/>
      <c r="DM9852" s="1191"/>
      <c r="DN9852" s="1191"/>
      <c r="DO9852" s="1191"/>
      <c r="DP9852" s="1191"/>
    </row>
    <row r="9853" spans="1:120" s="1019" customFormat="1" ht="15" customHeight="1">
      <c r="A9853" s="1172">
        <v>3717</v>
      </c>
      <c r="B9853" s="1187">
        <v>9</v>
      </c>
      <c r="C9853" s="2288">
        <v>30</v>
      </c>
      <c r="D9853" s="1172" t="s">
        <v>1812</v>
      </c>
      <c r="E9853" s="1967" t="s">
        <v>7673</v>
      </c>
      <c r="F9853" s="1967" t="s">
        <v>2622</v>
      </c>
      <c r="G9853" s="1355">
        <v>0.28000000000000003</v>
      </c>
      <c r="H9853" s="2357">
        <v>16.133330000000001</v>
      </c>
      <c r="I9853" s="2083">
        <f t="shared" si="100"/>
        <v>0.51984136904761902</v>
      </c>
      <c r="J9853" s="2000">
        <v>120</v>
      </c>
      <c r="K9853" s="1191"/>
      <c r="L9853" s="1191"/>
      <c r="M9853" s="1191"/>
      <c r="N9853" s="1191"/>
      <c r="O9853" s="1191"/>
      <c r="P9853" s="1191"/>
      <c r="Q9853" s="1191"/>
      <c r="R9853" s="1191"/>
      <c r="S9853" s="1191"/>
      <c r="T9853" s="1191"/>
      <c r="U9853" s="1191"/>
      <c r="V9853" s="1191"/>
      <c r="W9853" s="1191"/>
      <c r="X9853" s="1191"/>
      <c r="Y9853" s="1191"/>
      <c r="Z9853" s="1191"/>
      <c r="AA9853" s="1191"/>
      <c r="AB9853" s="1191"/>
      <c r="AC9853" s="1191"/>
      <c r="AD9853" s="1191"/>
      <c r="AE9853" s="1191"/>
      <c r="AF9853" s="1191"/>
      <c r="AG9853" s="1191"/>
      <c r="AH9853" s="1191"/>
      <c r="AI9853" s="1191"/>
      <c r="AJ9853" s="1191"/>
      <c r="AK9853" s="1191"/>
      <c r="AL9853" s="1191"/>
      <c r="AM9853" s="1191"/>
      <c r="AN9853" s="1191"/>
      <c r="AO9853" s="1191"/>
      <c r="AP9853" s="1191"/>
      <c r="AQ9853" s="1191"/>
      <c r="AR9853" s="1191"/>
      <c r="AS9853" s="1191"/>
      <c r="AT9853" s="1191"/>
      <c r="AU9853" s="1191"/>
      <c r="AV9853" s="1191"/>
      <c r="AW9853" s="1191"/>
      <c r="AX9853" s="1191"/>
      <c r="AY9853" s="1191"/>
      <c r="AZ9853" s="1191"/>
      <c r="BA9853" s="1191"/>
      <c r="BB9853" s="1191"/>
      <c r="BC9853" s="1191"/>
      <c r="BD9853" s="1191"/>
      <c r="BE9853" s="1191"/>
      <c r="BF9853" s="1191"/>
      <c r="BG9853" s="1191"/>
      <c r="BH9853" s="1191"/>
      <c r="BI9853" s="1191"/>
      <c r="BJ9853" s="1191"/>
      <c r="BK9853" s="1191"/>
      <c r="BL9853" s="1191"/>
      <c r="BM9853" s="1191"/>
      <c r="BN9853" s="1191"/>
      <c r="BO9853" s="1191"/>
      <c r="BP9853" s="1191"/>
      <c r="BQ9853" s="1191"/>
      <c r="BR9853" s="1191"/>
      <c r="BS9853" s="1191"/>
      <c r="BT9853" s="1191"/>
      <c r="BU9853" s="1191"/>
      <c r="BV9853" s="1191"/>
      <c r="BW9853" s="1191"/>
      <c r="BX9853" s="1191"/>
      <c r="BY9853" s="1191"/>
      <c r="BZ9853" s="1191"/>
      <c r="CA9853" s="1191"/>
      <c r="CB9853" s="1191"/>
      <c r="CC9853" s="1191"/>
      <c r="CD9853" s="1191"/>
      <c r="CE9853" s="1191"/>
      <c r="CF9853" s="1191"/>
      <c r="CG9853" s="1191"/>
      <c r="CH9853" s="1191"/>
      <c r="CI9853" s="1191"/>
      <c r="CJ9853" s="1191"/>
      <c r="CK9853" s="1191"/>
      <c r="CL9853" s="1191"/>
      <c r="CM9853" s="1191"/>
      <c r="CN9853" s="1191"/>
      <c r="CO9853" s="1191"/>
      <c r="CP9853" s="1191"/>
      <c r="CQ9853" s="1191"/>
      <c r="CR9853" s="1191"/>
      <c r="CS9853" s="1191"/>
      <c r="CT9853" s="1191"/>
      <c r="CU9853" s="1191"/>
      <c r="CV9853" s="1191"/>
      <c r="CW9853" s="1191"/>
      <c r="CX9853" s="1191"/>
      <c r="CY9853" s="1191"/>
      <c r="CZ9853" s="1191"/>
      <c r="DA9853" s="1191"/>
      <c r="DB9853" s="1191"/>
      <c r="DC9853" s="1191"/>
      <c r="DD9853" s="1191"/>
      <c r="DE9853" s="1191"/>
      <c r="DF9853" s="1191"/>
      <c r="DG9853" s="1191"/>
      <c r="DH9853" s="1191"/>
      <c r="DI9853" s="1191"/>
      <c r="DJ9853" s="1191"/>
      <c r="DK9853" s="1191"/>
      <c r="DL9853" s="1191"/>
      <c r="DM9853" s="1191"/>
      <c r="DN9853" s="1191"/>
      <c r="DO9853" s="1191"/>
      <c r="DP9853" s="1191"/>
    </row>
    <row r="9854" spans="1:120" s="1019" customFormat="1" ht="15" customHeight="1">
      <c r="A9854" s="1172">
        <v>3717</v>
      </c>
      <c r="B9854" s="1187">
        <v>12</v>
      </c>
      <c r="C9854" s="2288">
        <v>30</v>
      </c>
      <c r="D9854" s="1172" t="s">
        <v>1812</v>
      </c>
      <c r="E9854" s="1967" t="s">
        <v>7673</v>
      </c>
      <c r="F9854" s="1967" t="s">
        <v>2622</v>
      </c>
      <c r="G9854" s="1355">
        <v>0.34</v>
      </c>
      <c r="H9854" s="2357">
        <v>20.16666</v>
      </c>
      <c r="I9854" s="2083">
        <f t="shared" si="100"/>
        <v>0.5057191176470589</v>
      </c>
      <c r="J9854" s="2000">
        <v>120</v>
      </c>
      <c r="K9854" s="1191"/>
      <c r="L9854" s="1191"/>
      <c r="M9854" s="1191"/>
      <c r="N9854" s="1191"/>
      <c r="O9854" s="1191"/>
      <c r="P9854" s="1191"/>
      <c r="Q9854" s="1191"/>
      <c r="R9854" s="1191"/>
      <c r="S9854" s="1191"/>
      <c r="T9854" s="1191"/>
      <c r="U9854" s="1191"/>
      <c r="V9854" s="1191"/>
      <c r="W9854" s="1191"/>
      <c r="X9854" s="1191"/>
      <c r="Y9854" s="1191"/>
      <c r="Z9854" s="1191"/>
      <c r="AA9854" s="1191"/>
      <c r="AB9854" s="1191"/>
      <c r="AC9854" s="1191"/>
      <c r="AD9854" s="1191"/>
      <c r="AE9854" s="1191"/>
      <c r="AF9854" s="1191"/>
      <c r="AG9854" s="1191"/>
      <c r="AH9854" s="1191"/>
      <c r="AI9854" s="1191"/>
      <c r="AJ9854" s="1191"/>
      <c r="AK9854" s="1191"/>
      <c r="AL9854" s="1191"/>
      <c r="AM9854" s="1191"/>
      <c r="AN9854" s="1191"/>
      <c r="AO9854" s="1191"/>
      <c r="AP9854" s="1191"/>
      <c r="AQ9854" s="1191"/>
      <c r="AR9854" s="1191"/>
      <c r="AS9854" s="1191"/>
      <c r="AT9854" s="1191"/>
      <c r="AU9854" s="1191"/>
      <c r="AV9854" s="1191"/>
      <c r="AW9854" s="1191"/>
      <c r="AX9854" s="1191"/>
      <c r="AY9854" s="1191"/>
      <c r="AZ9854" s="1191"/>
      <c r="BA9854" s="1191"/>
      <c r="BB9854" s="1191"/>
      <c r="BC9854" s="1191"/>
      <c r="BD9854" s="1191"/>
      <c r="BE9854" s="1191"/>
      <c r="BF9854" s="1191"/>
      <c r="BG9854" s="1191"/>
      <c r="BH9854" s="1191"/>
      <c r="BI9854" s="1191"/>
      <c r="BJ9854" s="1191"/>
      <c r="BK9854" s="1191"/>
      <c r="BL9854" s="1191"/>
      <c r="BM9854" s="1191"/>
      <c r="BN9854" s="1191"/>
      <c r="BO9854" s="1191"/>
      <c r="BP9854" s="1191"/>
      <c r="BQ9854" s="1191"/>
      <c r="BR9854" s="1191"/>
      <c r="BS9854" s="1191"/>
      <c r="BT9854" s="1191"/>
      <c r="BU9854" s="1191"/>
      <c r="BV9854" s="1191"/>
      <c r="BW9854" s="1191"/>
      <c r="BX9854" s="1191"/>
      <c r="BY9854" s="1191"/>
      <c r="BZ9854" s="1191"/>
      <c r="CA9854" s="1191"/>
      <c r="CB9854" s="1191"/>
      <c r="CC9854" s="1191"/>
      <c r="CD9854" s="1191"/>
      <c r="CE9854" s="1191"/>
      <c r="CF9854" s="1191"/>
      <c r="CG9854" s="1191"/>
      <c r="CH9854" s="1191"/>
      <c r="CI9854" s="1191"/>
      <c r="CJ9854" s="1191"/>
      <c r="CK9854" s="1191"/>
      <c r="CL9854" s="1191"/>
      <c r="CM9854" s="1191"/>
      <c r="CN9854" s="1191"/>
      <c r="CO9854" s="1191"/>
      <c r="CP9854" s="1191"/>
      <c r="CQ9854" s="1191"/>
      <c r="CR9854" s="1191"/>
      <c r="CS9854" s="1191"/>
      <c r="CT9854" s="1191"/>
      <c r="CU9854" s="1191"/>
      <c r="CV9854" s="1191"/>
      <c r="CW9854" s="1191"/>
      <c r="CX9854" s="1191"/>
      <c r="CY9854" s="1191"/>
      <c r="CZ9854" s="1191"/>
      <c r="DA9854" s="1191"/>
      <c r="DB9854" s="1191"/>
      <c r="DC9854" s="1191"/>
      <c r="DD9854" s="1191"/>
      <c r="DE9854" s="1191"/>
      <c r="DF9854" s="1191"/>
      <c r="DG9854" s="1191"/>
      <c r="DH9854" s="1191"/>
      <c r="DI9854" s="1191"/>
      <c r="DJ9854" s="1191"/>
      <c r="DK9854" s="1191"/>
      <c r="DL9854" s="1191"/>
      <c r="DM9854" s="1191"/>
      <c r="DN9854" s="1191"/>
      <c r="DO9854" s="1191"/>
      <c r="DP9854" s="1191"/>
    </row>
    <row r="9855" spans="1:120" s="1019" customFormat="1" ht="15" customHeight="1">
      <c r="A9855" s="1172">
        <v>3717</v>
      </c>
      <c r="B9855" s="1187">
        <v>15</v>
      </c>
      <c r="C9855" s="2288">
        <v>30</v>
      </c>
      <c r="D9855" s="1172" t="s">
        <v>1812</v>
      </c>
      <c r="E9855" s="1967" t="s">
        <v>7673</v>
      </c>
      <c r="F9855" s="1967" t="s">
        <v>2622</v>
      </c>
      <c r="G9855" s="1355">
        <v>0.41000000000000003</v>
      </c>
      <c r="H9855" s="2357">
        <v>24.2</v>
      </c>
      <c r="I9855" s="2083">
        <f t="shared" si="100"/>
        <v>0.50813008130081305</v>
      </c>
      <c r="J9855" s="2000">
        <v>120</v>
      </c>
      <c r="K9855" s="1191"/>
      <c r="L9855" s="1191"/>
      <c r="M9855" s="1191"/>
      <c r="N9855" s="1191"/>
      <c r="O9855" s="1191"/>
      <c r="P9855" s="1191"/>
      <c r="Q9855" s="1191"/>
      <c r="R9855" s="1191"/>
      <c r="S9855" s="1191"/>
      <c r="T9855" s="1191"/>
      <c r="U9855" s="1191"/>
      <c r="V9855" s="1191"/>
      <c r="W9855" s="1191"/>
      <c r="X9855" s="1191"/>
      <c r="Y9855" s="1191"/>
      <c r="Z9855" s="1191"/>
      <c r="AA9855" s="1191"/>
      <c r="AB9855" s="1191"/>
      <c r="AC9855" s="1191"/>
      <c r="AD9855" s="1191"/>
      <c r="AE9855" s="1191"/>
      <c r="AF9855" s="1191"/>
      <c r="AG9855" s="1191"/>
      <c r="AH9855" s="1191"/>
      <c r="AI9855" s="1191"/>
      <c r="AJ9855" s="1191"/>
      <c r="AK9855" s="1191"/>
      <c r="AL9855" s="1191"/>
      <c r="AM9855" s="1191"/>
      <c r="AN9855" s="1191"/>
      <c r="AO9855" s="1191"/>
      <c r="AP9855" s="1191"/>
      <c r="AQ9855" s="1191"/>
      <c r="AR9855" s="1191"/>
      <c r="AS9855" s="1191"/>
      <c r="AT9855" s="1191"/>
      <c r="AU9855" s="1191"/>
      <c r="AV9855" s="1191"/>
      <c r="AW9855" s="1191"/>
      <c r="AX9855" s="1191"/>
      <c r="AY9855" s="1191"/>
      <c r="AZ9855" s="1191"/>
      <c r="BA9855" s="1191"/>
      <c r="BB9855" s="1191"/>
      <c r="BC9855" s="1191"/>
      <c r="BD9855" s="1191"/>
      <c r="BE9855" s="1191"/>
      <c r="BF9855" s="1191"/>
      <c r="BG9855" s="1191"/>
      <c r="BH9855" s="1191"/>
      <c r="BI9855" s="1191"/>
      <c r="BJ9855" s="1191"/>
      <c r="BK9855" s="1191"/>
      <c r="BL9855" s="1191"/>
      <c r="BM9855" s="1191"/>
      <c r="BN9855" s="1191"/>
      <c r="BO9855" s="1191"/>
      <c r="BP9855" s="1191"/>
      <c r="BQ9855" s="1191"/>
      <c r="BR9855" s="1191"/>
      <c r="BS9855" s="1191"/>
      <c r="BT9855" s="1191"/>
      <c r="BU9855" s="1191"/>
      <c r="BV9855" s="1191"/>
      <c r="BW9855" s="1191"/>
      <c r="BX9855" s="1191"/>
      <c r="BY9855" s="1191"/>
      <c r="BZ9855" s="1191"/>
      <c r="CA9855" s="1191"/>
      <c r="CB9855" s="1191"/>
      <c r="CC9855" s="1191"/>
      <c r="CD9855" s="1191"/>
      <c r="CE9855" s="1191"/>
      <c r="CF9855" s="1191"/>
      <c r="CG9855" s="1191"/>
      <c r="CH9855" s="1191"/>
      <c r="CI9855" s="1191"/>
      <c r="CJ9855" s="1191"/>
      <c r="CK9855" s="1191"/>
      <c r="CL9855" s="1191"/>
      <c r="CM9855" s="1191"/>
      <c r="CN9855" s="1191"/>
      <c r="CO9855" s="1191"/>
      <c r="CP9855" s="1191"/>
      <c r="CQ9855" s="1191"/>
      <c r="CR9855" s="1191"/>
      <c r="CS9855" s="1191"/>
      <c r="CT9855" s="1191"/>
      <c r="CU9855" s="1191"/>
      <c r="CV9855" s="1191"/>
      <c r="CW9855" s="1191"/>
      <c r="CX9855" s="1191"/>
      <c r="CY9855" s="1191"/>
      <c r="CZ9855" s="1191"/>
      <c r="DA9855" s="1191"/>
      <c r="DB9855" s="1191"/>
      <c r="DC9855" s="1191"/>
      <c r="DD9855" s="1191"/>
      <c r="DE9855" s="1191"/>
      <c r="DF9855" s="1191"/>
      <c r="DG9855" s="1191"/>
      <c r="DH9855" s="1191"/>
      <c r="DI9855" s="1191"/>
      <c r="DJ9855" s="1191"/>
      <c r="DK9855" s="1191"/>
      <c r="DL9855" s="1191"/>
      <c r="DM9855" s="1191"/>
      <c r="DN9855" s="1191"/>
      <c r="DO9855" s="1191"/>
      <c r="DP9855" s="1191"/>
    </row>
    <row r="9856" spans="1:120" s="1019" customFormat="1" ht="15" customHeight="1">
      <c r="A9856" s="1172">
        <v>3717</v>
      </c>
      <c r="B9856" s="1187">
        <v>19</v>
      </c>
      <c r="C9856" s="2288">
        <v>30</v>
      </c>
      <c r="D9856" s="1172" t="s">
        <v>1812</v>
      </c>
      <c r="E9856" s="1967" t="s">
        <v>7673</v>
      </c>
      <c r="F9856" s="1967" t="s">
        <v>2622</v>
      </c>
      <c r="G9856" s="1355">
        <v>0.48</v>
      </c>
      <c r="H9856" s="2357">
        <v>28.233329999999999</v>
      </c>
      <c r="I9856" s="2083">
        <f t="shared" si="100"/>
        <v>0.50983802083333341</v>
      </c>
      <c r="J9856" s="2000">
        <v>120</v>
      </c>
      <c r="K9856" s="1191"/>
      <c r="L9856" s="1191"/>
      <c r="M9856" s="1191"/>
      <c r="N9856" s="1191"/>
      <c r="O9856" s="1191"/>
      <c r="P9856" s="1191"/>
      <c r="Q9856" s="1191"/>
      <c r="R9856" s="1191"/>
      <c r="S9856" s="1191"/>
      <c r="T9856" s="1191"/>
      <c r="U9856" s="1191"/>
      <c r="V9856" s="1191"/>
      <c r="W9856" s="1191"/>
      <c r="X9856" s="1191"/>
      <c r="Y9856" s="1191"/>
      <c r="Z9856" s="1191"/>
      <c r="AA9856" s="1191"/>
      <c r="AB9856" s="1191"/>
      <c r="AC9856" s="1191"/>
      <c r="AD9856" s="1191"/>
      <c r="AE9856" s="1191"/>
      <c r="AF9856" s="1191"/>
      <c r="AG9856" s="1191"/>
      <c r="AH9856" s="1191"/>
      <c r="AI9856" s="1191"/>
      <c r="AJ9856" s="1191"/>
      <c r="AK9856" s="1191"/>
      <c r="AL9856" s="1191"/>
      <c r="AM9856" s="1191"/>
      <c r="AN9856" s="1191"/>
      <c r="AO9856" s="1191"/>
      <c r="AP9856" s="1191"/>
      <c r="AQ9856" s="1191"/>
      <c r="AR9856" s="1191"/>
      <c r="AS9856" s="1191"/>
      <c r="AT9856" s="1191"/>
      <c r="AU9856" s="1191"/>
      <c r="AV9856" s="1191"/>
      <c r="AW9856" s="1191"/>
      <c r="AX9856" s="1191"/>
      <c r="AY9856" s="1191"/>
      <c r="AZ9856" s="1191"/>
      <c r="BA9856" s="1191"/>
      <c r="BB9856" s="1191"/>
      <c r="BC9856" s="1191"/>
      <c r="BD9856" s="1191"/>
      <c r="BE9856" s="1191"/>
      <c r="BF9856" s="1191"/>
      <c r="BG9856" s="1191"/>
      <c r="BH9856" s="1191"/>
      <c r="BI9856" s="1191"/>
      <c r="BJ9856" s="1191"/>
      <c r="BK9856" s="1191"/>
      <c r="BL9856" s="1191"/>
      <c r="BM9856" s="1191"/>
      <c r="BN9856" s="1191"/>
      <c r="BO9856" s="1191"/>
      <c r="BP9856" s="1191"/>
      <c r="BQ9856" s="1191"/>
      <c r="BR9856" s="1191"/>
      <c r="BS9856" s="1191"/>
      <c r="BT9856" s="1191"/>
      <c r="BU9856" s="1191"/>
      <c r="BV9856" s="1191"/>
      <c r="BW9856" s="1191"/>
      <c r="BX9856" s="1191"/>
      <c r="BY9856" s="1191"/>
      <c r="BZ9856" s="1191"/>
      <c r="CA9856" s="1191"/>
      <c r="CB9856" s="1191"/>
      <c r="CC9856" s="1191"/>
      <c r="CD9856" s="1191"/>
      <c r="CE9856" s="1191"/>
      <c r="CF9856" s="1191"/>
      <c r="CG9856" s="1191"/>
      <c r="CH9856" s="1191"/>
      <c r="CI9856" s="1191"/>
      <c r="CJ9856" s="1191"/>
      <c r="CK9856" s="1191"/>
      <c r="CL9856" s="1191"/>
      <c r="CM9856" s="1191"/>
      <c r="CN9856" s="1191"/>
      <c r="CO9856" s="1191"/>
      <c r="CP9856" s="1191"/>
      <c r="CQ9856" s="1191"/>
      <c r="CR9856" s="1191"/>
      <c r="CS9856" s="1191"/>
      <c r="CT9856" s="1191"/>
      <c r="CU9856" s="1191"/>
      <c r="CV9856" s="1191"/>
      <c r="CW9856" s="1191"/>
      <c r="CX9856" s="1191"/>
      <c r="CY9856" s="1191"/>
      <c r="CZ9856" s="1191"/>
      <c r="DA9856" s="1191"/>
      <c r="DB9856" s="1191"/>
      <c r="DC9856" s="1191"/>
      <c r="DD9856" s="1191"/>
      <c r="DE9856" s="1191"/>
      <c r="DF9856" s="1191"/>
      <c r="DG9856" s="1191"/>
      <c r="DH9856" s="1191"/>
      <c r="DI9856" s="1191"/>
      <c r="DJ9856" s="1191"/>
      <c r="DK9856" s="1191"/>
      <c r="DL9856" s="1191"/>
      <c r="DM9856" s="1191"/>
      <c r="DN9856" s="1191"/>
      <c r="DO9856" s="1191"/>
      <c r="DP9856" s="1191"/>
    </row>
    <row r="9857" spans="1:120" s="1019" customFormat="1" ht="15" customHeight="1">
      <c r="A9857" s="1172">
        <v>3717</v>
      </c>
      <c r="B9857" s="1187">
        <v>25</v>
      </c>
      <c r="C9857" s="2288">
        <v>30</v>
      </c>
      <c r="D9857" s="1172" t="s">
        <v>1812</v>
      </c>
      <c r="E9857" s="1967" t="s">
        <v>7673</v>
      </c>
      <c r="F9857" s="1967" t="s">
        <v>2622</v>
      </c>
      <c r="G9857" s="1355">
        <v>0.62</v>
      </c>
      <c r="H9857" s="2357">
        <v>36.299999999999997</v>
      </c>
      <c r="I9857" s="2083">
        <f t="shared" si="100"/>
        <v>0.51209677419354838</v>
      </c>
      <c r="J9857" s="2000">
        <v>120</v>
      </c>
      <c r="K9857" s="1191"/>
      <c r="L9857" s="1191"/>
      <c r="M9857" s="1191"/>
      <c r="N9857" s="1191"/>
      <c r="O9857" s="1191"/>
      <c r="P9857" s="1191"/>
      <c r="Q9857" s="1191"/>
      <c r="R9857" s="1191"/>
      <c r="S9857" s="1191"/>
      <c r="T9857" s="1191"/>
      <c r="U9857" s="1191"/>
      <c r="V9857" s="1191"/>
      <c r="W9857" s="1191"/>
      <c r="X9857" s="1191"/>
      <c r="Y9857" s="1191"/>
      <c r="Z9857" s="1191"/>
      <c r="AA9857" s="1191"/>
      <c r="AB9857" s="1191"/>
      <c r="AC9857" s="1191"/>
      <c r="AD9857" s="1191"/>
      <c r="AE9857" s="1191"/>
      <c r="AF9857" s="1191"/>
      <c r="AG9857" s="1191"/>
      <c r="AH9857" s="1191"/>
      <c r="AI9857" s="1191"/>
      <c r="AJ9857" s="1191"/>
      <c r="AK9857" s="1191"/>
      <c r="AL9857" s="1191"/>
      <c r="AM9857" s="1191"/>
      <c r="AN9857" s="1191"/>
      <c r="AO9857" s="1191"/>
      <c r="AP9857" s="1191"/>
      <c r="AQ9857" s="1191"/>
      <c r="AR9857" s="1191"/>
      <c r="AS9857" s="1191"/>
      <c r="AT9857" s="1191"/>
      <c r="AU9857" s="1191"/>
      <c r="AV9857" s="1191"/>
      <c r="AW9857" s="1191"/>
      <c r="AX9857" s="1191"/>
      <c r="AY9857" s="1191"/>
      <c r="AZ9857" s="1191"/>
      <c r="BA9857" s="1191"/>
      <c r="BB9857" s="1191"/>
      <c r="BC9857" s="1191"/>
      <c r="BD9857" s="1191"/>
      <c r="BE9857" s="1191"/>
      <c r="BF9857" s="1191"/>
      <c r="BG9857" s="1191"/>
      <c r="BH9857" s="1191"/>
      <c r="BI9857" s="1191"/>
      <c r="BJ9857" s="1191"/>
      <c r="BK9857" s="1191"/>
      <c r="BL9857" s="1191"/>
      <c r="BM9857" s="1191"/>
      <c r="BN9857" s="1191"/>
      <c r="BO9857" s="1191"/>
      <c r="BP9857" s="1191"/>
      <c r="BQ9857" s="1191"/>
      <c r="BR9857" s="1191"/>
      <c r="BS9857" s="1191"/>
      <c r="BT9857" s="1191"/>
      <c r="BU9857" s="1191"/>
      <c r="BV9857" s="1191"/>
      <c r="BW9857" s="1191"/>
      <c r="BX9857" s="1191"/>
      <c r="BY9857" s="1191"/>
      <c r="BZ9857" s="1191"/>
      <c r="CA9857" s="1191"/>
      <c r="CB9857" s="1191"/>
      <c r="CC9857" s="1191"/>
      <c r="CD9857" s="1191"/>
      <c r="CE9857" s="1191"/>
      <c r="CF9857" s="1191"/>
      <c r="CG9857" s="1191"/>
      <c r="CH9857" s="1191"/>
      <c r="CI9857" s="1191"/>
      <c r="CJ9857" s="1191"/>
      <c r="CK9857" s="1191"/>
      <c r="CL9857" s="1191"/>
      <c r="CM9857" s="1191"/>
      <c r="CN9857" s="1191"/>
      <c r="CO9857" s="1191"/>
      <c r="CP9857" s="1191"/>
      <c r="CQ9857" s="1191"/>
      <c r="CR9857" s="1191"/>
      <c r="CS9857" s="1191"/>
      <c r="CT9857" s="1191"/>
      <c r="CU9857" s="1191"/>
      <c r="CV9857" s="1191"/>
      <c r="CW9857" s="1191"/>
      <c r="CX9857" s="1191"/>
      <c r="CY9857" s="1191"/>
      <c r="CZ9857" s="1191"/>
      <c r="DA9857" s="1191"/>
      <c r="DB9857" s="1191"/>
      <c r="DC9857" s="1191"/>
      <c r="DD9857" s="1191"/>
      <c r="DE9857" s="1191"/>
      <c r="DF9857" s="1191"/>
      <c r="DG9857" s="1191"/>
      <c r="DH9857" s="1191"/>
      <c r="DI9857" s="1191"/>
      <c r="DJ9857" s="1191"/>
      <c r="DK9857" s="1191"/>
      <c r="DL9857" s="1191"/>
      <c r="DM9857" s="1191"/>
      <c r="DN9857" s="1191"/>
      <c r="DO9857" s="1191"/>
      <c r="DP9857" s="1191"/>
    </row>
    <row r="9858" spans="1:120" s="1019" customFormat="1" ht="15" customHeight="1">
      <c r="A9858" s="1172">
        <v>3717</v>
      </c>
      <c r="B9858" s="1187">
        <v>32</v>
      </c>
      <c r="C9858" s="2288">
        <v>30</v>
      </c>
      <c r="D9858" s="1172" t="s">
        <v>1812</v>
      </c>
      <c r="E9858" s="1967" t="s">
        <v>7673</v>
      </c>
      <c r="F9858" s="1967" t="s">
        <v>2622</v>
      </c>
      <c r="G9858" s="1355">
        <v>0.82000000000000006</v>
      </c>
      <c r="H9858" s="2357">
        <v>48.4</v>
      </c>
      <c r="I9858" s="2083">
        <f t="shared" si="100"/>
        <v>0.50813008130081305</v>
      </c>
      <c r="J9858" s="2000">
        <v>120</v>
      </c>
      <c r="K9858" s="1191"/>
      <c r="L9858" s="1191"/>
      <c r="M9858" s="1191"/>
      <c r="N9858" s="1191"/>
      <c r="O9858" s="1191"/>
      <c r="P9858" s="1191"/>
      <c r="Q9858" s="1191"/>
      <c r="R9858" s="1191"/>
      <c r="S9858" s="1191"/>
      <c r="T9858" s="1191"/>
      <c r="U9858" s="1191"/>
      <c r="V9858" s="1191"/>
      <c r="W9858" s="1191"/>
      <c r="X9858" s="1191"/>
      <c r="Y9858" s="1191"/>
      <c r="Z9858" s="1191"/>
      <c r="AA9858" s="1191"/>
      <c r="AB9858" s="1191"/>
      <c r="AC9858" s="1191"/>
      <c r="AD9858" s="1191"/>
      <c r="AE9858" s="1191"/>
      <c r="AF9858" s="1191"/>
      <c r="AG9858" s="1191"/>
      <c r="AH9858" s="1191"/>
      <c r="AI9858" s="1191"/>
      <c r="AJ9858" s="1191"/>
      <c r="AK9858" s="1191"/>
      <c r="AL9858" s="1191"/>
      <c r="AM9858" s="1191"/>
      <c r="AN9858" s="1191"/>
      <c r="AO9858" s="1191"/>
      <c r="AP9858" s="1191"/>
      <c r="AQ9858" s="1191"/>
      <c r="AR9858" s="1191"/>
      <c r="AS9858" s="1191"/>
      <c r="AT9858" s="1191"/>
      <c r="AU9858" s="1191"/>
      <c r="AV9858" s="1191"/>
      <c r="AW9858" s="1191"/>
      <c r="AX9858" s="1191"/>
      <c r="AY9858" s="1191"/>
      <c r="AZ9858" s="1191"/>
      <c r="BA9858" s="1191"/>
      <c r="BB9858" s="1191"/>
      <c r="BC9858" s="1191"/>
      <c r="BD9858" s="1191"/>
      <c r="BE9858" s="1191"/>
      <c r="BF9858" s="1191"/>
      <c r="BG9858" s="1191"/>
      <c r="BH9858" s="1191"/>
      <c r="BI9858" s="1191"/>
      <c r="BJ9858" s="1191"/>
      <c r="BK9858" s="1191"/>
      <c r="BL9858" s="1191"/>
      <c r="BM9858" s="1191"/>
      <c r="BN9858" s="1191"/>
      <c r="BO9858" s="1191"/>
      <c r="BP9858" s="1191"/>
      <c r="BQ9858" s="1191"/>
      <c r="BR9858" s="1191"/>
      <c r="BS9858" s="1191"/>
      <c r="BT9858" s="1191"/>
      <c r="BU9858" s="1191"/>
      <c r="BV9858" s="1191"/>
      <c r="BW9858" s="1191"/>
      <c r="BX9858" s="1191"/>
      <c r="BY9858" s="1191"/>
      <c r="BZ9858" s="1191"/>
      <c r="CA9858" s="1191"/>
      <c r="CB9858" s="1191"/>
      <c r="CC9858" s="1191"/>
      <c r="CD9858" s="1191"/>
      <c r="CE9858" s="1191"/>
      <c r="CF9858" s="1191"/>
      <c r="CG9858" s="1191"/>
      <c r="CH9858" s="1191"/>
      <c r="CI9858" s="1191"/>
      <c r="CJ9858" s="1191"/>
      <c r="CK9858" s="1191"/>
      <c r="CL9858" s="1191"/>
      <c r="CM9858" s="1191"/>
      <c r="CN9858" s="1191"/>
      <c r="CO9858" s="1191"/>
      <c r="CP9858" s="1191"/>
      <c r="CQ9858" s="1191"/>
      <c r="CR9858" s="1191"/>
      <c r="CS9858" s="1191"/>
      <c r="CT9858" s="1191"/>
      <c r="CU9858" s="1191"/>
      <c r="CV9858" s="1191"/>
      <c r="CW9858" s="1191"/>
      <c r="CX9858" s="1191"/>
      <c r="CY9858" s="1191"/>
      <c r="CZ9858" s="1191"/>
      <c r="DA9858" s="1191"/>
      <c r="DB9858" s="1191"/>
      <c r="DC9858" s="1191"/>
      <c r="DD9858" s="1191"/>
      <c r="DE9858" s="1191"/>
      <c r="DF9858" s="1191"/>
      <c r="DG9858" s="1191"/>
      <c r="DH9858" s="1191"/>
      <c r="DI9858" s="1191"/>
      <c r="DJ9858" s="1191"/>
      <c r="DK9858" s="1191"/>
      <c r="DL9858" s="1191"/>
      <c r="DM9858" s="1191"/>
      <c r="DN9858" s="1191"/>
      <c r="DO9858" s="1191"/>
      <c r="DP9858" s="1191"/>
    </row>
    <row r="9859" spans="1:120" s="1019" customFormat="1" ht="15" customHeight="1">
      <c r="A9859" s="1170" t="s">
        <v>7674</v>
      </c>
      <c r="B9859" s="1782">
        <v>4</v>
      </c>
      <c r="C9859" s="2288">
        <v>20</v>
      </c>
      <c r="D9859" s="1172" t="s">
        <v>1812</v>
      </c>
      <c r="E9859" s="1967" t="s">
        <v>7675</v>
      </c>
      <c r="F9859" s="1967" t="s">
        <v>3070</v>
      </c>
      <c r="G9859" s="1355">
        <v>0.9</v>
      </c>
      <c r="H9859" s="2359">
        <v>53.1</v>
      </c>
      <c r="I9859" s="2083">
        <f t="shared" si="100"/>
        <v>0.5083333333333333</v>
      </c>
      <c r="J9859" s="2000">
        <v>120</v>
      </c>
      <c r="K9859" s="1191"/>
      <c r="L9859" s="1191"/>
      <c r="M9859" s="1191"/>
      <c r="N9859" s="1191"/>
      <c r="O9859" s="1191"/>
      <c r="P9859" s="1191"/>
      <c r="Q9859" s="1191"/>
      <c r="R9859" s="1191"/>
      <c r="S9859" s="1191"/>
      <c r="T9859" s="1191"/>
      <c r="U9859" s="1191"/>
      <c r="V9859" s="1191"/>
      <c r="W9859" s="1191"/>
      <c r="X9859" s="1191"/>
      <c r="Y9859" s="1191"/>
      <c r="Z9859" s="1191"/>
      <c r="AA9859" s="1191"/>
      <c r="AB9859" s="1191"/>
      <c r="AC9859" s="1191"/>
      <c r="AD9859" s="1191"/>
      <c r="AE9859" s="1191"/>
      <c r="AF9859" s="1191"/>
      <c r="AG9859" s="1191"/>
      <c r="AH9859" s="1191"/>
      <c r="AI9859" s="1191"/>
      <c r="AJ9859" s="1191"/>
      <c r="AK9859" s="1191"/>
      <c r="AL9859" s="1191"/>
      <c r="AM9859" s="1191"/>
      <c r="AN9859" s="1191"/>
      <c r="AO9859" s="1191"/>
      <c r="AP9859" s="1191"/>
      <c r="AQ9859" s="1191"/>
      <c r="AR9859" s="1191"/>
      <c r="AS9859" s="1191"/>
      <c r="AT9859" s="1191"/>
      <c r="AU9859" s="1191"/>
      <c r="AV9859" s="1191"/>
      <c r="AW9859" s="1191"/>
      <c r="AX9859" s="1191"/>
      <c r="AY9859" s="1191"/>
      <c r="AZ9859" s="1191"/>
      <c r="BA9859" s="1191"/>
      <c r="BB9859" s="1191"/>
      <c r="BC9859" s="1191"/>
      <c r="BD9859" s="1191"/>
      <c r="BE9859" s="1191"/>
      <c r="BF9859" s="1191"/>
      <c r="BG9859" s="1191"/>
      <c r="BH9859" s="1191"/>
      <c r="BI9859" s="1191"/>
      <c r="BJ9859" s="1191"/>
      <c r="BK9859" s="1191"/>
      <c r="BL9859" s="1191"/>
      <c r="BM9859" s="1191"/>
      <c r="BN9859" s="1191"/>
      <c r="BO9859" s="1191"/>
      <c r="BP9859" s="1191"/>
      <c r="BQ9859" s="1191"/>
      <c r="BR9859" s="1191"/>
      <c r="BS9859" s="1191"/>
      <c r="BT9859" s="1191"/>
      <c r="BU9859" s="1191"/>
      <c r="BV9859" s="1191"/>
      <c r="BW9859" s="1191"/>
      <c r="BX9859" s="1191"/>
      <c r="BY9859" s="1191"/>
      <c r="BZ9859" s="1191"/>
      <c r="CA9859" s="1191"/>
      <c r="CB9859" s="1191"/>
      <c r="CC9859" s="1191"/>
      <c r="CD9859" s="1191"/>
      <c r="CE9859" s="1191"/>
      <c r="CF9859" s="1191"/>
      <c r="CG9859" s="1191"/>
      <c r="CH9859" s="1191"/>
      <c r="CI9859" s="1191"/>
      <c r="CJ9859" s="1191"/>
      <c r="CK9859" s="1191"/>
      <c r="CL9859" s="1191"/>
      <c r="CM9859" s="1191"/>
      <c r="CN9859" s="1191"/>
      <c r="CO9859" s="1191"/>
      <c r="CP9859" s="1191"/>
      <c r="CQ9859" s="1191"/>
      <c r="CR9859" s="1191"/>
      <c r="CS9859" s="1191"/>
      <c r="CT9859" s="1191"/>
      <c r="CU9859" s="1191"/>
      <c r="CV9859" s="1191"/>
      <c r="CW9859" s="1191"/>
      <c r="CX9859" s="1191"/>
      <c r="CY9859" s="1191"/>
      <c r="CZ9859" s="1191"/>
      <c r="DA9859" s="1191"/>
      <c r="DB9859" s="1191"/>
      <c r="DC9859" s="1191"/>
      <c r="DD9859" s="1191"/>
      <c r="DE9859" s="1191"/>
      <c r="DF9859" s="1191"/>
      <c r="DG9859" s="1191"/>
      <c r="DH9859" s="1191"/>
      <c r="DI9859" s="1191"/>
      <c r="DJ9859" s="1191"/>
      <c r="DK9859" s="1191"/>
      <c r="DL9859" s="1191"/>
      <c r="DM9859" s="1191"/>
      <c r="DN9859" s="1191"/>
      <c r="DO9859" s="1191"/>
      <c r="DP9859" s="1191"/>
    </row>
    <row r="9860" spans="1:120" s="2356" customFormat="1" ht="15" customHeight="1">
      <c r="A9860" s="1170" t="s">
        <v>7674</v>
      </c>
      <c r="B9860" s="1782">
        <v>6</v>
      </c>
      <c r="C9860" s="2288">
        <v>10</v>
      </c>
      <c r="D9860" s="1172" t="s">
        <v>1812</v>
      </c>
      <c r="E9860" s="1967" t="s">
        <v>7675</v>
      </c>
      <c r="F9860" s="1967" t="s">
        <v>3070</v>
      </c>
      <c r="G9860" s="1355">
        <v>0.93</v>
      </c>
      <c r="H9860" s="2359">
        <v>54.7</v>
      </c>
      <c r="I9860" s="2083">
        <f t="shared" si="100"/>
        <v>0.50985663082437271</v>
      </c>
      <c r="J9860" s="2000">
        <v>120</v>
      </c>
      <c r="K9860" s="1191"/>
      <c r="L9860" s="1191"/>
      <c r="M9860" s="1191"/>
      <c r="N9860" s="1191"/>
      <c r="O9860" s="1191"/>
      <c r="P9860" s="1191"/>
      <c r="Q9860" s="1191"/>
      <c r="R9860" s="1191"/>
      <c r="S9860" s="1191"/>
      <c r="T9860" s="1191"/>
      <c r="U9860" s="1191"/>
      <c r="V9860" s="1191"/>
      <c r="W9860" s="1191"/>
      <c r="X9860" s="1191"/>
      <c r="Y9860" s="1191"/>
      <c r="Z9860" s="1191"/>
      <c r="AA9860" s="1191"/>
      <c r="AB9860" s="1191"/>
      <c r="AC9860" s="1191"/>
      <c r="AD9860" s="1191"/>
      <c r="AE9860" s="1191"/>
      <c r="AF9860" s="1191"/>
      <c r="AG9860" s="1191"/>
      <c r="AH9860" s="1191"/>
      <c r="AI9860" s="1191"/>
      <c r="AJ9860" s="1191"/>
      <c r="AK9860" s="1191"/>
      <c r="AL9860" s="1191"/>
      <c r="AM9860" s="1191"/>
      <c r="AN9860" s="1191"/>
      <c r="AO9860" s="1191"/>
      <c r="AP9860" s="1191"/>
      <c r="AQ9860" s="1191"/>
      <c r="AR9860" s="1191"/>
      <c r="AS9860" s="1191"/>
      <c r="AT9860" s="1191"/>
      <c r="AU9860" s="1191"/>
      <c r="AV9860" s="1191"/>
      <c r="AW9860" s="1191"/>
      <c r="AX9860" s="1191"/>
      <c r="AY9860" s="1191"/>
      <c r="AZ9860" s="1191"/>
      <c r="BA9860" s="1191"/>
      <c r="BB9860" s="1191"/>
      <c r="BC9860" s="1191"/>
      <c r="BD9860" s="1191"/>
      <c r="BE9860" s="1191"/>
      <c r="BF9860" s="1191"/>
      <c r="BG9860" s="1191"/>
      <c r="BH9860" s="1191"/>
      <c r="BI9860" s="1191"/>
      <c r="BJ9860" s="1191"/>
      <c r="BK9860" s="1191"/>
      <c r="BL9860" s="1191"/>
      <c r="BM9860" s="1191"/>
      <c r="BN9860" s="1191"/>
      <c r="BO9860" s="1191"/>
      <c r="BP9860" s="1191"/>
      <c r="BQ9860" s="1191"/>
      <c r="BR9860" s="1191"/>
      <c r="BS9860" s="1191"/>
      <c r="BT9860" s="1191"/>
      <c r="BU9860" s="1191"/>
      <c r="BV9860" s="1191"/>
      <c r="BW9860" s="1191"/>
      <c r="BX9860" s="1191"/>
      <c r="BY9860" s="1191"/>
      <c r="BZ9860" s="1191"/>
      <c r="CA9860" s="1191"/>
      <c r="CB9860" s="1191"/>
      <c r="CC9860" s="1191"/>
      <c r="CD9860" s="1191"/>
      <c r="CE9860" s="1191"/>
      <c r="CF9860" s="1191"/>
      <c r="CG9860" s="1191"/>
      <c r="CH9860" s="1191"/>
      <c r="CI9860" s="1191"/>
      <c r="CJ9860" s="1191"/>
      <c r="CK9860" s="1191"/>
      <c r="CL9860" s="1191"/>
      <c r="CM9860" s="1191"/>
      <c r="CN9860" s="1191"/>
      <c r="CO9860" s="1191"/>
      <c r="CP9860" s="1191"/>
      <c r="CQ9860" s="1191"/>
      <c r="CR9860" s="1191"/>
      <c r="CS9860" s="1191"/>
      <c r="CT9860" s="1191"/>
      <c r="CU9860" s="1191"/>
      <c r="CV9860" s="1191"/>
      <c r="CW9860" s="1191"/>
      <c r="CX9860" s="1191"/>
      <c r="CY9860" s="1191"/>
      <c r="CZ9860" s="1191"/>
      <c r="DA9860" s="1191"/>
      <c r="DB9860" s="1191"/>
      <c r="DC9860" s="1191"/>
      <c r="DD9860" s="1191"/>
      <c r="DE9860" s="1191"/>
      <c r="DF9860" s="1191"/>
      <c r="DG9860" s="1191"/>
      <c r="DH9860" s="1191"/>
      <c r="DI9860" s="1191"/>
      <c r="DJ9860" s="1191"/>
      <c r="DK9860" s="1191"/>
      <c r="DL9860" s="1191"/>
      <c r="DM9860" s="1191"/>
      <c r="DN9860" s="1191"/>
      <c r="DO9860" s="1191"/>
      <c r="DP9860" s="1191"/>
    </row>
    <row r="9861" spans="1:120" s="1019" customFormat="1" ht="15" customHeight="1">
      <c r="A9861" s="1170" t="s">
        <v>7674</v>
      </c>
      <c r="B9861" s="1782">
        <v>9</v>
      </c>
      <c r="C9861" s="2288">
        <v>10</v>
      </c>
      <c r="D9861" s="1172" t="s">
        <v>1812</v>
      </c>
      <c r="E9861" s="1967" t="s">
        <v>7675</v>
      </c>
      <c r="F9861" s="1967" t="s">
        <v>3070</v>
      </c>
      <c r="G9861" s="1355">
        <v>1.04</v>
      </c>
      <c r="H9861" s="2359">
        <v>61.6</v>
      </c>
      <c r="I9861" s="2083">
        <f t="shared" si="100"/>
        <v>0.5064102564102565</v>
      </c>
      <c r="J9861" s="2000">
        <v>120</v>
      </c>
      <c r="K9861" s="1191"/>
      <c r="L9861" s="1191"/>
      <c r="M9861" s="1191"/>
      <c r="N9861" s="1191"/>
      <c r="O9861" s="1191"/>
      <c r="P9861" s="1191"/>
      <c r="Q9861" s="1191"/>
      <c r="R9861" s="1191"/>
      <c r="S9861" s="1191"/>
      <c r="T9861" s="1191"/>
      <c r="U9861" s="1191"/>
      <c r="V9861" s="1191"/>
      <c r="W9861" s="1191"/>
      <c r="X9861" s="1191"/>
      <c r="Y9861" s="1191"/>
      <c r="Z9861" s="1191"/>
      <c r="AA9861" s="1191"/>
      <c r="AB9861" s="1191"/>
      <c r="AC9861" s="1191"/>
      <c r="AD9861" s="1191"/>
      <c r="AE9861" s="1191"/>
      <c r="AF9861" s="1191"/>
      <c r="AG9861" s="1191"/>
      <c r="AH9861" s="1191"/>
      <c r="AI9861" s="1191"/>
      <c r="AJ9861" s="1191"/>
      <c r="AK9861" s="1191"/>
      <c r="AL9861" s="1191"/>
      <c r="AM9861" s="1191"/>
      <c r="AN9861" s="1191"/>
      <c r="AO9861" s="1191"/>
      <c r="AP9861" s="1191"/>
      <c r="AQ9861" s="1191"/>
      <c r="AR9861" s="1191"/>
      <c r="AS9861" s="1191"/>
      <c r="AT9861" s="1191"/>
      <c r="AU9861" s="1191"/>
      <c r="AV9861" s="1191"/>
      <c r="AW9861" s="1191"/>
      <c r="AX9861" s="1191"/>
      <c r="AY9861" s="1191"/>
      <c r="AZ9861" s="1191"/>
      <c r="BA9861" s="1191"/>
      <c r="BB9861" s="1191"/>
      <c r="BC9861" s="1191"/>
      <c r="BD9861" s="1191"/>
      <c r="BE9861" s="1191"/>
      <c r="BF9861" s="1191"/>
      <c r="BG9861" s="1191"/>
      <c r="BH9861" s="1191"/>
      <c r="BI9861" s="1191"/>
      <c r="BJ9861" s="1191"/>
      <c r="BK9861" s="1191"/>
      <c r="BL9861" s="1191"/>
      <c r="BM9861" s="1191"/>
      <c r="BN9861" s="1191"/>
      <c r="BO9861" s="1191"/>
      <c r="BP9861" s="1191"/>
      <c r="BQ9861" s="1191"/>
      <c r="BR9861" s="1191"/>
      <c r="BS9861" s="1191"/>
      <c r="BT9861" s="1191"/>
      <c r="BU9861" s="1191"/>
      <c r="BV9861" s="1191"/>
      <c r="BW9861" s="1191"/>
      <c r="BX9861" s="1191"/>
      <c r="BY9861" s="1191"/>
      <c r="BZ9861" s="1191"/>
      <c r="CA9861" s="1191"/>
      <c r="CB9861" s="1191"/>
      <c r="CC9861" s="1191"/>
      <c r="CD9861" s="1191"/>
      <c r="CE9861" s="1191"/>
      <c r="CF9861" s="1191"/>
      <c r="CG9861" s="1191"/>
      <c r="CH9861" s="1191"/>
      <c r="CI9861" s="1191"/>
      <c r="CJ9861" s="1191"/>
      <c r="CK9861" s="1191"/>
      <c r="CL9861" s="1191"/>
      <c r="CM9861" s="1191"/>
      <c r="CN9861" s="1191"/>
      <c r="CO9861" s="1191"/>
      <c r="CP9861" s="1191"/>
      <c r="CQ9861" s="1191"/>
      <c r="CR9861" s="1191"/>
      <c r="CS9861" s="1191"/>
      <c r="CT9861" s="1191"/>
      <c r="CU9861" s="1191"/>
      <c r="CV9861" s="1191"/>
      <c r="CW9861" s="1191"/>
      <c r="CX9861" s="1191"/>
      <c r="CY9861" s="1191"/>
      <c r="CZ9861" s="1191"/>
      <c r="DA9861" s="1191"/>
      <c r="DB9861" s="1191"/>
      <c r="DC9861" s="1191"/>
      <c r="DD9861" s="1191"/>
      <c r="DE9861" s="1191"/>
      <c r="DF9861" s="1191"/>
      <c r="DG9861" s="1191"/>
      <c r="DH9861" s="1191"/>
      <c r="DI9861" s="1191"/>
      <c r="DJ9861" s="1191"/>
      <c r="DK9861" s="1191"/>
      <c r="DL9861" s="1191"/>
      <c r="DM9861" s="1191"/>
      <c r="DN9861" s="1191"/>
      <c r="DO9861" s="1191"/>
      <c r="DP9861" s="1191"/>
    </row>
    <row r="9862" spans="1:120" s="1019" customFormat="1" ht="15" customHeight="1">
      <c r="A9862" s="1170" t="s">
        <v>7674</v>
      </c>
      <c r="B9862" s="1782">
        <v>12</v>
      </c>
      <c r="C9862" s="2288">
        <v>10</v>
      </c>
      <c r="D9862" s="1172" t="s">
        <v>1812</v>
      </c>
      <c r="E9862" s="1967" t="s">
        <v>7675</v>
      </c>
      <c r="F9862" s="1967" t="s">
        <v>3070</v>
      </c>
      <c r="G9862" s="1355">
        <v>1.17</v>
      </c>
      <c r="H9862" s="2359">
        <v>69.2</v>
      </c>
      <c r="I9862" s="2083">
        <f t="shared" si="100"/>
        <v>0.50712250712250706</v>
      </c>
      <c r="J9862" s="2000">
        <v>120</v>
      </c>
      <c r="K9862" s="1191"/>
      <c r="L9862" s="1191"/>
      <c r="M9862" s="1191"/>
      <c r="N9862" s="1191"/>
      <c r="O9862" s="1191"/>
      <c r="P9862" s="1191"/>
      <c r="Q9862" s="1191"/>
      <c r="R9862" s="1191"/>
      <c r="S9862" s="1191"/>
      <c r="T9862" s="1191"/>
      <c r="U9862" s="1191"/>
      <c r="V9862" s="1191"/>
      <c r="W9862" s="1191"/>
      <c r="X9862" s="1191"/>
      <c r="Y9862" s="1191"/>
      <c r="Z9862" s="1191"/>
      <c r="AA9862" s="1191"/>
      <c r="AB9862" s="1191"/>
      <c r="AC9862" s="1191"/>
      <c r="AD9862" s="1191"/>
      <c r="AE9862" s="1191"/>
      <c r="AF9862" s="1191"/>
      <c r="AG9862" s="1191"/>
      <c r="AH9862" s="1191"/>
      <c r="AI9862" s="1191"/>
      <c r="AJ9862" s="1191"/>
      <c r="AK9862" s="1191"/>
      <c r="AL9862" s="1191"/>
      <c r="AM9862" s="1191"/>
      <c r="AN9862" s="1191"/>
      <c r="AO9862" s="1191"/>
      <c r="AP9862" s="1191"/>
      <c r="AQ9862" s="1191"/>
      <c r="AR9862" s="1191"/>
      <c r="AS9862" s="1191"/>
      <c r="AT9862" s="1191"/>
      <c r="AU9862" s="1191"/>
      <c r="AV9862" s="1191"/>
      <c r="AW9862" s="1191"/>
      <c r="AX9862" s="1191"/>
      <c r="AY9862" s="1191"/>
      <c r="AZ9862" s="1191"/>
      <c r="BA9862" s="1191"/>
      <c r="BB9862" s="1191"/>
      <c r="BC9862" s="1191"/>
      <c r="BD9862" s="1191"/>
      <c r="BE9862" s="1191"/>
      <c r="BF9862" s="1191"/>
      <c r="BG9862" s="1191"/>
      <c r="BH9862" s="1191"/>
      <c r="BI9862" s="1191"/>
      <c r="BJ9862" s="1191"/>
      <c r="BK9862" s="1191"/>
      <c r="BL9862" s="1191"/>
      <c r="BM9862" s="1191"/>
      <c r="BN9862" s="1191"/>
      <c r="BO9862" s="1191"/>
      <c r="BP9862" s="1191"/>
      <c r="BQ9862" s="1191"/>
      <c r="BR9862" s="1191"/>
      <c r="BS9862" s="1191"/>
      <c r="BT9862" s="1191"/>
      <c r="BU9862" s="1191"/>
      <c r="BV9862" s="1191"/>
      <c r="BW9862" s="1191"/>
      <c r="BX9862" s="1191"/>
      <c r="BY9862" s="1191"/>
      <c r="BZ9862" s="1191"/>
      <c r="CA9862" s="1191"/>
      <c r="CB9862" s="1191"/>
      <c r="CC9862" s="1191"/>
      <c r="CD9862" s="1191"/>
      <c r="CE9862" s="1191"/>
      <c r="CF9862" s="1191"/>
      <c r="CG9862" s="1191"/>
      <c r="CH9862" s="1191"/>
      <c r="CI9862" s="1191"/>
      <c r="CJ9862" s="1191"/>
      <c r="CK9862" s="1191"/>
      <c r="CL9862" s="1191"/>
      <c r="CM9862" s="1191"/>
      <c r="CN9862" s="1191"/>
      <c r="CO9862" s="1191"/>
      <c r="CP9862" s="1191"/>
      <c r="CQ9862" s="1191"/>
      <c r="CR9862" s="1191"/>
      <c r="CS9862" s="1191"/>
      <c r="CT9862" s="1191"/>
      <c r="CU9862" s="1191"/>
      <c r="CV9862" s="1191"/>
      <c r="CW9862" s="1191"/>
      <c r="CX9862" s="1191"/>
      <c r="CY9862" s="1191"/>
      <c r="CZ9862" s="1191"/>
      <c r="DA9862" s="1191"/>
      <c r="DB9862" s="1191"/>
      <c r="DC9862" s="1191"/>
      <c r="DD9862" s="1191"/>
      <c r="DE9862" s="1191"/>
      <c r="DF9862" s="1191"/>
      <c r="DG9862" s="1191"/>
      <c r="DH9862" s="1191"/>
      <c r="DI9862" s="1191"/>
      <c r="DJ9862" s="1191"/>
      <c r="DK9862" s="1191"/>
      <c r="DL9862" s="1191"/>
      <c r="DM9862" s="1191"/>
      <c r="DN9862" s="1191"/>
      <c r="DO9862" s="1191"/>
      <c r="DP9862" s="1191"/>
    </row>
    <row r="9863" spans="1:120" s="1019" customFormat="1" ht="15" customHeight="1">
      <c r="A9863" s="1170" t="s">
        <v>7674</v>
      </c>
      <c r="B9863" s="1782">
        <v>19</v>
      </c>
      <c r="C9863" s="2288">
        <v>10</v>
      </c>
      <c r="D9863" s="1172" t="s">
        <v>1812</v>
      </c>
      <c r="E9863" s="1967" t="s">
        <v>7675</v>
      </c>
      <c r="F9863" s="1967" t="s">
        <v>3070</v>
      </c>
      <c r="G9863" s="1355">
        <v>1.5</v>
      </c>
      <c r="H9863" s="2360">
        <v>89</v>
      </c>
      <c r="I9863" s="2083">
        <f t="shared" si="100"/>
        <v>0.50555555555555554</v>
      </c>
      <c r="J9863" s="2000">
        <v>120</v>
      </c>
      <c r="K9863" s="1191"/>
      <c r="L9863" s="1191"/>
      <c r="M9863" s="1191"/>
      <c r="N9863" s="1191"/>
      <c r="O9863" s="1191"/>
      <c r="P9863" s="1191"/>
      <c r="Q9863" s="1191"/>
      <c r="R9863" s="1191"/>
      <c r="S9863" s="1191"/>
      <c r="T9863" s="1191"/>
      <c r="U9863" s="1191"/>
      <c r="V9863" s="1191"/>
      <c r="W9863" s="1191"/>
      <c r="X9863" s="1191"/>
      <c r="Y9863" s="1191"/>
      <c r="Z9863" s="1191"/>
      <c r="AA9863" s="1191"/>
      <c r="AB9863" s="1191"/>
      <c r="AC9863" s="1191"/>
      <c r="AD9863" s="1191"/>
      <c r="AE9863" s="1191"/>
      <c r="AF9863" s="1191"/>
      <c r="AG9863" s="1191"/>
      <c r="AH9863" s="1191"/>
      <c r="AI9863" s="1191"/>
      <c r="AJ9863" s="1191"/>
      <c r="AK9863" s="1191"/>
      <c r="AL9863" s="1191"/>
      <c r="AM9863" s="1191"/>
      <c r="AN9863" s="1191"/>
      <c r="AO9863" s="1191"/>
      <c r="AP9863" s="1191"/>
      <c r="AQ9863" s="1191"/>
      <c r="AR9863" s="1191"/>
      <c r="AS9863" s="1191"/>
      <c r="AT9863" s="1191"/>
      <c r="AU9863" s="1191"/>
      <c r="AV9863" s="1191"/>
      <c r="AW9863" s="1191"/>
      <c r="AX9863" s="1191"/>
      <c r="AY9863" s="1191"/>
      <c r="AZ9863" s="1191"/>
      <c r="BA9863" s="1191"/>
      <c r="BB9863" s="1191"/>
      <c r="BC9863" s="1191"/>
      <c r="BD9863" s="1191"/>
      <c r="BE9863" s="1191"/>
      <c r="BF9863" s="1191"/>
      <c r="BG9863" s="1191"/>
      <c r="BH9863" s="1191"/>
      <c r="BI9863" s="1191"/>
      <c r="BJ9863" s="1191"/>
      <c r="BK9863" s="1191"/>
      <c r="BL9863" s="1191"/>
      <c r="BM9863" s="1191"/>
      <c r="BN9863" s="1191"/>
      <c r="BO9863" s="1191"/>
      <c r="BP9863" s="1191"/>
      <c r="BQ9863" s="1191"/>
      <c r="BR9863" s="1191"/>
      <c r="BS9863" s="1191"/>
      <c r="BT9863" s="1191"/>
      <c r="BU9863" s="1191"/>
      <c r="BV9863" s="1191"/>
      <c r="BW9863" s="1191"/>
      <c r="BX9863" s="1191"/>
      <c r="BY9863" s="1191"/>
      <c r="BZ9863" s="1191"/>
      <c r="CA9863" s="1191"/>
      <c r="CB9863" s="1191"/>
      <c r="CC9863" s="1191"/>
      <c r="CD9863" s="1191"/>
      <c r="CE9863" s="1191"/>
      <c r="CF9863" s="1191"/>
      <c r="CG9863" s="1191"/>
      <c r="CH9863" s="1191"/>
      <c r="CI9863" s="1191"/>
      <c r="CJ9863" s="1191"/>
      <c r="CK9863" s="1191"/>
      <c r="CL9863" s="1191"/>
      <c r="CM9863" s="1191"/>
      <c r="CN9863" s="1191"/>
      <c r="CO9863" s="1191"/>
      <c r="CP9863" s="1191"/>
      <c r="CQ9863" s="1191"/>
      <c r="CR9863" s="1191"/>
      <c r="CS9863" s="1191"/>
      <c r="CT9863" s="1191"/>
      <c r="CU9863" s="1191"/>
      <c r="CV9863" s="1191"/>
      <c r="CW9863" s="1191"/>
      <c r="CX9863" s="1191"/>
      <c r="CY9863" s="1191"/>
      <c r="CZ9863" s="1191"/>
      <c r="DA9863" s="1191"/>
      <c r="DB9863" s="1191"/>
      <c r="DC9863" s="1191"/>
      <c r="DD9863" s="1191"/>
      <c r="DE9863" s="1191"/>
      <c r="DF9863" s="1191"/>
      <c r="DG9863" s="1191"/>
      <c r="DH9863" s="1191"/>
      <c r="DI9863" s="1191"/>
      <c r="DJ9863" s="1191"/>
      <c r="DK9863" s="1191"/>
      <c r="DL9863" s="1191"/>
      <c r="DM9863" s="1191"/>
      <c r="DN9863" s="1191"/>
      <c r="DO9863" s="1191"/>
      <c r="DP9863" s="1191"/>
    </row>
    <row r="9864" spans="1:120" s="1019" customFormat="1" ht="15" customHeight="1">
      <c r="A9864" s="1170" t="s">
        <v>7674</v>
      </c>
      <c r="B9864" s="1782">
        <v>25</v>
      </c>
      <c r="C9864" s="2288">
        <v>10</v>
      </c>
      <c r="D9864" s="1172" t="s">
        <v>1812</v>
      </c>
      <c r="E9864" s="1967" t="s">
        <v>7675</v>
      </c>
      <c r="F9864" s="1967" t="s">
        <v>3070</v>
      </c>
      <c r="G9864" s="1355">
        <v>1.84</v>
      </c>
      <c r="H9864" s="2359">
        <v>109.2</v>
      </c>
      <c r="I9864" s="2083">
        <f t="shared" si="100"/>
        <v>0.50543478260869568</v>
      </c>
      <c r="J9864" s="2000">
        <v>120</v>
      </c>
      <c r="K9864" s="1191"/>
      <c r="L9864" s="1191"/>
      <c r="M9864" s="1191"/>
      <c r="N9864" s="1191"/>
      <c r="O9864" s="1191"/>
      <c r="P9864" s="1191"/>
      <c r="Q9864" s="1191"/>
      <c r="R9864" s="1191"/>
      <c r="S9864" s="1191"/>
      <c r="T9864" s="1191"/>
      <c r="U9864" s="1191"/>
      <c r="V9864" s="1191"/>
      <c r="W9864" s="1191"/>
      <c r="X9864" s="1191"/>
      <c r="Y9864" s="1191"/>
      <c r="Z9864" s="1191"/>
      <c r="AA9864" s="1191"/>
      <c r="AB9864" s="1191"/>
      <c r="AC9864" s="1191"/>
      <c r="AD9864" s="1191"/>
      <c r="AE9864" s="1191"/>
      <c r="AF9864" s="1191"/>
      <c r="AG9864" s="1191"/>
      <c r="AH9864" s="1191"/>
      <c r="AI9864" s="1191"/>
      <c r="AJ9864" s="1191"/>
      <c r="AK9864" s="1191"/>
      <c r="AL9864" s="1191"/>
      <c r="AM9864" s="1191"/>
      <c r="AN9864" s="1191"/>
      <c r="AO9864" s="1191"/>
      <c r="AP9864" s="1191"/>
      <c r="AQ9864" s="1191"/>
      <c r="AR9864" s="1191"/>
      <c r="AS9864" s="1191"/>
      <c r="AT9864" s="1191"/>
      <c r="AU9864" s="1191"/>
      <c r="AV9864" s="1191"/>
      <c r="AW9864" s="1191"/>
      <c r="AX9864" s="1191"/>
      <c r="AY9864" s="1191"/>
      <c r="AZ9864" s="1191"/>
      <c r="BA9864" s="1191"/>
      <c r="BB9864" s="1191"/>
      <c r="BC9864" s="1191"/>
      <c r="BD9864" s="1191"/>
      <c r="BE9864" s="1191"/>
      <c r="BF9864" s="1191"/>
      <c r="BG9864" s="1191"/>
      <c r="BH9864" s="1191"/>
      <c r="BI9864" s="1191"/>
      <c r="BJ9864" s="1191"/>
      <c r="BK9864" s="1191"/>
      <c r="BL9864" s="1191"/>
      <c r="BM9864" s="1191"/>
      <c r="BN9864" s="1191"/>
      <c r="BO9864" s="1191"/>
      <c r="BP9864" s="1191"/>
      <c r="BQ9864" s="1191"/>
      <c r="BR9864" s="1191"/>
      <c r="BS9864" s="1191"/>
      <c r="BT9864" s="1191"/>
      <c r="BU9864" s="1191"/>
      <c r="BV9864" s="1191"/>
      <c r="BW9864" s="1191"/>
      <c r="BX9864" s="1191"/>
      <c r="BY9864" s="1191"/>
      <c r="BZ9864" s="1191"/>
      <c r="CA9864" s="1191"/>
      <c r="CB9864" s="1191"/>
      <c r="CC9864" s="1191"/>
      <c r="CD9864" s="1191"/>
      <c r="CE9864" s="1191"/>
      <c r="CF9864" s="1191"/>
      <c r="CG9864" s="1191"/>
      <c r="CH9864" s="1191"/>
      <c r="CI9864" s="1191"/>
      <c r="CJ9864" s="1191"/>
      <c r="CK9864" s="1191"/>
      <c r="CL9864" s="1191"/>
      <c r="CM9864" s="1191"/>
      <c r="CN9864" s="1191"/>
      <c r="CO9864" s="1191"/>
      <c r="CP9864" s="1191"/>
      <c r="CQ9864" s="1191"/>
      <c r="CR9864" s="1191"/>
      <c r="CS9864" s="1191"/>
      <c r="CT9864" s="1191"/>
      <c r="CU9864" s="1191"/>
      <c r="CV9864" s="1191"/>
      <c r="CW9864" s="1191"/>
      <c r="CX9864" s="1191"/>
      <c r="CY9864" s="1191"/>
      <c r="CZ9864" s="1191"/>
      <c r="DA9864" s="1191"/>
      <c r="DB9864" s="1191"/>
      <c r="DC9864" s="1191"/>
      <c r="DD9864" s="1191"/>
      <c r="DE9864" s="1191"/>
      <c r="DF9864" s="1191"/>
      <c r="DG9864" s="1191"/>
      <c r="DH9864" s="1191"/>
      <c r="DI9864" s="1191"/>
      <c r="DJ9864" s="1191"/>
      <c r="DK9864" s="1191"/>
      <c r="DL9864" s="1191"/>
      <c r="DM9864" s="1191"/>
      <c r="DN9864" s="1191"/>
      <c r="DO9864" s="1191"/>
      <c r="DP9864" s="1191"/>
    </row>
    <row r="9866" spans="1:120">
      <c r="A9866" s="887" t="s">
        <v>455</v>
      </c>
      <c r="B9866" s="887" t="s">
        <v>52</v>
      </c>
      <c r="C9866" s="887" t="s">
        <v>128</v>
      </c>
      <c r="D9866" s="887" t="s">
        <v>1186</v>
      </c>
      <c r="E9866" s="887" t="s">
        <v>1652</v>
      </c>
      <c r="F9866" s="887" t="s">
        <v>1653</v>
      </c>
      <c r="G9866" s="1997" t="s">
        <v>1323</v>
      </c>
      <c r="H9866" s="1997" t="s">
        <v>2245</v>
      </c>
    </row>
    <row r="9867" spans="1:120">
      <c r="A9867" s="889" t="s">
        <v>7645</v>
      </c>
      <c r="B9867" s="47"/>
      <c r="C9867" s="260"/>
      <c r="D9867" s="903"/>
      <c r="E9867" s="903"/>
      <c r="F9867" s="903"/>
      <c r="G9867" s="916" t="s">
        <v>10</v>
      </c>
      <c r="H9867" s="39"/>
    </row>
    <row r="9868" spans="1:120">
      <c r="A9868" s="47" t="s">
        <v>7293</v>
      </c>
      <c r="B9868" s="260">
        <v>25</v>
      </c>
      <c r="C9868" s="260" t="s">
        <v>2610</v>
      </c>
      <c r="D9868" s="905">
        <v>30</v>
      </c>
      <c r="E9868" s="906">
        <v>1</v>
      </c>
      <c r="F9868" s="905">
        <f t="shared" ref="F9868:F9880" si="101">D9868*E9868</f>
        <v>30</v>
      </c>
      <c r="G9868" s="891">
        <v>0.62</v>
      </c>
      <c r="H9868" s="891">
        <f t="shared" ref="H9868:H9880" si="102">G9868*F9868</f>
        <v>18.600000000000001</v>
      </c>
    </row>
    <row r="9869" spans="1:120">
      <c r="A9869" s="47" t="s">
        <v>7293</v>
      </c>
      <c r="B9869" s="260">
        <v>25</v>
      </c>
      <c r="C9869" s="260" t="s">
        <v>435</v>
      </c>
      <c r="D9869" s="905">
        <v>30</v>
      </c>
      <c r="E9869" s="906">
        <v>1</v>
      </c>
      <c r="F9869" s="905">
        <f t="shared" si="101"/>
        <v>30</v>
      </c>
      <c r="G9869" s="891">
        <v>0.62</v>
      </c>
      <c r="H9869" s="891">
        <f t="shared" si="102"/>
        <v>18.600000000000001</v>
      </c>
    </row>
    <row r="9870" spans="1:120">
      <c r="A9870" s="47" t="s">
        <v>7293</v>
      </c>
      <c r="B9870" s="260">
        <v>25</v>
      </c>
      <c r="C9870" s="260" t="s">
        <v>7679</v>
      </c>
      <c r="D9870" s="905">
        <v>30</v>
      </c>
      <c r="E9870" s="906">
        <v>1</v>
      </c>
      <c r="F9870" s="905">
        <f t="shared" si="101"/>
        <v>30</v>
      </c>
      <c r="G9870" s="891">
        <v>0.62</v>
      </c>
      <c r="H9870" s="891">
        <f t="shared" si="102"/>
        <v>18.600000000000001</v>
      </c>
    </row>
    <row r="9871" spans="1:120">
      <c r="A9871" s="47" t="s">
        <v>7293</v>
      </c>
      <c r="B9871" s="260">
        <v>25</v>
      </c>
      <c r="C9871" s="260" t="s">
        <v>207</v>
      </c>
      <c r="D9871" s="905">
        <v>30</v>
      </c>
      <c r="E9871" s="906">
        <v>1</v>
      </c>
      <c r="F9871" s="905">
        <f t="shared" si="101"/>
        <v>30</v>
      </c>
      <c r="G9871" s="891">
        <v>0.62</v>
      </c>
      <c r="H9871" s="891">
        <f t="shared" si="102"/>
        <v>18.600000000000001</v>
      </c>
    </row>
    <row r="9872" spans="1:120">
      <c r="A9872" s="47" t="s">
        <v>7293</v>
      </c>
      <c r="B9872" s="260">
        <v>25</v>
      </c>
      <c r="C9872" s="260" t="s">
        <v>171</v>
      </c>
      <c r="D9872" s="905">
        <v>30</v>
      </c>
      <c r="E9872" s="906">
        <v>1</v>
      </c>
      <c r="F9872" s="905">
        <f t="shared" si="101"/>
        <v>30</v>
      </c>
      <c r="G9872" s="891">
        <v>0.62</v>
      </c>
      <c r="H9872" s="891">
        <f t="shared" si="102"/>
        <v>18.600000000000001</v>
      </c>
    </row>
    <row r="9873" spans="1:8">
      <c r="A9873" s="47" t="s">
        <v>7293</v>
      </c>
      <c r="B9873" s="260">
        <v>38</v>
      </c>
      <c r="C9873" s="260" t="s">
        <v>2610</v>
      </c>
      <c r="D9873" s="905">
        <v>30</v>
      </c>
      <c r="E9873" s="906">
        <v>1</v>
      </c>
      <c r="F9873" s="905">
        <f t="shared" si="101"/>
        <v>30</v>
      </c>
      <c r="G9873" s="891">
        <v>0.93</v>
      </c>
      <c r="H9873" s="891">
        <f t="shared" si="102"/>
        <v>27.900000000000002</v>
      </c>
    </row>
    <row r="9874" spans="1:8">
      <c r="A9874" s="47" t="s">
        <v>7293</v>
      </c>
      <c r="B9874" s="260">
        <v>38</v>
      </c>
      <c r="C9874" s="260" t="s">
        <v>435</v>
      </c>
      <c r="D9874" s="905">
        <v>30</v>
      </c>
      <c r="E9874" s="906">
        <v>1</v>
      </c>
      <c r="F9874" s="905">
        <f t="shared" si="101"/>
        <v>30</v>
      </c>
      <c r="G9874" s="891">
        <v>0.93</v>
      </c>
      <c r="H9874" s="891">
        <f t="shared" si="102"/>
        <v>27.900000000000002</v>
      </c>
    </row>
    <row r="9875" spans="1:8">
      <c r="A9875" s="47" t="s">
        <v>7293</v>
      </c>
      <c r="B9875" s="260">
        <v>38</v>
      </c>
      <c r="C9875" s="260" t="s">
        <v>104</v>
      </c>
      <c r="D9875" s="905">
        <v>30</v>
      </c>
      <c r="E9875" s="906">
        <v>1</v>
      </c>
      <c r="F9875" s="905">
        <f t="shared" si="101"/>
        <v>30</v>
      </c>
      <c r="G9875" s="891">
        <v>0.93</v>
      </c>
      <c r="H9875" s="891">
        <f t="shared" si="102"/>
        <v>27.900000000000002</v>
      </c>
    </row>
    <row r="9876" spans="1:8">
      <c r="A9876" s="47" t="s">
        <v>7293</v>
      </c>
      <c r="B9876" s="260">
        <v>38</v>
      </c>
      <c r="C9876" s="260" t="s">
        <v>7679</v>
      </c>
      <c r="D9876" s="905">
        <v>30</v>
      </c>
      <c r="E9876" s="906">
        <v>1</v>
      </c>
      <c r="F9876" s="905">
        <f t="shared" si="101"/>
        <v>30</v>
      </c>
      <c r="G9876" s="891">
        <v>0.93</v>
      </c>
      <c r="H9876" s="891">
        <f t="shared" si="102"/>
        <v>27.900000000000002</v>
      </c>
    </row>
    <row r="9877" spans="1:8">
      <c r="A9877" s="47" t="s">
        <v>7293</v>
      </c>
      <c r="B9877" s="260">
        <v>38</v>
      </c>
      <c r="C9877" s="260" t="s">
        <v>207</v>
      </c>
      <c r="D9877" s="905">
        <v>30</v>
      </c>
      <c r="E9877" s="906">
        <v>1</v>
      </c>
      <c r="F9877" s="905">
        <f t="shared" si="101"/>
        <v>30</v>
      </c>
      <c r="G9877" s="891">
        <v>0.93</v>
      </c>
      <c r="H9877" s="891">
        <f t="shared" si="102"/>
        <v>27.900000000000002</v>
      </c>
    </row>
    <row r="9878" spans="1:8">
      <c r="A9878" s="47" t="s">
        <v>7293</v>
      </c>
      <c r="B9878" s="260">
        <v>38</v>
      </c>
      <c r="C9878" s="260" t="s">
        <v>7680</v>
      </c>
      <c r="D9878" s="905">
        <v>30</v>
      </c>
      <c r="E9878" s="906">
        <v>1</v>
      </c>
      <c r="F9878" s="905">
        <f t="shared" si="101"/>
        <v>30</v>
      </c>
      <c r="G9878" s="891">
        <v>0.93</v>
      </c>
      <c r="H9878" s="891">
        <f t="shared" si="102"/>
        <v>27.900000000000002</v>
      </c>
    </row>
    <row r="9879" spans="1:8">
      <c r="A9879" s="47" t="s">
        <v>7293</v>
      </c>
      <c r="B9879" s="260">
        <v>38</v>
      </c>
      <c r="C9879" s="260" t="s">
        <v>7681</v>
      </c>
      <c r="D9879" s="905">
        <v>30</v>
      </c>
      <c r="E9879" s="906">
        <v>1</v>
      </c>
      <c r="F9879" s="905">
        <f t="shared" si="101"/>
        <v>30</v>
      </c>
      <c r="G9879" s="891">
        <v>0.93</v>
      </c>
      <c r="H9879" s="891">
        <f t="shared" si="102"/>
        <v>27.900000000000002</v>
      </c>
    </row>
    <row r="9880" spans="1:8">
      <c r="A9880" s="47" t="s">
        <v>7293</v>
      </c>
      <c r="B9880" s="260">
        <v>38</v>
      </c>
      <c r="C9880" s="260" t="s">
        <v>367</v>
      </c>
      <c r="D9880" s="905">
        <v>30</v>
      </c>
      <c r="E9880" s="906">
        <v>1</v>
      </c>
      <c r="F9880" s="905">
        <f t="shared" si="101"/>
        <v>30</v>
      </c>
      <c r="G9880" s="891">
        <v>0.93</v>
      </c>
      <c r="H9880" s="891">
        <f t="shared" si="102"/>
        <v>27.900000000000002</v>
      </c>
    </row>
    <row r="9881" spans="1:8">
      <c r="A9881" s="889" t="s">
        <v>2689</v>
      </c>
      <c r="B9881" s="48"/>
      <c r="C9881" s="47"/>
      <c r="D9881" s="905"/>
      <c r="E9881" s="906"/>
      <c r="F9881" s="905"/>
      <c r="G9881" s="916" t="s">
        <v>10</v>
      </c>
      <c r="H9881" s="39"/>
    </row>
    <row r="9882" spans="1:8">
      <c r="A9882" s="47">
        <v>11700</v>
      </c>
      <c r="B9882" s="48">
        <v>24</v>
      </c>
      <c r="C9882" s="47" t="s">
        <v>305</v>
      </c>
      <c r="D9882" s="905">
        <v>10</v>
      </c>
      <c r="E9882" s="906">
        <v>1</v>
      </c>
      <c r="F9882" s="905">
        <f>D9882*E9882</f>
        <v>10</v>
      </c>
      <c r="G9882" s="891">
        <v>2.59</v>
      </c>
      <c r="H9882" s="891">
        <f t="shared" ref="H9882:H9887" si="103">G9882*F9882</f>
        <v>25.9</v>
      </c>
    </row>
    <row r="9883" spans="1:8">
      <c r="A9883" s="47">
        <v>11700</v>
      </c>
      <c r="B9883" s="48">
        <v>24</v>
      </c>
      <c r="C9883" s="47" t="s">
        <v>207</v>
      </c>
      <c r="D9883" s="905">
        <v>10</v>
      </c>
      <c r="E9883" s="906">
        <v>1</v>
      </c>
      <c r="F9883" s="905">
        <f>D9883*E9883</f>
        <v>10</v>
      </c>
      <c r="G9883" s="891">
        <v>2.59</v>
      </c>
      <c r="H9883" s="891">
        <f t="shared" si="103"/>
        <v>25.9</v>
      </c>
    </row>
    <row r="9884" spans="1:8">
      <c r="A9884" s="47">
        <v>11700</v>
      </c>
      <c r="B9884" s="48">
        <v>24</v>
      </c>
      <c r="C9884" s="47" t="s">
        <v>7682</v>
      </c>
      <c r="D9884" s="905">
        <v>10</v>
      </c>
      <c r="E9884" s="906">
        <v>1</v>
      </c>
      <c r="F9884" s="905">
        <f>D9884*E9884</f>
        <v>10</v>
      </c>
      <c r="G9884" s="891">
        <v>2.59</v>
      </c>
      <c r="H9884" s="891">
        <f t="shared" si="103"/>
        <v>25.9</v>
      </c>
    </row>
    <row r="9885" spans="1:8">
      <c r="A9885" s="47">
        <v>11700</v>
      </c>
      <c r="B9885" s="48">
        <v>36</v>
      </c>
      <c r="C9885" s="47" t="s">
        <v>207</v>
      </c>
      <c r="D9885" s="905">
        <v>10</v>
      </c>
      <c r="E9885" s="906">
        <v>1</v>
      </c>
      <c r="F9885" s="905">
        <f>D9885*E9885</f>
        <v>10</v>
      </c>
      <c r="G9885" s="891">
        <v>4.3</v>
      </c>
      <c r="H9885" s="891">
        <f t="shared" si="103"/>
        <v>43</v>
      </c>
    </row>
    <row r="9886" spans="1:8">
      <c r="A9886" s="47" t="s">
        <v>7683</v>
      </c>
      <c r="B9886" s="893"/>
      <c r="C9886" s="260"/>
      <c r="D9886" s="905"/>
      <c r="E9886" s="906"/>
      <c r="F9886" s="894">
        <v>1</v>
      </c>
      <c r="G9886" s="891">
        <v>15</v>
      </c>
      <c r="H9886" s="891">
        <f t="shared" si="103"/>
        <v>15</v>
      </c>
    </row>
    <row r="9887" spans="1:8">
      <c r="A9887" s="47"/>
      <c r="B9887" s="893"/>
      <c r="C9887" s="260" t="s">
        <v>1993</v>
      </c>
      <c r="D9887" s="905"/>
      <c r="E9887" s="906"/>
      <c r="F9887" s="894">
        <v>1</v>
      </c>
      <c r="G9887" s="891">
        <v>12</v>
      </c>
      <c r="H9887" s="891">
        <f t="shared" si="103"/>
        <v>12</v>
      </c>
    </row>
    <row r="9888" spans="1:8">
      <c r="A9888" s="47"/>
      <c r="B9888" s="893"/>
      <c r="C9888" s="260" t="s">
        <v>3062</v>
      </c>
      <c r="D9888" s="905"/>
      <c r="E9888" s="906"/>
      <c r="F9888" s="894">
        <v>1</v>
      </c>
      <c r="G9888" s="891">
        <v>115</v>
      </c>
      <c r="H9888" s="891">
        <f>G9888*F9888</f>
        <v>115</v>
      </c>
    </row>
    <row r="9889" spans="1:54">
      <c r="A9889" s="47"/>
      <c r="B9889" s="893"/>
      <c r="C9889" s="260"/>
      <c r="D9889" s="905"/>
      <c r="E9889" s="906"/>
      <c r="F9889" s="894"/>
      <c r="G9889" s="2363" t="s">
        <v>7690</v>
      </c>
      <c r="H9889" s="2364">
        <f>SUM(H9868:H9888)</f>
        <v>578.89999999999986</v>
      </c>
    </row>
    <row r="9892" spans="1:54">
      <c r="A9892" t="s">
        <v>7691</v>
      </c>
    </row>
    <row r="9893" spans="1:54" s="1163" customFormat="1" ht="25.5">
      <c r="A9893" s="1350" t="s">
        <v>1369</v>
      </c>
      <c r="B9893" s="1351" t="s">
        <v>53</v>
      </c>
      <c r="C9893" s="1353" t="s">
        <v>1734</v>
      </c>
      <c r="D9893" s="1354" t="s">
        <v>5527</v>
      </c>
      <c r="E9893" s="2183" t="s">
        <v>6673</v>
      </c>
      <c r="F9893" s="2184" t="s">
        <v>6669</v>
      </c>
      <c r="G9893" s="2184" t="s">
        <v>6670</v>
      </c>
    </row>
    <row r="9894" spans="1:54" s="59" customFormat="1" ht="15" hidden="1" customHeight="1">
      <c r="A9894" s="1172">
        <v>4255</v>
      </c>
      <c r="B9894" s="1782">
        <v>30</v>
      </c>
      <c r="C9894" s="1172" t="s">
        <v>1812</v>
      </c>
      <c r="D9894" s="1061">
        <v>2.9699999999999998</v>
      </c>
      <c r="E9894" s="2200">
        <v>176</v>
      </c>
      <c r="F9894" s="2186"/>
      <c r="G9894" s="2187"/>
      <c r="H9894" s="1963"/>
      <c r="I9894" s="1963"/>
      <c r="J9894" s="1963"/>
      <c r="K9894" s="1963"/>
      <c r="L9894" s="1963"/>
      <c r="M9894" s="1963"/>
      <c r="N9894" s="1963"/>
      <c r="O9894" s="1963"/>
      <c r="P9894" s="1963"/>
      <c r="Q9894" s="1963"/>
      <c r="R9894" s="1963"/>
      <c r="S9894" s="1963"/>
      <c r="T9894" s="1963"/>
      <c r="U9894" s="1963"/>
      <c r="V9894" s="1963"/>
      <c r="W9894" s="1963"/>
      <c r="X9894" s="1963"/>
      <c r="Y9894" s="1963"/>
      <c r="Z9894" s="1963"/>
      <c r="AA9894" s="1963"/>
      <c r="AB9894" s="1963"/>
      <c r="AC9894" s="1963"/>
      <c r="AD9894" s="1963"/>
      <c r="AE9894" s="1963"/>
      <c r="AF9894" s="1963"/>
      <c r="AG9894" s="1963"/>
      <c r="AH9894" s="1963"/>
      <c r="AI9894" s="1963"/>
      <c r="AJ9894" s="1963"/>
      <c r="AK9894" s="1963"/>
      <c r="AL9894" s="1963"/>
      <c r="AM9894" s="1963"/>
      <c r="AN9894" s="1963"/>
      <c r="AO9894" s="1963"/>
      <c r="AP9894" s="1963"/>
      <c r="AQ9894" s="1963"/>
      <c r="AR9894" s="1963"/>
      <c r="AS9894" s="1963"/>
      <c r="AT9894" s="1963"/>
      <c r="AU9894" s="1963"/>
      <c r="AV9894" s="1963"/>
      <c r="AW9894" s="1963"/>
      <c r="AX9894" s="1963"/>
      <c r="AY9894" s="1963"/>
      <c r="AZ9894" s="1963"/>
      <c r="BA9894" s="1963"/>
      <c r="BB9894" s="1963"/>
    </row>
    <row r="9895" spans="1:54" s="59" customFormat="1" ht="15" hidden="1" customHeight="1">
      <c r="A9895" s="1172">
        <v>4255</v>
      </c>
      <c r="B9895" s="1782">
        <v>40</v>
      </c>
      <c r="C9895" s="1172" t="s">
        <v>1812</v>
      </c>
      <c r="D9895" s="1061">
        <v>3.38</v>
      </c>
      <c r="E9895" s="2200">
        <v>201</v>
      </c>
      <c r="F9895" s="2186"/>
      <c r="G9895" s="2187"/>
      <c r="H9895" s="1963"/>
      <c r="I9895" s="1963"/>
      <c r="J9895" s="1963"/>
      <c r="K9895" s="1963"/>
      <c r="L9895" s="1963"/>
      <c r="M9895" s="1963"/>
      <c r="N9895" s="1963"/>
      <c r="O9895" s="1963"/>
      <c r="P9895" s="1963"/>
      <c r="Q9895" s="1963"/>
      <c r="R9895" s="1963"/>
      <c r="S9895" s="1963"/>
      <c r="T9895" s="1963"/>
      <c r="U9895" s="1963"/>
      <c r="V9895" s="1963"/>
      <c r="W9895" s="1963"/>
      <c r="X9895" s="1963"/>
      <c r="Y9895" s="1963"/>
      <c r="Z9895" s="1963"/>
      <c r="AA9895" s="1963"/>
      <c r="AB9895" s="1963"/>
      <c r="AC9895" s="1963"/>
      <c r="AD9895" s="1963"/>
      <c r="AE9895" s="1963"/>
      <c r="AF9895" s="1963"/>
      <c r="AG9895" s="1963"/>
      <c r="AH9895" s="1963"/>
      <c r="AI9895" s="1963"/>
      <c r="AJ9895" s="1963"/>
      <c r="AK9895" s="1963"/>
      <c r="AL9895" s="1963"/>
      <c r="AM9895" s="1963"/>
      <c r="AN9895" s="1963"/>
      <c r="AO9895" s="1963"/>
      <c r="AP9895" s="1963"/>
      <c r="AQ9895" s="1963"/>
      <c r="AR9895" s="1963"/>
      <c r="AS9895" s="1963"/>
      <c r="AT9895" s="1963"/>
      <c r="AU9895" s="1963"/>
      <c r="AV9895" s="1963"/>
      <c r="AW9895" s="1963"/>
      <c r="AX9895" s="1963"/>
      <c r="AY9895" s="1963"/>
      <c r="AZ9895" s="1963"/>
      <c r="BA9895" s="1963"/>
      <c r="BB9895" s="1963"/>
    </row>
    <row r="9896" spans="1:54" s="59" customFormat="1" ht="15" customHeight="1">
      <c r="A9896" s="1172" t="s">
        <v>242</v>
      </c>
      <c r="B9896" s="47" t="s">
        <v>7694</v>
      </c>
      <c r="C9896" s="1172" t="s">
        <v>7692</v>
      </c>
      <c r="D9896" s="1061">
        <f>ROUNDUP(E9896/0.6/120,2)</f>
        <v>1.39</v>
      </c>
      <c r="E9896" s="2200">
        <v>100</v>
      </c>
      <c r="F9896" s="2186">
        <f>(((D9896*G9896)-E9896)/(D9896*G9896))</f>
        <v>0.40047961630695439</v>
      </c>
      <c r="G9896" s="2187">
        <v>120</v>
      </c>
      <c r="H9896" s="1963"/>
      <c r="I9896" s="1963"/>
      <c r="J9896" s="1963"/>
      <c r="K9896" s="1963"/>
      <c r="L9896" s="1963"/>
      <c r="M9896" s="1963"/>
      <c r="N9896" s="1963"/>
      <c r="O9896" s="1963"/>
      <c r="P9896" s="1963"/>
      <c r="Q9896" s="1963"/>
      <c r="R9896" s="1963"/>
      <c r="S9896" s="1963"/>
      <c r="T9896" s="1963"/>
      <c r="U9896" s="1963"/>
      <c r="V9896" s="1963"/>
      <c r="W9896" s="1963"/>
      <c r="X9896" s="1963"/>
      <c r="Y9896" s="1963"/>
      <c r="Z9896" s="1963"/>
      <c r="AA9896" s="1963"/>
      <c r="AB9896" s="1963"/>
      <c r="AC9896" s="1963"/>
      <c r="AD9896" s="1963"/>
      <c r="AE9896" s="1963"/>
      <c r="AF9896" s="1963"/>
      <c r="AG9896" s="1963"/>
      <c r="AH9896" s="1963"/>
      <c r="AI9896" s="1963"/>
      <c r="AJ9896" s="1963"/>
      <c r="AK9896" s="1963"/>
      <c r="AL9896" s="1963"/>
      <c r="AM9896" s="1963"/>
      <c r="AN9896" s="1963"/>
      <c r="AO9896" s="1963"/>
      <c r="AP9896" s="1963"/>
      <c r="AQ9896" s="1963"/>
      <c r="AR9896" s="1963"/>
      <c r="AS9896" s="1963"/>
      <c r="AT9896" s="1963"/>
      <c r="AU9896" s="1963"/>
      <c r="AV9896" s="1963"/>
      <c r="AW9896" s="1963"/>
      <c r="AX9896" s="1963"/>
      <c r="AY9896" s="1963"/>
      <c r="AZ9896" s="1963"/>
      <c r="BA9896" s="1963"/>
      <c r="BB9896" s="1963"/>
    </row>
    <row r="9897" spans="1:54" s="59" customFormat="1" ht="15" customHeight="1">
      <c r="A9897" s="1172" t="s">
        <v>7693</v>
      </c>
      <c r="B9897" s="47" t="s">
        <v>7694</v>
      </c>
      <c r="C9897" s="1172" t="s">
        <v>1519</v>
      </c>
      <c r="D9897" s="1061">
        <f>ROUNDUP(E9897/0.6/120,2)</f>
        <v>3.63</v>
      </c>
      <c r="E9897" s="2200">
        <v>261</v>
      </c>
      <c r="F9897" s="2186">
        <f>(((D9897*G9897)-E9897)/(D9897*G9897))</f>
        <v>0.40082644628099168</v>
      </c>
      <c r="G9897" s="2187">
        <v>120</v>
      </c>
      <c r="H9897" s="1963"/>
      <c r="I9897" s="1963"/>
      <c r="J9897" s="1963"/>
      <c r="K9897" s="1963"/>
      <c r="L9897" s="1963"/>
      <c r="M9897" s="1963"/>
      <c r="N9897" s="1963"/>
      <c r="O9897" s="1963"/>
      <c r="P9897" s="1963"/>
      <c r="Q9897" s="1963"/>
      <c r="R9897" s="1963"/>
      <c r="S9897" s="1963"/>
      <c r="T9897" s="1963"/>
      <c r="U9897" s="1963"/>
      <c r="V9897" s="1963"/>
      <c r="W9897" s="1963"/>
      <c r="X9897" s="1963"/>
      <c r="Y9897" s="1963"/>
      <c r="Z9897" s="1963"/>
      <c r="AA9897" s="1963"/>
      <c r="AB9897" s="1963"/>
      <c r="AC9897" s="1963"/>
      <c r="AD9897" s="1963"/>
      <c r="AE9897" s="1963"/>
      <c r="AF9897" s="1963"/>
      <c r="AG9897" s="1963"/>
      <c r="AH9897" s="1963"/>
      <c r="AI9897" s="1963"/>
      <c r="AJ9897" s="1963"/>
      <c r="AK9897" s="1963"/>
      <c r="AL9897" s="1963"/>
      <c r="AM9897" s="1963"/>
      <c r="AN9897" s="1963"/>
      <c r="AO9897" s="1963"/>
      <c r="AP9897" s="1963"/>
      <c r="AQ9897" s="1963"/>
      <c r="AR9897" s="1963"/>
      <c r="AS9897" s="1963"/>
      <c r="AT9897" s="1963"/>
      <c r="AU9897" s="1963"/>
      <c r="AV9897" s="1963"/>
      <c r="AW9897" s="1963"/>
      <c r="AX9897" s="1963"/>
      <c r="AY9897" s="1963"/>
      <c r="AZ9897" s="1963"/>
      <c r="BA9897" s="1963"/>
      <c r="BB9897" s="1963"/>
    </row>
    <row r="9898" spans="1:54" s="59" customFormat="1" ht="15" customHeight="1">
      <c r="A9898" s="1172" t="s">
        <v>7695</v>
      </c>
      <c r="B9898" s="47" t="s">
        <v>7696</v>
      </c>
      <c r="C9898" s="1172" t="s">
        <v>1519</v>
      </c>
      <c r="D9898" s="1061">
        <f>ROUNDUP(E9898/0.6/120,2)</f>
        <v>1.53</v>
      </c>
      <c r="E9898" s="2200">
        <v>110</v>
      </c>
      <c r="F9898" s="2186">
        <f>(((D9898*G9898)-E9898)/(D9898*G9898))</f>
        <v>0.40087145969498911</v>
      </c>
      <c r="G9898" s="2187">
        <v>120</v>
      </c>
      <c r="H9898" s="1963"/>
      <c r="I9898" s="1963"/>
      <c r="J9898" s="1963"/>
      <c r="K9898" s="1963"/>
      <c r="L9898" s="1963"/>
      <c r="M9898" s="1963"/>
      <c r="N9898" s="1963"/>
      <c r="O9898" s="1963"/>
      <c r="P9898" s="1963"/>
      <c r="Q9898" s="1963"/>
      <c r="R9898" s="1963"/>
      <c r="S9898" s="1963"/>
      <c r="T9898" s="1963"/>
      <c r="U9898" s="1963"/>
      <c r="V9898" s="1963"/>
      <c r="W9898" s="1963"/>
      <c r="X9898" s="1963"/>
      <c r="Y9898" s="1963"/>
      <c r="Z9898" s="1963"/>
      <c r="AA9898" s="1963"/>
      <c r="AB9898" s="1963"/>
      <c r="AC9898" s="1963"/>
      <c r="AD9898" s="1963"/>
      <c r="AE9898" s="1963"/>
      <c r="AF9898" s="1963"/>
      <c r="AG9898" s="1963"/>
      <c r="AH9898" s="1963"/>
      <c r="AI9898" s="1963"/>
      <c r="AJ9898" s="1963"/>
      <c r="AK9898" s="1963"/>
      <c r="AL9898" s="1963"/>
      <c r="AM9898" s="1963"/>
      <c r="AN9898" s="1963"/>
      <c r="AO9898" s="1963"/>
      <c r="AP9898" s="1963"/>
      <c r="AQ9898" s="1963"/>
      <c r="AR9898" s="1963"/>
      <c r="AS9898" s="1963"/>
      <c r="AT9898" s="1963"/>
      <c r="AU9898" s="1963"/>
      <c r="AV9898" s="1963"/>
      <c r="AW9898" s="1963"/>
      <c r="AX9898" s="1963"/>
      <c r="AY9898" s="1963"/>
      <c r="AZ9898" s="1963"/>
      <c r="BA9898" s="1963"/>
      <c r="BB9898" s="1963"/>
    </row>
    <row r="9901" spans="1:54">
      <c r="A9901" s="2071" t="s">
        <v>7697</v>
      </c>
    </row>
    <row r="9902" spans="1:54">
      <c r="A9902" s="887" t="s">
        <v>455</v>
      </c>
      <c r="B9902" s="887" t="s">
        <v>52</v>
      </c>
      <c r="C9902" s="887" t="s">
        <v>128</v>
      </c>
      <c r="D9902" s="887" t="s">
        <v>1186</v>
      </c>
      <c r="E9902" s="887" t="s">
        <v>1652</v>
      </c>
      <c r="F9902" s="887" t="s">
        <v>1653</v>
      </c>
      <c r="G9902" s="1997" t="s">
        <v>1323</v>
      </c>
    </row>
    <row r="9903" spans="1:54">
      <c r="A9903" s="47">
        <v>11700</v>
      </c>
      <c r="B9903" s="48">
        <v>24</v>
      </c>
      <c r="C9903" s="47" t="s">
        <v>46</v>
      </c>
      <c r="D9903" s="905">
        <v>10</v>
      </c>
      <c r="E9903" s="906">
        <v>1</v>
      </c>
      <c r="F9903" s="905">
        <f t="shared" ref="F9903:F9911" si="104">D9903*E9903</f>
        <v>10</v>
      </c>
      <c r="G9903" s="891">
        <v>2.59</v>
      </c>
    </row>
    <row r="9904" spans="1:54">
      <c r="A9904" s="47">
        <v>11700</v>
      </c>
      <c r="B9904" s="48">
        <v>36</v>
      </c>
      <c r="C9904" s="47" t="s">
        <v>46</v>
      </c>
      <c r="D9904" s="905">
        <v>10</v>
      </c>
      <c r="E9904" s="906">
        <v>1</v>
      </c>
      <c r="F9904" s="905">
        <f t="shared" si="104"/>
        <v>10</v>
      </c>
      <c r="G9904" s="891">
        <v>4.3</v>
      </c>
    </row>
    <row r="9905" spans="1:8">
      <c r="A9905" s="47">
        <v>11700</v>
      </c>
      <c r="B9905" s="48">
        <v>24</v>
      </c>
      <c r="C9905" s="47" t="s">
        <v>436</v>
      </c>
      <c r="D9905" s="905">
        <v>10</v>
      </c>
      <c r="E9905" s="906">
        <v>1</v>
      </c>
      <c r="F9905" s="905">
        <f t="shared" si="104"/>
        <v>10</v>
      </c>
      <c r="G9905" s="891">
        <v>2.59</v>
      </c>
    </row>
    <row r="9906" spans="1:8">
      <c r="A9906" s="47">
        <v>11700</v>
      </c>
      <c r="B9906" s="48">
        <v>36</v>
      </c>
      <c r="C9906" s="47" t="s">
        <v>436</v>
      </c>
      <c r="D9906" s="905">
        <v>10</v>
      </c>
      <c r="E9906" s="906">
        <v>1</v>
      </c>
      <c r="F9906" s="905">
        <f t="shared" si="104"/>
        <v>10</v>
      </c>
      <c r="G9906" s="891">
        <v>4.3</v>
      </c>
    </row>
    <row r="9907" spans="1:8">
      <c r="A9907" s="47">
        <v>11700</v>
      </c>
      <c r="B9907" s="48">
        <v>24</v>
      </c>
      <c r="C9907" s="47" t="s">
        <v>335</v>
      </c>
      <c r="D9907" s="905">
        <v>10</v>
      </c>
      <c r="E9907" s="906">
        <v>1</v>
      </c>
      <c r="F9907" s="905">
        <f t="shared" si="104"/>
        <v>10</v>
      </c>
      <c r="G9907" s="891">
        <v>2.59</v>
      </c>
    </row>
    <row r="9908" spans="1:8">
      <c r="A9908" s="47">
        <v>11700</v>
      </c>
      <c r="B9908" s="48">
        <v>36</v>
      </c>
      <c r="C9908" s="47" t="s">
        <v>335</v>
      </c>
      <c r="D9908" s="983">
        <v>6.8</v>
      </c>
      <c r="E9908" s="906">
        <v>1</v>
      </c>
      <c r="F9908" s="983">
        <f t="shared" si="104"/>
        <v>6.8</v>
      </c>
      <c r="G9908" s="891">
        <v>4.3</v>
      </c>
    </row>
    <row r="9909" spans="1:8">
      <c r="A9909" s="47">
        <v>11700</v>
      </c>
      <c r="B9909" s="48">
        <v>24</v>
      </c>
      <c r="C9909" s="47" t="s">
        <v>7686</v>
      </c>
      <c r="D9909" s="905">
        <v>10</v>
      </c>
      <c r="E9909" s="906">
        <v>1</v>
      </c>
      <c r="F9909" s="905">
        <f t="shared" si="104"/>
        <v>10</v>
      </c>
      <c r="G9909" s="891">
        <v>2.59</v>
      </c>
    </row>
    <row r="9910" spans="1:8">
      <c r="A9910" s="47">
        <v>11700</v>
      </c>
      <c r="B9910" s="48">
        <v>24</v>
      </c>
      <c r="C9910" s="47" t="s">
        <v>7687</v>
      </c>
      <c r="D9910" s="905">
        <v>10</v>
      </c>
      <c r="E9910" s="906">
        <v>1</v>
      </c>
      <c r="F9910" s="905">
        <f t="shared" si="104"/>
        <v>10</v>
      </c>
      <c r="G9910" s="891">
        <v>2.59</v>
      </c>
    </row>
    <row r="9911" spans="1:8">
      <c r="A9911" s="47">
        <v>11700</v>
      </c>
      <c r="B9911" s="48">
        <v>24</v>
      </c>
      <c r="C9911" s="47" t="s">
        <v>7688</v>
      </c>
      <c r="D9911" s="905">
        <v>10</v>
      </c>
      <c r="E9911" s="906">
        <v>1</v>
      </c>
      <c r="F9911" s="905">
        <f t="shared" si="104"/>
        <v>10</v>
      </c>
      <c r="G9911" s="891">
        <v>2.59</v>
      </c>
    </row>
    <row r="9914" spans="1:8">
      <c r="A9914" t="s">
        <v>7705</v>
      </c>
    </row>
    <row r="9915" spans="1:8" ht="25.5">
      <c r="A9915" s="1166" t="s">
        <v>1369</v>
      </c>
      <c r="B9915" s="1184" t="s">
        <v>377</v>
      </c>
      <c r="C9915" s="1167" t="s">
        <v>7297</v>
      </c>
      <c r="D9915" s="1168" t="s">
        <v>1734</v>
      </c>
      <c r="E9915" s="1169" t="s">
        <v>5527</v>
      </c>
      <c r="F9915" s="317" t="s">
        <v>7706</v>
      </c>
      <c r="G9915" s="2045" t="s">
        <v>6080</v>
      </c>
      <c r="H9915" s="940" t="s">
        <v>6081</v>
      </c>
    </row>
    <row r="9916" spans="1:8" s="888" customFormat="1" ht="12.75">
      <c r="A9916" s="909">
        <v>5291</v>
      </c>
      <c r="B9916" s="963">
        <v>6</v>
      </c>
      <c r="C9916" s="2288">
        <v>50</v>
      </c>
      <c r="D9916" s="1172" t="s">
        <v>1812</v>
      </c>
      <c r="E9916" s="1174">
        <v>0.27</v>
      </c>
      <c r="F9916" s="888">
        <v>14.6</v>
      </c>
      <c r="G9916" s="2083">
        <f>(E9916-(F9916/H9916))/E9916</f>
        <v>0.54938271604938282</v>
      </c>
      <c r="H9916" s="2000">
        <v>120</v>
      </c>
    </row>
    <row r="9919" spans="1:8" ht="14.25" thickBot="1">
      <c r="A9919" s="773" t="s">
        <v>7707</v>
      </c>
    </row>
    <row r="9920" spans="1:8" ht="15.75" thickBot="1">
      <c r="A9920" s="2365" t="s">
        <v>7708</v>
      </c>
      <c r="B9920" s="2366" t="s">
        <v>1710</v>
      </c>
      <c r="C9920" s="2367" t="s">
        <v>7709</v>
      </c>
      <c r="D9920" s="2367" t="s">
        <v>6413</v>
      </c>
      <c r="E9920" s="2367" t="s">
        <v>7710</v>
      </c>
    </row>
    <row r="9921" spans="1:9" ht="26.25" thickBot="1">
      <c r="A9921" s="1122" t="s">
        <v>7711</v>
      </c>
      <c r="B9921" s="1123" t="s">
        <v>7712</v>
      </c>
      <c r="C9921" s="2368" t="s">
        <v>7713</v>
      </c>
      <c r="D9921" s="1124" t="s">
        <v>7714</v>
      </c>
      <c r="E9921" s="1123" t="s">
        <v>7715</v>
      </c>
    </row>
    <row r="9924" spans="1:9">
      <c r="A9924" t="s">
        <v>7811</v>
      </c>
    </row>
    <row r="9925" spans="1:9" ht="15">
      <c r="A9925" s="1996" t="s">
        <v>3335</v>
      </c>
      <c r="B9925" s="1996" t="s">
        <v>53</v>
      </c>
      <c r="C9925" s="1997" t="s">
        <v>54</v>
      </c>
      <c r="D9925" s="1997" t="s">
        <v>1323</v>
      </c>
      <c r="E9925" s="1998" t="s">
        <v>7658</v>
      </c>
      <c r="F9925" s="939" t="s">
        <v>6979</v>
      </c>
      <c r="G9925" s="939" t="s">
        <v>6080</v>
      </c>
      <c r="H9925" s="940" t="s">
        <v>6081</v>
      </c>
    </row>
    <row r="9926" spans="1:9">
      <c r="A9926" s="47" t="s">
        <v>7722</v>
      </c>
      <c r="B9926" s="260" t="s">
        <v>7721</v>
      </c>
      <c r="C9926" s="47" t="s">
        <v>7723</v>
      </c>
      <c r="D9926" s="1061">
        <f>ROUNDUP(F9926/0.65/120,2)</f>
        <v>5.45</v>
      </c>
      <c r="E9926" s="2260" t="s">
        <v>7724</v>
      </c>
      <c r="F9926" s="2000">
        <v>425</v>
      </c>
      <c r="G9926" s="2317">
        <f>(D9926-(F9926/H9926))/D9926</f>
        <v>0.35015290519877679</v>
      </c>
      <c r="H9926" s="2000">
        <v>120</v>
      </c>
      <c r="I9926" s="1957" t="s">
        <v>7725</v>
      </c>
    </row>
    <row r="9931" spans="1:9" ht="15">
      <c r="A9931" s="1996" t="s">
        <v>3335</v>
      </c>
      <c r="B9931" s="1996" t="s">
        <v>53</v>
      </c>
      <c r="C9931" s="887" t="s">
        <v>1186</v>
      </c>
      <c r="D9931" s="887" t="s">
        <v>1652</v>
      </c>
      <c r="E9931" s="887" t="s">
        <v>1653</v>
      </c>
      <c r="F9931" s="1997" t="s">
        <v>1323</v>
      </c>
    </row>
    <row r="9932" spans="1:9">
      <c r="A9932" s="47" t="s">
        <v>242</v>
      </c>
      <c r="B9932" s="47" t="s">
        <v>78</v>
      </c>
      <c r="C9932" s="903">
        <v>13.7</v>
      </c>
      <c r="D9932" s="906">
        <v>15</v>
      </c>
      <c r="E9932" s="2369">
        <f>C9932*D9932</f>
        <v>205.5</v>
      </c>
      <c r="F9932" s="891">
        <v>1.39</v>
      </c>
    </row>
    <row r="9933" spans="1:9">
      <c r="A9933" s="47" t="s">
        <v>7693</v>
      </c>
      <c r="B9933" s="47" t="s">
        <v>78</v>
      </c>
      <c r="C9933" s="903"/>
      <c r="D9933" s="906"/>
      <c r="E9933" s="2370">
        <v>500</v>
      </c>
      <c r="F9933" s="891">
        <v>3.63</v>
      </c>
    </row>
    <row r="9936" spans="1:9" ht="15">
      <c r="A9936" s="1996" t="s">
        <v>3335</v>
      </c>
      <c r="B9936" s="1996" t="s">
        <v>53</v>
      </c>
      <c r="C9936" s="887" t="s">
        <v>7730</v>
      </c>
      <c r="D9936" s="1997" t="s">
        <v>1323</v>
      </c>
      <c r="E9936" s="1997" t="s">
        <v>2245</v>
      </c>
    </row>
    <row r="9937" spans="1:9">
      <c r="A9937" s="47" t="s">
        <v>7722</v>
      </c>
      <c r="B9937" s="260" t="s">
        <v>7735</v>
      </c>
      <c r="C9937" s="905">
        <v>50</v>
      </c>
      <c r="D9937" s="891">
        <v>5.45</v>
      </c>
      <c r="E9937" s="891">
        <f>D9937*C9937</f>
        <v>272.5</v>
      </c>
    </row>
    <row r="9938" spans="1:9">
      <c r="A9938" s="47"/>
      <c r="B9938" s="260" t="s">
        <v>2014</v>
      </c>
      <c r="C9938" s="894">
        <v>1</v>
      </c>
      <c r="D9938" s="2371">
        <v>125</v>
      </c>
      <c r="E9938" s="2371">
        <f>D9938*C9938</f>
        <v>125</v>
      </c>
    </row>
    <row r="9939" spans="1:9">
      <c r="A9939" s="47"/>
      <c r="B9939" s="260"/>
      <c r="C9939" s="894"/>
      <c r="D9939" s="891"/>
      <c r="E9939" s="891"/>
    </row>
    <row r="9940" spans="1:9">
      <c r="A9940" s="47" t="s">
        <v>7722</v>
      </c>
      <c r="B9940" s="260" t="s">
        <v>7729</v>
      </c>
      <c r="C9940" s="905">
        <v>50</v>
      </c>
      <c r="D9940" s="891">
        <v>5.45</v>
      </c>
      <c r="E9940" s="891">
        <f>D9940*C9940</f>
        <v>272.5</v>
      </c>
    </row>
    <row r="9941" spans="1:9">
      <c r="A9941" s="47"/>
      <c r="B9941" s="260" t="s">
        <v>2014</v>
      </c>
      <c r="C9941" s="894">
        <v>1</v>
      </c>
      <c r="D9941" s="891">
        <v>125</v>
      </c>
      <c r="E9941" s="891">
        <f>D9941*C9941</f>
        <v>125</v>
      </c>
    </row>
    <row r="9942" spans="1:9">
      <c r="A9942" s="47"/>
      <c r="B9942" s="260"/>
      <c r="C9942" s="894"/>
      <c r="D9942" s="891"/>
      <c r="E9942" s="891"/>
    </row>
    <row r="9943" spans="1:9">
      <c r="A9943" s="889" t="s">
        <v>7732</v>
      </c>
      <c r="B9943" s="47"/>
      <c r="C9943" s="905"/>
      <c r="D9943" s="52" t="s">
        <v>140</v>
      </c>
      <c r="E9943" s="39"/>
    </row>
    <row r="9944" spans="1:9">
      <c r="A9944" s="47" t="s">
        <v>7731</v>
      </c>
      <c r="B9944" s="260" t="s">
        <v>7733</v>
      </c>
      <c r="C9944" s="894">
        <v>1</v>
      </c>
      <c r="D9944" s="891">
        <v>110</v>
      </c>
      <c r="E9944" s="891">
        <f>D9944*C9944</f>
        <v>110</v>
      </c>
    </row>
    <row r="9945" spans="1:9">
      <c r="A9945" s="47"/>
      <c r="B9945" s="260"/>
      <c r="C9945" s="894"/>
      <c r="D9945" s="918" t="s">
        <v>7734</v>
      </c>
      <c r="E9945" s="919">
        <f>SUM(E9937:E9944)</f>
        <v>905</v>
      </c>
    </row>
    <row r="9948" spans="1:9">
      <c r="A9948" t="s">
        <v>7773</v>
      </c>
    </row>
    <row r="9949" spans="1:9" s="1199" customFormat="1" ht="27">
      <c r="A9949" s="886" t="s">
        <v>1400</v>
      </c>
      <c r="B9949" s="951" t="s">
        <v>2464</v>
      </c>
      <c r="C9949" s="952" t="s">
        <v>2724</v>
      </c>
      <c r="D9949" s="951" t="s">
        <v>1181</v>
      </c>
      <c r="E9949" s="953" t="s">
        <v>2467</v>
      </c>
      <c r="F9949" s="951" t="s">
        <v>1752</v>
      </c>
      <c r="G9949" s="2318" t="s">
        <v>7774</v>
      </c>
      <c r="H9949" s="939" t="s">
        <v>6080</v>
      </c>
      <c r="I9949" s="940" t="s">
        <v>6081</v>
      </c>
    </row>
    <row r="9950" spans="1:9" s="1199" customFormat="1" ht="24" customHeight="1">
      <c r="A9950" s="954" t="s">
        <v>2577</v>
      </c>
      <c r="B9950" s="954" t="s">
        <v>2474</v>
      </c>
      <c r="C9950" s="954" t="s">
        <v>2471</v>
      </c>
      <c r="D9950" s="954" t="s">
        <v>5513</v>
      </c>
      <c r="E9950" s="957">
        <f>ROUNDUP(G9950/0.8/120,2)</f>
        <v>51.05</v>
      </c>
      <c r="F9950" s="2170" t="s">
        <v>7736</v>
      </c>
      <c r="G9950" s="2170">
        <f>4900</f>
        <v>4900</v>
      </c>
      <c r="H9950" s="2317">
        <f>(E9950-(G9950/I9950))/E9950</f>
        <v>0.20013059092393071</v>
      </c>
      <c r="I9950" s="2000">
        <v>120</v>
      </c>
    </row>
    <row r="9951" spans="1:9" s="1199" customFormat="1" ht="24" customHeight="1">
      <c r="A9951" s="954" t="s">
        <v>3133</v>
      </c>
      <c r="B9951" s="954" t="s">
        <v>7737</v>
      </c>
      <c r="C9951" s="954" t="s">
        <v>2471</v>
      </c>
      <c r="D9951" s="954" t="s">
        <v>5513</v>
      </c>
      <c r="E9951" s="957">
        <f>ROUNDUP(G9951/0.8/120,2)</f>
        <v>31.25</v>
      </c>
      <c r="F9951" s="2170" t="s">
        <v>7736</v>
      </c>
      <c r="G9951" s="2170">
        <f>3000</f>
        <v>3000</v>
      </c>
      <c r="H9951" s="2317">
        <f>(E9951-(G9951/I9951))/E9951</f>
        <v>0.2</v>
      </c>
      <c r="I9951" s="2000">
        <v>120</v>
      </c>
    </row>
    <row r="9952" spans="1:9" s="1199" customFormat="1" ht="24" customHeight="1">
      <c r="A9952" s="954" t="s">
        <v>2567</v>
      </c>
      <c r="B9952" s="954" t="s">
        <v>2492</v>
      </c>
      <c r="C9952" s="954" t="s">
        <v>2491</v>
      </c>
      <c r="D9952" s="954" t="s">
        <v>5513</v>
      </c>
      <c r="E9952" s="957">
        <f>ROUNDUP(G9952/0.8/120,2)</f>
        <v>24.28</v>
      </c>
      <c r="F9952" s="2170" t="s">
        <v>7736</v>
      </c>
      <c r="G9952" s="2170">
        <f>2300+30</f>
        <v>2330</v>
      </c>
      <c r="H9952" s="2317">
        <f>(E9952-(G9952/I9952))/E9952</f>
        <v>0.2003020318506315</v>
      </c>
      <c r="I9952" s="2000">
        <v>120</v>
      </c>
    </row>
    <row r="9953" spans="1:11" s="1199" customFormat="1" ht="24" customHeight="1">
      <c r="A9953" s="954">
        <v>4446</v>
      </c>
      <c r="B9953" s="954" t="s">
        <v>7738</v>
      </c>
      <c r="C9953" s="954" t="s">
        <v>1407</v>
      </c>
      <c r="D9953" s="954" t="s">
        <v>5513</v>
      </c>
      <c r="E9953" s="957">
        <f>ROUNDUP(G9953/0.7/120,2)</f>
        <v>11.31</v>
      </c>
      <c r="F9953" s="954"/>
      <c r="G9953" s="954">
        <f>920+30</f>
        <v>950</v>
      </c>
      <c r="H9953" s="2317">
        <f t="shared" ref="H9953:H9958" si="105">(E9953-(G9953/I9953))/E9953</f>
        <v>0.30002947244326555</v>
      </c>
      <c r="I9953" s="2000">
        <v>120</v>
      </c>
    </row>
    <row r="9954" spans="1:11" s="1199" customFormat="1" ht="24" customHeight="1">
      <c r="A9954" s="954" t="s">
        <v>3131</v>
      </c>
      <c r="B9954" s="954" t="s">
        <v>7739</v>
      </c>
      <c r="C9954" s="954" t="s">
        <v>3125</v>
      </c>
      <c r="D9954" s="954" t="s">
        <v>5513</v>
      </c>
      <c r="E9954" s="957">
        <f>ROUNDUP(G9954/0.7/120,2)</f>
        <v>6.67</v>
      </c>
      <c r="F9954" s="954"/>
      <c r="G9954" s="954">
        <f>530+30</f>
        <v>560</v>
      </c>
      <c r="H9954" s="2317">
        <f t="shared" si="105"/>
        <v>0.30034982508745622</v>
      </c>
      <c r="I9954" s="2000">
        <v>120</v>
      </c>
    </row>
    <row r="9955" spans="1:11" s="1199" customFormat="1" ht="24" customHeight="1">
      <c r="A9955" s="954" t="s">
        <v>3124</v>
      </c>
      <c r="B9955" s="954" t="s">
        <v>7740</v>
      </c>
      <c r="C9955" s="954" t="s">
        <v>3125</v>
      </c>
      <c r="D9955" s="954" t="s">
        <v>5513</v>
      </c>
      <c r="E9955" s="957">
        <f>ROUNDUP(G9955/0.8/120,2)</f>
        <v>40.629999999999995</v>
      </c>
      <c r="F9955" s="2170" t="s">
        <v>7736</v>
      </c>
      <c r="G9955" s="2170">
        <f>3900</f>
        <v>3900</v>
      </c>
      <c r="H9955" s="2317">
        <f t="shared" si="105"/>
        <v>0.20009844942160956</v>
      </c>
      <c r="I9955" s="2000">
        <v>120</v>
      </c>
    </row>
    <row r="9956" spans="1:11" s="1199" customFormat="1" ht="24" customHeight="1">
      <c r="A9956" s="954" t="s">
        <v>7741</v>
      </c>
      <c r="B9956" s="954" t="s">
        <v>7742</v>
      </c>
      <c r="C9956" s="954" t="s">
        <v>3125</v>
      </c>
      <c r="D9956" s="954" t="s">
        <v>7743</v>
      </c>
      <c r="E9956" s="957">
        <f>ROUNDUP(G9956/0.7/120,2)</f>
        <v>5.3599999999999994</v>
      </c>
      <c r="F9956" s="954"/>
      <c r="G9956" s="954">
        <f>420+30</f>
        <v>450</v>
      </c>
      <c r="H9956" s="2317">
        <f t="shared" si="105"/>
        <v>0.30037313432835816</v>
      </c>
      <c r="I9956" s="2000">
        <v>120</v>
      </c>
    </row>
    <row r="9957" spans="1:11" s="1199" customFormat="1" ht="24" customHeight="1">
      <c r="A9957" s="954">
        <v>2600</v>
      </c>
      <c r="B9957" s="954" t="s">
        <v>7744</v>
      </c>
      <c r="C9957" s="954" t="s">
        <v>2482</v>
      </c>
      <c r="D9957" s="954" t="s">
        <v>5513</v>
      </c>
      <c r="E9957" s="957">
        <f>ROUNDUP(G9957/0.7/120,2)</f>
        <v>4.6499999999999995</v>
      </c>
      <c r="F9957" s="954"/>
      <c r="G9957" s="954">
        <f>360+30</f>
        <v>390</v>
      </c>
      <c r="H9957" s="2317">
        <f t="shared" si="105"/>
        <v>0.3010752688172042</v>
      </c>
      <c r="I9957" s="2000">
        <v>120</v>
      </c>
    </row>
    <row r="9958" spans="1:11" s="1199" customFormat="1" ht="24" customHeight="1">
      <c r="A9958" s="954" t="s">
        <v>7745</v>
      </c>
      <c r="B9958" s="954" t="s">
        <v>7746</v>
      </c>
      <c r="C9958" s="954" t="s">
        <v>7747</v>
      </c>
      <c r="D9958" s="954" t="s">
        <v>7775</v>
      </c>
      <c r="E9958" s="957">
        <f>ROUNDUP(G9958/0.7/120,2)</f>
        <v>4.41</v>
      </c>
      <c r="F9958" s="954"/>
      <c r="G9958" s="954">
        <f>340+30</f>
        <v>370</v>
      </c>
      <c r="H9958" s="2317">
        <f t="shared" si="105"/>
        <v>0.30083144368858655</v>
      </c>
      <c r="I9958" s="2000">
        <v>120</v>
      </c>
    </row>
    <row r="9959" spans="1:11" s="843" customFormat="1" ht="24" customHeight="1">
      <c r="A9959" s="2376"/>
      <c r="B9959" s="2377"/>
      <c r="C9959" s="2377"/>
      <c r="D9959" s="2378"/>
      <c r="E9959" s="2379"/>
      <c r="F9959" s="2380"/>
      <c r="G9959" s="2378"/>
      <c r="H9959" s="2381"/>
      <c r="I9959" s="2377"/>
      <c r="J9959" s="2377"/>
    </row>
    <row r="9961" spans="1:11">
      <c r="A9961" s="2374" t="s">
        <v>7758</v>
      </c>
    </row>
    <row r="9962" spans="1:11" s="7" customFormat="1" ht="15">
      <c r="A9962" s="1996" t="s">
        <v>3335</v>
      </c>
      <c r="B9962" s="1996" t="s">
        <v>53</v>
      </c>
      <c r="C9962" s="887" t="s">
        <v>1186</v>
      </c>
      <c r="D9962" s="887" t="s">
        <v>1652</v>
      </c>
      <c r="E9962" s="887" t="s">
        <v>1653</v>
      </c>
      <c r="F9962" s="1997" t="s">
        <v>1323</v>
      </c>
      <c r="G9962" s="416" t="s">
        <v>245</v>
      </c>
      <c r="H9962" s="939" t="s">
        <v>6080</v>
      </c>
      <c r="I9962" s="940" t="s">
        <v>6081</v>
      </c>
      <c r="J9962" s="12"/>
      <c r="K9962" s="2041"/>
    </row>
    <row r="9963" spans="1:11" s="776" customFormat="1" ht="15" customHeight="1">
      <c r="A9963" s="47" t="s">
        <v>5772</v>
      </c>
      <c r="B9963" s="47" t="s">
        <v>17</v>
      </c>
      <c r="C9963" s="50">
        <v>50</v>
      </c>
      <c r="D9963" s="911">
        <v>200</v>
      </c>
      <c r="E9963" s="905">
        <f>C9963*D9963</f>
        <v>10000</v>
      </c>
      <c r="F9963" s="891">
        <v>0.23</v>
      </c>
      <c r="G9963" s="1059">
        <v>15.1</v>
      </c>
      <c r="H9963" s="2317">
        <f>(F9963-(G9963/I9963))/F9963</f>
        <v>0.45289855072463775</v>
      </c>
      <c r="I9963" s="47">
        <v>120</v>
      </c>
      <c r="J9963" s="2375"/>
    </row>
    <row r="9964" spans="1:11" s="776" customFormat="1" ht="15" customHeight="1">
      <c r="A9964" s="47" t="s">
        <v>1219</v>
      </c>
      <c r="B9964" s="47" t="s">
        <v>17</v>
      </c>
      <c r="C9964" s="50">
        <v>50</v>
      </c>
      <c r="D9964" s="911">
        <v>200</v>
      </c>
      <c r="E9964" s="905">
        <f>C9964*D9964</f>
        <v>10000</v>
      </c>
      <c r="F9964" s="891">
        <v>0.27</v>
      </c>
      <c r="G9964" s="1059">
        <v>18</v>
      </c>
      <c r="H9964" s="2317">
        <f>(F9964-(G9964/I9964))/F9964</f>
        <v>0.44444444444444448</v>
      </c>
      <c r="I9964" s="47">
        <v>120</v>
      </c>
      <c r="J9964" s="2375"/>
    </row>
    <row r="9967" spans="1:11">
      <c r="A9967" s="1064" t="s">
        <v>7759</v>
      </c>
    </row>
    <row r="9968" spans="1:11" ht="25.5">
      <c r="A9968" s="1996" t="s">
        <v>5583</v>
      </c>
      <c r="B9968" s="1997" t="s">
        <v>980</v>
      </c>
      <c r="C9968" s="1997" t="s">
        <v>1323</v>
      </c>
      <c r="D9968" s="1998" t="s">
        <v>6978</v>
      </c>
      <c r="E9968" s="1998" t="s">
        <v>7768</v>
      </c>
      <c r="F9968" s="939" t="s">
        <v>6979</v>
      </c>
      <c r="G9968" s="939" t="s">
        <v>6080</v>
      </c>
      <c r="H9968" s="940" t="s">
        <v>6081</v>
      </c>
    </row>
    <row r="9969" spans="1:9">
      <c r="A9969" s="47" t="s">
        <v>7760</v>
      </c>
      <c r="B9969" s="47" t="s">
        <v>1519</v>
      </c>
      <c r="C9969" s="1061">
        <f t="shared" ref="C9969:C9974" si="106">ROUNDUP(F9969/0.6/120,2)</f>
        <v>0.59</v>
      </c>
      <c r="D9969" s="1245" t="s">
        <v>2346</v>
      </c>
      <c r="E9969" s="1245" t="s">
        <v>7770</v>
      </c>
      <c r="F9969" s="2000">
        <v>42</v>
      </c>
      <c r="G9969" s="2317">
        <f t="shared" ref="G9969:G9974" si="107">(C9969-(F9969/H9969))/C9969</f>
        <v>0.40677966101694918</v>
      </c>
      <c r="H9969" s="2000">
        <v>120</v>
      </c>
      <c r="I9969" s="389"/>
    </row>
    <row r="9970" spans="1:9">
      <c r="A9970" s="47" t="s">
        <v>7761</v>
      </c>
      <c r="B9970" s="47" t="s">
        <v>6582</v>
      </c>
      <c r="C9970" s="1061">
        <f t="shared" si="106"/>
        <v>1.56</v>
      </c>
      <c r="D9970" s="2260" t="s">
        <v>7551</v>
      </c>
      <c r="E9970" s="2260" t="s">
        <v>7769</v>
      </c>
      <c r="F9970" s="47">
        <f>42+70</f>
        <v>112</v>
      </c>
      <c r="G9970" s="2317">
        <f t="shared" si="107"/>
        <v>0.40170940170940173</v>
      </c>
      <c r="H9970" s="2000">
        <v>120</v>
      </c>
      <c r="I9970" s="1957" t="s">
        <v>7552</v>
      </c>
    </row>
    <row r="9971" spans="1:9">
      <c r="A9971" s="47" t="s">
        <v>7762</v>
      </c>
      <c r="B9971" s="47" t="s">
        <v>1519</v>
      </c>
      <c r="C9971" s="1061">
        <f t="shared" si="106"/>
        <v>0.52</v>
      </c>
      <c r="D9971" s="1245" t="s">
        <v>2346</v>
      </c>
      <c r="E9971" s="1245" t="s">
        <v>7771</v>
      </c>
      <c r="F9971" s="2000">
        <v>37</v>
      </c>
      <c r="G9971" s="2317">
        <f t="shared" si="107"/>
        <v>0.40705128205128205</v>
      </c>
      <c r="H9971" s="2000">
        <v>120</v>
      </c>
      <c r="I9971" s="389"/>
    </row>
    <row r="9972" spans="1:9">
      <c r="A9972" s="47" t="s">
        <v>7763</v>
      </c>
      <c r="B9972" s="47" t="s">
        <v>6582</v>
      </c>
      <c r="C9972" s="1061">
        <f t="shared" si="106"/>
        <v>1.49</v>
      </c>
      <c r="D9972" s="2260" t="s">
        <v>7551</v>
      </c>
      <c r="E9972" s="2260" t="s">
        <v>7769</v>
      </c>
      <c r="F9972" s="47">
        <f>37+70</f>
        <v>107</v>
      </c>
      <c r="G9972" s="2317">
        <f t="shared" si="107"/>
        <v>0.40156599552572703</v>
      </c>
      <c r="H9972" s="2000">
        <v>120</v>
      </c>
      <c r="I9972" s="1957" t="s">
        <v>7552</v>
      </c>
    </row>
    <row r="9973" spans="1:9">
      <c r="A9973" s="47" t="s">
        <v>7764</v>
      </c>
      <c r="B9973" s="47" t="s">
        <v>1519</v>
      </c>
      <c r="C9973" s="1061">
        <f t="shared" si="106"/>
        <v>0.91</v>
      </c>
      <c r="D9973" s="1245" t="s">
        <v>2346</v>
      </c>
      <c r="E9973" s="1245" t="s">
        <v>7772</v>
      </c>
      <c r="F9973" s="2000">
        <v>65</v>
      </c>
      <c r="G9973" s="2317">
        <f t="shared" si="107"/>
        <v>0.40476190476190482</v>
      </c>
      <c r="H9973" s="2000">
        <v>120</v>
      </c>
      <c r="I9973" s="389"/>
    </row>
    <row r="9974" spans="1:9">
      <c r="A9974" s="47" t="s">
        <v>7765</v>
      </c>
      <c r="B9974" s="47" t="s">
        <v>6582</v>
      </c>
      <c r="C9974" s="1061">
        <f t="shared" si="106"/>
        <v>2.0199999999999996</v>
      </c>
      <c r="D9974" s="2260" t="s">
        <v>7767</v>
      </c>
      <c r="E9974" s="2260" t="s">
        <v>7769</v>
      </c>
      <c r="F9974" s="47">
        <f>65+80</f>
        <v>145</v>
      </c>
      <c r="G9974" s="2317">
        <f t="shared" si="107"/>
        <v>0.40181518151815171</v>
      </c>
      <c r="H9974" s="2000">
        <v>120</v>
      </c>
      <c r="I9974" s="1957" t="s">
        <v>7766</v>
      </c>
    </row>
    <row r="9975" spans="1:9">
      <c r="A9975" s="47" t="s">
        <v>7786</v>
      </c>
      <c r="B9975" s="47" t="s">
        <v>1519</v>
      </c>
      <c r="C9975" s="1061">
        <f>ROUNDUP(F9975/0.6/120,2)</f>
        <v>1.35</v>
      </c>
      <c r="D9975" s="1245" t="s">
        <v>2346</v>
      </c>
      <c r="E9975" s="1245" t="s">
        <v>7788</v>
      </c>
      <c r="F9975" s="2000">
        <v>97</v>
      </c>
      <c r="G9975" s="2317">
        <f>(C9975-(F9975/H9975))/C9975</f>
        <v>0.40123456790123457</v>
      </c>
      <c r="H9975" s="2000">
        <v>120</v>
      </c>
      <c r="I9975" s="389"/>
    </row>
    <row r="9976" spans="1:9">
      <c r="A9976" s="47" t="s">
        <v>7787</v>
      </c>
      <c r="B9976" s="47" t="s">
        <v>6582</v>
      </c>
      <c r="C9976" s="1061">
        <f>ROUNDUP(F9976/0.6/120,2)</f>
        <v>2.46</v>
      </c>
      <c r="D9976" s="2260" t="s">
        <v>7767</v>
      </c>
      <c r="E9976" s="2260" t="s">
        <v>7769</v>
      </c>
      <c r="F9976" s="47">
        <f>97+80</f>
        <v>177</v>
      </c>
      <c r="G9976" s="2317">
        <f>(C9976-(F9976/H9976))/C9976</f>
        <v>0.40040650406504058</v>
      </c>
      <c r="H9976" s="2000">
        <v>120</v>
      </c>
      <c r="I9976" s="1957" t="s">
        <v>7766</v>
      </c>
    </row>
    <row r="9979" spans="1:9">
      <c r="A9979" s="1055" t="s">
        <v>7777</v>
      </c>
    </row>
    <row r="9980" spans="1:9" s="2383" customFormat="1">
      <c r="A9980" s="2384" t="s">
        <v>7845</v>
      </c>
    </row>
    <row r="9981" spans="1:9" ht="15">
      <c r="A9981" s="1996" t="s">
        <v>3335</v>
      </c>
      <c r="B9981" s="1996" t="s">
        <v>53</v>
      </c>
      <c r="C9981" s="1997" t="s">
        <v>54</v>
      </c>
      <c r="D9981" s="1997" t="s">
        <v>1323</v>
      </c>
      <c r="E9981" s="1998" t="s">
        <v>7658</v>
      </c>
      <c r="F9981" s="939" t="s">
        <v>6979</v>
      </c>
      <c r="G9981" s="939" t="s">
        <v>6080</v>
      </c>
      <c r="H9981" s="940" t="s">
        <v>6081</v>
      </c>
    </row>
    <row r="9982" spans="1:9">
      <c r="A9982" s="47" t="s">
        <v>7778</v>
      </c>
      <c r="B9982" s="260" t="s">
        <v>7779</v>
      </c>
      <c r="C9982" s="47" t="s">
        <v>7661</v>
      </c>
      <c r="D9982" s="1061">
        <f>ROUNDUP(F9982/0.6/120,2)</f>
        <v>3.3699999999999997</v>
      </c>
      <c r="E9982" s="2260" t="s">
        <v>7780</v>
      </c>
      <c r="F9982" s="2000">
        <f>150+78+14</f>
        <v>242</v>
      </c>
      <c r="G9982" s="2317">
        <f>(D9982-(F9982/H9982))/D9982</f>
        <v>0.40158259149357067</v>
      </c>
      <c r="H9982" s="2000">
        <v>120</v>
      </c>
      <c r="I9982" s="389"/>
    </row>
    <row r="9983" spans="1:9">
      <c r="A9983" s="47" t="s">
        <v>7778</v>
      </c>
      <c r="B9983" s="260" t="s">
        <v>7779</v>
      </c>
      <c r="C9983" s="47" t="s">
        <v>7808</v>
      </c>
      <c r="D9983" s="1061">
        <f>ROUNDUP(F9983/0.6/120,2)</f>
        <v>3.3699999999999997</v>
      </c>
      <c r="E9983" s="2260" t="s">
        <v>7815</v>
      </c>
      <c r="F9983" s="2000">
        <f>150+78+14</f>
        <v>242</v>
      </c>
      <c r="G9983" s="2317">
        <f>(D9983-(F9983/H9983))/D9983</f>
        <v>0.40158259149357067</v>
      </c>
      <c r="H9983" s="2000">
        <v>120</v>
      </c>
      <c r="I9983" s="1957"/>
    </row>
    <row r="9985" spans="1:9">
      <c r="A9985" s="2382" t="s">
        <v>7798</v>
      </c>
    </row>
    <row r="9986" spans="1:9" ht="54">
      <c r="A9986" s="2355" t="s">
        <v>7800</v>
      </c>
      <c r="B9986" s="2963" t="s">
        <v>7812</v>
      </c>
      <c r="C9986" s="2964"/>
      <c r="D9986" s="2964"/>
      <c r="F9986" s="2385" t="s">
        <v>7824</v>
      </c>
    </row>
    <row r="9987" spans="1:9" s="2383" customFormat="1">
      <c r="A9987" s="2384" t="s">
        <v>7810</v>
      </c>
    </row>
    <row r="9988" spans="1:9" ht="15">
      <c r="A9988" s="1996" t="s">
        <v>3335</v>
      </c>
      <c r="B9988" s="1996" t="s">
        <v>53</v>
      </c>
      <c r="C9988" s="1997" t="s">
        <v>54</v>
      </c>
      <c r="D9988" s="1997" t="s">
        <v>1323</v>
      </c>
      <c r="E9988" s="1998" t="s">
        <v>7658</v>
      </c>
      <c r="F9988" s="939" t="s">
        <v>6979</v>
      </c>
      <c r="G9988" s="939" t="s">
        <v>6080</v>
      </c>
      <c r="H9988" s="940" t="s">
        <v>6081</v>
      </c>
    </row>
    <row r="9989" spans="1:9">
      <c r="A9989" s="47" t="s">
        <v>7796</v>
      </c>
      <c r="B9989" s="260" t="s">
        <v>7797</v>
      </c>
      <c r="C9989" s="47" t="s">
        <v>7661</v>
      </c>
      <c r="D9989" s="1061">
        <f>ROUNDUP(F9989/0.6/120,2)</f>
        <v>3.1999999999999997</v>
      </c>
      <c r="E9989" s="2260" t="s">
        <v>2346</v>
      </c>
      <c r="F9989" s="2000">
        <f>200+16+14</f>
        <v>230</v>
      </c>
      <c r="G9989" s="2317">
        <f>(D9989-(F9989/H9989))/D9989</f>
        <v>0.40104166666666657</v>
      </c>
      <c r="H9989" s="2000">
        <v>120</v>
      </c>
      <c r="I9989" s="389"/>
    </row>
    <row r="9990" spans="1:9">
      <c r="A9990" s="47" t="s">
        <v>7796</v>
      </c>
      <c r="B9990" s="260" t="s">
        <v>7797</v>
      </c>
      <c r="C9990" s="47" t="s">
        <v>7807</v>
      </c>
      <c r="D9990" s="1061">
        <f>ROUNDUP(F9990/0.6/120,2)</f>
        <v>3.1999999999999997</v>
      </c>
      <c r="E9990" s="2260" t="s">
        <v>7816</v>
      </c>
      <c r="F9990" s="2000">
        <f>200+16+14</f>
        <v>230</v>
      </c>
      <c r="G9990" s="2317">
        <f>(D9990-(F9990/H9990))/D9990</f>
        <v>0.40104166666666657</v>
      </c>
      <c r="H9990" s="2000">
        <v>120</v>
      </c>
      <c r="I9990" s="1957"/>
    </row>
    <row r="9992" spans="1:9">
      <c r="A9992" s="2382" t="s">
        <v>7799</v>
      </c>
    </row>
    <row r="9993" spans="1:9" ht="54">
      <c r="A9993" s="2355" t="s">
        <v>7801</v>
      </c>
      <c r="B9993" s="2963" t="s">
        <v>7813</v>
      </c>
      <c r="C9993" s="2964"/>
      <c r="D9993" s="2964"/>
      <c r="F9993" s="2385" t="s">
        <v>7824</v>
      </c>
    </row>
    <row r="9994" spans="1:9" s="2383" customFormat="1">
      <c r="A9994" s="2384" t="s">
        <v>7809</v>
      </c>
    </row>
    <row r="9995" spans="1:9" ht="15">
      <c r="A9995" s="1996" t="s">
        <v>3335</v>
      </c>
      <c r="B9995" s="1996" t="s">
        <v>53</v>
      </c>
      <c r="C9995" s="1997" t="s">
        <v>54</v>
      </c>
      <c r="D9995" s="1997" t="s">
        <v>1323</v>
      </c>
      <c r="E9995" s="1998" t="s">
        <v>7658</v>
      </c>
      <c r="F9995" s="939" t="s">
        <v>6979</v>
      </c>
      <c r="G9995" s="939" t="s">
        <v>6080</v>
      </c>
      <c r="H9995" s="940" t="s">
        <v>6081</v>
      </c>
    </row>
    <row r="9996" spans="1:9">
      <c r="A9996" s="47" t="s">
        <v>7803</v>
      </c>
      <c r="B9996" s="260" t="s">
        <v>7806</v>
      </c>
      <c r="C9996" s="47" t="s">
        <v>7661</v>
      </c>
      <c r="D9996" s="1061">
        <f>ROUNDUP(F9996/0.6/120,2)</f>
        <v>3.03</v>
      </c>
      <c r="E9996" s="2260" t="s">
        <v>2346</v>
      </c>
      <c r="F9996" s="2000">
        <f>178+26+14</f>
        <v>218</v>
      </c>
      <c r="G9996" s="2317">
        <f>(D9996-(F9996/H9996))/D9996</f>
        <v>0.40044004400440042</v>
      </c>
      <c r="H9996" s="2000">
        <v>120</v>
      </c>
      <c r="I9996" s="389"/>
    </row>
    <row r="9997" spans="1:9">
      <c r="A9997" s="47" t="s">
        <v>7803</v>
      </c>
      <c r="B9997" s="260" t="s">
        <v>7806</v>
      </c>
      <c r="C9997" s="47" t="s">
        <v>7807</v>
      </c>
      <c r="D9997" s="1061">
        <f>ROUNDUP(F9997/0.6/120,2)</f>
        <v>3.03</v>
      </c>
      <c r="E9997" s="2260" t="s">
        <v>7816</v>
      </c>
      <c r="F9997" s="2000">
        <f>178+26+14</f>
        <v>218</v>
      </c>
      <c r="G9997" s="2317">
        <f>(D9997-(F9997/H9997))/D9997</f>
        <v>0.40044004400440042</v>
      </c>
      <c r="H9997" s="2000">
        <v>120</v>
      </c>
      <c r="I9997" s="1957"/>
    </row>
    <row r="9999" spans="1:9">
      <c r="A9999" s="2382" t="s">
        <v>7804</v>
      </c>
    </row>
    <row r="10000" spans="1:9" ht="54">
      <c r="A10000" s="2355" t="s">
        <v>7801</v>
      </c>
      <c r="B10000" s="2963" t="s">
        <v>7814</v>
      </c>
      <c r="C10000" s="2964"/>
      <c r="D10000" s="2964"/>
      <c r="F10000" s="2385" t="s">
        <v>7824</v>
      </c>
    </row>
    <row r="10001" spans="1:10" s="2383" customFormat="1"/>
    <row r="10003" spans="1:10">
      <c r="A10003" t="s">
        <v>7789</v>
      </c>
    </row>
    <row r="10004" spans="1:10" s="1186" customFormat="1" ht="25.5">
      <c r="A10004" s="1350" t="s">
        <v>1369</v>
      </c>
      <c r="B10004" s="1351" t="s">
        <v>52</v>
      </c>
      <c r="C10004" s="1352" t="s">
        <v>2</v>
      </c>
      <c r="D10004" s="1353" t="s">
        <v>1734</v>
      </c>
      <c r="E10004" s="1966" t="s">
        <v>2264</v>
      </c>
      <c r="F10004" s="1966" t="s">
        <v>1181</v>
      </c>
      <c r="G10004" s="1354" t="s">
        <v>5527</v>
      </c>
      <c r="H10004" s="2037" t="s">
        <v>7637</v>
      </c>
      <c r="I10004" s="2037" t="s">
        <v>6929</v>
      </c>
      <c r="J10004" s="2037" t="s">
        <v>6081</v>
      </c>
    </row>
    <row r="10005" spans="1:10" ht="13.5" customHeight="1">
      <c r="A10005" s="909" t="s">
        <v>7293</v>
      </c>
      <c r="B10005" s="963">
        <v>4</v>
      </c>
      <c r="C10005" s="1171">
        <v>30</v>
      </c>
      <c r="D10005" s="1172" t="s">
        <v>1812</v>
      </c>
      <c r="E10005" s="1617" t="s">
        <v>7290</v>
      </c>
      <c r="F10005" s="2287" t="s">
        <v>7291</v>
      </c>
      <c r="G10005" s="1345">
        <v>0.29000000000000004</v>
      </c>
      <c r="H10005" s="317">
        <v>16.033000000000001</v>
      </c>
      <c r="I10005" s="2083">
        <f>(G10005-(H10005/J10005))/G10005</f>
        <v>0.53928160919540225</v>
      </c>
      <c r="J10005" s="2000">
        <v>120</v>
      </c>
    </row>
    <row r="10006" spans="1:10" ht="13.5" customHeight="1">
      <c r="A10006" s="909" t="s">
        <v>7293</v>
      </c>
      <c r="B10006" s="963">
        <v>6</v>
      </c>
      <c r="C10006" s="1171">
        <v>30</v>
      </c>
      <c r="D10006" s="1172" t="s">
        <v>1812</v>
      </c>
      <c r="E10006" s="1617" t="s">
        <v>7290</v>
      </c>
      <c r="F10006" s="2287" t="s">
        <v>7291</v>
      </c>
      <c r="G10006" s="1345">
        <v>0.3</v>
      </c>
      <c r="H10006" s="317">
        <v>16.7</v>
      </c>
      <c r="I10006" s="2083">
        <f t="shared" ref="I10006:I10015" si="108">(G10006-(H10006/J10006))/G10006</f>
        <v>0.53611111111111109</v>
      </c>
      <c r="J10006" s="2000">
        <v>120</v>
      </c>
    </row>
    <row r="10007" spans="1:10" ht="13.5" customHeight="1">
      <c r="A10007" s="909" t="s">
        <v>7293</v>
      </c>
      <c r="B10007" s="963">
        <v>9</v>
      </c>
      <c r="C10007" s="1171">
        <v>30</v>
      </c>
      <c r="D10007" s="1172" t="s">
        <v>1812</v>
      </c>
      <c r="E10007" s="1617" t="s">
        <v>7290</v>
      </c>
      <c r="F10007" s="2287" t="s">
        <v>7291</v>
      </c>
      <c r="G10007" s="1345">
        <v>0.32</v>
      </c>
      <c r="H10007" s="317">
        <v>17.600000000000001</v>
      </c>
      <c r="I10007" s="2083">
        <f t="shared" si="108"/>
        <v>0.54166666666666663</v>
      </c>
      <c r="J10007" s="2000">
        <v>120</v>
      </c>
    </row>
    <row r="10008" spans="1:10" ht="13.5" customHeight="1">
      <c r="A10008" s="909" t="s">
        <v>7293</v>
      </c>
      <c r="B10008" s="963">
        <v>12</v>
      </c>
      <c r="C10008" s="1171">
        <v>30</v>
      </c>
      <c r="D10008" s="1172" t="s">
        <v>1812</v>
      </c>
      <c r="E10008" s="1617" t="s">
        <v>7290</v>
      </c>
      <c r="F10008" s="2287" t="s">
        <v>7291</v>
      </c>
      <c r="G10008" s="1345">
        <v>0.36</v>
      </c>
      <c r="H10008" s="317">
        <v>20.033000000000001</v>
      </c>
      <c r="I10008" s="2083">
        <f t="shared" si="108"/>
        <v>0.53627314814814808</v>
      </c>
      <c r="J10008" s="2000">
        <v>120</v>
      </c>
    </row>
    <row r="10009" spans="1:10" ht="13.5" customHeight="1">
      <c r="A10009" s="909" t="s">
        <v>7293</v>
      </c>
      <c r="B10009" s="963">
        <v>15</v>
      </c>
      <c r="C10009" s="1171">
        <v>30</v>
      </c>
      <c r="D10009" s="1172" t="s">
        <v>1812</v>
      </c>
      <c r="E10009" s="1617" t="s">
        <v>7290</v>
      </c>
      <c r="F10009" s="2287" t="s">
        <v>7291</v>
      </c>
      <c r="G10009" s="1345">
        <v>0.42</v>
      </c>
      <c r="H10009" s="317">
        <v>23.6</v>
      </c>
      <c r="I10009" s="2083">
        <f t="shared" si="108"/>
        <v>0.53174603174603163</v>
      </c>
      <c r="J10009" s="2000">
        <v>120</v>
      </c>
    </row>
    <row r="10010" spans="1:10" ht="13.5" customHeight="1">
      <c r="A10010" s="909" t="s">
        <v>7293</v>
      </c>
      <c r="B10010" s="963">
        <v>19</v>
      </c>
      <c r="C10010" s="1171">
        <v>30</v>
      </c>
      <c r="D10010" s="1172" t="s">
        <v>1812</v>
      </c>
      <c r="E10010" s="1617" t="s">
        <v>7290</v>
      </c>
      <c r="F10010" s="2287" t="s">
        <v>7291</v>
      </c>
      <c r="G10010" s="1345">
        <v>0.49</v>
      </c>
      <c r="H10010" s="317">
        <v>27.565999999999999</v>
      </c>
      <c r="I10010" s="2083">
        <f t="shared" si="108"/>
        <v>0.5311904761904761</v>
      </c>
      <c r="J10010" s="2000">
        <v>120</v>
      </c>
    </row>
    <row r="10011" spans="1:10" ht="13.5" customHeight="1">
      <c r="A10011" s="909" t="s">
        <v>7293</v>
      </c>
      <c r="B10011" s="963">
        <v>25</v>
      </c>
      <c r="C10011" s="1171">
        <v>30</v>
      </c>
      <c r="D10011" s="1172" t="s">
        <v>1812</v>
      </c>
      <c r="E10011" s="1617" t="s">
        <v>7290</v>
      </c>
      <c r="F10011" s="2287" t="s">
        <v>7291</v>
      </c>
      <c r="G10011" s="1345">
        <v>0.62</v>
      </c>
      <c r="H10011" s="317">
        <v>35.166600000000003</v>
      </c>
      <c r="I10011" s="2083">
        <f t="shared" si="108"/>
        <v>0.52733064516129036</v>
      </c>
      <c r="J10011" s="2000">
        <v>120</v>
      </c>
    </row>
    <row r="10012" spans="1:10" ht="13.5" customHeight="1">
      <c r="A10012" s="909" t="s">
        <v>7293</v>
      </c>
      <c r="B10012" s="963">
        <v>32</v>
      </c>
      <c r="C10012" s="1171">
        <v>30</v>
      </c>
      <c r="D10012" s="1172" t="s">
        <v>1812</v>
      </c>
      <c r="E10012" s="1617" t="s">
        <v>7290</v>
      </c>
      <c r="F10012" s="2287" t="s">
        <v>7291</v>
      </c>
      <c r="G10012" s="1345">
        <v>0.82000000000000006</v>
      </c>
      <c r="H10012" s="317">
        <v>46.066000000000003</v>
      </c>
      <c r="I10012" s="2083">
        <f t="shared" si="108"/>
        <v>0.53184959349593497</v>
      </c>
      <c r="J10012" s="2000">
        <v>120</v>
      </c>
    </row>
    <row r="10013" spans="1:10" ht="13.5" customHeight="1">
      <c r="A10013" s="909" t="s">
        <v>7293</v>
      </c>
      <c r="B10013" s="963">
        <v>38</v>
      </c>
      <c r="C10013" s="1171">
        <v>30</v>
      </c>
      <c r="D10013" s="1172" t="s">
        <v>1812</v>
      </c>
      <c r="E10013" s="1617" t="s">
        <v>7290</v>
      </c>
      <c r="F10013" s="2287" t="s">
        <v>7291</v>
      </c>
      <c r="G10013" s="1345">
        <v>0.93</v>
      </c>
      <c r="H10013" s="317">
        <v>52.665999999999997</v>
      </c>
      <c r="I10013" s="2083">
        <f t="shared" si="108"/>
        <v>0.52808243727598569</v>
      </c>
      <c r="J10013" s="2000">
        <v>120</v>
      </c>
    </row>
    <row r="10014" spans="1:10" ht="13.5" customHeight="1">
      <c r="A10014" s="909" t="s">
        <v>7293</v>
      </c>
      <c r="B10014" s="963">
        <v>50</v>
      </c>
      <c r="C10014" s="1171">
        <v>30</v>
      </c>
      <c r="D10014" s="1172" t="s">
        <v>1812</v>
      </c>
      <c r="E10014" s="1617" t="s">
        <v>7290</v>
      </c>
      <c r="F10014" s="2287" t="s">
        <v>7291</v>
      </c>
      <c r="G10014" s="1345">
        <v>1.73</v>
      </c>
      <c r="H10014" s="317">
        <v>98.033000000000001</v>
      </c>
      <c r="I10014" s="2083">
        <f t="shared" si="108"/>
        <v>0.52777938342967246</v>
      </c>
      <c r="J10014" s="2000">
        <v>120</v>
      </c>
    </row>
    <row r="10015" spans="1:10" ht="13.5" customHeight="1">
      <c r="A10015" s="909" t="s">
        <v>7293</v>
      </c>
      <c r="B10015" s="963">
        <v>75</v>
      </c>
      <c r="C10015" s="1171">
        <v>30</v>
      </c>
      <c r="D10015" s="1172" t="s">
        <v>1812</v>
      </c>
      <c r="E10015" s="1617" t="s">
        <v>7290</v>
      </c>
      <c r="F10015" s="2287" t="s">
        <v>7291</v>
      </c>
      <c r="G10015" s="1345">
        <v>2.5099999999999998</v>
      </c>
      <c r="H10015" s="317">
        <v>142.30000000000001</v>
      </c>
      <c r="I10015" s="2083">
        <f t="shared" si="108"/>
        <v>0.52755644090305431</v>
      </c>
      <c r="J10015" s="2000">
        <v>120</v>
      </c>
    </row>
    <row r="10016" spans="1:10" ht="13.5" customHeight="1">
      <c r="A10016" s="1170" t="s">
        <v>6563</v>
      </c>
      <c r="B10016" s="1782">
        <v>6</v>
      </c>
      <c r="C10016" s="1171">
        <v>30</v>
      </c>
      <c r="D10016" s="1172" t="s">
        <v>1812</v>
      </c>
      <c r="E10016" s="1967" t="s">
        <v>7791</v>
      </c>
      <c r="F10016" s="1967" t="s">
        <v>7790</v>
      </c>
      <c r="G10016" s="1345">
        <v>0.47000000000000003</v>
      </c>
      <c r="H10016" s="734">
        <v>27.533332999999999</v>
      </c>
      <c r="I10016" s="2083">
        <f t="shared" ref="I10016:I10024" si="109">(G10016-(H10016/J10016))/G10016</f>
        <v>0.51182033687943262</v>
      </c>
      <c r="J10016" s="2000">
        <v>120</v>
      </c>
    </row>
    <row r="10017" spans="1:10" ht="13.5" customHeight="1">
      <c r="A10017" s="1170" t="s">
        <v>6563</v>
      </c>
      <c r="B10017" s="1782">
        <v>9</v>
      </c>
      <c r="C10017" s="1171">
        <v>30</v>
      </c>
      <c r="D10017" s="1172" t="s">
        <v>1812</v>
      </c>
      <c r="E10017" s="1967" t="s">
        <v>7791</v>
      </c>
      <c r="F10017" s="1967" t="s">
        <v>7790</v>
      </c>
      <c r="G10017" s="1345">
        <v>0.49</v>
      </c>
      <c r="H10017" s="735">
        <v>29</v>
      </c>
      <c r="I10017" s="2083">
        <f t="shared" si="109"/>
        <v>0.50680272108843538</v>
      </c>
      <c r="J10017" s="2000">
        <v>120</v>
      </c>
    </row>
    <row r="10018" spans="1:10" ht="13.5" customHeight="1">
      <c r="A10018" s="1170" t="s">
        <v>6563</v>
      </c>
      <c r="B10018" s="1782">
        <v>12</v>
      </c>
      <c r="C10018" s="1171">
        <v>30</v>
      </c>
      <c r="D10018" s="1172" t="s">
        <v>1812</v>
      </c>
      <c r="E10018" s="1967" t="s">
        <v>7791</v>
      </c>
      <c r="F10018" s="1967" t="s">
        <v>7790</v>
      </c>
      <c r="G10018" s="1345">
        <v>0.56000000000000005</v>
      </c>
      <c r="H10018" s="734">
        <v>33.033332999999999</v>
      </c>
      <c r="I10018" s="2083">
        <f t="shared" si="109"/>
        <v>0.50843254464285714</v>
      </c>
      <c r="J10018" s="2000">
        <v>120</v>
      </c>
    </row>
    <row r="10019" spans="1:10" ht="13.5" customHeight="1">
      <c r="A10019" s="1170" t="s">
        <v>6563</v>
      </c>
      <c r="B10019" s="1782">
        <v>15</v>
      </c>
      <c r="C10019" s="1171">
        <v>30</v>
      </c>
      <c r="D10019" s="1172" t="s">
        <v>1812</v>
      </c>
      <c r="E10019" s="1967" t="s">
        <v>7791</v>
      </c>
      <c r="F10019" s="1967" t="s">
        <v>7790</v>
      </c>
      <c r="G10019" s="1345">
        <v>0.66</v>
      </c>
      <c r="H10019" s="734">
        <v>38.966665999999996</v>
      </c>
      <c r="I10019" s="2083">
        <f t="shared" si="109"/>
        <v>0.50799664141414147</v>
      </c>
      <c r="J10019" s="2000">
        <v>120</v>
      </c>
    </row>
    <row r="10020" spans="1:10" ht="13.5" customHeight="1">
      <c r="A10020" s="1170" t="s">
        <v>6563</v>
      </c>
      <c r="B10020" s="1782">
        <v>19</v>
      </c>
      <c r="C10020" s="1171">
        <v>30</v>
      </c>
      <c r="D10020" s="1172" t="s">
        <v>1812</v>
      </c>
      <c r="E10020" s="1967" t="s">
        <v>7791</v>
      </c>
      <c r="F10020" s="1967" t="s">
        <v>7790</v>
      </c>
      <c r="G10020" s="1345">
        <v>0.77</v>
      </c>
      <c r="H10020" s="734">
        <v>45.533332999999999</v>
      </c>
      <c r="I10020" s="2083">
        <f t="shared" si="109"/>
        <v>0.50721501082251086</v>
      </c>
      <c r="J10020" s="2000">
        <v>120</v>
      </c>
    </row>
    <row r="10021" spans="1:10" ht="13.5" customHeight="1">
      <c r="A10021" s="1170" t="s">
        <v>6563</v>
      </c>
      <c r="B10021" s="1782">
        <v>25</v>
      </c>
      <c r="C10021" s="1171">
        <v>30</v>
      </c>
      <c r="D10021" s="1172" t="s">
        <v>1812</v>
      </c>
      <c r="E10021" s="1967" t="s">
        <v>7791</v>
      </c>
      <c r="F10021" s="1967" t="s">
        <v>7790</v>
      </c>
      <c r="G10021" s="1345">
        <v>0.98</v>
      </c>
      <c r="H10021" s="734">
        <v>58.033332999999999</v>
      </c>
      <c r="I10021" s="2083">
        <f t="shared" si="109"/>
        <v>0.50651927721088441</v>
      </c>
      <c r="J10021" s="2000">
        <v>120</v>
      </c>
    </row>
    <row r="10022" spans="1:10" ht="13.5" customHeight="1">
      <c r="A10022" s="1170" t="s">
        <v>6563</v>
      </c>
      <c r="B10022" s="1782">
        <v>32</v>
      </c>
      <c r="C10022" s="1171">
        <v>30</v>
      </c>
      <c r="D10022" s="1172" t="s">
        <v>1812</v>
      </c>
      <c r="E10022" s="1967" t="s">
        <v>7791</v>
      </c>
      <c r="F10022" s="1967" t="s">
        <v>7790</v>
      </c>
      <c r="G10022" s="1345">
        <v>1.29</v>
      </c>
      <c r="H10022" s="734">
        <v>76.033332999999999</v>
      </c>
      <c r="I10022" s="2083">
        <f t="shared" si="109"/>
        <v>0.50882859819121451</v>
      </c>
      <c r="J10022" s="2000">
        <v>120</v>
      </c>
    </row>
    <row r="10023" spans="1:10" ht="13.5" customHeight="1">
      <c r="A10023" s="1170" t="s">
        <v>6563</v>
      </c>
      <c r="B10023" s="1782">
        <v>38</v>
      </c>
      <c r="C10023" s="1171">
        <v>30</v>
      </c>
      <c r="D10023" s="1172" t="s">
        <v>1812</v>
      </c>
      <c r="E10023" s="1967" t="s">
        <v>7791</v>
      </c>
      <c r="F10023" s="1967" t="s">
        <v>7790</v>
      </c>
      <c r="G10023" s="1345">
        <v>1.65</v>
      </c>
      <c r="H10023" s="734">
        <v>97.433333000000005</v>
      </c>
      <c r="I10023" s="2083">
        <f t="shared" si="109"/>
        <v>0.50791245959595954</v>
      </c>
      <c r="J10023" s="2000">
        <v>120</v>
      </c>
    </row>
    <row r="10024" spans="1:10" ht="13.5" customHeight="1">
      <c r="A10024" s="1170" t="s">
        <v>6563</v>
      </c>
      <c r="B10024" s="1782">
        <v>50</v>
      </c>
      <c r="C10024" s="1171">
        <v>30</v>
      </c>
      <c r="D10024" s="1172" t="s">
        <v>1812</v>
      </c>
      <c r="E10024" s="1967" t="s">
        <v>7791</v>
      </c>
      <c r="F10024" s="1967" t="s">
        <v>7790</v>
      </c>
      <c r="G10024" s="1345">
        <v>2.73</v>
      </c>
      <c r="H10024" s="734">
        <v>161.76666599999999</v>
      </c>
      <c r="I10024" s="2083">
        <f t="shared" si="109"/>
        <v>0.5062067582417582</v>
      </c>
      <c r="J10024" s="2000">
        <v>120</v>
      </c>
    </row>
    <row r="10025" spans="1:10" ht="13.5" customHeight="1">
      <c r="A10025" s="1170" t="s">
        <v>2358</v>
      </c>
      <c r="B10025" s="1187">
        <v>5</v>
      </c>
      <c r="C10025" s="1171">
        <v>30</v>
      </c>
      <c r="D10025" s="1172" t="s">
        <v>1812</v>
      </c>
      <c r="E10025" s="1967" t="s">
        <v>7</v>
      </c>
      <c r="F10025" s="1967" t="s">
        <v>15</v>
      </c>
      <c r="G10025" s="1245">
        <v>0.6</v>
      </c>
      <c r="H10025" s="737">
        <v>36</v>
      </c>
      <c r="I10025" s="2083">
        <f t="shared" ref="I10025:I10035" si="110">(G10025-(H10025/J10025))/G10025</f>
        <v>0.5</v>
      </c>
      <c r="J10025" s="2000">
        <v>120</v>
      </c>
    </row>
    <row r="10026" spans="1:10" ht="13.5" customHeight="1">
      <c r="A10026" s="1170" t="s">
        <v>2358</v>
      </c>
      <c r="B10026" s="1187">
        <v>7</v>
      </c>
      <c r="C10026" s="1171">
        <v>30</v>
      </c>
      <c r="D10026" s="1172" t="s">
        <v>1812</v>
      </c>
      <c r="E10026" s="1967" t="s">
        <v>7</v>
      </c>
      <c r="F10026" s="1967" t="s">
        <v>15</v>
      </c>
      <c r="G10026" s="1245">
        <v>0.62</v>
      </c>
      <c r="H10026" s="737">
        <v>37</v>
      </c>
      <c r="I10026" s="2083">
        <f t="shared" si="110"/>
        <v>0.50268817204301075</v>
      </c>
      <c r="J10026" s="2000">
        <v>120</v>
      </c>
    </row>
    <row r="10027" spans="1:10" ht="13.5" customHeight="1">
      <c r="A10027" s="1170" t="s">
        <v>2358</v>
      </c>
      <c r="B10027" s="1187">
        <v>10</v>
      </c>
      <c r="C10027" s="1171">
        <v>30</v>
      </c>
      <c r="D10027" s="1172" t="s">
        <v>1812</v>
      </c>
      <c r="E10027" s="1967" t="s">
        <v>7</v>
      </c>
      <c r="F10027" s="1967" t="s">
        <v>15</v>
      </c>
      <c r="G10027" s="1245">
        <v>0.69000000000000006</v>
      </c>
      <c r="H10027" s="738">
        <v>41</v>
      </c>
      <c r="I10027" s="2083">
        <f t="shared" si="110"/>
        <v>0.50483091787439616</v>
      </c>
      <c r="J10027" s="2000">
        <v>120</v>
      </c>
    </row>
    <row r="10028" spans="1:10" ht="13.5" customHeight="1">
      <c r="A10028" s="1170" t="s">
        <v>2358</v>
      </c>
      <c r="B10028" s="1187">
        <v>12</v>
      </c>
      <c r="C10028" s="1171">
        <v>30</v>
      </c>
      <c r="D10028" s="1172" t="s">
        <v>1812</v>
      </c>
      <c r="E10028" s="1967" t="s">
        <v>14</v>
      </c>
      <c r="F10028" s="1967" t="s">
        <v>15</v>
      </c>
      <c r="G10028" s="1245">
        <v>0.76</v>
      </c>
      <c r="H10028" s="737">
        <v>46</v>
      </c>
      <c r="I10028" s="2083">
        <f t="shared" si="110"/>
        <v>0.49561403508771928</v>
      </c>
      <c r="J10028" s="2000">
        <v>120</v>
      </c>
    </row>
    <row r="10029" spans="1:10" ht="13.5" customHeight="1">
      <c r="A10029" s="1170" t="s">
        <v>2358</v>
      </c>
      <c r="B10029" s="1187">
        <v>15</v>
      </c>
      <c r="C10029" s="1171">
        <v>30</v>
      </c>
      <c r="D10029" s="1172" t="s">
        <v>1812</v>
      </c>
      <c r="E10029" s="1967" t="s">
        <v>7</v>
      </c>
      <c r="F10029" s="1967" t="s">
        <v>15</v>
      </c>
      <c r="G10029" s="1245">
        <v>0.84</v>
      </c>
      <c r="H10029" s="738">
        <v>50</v>
      </c>
      <c r="I10029" s="2083">
        <f t="shared" si="110"/>
        <v>0.50396825396825395</v>
      </c>
      <c r="J10029" s="2000">
        <v>120</v>
      </c>
    </row>
    <row r="10030" spans="1:10" ht="13.5" customHeight="1">
      <c r="A10030" s="1170" t="s">
        <v>2358</v>
      </c>
      <c r="B10030" s="1187">
        <v>18</v>
      </c>
      <c r="C10030" s="1171">
        <v>30</v>
      </c>
      <c r="D10030" s="1172" t="s">
        <v>1812</v>
      </c>
      <c r="E10030" s="1967" t="s">
        <v>14</v>
      </c>
      <c r="F10030" s="1967" t="s">
        <v>15</v>
      </c>
      <c r="G10030" s="1245">
        <v>1</v>
      </c>
      <c r="H10030" s="738">
        <v>60</v>
      </c>
      <c r="I10030" s="2083">
        <f t="shared" si="110"/>
        <v>0.5</v>
      </c>
      <c r="J10030" s="2000">
        <v>120</v>
      </c>
    </row>
    <row r="10031" spans="1:10" ht="13.5" customHeight="1">
      <c r="A10031" s="1170" t="s">
        <v>2358</v>
      </c>
      <c r="B10031" s="1187">
        <v>25</v>
      </c>
      <c r="C10031" s="1171">
        <v>30</v>
      </c>
      <c r="D10031" s="1172" t="s">
        <v>1812</v>
      </c>
      <c r="E10031" s="1967" t="s">
        <v>14</v>
      </c>
      <c r="F10031" s="1967" t="s">
        <v>15</v>
      </c>
      <c r="G10031" s="1245">
        <v>1.21</v>
      </c>
      <c r="H10031" s="738">
        <v>72</v>
      </c>
      <c r="I10031" s="2083">
        <f t="shared" si="110"/>
        <v>0.50413223140495866</v>
      </c>
      <c r="J10031" s="2000">
        <v>120</v>
      </c>
    </row>
    <row r="10032" spans="1:10" ht="13.5" customHeight="1">
      <c r="A10032" s="1170" t="s">
        <v>2358</v>
      </c>
      <c r="B10032" s="1187">
        <v>30</v>
      </c>
      <c r="C10032" s="1171">
        <v>30</v>
      </c>
      <c r="D10032" s="1172" t="s">
        <v>1812</v>
      </c>
      <c r="E10032" s="1967" t="s">
        <v>14</v>
      </c>
      <c r="F10032" s="1967" t="s">
        <v>15</v>
      </c>
      <c r="G10032" s="1245">
        <v>1.62</v>
      </c>
      <c r="H10032" s="736">
        <v>96</v>
      </c>
      <c r="I10032" s="2083">
        <f t="shared" si="110"/>
        <v>0.50617283950617287</v>
      </c>
      <c r="J10032" s="2000">
        <v>120</v>
      </c>
    </row>
    <row r="10033" spans="1:10" ht="13.5" customHeight="1">
      <c r="A10033" s="1170" t="s">
        <v>2358</v>
      </c>
      <c r="B10033" s="1187">
        <v>38</v>
      </c>
      <c r="C10033" s="1171">
        <v>30</v>
      </c>
      <c r="D10033" s="1172" t="s">
        <v>1812</v>
      </c>
      <c r="E10033" s="1967" t="s">
        <v>7</v>
      </c>
      <c r="F10033" s="1967" t="s">
        <v>15</v>
      </c>
      <c r="G10033" s="1245">
        <v>1.78</v>
      </c>
      <c r="H10033" s="737">
        <v>106</v>
      </c>
      <c r="I10033" s="2083">
        <f t="shared" si="110"/>
        <v>0.50374531835205993</v>
      </c>
      <c r="J10033" s="2000">
        <v>120</v>
      </c>
    </row>
    <row r="10034" spans="1:10" ht="13.5" customHeight="1">
      <c r="A10034" s="1170" t="s">
        <v>2358</v>
      </c>
      <c r="B10034" s="1187">
        <v>50</v>
      </c>
      <c r="C10034" s="1171">
        <v>30</v>
      </c>
      <c r="D10034" s="1172" t="s">
        <v>1812</v>
      </c>
      <c r="E10034" s="1967" t="s">
        <v>14</v>
      </c>
      <c r="F10034" s="1967" t="s">
        <v>15</v>
      </c>
      <c r="G10034" s="1245">
        <v>2.5399999999999996</v>
      </c>
      <c r="H10034" s="738">
        <v>151</v>
      </c>
      <c r="I10034" s="2083">
        <f t="shared" si="110"/>
        <v>0.50459317585301833</v>
      </c>
      <c r="J10034" s="2000">
        <v>120</v>
      </c>
    </row>
    <row r="10035" spans="1:10" ht="13.5" customHeight="1">
      <c r="A10035" s="1170" t="s">
        <v>2358</v>
      </c>
      <c r="B10035" s="1187">
        <v>75</v>
      </c>
      <c r="C10035" s="1171">
        <v>30</v>
      </c>
      <c r="D10035" s="1172" t="s">
        <v>1812</v>
      </c>
      <c r="E10035" s="1967" t="s">
        <v>14</v>
      </c>
      <c r="F10035" s="1967" t="s">
        <v>15</v>
      </c>
      <c r="G10035" s="1245">
        <v>4.0599999999999996</v>
      </c>
      <c r="H10035" s="738">
        <v>241</v>
      </c>
      <c r="I10035" s="2083">
        <f t="shared" si="110"/>
        <v>0.50533661740558289</v>
      </c>
      <c r="J10035" s="2000">
        <v>120</v>
      </c>
    </row>
    <row r="10039" spans="1:10" s="888" customFormat="1" ht="12.75">
      <c r="A10039" s="2100" t="s">
        <v>3335</v>
      </c>
      <c r="B10039" s="2100" t="s">
        <v>52</v>
      </c>
      <c r="C10039" s="2100" t="s">
        <v>53</v>
      </c>
      <c r="D10039" s="887" t="s">
        <v>1186</v>
      </c>
      <c r="E10039" s="887" t="s">
        <v>1652</v>
      </c>
      <c r="F10039" s="887" t="s">
        <v>1653</v>
      </c>
      <c r="G10039" s="1997" t="s">
        <v>1323</v>
      </c>
      <c r="H10039" s="916" t="s">
        <v>10</v>
      </c>
      <c r="I10039" s="39"/>
    </row>
    <row r="10040" spans="1:10" s="888" customFormat="1" ht="12.75">
      <c r="A10040" s="47">
        <v>5659</v>
      </c>
      <c r="B10040" s="260" t="s">
        <v>502</v>
      </c>
      <c r="C10040" s="260" t="s">
        <v>7793</v>
      </c>
      <c r="D10040" s="905">
        <v>50</v>
      </c>
      <c r="E10040" s="906">
        <v>2</v>
      </c>
      <c r="F10040" s="905">
        <f>D10040*E10040</f>
        <v>100</v>
      </c>
      <c r="G10040" s="891">
        <v>0.66</v>
      </c>
      <c r="H10040" s="891">
        <f>G10040*F10040</f>
        <v>66</v>
      </c>
    </row>
    <row r="10041" spans="1:10" s="888" customFormat="1" ht="12.75">
      <c r="A10041" s="47"/>
      <c r="B10041" s="893"/>
      <c r="C10041" s="260" t="s">
        <v>1993</v>
      </c>
      <c r="D10041" s="905"/>
      <c r="E10041" s="906"/>
      <c r="F10041" s="894">
        <v>1</v>
      </c>
      <c r="G10041" s="891">
        <v>12</v>
      </c>
      <c r="H10041" s="891">
        <f>G10041*F10041</f>
        <v>12</v>
      </c>
    </row>
    <row r="10042" spans="1:10" s="888" customFormat="1" ht="12.75">
      <c r="A10042" s="47"/>
      <c r="B10042" s="260"/>
      <c r="C10042" s="260" t="s">
        <v>7794</v>
      </c>
      <c r="D10042" s="894" t="s">
        <v>3438</v>
      </c>
      <c r="E10042" s="904"/>
      <c r="F10042" s="903"/>
      <c r="G10042" s="891">
        <v>25</v>
      </c>
      <c r="H10042" s="891">
        <v>25</v>
      </c>
    </row>
    <row r="10046" spans="1:10">
      <c r="A10046" s="2100" t="s">
        <v>105</v>
      </c>
      <c r="B10046" s="2100" t="s">
        <v>3335</v>
      </c>
      <c r="C10046" s="2100" t="s">
        <v>52</v>
      </c>
      <c r="D10046" s="2100" t="s">
        <v>53</v>
      </c>
      <c r="E10046" s="887" t="s">
        <v>1186</v>
      </c>
      <c r="F10046" s="887" t="s">
        <v>1652</v>
      </c>
      <c r="G10046" s="887" t="s">
        <v>1653</v>
      </c>
      <c r="H10046" s="1997" t="s">
        <v>1323</v>
      </c>
    </row>
    <row r="10047" spans="1:10">
      <c r="A10047" s="947" t="s">
        <v>7802</v>
      </c>
      <c r="B10047" s="47" t="s">
        <v>7783</v>
      </c>
      <c r="C10047" s="260">
        <v>9</v>
      </c>
      <c r="D10047" s="260" t="s">
        <v>7785</v>
      </c>
      <c r="E10047" s="905">
        <v>30</v>
      </c>
      <c r="F10047" s="906">
        <v>4</v>
      </c>
      <c r="G10047" s="905">
        <f>E10047*F10047</f>
        <v>120</v>
      </c>
      <c r="H10047" s="891">
        <v>0.47</v>
      </c>
    </row>
    <row r="10048" spans="1:10">
      <c r="A10048" s="947" t="s">
        <v>7802</v>
      </c>
      <c r="B10048" s="47" t="s">
        <v>7783</v>
      </c>
      <c r="C10048" s="260">
        <v>18</v>
      </c>
      <c r="D10048" s="260" t="s">
        <v>7785</v>
      </c>
      <c r="E10048" s="905">
        <v>30</v>
      </c>
      <c r="F10048" s="906">
        <v>2</v>
      </c>
      <c r="G10048" s="905">
        <f>E10048*F10048</f>
        <v>60</v>
      </c>
      <c r="H10048" s="891">
        <v>0.7</v>
      </c>
    </row>
    <row r="10050" spans="1:9">
      <c r="A10050" t="s">
        <v>7820</v>
      </c>
    </row>
    <row r="10051" spans="1:9">
      <c r="A10051" s="2189" t="s">
        <v>7821</v>
      </c>
    </row>
    <row r="10052" spans="1:9" ht="15">
      <c r="A10052" s="1996" t="s">
        <v>3335</v>
      </c>
      <c r="B10052" s="1996" t="s">
        <v>53</v>
      </c>
      <c r="C10052" s="1997" t="s">
        <v>1053</v>
      </c>
      <c r="D10052" s="1997" t="s">
        <v>1323</v>
      </c>
      <c r="E10052" s="1998" t="s">
        <v>7658</v>
      </c>
      <c r="F10052" s="939" t="s">
        <v>6979</v>
      </c>
      <c r="G10052" s="939" t="s">
        <v>6080</v>
      </c>
      <c r="H10052" s="940" t="s">
        <v>6081</v>
      </c>
    </row>
    <row r="10053" spans="1:9">
      <c r="A10053" s="47" t="s">
        <v>7817</v>
      </c>
      <c r="B10053" s="260" t="s">
        <v>7721</v>
      </c>
      <c r="C10053" s="47" t="s">
        <v>7825</v>
      </c>
      <c r="D10053" s="1061">
        <f>ROUNDUP(F10053/0.6/120,2)</f>
        <v>2.48</v>
      </c>
      <c r="E10053" s="2260" t="s">
        <v>7818</v>
      </c>
      <c r="F10053" s="2000">
        <v>178</v>
      </c>
      <c r="G10053" s="2317">
        <f>(D10053-(F10053/H10053))/D10053</f>
        <v>0.4018817204301075</v>
      </c>
      <c r="H10053" s="2000">
        <v>120</v>
      </c>
      <c r="I10053" s="1957" t="s">
        <v>7819</v>
      </c>
    </row>
    <row r="10055" spans="1:9">
      <c r="A10055" s="2189" t="s">
        <v>7823</v>
      </c>
    </row>
    <row r="10056" spans="1:9" ht="15">
      <c r="A10056" s="1996" t="s">
        <v>3335</v>
      </c>
      <c r="B10056" s="1996" t="s">
        <v>53</v>
      </c>
      <c r="C10056" s="1997" t="s">
        <v>1053</v>
      </c>
      <c r="D10056" s="1997" t="s">
        <v>1323</v>
      </c>
      <c r="E10056" s="1998" t="s">
        <v>7658</v>
      </c>
      <c r="F10056" s="939" t="s">
        <v>6979</v>
      </c>
      <c r="G10056" s="939" t="s">
        <v>6080</v>
      </c>
      <c r="H10056" s="940" t="s">
        <v>6081</v>
      </c>
    </row>
    <row r="10057" spans="1:9">
      <c r="A10057" s="47" t="s">
        <v>7822</v>
      </c>
      <c r="B10057" s="260" t="s">
        <v>7694</v>
      </c>
      <c r="C10057" s="47" t="s">
        <v>1519</v>
      </c>
      <c r="D10057" s="1061">
        <f>ROUNDUP(F10057/0.6/120,2)</f>
        <v>1.46</v>
      </c>
      <c r="E10057" s="2260" t="s">
        <v>2346</v>
      </c>
      <c r="F10057" s="2000">
        <v>105</v>
      </c>
      <c r="G10057" s="2317">
        <f>(D10057-(F10057/H10057))/D10057</f>
        <v>0.40068493150684931</v>
      </c>
      <c r="H10057" s="2000">
        <v>120</v>
      </c>
      <c r="I10057" s="1957"/>
    </row>
    <row r="10060" spans="1:9" ht="15">
      <c r="A10060" s="1996" t="s">
        <v>7836</v>
      </c>
      <c r="B10060" s="1996" t="s">
        <v>3335</v>
      </c>
      <c r="C10060" s="2100" t="s">
        <v>53</v>
      </c>
      <c r="D10060" s="2100" t="s">
        <v>54</v>
      </c>
      <c r="E10060" s="1997" t="s">
        <v>1323</v>
      </c>
      <c r="F10060" s="236"/>
    </row>
    <row r="10061" spans="1:9">
      <c r="A10061" s="4" t="s">
        <v>7834</v>
      </c>
      <c r="B10061" s="889" t="s">
        <v>7831</v>
      </c>
      <c r="C10061" s="47"/>
      <c r="D10061" s="905"/>
      <c r="E10061" s="52"/>
      <c r="F10061" s="39"/>
    </row>
    <row r="10062" spans="1:9">
      <c r="A10062" s="4" t="s">
        <v>7834</v>
      </c>
      <c r="B10062" s="47" t="s">
        <v>7828</v>
      </c>
      <c r="C10062" s="47" t="s">
        <v>78</v>
      </c>
      <c r="D10062" s="905">
        <v>10</v>
      </c>
      <c r="E10062" s="891">
        <v>0.52</v>
      </c>
      <c r="F10062" s="891">
        <f>E10062*D10062</f>
        <v>5.2</v>
      </c>
    </row>
    <row r="10063" spans="1:9">
      <c r="A10063" s="4"/>
      <c r="B10063" s="47"/>
      <c r="C10063" s="47"/>
      <c r="D10063" s="905"/>
      <c r="E10063" s="891"/>
      <c r="F10063" s="891"/>
    </row>
    <row r="10064" spans="1:9">
      <c r="A10064" s="4" t="s">
        <v>7834</v>
      </c>
      <c r="B10064" s="889" t="s">
        <v>7832</v>
      </c>
      <c r="C10064" s="47"/>
      <c r="D10064" s="905"/>
      <c r="E10064" s="52"/>
      <c r="F10064" s="39"/>
    </row>
    <row r="10065" spans="1:8">
      <c r="A10065" s="4" t="s">
        <v>7834</v>
      </c>
      <c r="B10065" s="47" t="s">
        <v>6913</v>
      </c>
      <c r="C10065" s="47" t="s">
        <v>78</v>
      </c>
      <c r="D10065" s="905">
        <v>10</v>
      </c>
      <c r="E10065" s="891">
        <v>0.59</v>
      </c>
      <c r="F10065" s="891">
        <f>E10065*D10065</f>
        <v>5.8999999999999995</v>
      </c>
    </row>
    <row r="10066" spans="1:8">
      <c r="A10066" s="4" t="s">
        <v>7834</v>
      </c>
      <c r="B10066" s="1059"/>
      <c r="C10066" s="47" t="s">
        <v>2975</v>
      </c>
      <c r="D10066" s="894">
        <v>1</v>
      </c>
      <c r="E10066" s="891">
        <v>12</v>
      </c>
      <c r="F10066" s="891">
        <f>E10066*D10066</f>
        <v>12</v>
      </c>
    </row>
    <row r="10067" spans="1:8">
      <c r="A10067" s="710"/>
      <c r="B10067" s="1116"/>
      <c r="C10067" s="921"/>
      <c r="D10067" s="924"/>
      <c r="E10067" s="925"/>
      <c r="F10067" s="310"/>
    </row>
    <row r="10068" spans="1:8">
      <c r="A10068" s="4" t="s">
        <v>7835</v>
      </c>
      <c r="B10068" s="889" t="s">
        <v>7833</v>
      </c>
      <c r="C10068" s="47"/>
      <c r="D10068" s="905"/>
      <c r="E10068" s="52"/>
      <c r="F10068" s="39"/>
    </row>
    <row r="10069" spans="1:8">
      <c r="A10069" s="4" t="s">
        <v>7835</v>
      </c>
      <c r="B10069" s="47" t="s">
        <v>7830</v>
      </c>
      <c r="C10069" s="47" t="s">
        <v>78</v>
      </c>
      <c r="D10069" s="905">
        <v>20</v>
      </c>
      <c r="E10069" s="891">
        <v>1.35</v>
      </c>
      <c r="F10069" s="891">
        <f>E10069*D10069</f>
        <v>27</v>
      </c>
    </row>
    <row r="10072" spans="1:8" ht="13.5" customHeight="1">
      <c r="A10072" s="895" t="s">
        <v>7852</v>
      </c>
    </row>
    <row r="10073" spans="1:8" ht="13.5" customHeight="1">
      <c r="A10073" s="902" t="s">
        <v>1603</v>
      </c>
      <c r="B10073" s="902" t="s">
        <v>54</v>
      </c>
      <c r="C10073" s="1772" t="s">
        <v>7856</v>
      </c>
      <c r="D10073" s="1772" t="s">
        <v>1403</v>
      </c>
      <c r="E10073" s="2037" t="s">
        <v>6613</v>
      </c>
      <c r="F10073" s="2037" t="s">
        <v>6929</v>
      </c>
      <c r="G10073" s="2037" t="s">
        <v>6081</v>
      </c>
    </row>
    <row r="10074" spans="1:8" ht="13.5" customHeight="1">
      <c r="A10074" s="909" t="s">
        <v>7853</v>
      </c>
      <c r="B10074" s="1209" t="s">
        <v>7854</v>
      </c>
      <c r="C10074" s="1245">
        <f>ROUNDUP(E10074/0.77/120,2)</f>
        <v>27.6</v>
      </c>
      <c r="D10074" s="1245" t="s">
        <v>7857</v>
      </c>
      <c r="E10074" s="2253">
        <f>2250+300</f>
        <v>2550</v>
      </c>
      <c r="F10074" s="1965">
        <f>(C10074-(E10074/G10074))/C10074</f>
        <v>0.23007246376811599</v>
      </c>
      <c r="G10074">
        <v>120</v>
      </c>
      <c r="H10074" s="317"/>
    </row>
    <row r="10075" spans="1:8" ht="13.5" customHeight="1">
      <c r="A10075" s="909" t="s">
        <v>7853</v>
      </c>
      <c r="B10075" s="1209" t="s">
        <v>7855</v>
      </c>
      <c r="C10075" s="1245">
        <f>ROUNDUP(E10075/0.77/120,2)</f>
        <v>24.360000000000003</v>
      </c>
      <c r="D10075" s="1245" t="s">
        <v>7858</v>
      </c>
      <c r="E10075" s="2253">
        <v>2250</v>
      </c>
      <c r="F10075" s="1965">
        <f>(C10075-(E10075/G10075))/C10075</f>
        <v>0.23029556650246316</v>
      </c>
      <c r="G10075">
        <v>120</v>
      </c>
      <c r="H10075" s="2335"/>
    </row>
    <row r="10076" spans="1:8" ht="13.5" customHeight="1"/>
    <row r="10077" spans="1:8" ht="13.5" customHeight="1">
      <c r="A10077" s="895" t="s">
        <v>7862</v>
      </c>
    </row>
    <row r="10078" spans="1:8" ht="13.5" customHeight="1">
      <c r="A10078" s="902" t="s">
        <v>1603</v>
      </c>
      <c r="B10078" s="902" t="s">
        <v>54</v>
      </c>
      <c r="C10078" s="1772" t="s">
        <v>7856</v>
      </c>
      <c r="D10078" s="1772" t="s">
        <v>1403</v>
      </c>
      <c r="E10078" s="2037" t="s">
        <v>6613</v>
      </c>
      <c r="F10078" s="2037" t="s">
        <v>6929</v>
      </c>
      <c r="G10078" s="2037" t="s">
        <v>6081</v>
      </c>
    </row>
    <row r="10079" spans="1:8" ht="13.5" customHeight="1">
      <c r="A10079" s="909" t="s">
        <v>7863</v>
      </c>
      <c r="B10079" s="1209" t="s">
        <v>7864</v>
      </c>
      <c r="C10079" s="1245">
        <f>ROUNDUP(E10079/0.8/130,2)</f>
        <v>19.720000000000002</v>
      </c>
      <c r="D10079" s="1245" t="s">
        <v>7857</v>
      </c>
      <c r="E10079" s="2253">
        <f>1750+300</f>
        <v>2050</v>
      </c>
      <c r="F10079" s="1965">
        <f>(C10079-(E10079/G10079))/C10079</f>
        <v>0.20034326728038701</v>
      </c>
      <c r="G10079">
        <v>130</v>
      </c>
      <c r="H10079" s="317"/>
    </row>
    <row r="10080" spans="1:8" ht="13.5" customHeight="1">
      <c r="A10080" s="909" t="s">
        <v>7863</v>
      </c>
      <c r="B10080" s="1209" t="s">
        <v>7865</v>
      </c>
      <c r="C10080" s="1245">
        <f>ROUNDUP(E10080/0.8/130,2)</f>
        <v>16.830000000000002</v>
      </c>
      <c r="D10080" s="2386" t="s">
        <v>7866</v>
      </c>
      <c r="E10080" s="2253">
        <v>1750</v>
      </c>
      <c r="F10080" s="1965">
        <f>(C10080-(E10080/G10080))/C10080</f>
        <v>0.20014625896978847</v>
      </c>
      <c r="G10080">
        <v>130</v>
      </c>
      <c r="H10080" s="2335"/>
    </row>
    <row r="10082" spans="1:9">
      <c r="A10082" t="s">
        <v>7867</v>
      </c>
    </row>
    <row r="10083" spans="1:9" s="2383" customFormat="1">
      <c r="A10083" s="2384" t="s">
        <v>7872</v>
      </c>
    </row>
    <row r="10084" spans="1:9" ht="15">
      <c r="A10084" s="1996" t="s">
        <v>3335</v>
      </c>
      <c r="B10084" s="1996" t="s">
        <v>53</v>
      </c>
      <c r="C10084" s="1997" t="s">
        <v>54</v>
      </c>
      <c r="D10084" s="1997" t="s">
        <v>1323</v>
      </c>
      <c r="E10084" s="1998" t="s">
        <v>7658</v>
      </c>
      <c r="F10084" s="939" t="s">
        <v>6979</v>
      </c>
      <c r="G10084" s="939" t="s">
        <v>6080</v>
      </c>
      <c r="H10084" s="940" t="s">
        <v>6081</v>
      </c>
    </row>
    <row r="10085" spans="1:9">
      <c r="A10085" s="47" t="s">
        <v>7868</v>
      </c>
      <c r="B10085" s="260" t="s">
        <v>7869</v>
      </c>
      <c r="C10085" s="47" t="s">
        <v>7661</v>
      </c>
      <c r="D10085" s="1061">
        <f>ROUNDUP(F10085/0.6/120,2)</f>
        <v>1.8800000000000001</v>
      </c>
      <c r="E10085" s="2260" t="s">
        <v>2346</v>
      </c>
      <c r="F10085" s="2000">
        <f>95+26+14</f>
        <v>135</v>
      </c>
      <c r="G10085" s="2317">
        <f>(D10085-(F10085/H10085))/D10085</f>
        <v>0.40159574468085107</v>
      </c>
      <c r="H10085" s="2000">
        <v>120</v>
      </c>
      <c r="I10085" s="389"/>
    </row>
    <row r="10086" spans="1:9">
      <c r="A10086" s="47" t="s">
        <v>7868</v>
      </c>
      <c r="B10086" s="260" t="s">
        <v>7869</v>
      </c>
      <c r="C10086" s="47" t="s">
        <v>7807</v>
      </c>
      <c r="D10086" s="1061">
        <f>ROUNDUP(F10086/0.6/120,2)</f>
        <v>1.8800000000000001</v>
      </c>
      <c r="E10086" s="2260" t="s">
        <v>7816</v>
      </c>
      <c r="F10086" s="2000">
        <f>95+26+14</f>
        <v>135</v>
      </c>
      <c r="G10086" s="2317">
        <f>(D10086-(F10086/H10086))/D10086</f>
        <v>0.40159574468085107</v>
      </c>
      <c r="H10086" s="2000">
        <v>120</v>
      </c>
      <c r="I10086" s="1957"/>
    </row>
    <row r="10088" spans="1:9">
      <c r="A10088" s="2387" t="s">
        <v>7870</v>
      </c>
    </row>
    <row r="10089" spans="1:9" ht="54">
      <c r="A10089" s="2355" t="s">
        <v>7801</v>
      </c>
      <c r="B10089" s="2963" t="s">
        <v>7871</v>
      </c>
      <c r="C10089" s="2964"/>
      <c r="D10089" s="2964"/>
      <c r="F10089" s="2385" t="s">
        <v>7824</v>
      </c>
    </row>
    <row r="10090" spans="1:9" s="2383" customFormat="1"/>
    <row r="10093" spans="1:9">
      <c r="A10093" s="2313" t="s">
        <v>7907</v>
      </c>
    </row>
    <row r="10094" spans="1:9">
      <c r="A10094" s="2101" t="s">
        <v>7528</v>
      </c>
      <c r="B10094" s="887" t="s">
        <v>52</v>
      </c>
      <c r="C10094" s="887" t="s">
        <v>2</v>
      </c>
      <c r="D10094" s="1997" t="s">
        <v>6976</v>
      </c>
      <c r="E10094" s="2315" t="s">
        <v>6979</v>
      </c>
      <c r="F10094" s="2315" t="s">
        <v>6080</v>
      </c>
      <c r="G10094" s="2315" t="s">
        <v>6081</v>
      </c>
    </row>
    <row r="10095" spans="1:9">
      <c r="A10095" s="47" t="s">
        <v>7873</v>
      </c>
      <c r="B10095" s="48" t="s">
        <v>7007</v>
      </c>
      <c r="C10095" s="2314" t="s">
        <v>7529</v>
      </c>
      <c r="D10095" s="891">
        <v>12.4</v>
      </c>
      <c r="E10095" s="1999">
        <v>1190</v>
      </c>
      <c r="F10095" s="2083">
        <f>(D10095-(E10095/G10095))/D10095</f>
        <v>0.20026881720430115</v>
      </c>
      <c r="G10095">
        <v>120</v>
      </c>
    </row>
    <row r="10098" spans="1:9">
      <c r="A10098" t="s">
        <v>7874</v>
      </c>
    </row>
    <row r="10099" spans="1:9" s="1199" customFormat="1" ht="27">
      <c r="A10099" s="886" t="s">
        <v>1400</v>
      </c>
      <c r="B10099" s="951" t="s">
        <v>2464</v>
      </c>
      <c r="C10099" s="952" t="s">
        <v>2724</v>
      </c>
      <c r="D10099" s="951" t="s">
        <v>1181</v>
      </c>
      <c r="E10099" s="953" t="s">
        <v>2467</v>
      </c>
      <c r="F10099" s="951" t="s">
        <v>1752</v>
      </c>
      <c r="G10099" s="2318" t="s">
        <v>7774</v>
      </c>
      <c r="H10099" s="939" t="s">
        <v>6080</v>
      </c>
      <c r="I10099" s="940" t="s">
        <v>6081</v>
      </c>
    </row>
    <row r="10100" spans="1:9" s="1274" customFormat="1" ht="24" customHeight="1">
      <c r="A10100" s="954" t="s">
        <v>2567</v>
      </c>
      <c r="B10100" s="954" t="s">
        <v>2492</v>
      </c>
      <c r="C10100" s="954" t="s">
        <v>2491</v>
      </c>
      <c r="D10100" s="954" t="s">
        <v>5513</v>
      </c>
      <c r="E10100" s="1277">
        <f>ROUNDUP(G10100/0.8/120,2)</f>
        <v>24.28</v>
      </c>
      <c r="F10100" s="2170" t="s">
        <v>7736</v>
      </c>
      <c r="G10100" s="2170">
        <f>2300+30</f>
        <v>2330</v>
      </c>
      <c r="H10100" s="2317">
        <f>(E10100-(G10100/I10100))/E10100</f>
        <v>0.2003020318506315</v>
      </c>
      <c r="I10100" s="2000">
        <v>120</v>
      </c>
    </row>
    <row r="10101" spans="1:9" s="1274" customFormat="1" ht="24" customHeight="1">
      <c r="A10101" s="954" t="s">
        <v>3131</v>
      </c>
      <c r="B10101" s="954" t="s">
        <v>7739</v>
      </c>
      <c r="C10101" s="954" t="s">
        <v>3125</v>
      </c>
      <c r="D10101" s="954" t="s">
        <v>5513</v>
      </c>
      <c r="E10101" s="1277">
        <f>ROUNDUP(G10101/0.7/120,2)</f>
        <v>6.67</v>
      </c>
      <c r="F10101" s="954"/>
      <c r="G10101" s="954">
        <f>530+30</f>
        <v>560</v>
      </c>
      <c r="H10101" s="2317">
        <f>(E10101-(G10101/I10101))/E10101</f>
        <v>0.30034982508745622</v>
      </c>
      <c r="I10101" s="2000">
        <v>120</v>
      </c>
    </row>
    <row r="10102" spans="1:9" s="1274" customFormat="1" ht="24" customHeight="1">
      <c r="A10102" s="954" t="s">
        <v>7875</v>
      </c>
      <c r="B10102" s="954" t="s">
        <v>7876</v>
      </c>
      <c r="C10102" s="954" t="s">
        <v>7877</v>
      </c>
      <c r="D10102" s="954" t="s">
        <v>5513</v>
      </c>
      <c r="E10102" s="1277">
        <f>ROUNDUP(G10102/0.8/120,2)</f>
        <v>6.7799999999999994</v>
      </c>
      <c r="F10102" s="954"/>
      <c r="G10102" s="954">
        <f>620+30</f>
        <v>650</v>
      </c>
      <c r="H10102" s="2317">
        <f t="shared" ref="H10102:H10109" si="111">(E10102-(G10102/I10102))/E10102</f>
        <v>0.20108161258603724</v>
      </c>
      <c r="I10102" s="2000">
        <v>120</v>
      </c>
    </row>
    <row r="10103" spans="1:9" s="1274" customFormat="1" ht="24" customHeight="1">
      <c r="A10103" s="954" t="s">
        <v>792</v>
      </c>
      <c r="B10103" s="954" t="s">
        <v>2534</v>
      </c>
      <c r="C10103" s="954" t="s">
        <v>2532</v>
      </c>
      <c r="D10103" s="954" t="s">
        <v>5513</v>
      </c>
      <c r="E10103" s="1277">
        <f>ROUNDUP(G10103/0.8/120,2)</f>
        <v>8.86</v>
      </c>
      <c r="F10103" s="954"/>
      <c r="G10103" s="954">
        <f>820+30</f>
        <v>850</v>
      </c>
      <c r="H10103" s="2317">
        <f t="shared" si="111"/>
        <v>0.20052671181339352</v>
      </c>
      <c r="I10103" s="2000">
        <v>120</v>
      </c>
    </row>
    <row r="10104" spans="1:9" s="1274" customFormat="1" ht="24" customHeight="1">
      <c r="A10104" s="954" t="s">
        <v>7889</v>
      </c>
      <c r="B10104" s="954" t="s">
        <v>7878</v>
      </c>
      <c r="C10104" s="954" t="s">
        <v>7879</v>
      </c>
      <c r="D10104" s="954" t="s">
        <v>5513</v>
      </c>
      <c r="E10104" s="1277">
        <f>ROUNDUP(G10104/0.8/120,2)</f>
        <v>9.379999999999999</v>
      </c>
      <c r="F10104" s="954"/>
      <c r="G10104" s="954">
        <f>870+30</f>
        <v>900</v>
      </c>
      <c r="H10104" s="2317">
        <f t="shared" si="111"/>
        <v>0.2004264392324093</v>
      </c>
      <c r="I10104" s="2000">
        <v>120</v>
      </c>
    </row>
    <row r="10105" spans="1:9" s="1274" customFormat="1" ht="24" customHeight="1">
      <c r="A10105" s="954" t="s">
        <v>7880</v>
      </c>
      <c r="B10105" s="954" t="s">
        <v>7881</v>
      </c>
      <c r="C10105" s="954" t="s">
        <v>1953</v>
      </c>
      <c r="D10105" s="954" t="s">
        <v>5513</v>
      </c>
      <c r="E10105" s="1277">
        <f>ROUNDUP(G10105/0.8/120,2)</f>
        <v>7.92</v>
      </c>
      <c r="F10105" s="954"/>
      <c r="G10105" s="954">
        <f>730+30</f>
        <v>760</v>
      </c>
      <c r="H10105" s="2317">
        <f t="shared" si="111"/>
        <v>0.20033670033670037</v>
      </c>
      <c r="I10105" s="2000">
        <v>120</v>
      </c>
    </row>
    <row r="10106" spans="1:9" s="1274" customFormat="1" ht="24" customHeight="1">
      <c r="A10106" s="954" t="s">
        <v>7890</v>
      </c>
      <c r="B10106" s="954" t="s">
        <v>7882</v>
      </c>
      <c r="C10106" s="954" t="s">
        <v>2482</v>
      </c>
      <c r="D10106" s="954" t="s">
        <v>5513</v>
      </c>
      <c r="E10106" s="1277">
        <f>ROUNDUP(G10106/0.8/120,2)</f>
        <v>5.7299999999999995</v>
      </c>
      <c r="F10106" s="954"/>
      <c r="G10106" s="954">
        <f>520+30</f>
        <v>550</v>
      </c>
      <c r="H10106" s="2317">
        <f t="shared" si="111"/>
        <v>0.20011634671320533</v>
      </c>
      <c r="I10106" s="2000">
        <v>120</v>
      </c>
    </row>
    <row r="10107" spans="1:9" s="1274" customFormat="1" ht="24" customHeight="1">
      <c r="A10107" s="954">
        <v>2440</v>
      </c>
      <c r="B10107" s="954" t="s">
        <v>2483</v>
      </c>
      <c r="C10107" s="954" t="s">
        <v>2482</v>
      </c>
      <c r="D10107" s="954" t="s">
        <v>5513</v>
      </c>
      <c r="E10107" s="1277">
        <v>4.38</v>
      </c>
      <c r="F10107" s="954"/>
      <c r="G10107" s="954">
        <f>310+30</f>
        <v>340</v>
      </c>
      <c r="H10107" s="2317">
        <f t="shared" si="111"/>
        <v>0.35312024353120236</v>
      </c>
      <c r="I10107" s="2000">
        <v>120</v>
      </c>
    </row>
    <row r="10108" spans="1:9" s="1274" customFormat="1" ht="24" customHeight="1">
      <c r="A10108" s="954" t="s">
        <v>7883</v>
      </c>
      <c r="B10108" s="954" t="s">
        <v>7884</v>
      </c>
      <c r="C10108" s="954" t="s">
        <v>7885</v>
      </c>
      <c r="D10108" s="954" t="s">
        <v>5513</v>
      </c>
      <c r="E10108" s="1277">
        <f>ROUNDUP(G10108/0.8/120,2)</f>
        <v>5.42</v>
      </c>
      <c r="F10108" s="954"/>
      <c r="G10108" s="954">
        <f>490+30</f>
        <v>520</v>
      </c>
      <c r="H10108" s="2317">
        <f t="shared" si="111"/>
        <v>0.20049200492004923</v>
      </c>
      <c r="I10108" s="2000">
        <v>120</v>
      </c>
    </row>
    <row r="10109" spans="1:9" s="1274" customFormat="1" ht="24" customHeight="1">
      <c r="A10109" s="954" t="s">
        <v>7886</v>
      </c>
      <c r="B10109" s="954" t="s">
        <v>7887</v>
      </c>
      <c r="C10109" s="954" t="s">
        <v>7888</v>
      </c>
      <c r="D10109" s="954" t="s">
        <v>5513</v>
      </c>
      <c r="E10109" s="1277">
        <f>ROUNDUP(G10109/0.8/120,2)</f>
        <v>6.67</v>
      </c>
      <c r="F10109" s="954"/>
      <c r="G10109" s="954">
        <f>610+30</f>
        <v>640</v>
      </c>
      <c r="H10109" s="2317">
        <f t="shared" si="111"/>
        <v>0.20039980009995007</v>
      </c>
      <c r="I10109" s="2000">
        <v>120</v>
      </c>
    </row>
    <row r="10112" spans="1:9" ht="37.5">
      <c r="A10112" s="2388" t="s">
        <v>7891</v>
      </c>
      <c r="B10112" s="2391" t="s">
        <v>7903</v>
      </c>
      <c r="C10112" s="2392" t="s">
        <v>7904</v>
      </c>
      <c r="D10112" s="2389" t="s">
        <v>6979</v>
      </c>
      <c r="E10112" s="2389" t="s">
        <v>6080</v>
      </c>
      <c r="F10112" s="2389" t="s">
        <v>6081</v>
      </c>
    </row>
    <row r="10113" spans="1:9" ht="18.75">
      <c r="A10113" s="2388" t="s">
        <v>7897</v>
      </c>
      <c r="B10113" s="909" t="s">
        <v>7898</v>
      </c>
      <c r="C10113" s="1245">
        <f>ROUNDUP(D10113/0.8/120,2)</f>
        <v>22.92</v>
      </c>
      <c r="D10113" s="2390">
        <v>2200</v>
      </c>
      <c r="E10113" s="2317">
        <f>(C10113-(D10113/F10113))/C10113</f>
        <v>0.20011634671320547</v>
      </c>
      <c r="F10113" s="236">
        <v>120</v>
      </c>
    </row>
    <row r="10114" spans="1:9" ht="18.75">
      <c r="A10114" s="2388" t="s">
        <v>7892</v>
      </c>
      <c r="B10114" s="909" t="s">
        <v>7899</v>
      </c>
      <c r="C10114" s="1245">
        <f>ROUNDUP(D10114/0.8/120,2)</f>
        <v>18.75</v>
      </c>
      <c r="D10114" s="2390">
        <v>1800</v>
      </c>
      <c r="E10114" s="2317">
        <f>(C10114-(D10114/F10114))/C10114</f>
        <v>0.2</v>
      </c>
      <c r="F10114" s="236">
        <v>120</v>
      </c>
    </row>
    <row r="10115" spans="1:9" ht="18.75">
      <c r="A10115" s="2388" t="s">
        <v>7893</v>
      </c>
      <c r="B10115" s="909" t="s">
        <v>7900</v>
      </c>
      <c r="C10115" s="1245">
        <f>ROUNDUP(D10115/0.8/120,2)</f>
        <v>15.11</v>
      </c>
      <c r="D10115" s="2390">
        <v>1450</v>
      </c>
      <c r="E10115" s="2317">
        <f>(C10115-(D10115/F10115))/C10115</f>
        <v>0.20030884623869397</v>
      </c>
      <c r="F10115" s="236">
        <v>120</v>
      </c>
    </row>
    <row r="10116" spans="1:9" ht="18.75">
      <c r="A10116" s="2388" t="s">
        <v>7894</v>
      </c>
      <c r="B10116" s="909" t="s">
        <v>7901</v>
      </c>
      <c r="C10116" s="1245">
        <f>ROUNDUP(D10116/0.8/120,2)</f>
        <v>13.549999999999999</v>
      </c>
      <c r="D10116" s="2390">
        <v>1300</v>
      </c>
      <c r="E10116" s="2317">
        <f>(C10116-(D10116/F10116))/C10116</f>
        <v>0.20049200492004909</v>
      </c>
      <c r="F10116" s="236">
        <v>120</v>
      </c>
    </row>
    <row r="10117" spans="1:9" ht="18.75">
      <c r="A10117" s="2388" t="s">
        <v>7895</v>
      </c>
      <c r="B10117" s="909" t="s">
        <v>7902</v>
      </c>
      <c r="C10117" s="1245">
        <f>ROUNDUP(D10117/0.8/120,2)</f>
        <v>11.98</v>
      </c>
      <c r="D10117" s="2390">
        <v>1150</v>
      </c>
      <c r="E10117" s="2317">
        <f>(C10117-(D10117/F10117))/C10117</f>
        <v>0.20005564830272674</v>
      </c>
      <c r="F10117" s="236">
        <v>120</v>
      </c>
    </row>
    <row r="10118" spans="1:9" ht="18.75">
      <c r="A10118" s="1255" t="s">
        <v>7896</v>
      </c>
    </row>
    <row r="10121" spans="1:9">
      <c r="A10121" s="2189" t="s">
        <v>7905</v>
      </c>
    </row>
    <row r="10122" spans="1:9" ht="15">
      <c r="A10122" s="1996" t="s">
        <v>3335</v>
      </c>
      <c r="B10122" s="1996" t="s">
        <v>53</v>
      </c>
      <c r="C10122" s="1997" t="s">
        <v>1053</v>
      </c>
      <c r="D10122" s="1997" t="s">
        <v>1323</v>
      </c>
      <c r="E10122" s="1998" t="s">
        <v>7658</v>
      </c>
      <c r="F10122" s="939" t="s">
        <v>6979</v>
      </c>
      <c r="G10122" s="939" t="s">
        <v>6080</v>
      </c>
      <c r="H10122" s="940" t="s">
        <v>6081</v>
      </c>
    </row>
    <row r="10123" spans="1:9">
      <c r="A10123" s="47" t="s">
        <v>7906</v>
      </c>
      <c r="B10123" s="260" t="s">
        <v>7694</v>
      </c>
      <c r="C10123" s="47" t="s">
        <v>1519</v>
      </c>
      <c r="D10123" s="1061">
        <f>ROUNDUP(F10123/0.6/120,2)</f>
        <v>1.07</v>
      </c>
      <c r="E10123" s="2260" t="s">
        <v>2346</v>
      </c>
      <c r="F10123" s="2000">
        <v>77</v>
      </c>
      <c r="G10123" s="2317">
        <f>(D10123-(F10123/H10123))/D10123</f>
        <v>0.40031152647975077</v>
      </c>
      <c r="H10123" s="2000">
        <v>120</v>
      </c>
      <c r="I10123" s="1957"/>
    </row>
    <row r="10125" spans="1:9">
      <c r="A10125" s="2313" t="s">
        <v>7908</v>
      </c>
    </row>
    <row r="10126" spans="1:9">
      <c r="A10126" s="2101" t="s">
        <v>7528</v>
      </c>
      <c r="B10126" s="887" t="s">
        <v>52</v>
      </c>
      <c r="C10126" s="887" t="s">
        <v>2</v>
      </c>
      <c r="D10126" s="1997" t="s">
        <v>6976</v>
      </c>
      <c r="E10126" s="2315" t="s">
        <v>6979</v>
      </c>
      <c r="F10126" s="2315" t="s">
        <v>6080</v>
      </c>
      <c r="G10126" s="2315" t="s">
        <v>6081</v>
      </c>
    </row>
    <row r="10127" spans="1:9">
      <c r="A10127" s="47" t="s">
        <v>7909</v>
      </c>
      <c r="B10127" s="48" t="s">
        <v>7007</v>
      </c>
      <c r="C10127" s="2314" t="s">
        <v>7910</v>
      </c>
      <c r="D10127" s="891">
        <v>9.8000000000000007</v>
      </c>
      <c r="E10127" s="1999">
        <v>940</v>
      </c>
      <c r="F10127" s="2083">
        <f>(D10127-(E10127/G10127))/D10127</f>
        <v>0.20068027210884362</v>
      </c>
      <c r="G10127">
        <v>120</v>
      </c>
    </row>
    <row r="10131" spans="1:13">
      <c r="A10131" s="902" t="s">
        <v>106</v>
      </c>
      <c r="B10131" s="902" t="s">
        <v>52</v>
      </c>
      <c r="C10131" s="902" t="s">
        <v>53</v>
      </c>
      <c r="D10131" s="887" t="s">
        <v>1186</v>
      </c>
      <c r="E10131" s="887" t="s">
        <v>1652</v>
      </c>
      <c r="F10131" s="887" t="s">
        <v>1653</v>
      </c>
      <c r="G10131" s="887" t="s">
        <v>5574</v>
      </c>
    </row>
    <row r="10132" spans="1:13">
      <c r="A10132" s="47">
        <v>5291</v>
      </c>
      <c r="B10132" s="48">
        <v>6</v>
      </c>
      <c r="C10132" s="47" t="s">
        <v>499</v>
      </c>
      <c r="D10132" s="905">
        <v>50</v>
      </c>
      <c r="E10132" s="906">
        <v>7</v>
      </c>
      <c r="F10132" s="905">
        <f>D10132*E10132</f>
        <v>350</v>
      </c>
      <c r="G10132" s="891">
        <v>0.51</v>
      </c>
    </row>
    <row r="10133" spans="1:13">
      <c r="A10133" s="47">
        <v>5291</v>
      </c>
      <c r="B10133" s="48">
        <v>6</v>
      </c>
      <c r="C10133" s="47" t="s">
        <v>29</v>
      </c>
      <c r="D10133" s="905">
        <v>50</v>
      </c>
      <c r="E10133" s="906">
        <v>12</v>
      </c>
      <c r="F10133" s="905">
        <f>D10133*E10133</f>
        <v>600</v>
      </c>
      <c r="G10133" s="891">
        <v>0.51</v>
      </c>
    </row>
    <row r="10134" spans="1:13">
      <c r="A10134" s="47">
        <v>5291</v>
      </c>
      <c r="B10134" s="48">
        <v>4</v>
      </c>
      <c r="C10134" s="47" t="s">
        <v>499</v>
      </c>
      <c r="D10134" s="905">
        <v>50</v>
      </c>
      <c r="E10134" s="906">
        <v>9</v>
      </c>
      <c r="F10134" s="905">
        <f>D10134*E10134</f>
        <v>450</v>
      </c>
      <c r="G10134" s="891">
        <v>0.35</v>
      </c>
    </row>
    <row r="10135" spans="1:13">
      <c r="A10135" s="47">
        <v>5291</v>
      </c>
      <c r="B10135" s="48">
        <v>4</v>
      </c>
      <c r="C10135" s="47" t="s">
        <v>29</v>
      </c>
      <c r="D10135" s="905">
        <v>50</v>
      </c>
      <c r="E10135" s="906">
        <v>32</v>
      </c>
      <c r="F10135" s="905">
        <f>D10135*E10135</f>
        <v>1600</v>
      </c>
      <c r="G10135" s="891">
        <v>0.35</v>
      </c>
    </row>
    <row r="10137" spans="1:13">
      <c r="A10137" t="s">
        <v>7917</v>
      </c>
    </row>
    <row r="10138" spans="1:13" s="888" customFormat="1" ht="12.75">
      <c r="A10138" s="887" t="s">
        <v>7664</v>
      </c>
      <c r="B10138" s="887" t="s">
        <v>53</v>
      </c>
      <c r="C10138" s="887" t="s">
        <v>54</v>
      </c>
      <c r="D10138" s="2398" t="s">
        <v>7919</v>
      </c>
      <c r="E10138" s="1312"/>
      <c r="F10138" s="39"/>
      <c r="G10138" s="417"/>
      <c r="H10138" s="1148"/>
      <c r="I10138" s="4" t="s">
        <v>23</v>
      </c>
      <c r="J10138" s="2397"/>
      <c r="K10138" s="776"/>
      <c r="L10138" s="1151"/>
      <c r="M10138" s="1204"/>
    </row>
    <row r="10139" spans="1:13" s="888" customFormat="1" ht="12.75">
      <c r="A10139" s="47" t="s">
        <v>7911</v>
      </c>
      <c r="B10139" s="260" t="s">
        <v>7912</v>
      </c>
      <c r="C10139" s="905">
        <v>50</v>
      </c>
      <c r="D10139" s="47" t="s">
        <v>7920</v>
      </c>
      <c r="E10139" s="776" t="e">
        <f>D10139*#REF!</f>
        <v>#VALUE!</v>
      </c>
      <c r="F10139" s="950"/>
      <c r="G10139" s="417"/>
      <c r="H10139" s="1148"/>
      <c r="I10139" s="891" t="e">
        <f>D10139*(VLOOKUP(#REF!,$C$2:$F$6,3,FALSE))</f>
        <v>#VALUE!</v>
      </c>
      <c r="J10139" s="891">
        <v>2.67</v>
      </c>
      <c r="K10139" s="1248">
        <f>J10139*C10139</f>
        <v>133.5</v>
      </c>
      <c r="L10139" s="346">
        <v>218</v>
      </c>
      <c r="M10139" s="776">
        <f>L10139*C10139</f>
        <v>10900</v>
      </c>
    </row>
    <row r="10140" spans="1:13" s="888" customFormat="1" ht="12.75">
      <c r="A10140" s="47" t="s">
        <v>7911</v>
      </c>
      <c r="B10140" s="260" t="s">
        <v>7913</v>
      </c>
      <c r="C10140" s="894">
        <v>1</v>
      </c>
      <c r="D10140" s="47" t="s">
        <v>7921</v>
      </c>
      <c r="E10140" s="776" t="e">
        <f>D10140*#REF!</f>
        <v>#VALUE!</v>
      </c>
      <c r="F10140" s="950"/>
      <c r="G10140" s="374"/>
      <c r="H10140" s="1148"/>
      <c r="I10140" s="891" t="e">
        <f>D10140*(VLOOKUP(#REF!,$C$2:$F$6,3,FALSE))</f>
        <v>#VALUE!</v>
      </c>
      <c r="J10140" s="891">
        <v>90</v>
      </c>
      <c r="K10140" s="1248">
        <f>J10140*C10140</f>
        <v>90</v>
      </c>
      <c r="L10140" s="776">
        <f>6000+800</f>
        <v>6800</v>
      </c>
      <c r="M10140" s="776">
        <f>L10140*C10140</f>
        <v>6800</v>
      </c>
    </row>
    <row r="10141" spans="1:13" s="888" customFormat="1" ht="12.75">
      <c r="A10141" s="47" t="s">
        <v>7911</v>
      </c>
      <c r="B10141" s="260" t="s">
        <v>7914</v>
      </c>
      <c r="C10141" s="905">
        <v>50</v>
      </c>
      <c r="D10141" s="47" t="s">
        <v>7920</v>
      </c>
      <c r="E10141" s="776" t="e">
        <f>D10141*#REF!</f>
        <v>#VALUE!</v>
      </c>
      <c r="F10141" s="950"/>
      <c r="G10141" s="417"/>
      <c r="H10141" s="1148"/>
      <c r="I10141" s="891" t="e">
        <f>D10141*(VLOOKUP(#REF!,$C$2:$F$6,3,FALSE))</f>
        <v>#VALUE!</v>
      </c>
      <c r="J10141" s="891">
        <v>2.67</v>
      </c>
      <c r="K10141" s="1248">
        <f>J10141*C10141</f>
        <v>133.5</v>
      </c>
      <c r="L10141" s="346">
        <v>218</v>
      </c>
      <c r="M10141" s="776">
        <f>L10141*C10141</f>
        <v>10900</v>
      </c>
    </row>
    <row r="10142" spans="1:13" s="888" customFormat="1" ht="12.75">
      <c r="A10142" s="47" t="s">
        <v>7911</v>
      </c>
      <c r="B10142" s="260" t="s">
        <v>7918</v>
      </c>
      <c r="C10142" s="894">
        <v>1</v>
      </c>
      <c r="D10142" s="47" t="s">
        <v>7921</v>
      </c>
      <c r="E10142" s="776" t="e">
        <f>D10142*#REF!</f>
        <v>#VALUE!</v>
      </c>
      <c r="F10142" s="950"/>
      <c r="G10142" s="374"/>
      <c r="H10142" s="1148"/>
      <c r="I10142" s="891" t="e">
        <f>D10142*(VLOOKUP(#REF!,$C$2:$F$6,3,FALSE))</f>
        <v>#VALUE!</v>
      </c>
      <c r="J10142" s="891">
        <v>90</v>
      </c>
      <c r="K10142" s="1248">
        <f>J10142*C10142</f>
        <v>90</v>
      </c>
      <c r="L10142" s="776">
        <f>6000+800</f>
        <v>6800</v>
      </c>
      <c r="M10142" s="776">
        <f>L10142*C10142</f>
        <v>6800</v>
      </c>
    </row>
    <row r="10143" spans="1:13" s="888" customFormat="1" ht="12.75">
      <c r="A10143" s="887" t="s">
        <v>7915</v>
      </c>
      <c r="B10143" s="47"/>
      <c r="C10143" s="905"/>
      <c r="D10143" s="1059"/>
      <c r="E10143" s="1204"/>
      <c r="F10143" s="39"/>
      <c r="G10143" s="417"/>
      <c r="H10143" s="1148"/>
      <c r="I10143" s="4" t="s">
        <v>23</v>
      </c>
      <c r="J10143" s="2397"/>
      <c r="K10143" s="776"/>
      <c r="L10143" s="1151"/>
      <c r="M10143" s="1204"/>
    </row>
    <row r="10144" spans="1:13" s="888" customFormat="1" ht="12.75">
      <c r="A10144" s="47" t="s">
        <v>7916</v>
      </c>
      <c r="B10144" s="260" t="s">
        <v>78</v>
      </c>
      <c r="C10144" s="905">
        <v>50</v>
      </c>
      <c r="D10144" s="47">
        <v>58</v>
      </c>
      <c r="E10144" s="776" t="e">
        <f>D10144*#REF!</f>
        <v>#REF!</v>
      </c>
      <c r="F10144" s="950"/>
      <c r="G10144" s="39"/>
      <c r="H10144" s="1148"/>
      <c r="I10144" s="891" t="e">
        <f>D10144*(VLOOKUP(#REF!,$C$2:$F$6,3,FALSE))</f>
        <v>#REF!</v>
      </c>
      <c r="J10144" s="891">
        <v>0.71</v>
      </c>
      <c r="K10144" s="1248">
        <f>J10144*C10144</f>
        <v>35.5</v>
      </c>
      <c r="L10144" s="776">
        <v>58</v>
      </c>
      <c r="M10144" s="776">
        <f>L10144*C10144</f>
        <v>2900</v>
      </c>
    </row>
    <row r="10145" spans="1:13" s="888" customFormat="1" ht="12.75">
      <c r="A10145" s="47" t="s">
        <v>7916</v>
      </c>
      <c r="B10145" s="260" t="s">
        <v>6322</v>
      </c>
      <c r="C10145" s="905">
        <v>50</v>
      </c>
      <c r="D10145" s="47">
        <v>77</v>
      </c>
      <c r="E10145" s="776" t="e">
        <f>D10145*#REF!</f>
        <v>#REF!</v>
      </c>
      <c r="F10145" s="950"/>
      <c r="G10145" s="39"/>
      <c r="H10145" s="1148"/>
      <c r="I10145" s="891" t="e">
        <f>D10145*(VLOOKUP(#REF!,$C$2:$F$6,3,FALSE))</f>
        <v>#REF!</v>
      </c>
      <c r="J10145" s="891">
        <v>0.94</v>
      </c>
      <c r="K10145" s="1248">
        <f>J10145*C10145</f>
        <v>47</v>
      </c>
      <c r="L10145" s="776">
        <v>77</v>
      </c>
      <c r="M10145" s="776">
        <f>L10145*C10145</f>
        <v>3850</v>
      </c>
    </row>
    <row r="10149" spans="1:13">
      <c r="A10149" s="887" t="s">
        <v>7664</v>
      </c>
      <c r="B10149" s="887" t="s">
        <v>53</v>
      </c>
      <c r="C10149" s="887" t="s">
        <v>54</v>
      </c>
      <c r="D10149" s="1997" t="s">
        <v>6976</v>
      </c>
      <c r="E10149" s="1997" t="s">
        <v>2245</v>
      </c>
      <c r="F10149" s="1997" t="s">
        <v>7923</v>
      </c>
    </row>
    <row r="10150" spans="1:13">
      <c r="A10150" s="47" t="s">
        <v>7911</v>
      </c>
      <c r="B10150" s="260" t="s">
        <v>7912</v>
      </c>
      <c r="C10150" s="905">
        <v>50</v>
      </c>
      <c r="D10150" s="891">
        <v>3.03</v>
      </c>
      <c r="E10150" s="891">
        <f>D10150*C10150</f>
        <v>151.5</v>
      </c>
      <c r="F10150" s="950" t="s">
        <v>7926</v>
      </c>
    </row>
    <row r="10151" spans="1:13">
      <c r="A10151" s="47" t="s">
        <v>7911</v>
      </c>
      <c r="B10151" s="260" t="s">
        <v>7913</v>
      </c>
      <c r="C10151" s="894">
        <v>1</v>
      </c>
      <c r="D10151" s="891">
        <v>90</v>
      </c>
      <c r="E10151" s="891">
        <f>D10151*C10151</f>
        <v>90</v>
      </c>
      <c r="F10151" s="950"/>
    </row>
    <row r="10152" spans="1:13">
      <c r="A10152" s="47" t="s">
        <v>7911</v>
      </c>
      <c r="B10152" s="260" t="s">
        <v>7914</v>
      </c>
      <c r="C10152" s="905">
        <v>50</v>
      </c>
      <c r="D10152" s="891">
        <v>3.03</v>
      </c>
      <c r="E10152" s="891">
        <f>D10152*C10152</f>
        <v>151.5</v>
      </c>
      <c r="F10152" s="950" t="s">
        <v>7926</v>
      </c>
    </row>
    <row r="10153" spans="1:13">
      <c r="A10153" s="47" t="s">
        <v>7911</v>
      </c>
      <c r="B10153" s="260" t="s">
        <v>7918</v>
      </c>
      <c r="C10153" s="894">
        <v>1</v>
      </c>
      <c r="D10153" s="891">
        <v>90</v>
      </c>
      <c r="E10153" s="891">
        <f>D10153*C10153</f>
        <v>90</v>
      </c>
      <c r="F10153" s="891"/>
    </row>
    <row r="10154" spans="1:13">
      <c r="A10154" s="887" t="s">
        <v>7922</v>
      </c>
      <c r="B10154" s="887" t="s">
        <v>53</v>
      </c>
      <c r="C10154" s="887" t="s">
        <v>54</v>
      </c>
      <c r="D10154" s="1997"/>
      <c r="E10154" s="39"/>
      <c r="F10154" s="891"/>
    </row>
    <row r="10155" spans="1:13">
      <c r="A10155" s="47" t="s">
        <v>7916</v>
      </c>
      <c r="B10155" s="260" t="s">
        <v>78</v>
      </c>
      <c r="C10155" s="905">
        <v>50</v>
      </c>
      <c r="D10155" s="891">
        <v>0.81</v>
      </c>
      <c r="E10155" s="891">
        <f>D10155*C10155</f>
        <v>40.5</v>
      </c>
      <c r="F10155" s="950" t="s">
        <v>7924</v>
      </c>
    </row>
    <row r="10156" spans="1:13">
      <c r="A10156" s="47" t="s">
        <v>7916</v>
      </c>
      <c r="B10156" s="260" t="s">
        <v>6322</v>
      </c>
      <c r="C10156" s="905">
        <v>50</v>
      </c>
      <c r="D10156" s="891">
        <v>1.07</v>
      </c>
      <c r="E10156" s="891">
        <f>D10156*C10156</f>
        <v>53.5</v>
      </c>
      <c r="F10156" s="950" t="s">
        <v>7926</v>
      </c>
    </row>
    <row r="10157" spans="1:13">
      <c r="A10157" s="47"/>
      <c r="B10157" s="260" t="s">
        <v>1993</v>
      </c>
      <c r="C10157" s="894">
        <v>1</v>
      </c>
      <c r="D10157" s="891">
        <v>12</v>
      </c>
      <c r="E10157" s="891">
        <f>D10157*C10157</f>
        <v>12</v>
      </c>
      <c r="F10157" s="891"/>
    </row>
    <row r="10158" spans="1:13">
      <c r="A10158" s="47"/>
      <c r="B10158" s="260"/>
      <c r="C10158" s="894"/>
      <c r="D10158" s="1997" t="s">
        <v>5705</v>
      </c>
      <c r="E10158" s="919">
        <f>SUM(E10150:E10157)</f>
        <v>589</v>
      </c>
      <c r="F10158" s="891"/>
    </row>
    <row r="10162" spans="1:8">
      <c r="A10162" s="887" t="s">
        <v>7915</v>
      </c>
      <c r="B10162" s="887"/>
      <c r="C10162" s="887" t="s">
        <v>53</v>
      </c>
      <c r="D10162" s="905"/>
      <c r="E10162" s="906"/>
      <c r="F10162" s="887" t="s">
        <v>1653</v>
      </c>
      <c r="G10162" s="1997" t="s">
        <v>6976</v>
      </c>
      <c r="H10162" s="1997" t="s">
        <v>2245</v>
      </c>
    </row>
    <row r="10163" spans="1:8">
      <c r="A10163" s="47" t="s">
        <v>7931</v>
      </c>
      <c r="B10163" s="260"/>
      <c r="C10163" s="260" t="s">
        <v>78</v>
      </c>
      <c r="D10163" s="903"/>
      <c r="E10163" s="904"/>
      <c r="F10163" s="905">
        <v>50</v>
      </c>
      <c r="G10163" s="891">
        <v>1.46</v>
      </c>
      <c r="H10163" s="891">
        <f>G10163*F10163</f>
        <v>73</v>
      </c>
    </row>
    <row r="10164" spans="1:8">
      <c r="A10164" s="47" t="s">
        <v>7931</v>
      </c>
      <c r="B10164" s="260"/>
      <c r="C10164" s="260" t="s">
        <v>7581</v>
      </c>
      <c r="D10164" s="903"/>
      <c r="E10164" s="904"/>
      <c r="F10164" s="905">
        <v>50</v>
      </c>
      <c r="G10164" s="891">
        <v>2.71</v>
      </c>
      <c r="H10164" s="891">
        <f>G10164*F10164</f>
        <v>135.5</v>
      </c>
    </row>
    <row r="10165" spans="1:8">
      <c r="A10165" s="47"/>
      <c r="B10165" s="893"/>
      <c r="C10165" s="260" t="s">
        <v>7927</v>
      </c>
      <c r="D10165" s="905"/>
      <c r="E10165" s="906"/>
      <c r="F10165" s="894">
        <v>1</v>
      </c>
      <c r="G10165" s="891">
        <v>125</v>
      </c>
      <c r="H10165" s="891">
        <f>G10165*F10165</f>
        <v>125</v>
      </c>
    </row>
    <row r="10166" spans="1:8">
      <c r="A10166" s="887" t="s">
        <v>7915</v>
      </c>
      <c r="B10166" s="48"/>
      <c r="C10166" s="47"/>
      <c r="D10166" s="905"/>
      <c r="E10166" s="906"/>
      <c r="F10166" s="905"/>
      <c r="G10166" s="52"/>
      <c r="H10166" s="39"/>
    </row>
    <row r="10167" spans="1:8">
      <c r="A10167" s="47" t="s">
        <v>7932</v>
      </c>
      <c r="B10167" s="260"/>
      <c r="C10167" s="260" t="s">
        <v>78</v>
      </c>
      <c r="D10167" s="903"/>
      <c r="E10167" s="904"/>
      <c r="F10167" s="905">
        <v>50</v>
      </c>
      <c r="G10167" s="891">
        <v>0.81</v>
      </c>
      <c r="H10167" s="891">
        <f>G10167*F10167</f>
        <v>40.5</v>
      </c>
    </row>
    <row r="10168" spans="1:8">
      <c r="A10168" s="47" t="s">
        <v>7932</v>
      </c>
      <c r="B10168" s="260"/>
      <c r="C10168" s="260" t="s">
        <v>7928</v>
      </c>
      <c r="D10168" s="903"/>
      <c r="E10168" s="904"/>
      <c r="F10168" s="905">
        <v>50</v>
      </c>
      <c r="G10168" s="891">
        <v>1.07</v>
      </c>
      <c r="H10168" s="891">
        <f>G10168*F10168</f>
        <v>53.5</v>
      </c>
    </row>
    <row r="10169" spans="1:8">
      <c r="A10169" s="887" t="s">
        <v>7645</v>
      </c>
      <c r="B10169" s="887" t="s">
        <v>377</v>
      </c>
      <c r="C10169" s="887" t="s">
        <v>53</v>
      </c>
      <c r="D10169" s="887" t="s">
        <v>1186</v>
      </c>
      <c r="E10169" s="887" t="s">
        <v>1652</v>
      </c>
      <c r="F10169" s="887" t="s">
        <v>1653</v>
      </c>
      <c r="G10169" s="916"/>
      <c r="H10169" s="39"/>
    </row>
    <row r="10170" spans="1:8">
      <c r="A10170" s="47" t="s">
        <v>7293</v>
      </c>
      <c r="B10170" s="260">
        <v>4</v>
      </c>
      <c r="C10170" s="260" t="s">
        <v>7929</v>
      </c>
      <c r="D10170" s="905">
        <v>30</v>
      </c>
      <c r="E10170" s="906">
        <v>2</v>
      </c>
      <c r="F10170" s="905">
        <f>D10170*E10170</f>
        <v>60</v>
      </c>
      <c r="G10170" s="891">
        <v>0.28999999999999998</v>
      </c>
      <c r="H10170" s="891">
        <f>G10170*F10170</f>
        <v>17.399999999999999</v>
      </c>
    </row>
    <row r="10171" spans="1:8">
      <c r="A10171" s="47" t="s">
        <v>7293</v>
      </c>
      <c r="B10171" s="260">
        <v>4</v>
      </c>
      <c r="C10171" s="260" t="s">
        <v>7930</v>
      </c>
      <c r="D10171" s="905">
        <v>30</v>
      </c>
      <c r="E10171" s="906">
        <v>2</v>
      </c>
      <c r="F10171" s="905">
        <f>D10171*E10171</f>
        <v>60</v>
      </c>
      <c r="G10171" s="891">
        <v>0.28999999999999998</v>
      </c>
      <c r="H10171" s="891">
        <f>G10171*F10171</f>
        <v>17.399999999999999</v>
      </c>
    </row>
    <row r="10172" spans="1:8">
      <c r="A10172" s="47"/>
      <c r="B10172" s="893"/>
      <c r="C10172" s="260" t="s">
        <v>1993</v>
      </c>
      <c r="D10172" s="905"/>
      <c r="E10172" s="906"/>
      <c r="F10172" s="894">
        <v>1</v>
      </c>
      <c r="G10172" s="891">
        <v>12</v>
      </c>
      <c r="H10172" s="891">
        <f>G10172*F10172</f>
        <v>12</v>
      </c>
    </row>
    <row r="10174" spans="1:8" ht="18" thickBot="1">
      <c r="C10174" s="2400"/>
    </row>
    <row r="10175" spans="1:8" ht="20.25" thickBot="1">
      <c r="A10175" t="s">
        <v>7933</v>
      </c>
      <c r="C10175" s="2401" t="s">
        <v>3246</v>
      </c>
      <c r="D10175" s="2402" t="s">
        <v>7963</v>
      </c>
      <c r="E10175" s="2402" t="s">
        <v>7964</v>
      </c>
    </row>
    <row r="10176" spans="1:8" ht="16.5" thickBot="1">
      <c r="A10176" s="236" t="s">
        <v>7934</v>
      </c>
      <c r="B10176" s="2407" t="s">
        <v>7935</v>
      </c>
      <c r="C10176" s="2403" t="s">
        <v>7965</v>
      </c>
      <c r="D10176" s="2404">
        <v>1</v>
      </c>
      <c r="E10176" s="2405">
        <v>770</v>
      </c>
    </row>
    <row r="10177" spans="1:5" ht="16.5" thickBot="1">
      <c r="A10177" s="236" t="s">
        <v>7936</v>
      </c>
      <c r="B10177" s="2407" t="s">
        <v>7937</v>
      </c>
      <c r="C10177" s="2403" t="s">
        <v>7966</v>
      </c>
      <c r="D10177" s="2406"/>
      <c r="E10177" s="2405">
        <v>1060</v>
      </c>
    </row>
    <row r="10178" spans="1:5" ht="16.5" thickBot="1">
      <c r="A10178" s="236" t="s">
        <v>7938</v>
      </c>
      <c r="B10178" s="236" t="s">
        <v>7939</v>
      </c>
      <c r="C10178" s="2403" t="s">
        <v>7967</v>
      </c>
      <c r="D10178" s="2406"/>
      <c r="E10178" s="2405">
        <v>1670</v>
      </c>
    </row>
    <row r="10179" spans="1:5" ht="16.5" thickBot="1">
      <c r="A10179" s="236" t="s">
        <v>7940</v>
      </c>
      <c r="B10179" s="236" t="s">
        <v>7941</v>
      </c>
      <c r="C10179" s="2403" t="s">
        <v>7968</v>
      </c>
      <c r="D10179" s="2404" t="s">
        <v>7969</v>
      </c>
      <c r="E10179" s="2405">
        <v>2250</v>
      </c>
    </row>
    <row r="10180" spans="1:5" ht="16.5" thickBot="1">
      <c r="A10180" s="236" t="s">
        <v>7942</v>
      </c>
      <c r="B10180" s="236" t="s">
        <v>7943</v>
      </c>
      <c r="C10180" s="2403" t="s">
        <v>7970</v>
      </c>
      <c r="D10180" s="2404" t="s">
        <v>7971</v>
      </c>
      <c r="E10180" s="2405">
        <v>1420</v>
      </c>
    </row>
    <row r="10181" spans="1:5" ht="16.5" thickBot="1">
      <c r="A10181" s="236" t="s">
        <v>7944</v>
      </c>
      <c r="B10181" s="236" t="s">
        <v>7945</v>
      </c>
      <c r="C10181" s="2403" t="s">
        <v>7972</v>
      </c>
      <c r="D10181" s="2406"/>
      <c r="E10181" s="2405">
        <v>1640</v>
      </c>
    </row>
    <row r="10182" spans="1:5" ht="16.5" thickBot="1">
      <c r="A10182" s="236" t="s">
        <v>7946</v>
      </c>
      <c r="B10182" s="2407" t="s">
        <v>7947</v>
      </c>
      <c r="C10182" s="2403" t="s">
        <v>7973</v>
      </c>
      <c r="D10182" s="2404">
        <v>1</v>
      </c>
      <c r="E10182" s="2405">
        <v>1090</v>
      </c>
    </row>
    <row r="10183" spans="1:5" ht="16.5" thickBot="1">
      <c r="A10183" s="236" t="s">
        <v>7948</v>
      </c>
      <c r="B10183" s="2407" t="s">
        <v>7949</v>
      </c>
      <c r="C10183" s="2403" t="s">
        <v>7974</v>
      </c>
      <c r="D10183" s="2404">
        <v>1</v>
      </c>
      <c r="E10183" s="2405">
        <v>1010</v>
      </c>
    </row>
    <row r="10184" spans="1:5" ht="16.5" thickBot="1">
      <c r="A10184" s="236" t="s">
        <v>7950</v>
      </c>
      <c r="B10184" s="2407" t="s">
        <v>8153</v>
      </c>
      <c r="C10184" s="2403" t="s">
        <v>7975</v>
      </c>
      <c r="D10184" s="2404">
        <v>1</v>
      </c>
      <c r="E10184" s="2405">
        <v>1320</v>
      </c>
    </row>
    <row r="10185" spans="1:5" ht="16.5" thickBot="1">
      <c r="A10185" s="236" t="s">
        <v>7951</v>
      </c>
      <c r="B10185" s="236" t="s">
        <v>7952</v>
      </c>
      <c r="C10185" s="2403" t="s">
        <v>7976</v>
      </c>
      <c r="D10185" s="2404" t="s">
        <v>7977</v>
      </c>
      <c r="E10185" s="2405">
        <v>3120</v>
      </c>
    </row>
    <row r="10186" spans="1:5" ht="16.5" thickBot="1">
      <c r="A10186" s="236" t="s">
        <v>7953</v>
      </c>
      <c r="B10186" s="236" t="s">
        <v>7954</v>
      </c>
      <c r="C10186" s="2403" t="s">
        <v>7970</v>
      </c>
      <c r="D10186" s="2404" t="s">
        <v>7978</v>
      </c>
      <c r="E10186" s="2405">
        <v>1420</v>
      </c>
    </row>
    <row r="10187" spans="1:5" ht="16.5" thickBot="1">
      <c r="A10187" s="236" t="s">
        <v>7955</v>
      </c>
      <c r="B10187" s="236" t="s">
        <v>7956</v>
      </c>
      <c r="C10187" s="2403" t="s">
        <v>7979</v>
      </c>
      <c r="D10187" s="2406"/>
      <c r="E10187" s="2405">
        <v>1580</v>
      </c>
    </row>
    <row r="10188" spans="1:5" ht="16.5" thickBot="1">
      <c r="A10188" s="236" t="s">
        <v>7957</v>
      </c>
      <c r="B10188" s="236" t="s">
        <v>7958</v>
      </c>
      <c r="C10188" s="2403" t="s">
        <v>7980</v>
      </c>
      <c r="D10188" s="2406"/>
      <c r="E10188" s="2405">
        <v>1630</v>
      </c>
    </row>
    <row r="10189" spans="1:5" ht="16.5" thickBot="1">
      <c r="A10189" s="236" t="s">
        <v>7959</v>
      </c>
      <c r="B10189" s="236" t="s">
        <v>7960</v>
      </c>
      <c r="C10189" s="2403" t="s">
        <v>7981</v>
      </c>
      <c r="D10189" s="2406"/>
      <c r="E10189" s="2405">
        <v>1390</v>
      </c>
    </row>
    <row r="10190" spans="1:5" ht="16.5" thickBot="1">
      <c r="A10190" s="236" t="s">
        <v>7961</v>
      </c>
      <c r="B10190" s="2407" t="s">
        <v>7962</v>
      </c>
      <c r="C10190" s="2403" t="s">
        <v>7982</v>
      </c>
      <c r="D10190" s="2404">
        <v>1</v>
      </c>
      <c r="E10190" s="2405">
        <v>1430</v>
      </c>
    </row>
    <row r="10191" spans="1:5" ht="18" thickBot="1">
      <c r="C10191" s="2400"/>
    </row>
    <row r="10192" spans="1:5" ht="20.25" thickBot="1">
      <c r="C10192" s="2401" t="s">
        <v>3246</v>
      </c>
      <c r="D10192" s="2402" t="s">
        <v>7963</v>
      </c>
    </row>
    <row r="10193" spans="1:118" ht="16.5" thickBot="1">
      <c r="C10193" s="2403" t="s">
        <v>7965</v>
      </c>
      <c r="D10193" s="2404">
        <v>1</v>
      </c>
    </row>
    <row r="10194" spans="1:118" ht="16.5" thickBot="1">
      <c r="C10194" s="2403" t="s">
        <v>7966</v>
      </c>
      <c r="D10194" s="2406"/>
    </row>
    <row r="10195" spans="1:118" ht="16.5" thickBot="1">
      <c r="C10195" s="2403" t="s">
        <v>7973</v>
      </c>
      <c r="D10195" s="2404">
        <v>1</v>
      </c>
    </row>
    <row r="10196" spans="1:118" ht="16.5" thickBot="1">
      <c r="C10196" s="2403" t="s">
        <v>7974</v>
      </c>
      <c r="D10196" s="2404">
        <v>1</v>
      </c>
    </row>
    <row r="10197" spans="1:118" ht="16.5" thickBot="1">
      <c r="C10197" s="2403" t="s">
        <v>7975</v>
      </c>
      <c r="D10197" s="2404">
        <v>1</v>
      </c>
    </row>
    <row r="10198" spans="1:118" ht="16.5" thickBot="1">
      <c r="C10198" s="2403" t="s">
        <v>7982</v>
      </c>
      <c r="D10198" s="2404">
        <v>1</v>
      </c>
    </row>
    <row r="10200" spans="1:118">
      <c r="A10200" t="s">
        <v>7983</v>
      </c>
    </row>
    <row r="10201" spans="1:118" s="1186" customFormat="1" ht="25.5">
      <c r="A10201" s="1350" t="s">
        <v>1369</v>
      </c>
      <c r="B10201" s="1351" t="s">
        <v>6714</v>
      </c>
      <c r="C10201" s="1352" t="s">
        <v>2</v>
      </c>
      <c r="D10201" s="1353" t="s">
        <v>1734</v>
      </c>
      <c r="E10201" s="1354" t="s">
        <v>5527</v>
      </c>
      <c r="F10201" s="2183" t="s">
        <v>6673</v>
      </c>
      <c r="G10201" s="2184" t="s">
        <v>6669</v>
      </c>
      <c r="H10201" s="2184" t="s">
        <v>6670</v>
      </c>
    </row>
    <row r="10202" spans="1:118" s="1019" customFormat="1" ht="12.75">
      <c r="A10202" s="1170" t="s">
        <v>2265</v>
      </c>
      <c r="B10202" s="1187">
        <v>6</v>
      </c>
      <c r="C10202" s="1171">
        <v>20</v>
      </c>
      <c r="D10202" s="1172" t="s">
        <v>1812</v>
      </c>
      <c r="E10202" s="1061">
        <v>1.47</v>
      </c>
      <c r="F10202" s="2200">
        <v>87</v>
      </c>
      <c r="G10202" s="2186">
        <f>(((E10202*H10202)-F10202)/(E10202*H10202))</f>
        <v>0.50680272108843538</v>
      </c>
      <c r="H10202" s="2187">
        <v>120</v>
      </c>
      <c r="I10202" s="1191"/>
      <c r="J10202" s="1191"/>
      <c r="K10202" s="1191"/>
      <c r="L10202" s="1191"/>
      <c r="M10202" s="1191"/>
      <c r="N10202" s="1191"/>
      <c r="O10202" s="1191"/>
      <c r="P10202" s="1191"/>
      <c r="Q10202" s="1191"/>
      <c r="R10202" s="1191"/>
      <c r="S10202" s="1191"/>
      <c r="T10202" s="1191"/>
      <c r="U10202" s="1191"/>
      <c r="V10202" s="1191"/>
      <c r="W10202" s="1191"/>
      <c r="X10202" s="1191"/>
      <c r="Y10202" s="1191"/>
      <c r="Z10202" s="1191"/>
      <c r="AA10202" s="1191"/>
      <c r="AB10202" s="1191"/>
      <c r="AC10202" s="1191"/>
      <c r="AD10202" s="1191"/>
      <c r="AE10202" s="1191"/>
      <c r="AF10202" s="1191"/>
      <c r="AG10202" s="1191"/>
      <c r="AH10202" s="1191"/>
      <c r="AI10202" s="1191"/>
      <c r="AJ10202" s="1191"/>
      <c r="AK10202" s="1191"/>
      <c r="AL10202" s="1191"/>
      <c r="AM10202" s="1191"/>
      <c r="AN10202" s="1191"/>
      <c r="AO10202" s="1191"/>
      <c r="AP10202" s="1191"/>
      <c r="AQ10202" s="1191"/>
      <c r="AR10202" s="1191"/>
      <c r="AS10202" s="1191"/>
      <c r="AT10202" s="1191"/>
      <c r="AU10202" s="1191"/>
      <c r="AV10202" s="1191"/>
      <c r="AW10202" s="1191"/>
      <c r="AX10202" s="1191"/>
      <c r="AY10202" s="1191"/>
      <c r="AZ10202" s="1191"/>
      <c r="BA10202" s="1191"/>
      <c r="BB10202" s="1191"/>
      <c r="BC10202" s="1191"/>
      <c r="BD10202" s="1191"/>
      <c r="BE10202" s="1191"/>
      <c r="BF10202" s="1191"/>
      <c r="BG10202" s="1191"/>
      <c r="BH10202" s="1191"/>
      <c r="BI10202" s="1191"/>
      <c r="BJ10202" s="1191"/>
      <c r="BK10202" s="1191"/>
      <c r="BL10202" s="1191"/>
      <c r="BM10202" s="1191"/>
      <c r="BN10202" s="1191"/>
      <c r="BO10202" s="1191"/>
      <c r="BP10202" s="1191"/>
      <c r="BQ10202" s="1191"/>
      <c r="BR10202" s="1191"/>
      <c r="BS10202" s="1191"/>
      <c r="BT10202" s="1191"/>
      <c r="BU10202" s="1191"/>
      <c r="BV10202" s="1191"/>
      <c r="BW10202" s="1191"/>
      <c r="BX10202" s="1191"/>
      <c r="BY10202" s="1191"/>
      <c r="BZ10202" s="1191"/>
      <c r="CA10202" s="1191"/>
      <c r="CB10202" s="1191"/>
      <c r="CC10202" s="1191"/>
      <c r="CD10202" s="1191"/>
      <c r="CE10202" s="1191"/>
      <c r="CF10202" s="1191"/>
      <c r="CG10202" s="1191"/>
      <c r="CH10202" s="1191"/>
      <c r="CI10202" s="1191"/>
      <c r="CJ10202" s="1191"/>
      <c r="CK10202" s="1191"/>
      <c r="CL10202" s="1191"/>
      <c r="CM10202" s="1191"/>
      <c r="CN10202" s="1191"/>
      <c r="CO10202" s="1191"/>
      <c r="CP10202" s="1191"/>
      <c r="CQ10202" s="1191"/>
      <c r="CR10202" s="1191"/>
      <c r="CS10202" s="1191"/>
      <c r="CT10202" s="1191"/>
      <c r="CU10202" s="1191"/>
      <c r="CV10202" s="1191"/>
      <c r="CW10202" s="1191"/>
      <c r="CX10202" s="1191"/>
      <c r="CY10202" s="1191"/>
      <c r="CZ10202" s="1191"/>
      <c r="DA10202" s="1191"/>
      <c r="DB10202" s="1191"/>
      <c r="DC10202" s="1191"/>
      <c r="DD10202" s="1191"/>
      <c r="DE10202" s="1191"/>
      <c r="DF10202" s="1191"/>
      <c r="DG10202" s="1191"/>
      <c r="DH10202" s="1191"/>
      <c r="DI10202" s="1191"/>
      <c r="DJ10202" s="1191"/>
      <c r="DK10202" s="1191"/>
      <c r="DL10202" s="1191"/>
      <c r="DM10202" s="1191"/>
      <c r="DN10202" s="1191"/>
    </row>
    <row r="10207" spans="1:118">
      <c r="A10207" s="902" t="s">
        <v>106</v>
      </c>
      <c r="B10207" s="902" t="s">
        <v>52</v>
      </c>
      <c r="C10207" s="902" t="s">
        <v>53</v>
      </c>
      <c r="D10207" s="887" t="s">
        <v>1186</v>
      </c>
      <c r="E10207" s="887" t="s">
        <v>1652</v>
      </c>
      <c r="F10207" s="887" t="s">
        <v>1653</v>
      </c>
      <c r="G10207" s="1997" t="s">
        <v>6976</v>
      </c>
    </row>
    <row r="10208" spans="1:118">
      <c r="A10208" s="909">
        <v>5291</v>
      </c>
      <c r="B10208" s="1187">
        <v>4</v>
      </c>
      <c r="C10208" s="909" t="s">
        <v>29</v>
      </c>
      <c r="D10208" s="1751">
        <v>50</v>
      </c>
      <c r="E10208" s="1867">
        <v>14</v>
      </c>
      <c r="F10208" s="1751">
        <f>D10208*E10208</f>
        <v>700</v>
      </c>
      <c r="G10208" s="1752">
        <v>0.15</v>
      </c>
    </row>
    <row r="10209" spans="1:9">
      <c r="A10209" s="909"/>
      <c r="B10209" s="2410"/>
      <c r="C10209" s="1753" t="s">
        <v>1993</v>
      </c>
      <c r="D10209" s="1751"/>
      <c r="E10209" s="1867"/>
      <c r="F10209" s="1754">
        <v>1</v>
      </c>
      <c r="G10209" s="1752">
        <v>12</v>
      </c>
    </row>
    <row r="10212" spans="1:9">
      <c r="A10212" s="902" t="s">
        <v>106</v>
      </c>
      <c r="B10212" s="902" t="s">
        <v>53</v>
      </c>
      <c r="C10212" s="887" t="s">
        <v>1653</v>
      </c>
      <c r="D10212" s="1997" t="s">
        <v>6976</v>
      </c>
    </row>
    <row r="10213" spans="1:9">
      <c r="A10213" s="47" t="s">
        <v>7993</v>
      </c>
      <c r="B10213" s="47" t="s">
        <v>78</v>
      </c>
      <c r="C10213" s="905">
        <v>10</v>
      </c>
      <c r="D10213" s="891">
        <v>1.42</v>
      </c>
    </row>
    <row r="10214" spans="1:9">
      <c r="A10214" s="47"/>
      <c r="B10214" s="260" t="s">
        <v>1993</v>
      </c>
      <c r="C10214" s="894">
        <v>1</v>
      </c>
      <c r="D10214" s="891">
        <v>12</v>
      </c>
    </row>
    <row r="10217" spans="1:9">
      <c r="A10217" s="1064" t="s">
        <v>7759</v>
      </c>
    </row>
    <row r="10218" spans="1:9" ht="25.5">
      <c r="A10218" s="1996" t="s">
        <v>5583</v>
      </c>
      <c r="B10218" s="1997" t="s">
        <v>980</v>
      </c>
      <c r="C10218" s="1997" t="s">
        <v>1323</v>
      </c>
      <c r="D10218" s="1998" t="s">
        <v>6978</v>
      </c>
      <c r="E10218" s="1998" t="s">
        <v>7768</v>
      </c>
      <c r="F10218" s="939" t="s">
        <v>6979</v>
      </c>
      <c r="G10218" s="939" t="s">
        <v>6080</v>
      </c>
      <c r="H10218" s="940" t="s">
        <v>6081</v>
      </c>
    </row>
    <row r="10219" spans="1:9">
      <c r="A10219" s="47" t="s">
        <v>7760</v>
      </c>
      <c r="B10219" s="47" t="s">
        <v>1519</v>
      </c>
      <c r="C10219" s="1061">
        <f t="shared" ref="C10219:C10224" si="112">ROUNDUP(F10219/0.6/120,2)</f>
        <v>0.59</v>
      </c>
      <c r="D10219" s="1245" t="s">
        <v>2346</v>
      </c>
      <c r="E10219" s="1245" t="s">
        <v>7770</v>
      </c>
      <c r="F10219" s="2000">
        <v>42</v>
      </c>
      <c r="G10219" s="2317">
        <f t="shared" ref="G10219:G10224" si="113">(C10219-(F10219/H10219))/C10219</f>
        <v>0.40677966101694918</v>
      </c>
      <c r="H10219" s="2000">
        <v>120</v>
      </c>
      <c r="I10219" s="389"/>
    </row>
    <row r="10220" spans="1:9">
      <c r="A10220" s="47" t="s">
        <v>7761</v>
      </c>
      <c r="B10220" s="47" t="s">
        <v>6582</v>
      </c>
      <c r="C10220" s="1061">
        <f t="shared" si="112"/>
        <v>1.56</v>
      </c>
      <c r="D10220" s="2260" t="s">
        <v>7551</v>
      </c>
      <c r="E10220" s="2260" t="s">
        <v>7769</v>
      </c>
      <c r="F10220" s="47">
        <f>42+70</f>
        <v>112</v>
      </c>
      <c r="G10220" s="2317">
        <f t="shared" si="113"/>
        <v>0.40170940170940173</v>
      </c>
      <c r="H10220" s="2000">
        <v>120</v>
      </c>
      <c r="I10220" s="1957" t="s">
        <v>7552</v>
      </c>
    </row>
    <row r="10221" spans="1:9">
      <c r="A10221" s="47" t="s">
        <v>7762</v>
      </c>
      <c r="B10221" s="47" t="s">
        <v>1519</v>
      </c>
      <c r="C10221" s="1061">
        <f t="shared" si="112"/>
        <v>0.52</v>
      </c>
      <c r="D10221" s="1245" t="s">
        <v>2346</v>
      </c>
      <c r="E10221" s="1245" t="s">
        <v>7771</v>
      </c>
      <c r="F10221" s="2000">
        <v>37</v>
      </c>
      <c r="G10221" s="2317">
        <f t="shared" si="113"/>
        <v>0.40705128205128205</v>
      </c>
      <c r="H10221" s="2000">
        <v>120</v>
      </c>
      <c r="I10221" s="389"/>
    </row>
    <row r="10222" spans="1:9">
      <c r="A10222" s="47" t="s">
        <v>7763</v>
      </c>
      <c r="B10222" s="47" t="s">
        <v>6582</v>
      </c>
      <c r="C10222" s="1061">
        <f t="shared" si="112"/>
        <v>1.49</v>
      </c>
      <c r="D10222" s="2260" t="s">
        <v>7551</v>
      </c>
      <c r="E10222" s="2260" t="s">
        <v>7769</v>
      </c>
      <c r="F10222" s="47">
        <f>37+70</f>
        <v>107</v>
      </c>
      <c r="G10222" s="2317">
        <f t="shared" si="113"/>
        <v>0.40156599552572703</v>
      </c>
      <c r="H10222" s="2000">
        <v>120</v>
      </c>
      <c r="I10222" s="1957" t="s">
        <v>7552</v>
      </c>
    </row>
    <row r="10223" spans="1:9">
      <c r="A10223" s="47" t="s">
        <v>7764</v>
      </c>
      <c r="B10223" s="47" t="s">
        <v>1519</v>
      </c>
      <c r="C10223" s="1061">
        <f t="shared" si="112"/>
        <v>0.91</v>
      </c>
      <c r="D10223" s="1245" t="s">
        <v>2346</v>
      </c>
      <c r="E10223" s="1245" t="s">
        <v>7772</v>
      </c>
      <c r="F10223" s="2000">
        <v>65</v>
      </c>
      <c r="G10223" s="2317">
        <f t="shared" si="113"/>
        <v>0.40476190476190482</v>
      </c>
      <c r="H10223" s="2000">
        <v>120</v>
      </c>
      <c r="I10223" s="389"/>
    </row>
    <row r="10224" spans="1:9">
      <c r="A10224" s="47" t="s">
        <v>7765</v>
      </c>
      <c r="B10224" s="47" t="s">
        <v>6582</v>
      </c>
      <c r="C10224" s="1061">
        <f t="shared" si="112"/>
        <v>2.0199999999999996</v>
      </c>
      <c r="D10224" s="2260" t="s">
        <v>7767</v>
      </c>
      <c r="E10224" s="2260" t="s">
        <v>7769</v>
      </c>
      <c r="F10224" s="47">
        <f>65+80</f>
        <v>145</v>
      </c>
      <c r="G10224" s="2317">
        <f t="shared" si="113"/>
        <v>0.40181518151815171</v>
      </c>
      <c r="H10224" s="2000">
        <v>120</v>
      </c>
      <c r="I10224" s="1957" t="s">
        <v>7766</v>
      </c>
    </row>
    <row r="10228" spans="1:9">
      <c r="A10228" s="902" t="s">
        <v>106</v>
      </c>
      <c r="B10228" s="902" t="s">
        <v>52</v>
      </c>
      <c r="C10228" s="902" t="s">
        <v>53</v>
      </c>
      <c r="D10228" s="887" t="s">
        <v>1186</v>
      </c>
      <c r="E10228" s="887" t="s">
        <v>1652</v>
      </c>
      <c r="F10228" s="887" t="s">
        <v>1653</v>
      </c>
      <c r="G10228" s="887" t="s">
        <v>7996</v>
      </c>
    </row>
    <row r="10229" spans="1:9">
      <c r="A10229" s="47" t="s">
        <v>7071</v>
      </c>
      <c r="B10229" s="260">
        <v>25</v>
      </c>
      <c r="C10229" s="909" t="s">
        <v>7145</v>
      </c>
      <c r="D10229" s="903">
        <v>30</v>
      </c>
      <c r="E10229" s="904">
        <v>3</v>
      </c>
      <c r="F10229" s="905">
        <f>D10229*E10229</f>
        <v>90</v>
      </c>
      <c r="G10229" s="891">
        <v>0.73</v>
      </c>
    </row>
    <row r="10230" spans="1:9">
      <c r="A10230" s="47"/>
      <c r="B10230" s="893"/>
      <c r="C10230" s="260" t="s">
        <v>1993</v>
      </c>
      <c r="D10230" s="905"/>
      <c r="E10230" s="906"/>
      <c r="F10230" s="894">
        <v>1</v>
      </c>
      <c r="G10230" s="891">
        <v>12</v>
      </c>
    </row>
    <row r="10232" spans="1:9">
      <c r="A10232" t="s">
        <v>7997</v>
      </c>
    </row>
    <row r="10234" spans="1:9" s="888" customFormat="1" ht="12.75">
      <c r="A10234" s="902" t="s">
        <v>105</v>
      </c>
      <c r="B10234" s="902" t="s">
        <v>106</v>
      </c>
      <c r="C10234" s="902" t="s">
        <v>53</v>
      </c>
      <c r="D10234" s="887" t="s">
        <v>1186</v>
      </c>
      <c r="E10234" s="887" t="s">
        <v>1652</v>
      </c>
      <c r="F10234" s="887" t="s">
        <v>1653</v>
      </c>
      <c r="G10234" s="1997" t="s">
        <v>6976</v>
      </c>
      <c r="H10234" s="1997" t="s">
        <v>2245</v>
      </c>
    </row>
    <row r="10235" spans="1:9" s="888" customFormat="1" ht="12.75">
      <c r="A10235" s="947" t="s">
        <v>7998</v>
      </c>
      <c r="B10235" s="47" t="s">
        <v>3073</v>
      </c>
      <c r="C10235" s="47" t="s">
        <v>859</v>
      </c>
      <c r="D10235" s="50">
        <v>58</v>
      </c>
      <c r="E10235" s="911">
        <v>15</v>
      </c>
      <c r="F10235" s="50">
        <v>870</v>
      </c>
      <c r="G10235" s="891">
        <v>3.89</v>
      </c>
      <c r="H10235" s="891">
        <v>3384.3</v>
      </c>
      <c r="I10235" s="1202" t="s">
        <v>2219</v>
      </c>
    </row>
    <row r="10236" spans="1:9" s="888" customFormat="1" ht="12.75">
      <c r="A10236" s="947" t="s">
        <v>7998</v>
      </c>
      <c r="B10236" s="47" t="s">
        <v>3073</v>
      </c>
      <c r="C10236" s="47" t="s">
        <v>859</v>
      </c>
      <c r="D10236" s="50">
        <v>58</v>
      </c>
      <c r="E10236" s="911">
        <v>7</v>
      </c>
      <c r="F10236" s="50">
        <v>406</v>
      </c>
      <c r="G10236" s="891">
        <v>3.89</v>
      </c>
      <c r="H10236" s="891">
        <v>1579.3400000000001</v>
      </c>
      <c r="I10236" s="1202" t="s">
        <v>2219</v>
      </c>
    </row>
    <row r="10237" spans="1:9" s="888" customFormat="1" ht="12.75">
      <c r="A10237" s="947" t="s">
        <v>7998</v>
      </c>
      <c r="B10237" s="47" t="s">
        <v>3073</v>
      </c>
      <c r="C10237" s="47" t="s">
        <v>859</v>
      </c>
      <c r="D10237" s="50">
        <v>59</v>
      </c>
      <c r="E10237" s="911">
        <v>1</v>
      </c>
      <c r="F10237" s="50">
        <v>59</v>
      </c>
      <c r="G10237" s="891">
        <v>3.89</v>
      </c>
      <c r="H10237" s="891">
        <v>229.51000000000002</v>
      </c>
      <c r="I10237" s="1202" t="s">
        <v>2219</v>
      </c>
    </row>
    <row r="10238" spans="1:9" s="888" customFormat="1" ht="12.75">
      <c r="A10238" s="947" t="s">
        <v>7998</v>
      </c>
      <c r="B10238" s="47" t="s">
        <v>3073</v>
      </c>
      <c r="C10238" s="47" t="s">
        <v>859</v>
      </c>
      <c r="D10238" s="50">
        <v>56</v>
      </c>
      <c r="E10238" s="911">
        <v>1</v>
      </c>
      <c r="F10238" s="50">
        <v>56</v>
      </c>
      <c r="G10238" s="891">
        <v>3.89</v>
      </c>
      <c r="H10238" s="891">
        <v>217.84</v>
      </c>
      <c r="I10238" s="1202" t="s">
        <v>2219</v>
      </c>
    </row>
    <row r="10239" spans="1:9" s="888" customFormat="1" ht="12.75">
      <c r="A10239" s="947" t="s">
        <v>7998</v>
      </c>
      <c r="B10239" s="47" t="s">
        <v>3073</v>
      </c>
      <c r="C10239" s="47" t="s">
        <v>859</v>
      </c>
      <c r="D10239" s="50">
        <v>62</v>
      </c>
      <c r="E10239" s="911">
        <v>1</v>
      </c>
      <c r="F10239" s="50">
        <v>62</v>
      </c>
      <c r="G10239" s="891">
        <v>3.89</v>
      </c>
      <c r="H10239" s="891">
        <v>241.18</v>
      </c>
      <c r="I10239" s="1202" t="s">
        <v>2219</v>
      </c>
    </row>
    <row r="10240" spans="1:9" s="888" customFormat="1" ht="12.75">
      <c r="A10240" s="947" t="s">
        <v>7998</v>
      </c>
      <c r="B10240" s="47" t="s">
        <v>3073</v>
      </c>
      <c r="C10240" s="47" t="s">
        <v>859</v>
      </c>
      <c r="D10240" s="50">
        <v>63</v>
      </c>
      <c r="E10240" s="911">
        <v>1</v>
      </c>
      <c r="F10240" s="50">
        <v>63</v>
      </c>
      <c r="G10240" s="891">
        <v>3.89</v>
      </c>
      <c r="H10240" s="891">
        <v>245.07000000000002</v>
      </c>
      <c r="I10240" s="1202" t="s">
        <v>2219</v>
      </c>
    </row>
    <row r="10241" spans="1:9" s="888" customFormat="1" ht="12.75">
      <c r="A10241" s="947" t="s">
        <v>7998</v>
      </c>
      <c r="B10241" s="47" t="s">
        <v>3073</v>
      </c>
      <c r="C10241" s="47" t="s">
        <v>859</v>
      </c>
      <c r="D10241" s="50">
        <v>64</v>
      </c>
      <c r="E10241" s="911">
        <v>3</v>
      </c>
      <c r="F10241" s="50">
        <v>192</v>
      </c>
      <c r="G10241" s="891">
        <v>3.89</v>
      </c>
      <c r="H10241" s="891">
        <v>746.88</v>
      </c>
      <c r="I10241" s="1202" t="s">
        <v>2219</v>
      </c>
    </row>
    <row r="10242" spans="1:9" s="888" customFormat="1" ht="12.75">
      <c r="A10242" s="947" t="s">
        <v>7998</v>
      </c>
      <c r="B10242" s="47" t="s">
        <v>3073</v>
      </c>
      <c r="C10242" s="47" t="s">
        <v>859</v>
      </c>
      <c r="D10242" s="50">
        <v>65</v>
      </c>
      <c r="E10242" s="911">
        <v>1</v>
      </c>
      <c r="F10242" s="50">
        <v>65</v>
      </c>
      <c r="G10242" s="891">
        <v>3.89</v>
      </c>
      <c r="H10242" s="891">
        <v>252.85</v>
      </c>
      <c r="I10242" s="1202" t="s">
        <v>2219</v>
      </c>
    </row>
    <row r="10243" spans="1:9" s="888" customFormat="1" ht="12.75">
      <c r="A10243" s="947" t="s">
        <v>7998</v>
      </c>
      <c r="B10243" s="47">
        <v>2440</v>
      </c>
      <c r="C10243" s="47" t="s">
        <v>7613</v>
      </c>
      <c r="D10243" s="50">
        <v>58</v>
      </c>
      <c r="E10243" s="911">
        <v>2</v>
      </c>
      <c r="F10243" s="50">
        <v>116</v>
      </c>
      <c r="G10243" s="891">
        <v>3.89</v>
      </c>
      <c r="H10243" s="891">
        <v>451.24</v>
      </c>
      <c r="I10243" s="1202" t="s">
        <v>2219</v>
      </c>
    </row>
    <row r="10244" spans="1:9" s="888" customFormat="1" ht="12.75">
      <c r="A10244" s="947"/>
      <c r="B10244" s="889"/>
      <c r="C10244" s="47"/>
      <c r="D10244" s="903"/>
      <c r="E10244" s="904"/>
      <c r="F10244" s="903"/>
      <c r="G10244" s="52"/>
      <c r="H10244" s="39"/>
      <c r="I10244" s="39"/>
    </row>
    <row r="10245" spans="1:9" s="888" customFormat="1" ht="12.75">
      <c r="A10245" s="947" t="s">
        <v>7999</v>
      </c>
      <c r="B10245" s="47" t="s">
        <v>536</v>
      </c>
      <c r="C10245" s="47" t="s">
        <v>735</v>
      </c>
      <c r="D10245" s="50">
        <v>50</v>
      </c>
      <c r="E10245" s="911">
        <v>4</v>
      </c>
      <c r="F10245" s="905">
        <v>200</v>
      </c>
      <c r="G10245" s="51">
        <v>5</v>
      </c>
      <c r="H10245" s="891">
        <v>1000</v>
      </c>
      <c r="I10245" s="1202" t="s">
        <v>2218</v>
      </c>
    </row>
    <row r="10246" spans="1:9" s="888" customFormat="1" ht="12.75">
      <c r="A10246" s="947" t="s">
        <v>7999</v>
      </c>
      <c r="B10246" s="47" t="s">
        <v>536</v>
      </c>
      <c r="C10246" s="47" t="s">
        <v>2601</v>
      </c>
      <c r="D10246" s="50">
        <v>50</v>
      </c>
      <c r="E10246" s="911">
        <v>8</v>
      </c>
      <c r="F10246" s="905">
        <v>400</v>
      </c>
      <c r="G10246" s="51">
        <v>5</v>
      </c>
      <c r="H10246" s="891">
        <v>2000</v>
      </c>
      <c r="I10246" s="1202" t="s">
        <v>2218</v>
      </c>
    </row>
    <row r="10247" spans="1:9" s="888" customFormat="1" ht="12.75">
      <c r="A10247" s="947" t="s">
        <v>7999</v>
      </c>
      <c r="B10247" s="47">
        <v>2440</v>
      </c>
      <c r="C10247" s="47" t="s">
        <v>733</v>
      </c>
      <c r="D10247" s="50">
        <v>58</v>
      </c>
      <c r="E10247" s="911">
        <v>5</v>
      </c>
      <c r="F10247" s="50">
        <v>290</v>
      </c>
      <c r="G10247" s="891">
        <v>3.89</v>
      </c>
      <c r="H10247" s="891">
        <v>1128.1000000000001</v>
      </c>
      <c r="I10247" s="1202" t="s">
        <v>2219</v>
      </c>
    </row>
    <row r="10248" spans="1:9" s="888" customFormat="1" ht="12.75">
      <c r="A10248" s="947" t="s">
        <v>7999</v>
      </c>
      <c r="B10248" s="47"/>
      <c r="C10248" s="2411" t="s">
        <v>481</v>
      </c>
      <c r="D10248" s="2412"/>
      <c r="E10248" s="2413"/>
      <c r="F10248" s="2414">
        <v>1</v>
      </c>
      <c r="G10248" s="2415">
        <v>20</v>
      </c>
      <c r="H10248" s="417" t="s">
        <v>1676</v>
      </c>
      <c r="I10248" s="417"/>
    </row>
    <row r="10249" spans="1:9" s="888" customFormat="1" ht="12.75">
      <c r="A10249" s="710" t="s">
        <v>7999</v>
      </c>
      <c r="B10249" s="920"/>
      <c r="C10249" s="921" t="s">
        <v>1227</v>
      </c>
      <c r="D10249" s="922" t="s">
        <v>1228</v>
      </c>
      <c r="E10249" s="923"/>
      <c r="F10249" s="924"/>
      <c r="G10249" s="925">
        <v>0</v>
      </c>
      <c r="H10249" s="310"/>
      <c r="I10249" s="310"/>
    </row>
    <row r="10252" spans="1:9">
      <c r="A10252" s="776" t="s">
        <v>8000</v>
      </c>
    </row>
    <row r="10253" spans="1:9" s="843" customFormat="1" ht="25.5">
      <c r="A10253" s="886" t="s">
        <v>1400</v>
      </c>
      <c r="B10253" s="952" t="s">
        <v>2724</v>
      </c>
      <c r="C10253" s="951" t="s">
        <v>1181</v>
      </c>
      <c r="D10253" s="953" t="s">
        <v>2467</v>
      </c>
      <c r="E10253" s="951" t="s">
        <v>1752</v>
      </c>
      <c r="F10253" s="939" t="s">
        <v>6979</v>
      </c>
      <c r="G10253" s="939" t="s">
        <v>6080</v>
      </c>
      <c r="H10253" s="940" t="s">
        <v>6081</v>
      </c>
    </row>
    <row r="10254" spans="1:9" s="843" customFormat="1" ht="24" customHeight="1">
      <c r="A10254" s="954" t="s">
        <v>3124</v>
      </c>
      <c r="B10254" s="954" t="s">
        <v>3125</v>
      </c>
      <c r="C10254" s="954" t="s">
        <v>2725</v>
      </c>
      <c r="D10254" s="957">
        <v>37.5</v>
      </c>
      <c r="E10254" s="1197" t="s">
        <v>2472</v>
      </c>
      <c r="F10254" s="843">
        <v>3900</v>
      </c>
      <c r="G10254" s="2317">
        <f>(D10254-(F10254/H10254))/D10254</f>
        <v>0.2</v>
      </c>
      <c r="H10254" s="2000">
        <v>130</v>
      </c>
    </row>
    <row r="10257" spans="1:8" ht="13.5" customHeight="1">
      <c r="A10257" s="895" t="s">
        <v>8002</v>
      </c>
    </row>
    <row r="10258" spans="1:8" ht="13.5" customHeight="1">
      <c r="A10258" s="902" t="s">
        <v>1603</v>
      </c>
      <c r="B10258" s="902" t="s">
        <v>8006</v>
      </c>
      <c r="C10258" s="1772" t="s">
        <v>7856</v>
      </c>
      <c r="D10258" s="1772" t="s">
        <v>1403</v>
      </c>
      <c r="E10258" s="2037" t="s">
        <v>6613</v>
      </c>
      <c r="F10258" s="2037" t="s">
        <v>6929</v>
      </c>
      <c r="G10258" s="2037" t="s">
        <v>6081</v>
      </c>
    </row>
    <row r="10259" spans="1:8" ht="13.5" customHeight="1">
      <c r="A10259" s="909" t="s">
        <v>8003</v>
      </c>
      <c r="B10259" s="1209" t="s">
        <v>8005</v>
      </c>
      <c r="C10259" s="1245">
        <f>ROUNDUP(E10259/0.77/120,2)</f>
        <v>25.44</v>
      </c>
      <c r="D10259" s="1245" t="s">
        <v>7857</v>
      </c>
      <c r="E10259" s="2253">
        <f>2050+300</f>
        <v>2350</v>
      </c>
      <c r="F10259" s="1965">
        <f>(C10259-(E10259/G10259))/C10259</f>
        <v>0.23021488469601686</v>
      </c>
      <c r="G10259">
        <v>120</v>
      </c>
      <c r="H10259" s="317"/>
    </row>
    <row r="10260" spans="1:8" ht="13.5" customHeight="1">
      <c r="A10260" s="909" t="s">
        <v>8003</v>
      </c>
      <c r="B10260" s="1209" t="s">
        <v>8004</v>
      </c>
      <c r="C10260" s="1245">
        <f>ROUNDUP(E10260/0.77/120,2)</f>
        <v>22.19</v>
      </c>
      <c r="D10260" s="1245"/>
      <c r="E10260" s="2253">
        <v>2050</v>
      </c>
      <c r="F10260" s="1965">
        <f>(C10260-(E10260/G10260))/C10260</f>
        <v>0.23013369385609142</v>
      </c>
      <c r="G10260">
        <v>120</v>
      </c>
      <c r="H10260" s="2335"/>
    </row>
    <row r="10263" spans="1:8">
      <c r="B10263" s="1209"/>
    </row>
    <row r="10264" spans="1:8">
      <c r="A10264" s="902" t="s">
        <v>106</v>
      </c>
      <c r="B10264" s="902" t="s">
        <v>52</v>
      </c>
      <c r="C10264" s="902" t="s">
        <v>53</v>
      </c>
      <c r="D10264" s="887" t="s">
        <v>1186</v>
      </c>
      <c r="E10264" s="887" t="s">
        <v>1652</v>
      </c>
      <c r="F10264" s="887" t="s">
        <v>1653</v>
      </c>
      <c r="G10264" s="953" t="s">
        <v>2467</v>
      </c>
    </row>
    <row r="10265" spans="1:8">
      <c r="A10265" s="47">
        <v>4141</v>
      </c>
      <c r="B10265" s="260">
        <v>6</v>
      </c>
      <c r="C10265" s="47" t="s">
        <v>211</v>
      </c>
      <c r="D10265" s="905">
        <v>20</v>
      </c>
      <c r="E10265" s="906">
        <v>14</v>
      </c>
      <c r="F10265" s="905">
        <f>D10265*E10265</f>
        <v>280</v>
      </c>
      <c r="G10265" s="891">
        <v>1.47</v>
      </c>
    </row>
    <row r="10266" spans="1:8">
      <c r="A10266" s="47">
        <v>4141</v>
      </c>
      <c r="B10266" s="260">
        <v>6</v>
      </c>
      <c r="C10266" s="47" t="s">
        <v>510</v>
      </c>
      <c r="D10266" s="905">
        <v>20</v>
      </c>
      <c r="E10266" s="906">
        <v>13</v>
      </c>
      <c r="F10266" s="905">
        <f>D10266*E10266</f>
        <v>260</v>
      </c>
      <c r="G10266" s="891">
        <v>1.47</v>
      </c>
    </row>
    <row r="10267" spans="1:8">
      <c r="A10267" s="47"/>
      <c r="B10267" s="893"/>
      <c r="C10267" s="260" t="s">
        <v>1993</v>
      </c>
      <c r="D10267" s="905"/>
      <c r="E10267" s="906"/>
      <c r="F10267" s="894">
        <v>1</v>
      </c>
      <c r="G10267" s="891">
        <v>12</v>
      </c>
    </row>
    <row r="10271" spans="1:8">
      <c r="A10271" s="2416" t="s">
        <v>7708</v>
      </c>
      <c r="B10271" s="2416" t="s">
        <v>1710</v>
      </c>
      <c r="C10271" s="2820" t="s">
        <v>8009</v>
      </c>
      <c r="D10271" s="2821"/>
      <c r="E10271" s="2822"/>
      <c r="F10271" s="2417" t="s">
        <v>8010</v>
      </c>
      <c r="G10271" s="2416" t="s">
        <v>6413</v>
      </c>
    </row>
    <row r="10272" spans="1:8">
      <c r="A10272" s="909" t="s">
        <v>8011</v>
      </c>
      <c r="B10272" s="1753" t="s">
        <v>8012</v>
      </c>
      <c r="C10272" s="2823" t="s">
        <v>8063</v>
      </c>
      <c r="D10272" s="2824"/>
      <c r="E10272" s="2825"/>
      <c r="F10272" s="2260" t="s">
        <v>2345</v>
      </c>
      <c r="G10272" s="1245">
        <v>3.3699999999999997</v>
      </c>
    </row>
    <row r="10273" spans="1:12">
      <c r="A10273" s="909" t="s">
        <v>8011</v>
      </c>
      <c r="B10273" s="1753" t="s">
        <v>8012</v>
      </c>
      <c r="C10273" s="2823" t="s">
        <v>8013</v>
      </c>
      <c r="D10273" s="2824"/>
      <c r="E10273" s="2825"/>
      <c r="F10273" s="2260" t="s">
        <v>8014</v>
      </c>
      <c r="G10273" s="1245">
        <v>3.3699999999999997</v>
      </c>
    </row>
    <row r="10274" spans="1:12">
      <c r="A10274" s="909" t="s">
        <v>8015</v>
      </c>
      <c r="B10274" s="1753" t="s">
        <v>8016</v>
      </c>
      <c r="C10274" s="2823" t="s">
        <v>7713</v>
      </c>
      <c r="D10274" s="2824"/>
      <c r="E10274" s="2825"/>
      <c r="F10274" s="2260" t="s">
        <v>2345</v>
      </c>
      <c r="G10274" s="1245">
        <v>3.03</v>
      </c>
    </row>
    <row r="10275" spans="1:12">
      <c r="A10275" s="909" t="s">
        <v>8015</v>
      </c>
      <c r="B10275" s="1753" t="s">
        <v>8016</v>
      </c>
      <c r="C10275" s="2823" t="s">
        <v>8017</v>
      </c>
      <c r="D10275" s="2824"/>
      <c r="E10275" s="2825"/>
      <c r="F10275" s="2260" t="s">
        <v>8065</v>
      </c>
      <c r="G10275" s="1245">
        <v>3.03</v>
      </c>
    </row>
    <row r="10276" spans="1:12">
      <c r="A10276" s="47" t="s">
        <v>7796</v>
      </c>
      <c r="B10276" s="260" t="s">
        <v>7797</v>
      </c>
      <c r="C10276" s="2823" t="s">
        <v>7713</v>
      </c>
      <c r="D10276" s="2824"/>
      <c r="E10276" s="2825"/>
      <c r="F10276" s="2260" t="s">
        <v>2346</v>
      </c>
      <c r="G10276" s="1245">
        <v>3.2</v>
      </c>
      <c r="H10276" s="2260" t="s">
        <v>2346</v>
      </c>
      <c r="I10276" s="2000">
        <f>200+16+14</f>
        <v>230</v>
      </c>
      <c r="J10276" s="2317">
        <f>(G10276-(I10276/K10276))/G10276</f>
        <v>0.40104166666666669</v>
      </c>
      <c r="K10276" s="2000">
        <v>120</v>
      </c>
      <c r="L10276" s="389"/>
    </row>
    <row r="10277" spans="1:12">
      <c r="A10277" s="47" t="s">
        <v>7796</v>
      </c>
      <c r="B10277" s="260" t="s">
        <v>7797</v>
      </c>
      <c r="C10277" s="2823" t="s">
        <v>8017</v>
      </c>
      <c r="D10277" s="2824"/>
      <c r="E10277" s="2825"/>
      <c r="F10277" s="2260" t="s">
        <v>7816</v>
      </c>
      <c r="G10277" s="1245">
        <v>3.2</v>
      </c>
      <c r="H10277" s="2260" t="s">
        <v>7816</v>
      </c>
      <c r="I10277" s="2000">
        <f>200+16+14</f>
        <v>230</v>
      </c>
      <c r="J10277" s="2317">
        <f>(G10277-(I10277/K10277))/G10277</f>
        <v>0.40104166666666669</v>
      </c>
      <c r="K10277" s="2000">
        <v>120</v>
      </c>
      <c r="L10277" s="1957"/>
    </row>
    <row r="10281" spans="1:12">
      <c r="A10281" s="902" t="s">
        <v>106</v>
      </c>
      <c r="B10281" s="902" t="s">
        <v>53</v>
      </c>
      <c r="C10281" s="1973" t="s">
        <v>8024</v>
      </c>
      <c r="D10281" s="2418" t="s">
        <v>7417</v>
      </c>
    </row>
    <row r="10282" spans="1:12">
      <c r="A10282" s="47" t="s">
        <v>1491</v>
      </c>
      <c r="B10282" s="260" t="s">
        <v>129</v>
      </c>
      <c r="C10282" s="1059">
        <v>135</v>
      </c>
      <c r="D10282" s="236"/>
    </row>
    <row r="10283" spans="1:12">
      <c r="A10283" s="47" t="s">
        <v>1121</v>
      </c>
      <c r="B10283" s="260" t="s">
        <v>129</v>
      </c>
      <c r="C10283" s="1059">
        <v>90</v>
      </c>
      <c r="D10283" s="236"/>
    </row>
    <row r="10284" spans="1:12">
      <c r="A10284" s="47" t="s">
        <v>1489</v>
      </c>
      <c r="B10284" s="260" t="s">
        <v>129</v>
      </c>
      <c r="C10284" s="1059">
        <v>115</v>
      </c>
      <c r="D10284" s="236"/>
    </row>
    <row r="10285" spans="1:12">
      <c r="A10285" s="47" t="s">
        <v>2368</v>
      </c>
      <c r="B10285" s="260" t="s">
        <v>78</v>
      </c>
      <c r="C10285" s="1059">
        <v>135</v>
      </c>
      <c r="D10285" s="236"/>
    </row>
    <row r="10287" spans="1:12">
      <c r="A10287" s="902" t="s">
        <v>106</v>
      </c>
      <c r="B10287" s="902" t="s">
        <v>53</v>
      </c>
      <c r="C10287" s="1973" t="s">
        <v>8024</v>
      </c>
      <c r="D10287" s="2418" t="s">
        <v>7417</v>
      </c>
    </row>
    <row r="10288" spans="1:12">
      <c r="A10288" s="47" t="s">
        <v>1537</v>
      </c>
      <c r="B10288" s="260" t="s">
        <v>129</v>
      </c>
      <c r="C10288" s="1059">
        <v>80</v>
      </c>
      <c r="D10288" s="236"/>
    </row>
    <row r="10292" spans="1:14">
      <c r="A10292" s="902" t="s">
        <v>106</v>
      </c>
      <c r="B10292" s="902" t="s">
        <v>53</v>
      </c>
      <c r="C10292" s="887" t="s">
        <v>1186</v>
      </c>
      <c r="D10292" s="953" t="s">
        <v>2467</v>
      </c>
      <c r="E10292" s="1250" t="s">
        <v>3587</v>
      </c>
    </row>
    <row r="10293" spans="1:14">
      <c r="A10293" s="47" t="s">
        <v>1491</v>
      </c>
      <c r="B10293" s="260" t="s">
        <v>129</v>
      </c>
      <c r="C10293" s="905">
        <v>14</v>
      </c>
      <c r="D10293" s="891">
        <v>2.54</v>
      </c>
      <c r="E10293" s="2419" t="s">
        <v>8025</v>
      </c>
    </row>
    <row r="10294" spans="1:14">
      <c r="A10294" s="47" t="s">
        <v>1121</v>
      </c>
      <c r="B10294" s="260" t="s">
        <v>129</v>
      </c>
      <c r="C10294" s="905">
        <v>14</v>
      </c>
      <c r="D10294" s="891">
        <v>1.8</v>
      </c>
      <c r="E10294" s="2419" t="s">
        <v>8025</v>
      </c>
    </row>
    <row r="10295" spans="1:14">
      <c r="A10295" s="47" t="s">
        <v>1489</v>
      </c>
      <c r="B10295" s="260" t="s">
        <v>129</v>
      </c>
      <c r="C10295" s="905">
        <v>14</v>
      </c>
      <c r="D10295" s="891">
        <v>2.23</v>
      </c>
      <c r="E10295" s="2419" t="s">
        <v>8026</v>
      </c>
    </row>
    <row r="10296" spans="1:14">
      <c r="A10296" s="47" t="s">
        <v>2368</v>
      </c>
      <c r="B10296" s="260" t="s">
        <v>78</v>
      </c>
      <c r="C10296" s="905">
        <v>14</v>
      </c>
      <c r="D10296" s="891">
        <v>1.88</v>
      </c>
      <c r="E10296" s="2419" t="s">
        <v>8027</v>
      </c>
    </row>
    <row r="10297" spans="1:14">
      <c r="A10297" s="47" t="s">
        <v>1537</v>
      </c>
      <c r="B10297" s="260" t="s">
        <v>129</v>
      </c>
      <c r="C10297" s="905">
        <v>14</v>
      </c>
      <c r="D10297" s="891">
        <v>1.89</v>
      </c>
      <c r="E10297" s="2419" t="s">
        <v>8028</v>
      </c>
    </row>
    <row r="10300" spans="1:14">
      <c r="A10300" s="2382" t="s">
        <v>8047</v>
      </c>
    </row>
    <row r="10301" spans="1:14" s="1019" customFormat="1" ht="12.75">
      <c r="A10301" s="2421" t="s">
        <v>8036</v>
      </c>
      <c r="B10301" s="2421" t="s">
        <v>8037</v>
      </c>
      <c r="C10301" s="2421" t="s">
        <v>8038</v>
      </c>
      <c r="D10301" s="2421" t="s">
        <v>8039</v>
      </c>
      <c r="E10301" s="2421" t="s">
        <v>8040</v>
      </c>
      <c r="F10301" s="2421" t="s">
        <v>8041</v>
      </c>
      <c r="G10301" s="2422" t="s">
        <v>8048</v>
      </c>
      <c r="H10301" s="2422" t="s">
        <v>8083</v>
      </c>
      <c r="I10301" s="2422" t="s">
        <v>8042</v>
      </c>
      <c r="J10301" s="2422" t="s">
        <v>8043</v>
      </c>
      <c r="K10301" s="2422" t="s">
        <v>8044</v>
      </c>
      <c r="L10301" s="2422" t="s">
        <v>8045</v>
      </c>
      <c r="M10301" s="2422" t="s">
        <v>8046</v>
      </c>
      <c r="N10301" s="2420"/>
    </row>
    <row r="10302" spans="1:14" s="1019" customFormat="1" ht="76.5">
      <c r="A10302" s="1209" t="s">
        <v>8058</v>
      </c>
      <c r="B10302" s="908"/>
      <c r="C10302" s="908"/>
      <c r="D10302" s="2423"/>
      <c r="E10302" s="908" t="s">
        <v>8049</v>
      </c>
      <c r="F10302" s="1197" t="s">
        <v>8051</v>
      </c>
      <c r="G10302" s="2424" t="s">
        <v>8082</v>
      </c>
      <c r="H10302" s="2424" t="s">
        <v>8056</v>
      </c>
      <c r="I10302" s="2424" t="s">
        <v>8062</v>
      </c>
      <c r="J10302" s="2424" t="s">
        <v>8064</v>
      </c>
      <c r="K10302" s="2424" t="s">
        <v>8065</v>
      </c>
      <c r="L10302" s="2424" t="s">
        <v>8066</v>
      </c>
      <c r="M10302" s="2424" t="s">
        <v>8067</v>
      </c>
      <c r="N10302" s="2420"/>
    </row>
    <row r="10303" spans="1:14" s="1019" customFormat="1" ht="25.5">
      <c r="A10303" s="1209" t="s">
        <v>8078</v>
      </c>
      <c r="B10303" s="908"/>
      <c r="C10303" s="908"/>
      <c r="D10303" s="2423"/>
      <c r="E10303" s="908" t="s">
        <v>8049</v>
      </c>
      <c r="F10303" s="908" t="s">
        <v>8052</v>
      </c>
      <c r="G10303" s="2424" t="s">
        <v>8082</v>
      </c>
      <c r="H10303" s="2424" t="s">
        <v>8057</v>
      </c>
      <c r="I10303" s="2424" t="s">
        <v>8062</v>
      </c>
      <c r="J10303" s="2424" t="s">
        <v>8068</v>
      </c>
      <c r="K10303" s="2424" t="s">
        <v>8069</v>
      </c>
      <c r="L10303" s="2424" t="s">
        <v>8070</v>
      </c>
      <c r="M10303" s="2424" t="s">
        <v>8071</v>
      </c>
      <c r="N10303" s="2420"/>
    </row>
    <row r="10304" spans="1:14" s="1019" customFormat="1" ht="25.5">
      <c r="A10304" s="1209" t="s">
        <v>8079</v>
      </c>
      <c r="B10304" s="908"/>
      <c r="C10304" s="908"/>
      <c r="D10304" s="2423"/>
      <c r="E10304" s="908" t="s">
        <v>8081</v>
      </c>
      <c r="F10304" s="908" t="s">
        <v>8053</v>
      </c>
      <c r="G10304" s="2424" t="s">
        <v>8082</v>
      </c>
      <c r="H10304" s="2424" t="s">
        <v>8059</v>
      </c>
      <c r="I10304" s="2424" t="s">
        <v>8062</v>
      </c>
      <c r="J10304" s="2424" t="s">
        <v>8072</v>
      </c>
      <c r="K10304" s="2424" t="s">
        <v>8073</v>
      </c>
      <c r="L10304" s="2424" t="s">
        <v>8074</v>
      </c>
      <c r="M10304" s="2424" t="s">
        <v>8075</v>
      </c>
      <c r="N10304" s="2420"/>
    </row>
    <row r="10305" spans="1:14" s="1019" customFormat="1" ht="12.75">
      <c r="A10305" s="1209" t="s">
        <v>8080</v>
      </c>
      <c r="B10305" s="908"/>
      <c r="C10305" s="908"/>
      <c r="D10305" s="2423"/>
      <c r="E10305" s="908" t="s">
        <v>8050</v>
      </c>
      <c r="F10305" s="908" t="s">
        <v>8054</v>
      </c>
      <c r="G10305" s="2424" t="s">
        <v>8082</v>
      </c>
      <c r="H10305" s="2424" t="s">
        <v>8060</v>
      </c>
      <c r="I10305" s="2424" t="s">
        <v>8062</v>
      </c>
      <c r="J10305" s="2424" t="s">
        <v>8076</v>
      </c>
      <c r="K10305" s="2424" t="s">
        <v>8077</v>
      </c>
      <c r="L10305" s="2424" t="s">
        <v>8070</v>
      </c>
      <c r="M10305" s="2424" t="s">
        <v>8071</v>
      </c>
      <c r="N10305" s="2420"/>
    </row>
    <row r="10306" spans="1:14" s="1019" customFormat="1" ht="12.75">
      <c r="A10306" s="1209" t="s">
        <v>8080</v>
      </c>
      <c r="B10306" s="908"/>
      <c r="C10306" s="908"/>
      <c r="D10306" s="2423"/>
      <c r="E10306" s="908" t="s">
        <v>8050</v>
      </c>
      <c r="F10306" s="908" t="s">
        <v>8055</v>
      </c>
      <c r="G10306" s="2424" t="s">
        <v>8082</v>
      </c>
      <c r="H10306" s="2424" t="s">
        <v>8061</v>
      </c>
      <c r="I10306" s="2424" t="s">
        <v>8062</v>
      </c>
      <c r="J10306" s="2424" t="s">
        <v>8076</v>
      </c>
      <c r="K10306" s="2424" t="s">
        <v>8077</v>
      </c>
      <c r="L10306" s="2424" t="s">
        <v>8070</v>
      </c>
      <c r="M10306" s="2424" t="s">
        <v>8071</v>
      </c>
      <c r="N10306" s="2420"/>
    </row>
    <row r="10309" spans="1:14">
      <c r="A10309" s="2425" t="s">
        <v>8095</v>
      </c>
    </row>
    <row r="10310" spans="1:14" s="2225" customFormat="1" ht="23.25" customHeight="1">
      <c r="A10310" s="2911" t="s">
        <v>6833</v>
      </c>
      <c r="B10310" s="2975" t="s">
        <v>6834</v>
      </c>
      <c r="C10310" s="2976" t="s">
        <v>8358</v>
      </c>
      <c r="D10310" s="2977"/>
      <c r="E10310" s="2977"/>
      <c r="F10310" s="2977"/>
      <c r="G10310" s="2977"/>
      <c r="H10310" s="2911" t="s">
        <v>6836</v>
      </c>
      <c r="I10310" s="2911" t="s">
        <v>6837</v>
      </c>
      <c r="J10310" s="2911" t="s">
        <v>6838</v>
      </c>
      <c r="K10310" s="2911" t="s">
        <v>6839</v>
      </c>
    </row>
    <row r="10311" spans="1:14" s="2225" customFormat="1" ht="12" customHeight="1">
      <c r="A10311" s="2911"/>
      <c r="B10311" s="2975"/>
      <c r="C10311" s="2426" t="s">
        <v>8086</v>
      </c>
      <c r="D10311" s="2426" t="s">
        <v>8087</v>
      </c>
      <c r="E10311" s="2426" t="s">
        <v>8088</v>
      </c>
      <c r="F10311" s="2426" t="s">
        <v>8089</v>
      </c>
      <c r="G10311" s="2426" t="s">
        <v>8090</v>
      </c>
      <c r="H10311" s="2911"/>
      <c r="I10311" s="2911"/>
      <c r="J10311" s="2911"/>
      <c r="K10311" s="2911"/>
    </row>
    <row r="10312" spans="1:14" s="2225" customFormat="1" ht="16.5" customHeight="1">
      <c r="A10312" s="2466" t="s">
        <v>8359</v>
      </c>
      <c r="B10312" s="2222" t="s">
        <v>8091</v>
      </c>
      <c r="C10312" s="2223">
        <v>4.88</v>
      </c>
      <c r="D10312" s="2223">
        <v>4.4000000000000004</v>
      </c>
      <c r="E10312" s="2223">
        <v>4.0599999999999996</v>
      </c>
      <c r="F10312" s="2223">
        <v>3.94</v>
      </c>
      <c r="G10312" s="2223">
        <v>3.87</v>
      </c>
      <c r="H10312" s="2226">
        <v>5148</v>
      </c>
      <c r="I10312" s="2226">
        <v>468</v>
      </c>
      <c r="J10312" s="2224">
        <v>6.1</v>
      </c>
      <c r="K10312" s="2222" t="s">
        <v>8092</v>
      </c>
    </row>
    <row r="10313" spans="1:14" s="2225" customFormat="1" ht="16.5" customHeight="1">
      <c r="A10313" s="2222" t="s">
        <v>8093</v>
      </c>
      <c r="B10313" s="2222" t="s">
        <v>8094</v>
      </c>
      <c r="C10313" s="2223">
        <v>46.09</v>
      </c>
      <c r="D10313" s="2223">
        <v>45.18</v>
      </c>
      <c r="E10313" s="2223">
        <v>41.57</v>
      </c>
      <c r="F10313" s="2223">
        <v>39.76</v>
      </c>
      <c r="G10313" s="2223">
        <v>39.76</v>
      </c>
      <c r="H10313" s="2224">
        <v>301.60000000000002</v>
      </c>
      <c r="I10313" s="2224">
        <v>31.2</v>
      </c>
      <c r="J10313" s="2224">
        <v>119.3</v>
      </c>
      <c r="K10313" s="2222" t="s">
        <v>6843</v>
      </c>
    </row>
    <row r="10315" spans="1:14">
      <c r="A10315" s="1064" t="s">
        <v>8096</v>
      </c>
    </row>
    <row r="10316" spans="1:14" ht="25.5">
      <c r="A10316" s="1996" t="s">
        <v>5583</v>
      </c>
      <c r="B10316" s="1997" t="s">
        <v>980</v>
      </c>
      <c r="C10316" s="1997" t="s">
        <v>1323</v>
      </c>
      <c r="D10316" s="1998" t="s">
        <v>6978</v>
      </c>
      <c r="E10316" s="1998" t="s">
        <v>7768</v>
      </c>
      <c r="F10316" s="939" t="s">
        <v>6979</v>
      </c>
      <c r="G10316" s="939" t="s">
        <v>6080</v>
      </c>
      <c r="H10316" s="940" t="s">
        <v>6081</v>
      </c>
    </row>
    <row r="10317" spans="1:14">
      <c r="A10317" s="47" t="s">
        <v>8097</v>
      </c>
      <c r="B10317" s="47" t="s">
        <v>1519</v>
      </c>
      <c r="C10317" s="1061">
        <f>ROUNDUP(F10317/0.6/120,2)</f>
        <v>1.81</v>
      </c>
      <c r="D10317" s="1245" t="s">
        <v>2346</v>
      </c>
      <c r="E10317" s="1245" t="s">
        <v>8101</v>
      </c>
      <c r="F10317" s="2000">
        <v>130</v>
      </c>
      <c r="G10317" s="2317">
        <f>(C10317-(F10317/H10317))/C10317</f>
        <v>0.4014732965009209</v>
      </c>
      <c r="H10317" s="2000">
        <v>120</v>
      </c>
      <c r="I10317" s="389"/>
    </row>
    <row r="10318" spans="1:14">
      <c r="A10318" s="47" t="s">
        <v>8098</v>
      </c>
      <c r="B10318" s="47" t="s">
        <v>6582</v>
      </c>
      <c r="C10318" s="1061">
        <f>ROUNDUP(F10318/0.6/120,2)</f>
        <v>2.78</v>
      </c>
      <c r="D10318" s="2260" t="s">
        <v>7551</v>
      </c>
      <c r="E10318" s="2260" t="s">
        <v>7769</v>
      </c>
      <c r="F10318" s="47">
        <f>130+70</f>
        <v>200</v>
      </c>
      <c r="G10318" s="2317">
        <f>(C10318-(F10318/H10318))/C10318</f>
        <v>0.40047961630695439</v>
      </c>
      <c r="H10318" s="2000">
        <v>120</v>
      </c>
      <c r="I10318" s="1957" t="s">
        <v>7552</v>
      </c>
    </row>
    <row r="10319" spans="1:14">
      <c r="A10319" s="47" t="s">
        <v>8099</v>
      </c>
      <c r="B10319" s="47" t="s">
        <v>1519</v>
      </c>
      <c r="C10319" s="1061">
        <f>ROUNDUP(F10319/0.6/120,2)</f>
        <v>2.71</v>
      </c>
      <c r="D10319" s="1245" t="s">
        <v>2346</v>
      </c>
      <c r="E10319" s="1245" t="s">
        <v>8101</v>
      </c>
      <c r="F10319" s="2000">
        <v>195</v>
      </c>
      <c r="G10319" s="2317">
        <f>(C10319-(F10319/H10319))/C10319</f>
        <v>0.40036900369003692</v>
      </c>
      <c r="H10319" s="2000">
        <v>120</v>
      </c>
      <c r="I10319" s="389"/>
    </row>
    <row r="10320" spans="1:14">
      <c r="A10320" s="47" t="s">
        <v>8100</v>
      </c>
      <c r="B10320" s="47" t="s">
        <v>6582</v>
      </c>
      <c r="C10320" s="1061">
        <f>ROUNDUP(F10320/0.6/120,2)</f>
        <v>3.69</v>
      </c>
      <c r="D10320" s="2260" t="s">
        <v>7551</v>
      </c>
      <c r="E10320" s="2260" t="s">
        <v>7769</v>
      </c>
      <c r="F10320" s="47">
        <f>195+70</f>
        <v>265</v>
      </c>
      <c r="G10320" s="2317">
        <f>(C10320-(F10320/H10320))/C10320</f>
        <v>0.40153568202348683</v>
      </c>
      <c r="H10320" s="2000">
        <v>120</v>
      </c>
      <c r="I10320" s="1957" t="s">
        <v>7552</v>
      </c>
    </row>
    <row r="10322" spans="1:6">
      <c r="A10322" s="1064" t="s">
        <v>8103</v>
      </c>
    </row>
    <row r="10323" spans="1:6" ht="25.5">
      <c r="A10323" s="1996" t="s">
        <v>5583</v>
      </c>
      <c r="B10323" s="1997" t="s">
        <v>980</v>
      </c>
      <c r="C10323" s="1997" t="s">
        <v>1323</v>
      </c>
      <c r="D10323" s="1998" t="s">
        <v>6978</v>
      </c>
      <c r="E10323" s="2045" t="s">
        <v>6979</v>
      </c>
    </row>
    <row r="10324" spans="1:6">
      <c r="A10324" s="47" t="s">
        <v>8104</v>
      </c>
      <c r="B10324" s="47" t="s">
        <v>6983</v>
      </c>
      <c r="C10324" s="2427">
        <v>100</v>
      </c>
      <c r="D10324" s="2260" t="s">
        <v>2346</v>
      </c>
      <c r="E10324" s="1999">
        <v>80</v>
      </c>
    </row>
    <row r="10325" spans="1:6">
      <c r="A10325" s="47" t="s">
        <v>8105</v>
      </c>
      <c r="B10325" s="47" t="s">
        <v>6986</v>
      </c>
      <c r="C10325" s="2427">
        <v>150</v>
      </c>
      <c r="D10325" s="2260" t="s">
        <v>8106</v>
      </c>
      <c r="E10325" s="1999">
        <f>80+40</f>
        <v>120</v>
      </c>
      <c r="F10325" t="s">
        <v>6980</v>
      </c>
    </row>
    <row r="10327" spans="1:6" ht="25.5">
      <c r="A10327" s="1996" t="s">
        <v>5583</v>
      </c>
      <c r="B10327" s="1997" t="s">
        <v>980</v>
      </c>
      <c r="C10327" s="1997" t="s">
        <v>1323</v>
      </c>
      <c r="D10327" s="1998" t="s">
        <v>6978</v>
      </c>
      <c r="E10327" s="2045" t="s">
        <v>6979</v>
      </c>
    </row>
    <row r="10328" spans="1:6">
      <c r="A10328" s="47" t="s">
        <v>8105</v>
      </c>
      <c r="B10328" s="47" t="s">
        <v>6986</v>
      </c>
      <c r="C10328" s="2427">
        <v>150</v>
      </c>
      <c r="D10328" s="2260" t="s">
        <v>8106</v>
      </c>
      <c r="E10328" s="1999">
        <f>80+40</f>
        <v>120</v>
      </c>
      <c r="F10328" t="s">
        <v>6980</v>
      </c>
    </row>
    <row r="10333" spans="1:6">
      <c r="A10333" s="902" t="s">
        <v>106</v>
      </c>
      <c r="B10333" s="902" t="s">
        <v>53</v>
      </c>
      <c r="C10333" s="887" t="s">
        <v>1653</v>
      </c>
      <c r="D10333" s="953" t="s">
        <v>2467</v>
      </c>
      <c r="E10333" s="39"/>
    </row>
    <row r="10334" spans="1:6">
      <c r="A10334" s="47" t="s">
        <v>8108</v>
      </c>
      <c r="B10334" s="47" t="s">
        <v>78</v>
      </c>
      <c r="C10334" s="905">
        <v>20</v>
      </c>
      <c r="D10334" s="891">
        <v>0.91</v>
      </c>
      <c r="E10334" s="891">
        <f>D10334*C10334</f>
        <v>18.2</v>
      </c>
    </row>
    <row r="10335" spans="1:6">
      <c r="A10335" s="47"/>
      <c r="B10335" s="260" t="s">
        <v>1993</v>
      </c>
      <c r="C10335" s="894">
        <v>1</v>
      </c>
      <c r="D10335" s="891">
        <v>12</v>
      </c>
      <c r="E10335" s="891">
        <f>D10335*C10335</f>
        <v>12</v>
      </c>
    </row>
    <row r="10337" spans="1:118" s="1163" customFormat="1" ht="25.5">
      <c r="A10337" s="1166" t="s">
        <v>1369</v>
      </c>
      <c r="B10337" s="1184" t="s">
        <v>377</v>
      </c>
      <c r="C10337" s="1167" t="s">
        <v>2</v>
      </c>
      <c r="D10337" s="1168" t="s">
        <v>1734</v>
      </c>
      <c r="E10337" s="1169" t="s">
        <v>5527</v>
      </c>
      <c r="F10337" s="939" t="s">
        <v>6979</v>
      </c>
      <c r="G10337" s="939" t="s">
        <v>6080</v>
      </c>
      <c r="H10337" s="940" t="s">
        <v>6081</v>
      </c>
    </row>
    <row r="10338" spans="1:118" s="59" customFormat="1" ht="15" customHeight="1">
      <c r="A10338" s="1170" t="s">
        <v>2356</v>
      </c>
      <c r="B10338" s="1187">
        <v>3</v>
      </c>
      <c r="C10338" s="1171">
        <v>40</v>
      </c>
      <c r="D10338" s="1172" t="s">
        <v>1812</v>
      </c>
      <c r="E10338" s="1174">
        <v>1.29</v>
      </c>
      <c r="F10338" s="2428">
        <v>76.174999999999997</v>
      </c>
      <c r="G10338" s="2317">
        <f t="shared" ref="G10338:G10345" si="114">(E10338-(F10338/H10338))/E10338</f>
        <v>0.50791343669250644</v>
      </c>
      <c r="H10338" s="2000">
        <v>120</v>
      </c>
      <c r="I10338" s="1963"/>
      <c r="J10338" s="1963"/>
      <c r="K10338" s="1963"/>
      <c r="L10338" s="1963"/>
      <c r="M10338" s="1963"/>
      <c r="N10338" s="1963"/>
      <c r="O10338" s="1963"/>
      <c r="P10338" s="1963"/>
      <c r="Q10338" s="1963"/>
      <c r="R10338" s="1963"/>
      <c r="S10338" s="1963"/>
      <c r="T10338" s="1963"/>
      <c r="U10338" s="1963"/>
      <c r="V10338" s="1963"/>
      <c r="W10338" s="1963"/>
      <c r="X10338" s="1963"/>
      <c r="Y10338" s="1963"/>
      <c r="Z10338" s="1963"/>
      <c r="AA10338" s="1963"/>
      <c r="AB10338" s="1963"/>
      <c r="AC10338" s="1963"/>
      <c r="AD10338" s="1963"/>
      <c r="AE10338" s="1963"/>
      <c r="AF10338" s="1963"/>
      <c r="AG10338" s="1963"/>
      <c r="AH10338" s="1963"/>
      <c r="AI10338" s="1963"/>
      <c r="AJ10338" s="1963"/>
      <c r="AK10338" s="1963"/>
      <c r="AL10338" s="1963"/>
      <c r="AM10338" s="1963"/>
      <c r="AN10338" s="1963"/>
      <c r="AO10338" s="1963"/>
      <c r="AP10338" s="1963"/>
      <c r="AQ10338" s="1963"/>
      <c r="AR10338" s="1963"/>
      <c r="AS10338" s="1963"/>
      <c r="AT10338" s="1963"/>
      <c r="AU10338" s="1963"/>
      <c r="AV10338" s="1963"/>
      <c r="AW10338" s="1963"/>
      <c r="AX10338" s="1963"/>
      <c r="AY10338" s="1963"/>
      <c r="AZ10338" s="1963"/>
      <c r="BA10338" s="1963"/>
      <c r="BB10338" s="1963"/>
      <c r="BC10338" s="1963"/>
      <c r="BD10338" s="1963"/>
      <c r="BE10338" s="1963"/>
      <c r="BF10338" s="1963"/>
      <c r="BG10338" s="1963"/>
      <c r="BH10338" s="1963"/>
      <c r="BI10338" s="1963"/>
      <c r="BJ10338" s="1963"/>
      <c r="BK10338" s="1963"/>
      <c r="BL10338" s="1963"/>
      <c r="BM10338" s="1963"/>
      <c r="BN10338" s="1963"/>
      <c r="BO10338" s="1963"/>
      <c r="BP10338" s="1963"/>
      <c r="BQ10338" s="1963"/>
      <c r="BR10338" s="1963"/>
      <c r="BS10338" s="1963"/>
      <c r="BT10338" s="1963"/>
      <c r="BU10338" s="1963"/>
      <c r="BV10338" s="1963"/>
      <c r="BW10338" s="1963"/>
      <c r="BX10338" s="1963"/>
      <c r="BY10338" s="1963"/>
      <c r="BZ10338" s="1963"/>
      <c r="CA10338" s="1963"/>
      <c r="CB10338" s="1963"/>
      <c r="CC10338" s="1963"/>
      <c r="CD10338" s="1963"/>
      <c r="CE10338" s="1963"/>
      <c r="CF10338" s="1963"/>
      <c r="CG10338" s="1963"/>
      <c r="CH10338" s="1963"/>
      <c r="CI10338" s="1963"/>
      <c r="CJ10338" s="1963"/>
      <c r="CK10338" s="1963"/>
      <c r="CL10338" s="1963"/>
      <c r="CM10338" s="1963"/>
      <c r="CN10338" s="1963"/>
      <c r="CO10338" s="1963"/>
      <c r="CP10338" s="1963"/>
      <c r="CQ10338" s="1963"/>
      <c r="CR10338" s="1963"/>
      <c r="CS10338" s="1963"/>
      <c r="CT10338" s="1963"/>
      <c r="CU10338" s="1963"/>
      <c r="CV10338" s="1963"/>
      <c r="CW10338" s="1963"/>
      <c r="CX10338" s="1963"/>
      <c r="CY10338" s="1963"/>
      <c r="CZ10338" s="1963"/>
      <c r="DA10338" s="1963"/>
      <c r="DB10338" s="1963"/>
      <c r="DC10338" s="1963"/>
      <c r="DD10338" s="1963"/>
      <c r="DE10338" s="1963"/>
      <c r="DF10338" s="1963"/>
      <c r="DG10338" s="1963"/>
      <c r="DH10338" s="1963"/>
      <c r="DI10338" s="1963"/>
      <c r="DJ10338" s="1963"/>
      <c r="DK10338" s="1963"/>
      <c r="DL10338" s="1963"/>
      <c r="DM10338" s="1963"/>
      <c r="DN10338" s="1963"/>
    </row>
    <row r="10339" spans="1:118" s="59" customFormat="1" ht="15" customHeight="1">
      <c r="A10339" s="1170" t="s">
        <v>2356</v>
      </c>
      <c r="B10339" s="1187">
        <v>6</v>
      </c>
      <c r="C10339" s="1171">
        <v>10</v>
      </c>
      <c r="D10339" s="1172" t="s">
        <v>1812</v>
      </c>
      <c r="E10339" s="1174">
        <v>1.35</v>
      </c>
      <c r="F10339" s="734">
        <v>79.900000000000006</v>
      </c>
      <c r="G10339" s="2317">
        <f t="shared" si="114"/>
        <v>0.50679012345679009</v>
      </c>
      <c r="H10339" s="2000">
        <v>120</v>
      </c>
      <c r="I10339" s="1963"/>
      <c r="J10339" s="1963"/>
      <c r="K10339" s="1963"/>
      <c r="L10339" s="1963"/>
      <c r="M10339" s="1963"/>
      <c r="N10339" s="1963"/>
      <c r="O10339" s="1963"/>
      <c r="P10339" s="1963"/>
      <c r="Q10339" s="1963"/>
      <c r="R10339" s="1963"/>
      <c r="S10339" s="1963"/>
      <c r="T10339" s="1963"/>
      <c r="U10339" s="1963"/>
      <c r="V10339" s="1963"/>
      <c r="W10339" s="1963"/>
      <c r="X10339" s="1963"/>
      <c r="Y10339" s="1963"/>
      <c r="Z10339" s="1963"/>
      <c r="AA10339" s="1963"/>
      <c r="AB10339" s="1963"/>
      <c r="AC10339" s="1963"/>
      <c r="AD10339" s="1963"/>
      <c r="AE10339" s="1963"/>
      <c r="AF10339" s="1963"/>
      <c r="AG10339" s="1963"/>
      <c r="AH10339" s="1963"/>
      <c r="AI10339" s="1963"/>
      <c r="AJ10339" s="1963"/>
      <c r="AK10339" s="1963"/>
      <c r="AL10339" s="1963"/>
      <c r="AM10339" s="1963"/>
      <c r="AN10339" s="1963"/>
      <c r="AO10339" s="1963"/>
      <c r="AP10339" s="1963"/>
      <c r="AQ10339" s="1963"/>
      <c r="AR10339" s="1963"/>
      <c r="AS10339" s="1963"/>
      <c r="AT10339" s="1963"/>
      <c r="AU10339" s="1963"/>
      <c r="AV10339" s="1963"/>
      <c r="AW10339" s="1963"/>
      <c r="AX10339" s="1963"/>
      <c r="AY10339" s="1963"/>
      <c r="AZ10339" s="1963"/>
      <c r="BA10339" s="1963"/>
      <c r="BB10339" s="1963"/>
      <c r="BC10339" s="1963"/>
      <c r="BD10339" s="1963"/>
      <c r="BE10339" s="1963"/>
      <c r="BF10339" s="1963"/>
      <c r="BG10339" s="1963"/>
      <c r="BH10339" s="1963"/>
      <c r="BI10339" s="1963"/>
      <c r="BJ10339" s="1963"/>
      <c r="BK10339" s="1963"/>
      <c r="BL10339" s="1963"/>
      <c r="BM10339" s="1963"/>
      <c r="BN10339" s="1963"/>
      <c r="BO10339" s="1963"/>
      <c r="BP10339" s="1963"/>
      <c r="BQ10339" s="1963"/>
      <c r="BR10339" s="1963"/>
      <c r="BS10339" s="1963"/>
      <c r="BT10339" s="1963"/>
      <c r="BU10339" s="1963"/>
      <c r="BV10339" s="1963"/>
      <c r="BW10339" s="1963"/>
      <c r="BX10339" s="1963"/>
      <c r="BY10339" s="1963"/>
      <c r="BZ10339" s="1963"/>
      <c r="CA10339" s="1963"/>
      <c r="CB10339" s="1963"/>
      <c r="CC10339" s="1963"/>
      <c r="CD10339" s="1963"/>
      <c r="CE10339" s="1963"/>
      <c r="CF10339" s="1963"/>
      <c r="CG10339" s="1963"/>
      <c r="CH10339" s="1963"/>
      <c r="CI10339" s="1963"/>
      <c r="CJ10339" s="1963"/>
      <c r="CK10339" s="1963"/>
      <c r="CL10339" s="1963"/>
      <c r="CM10339" s="1963"/>
      <c r="CN10339" s="1963"/>
      <c r="CO10339" s="1963"/>
      <c r="CP10339" s="1963"/>
      <c r="CQ10339" s="1963"/>
      <c r="CR10339" s="1963"/>
      <c r="CS10339" s="1963"/>
      <c r="CT10339" s="1963"/>
      <c r="CU10339" s="1963"/>
      <c r="CV10339" s="1963"/>
      <c r="CW10339" s="1963"/>
      <c r="CX10339" s="1963"/>
      <c r="CY10339" s="1963"/>
      <c r="CZ10339" s="1963"/>
      <c r="DA10339" s="1963"/>
      <c r="DB10339" s="1963"/>
      <c r="DC10339" s="1963"/>
      <c r="DD10339" s="1963"/>
      <c r="DE10339" s="1963"/>
      <c r="DF10339" s="1963"/>
      <c r="DG10339" s="1963"/>
      <c r="DH10339" s="1963"/>
      <c r="DI10339" s="1963"/>
      <c r="DJ10339" s="1963"/>
      <c r="DK10339" s="1963"/>
      <c r="DL10339" s="1963"/>
      <c r="DM10339" s="1963"/>
      <c r="DN10339" s="1963"/>
    </row>
    <row r="10340" spans="1:118" s="59" customFormat="1" ht="15" customHeight="1">
      <c r="A10340" s="1170" t="s">
        <v>2356</v>
      </c>
      <c r="B10340" s="1187">
        <v>9</v>
      </c>
      <c r="C10340" s="1171">
        <v>10</v>
      </c>
      <c r="D10340" s="1172" t="s">
        <v>1812</v>
      </c>
      <c r="E10340" s="1174">
        <v>1.49</v>
      </c>
      <c r="F10340" s="734">
        <v>88.3</v>
      </c>
      <c r="G10340" s="2317">
        <f t="shared" si="114"/>
        <v>0.50615212527964204</v>
      </c>
      <c r="H10340" s="2000">
        <v>120</v>
      </c>
      <c r="I10340" s="1963"/>
      <c r="J10340" s="1963"/>
      <c r="K10340" s="1963"/>
      <c r="L10340" s="1963"/>
      <c r="M10340" s="1963"/>
      <c r="N10340" s="1963"/>
      <c r="O10340" s="1963"/>
      <c r="P10340" s="1963"/>
      <c r="Q10340" s="1963"/>
      <c r="R10340" s="1963"/>
      <c r="S10340" s="1963"/>
      <c r="T10340" s="1963"/>
      <c r="U10340" s="1963"/>
      <c r="V10340" s="1963"/>
      <c r="W10340" s="1963"/>
      <c r="X10340" s="1963"/>
      <c r="Y10340" s="1963"/>
      <c r="Z10340" s="1963"/>
      <c r="AA10340" s="1963"/>
      <c r="AB10340" s="1963"/>
      <c r="AC10340" s="1963"/>
      <c r="AD10340" s="1963"/>
      <c r="AE10340" s="1963"/>
      <c r="AF10340" s="1963"/>
      <c r="AG10340" s="1963"/>
      <c r="AH10340" s="1963"/>
      <c r="AI10340" s="1963"/>
      <c r="AJ10340" s="1963"/>
      <c r="AK10340" s="1963"/>
      <c r="AL10340" s="1963"/>
      <c r="AM10340" s="1963"/>
      <c r="AN10340" s="1963"/>
      <c r="AO10340" s="1963"/>
      <c r="AP10340" s="1963"/>
      <c r="AQ10340" s="1963"/>
      <c r="AR10340" s="1963"/>
      <c r="AS10340" s="1963"/>
      <c r="AT10340" s="1963"/>
      <c r="AU10340" s="1963"/>
      <c r="AV10340" s="1963"/>
      <c r="AW10340" s="1963"/>
      <c r="AX10340" s="1963"/>
      <c r="AY10340" s="1963"/>
      <c r="AZ10340" s="1963"/>
      <c r="BA10340" s="1963"/>
      <c r="BB10340" s="1963"/>
      <c r="BC10340" s="1963"/>
      <c r="BD10340" s="1963"/>
      <c r="BE10340" s="1963"/>
      <c r="BF10340" s="1963"/>
      <c r="BG10340" s="1963"/>
      <c r="BH10340" s="1963"/>
      <c r="BI10340" s="1963"/>
      <c r="BJ10340" s="1963"/>
      <c r="BK10340" s="1963"/>
      <c r="BL10340" s="1963"/>
      <c r="BM10340" s="1963"/>
      <c r="BN10340" s="1963"/>
      <c r="BO10340" s="1963"/>
      <c r="BP10340" s="1963"/>
      <c r="BQ10340" s="1963"/>
      <c r="BR10340" s="1963"/>
      <c r="BS10340" s="1963"/>
      <c r="BT10340" s="1963"/>
      <c r="BU10340" s="1963"/>
      <c r="BV10340" s="1963"/>
      <c r="BW10340" s="1963"/>
      <c r="BX10340" s="1963"/>
      <c r="BY10340" s="1963"/>
      <c r="BZ10340" s="1963"/>
      <c r="CA10340" s="1963"/>
      <c r="CB10340" s="1963"/>
      <c r="CC10340" s="1963"/>
      <c r="CD10340" s="1963"/>
      <c r="CE10340" s="1963"/>
      <c r="CF10340" s="1963"/>
      <c r="CG10340" s="1963"/>
      <c r="CH10340" s="1963"/>
      <c r="CI10340" s="1963"/>
      <c r="CJ10340" s="1963"/>
      <c r="CK10340" s="1963"/>
      <c r="CL10340" s="1963"/>
      <c r="CM10340" s="1963"/>
      <c r="CN10340" s="1963"/>
      <c r="CO10340" s="1963"/>
      <c r="CP10340" s="1963"/>
      <c r="CQ10340" s="1963"/>
      <c r="CR10340" s="1963"/>
      <c r="CS10340" s="1963"/>
      <c r="CT10340" s="1963"/>
      <c r="CU10340" s="1963"/>
      <c r="CV10340" s="1963"/>
      <c r="CW10340" s="1963"/>
      <c r="CX10340" s="1963"/>
      <c r="CY10340" s="1963"/>
      <c r="CZ10340" s="1963"/>
      <c r="DA10340" s="1963"/>
      <c r="DB10340" s="1963"/>
      <c r="DC10340" s="1963"/>
      <c r="DD10340" s="1963"/>
      <c r="DE10340" s="1963"/>
      <c r="DF10340" s="1963"/>
      <c r="DG10340" s="1963"/>
      <c r="DH10340" s="1963"/>
      <c r="DI10340" s="1963"/>
      <c r="DJ10340" s="1963"/>
      <c r="DK10340" s="1963"/>
      <c r="DL10340" s="1963"/>
      <c r="DM10340" s="1963"/>
      <c r="DN10340" s="1963"/>
    </row>
    <row r="10341" spans="1:118" s="59" customFormat="1" ht="15" customHeight="1">
      <c r="A10341" s="1170" t="s">
        <v>2356</v>
      </c>
      <c r="B10341" s="1187">
        <v>12</v>
      </c>
      <c r="C10341" s="1171">
        <v>10</v>
      </c>
      <c r="D10341" s="1172" t="s">
        <v>1812</v>
      </c>
      <c r="E10341" s="1174">
        <v>1.61</v>
      </c>
      <c r="F10341" s="734">
        <v>95.5</v>
      </c>
      <c r="G10341" s="2317">
        <f t="shared" si="114"/>
        <v>0.50569358178053836</v>
      </c>
      <c r="H10341" s="2000">
        <v>120</v>
      </c>
      <c r="I10341" s="1963"/>
      <c r="J10341" s="1963"/>
      <c r="K10341" s="1963"/>
      <c r="L10341" s="1963"/>
      <c r="M10341" s="1963"/>
      <c r="N10341" s="1963"/>
      <c r="O10341" s="1963"/>
      <c r="P10341" s="1963"/>
      <c r="Q10341" s="1963"/>
      <c r="R10341" s="1963"/>
      <c r="S10341" s="1963"/>
      <c r="T10341" s="1963"/>
      <c r="U10341" s="1963"/>
      <c r="V10341" s="1963"/>
      <c r="W10341" s="1963"/>
      <c r="X10341" s="1963"/>
      <c r="Y10341" s="1963"/>
      <c r="Z10341" s="1963"/>
      <c r="AA10341" s="1963"/>
      <c r="AB10341" s="1963"/>
      <c r="AC10341" s="1963"/>
      <c r="AD10341" s="1963"/>
      <c r="AE10341" s="1963"/>
      <c r="AF10341" s="1963"/>
      <c r="AG10341" s="1963"/>
      <c r="AH10341" s="1963"/>
      <c r="AI10341" s="1963"/>
      <c r="AJ10341" s="1963"/>
      <c r="AK10341" s="1963"/>
      <c r="AL10341" s="1963"/>
      <c r="AM10341" s="1963"/>
      <c r="AN10341" s="1963"/>
      <c r="AO10341" s="1963"/>
      <c r="AP10341" s="1963"/>
      <c r="AQ10341" s="1963"/>
      <c r="AR10341" s="1963"/>
      <c r="AS10341" s="1963"/>
      <c r="AT10341" s="1963"/>
      <c r="AU10341" s="1963"/>
      <c r="AV10341" s="1963"/>
      <c r="AW10341" s="1963"/>
      <c r="AX10341" s="1963"/>
      <c r="AY10341" s="1963"/>
      <c r="AZ10341" s="1963"/>
      <c r="BA10341" s="1963"/>
      <c r="BB10341" s="1963"/>
      <c r="BC10341" s="1963"/>
      <c r="BD10341" s="1963"/>
      <c r="BE10341" s="1963"/>
      <c r="BF10341" s="1963"/>
      <c r="BG10341" s="1963"/>
      <c r="BH10341" s="1963"/>
      <c r="BI10341" s="1963"/>
      <c r="BJ10341" s="1963"/>
      <c r="BK10341" s="1963"/>
      <c r="BL10341" s="1963"/>
      <c r="BM10341" s="1963"/>
      <c r="BN10341" s="1963"/>
      <c r="BO10341" s="1963"/>
      <c r="BP10341" s="1963"/>
      <c r="BQ10341" s="1963"/>
      <c r="BR10341" s="1963"/>
      <c r="BS10341" s="1963"/>
      <c r="BT10341" s="1963"/>
      <c r="BU10341" s="1963"/>
      <c r="BV10341" s="1963"/>
      <c r="BW10341" s="1963"/>
      <c r="BX10341" s="1963"/>
      <c r="BY10341" s="1963"/>
      <c r="BZ10341" s="1963"/>
      <c r="CA10341" s="1963"/>
      <c r="CB10341" s="1963"/>
      <c r="CC10341" s="1963"/>
      <c r="CD10341" s="1963"/>
      <c r="CE10341" s="1963"/>
      <c r="CF10341" s="1963"/>
      <c r="CG10341" s="1963"/>
      <c r="CH10341" s="1963"/>
      <c r="CI10341" s="1963"/>
      <c r="CJ10341" s="1963"/>
      <c r="CK10341" s="1963"/>
      <c r="CL10341" s="1963"/>
      <c r="CM10341" s="1963"/>
      <c r="CN10341" s="1963"/>
      <c r="CO10341" s="1963"/>
      <c r="CP10341" s="1963"/>
      <c r="CQ10341" s="1963"/>
      <c r="CR10341" s="1963"/>
      <c r="CS10341" s="1963"/>
      <c r="CT10341" s="1963"/>
      <c r="CU10341" s="1963"/>
      <c r="CV10341" s="1963"/>
      <c r="CW10341" s="1963"/>
      <c r="CX10341" s="1963"/>
      <c r="CY10341" s="1963"/>
      <c r="CZ10341" s="1963"/>
      <c r="DA10341" s="1963"/>
      <c r="DB10341" s="1963"/>
      <c r="DC10341" s="1963"/>
      <c r="DD10341" s="1963"/>
      <c r="DE10341" s="1963"/>
      <c r="DF10341" s="1963"/>
      <c r="DG10341" s="1963"/>
      <c r="DH10341" s="1963"/>
      <c r="DI10341" s="1963"/>
      <c r="DJ10341" s="1963"/>
      <c r="DK10341" s="1963"/>
      <c r="DL10341" s="1963"/>
      <c r="DM10341" s="1963"/>
      <c r="DN10341" s="1963"/>
    </row>
    <row r="10342" spans="1:118" s="59" customFormat="1" ht="15" customHeight="1">
      <c r="A10342" s="1170" t="s">
        <v>2356</v>
      </c>
      <c r="B10342" s="1187">
        <v>18</v>
      </c>
      <c r="C10342" s="1171">
        <v>10</v>
      </c>
      <c r="D10342" s="1172" t="s">
        <v>1812</v>
      </c>
      <c r="E10342" s="1174">
        <v>2.09</v>
      </c>
      <c r="F10342" s="734">
        <v>123.6</v>
      </c>
      <c r="G10342" s="2317">
        <f t="shared" si="114"/>
        <v>0.50717703349282295</v>
      </c>
      <c r="H10342" s="2000">
        <v>120</v>
      </c>
      <c r="I10342" s="1963"/>
      <c r="J10342" s="1963"/>
      <c r="K10342" s="1963"/>
      <c r="L10342" s="1963"/>
      <c r="M10342" s="1963"/>
      <c r="N10342" s="1963"/>
      <c r="O10342" s="1963"/>
      <c r="P10342" s="1963"/>
      <c r="Q10342" s="1963"/>
      <c r="R10342" s="1963"/>
      <c r="S10342" s="1963"/>
      <c r="T10342" s="1963"/>
      <c r="U10342" s="1963"/>
      <c r="V10342" s="1963"/>
      <c r="W10342" s="1963"/>
      <c r="X10342" s="1963"/>
      <c r="Y10342" s="1963"/>
      <c r="Z10342" s="1963"/>
      <c r="AA10342" s="1963"/>
      <c r="AB10342" s="1963"/>
      <c r="AC10342" s="1963"/>
      <c r="AD10342" s="1963"/>
      <c r="AE10342" s="1963"/>
      <c r="AF10342" s="1963"/>
      <c r="AG10342" s="1963"/>
      <c r="AH10342" s="1963"/>
      <c r="AI10342" s="1963"/>
      <c r="AJ10342" s="1963"/>
      <c r="AK10342" s="1963"/>
      <c r="AL10342" s="1963"/>
      <c r="AM10342" s="1963"/>
      <c r="AN10342" s="1963"/>
      <c r="AO10342" s="1963"/>
      <c r="AP10342" s="1963"/>
      <c r="AQ10342" s="1963"/>
      <c r="AR10342" s="1963"/>
      <c r="AS10342" s="1963"/>
      <c r="AT10342" s="1963"/>
      <c r="AU10342" s="1963"/>
      <c r="AV10342" s="1963"/>
      <c r="AW10342" s="1963"/>
      <c r="AX10342" s="1963"/>
      <c r="AY10342" s="1963"/>
      <c r="AZ10342" s="1963"/>
      <c r="BA10342" s="1963"/>
      <c r="BB10342" s="1963"/>
      <c r="BC10342" s="1963"/>
      <c r="BD10342" s="1963"/>
      <c r="BE10342" s="1963"/>
      <c r="BF10342" s="1963"/>
      <c r="BG10342" s="1963"/>
      <c r="BH10342" s="1963"/>
      <c r="BI10342" s="1963"/>
      <c r="BJ10342" s="1963"/>
      <c r="BK10342" s="1963"/>
      <c r="BL10342" s="1963"/>
      <c r="BM10342" s="1963"/>
      <c r="BN10342" s="1963"/>
      <c r="BO10342" s="1963"/>
      <c r="BP10342" s="1963"/>
      <c r="BQ10342" s="1963"/>
      <c r="BR10342" s="1963"/>
      <c r="BS10342" s="1963"/>
      <c r="BT10342" s="1963"/>
      <c r="BU10342" s="1963"/>
      <c r="BV10342" s="1963"/>
      <c r="BW10342" s="1963"/>
      <c r="BX10342" s="1963"/>
      <c r="BY10342" s="1963"/>
      <c r="BZ10342" s="1963"/>
      <c r="CA10342" s="1963"/>
      <c r="CB10342" s="1963"/>
      <c r="CC10342" s="1963"/>
      <c r="CD10342" s="1963"/>
      <c r="CE10342" s="1963"/>
      <c r="CF10342" s="1963"/>
      <c r="CG10342" s="1963"/>
      <c r="CH10342" s="1963"/>
      <c r="CI10342" s="1963"/>
      <c r="CJ10342" s="1963"/>
      <c r="CK10342" s="1963"/>
      <c r="CL10342" s="1963"/>
      <c r="CM10342" s="1963"/>
      <c r="CN10342" s="1963"/>
      <c r="CO10342" s="1963"/>
      <c r="CP10342" s="1963"/>
      <c r="CQ10342" s="1963"/>
      <c r="CR10342" s="1963"/>
      <c r="CS10342" s="1963"/>
      <c r="CT10342" s="1963"/>
      <c r="CU10342" s="1963"/>
      <c r="CV10342" s="1963"/>
      <c r="CW10342" s="1963"/>
      <c r="CX10342" s="1963"/>
      <c r="CY10342" s="1963"/>
      <c r="CZ10342" s="1963"/>
      <c r="DA10342" s="1963"/>
      <c r="DB10342" s="1963"/>
      <c r="DC10342" s="1963"/>
      <c r="DD10342" s="1963"/>
      <c r="DE10342" s="1963"/>
      <c r="DF10342" s="1963"/>
      <c r="DG10342" s="1963"/>
      <c r="DH10342" s="1963"/>
      <c r="DI10342" s="1963"/>
      <c r="DJ10342" s="1963"/>
      <c r="DK10342" s="1963"/>
      <c r="DL10342" s="1963"/>
      <c r="DM10342" s="1963"/>
      <c r="DN10342" s="1963"/>
    </row>
    <row r="10343" spans="1:118" s="59" customFormat="1" ht="15" customHeight="1">
      <c r="A10343" s="1170" t="s">
        <v>2356</v>
      </c>
      <c r="B10343" s="1187">
        <v>24</v>
      </c>
      <c r="C10343" s="1171">
        <v>10</v>
      </c>
      <c r="D10343" s="1172" t="s">
        <v>1812</v>
      </c>
      <c r="E10343" s="1174">
        <v>2.59</v>
      </c>
      <c r="F10343" s="734">
        <v>153.30000000000001</v>
      </c>
      <c r="G10343" s="2317">
        <f t="shared" si="114"/>
        <v>0.50675675675675669</v>
      </c>
      <c r="H10343" s="2000">
        <v>120</v>
      </c>
      <c r="I10343" s="1963"/>
      <c r="J10343" s="1963"/>
      <c r="K10343" s="1963"/>
      <c r="L10343" s="1963"/>
      <c r="M10343" s="1963"/>
      <c r="N10343" s="1963"/>
      <c r="O10343" s="1963"/>
      <c r="P10343" s="1963"/>
      <c r="Q10343" s="1963"/>
      <c r="R10343" s="1963"/>
      <c r="S10343" s="1963"/>
      <c r="T10343" s="1963"/>
      <c r="U10343" s="1963"/>
      <c r="V10343" s="1963"/>
      <c r="W10343" s="1963"/>
      <c r="X10343" s="1963"/>
      <c r="Y10343" s="1963"/>
      <c r="Z10343" s="1963"/>
      <c r="AA10343" s="1963"/>
      <c r="AB10343" s="1963"/>
      <c r="AC10343" s="1963"/>
      <c r="AD10343" s="1963"/>
      <c r="AE10343" s="1963"/>
      <c r="AF10343" s="1963"/>
      <c r="AG10343" s="1963"/>
      <c r="AH10343" s="1963"/>
      <c r="AI10343" s="1963"/>
      <c r="AJ10343" s="1963"/>
      <c r="AK10343" s="1963"/>
      <c r="AL10343" s="1963"/>
      <c r="AM10343" s="1963"/>
      <c r="AN10343" s="1963"/>
      <c r="AO10343" s="1963"/>
      <c r="AP10343" s="1963"/>
      <c r="AQ10343" s="1963"/>
      <c r="AR10343" s="1963"/>
      <c r="AS10343" s="1963"/>
      <c r="AT10343" s="1963"/>
      <c r="AU10343" s="1963"/>
      <c r="AV10343" s="1963"/>
      <c r="AW10343" s="1963"/>
      <c r="AX10343" s="1963"/>
      <c r="AY10343" s="1963"/>
      <c r="AZ10343" s="1963"/>
      <c r="BA10343" s="1963"/>
      <c r="BB10343" s="1963"/>
      <c r="BC10343" s="1963"/>
      <c r="BD10343" s="1963"/>
      <c r="BE10343" s="1963"/>
      <c r="BF10343" s="1963"/>
      <c r="BG10343" s="1963"/>
      <c r="BH10343" s="1963"/>
      <c r="BI10343" s="1963"/>
      <c r="BJ10343" s="1963"/>
      <c r="BK10343" s="1963"/>
      <c r="BL10343" s="1963"/>
      <c r="BM10343" s="1963"/>
      <c r="BN10343" s="1963"/>
      <c r="BO10343" s="1963"/>
      <c r="BP10343" s="1963"/>
      <c r="BQ10343" s="1963"/>
      <c r="BR10343" s="1963"/>
      <c r="BS10343" s="1963"/>
      <c r="BT10343" s="1963"/>
      <c r="BU10343" s="1963"/>
      <c r="BV10343" s="1963"/>
      <c r="BW10343" s="1963"/>
      <c r="BX10343" s="1963"/>
      <c r="BY10343" s="1963"/>
      <c r="BZ10343" s="1963"/>
      <c r="CA10343" s="1963"/>
      <c r="CB10343" s="1963"/>
      <c r="CC10343" s="1963"/>
      <c r="CD10343" s="1963"/>
      <c r="CE10343" s="1963"/>
      <c r="CF10343" s="1963"/>
      <c r="CG10343" s="1963"/>
      <c r="CH10343" s="1963"/>
      <c r="CI10343" s="1963"/>
      <c r="CJ10343" s="1963"/>
      <c r="CK10343" s="1963"/>
      <c r="CL10343" s="1963"/>
      <c r="CM10343" s="1963"/>
      <c r="CN10343" s="1963"/>
      <c r="CO10343" s="1963"/>
      <c r="CP10343" s="1963"/>
      <c r="CQ10343" s="1963"/>
      <c r="CR10343" s="1963"/>
      <c r="CS10343" s="1963"/>
      <c r="CT10343" s="1963"/>
      <c r="CU10343" s="1963"/>
      <c r="CV10343" s="1963"/>
      <c r="CW10343" s="1963"/>
      <c r="CX10343" s="1963"/>
      <c r="CY10343" s="1963"/>
      <c r="CZ10343" s="1963"/>
      <c r="DA10343" s="1963"/>
      <c r="DB10343" s="1963"/>
      <c r="DC10343" s="1963"/>
      <c r="DD10343" s="1963"/>
      <c r="DE10343" s="1963"/>
      <c r="DF10343" s="1963"/>
      <c r="DG10343" s="1963"/>
      <c r="DH10343" s="1963"/>
      <c r="DI10343" s="1963"/>
      <c r="DJ10343" s="1963"/>
      <c r="DK10343" s="1963"/>
      <c r="DL10343" s="1963"/>
      <c r="DM10343" s="1963"/>
      <c r="DN10343" s="1963"/>
    </row>
    <row r="10344" spans="1:118" s="59" customFormat="1" ht="15" customHeight="1">
      <c r="A10344" s="1170" t="s">
        <v>2356</v>
      </c>
      <c r="B10344" s="1187">
        <v>36</v>
      </c>
      <c r="C10344" s="1171">
        <v>10</v>
      </c>
      <c r="D10344" s="1172" t="s">
        <v>1812</v>
      </c>
      <c r="E10344" s="1174">
        <v>4.3</v>
      </c>
      <c r="F10344" s="734">
        <v>255.1</v>
      </c>
      <c r="G10344" s="2317">
        <f t="shared" si="114"/>
        <v>0.50562015503875968</v>
      </c>
      <c r="H10344" s="2000">
        <v>120</v>
      </c>
      <c r="I10344" s="1963"/>
      <c r="J10344" s="1963"/>
      <c r="K10344" s="1963"/>
      <c r="L10344" s="1963"/>
      <c r="M10344" s="1963"/>
      <c r="N10344" s="1963"/>
      <c r="O10344" s="1963"/>
      <c r="P10344" s="1963"/>
      <c r="Q10344" s="1963"/>
      <c r="R10344" s="1963"/>
      <c r="S10344" s="1963"/>
      <c r="T10344" s="1963"/>
      <c r="U10344" s="1963"/>
      <c r="V10344" s="1963"/>
      <c r="W10344" s="1963"/>
      <c r="X10344" s="1963"/>
      <c r="Y10344" s="1963"/>
      <c r="Z10344" s="1963"/>
      <c r="AA10344" s="1963"/>
      <c r="AB10344" s="1963"/>
      <c r="AC10344" s="1963"/>
      <c r="AD10344" s="1963"/>
      <c r="AE10344" s="1963"/>
      <c r="AF10344" s="1963"/>
      <c r="AG10344" s="1963"/>
      <c r="AH10344" s="1963"/>
      <c r="AI10344" s="1963"/>
      <c r="AJ10344" s="1963"/>
      <c r="AK10344" s="1963"/>
      <c r="AL10344" s="1963"/>
      <c r="AM10344" s="1963"/>
      <c r="AN10344" s="1963"/>
      <c r="AO10344" s="1963"/>
      <c r="AP10344" s="1963"/>
      <c r="AQ10344" s="1963"/>
      <c r="AR10344" s="1963"/>
      <c r="AS10344" s="1963"/>
      <c r="AT10344" s="1963"/>
      <c r="AU10344" s="1963"/>
      <c r="AV10344" s="1963"/>
      <c r="AW10344" s="1963"/>
      <c r="AX10344" s="1963"/>
      <c r="AY10344" s="1963"/>
      <c r="AZ10344" s="1963"/>
      <c r="BA10344" s="1963"/>
      <c r="BB10344" s="1963"/>
      <c r="BC10344" s="1963"/>
      <c r="BD10344" s="1963"/>
      <c r="BE10344" s="1963"/>
      <c r="BF10344" s="1963"/>
      <c r="BG10344" s="1963"/>
      <c r="BH10344" s="1963"/>
      <c r="BI10344" s="1963"/>
      <c r="BJ10344" s="1963"/>
      <c r="BK10344" s="1963"/>
      <c r="BL10344" s="1963"/>
      <c r="BM10344" s="1963"/>
      <c r="BN10344" s="1963"/>
      <c r="BO10344" s="1963"/>
      <c r="BP10344" s="1963"/>
      <c r="BQ10344" s="1963"/>
      <c r="BR10344" s="1963"/>
      <c r="BS10344" s="1963"/>
      <c r="BT10344" s="1963"/>
      <c r="BU10344" s="1963"/>
      <c r="BV10344" s="1963"/>
      <c r="BW10344" s="1963"/>
      <c r="BX10344" s="1963"/>
      <c r="BY10344" s="1963"/>
      <c r="BZ10344" s="1963"/>
      <c r="CA10344" s="1963"/>
      <c r="CB10344" s="1963"/>
      <c r="CC10344" s="1963"/>
      <c r="CD10344" s="1963"/>
      <c r="CE10344" s="1963"/>
      <c r="CF10344" s="1963"/>
      <c r="CG10344" s="1963"/>
      <c r="CH10344" s="1963"/>
      <c r="CI10344" s="1963"/>
      <c r="CJ10344" s="1963"/>
      <c r="CK10344" s="1963"/>
      <c r="CL10344" s="1963"/>
      <c r="CM10344" s="1963"/>
      <c r="CN10344" s="1963"/>
      <c r="CO10344" s="1963"/>
      <c r="CP10344" s="1963"/>
      <c r="CQ10344" s="1963"/>
      <c r="CR10344" s="1963"/>
      <c r="CS10344" s="1963"/>
      <c r="CT10344" s="1963"/>
      <c r="CU10344" s="1963"/>
      <c r="CV10344" s="1963"/>
      <c r="CW10344" s="1963"/>
      <c r="CX10344" s="1963"/>
      <c r="CY10344" s="1963"/>
      <c r="CZ10344" s="1963"/>
      <c r="DA10344" s="1963"/>
      <c r="DB10344" s="1963"/>
      <c r="DC10344" s="1963"/>
      <c r="DD10344" s="1963"/>
      <c r="DE10344" s="1963"/>
      <c r="DF10344" s="1963"/>
      <c r="DG10344" s="1963"/>
      <c r="DH10344" s="1963"/>
      <c r="DI10344" s="1963"/>
      <c r="DJ10344" s="1963"/>
      <c r="DK10344" s="1963"/>
      <c r="DL10344" s="1963"/>
      <c r="DM10344" s="1963"/>
      <c r="DN10344" s="1963"/>
    </row>
    <row r="10345" spans="1:118" s="59" customFormat="1" ht="15" customHeight="1">
      <c r="A10345" s="1170" t="s">
        <v>2356</v>
      </c>
      <c r="B10345" s="1187">
        <v>48</v>
      </c>
      <c r="C10345" s="1171">
        <v>10</v>
      </c>
      <c r="D10345" s="1172" t="s">
        <v>1812</v>
      </c>
      <c r="E10345" s="1174">
        <v>6.33</v>
      </c>
      <c r="F10345" s="736">
        <v>376</v>
      </c>
      <c r="G10345" s="2317">
        <f t="shared" si="114"/>
        <v>0.50500263296471826</v>
      </c>
      <c r="H10345" s="2000">
        <v>120</v>
      </c>
      <c r="I10345" s="1963"/>
      <c r="J10345" s="1963"/>
      <c r="K10345" s="1963"/>
      <c r="L10345" s="1963"/>
      <c r="M10345" s="1963"/>
      <c r="N10345" s="1963"/>
      <c r="O10345" s="1963"/>
      <c r="P10345" s="1963"/>
      <c r="Q10345" s="1963"/>
      <c r="R10345" s="1963"/>
      <c r="S10345" s="1963"/>
      <c r="T10345" s="1963"/>
      <c r="U10345" s="1963"/>
      <c r="V10345" s="1963"/>
      <c r="W10345" s="1963"/>
      <c r="X10345" s="1963"/>
      <c r="Y10345" s="1963"/>
      <c r="Z10345" s="1963"/>
      <c r="AA10345" s="1963"/>
      <c r="AB10345" s="1963"/>
      <c r="AC10345" s="1963"/>
      <c r="AD10345" s="1963"/>
      <c r="AE10345" s="1963"/>
      <c r="AF10345" s="1963"/>
      <c r="AG10345" s="1963"/>
      <c r="AH10345" s="1963"/>
      <c r="AI10345" s="1963"/>
      <c r="AJ10345" s="1963"/>
      <c r="AK10345" s="1963"/>
      <c r="AL10345" s="1963"/>
      <c r="AM10345" s="1963"/>
      <c r="AN10345" s="1963"/>
      <c r="AO10345" s="1963"/>
      <c r="AP10345" s="1963"/>
      <c r="AQ10345" s="1963"/>
      <c r="AR10345" s="1963"/>
      <c r="AS10345" s="1963"/>
      <c r="AT10345" s="1963"/>
      <c r="AU10345" s="1963"/>
      <c r="AV10345" s="1963"/>
      <c r="AW10345" s="1963"/>
      <c r="AX10345" s="1963"/>
      <c r="AY10345" s="1963"/>
      <c r="AZ10345" s="1963"/>
      <c r="BA10345" s="1963"/>
      <c r="BB10345" s="1963"/>
      <c r="BC10345" s="1963"/>
      <c r="BD10345" s="1963"/>
      <c r="BE10345" s="1963"/>
      <c r="BF10345" s="1963"/>
      <c r="BG10345" s="1963"/>
      <c r="BH10345" s="1963"/>
      <c r="BI10345" s="1963"/>
      <c r="BJ10345" s="1963"/>
      <c r="BK10345" s="1963"/>
      <c r="BL10345" s="1963"/>
      <c r="BM10345" s="1963"/>
      <c r="BN10345" s="1963"/>
      <c r="BO10345" s="1963"/>
      <c r="BP10345" s="1963"/>
      <c r="BQ10345" s="1963"/>
      <c r="BR10345" s="1963"/>
      <c r="BS10345" s="1963"/>
      <c r="BT10345" s="1963"/>
      <c r="BU10345" s="1963"/>
      <c r="BV10345" s="1963"/>
      <c r="BW10345" s="1963"/>
      <c r="BX10345" s="1963"/>
      <c r="BY10345" s="1963"/>
      <c r="BZ10345" s="1963"/>
      <c r="CA10345" s="1963"/>
      <c r="CB10345" s="1963"/>
      <c r="CC10345" s="1963"/>
      <c r="CD10345" s="1963"/>
      <c r="CE10345" s="1963"/>
      <c r="CF10345" s="1963"/>
      <c r="CG10345" s="1963"/>
      <c r="CH10345" s="1963"/>
      <c r="CI10345" s="1963"/>
      <c r="CJ10345" s="1963"/>
      <c r="CK10345" s="1963"/>
      <c r="CL10345" s="1963"/>
      <c r="CM10345" s="1963"/>
      <c r="CN10345" s="1963"/>
      <c r="CO10345" s="1963"/>
      <c r="CP10345" s="1963"/>
      <c r="CQ10345" s="1963"/>
      <c r="CR10345" s="1963"/>
      <c r="CS10345" s="1963"/>
      <c r="CT10345" s="1963"/>
      <c r="CU10345" s="1963"/>
      <c r="CV10345" s="1963"/>
      <c r="CW10345" s="1963"/>
      <c r="CX10345" s="1963"/>
      <c r="CY10345" s="1963"/>
      <c r="CZ10345" s="1963"/>
      <c r="DA10345" s="1963"/>
      <c r="DB10345" s="1963"/>
      <c r="DC10345" s="1963"/>
      <c r="DD10345" s="1963"/>
      <c r="DE10345" s="1963"/>
      <c r="DF10345" s="1963"/>
      <c r="DG10345" s="1963"/>
      <c r="DH10345" s="1963"/>
      <c r="DI10345" s="1963"/>
      <c r="DJ10345" s="1963"/>
      <c r="DK10345" s="1963"/>
      <c r="DL10345" s="1963"/>
      <c r="DM10345" s="1963"/>
      <c r="DN10345" s="1963"/>
    </row>
    <row r="10346" spans="1:118">
      <c r="A10346" s="888"/>
      <c r="B10346" s="888"/>
      <c r="C10346" s="888"/>
      <c r="D10346" s="888"/>
      <c r="E10346" s="888"/>
    </row>
    <row r="10347" spans="1:118">
      <c r="A10347" s="1365" t="s">
        <v>8111</v>
      </c>
    </row>
    <row r="10348" spans="1:118" s="1163" customFormat="1" ht="31.5">
      <c r="A10348" s="2152" t="s">
        <v>1369</v>
      </c>
      <c r="B10348" s="2153" t="s">
        <v>377</v>
      </c>
      <c r="C10348" s="2190" t="s">
        <v>2</v>
      </c>
      <c r="D10348" s="649" t="s">
        <v>1734</v>
      </c>
      <c r="E10348" s="2191" t="s">
        <v>2264</v>
      </c>
      <c r="F10348" s="2191" t="s">
        <v>1181</v>
      </c>
      <c r="G10348" s="2192" t="s">
        <v>5527</v>
      </c>
      <c r="H10348" s="2183" t="s">
        <v>6673</v>
      </c>
      <c r="I10348" s="2184" t="s">
        <v>6669</v>
      </c>
      <c r="J10348" s="2184" t="s">
        <v>6670</v>
      </c>
    </row>
    <row r="10349" spans="1:118" s="59" customFormat="1" ht="15">
      <c r="A10349" s="2194">
        <v>4255</v>
      </c>
      <c r="B10349" s="2203">
        <v>30</v>
      </c>
      <c r="C10349" s="2156">
        <v>20</v>
      </c>
      <c r="D10349" s="2194" t="s">
        <v>1812</v>
      </c>
      <c r="E10349" s="2194" t="s">
        <v>6716</v>
      </c>
      <c r="F10349" s="2194" t="s">
        <v>6717</v>
      </c>
      <c r="G10349" s="1602">
        <v>2.9699999999999998</v>
      </c>
      <c r="H10349" s="2200">
        <v>176</v>
      </c>
      <c r="I10349" s="2186">
        <f>(((G10349*J10349)-H10349)/(G10349*J10349))</f>
        <v>0.50617283950617276</v>
      </c>
      <c r="J10349" s="2187">
        <v>120</v>
      </c>
      <c r="K10349" s="1963"/>
      <c r="L10349" s="1963"/>
      <c r="M10349" s="1963"/>
      <c r="N10349" s="1963"/>
      <c r="O10349" s="1963"/>
      <c r="P10349" s="1963"/>
      <c r="Q10349" s="1963"/>
      <c r="R10349" s="1963"/>
      <c r="S10349" s="1963"/>
      <c r="T10349" s="1963"/>
      <c r="U10349" s="1963"/>
      <c r="V10349" s="1963"/>
      <c r="W10349" s="1963"/>
      <c r="X10349" s="1963"/>
      <c r="Y10349" s="1963"/>
      <c r="Z10349" s="1963"/>
      <c r="AA10349" s="1963"/>
      <c r="AB10349" s="1963"/>
      <c r="AC10349" s="1963"/>
      <c r="AD10349" s="1963"/>
      <c r="AE10349" s="1963"/>
      <c r="AF10349" s="1963"/>
      <c r="AG10349" s="1963"/>
      <c r="AH10349" s="1963"/>
      <c r="AI10349" s="1963"/>
      <c r="AJ10349" s="1963"/>
      <c r="AK10349" s="1963"/>
      <c r="AL10349" s="1963"/>
      <c r="AM10349" s="1963"/>
      <c r="AN10349" s="1963"/>
      <c r="AO10349" s="1963"/>
      <c r="AP10349" s="1963"/>
      <c r="AQ10349" s="1963"/>
      <c r="AR10349" s="1963"/>
      <c r="AS10349" s="1963"/>
      <c r="AT10349" s="1963"/>
      <c r="AU10349" s="1963"/>
      <c r="AV10349" s="1963"/>
      <c r="AW10349" s="1963"/>
      <c r="AX10349" s="1963"/>
      <c r="AY10349" s="1963"/>
      <c r="AZ10349" s="1963"/>
      <c r="BA10349" s="1963"/>
      <c r="BB10349" s="1963"/>
      <c r="BC10349" s="1963"/>
      <c r="BD10349" s="1963"/>
      <c r="BE10349" s="1963"/>
    </row>
    <row r="10350" spans="1:118" s="59" customFormat="1" ht="15">
      <c r="A10350" s="2194">
        <v>4255</v>
      </c>
      <c r="B10350" s="2203">
        <v>40</v>
      </c>
      <c r="C10350" s="2156">
        <v>20</v>
      </c>
      <c r="D10350" s="2194" t="s">
        <v>1812</v>
      </c>
      <c r="E10350" s="2194" t="s">
        <v>6716</v>
      </c>
      <c r="F10350" s="2194" t="s">
        <v>6717</v>
      </c>
      <c r="G10350" s="1602">
        <v>3.38</v>
      </c>
      <c r="H10350" s="2200">
        <v>201</v>
      </c>
      <c r="I10350" s="2186">
        <f>(((G10350*J10350)-H10350)/(G10350*J10350))</f>
        <v>0.50443786982248517</v>
      </c>
      <c r="J10350" s="2187">
        <v>120</v>
      </c>
      <c r="K10350" s="1963"/>
      <c r="L10350" s="1963"/>
      <c r="M10350" s="1963"/>
      <c r="N10350" s="1963"/>
      <c r="O10350" s="1963"/>
      <c r="P10350" s="1963"/>
      <c r="Q10350" s="1963"/>
      <c r="R10350" s="1963"/>
      <c r="S10350" s="1963"/>
      <c r="T10350" s="1963"/>
      <c r="U10350" s="1963"/>
      <c r="V10350" s="1963"/>
      <c r="W10350" s="1963"/>
      <c r="X10350" s="1963"/>
      <c r="Y10350" s="1963"/>
      <c r="Z10350" s="1963"/>
      <c r="AA10350" s="1963"/>
      <c r="AB10350" s="1963"/>
      <c r="AC10350" s="1963"/>
      <c r="AD10350" s="1963"/>
      <c r="AE10350" s="1963"/>
      <c r="AF10350" s="1963"/>
      <c r="AG10350" s="1963"/>
      <c r="AH10350" s="1963"/>
      <c r="AI10350" s="1963"/>
      <c r="AJ10350" s="1963"/>
      <c r="AK10350" s="1963"/>
      <c r="AL10350" s="1963"/>
      <c r="AM10350" s="1963"/>
      <c r="AN10350" s="1963"/>
      <c r="AO10350" s="1963"/>
      <c r="AP10350" s="1963"/>
      <c r="AQ10350" s="1963"/>
      <c r="AR10350" s="1963"/>
      <c r="AS10350" s="1963"/>
      <c r="AT10350" s="1963"/>
      <c r="AU10350" s="1963"/>
      <c r="AV10350" s="1963"/>
      <c r="AW10350" s="1963"/>
      <c r="AX10350" s="1963"/>
      <c r="AY10350" s="1963"/>
      <c r="AZ10350" s="1963"/>
      <c r="BA10350" s="1963"/>
      <c r="BB10350" s="1963"/>
      <c r="BC10350" s="1963"/>
      <c r="BD10350" s="1963"/>
      <c r="BE10350" s="1963"/>
    </row>
    <row r="10351" spans="1:118" s="59" customFormat="1" ht="15">
      <c r="A10351" s="2194">
        <v>4255</v>
      </c>
      <c r="B10351" s="2203">
        <v>50</v>
      </c>
      <c r="C10351" s="2156">
        <v>20</v>
      </c>
      <c r="D10351" s="2194" t="s">
        <v>1812</v>
      </c>
      <c r="E10351" s="2194" t="s">
        <v>6716</v>
      </c>
      <c r="F10351" s="2194" t="s">
        <v>6717</v>
      </c>
      <c r="G10351" s="1602">
        <v>3.67</v>
      </c>
      <c r="H10351" s="2200">
        <v>218</v>
      </c>
      <c r="I10351" s="2186">
        <f>(((G10351*J10351)-H10351)/(G10351*J10351))</f>
        <v>0.50499545867393281</v>
      </c>
      <c r="J10351" s="2187">
        <v>120</v>
      </c>
      <c r="K10351" s="1963"/>
      <c r="L10351" s="1963"/>
      <c r="M10351" s="1963"/>
      <c r="N10351" s="1963"/>
      <c r="O10351" s="1963"/>
      <c r="P10351" s="1963"/>
      <c r="Q10351" s="1963"/>
      <c r="R10351" s="1963"/>
      <c r="S10351" s="1963"/>
      <c r="T10351" s="1963"/>
      <c r="U10351" s="1963"/>
      <c r="V10351" s="1963"/>
      <c r="W10351" s="1963"/>
      <c r="X10351" s="1963"/>
      <c r="Y10351" s="1963"/>
      <c r="Z10351" s="1963"/>
      <c r="AA10351" s="1963"/>
      <c r="AB10351" s="1963"/>
      <c r="AC10351" s="1963"/>
      <c r="AD10351" s="1963"/>
      <c r="AE10351" s="1963"/>
      <c r="AF10351" s="1963"/>
      <c r="AG10351" s="1963"/>
      <c r="AH10351" s="1963"/>
      <c r="AI10351" s="1963"/>
      <c r="AJ10351" s="1963"/>
      <c r="AK10351" s="1963"/>
      <c r="AL10351" s="1963"/>
      <c r="AM10351" s="1963"/>
      <c r="AN10351" s="1963"/>
      <c r="AO10351" s="1963"/>
      <c r="AP10351" s="1963"/>
      <c r="AQ10351" s="1963"/>
      <c r="AR10351" s="1963"/>
      <c r="AS10351" s="1963"/>
      <c r="AT10351" s="1963"/>
      <c r="AU10351" s="1963"/>
      <c r="AV10351" s="1963"/>
      <c r="AW10351" s="1963"/>
      <c r="AX10351" s="1963"/>
      <c r="AY10351" s="1963"/>
      <c r="AZ10351" s="1963"/>
      <c r="BA10351" s="1963"/>
      <c r="BB10351" s="1963"/>
      <c r="BC10351" s="1963"/>
      <c r="BD10351" s="1963"/>
      <c r="BE10351" s="1963"/>
    </row>
    <row r="10353" spans="1:10">
      <c r="A10353" s="1365" t="s">
        <v>8113</v>
      </c>
    </row>
    <row r="10354" spans="1:10" ht="15">
      <c r="A10354" s="1996" t="s">
        <v>5583</v>
      </c>
      <c r="B10354" s="1997" t="s">
        <v>980</v>
      </c>
      <c r="C10354" s="1997" t="s">
        <v>1323</v>
      </c>
      <c r="D10354" s="2045" t="s">
        <v>6979</v>
      </c>
    </row>
    <row r="10355" spans="1:10" ht="15">
      <c r="A10355" s="47" t="s">
        <v>8112</v>
      </c>
      <c r="B10355" s="47" t="s">
        <v>6983</v>
      </c>
      <c r="C10355" s="1602">
        <v>0.98</v>
      </c>
      <c r="D10355" s="1999">
        <v>70</v>
      </c>
    </row>
    <row r="10357" spans="1:10">
      <c r="A10357" s="1064" t="s">
        <v>8114</v>
      </c>
    </row>
    <row r="10358" spans="1:10" ht="25.5">
      <c r="A10358" s="1996" t="s">
        <v>5583</v>
      </c>
      <c r="B10358" s="1997" t="s">
        <v>980</v>
      </c>
      <c r="C10358" s="1997" t="s">
        <v>1323</v>
      </c>
      <c r="D10358" s="1998" t="s">
        <v>6978</v>
      </c>
      <c r="E10358" s="1998" t="s">
        <v>7768</v>
      </c>
      <c r="F10358" s="939" t="s">
        <v>6979</v>
      </c>
      <c r="G10358" s="939" t="s">
        <v>6080</v>
      </c>
      <c r="H10358" s="940" t="s">
        <v>6081</v>
      </c>
    </row>
    <row r="10359" spans="1:10">
      <c r="A10359" s="47" t="s">
        <v>8097</v>
      </c>
      <c r="B10359" s="47" t="s">
        <v>1519</v>
      </c>
      <c r="C10359" s="1061">
        <f>ROUNDUP(F10359/0.6/120,2)</f>
        <v>1.81</v>
      </c>
      <c r="D10359" s="1245" t="s">
        <v>2346</v>
      </c>
      <c r="E10359" s="1245" t="s">
        <v>8101</v>
      </c>
      <c r="F10359" s="2000">
        <v>130</v>
      </c>
      <c r="G10359" s="2317">
        <f>(C10359-(F10359/H10359))/C10359</f>
        <v>0.4014732965009209</v>
      </c>
      <c r="H10359" s="2000">
        <v>120</v>
      </c>
      <c r="I10359" s="389"/>
    </row>
    <row r="10360" spans="1:10">
      <c r="A10360" s="47" t="s">
        <v>8098</v>
      </c>
      <c r="B10360" s="47" t="s">
        <v>6582</v>
      </c>
      <c r="C10360" s="1061">
        <f>ROUNDUP(F10360/0.6/120,2)</f>
        <v>2.78</v>
      </c>
      <c r="D10360" s="2260" t="s">
        <v>7551</v>
      </c>
      <c r="E10360" s="2260" t="s">
        <v>7769</v>
      </c>
      <c r="F10360" s="47">
        <f>130+70</f>
        <v>200</v>
      </c>
      <c r="G10360" s="2317">
        <f>(C10360-(F10360/H10360))/C10360</f>
        <v>0.40047961630695439</v>
      </c>
      <c r="H10360" s="2000">
        <v>120</v>
      </c>
      <c r="I10360" s="1957" t="s">
        <v>7552</v>
      </c>
    </row>
    <row r="10361" spans="1:10">
      <c r="A10361" s="47" t="s">
        <v>8115</v>
      </c>
      <c r="B10361" s="47" t="s">
        <v>1519</v>
      </c>
      <c r="C10361" s="1061">
        <f>ROUNDUP(F10361/0.6/120,2)</f>
        <v>3.55</v>
      </c>
      <c r="D10361" s="1245" t="s">
        <v>2346</v>
      </c>
      <c r="E10361" s="1245" t="s">
        <v>8118</v>
      </c>
      <c r="F10361" s="2000">
        <v>255</v>
      </c>
      <c r="G10361" s="2317">
        <f>(C10361-(F10361/H10361))/C10361</f>
        <v>0.40140845070422532</v>
      </c>
      <c r="H10361" s="2000">
        <v>120</v>
      </c>
      <c r="I10361" s="389"/>
    </row>
    <row r="10362" spans="1:10">
      <c r="A10362" s="47" t="s">
        <v>8116</v>
      </c>
      <c r="B10362" s="47" t="s">
        <v>6582</v>
      </c>
      <c r="C10362" s="1061">
        <f>ROUNDUP(F10362/0.6/120,2)</f>
        <v>4.9399999999999995</v>
      </c>
      <c r="D10362" s="2260" t="s">
        <v>5811</v>
      </c>
      <c r="E10362" s="2260" t="s">
        <v>7769</v>
      </c>
      <c r="F10362" s="47">
        <f>255+100</f>
        <v>355</v>
      </c>
      <c r="G10362" s="2317">
        <f>(C10362-(F10362/H10362))/C10362</f>
        <v>0.4011470985155195</v>
      </c>
      <c r="H10362" s="2000">
        <v>120</v>
      </c>
      <c r="I10362" s="1957" t="s">
        <v>8117</v>
      </c>
    </row>
    <row r="10365" spans="1:10">
      <c r="A10365" t="s">
        <v>8120</v>
      </c>
    </row>
    <row r="10366" spans="1:10" ht="25.5">
      <c r="A10366" s="1350" t="s">
        <v>1369</v>
      </c>
      <c r="B10366" s="1351" t="s">
        <v>377</v>
      </c>
      <c r="C10366" s="1352" t="s">
        <v>7297</v>
      </c>
      <c r="D10366" s="1353" t="s">
        <v>1734</v>
      </c>
      <c r="E10366" s="1966" t="s">
        <v>2264</v>
      </c>
      <c r="F10366" s="1966" t="s">
        <v>1181</v>
      </c>
      <c r="G10366" s="1354" t="s">
        <v>5527</v>
      </c>
      <c r="H10366" s="317" t="s">
        <v>8119</v>
      </c>
      <c r="I10366" s="2045" t="s">
        <v>6080</v>
      </c>
      <c r="J10366" s="940" t="s">
        <v>6081</v>
      </c>
    </row>
    <row r="10367" spans="1:10" s="888" customFormat="1" ht="12.75">
      <c r="A10367" s="1170" t="s">
        <v>2356</v>
      </c>
      <c r="B10367" s="1187">
        <v>36</v>
      </c>
      <c r="C10367" s="2288">
        <v>10</v>
      </c>
      <c r="D10367" s="1172" t="s">
        <v>1812</v>
      </c>
      <c r="E10367" s="1967" t="s">
        <v>289</v>
      </c>
      <c r="F10367" s="1967" t="s">
        <v>2357</v>
      </c>
      <c r="G10367" s="1174">
        <v>4.3</v>
      </c>
      <c r="H10367" s="888">
        <v>255.1</v>
      </c>
      <c r="I10367" s="2083">
        <f>(G10367-(H10367/J10367))/G10367</f>
        <v>0.50562015503875968</v>
      </c>
      <c r="J10367" s="2000">
        <v>120</v>
      </c>
    </row>
    <row r="10368" spans="1:10" s="888" customFormat="1" ht="12.75">
      <c r="A10368" s="1170" t="s">
        <v>2356</v>
      </c>
      <c r="B10368" s="1187">
        <v>48</v>
      </c>
      <c r="C10368" s="2288">
        <v>10</v>
      </c>
      <c r="D10368" s="1172" t="s">
        <v>1812</v>
      </c>
      <c r="E10368" s="1967" t="s">
        <v>289</v>
      </c>
      <c r="F10368" s="1967" t="s">
        <v>2357</v>
      </c>
      <c r="G10368" s="1174">
        <v>6.33</v>
      </c>
      <c r="H10368" s="888">
        <v>376</v>
      </c>
      <c r="I10368" s="2083">
        <f>(G10368-(H10368/J10368))/G10368</f>
        <v>0.50500263296471826</v>
      </c>
      <c r="J10368" s="2000">
        <v>120</v>
      </c>
    </row>
    <row r="10371" spans="1:5">
      <c r="A10371" s="2100" t="s">
        <v>8131</v>
      </c>
      <c r="B10371" s="2100" t="s">
        <v>53</v>
      </c>
      <c r="C10371" s="2100" t="s">
        <v>54</v>
      </c>
      <c r="D10371" s="1997" t="s">
        <v>8133</v>
      </c>
      <c r="E10371" s="1997" t="s">
        <v>2245</v>
      </c>
    </row>
    <row r="10372" spans="1:5">
      <c r="A10372" s="47" t="s">
        <v>8121</v>
      </c>
      <c r="B10372" s="47" t="s">
        <v>8122</v>
      </c>
      <c r="C10372" s="894">
        <v>1</v>
      </c>
      <c r="D10372" s="51">
        <v>65</v>
      </c>
      <c r="E10372" s="891">
        <f>D10372*C10372</f>
        <v>65</v>
      </c>
    </row>
    <row r="10373" spans="1:5">
      <c r="A10373" s="47" t="s">
        <v>8121</v>
      </c>
      <c r="B10373" s="47" t="s">
        <v>8123</v>
      </c>
      <c r="C10373" s="50">
        <v>20</v>
      </c>
      <c r="D10373" s="2433" t="s">
        <v>8134</v>
      </c>
      <c r="E10373" s="891"/>
    </row>
    <row r="10374" spans="1:5">
      <c r="A10374" s="47" t="s">
        <v>8121</v>
      </c>
      <c r="B10374" s="47" t="s">
        <v>8124</v>
      </c>
      <c r="C10374" s="50">
        <v>20</v>
      </c>
      <c r="D10374" s="2433" t="s">
        <v>8134</v>
      </c>
      <c r="E10374" s="891"/>
    </row>
    <row r="10375" spans="1:5">
      <c r="A10375" s="47" t="s">
        <v>8121</v>
      </c>
      <c r="B10375" s="47" t="s">
        <v>3334</v>
      </c>
      <c r="C10375" s="894">
        <v>2</v>
      </c>
      <c r="D10375" s="51">
        <v>75</v>
      </c>
      <c r="E10375" s="891">
        <f>D10375*C10375</f>
        <v>150</v>
      </c>
    </row>
    <row r="10376" spans="1:5">
      <c r="A10376" s="47"/>
      <c r="B10376" s="47"/>
      <c r="C10376" s="894"/>
      <c r="D10376" s="51"/>
      <c r="E10376" s="891"/>
    </row>
    <row r="10377" spans="1:5">
      <c r="A10377" s="2100" t="s">
        <v>8131</v>
      </c>
      <c r="B10377" s="2100" t="s">
        <v>53</v>
      </c>
      <c r="C10377" s="2100" t="s">
        <v>54</v>
      </c>
      <c r="D10377" s="1997" t="s">
        <v>8133</v>
      </c>
      <c r="E10377" s="1997" t="s">
        <v>2245</v>
      </c>
    </row>
    <row r="10378" spans="1:5">
      <c r="A10378" s="47" t="s">
        <v>8125</v>
      </c>
      <c r="B10378" s="47" t="s">
        <v>8122</v>
      </c>
      <c r="C10378" s="894">
        <v>1</v>
      </c>
      <c r="D10378" s="51">
        <v>65</v>
      </c>
      <c r="E10378" s="891">
        <f>D10378*C10378</f>
        <v>65</v>
      </c>
    </row>
    <row r="10379" spans="1:5">
      <c r="A10379" s="47" t="s">
        <v>8125</v>
      </c>
      <c r="B10379" s="47" t="s">
        <v>8123</v>
      </c>
      <c r="C10379" s="50">
        <v>20</v>
      </c>
      <c r="D10379" s="2433" t="s">
        <v>8134</v>
      </c>
      <c r="E10379" s="891"/>
    </row>
    <row r="10380" spans="1:5">
      <c r="A10380" s="47" t="s">
        <v>8125</v>
      </c>
      <c r="B10380" s="47" t="s">
        <v>8124</v>
      </c>
      <c r="C10380" s="50">
        <v>20</v>
      </c>
      <c r="D10380" s="2433" t="s">
        <v>8134</v>
      </c>
      <c r="E10380" s="891"/>
    </row>
    <row r="10381" spans="1:5">
      <c r="A10381" s="889"/>
      <c r="B10381" s="47"/>
      <c r="C10381" s="50"/>
      <c r="D10381" s="51"/>
      <c r="E10381" s="891"/>
    </row>
    <row r="10382" spans="1:5">
      <c r="A10382" s="47" t="s">
        <v>8128</v>
      </c>
      <c r="B10382" s="47" t="s">
        <v>8122</v>
      </c>
      <c r="C10382" s="894">
        <v>1</v>
      </c>
      <c r="D10382" s="51">
        <v>65</v>
      </c>
      <c r="E10382" s="891">
        <f>D10382*C10382</f>
        <v>65</v>
      </c>
    </row>
    <row r="10383" spans="1:5">
      <c r="A10383" s="47" t="s">
        <v>8128</v>
      </c>
      <c r="B10383" s="47" t="s">
        <v>8123</v>
      </c>
      <c r="C10383" s="50">
        <v>20</v>
      </c>
      <c r="D10383" s="2433" t="s">
        <v>8134</v>
      </c>
      <c r="E10383" s="891"/>
    </row>
    <row r="10384" spans="1:5">
      <c r="A10384" s="47" t="s">
        <v>8128</v>
      </c>
      <c r="B10384" s="47" t="s">
        <v>8124</v>
      </c>
      <c r="C10384" s="50">
        <v>20</v>
      </c>
      <c r="D10384" s="2433" t="s">
        <v>8134</v>
      </c>
      <c r="E10384" s="891"/>
    </row>
    <row r="10385" spans="1:5">
      <c r="A10385" s="889"/>
      <c r="B10385" s="47"/>
      <c r="C10385" s="50"/>
      <c r="D10385" s="51"/>
      <c r="E10385" s="891"/>
    </row>
    <row r="10386" spans="1:5">
      <c r="A10386" s="47" t="s">
        <v>8129</v>
      </c>
      <c r="B10386" s="47" t="s">
        <v>8122</v>
      </c>
      <c r="C10386" s="894">
        <v>1</v>
      </c>
      <c r="D10386" s="51">
        <v>65</v>
      </c>
      <c r="E10386" s="891">
        <f>D10386*C10386</f>
        <v>65</v>
      </c>
    </row>
    <row r="10387" spans="1:5">
      <c r="A10387" s="47" t="s">
        <v>8129</v>
      </c>
      <c r="B10387" s="47" t="s">
        <v>8123</v>
      </c>
      <c r="C10387" s="50">
        <v>20</v>
      </c>
      <c r="D10387" s="2433" t="s">
        <v>8134</v>
      </c>
      <c r="E10387" s="891"/>
    </row>
    <row r="10388" spans="1:5">
      <c r="A10388" s="47" t="s">
        <v>8129</v>
      </c>
      <c r="B10388" s="47" t="s">
        <v>8124</v>
      </c>
      <c r="C10388" s="50">
        <v>20</v>
      </c>
      <c r="D10388" s="2433" t="s">
        <v>8134</v>
      </c>
      <c r="E10388" s="891"/>
    </row>
    <row r="10389" spans="1:5">
      <c r="A10389" s="47" t="s">
        <v>8127</v>
      </c>
      <c r="B10389" s="47" t="s">
        <v>8126</v>
      </c>
      <c r="C10389" s="894">
        <v>2</v>
      </c>
      <c r="D10389" s="51">
        <v>75</v>
      </c>
      <c r="E10389" s="891">
        <f>D10389*C10389</f>
        <v>150</v>
      </c>
    </row>
    <row r="10390" spans="1:5">
      <c r="A10390" s="47"/>
      <c r="B10390" s="260" t="s">
        <v>1993</v>
      </c>
      <c r="C10390" s="894">
        <v>1</v>
      </c>
      <c r="D10390" s="891">
        <v>12</v>
      </c>
      <c r="E10390" s="891">
        <f>D10390*C10390</f>
        <v>12</v>
      </c>
    </row>
    <row r="10393" spans="1:5" ht="15">
      <c r="A10393" s="1996" t="s">
        <v>8131</v>
      </c>
      <c r="B10393" s="1996" t="s">
        <v>53</v>
      </c>
      <c r="C10393" s="1996" t="s">
        <v>54</v>
      </c>
      <c r="D10393" s="1996" t="s">
        <v>2448</v>
      </c>
      <c r="E10393" s="1996" t="s">
        <v>2245</v>
      </c>
    </row>
    <row r="10394" spans="1:5" ht="15">
      <c r="A10394" s="24" t="s">
        <v>8121</v>
      </c>
      <c r="B10394" s="24" t="s">
        <v>8122</v>
      </c>
      <c r="C10394" s="45">
        <v>1</v>
      </c>
      <c r="D10394" s="2430">
        <v>6000</v>
      </c>
      <c r="E10394" s="2431">
        <f>D10394*C10394</f>
        <v>6000</v>
      </c>
    </row>
    <row r="10395" spans="1:5" ht="15">
      <c r="A10395" s="24" t="s">
        <v>8121</v>
      </c>
      <c r="B10395" s="24" t="s">
        <v>8123</v>
      </c>
      <c r="C10395" s="67">
        <v>20</v>
      </c>
      <c r="D10395" s="2432" t="s">
        <v>8130</v>
      </c>
      <c r="E10395" s="2431"/>
    </row>
    <row r="10396" spans="1:5" ht="15">
      <c r="A10396" s="24" t="s">
        <v>8121</v>
      </c>
      <c r="B10396" s="24" t="s">
        <v>8124</v>
      </c>
      <c r="C10396" s="67">
        <v>20</v>
      </c>
      <c r="D10396" s="2432" t="s">
        <v>8130</v>
      </c>
      <c r="E10396" s="2431"/>
    </row>
    <row r="10397" spans="1:5" ht="15">
      <c r="A10397" s="24" t="s">
        <v>8121</v>
      </c>
      <c r="B10397" s="24" t="s">
        <v>3334</v>
      </c>
      <c r="C10397" s="45">
        <v>2</v>
      </c>
      <c r="D10397" s="2430">
        <v>7000</v>
      </c>
      <c r="E10397" s="2431">
        <f>D10397*C10397</f>
        <v>14000</v>
      </c>
    </row>
    <row r="10398" spans="1:5" ht="15">
      <c r="A10398" s="20"/>
      <c r="B10398" s="24"/>
      <c r="C10398" s="67"/>
      <c r="D10398" s="2430"/>
      <c r="E10398" s="2431"/>
    </row>
    <row r="10399" spans="1:5" ht="15">
      <c r="A10399" s="24" t="s">
        <v>8125</v>
      </c>
      <c r="B10399" s="24" t="s">
        <v>8122</v>
      </c>
      <c r="C10399" s="45">
        <v>1</v>
      </c>
      <c r="D10399" s="2430">
        <v>6000</v>
      </c>
      <c r="E10399" s="2431">
        <f>D10399*C10399</f>
        <v>6000</v>
      </c>
    </row>
    <row r="10400" spans="1:5" ht="15">
      <c r="A10400" s="24" t="s">
        <v>8125</v>
      </c>
      <c r="B10400" s="24" t="s">
        <v>8123</v>
      </c>
      <c r="C10400" s="67">
        <v>20</v>
      </c>
      <c r="D10400" s="2432" t="s">
        <v>8130</v>
      </c>
      <c r="E10400" s="2431"/>
    </row>
    <row r="10401" spans="1:6" ht="15">
      <c r="A10401" s="24" t="s">
        <v>8125</v>
      </c>
      <c r="B10401" s="24" t="s">
        <v>8124</v>
      </c>
      <c r="C10401" s="67">
        <v>20</v>
      </c>
      <c r="D10401" s="2432" t="s">
        <v>8130</v>
      </c>
      <c r="E10401" s="2431"/>
    </row>
    <row r="10402" spans="1:6" ht="15">
      <c r="A10402" s="20"/>
      <c r="B10402" s="24"/>
      <c r="C10402" s="67"/>
      <c r="D10402" s="2430"/>
      <c r="E10402" s="2431"/>
    </row>
    <row r="10403" spans="1:6" ht="15">
      <c r="A10403" s="24" t="s">
        <v>8128</v>
      </c>
      <c r="B10403" s="24" t="s">
        <v>8122</v>
      </c>
      <c r="C10403" s="45">
        <v>1</v>
      </c>
      <c r="D10403" s="2430">
        <v>6000</v>
      </c>
      <c r="E10403" s="2431">
        <f>D10403*C10403</f>
        <v>6000</v>
      </c>
    </row>
    <row r="10404" spans="1:6" ht="15">
      <c r="A10404" s="24" t="s">
        <v>8128</v>
      </c>
      <c r="B10404" s="24" t="s">
        <v>8123</v>
      </c>
      <c r="C10404" s="67">
        <v>20</v>
      </c>
      <c r="D10404" s="2432" t="s">
        <v>8130</v>
      </c>
      <c r="E10404" s="2431"/>
    </row>
    <row r="10405" spans="1:6" ht="15">
      <c r="A10405" s="24" t="s">
        <v>8128</v>
      </c>
      <c r="B10405" s="24" t="s">
        <v>8124</v>
      </c>
      <c r="C10405" s="67">
        <v>20</v>
      </c>
      <c r="D10405" s="2432" t="s">
        <v>8130</v>
      </c>
      <c r="E10405" s="2431"/>
    </row>
    <row r="10406" spans="1:6" ht="15">
      <c r="A10406" s="20"/>
      <c r="B10406" s="24"/>
      <c r="C10406" s="67"/>
      <c r="D10406" s="2430"/>
      <c r="E10406" s="2431"/>
    </row>
    <row r="10407" spans="1:6" ht="15">
      <c r="A10407" s="24" t="s">
        <v>8129</v>
      </c>
      <c r="B10407" s="24" t="s">
        <v>8122</v>
      </c>
      <c r="C10407" s="45">
        <v>1</v>
      </c>
      <c r="D10407" s="2430">
        <v>6000</v>
      </c>
      <c r="E10407" s="2431">
        <f>D10407*C10407</f>
        <v>6000</v>
      </c>
    </row>
    <row r="10408" spans="1:6" ht="15">
      <c r="A10408" s="24" t="s">
        <v>8129</v>
      </c>
      <c r="B10408" s="24" t="s">
        <v>8123</v>
      </c>
      <c r="C10408" s="67">
        <v>20</v>
      </c>
      <c r="D10408" s="2432" t="s">
        <v>8130</v>
      </c>
      <c r="E10408" s="2431"/>
    </row>
    <row r="10409" spans="1:6" ht="15">
      <c r="A10409" s="24" t="s">
        <v>8129</v>
      </c>
      <c r="B10409" s="24" t="s">
        <v>8124</v>
      </c>
      <c r="C10409" s="67">
        <v>20</v>
      </c>
      <c r="D10409" s="2432" t="s">
        <v>8130</v>
      </c>
      <c r="E10409" s="2431"/>
    </row>
    <row r="10410" spans="1:6" ht="15">
      <c r="A10410" s="24" t="s">
        <v>8127</v>
      </c>
      <c r="B10410" s="24" t="s">
        <v>8132</v>
      </c>
      <c r="C10410" s="45">
        <v>2</v>
      </c>
      <c r="D10410" s="2430">
        <v>7000</v>
      </c>
      <c r="E10410" s="2431">
        <f>D10410*C10410</f>
        <v>14000</v>
      </c>
    </row>
    <row r="10416" spans="1:6">
      <c r="A10416" s="2100" t="s">
        <v>8131</v>
      </c>
      <c r="B10416" s="2100" t="s">
        <v>53</v>
      </c>
      <c r="C10416" s="887" t="s">
        <v>1186</v>
      </c>
      <c r="D10416" s="887" t="s">
        <v>1652</v>
      </c>
      <c r="E10416" s="887" t="s">
        <v>1653</v>
      </c>
      <c r="F10416" s="2434" t="s">
        <v>8136</v>
      </c>
    </row>
    <row r="10417" spans="1:8">
      <c r="A10417" s="47" t="s">
        <v>2611</v>
      </c>
      <c r="B10417" s="47" t="s">
        <v>78</v>
      </c>
      <c r="C10417" s="948">
        <v>14</v>
      </c>
      <c r="D10417" s="1213">
        <v>47</v>
      </c>
      <c r="E10417" s="49">
        <f>C10417*D10417</f>
        <v>658</v>
      </c>
      <c r="F10417" s="47" t="s">
        <v>8137</v>
      </c>
    </row>
    <row r="10421" spans="1:8">
      <c r="A10421" s="2100" t="s">
        <v>8131</v>
      </c>
      <c r="B10421" s="2100" t="s">
        <v>53</v>
      </c>
      <c r="C10421" s="2100" t="s">
        <v>54</v>
      </c>
      <c r="D10421" s="1997" t="s">
        <v>8133</v>
      </c>
      <c r="E10421" s="1997" t="s">
        <v>2245</v>
      </c>
      <c r="F10421" s="905"/>
      <c r="G10421" s="52" t="s">
        <v>10</v>
      </c>
      <c r="H10421" s="39"/>
    </row>
    <row r="10422" spans="1:8">
      <c r="A10422" s="47" t="s">
        <v>8121</v>
      </c>
      <c r="B10422" s="47" t="s">
        <v>8122</v>
      </c>
      <c r="C10422" s="894">
        <v>1</v>
      </c>
      <c r="D10422" s="891">
        <v>65</v>
      </c>
      <c r="E10422" s="891">
        <f>D10422*C10422</f>
        <v>65</v>
      </c>
    </row>
    <row r="10423" spans="1:8">
      <c r="A10423" s="47" t="s">
        <v>8121</v>
      </c>
      <c r="B10423" s="47" t="s">
        <v>8123</v>
      </c>
      <c r="C10423" s="905">
        <v>20</v>
      </c>
      <c r="D10423" s="1058" t="s">
        <v>8141</v>
      </c>
      <c r="E10423" s="1058" t="s">
        <v>8141</v>
      </c>
    </row>
    <row r="10424" spans="1:8">
      <c r="A10424" s="47" t="s">
        <v>8121</v>
      </c>
      <c r="B10424" s="47" t="s">
        <v>8124</v>
      </c>
      <c r="C10424" s="905">
        <v>20</v>
      </c>
      <c r="D10424" s="1058" t="s">
        <v>8141</v>
      </c>
      <c r="E10424" s="1058" t="s">
        <v>8141</v>
      </c>
    </row>
    <row r="10425" spans="1:8">
      <c r="A10425" s="47" t="s">
        <v>8121</v>
      </c>
      <c r="B10425" s="47" t="s">
        <v>3334</v>
      </c>
      <c r="C10425" s="894">
        <v>2</v>
      </c>
      <c r="D10425" s="891">
        <v>75</v>
      </c>
      <c r="E10425" s="891">
        <f>D10425*C10425</f>
        <v>150</v>
      </c>
    </row>
    <row r="10426" spans="1:8">
      <c r="A10426" s="47"/>
      <c r="B10426" s="47"/>
      <c r="C10426" s="894"/>
      <c r="D10426" s="51"/>
      <c r="E10426" s="891"/>
    </row>
    <row r="10427" spans="1:8">
      <c r="A10427" s="2100" t="s">
        <v>8131</v>
      </c>
      <c r="B10427" s="2100" t="s">
        <v>53</v>
      </c>
      <c r="C10427" s="2100" t="s">
        <v>54</v>
      </c>
      <c r="D10427" s="1997" t="s">
        <v>8133</v>
      </c>
      <c r="E10427" s="1997" t="s">
        <v>2245</v>
      </c>
    </row>
    <row r="10428" spans="1:8">
      <c r="A10428" s="47" t="s">
        <v>8129</v>
      </c>
      <c r="B10428" s="47" t="s">
        <v>8122</v>
      </c>
      <c r="C10428" s="894">
        <v>1</v>
      </c>
      <c r="D10428" s="891">
        <v>65</v>
      </c>
      <c r="E10428" s="891">
        <f>D10428*C10428</f>
        <v>65</v>
      </c>
    </row>
    <row r="10429" spans="1:8">
      <c r="A10429" s="47" t="s">
        <v>8129</v>
      </c>
      <c r="B10429" s="47" t="s">
        <v>8123</v>
      </c>
      <c r="C10429" s="905">
        <v>10</v>
      </c>
      <c r="D10429" s="1058" t="s">
        <v>8141</v>
      </c>
      <c r="E10429" s="1058" t="s">
        <v>8141</v>
      </c>
    </row>
    <row r="10430" spans="1:8">
      <c r="A10430" s="47" t="s">
        <v>8129</v>
      </c>
      <c r="B10430" s="47" t="s">
        <v>8124</v>
      </c>
      <c r="C10430" s="905">
        <v>10</v>
      </c>
      <c r="D10430" s="1058" t="s">
        <v>8141</v>
      </c>
      <c r="E10430" s="1058" t="s">
        <v>8141</v>
      </c>
    </row>
    <row r="10431" spans="1:8">
      <c r="A10431" s="889"/>
      <c r="B10431" s="47"/>
      <c r="C10431" s="905"/>
      <c r="D10431" s="891"/>
      <c r="E10431" s="891"/>
    </row>
    <row r="10432" spans="1:8">
      <c r="A10432" s="47" t="s">
        <v>8125</v>
      </c>
      <c r="B10432" s="47" t="s">
        <v>8122</v>
      </c>
      <c r="C10432" s="894">
        <v>1</v>
      </c>
      <c r="D10432" s="891">
        <v>65</v>
      </c>
      <c r="E10432" s="891">
        <f>D10432*C10432</f>
        <v>65</v>
      </c>
    </row>
    <row r="10433" spans="1:7">
      <c r="A10433" s="47" t="s">
        <v>8125</v>
      </c>
      <c r="B10433" s="47" t="s">
        <v>8123</v>
      </c>
      <c r="C10433" s="905">
        <v>10</v>
      </c>
      <c r="D10433" s="1058" t="s">
        <v>8141</v>
      </c>
      <c r="E10433" s="1058" t="s">
        <v>8141</v>
      </c>
    </row>
    <row r="10434" spans="1:7">
      <c r="A10434" s="47" t="s">
        <v>8125</v>
      </c>
      <c r="B10434" s="47" t="s">
        <v>8124</v>
      </c>
      <c r="C10434" s="905">
        <v>10</v>
      </c>
      <c r="D10434" s="1058" t="s">
        <v>8141</v>
      </c>
      <c r="E10434" s="1058" t="s">
        <v>8141</v>
      </c>
    </row>
    <row r="10435" spans="1:7">
      <c r="A10435" s="889"/>
      <c r="B10435" s="47"/>
      <c r="C10435" s="905"/>
      <c r="D10435" s="891"/>
      <c r="E10435" s="891"/>
    </row>
    <row r="10436" spans="1:7">
      <c r="A10436" s="47" t="s">
        <v>8128</v>
      </c>
      <c r="B10436" s="47" t="s">
        <v>8122</v>
      </c>
      <c r="C10436" s="894">
        <v>1</v>
      </c>
      <c r="D10436" s="891">
        <v>65</v>
      </c>
      <c r="E10436" s="891">
        <f>D10436*C10436</f>
        <v>65</v>
      </c>
    </row>
    <row r="10437" spans="1:7">
      <c r="A10437" s="47" t="s">
        <v>8128</v>
      </c>
      <c r="B10437" s="47" t="s">
        <v>8123</v>
      </c>
      <c r="C10437" s="905">
        <v>10</v>
      </c>
      <c r="D10437" s="1058" t="s">
        <v>8141</v>
      </c>
      <c r="E10437" s="1058" t="s">
        <v>8141</v>
      </c>
    </row>
    <row r="10438" spans="1:7">
      <c r="A10438" s="47" t="s">
        <v>8128</v>
      </c>
      <c r="B10438" s="47" t="s">
        <v>8124</v>
      </c>
      <c r="C10438" s="905">
        <v>10</v>
      </c>
      <c r="D10438" s="1058" t="s">
        <v>8141</v>
      </c>
      <c r="E10438" s="1058" t="s">
        <v>8141</v>
      </c>
    </row>
    <row r="10439" spans="1:7">
      <c r="A10439" s="47" t="s">
        <v>8140</v>
      </c>
      <c r="B10439" s="47" t="s">
        <v>8126</v>
      </c>
      <c r="C10439" s="894">
        <v>2</v>
      </c>
      <c r="D10439" s="891">
        <v>75</v>
      </c>
      <c r="E10439" s="891">
        <f>D10439*C10439</f>
        <v>150</v>
      </c>
    </row>
    <row r="10440" spans="1:7">
      <c r="A10440" s="47"/>
      <c r="B10440" s="260" t="s">
        <v>1993</v>
      </c>
      <c r="C10440" s="894">
        <v>1</v>
      </c>
      <c r="D10440" s="891">
        <v>12</v>
      </c>
      <c r="E10440" s="891">
        <f>D10440*C10440</f>
        <v>12</v>
      </c>
    </row>
    <row r="10443" spans="1:7">
      <c r="A10443" t="s">
        <v>8143</v>
      </c>
    </row>
    <row r="10444" spans="1:7" s="1199" customFormat="1" ht="27">
      <c r="A10444" s="886" t="s">
        <v>1400</v>
      </c>
      <c r="B10444" s="951" t="s">
        <v>53</v>
      </c>
      <c r="C10444" s="953" t="s">
        <v>2467</v>
      </c>
      <c r="D10444" s="951" t="s">
        <v>1752</v>
      </c>
      <c r="E10444" s="2318" t="s">
        <v>8146</v>
      </c>
      <c r="F10444" s="939" t="s">
        <v>6080</v>
      </c>
      <c r="G10444" s="940" t="s">
        <v>6081</v>
      </c>
    </row>
    <row r="10445" spans="1:7" s="1274" customFormat="1" ht="24" customHeight="1">
      <c r="A10445" s="954">
        <v>2440</v>
      </c>
      <c r="B10445" s="954" t="s">
        <v>8144</v>
      </c>
      <c r="C10445" s="1277">
        <v>4.38</v>
      </c>
      <c r="D10445" s="954" t="s">
        <v>8145</v>
      </c>
      <c r="E10445" s="954">
        <f>310+30</f>
        <v>340</v>
      </c>
      <c r="F10445" s="2317">
        <f>(C10445-(E10445/G10445))/C10445</f>
        <v>0.35312024353120236</v>
      </c>
      <c r="G10445" s="2000">
        <v>120</v>
      </c>
    </row>
    <row r="10446" spans="1:7" s="1274" customFormat="1" ht="24" customHeight="1">
      <c r="A10446" s="954">
        <v>2440</v>
      </c>
      <c r="B10446" s="954" t="s">
        <v>8147</v>
      </c>
      <c r="C10446" s="1277">
        <v>9.07</v>
      </c>
      <c r="D10446" s="954" t="s">
        <v>8148</v>
      </c>
      <c r="E10446" s="954">
        <v>870</v>
      </c>
      <c r="F10446" s="2317">
        <f>(C10446-(E10446/G10446))/C10446</f>
        <v>0.20066152149944877</v>
      </c>
      <c r="G10446" s="2000">
        <v>120</v>
      </c>
    </row>
    <row r="10448" spans="1:7">
      <c r="A10448" t="s">
        <v>8151</v>
      </c>
    </row>
    <row r="10449" spans="1:117" s="888" customFormat="1" ht="25.5">
      <c r="A10449" s="1166" t="s">
        <v>1369</v>
      </c>
      <c r="B10449" s="1184" t="s">
        <v>377</v>
      </c>
      <c r="C10449" s="1167" t="s">
        <v>2</v>
      </c>
      <c r="D10449" s="1168" t="s">
        <v>1734</v>
      </c>
      <c r="E10449" s="1169" t="s">
        <v>5527</v>
      </c>
      <c r="F10449" s="2183" t="s">
        <v>6673</v>
      </c>
      <c r="G10449" s="2184" t="s">
        <v>6669</v>
      </c>
      <c r="H10449" s="2184" t="s">
        <v>6670</v>
      </c>
    </row>
    <row r="10450" spans="1:117" s="888" customFormat="1" ht="12.75">
      <c r="A10450" s="1170" t="s">
        <v>8149</v>
      </c>
      <c r="B10450" s="1187" t="s">
        <v>24</v>
      </c>
      <c r="C10450" s="2435">
        <v>50</v>
      </c>
      <c r="D10450" s="1172" t="s">
        <v>1812</v>
      </c>
      <c r="E10450" s="1061">
        <v>1.3800000000000001</v>
      </c>
      <c r="F10450" s="2200">
        <v>82</v>
      </c>
      <c r="G10450" s="2186">
        <f>(((E10450*H10450)-F10450)/(E10450*H10450))</f>
        <v>0.50483091787439616</v>
      </c>
      <c r="H10450" s="2187">
        <v>120</v>
      </c>
    </row>
    <row r="10451" spans="1:117" s="1019" customFormat="1" ht="15" customHeight="1">
      <c r="A10451" s="1170" t="s">
        <v>8149</v>
      </c>
      <c r="B10451" s="1187" t="s">
        <v>356</v>
      </c>
      <c r="C10451" s="2435">
        <v>50</v>
      </c>
      <c r="D10451" s="1172" t="s">
        <v>1812</v>
      </c>
      <c r="E10451" s="1061">
        <v>2.0599999999999996</v>
      </c>
      <c r="F10451" s="2200">
        <v>123</v>
      </c>
      <c r="G10451" s="2186">
        <f>(((E10451*H10451)-F10451)/(E10451*H10451))</f>
        <v>0.50242718446601931</v>
      </c>
      <c r="H10451" s="2187">
        <v>120</v>
      </c>
      <c r="I10451" s="1191"/>
      <c r="J10451" s="1191"/>
      <c r="K10451" s="1191"/>
      <c r="L10451" s="1191"/>
      <c r="M10451" s="1191"/>
      <c r="N10451" s="1191"/>
      <c r="O10451" s="1191"/>
      <c r="P10451" s="1191"/>
      <c r="Q10451" s="1191"/>
      <c r="R10451" s="1191"/>
      <c r="S10451" s="1191"/>
      <c r="T10451" s="1191"/>
      <c r="U10451" s="1191"/>
      <c r="V10451" s="1191"/>
      <c r="W10451" s="1191"/>
      <c r="X10451" s="1191"/>
      <c r="Y10451" s="1191"/>
      <c r="Z10451" s="1191"/>
      <c r="AA10451" s="1191"/>
      <c r="AB10451" s="1191"/>
      <c r="AC10451" s="1191"/>
      <c r="AD10451" s="1191"/>
      <c r="AE10451" s="1191"/>
      <c r="AF10451" s="1191"/>
      <c r="AG10451" s="1191"/>
      <c r="AH10451" s="1191"/>
      <c r="AI10451" s="1191"/>
      <c r="AJ10451" s="1191"/>
      <c r="AK10451" s="1191"/>
      <c r="AL10451" s="1191"/>
      <c r="AM10451" s="1191"/>
      <c r="AN10451" s="1191"/>
      <c r="AO10451" s="1191"/>
      <c r="AP10451" s="1191"/>
      <c r="AQ10451" s="1191"/>
      <c r="AR10451" s="1191"/>
      <c r="AS10451" s="1191"/>
      <c r="AT10451" s="1191"/>
      <c r="AU10451" s="1191"/>
      <c r="AV10451" s="1191"/>
      <c r="AW10451" s="1191"/>
      <c r="AX10451" s="1191"/>
      <c r="AY10451" s="1191"/>
      <c r="AZ10451" s="1191"/>
      <c r="BA10451" s="1191"/>
      <c r="BB10451" s="1191"/>
      <c r="BC10451" s="1191"/>
      <c r="BD10451" s="1191"/>
      <c r="BE10451" s="1191"/>
      <c r="BF10451" s="1191"/>
      <c r="BG10451" s="1191"/>
      <c r="BH10451" s="1191"/>
      <c r="BI10451" s="1191"/>
      <c r="BJ10451" s="1191"/>
      <c r="BK10451" s="1191"/>
      <c r="BL10451" s="1191"/>
      <c r="BM10451" s="1191"/>
      <c r="BN10451" s="1191"/>
      <c r="BO10451" s="1191"/>
      <c r="BP10451" s="1191"/>
      <c r="BQ10451" s="1191"/>
      <c r="BR10451" s="1191"/>
      <c r="BS10451" s="1191"/>
      <c r="BT10451" s="1191"/>
      <c r="BU10451" s="1191"/>
      <c r="BV10451" s="1191"/>
      <c r="BW10451" s="1191"/>
      <c r="BX10451" s="1191"/>
      <c r="BY10451" s="1191"/>
      <c r="BZ10451" s="1191"/>
      <c r="CA10451" s="1191"/>
      <c r="CB10451" s="1191"/>
      <c r="CC10451" s="1191"/>
      <c r="CD10451" s="1191"/>
      <c r="CE10451" s="1191"/>
      <c r="CF10451" s="1191"/>
      <c r="CG10451" s="1191"/>
      <c r="CH10451" s="1191"/>
      <c r="CI10451" s="1191"/>
      <c r="CJ10451" s="1191"/>
      <c r="CK10451" s="1191"/>
      <c r="CL10451" s="1191"/>
      <c r="CM10451" s="1191"/>
      <c r="CN10451" s="1191"/>
      <c r="CO10451" s="1191"/>
      <c r="CP10451" s="1191"/>
      <c r="CQ10451" s="1191"/>
      <c r="CR10451" s="1191"/>
      <c r="CS10451" s="1191"/>
      <c r="CT10451" s="1191"/>
      <c r="CU10451" s="1191"/>
      <c r="CV10451" s="1191"/>
      <c r="CW10451" s="1191"/>
      <c r="CX10451" s="1191"/>
      <c r="CY10451" s="1191"/>
      <c r="CZ10451" s="1191"/>
      <c r="DA10451" s="1191"/>
      <c r="DB10451" s="1191"/>
      <c r="DC10451" s="1191"/>
      <c r="DD10451" s="1191"/>
      <c r="DE10451" s="1191"/>
      <c r="DF10451" s="1191"/>
      <c r="DG10451" s="1191"/>
      <c r="DH10451" s="1191"/>
      <c r="DI10451" s="1191"/>
      <c r="DJ10451" s="1191"/>
      <c r="DK10451" s="1191"/>
      <c r="DL10451" s="1191"/>
      <c r="DM10451" s="1191"/>
    </row>
    <row r="10452" spans="1:117" ht="40.5">
      <c r="A10452" s="2355" t="s">
        <v>8150</v>
      </c>
    </row>
    <row r="10455" spans="1:117">
      <c r="A10455" s="1064" t="s">
        <v>8152</v>
      </c>
    </row>
    <row r="10456" spans="1:117" ht="25.5">
      <c r="A10456" s="1996" t="s">
        <v>5583</v>
      </c>
      <c r="B10456" s="1997" t="s">
        <v>980</v>
      </c>
      <c r="C10456" s="1997" t="s">
        <v>1323</v>
      </c>
      <c r="D10456" s="1998" t="s">
        <v>6978</v>
      </c>
      <c r="E10456" s="939" t="s">
        <v>6979</v>
      </c>
      <c r="F10456" s="939" t="s">
        <v>6080</v>
      </c>
      <c r="G10456" s="940" t="s">
        <v>6081</v>
      </c>
    </row>
    <row r="10457" spans="1:117">
      <c r="A10457" s="47" t="s">
        <v>7762</v>
      </c>
      <c r="B10457" s="47" t="s">
        <v>1519</v>
      </c>
      <c r="C10457" s="1061">
        <f t="shared" ref="C10457:C10462" si="115">ROUNDUP(E10457/0.6/120,2)</f>
        <v>0.52</v>
      </c>
      <c r="D10457" s="1245" t="s">
        <v>2346</v>
      </c>
      <c r="E10457" s="2000">
        <v>37</v>
      </c>
      <c r="F10457" s="2317">
        <f t="shared" ref="F10457:F10462" si="116">(C10457-(E10457/G10457))/C10457</f>
        <v>0.40705128205128205</v>
      </c>
      <c r="G10457" s="2000">
        <v>120</v>
      </c>
      <c r="H10457" s="389"/>
    </row>
    <row r="10458" spans="1:117">
      <c r="A10458" s="47" t="s">
        <v>7763</v>
      </c>
      <c r="B10458" s="47" t="s">
        <v>6582</v>
      </c>
      <c r="C10458" s="1061">
        <f t="shared" si="115"/>
        <v>1.49</v>
      </c>
      <c r="D10458" s="2260" t="s">
        <v>7551</v>
      </c>
      <c r="E10458" s="47">
        <f>37+70</f>
        <v>107</v>
      </c>
      <c r="F10458" s="2317">
        <f t="shared" si="116"/>
        <v>0.40156599552572703</v>
      </c>
      <c r="G10458" s="2000">
        <v>120</v>
      </c>
      <c r="H10458" s="1957" t="s">
        <v>7552</v>
      </c>
    </row>
    <row r="10459" spans="1:117">
      <c r="A10459" s="47" t="s">
        <v>7760</v>
      </c>
      <c r="B10459" s="47" t="s">
        <v>1519</v>
      </c>
      <c r="C10459" s="1061">
        <f t="shared" si="115"/>
        <v>0.59</v>
      </c>
      <c r="D10459" s="1245" t="s">
        <v>2346</v>
      </c>
      <c r="E10459" s="2000">
        <v>42</v>
      </c>
      <c r="F10459" s="2317">
        <f t="shared" si="116"/>
        <v>0.40677966101694918</v>
      </c>
      <c r="G10459" s="2000">
        <v>120</v>
      </c>
      <c r="H10459" s="389"/>
    </row>
    <row r="10460" spans="1:117">
      <c r="A10460" s="47" t="s">
        <v>7761</v>
      </c>
      <c r="B10460" s="47" t="s">
        <v>6582</v>
      </c>
      <c r="C10460" s="1061">
        <f t="shared" si="115"/>
        <v>1.56</v>
      </c>
      <c r="D10460" s="2260" t="s">
        <v>7551</v>
      </c>
      <c r="E10460" s="47">
        <f>42+70</f>
        <v>112</v>
      </c>
      <c r="F10460" s="2317">
        <f t="shared" si="116"/>
        <v>0.40170940170940173</v>
      </c>
      <c r="G10460" s="2000">
        <v>120</v>
      </c>
      <c r="H10460" s="1957" t="s">
        <v>7552</v>
      </c>
    </row>
    <row r="10461" spans="1:117">
      <c r="A10461" s="47" t="s">
        <v>7786</v>
      </c>
      <c r="B10461" s="47" t="s">
        <v>1519</v>
      </c>
      <c r="C10461" s="1061">
        <f t="shared" si="115"/>
        <v>1.35</v>
      </c>
      <c r="D10461" s="1245" t="s">
        <v>2346</v>
      </c>
      <c r="E10461" s="2000">
        <v>97</v>
      </c>
      <c r="F10461" s="2317">
        <f t="shared" si="116"/>
        <v>0.40123456790123457</v>
      </c>
      <c r="G10461" s="2000">
        <v>120</v>
      </c>
      <c r="H10461" s="389"/>
    </row>
    <row r="10462" spans="1:117">
      <c r="A10462" s="47" t="s">
        <v>7787</v>
      </c>
      <c r="B10462" s="47" t="s">
        <v>6582</v>
      </c>
      <c r="C10462" s="1061">
        <f t="shared" si="115"/>
        <v>2.46</v>
      </c>
      <c r="D10462" s="2260" t="s">
        <v>7767</v>
      </c>
      <c r="E10462" s="47">
        <f>97+80</f>
        <v>177</v>
      </c>
      <c r="F10462" s="2317">
        <f t="shared" si="116"/>
        <v>0.40040650406504058</v>
      </c>
      <c r="G10462" s="2000">
        <v>120</v>
      </c>
      <c r="H10462" s="1957" t="s">
        <v>7766</v>
      </c>
    </row>
    <row r="10467" spans="1:7">
      <c r="A10467" s="902" t="s">
        <v>106</v>
      </c>
      <c r="B10467" s="902" t="s">
        <v>377</v>
      </c>
      <c r="C10467" s="902" t="s">
        <v>128</v>
      </c>
      <c r="D10467" s="887" t="s">
        <v>1186</v>
      </c>
      <c r="E10467" s="887" t="s">
        <v>1652</v>
      </c>
      <c r="F10467" s="887" t="s">
        <v>1653</v>
      </c>
      <c r="G10467" s="887" t="s">
        <v>5574</v>
      </c>
    </row>
    <row r="10468" spans="1:7">
      <c r="A10468" s="47">
        <v>2440</v>
      </c>
      <c r="B10468" s="1146">
        <v>140</v>
      </c>
      <c r="C10468" s="47" t="s">
        <v>8154</v>
      </c>
      <c r="D10468" s="905">
        <v>58</v>
      </c>
      <c r="E10468" s="906">
        <v>1</v>
      </c>
      <c r="F10468" s="50">
        <f t="shared" ref="F10468:F10473" si="117">D10468*E10468</f>
        <v>58</v>
      </c>
      <c r="G10468" s="891">
        <v>10.55</v>
      </c>
    </row>
    <row r="10469" spans="1:7">
      <c r="A10469" s="47"/>
      <c r="B10469" s="2015"/>
      <c r="C10469" s="260" t="s">
        <v>1993</v>
      </c>
      <c r="D10469" s="894"/>
      <c r="E10469" s="906"/>
      <c r="F10469" s="894">
        <v>1</v>
      </c>
      <c r="G10469" s="891">
        <v>20</v>
      </c>
    </row>
    <row r="10470" spans="1:7">
      <c r="A10470" s="1116"/>
      <c r="B10470" s="921"/>
      <c r="C10470" s="921"/>
      <c r="D10470" s="922"/>
      <c r="E10470" s="923"/>
      <c r="F10470" s="924"/>
      <c r="G10470" s="925"/>
    </row>
    <row r="10471" spans="1:7">
      <c r="A10471" s="902" t="s">
        <v>106</v>
      </c>
      <c r="B10471" s="902" t="s">
        <v>377</v>
      </c>
      <c r="C10471" s="902" t="s">
        <v>128</v>
      </c>
      <c r="D10471" s="887" t="s">
        <v>1186</v>
      </c>
      <c r="E10471" s="887" t="s">
        <v>1652</v>
      </c>
      <c r="F10471" s="887" t="s">
        <v>1653</v>
      </c>
      <c r="G10471" s="887" t="s">
        <v>5574</v>
      </c>
    </row>
    <row r="10472" spans="1:7">
      <c r="A10472" s="47">
        <v>2440</v>
      </c>
      <c r="B10472" s="1146">
        <v>140</v>
      </c>
      <c r="C10472" s="47" t="s">
        <v>8155</v>
      </c>
      <c r="D10472" s="905">
        <v>58</v>
      </c>
      <c r="E10472" s="906">
        <v>1</v>
      </c>
      <c r="F10472" s="50">
        <f t="shared" si="117"/>
        <v>58</v>
      </c>
      <c r="G10472" s="891">
        <v>5.53</v>
      </c>
    </row>
    <row r="10473" spans="1:7">
      <c r="A10473" s="47">
        <v>2440</v>
      </c>
      <c r="B10473" s="1146">
        <v>140</v>
      </c>
      <c r="C10473" s="47" t="s">
        <v>6922</v>
      </c>
      <c r="D10473" s="905">
        <v>30</v>
      </c>
      <c r="E10473" s="906">
        <v>1</v>
      </c>
      <c r="F10473" s="905">
        <f t="shared" si="117"/>
        <v>30</v>
      </c>
      <c r="G10473" s="891">
        <v>5.53</v>
      </c>
    </row>
    <row r="10474" spans="1:7">
      <c r="A10474" s="47"/>
      <c r="B10474" s="2015"/>
      <c r="C10474" s="260" t="s">
        <v>5355</v>
      </c>
      <c r="D10474" s="894"/>
      <c r="E10474" s="906"/>
      <c r="F10474" s="894">
        <v>1</v>
      </c>
      <c r="G10474" s="891">
        <v>12</v>
      </c>
    </row>
    <row r="10477" spans="1:7" ht="14.25">
      <c r="A10477" s="28" t="s">
        <v>8158</v>
      </c>
    </row>
    <row r="10478" spans="1:7" ht="15">
      <c r="A10478" s="728" t="s">
        <v>1603</v>
      </c>
      <c r="B10478" s="728" t="s">
        <v>53</v>
      </c>
      <c r="C10478" s="728" t="s">
        <v>1946</v>
      </c>
      <c r="D10478" s="1997" t="s">
        <v>1323</v>
      </c>
      <c r="E10478" s="1997" t="s">
        <v>8161</v>
      </c>
      <c r="F10478" s="939" t="s">
        <v>6080</v>
      </c>
      <c r="G10478" s="940" t="s">
        <v>6081</v>
      </c>
    </row>
    <row r="10479" spans="1:7" ht="14.25">
      <c r="A10479" s="726" t="s">
        <v>2349</v>
      </c>
      <c r="B10479" s="720" t="s">
        <v>129</v>
      </c>
      <c r="C10479" s="720" t="s">
        <v>8159</v>
      </c>
      <c r="D10479" s="794">
        <v>1.88</v>
      </c>
      <c r="E10479" s="47">
        <v>135</v>
      </c>
      <c r="F10479" s="2317">
        <f>(D10479-(E10479/G10479))/D10479</f>
        <v>0.40159574468085102</v>
      </c>
      <c r="G10479" s="2000">
        <v>120</v>
      </c>
    </row>
    <row r="10480" spans="1:7" ht="14.25">
      <c r="A10480" s="726" t="s">
        <v>2349</v>
      </c>
      <c r="B10480" s="720" t="s">
        <v>129</v>
      </c>
      <c r="C10480" s="720" t="s">
        <v>8160</v>
      </c>
      <c r="D10480" s="794">
        <v>1.81</v>
      </c>
      <c r="E10480" s="47">
        <v>130</v>
      </c>
      <c r="F10480" s="2317">
        <f>(D10480-(E10480/G10480))/D10480</f>
        <v>0.4014732965009209</v>
      </c>
      <c r="G10480" s="2000">
        <v>120</v>
      </c>
    </row>
    <row r="10481" spans="1:9" ht="14.25">
      <c r="A10481" s="726" t="s">
        <v>2349</v>
      </c>
      <c r="B10481" s="720" t="s">
        <v>129</v>
      </c>
      <c r="C10481" s="720" t="s">
        <v>8162</v>
      </c>
      <c r="D10481" s="794">
        <v>1.6</v>
      </c>
      <c r="E10481" s="47">
        <v>115</v>
      </c>
      <c r="F10481" s="2317">
        <f>(D10481-(E10481/G10481))/D10481</f>
        <v>0.40104166666666669</v>
      </c>
      <c r="G10481" s="2000">
        <v>120</v>
      </c>
    </row>
    <row r="10486" spans="1:9">
      <c r="A10486" s="902" t="s">
        <v>106</v>
      </c>
      <c r="B10486" s="902" t="s">
        <v>128</v>
      </c>
      <c r="C10486" s="887" t="s">
        <v>1186</v>
      </c>
      <c r="D10486" s="887" t="s">
        <v>1652</v>
      </c>
      <c r="E10486" s="887" t="s">
        <v>1653</v>
      </c>
      <c r="F10486" s="1997" t="s">
        <v>1323</v>
      </c>
    </row>
    <row r="10487" spans="1:9">
      <c r="A10487" s="47" t="s">
        <v>242</v>
      </c>
      <c r="B10487" s="47" t="s">
        <v>78</v>
      </c>
      <c r="C10487" s="903">
        <v>13.7</v>
      </c>
      <c r="D10487" s="906">
        <v>105</v>
      </c>
      <c r="E10487" s="2369">
        <f>C10487*D10487</f>
        <v>1438.5</v>
      </c>
      <c r="F10487" s="891">
        <v>1.39</v>
      </c>
    </row>
    <row r="10489" spans="1:9">
      <c r="A10489" s="902" t="s">
        <v>8175</v>
      </c>
    </row>
    <row r="10490" spans="1:9" ht="25.5">
      <c r="A10490" s="1996" t="s">
        <v>5583</v>
      </c>
      <c r="B10490" s="1997" t="s">
        <v>980</v>
      </c>
      <c r="C10490" s="1997" t="s">
        <v>1323</v>
      </c>
      <c r="D10490" s="1998" t="s">
        <v>8171</v>
      </c>
      <c r="E10490" s="1998" t="s">
        <v>6978</v>
      </c>
      <c r="F10490" s="939" t="s">
        <v>6979</v>
      </c>
      <c r="G10490" s="939" t="s">
        <v>6080</v>
      </c>
      <c r="H10490" s="940" t="s">
        <v>6081</v>
      </c>
    </row>
    <row r="10491" spans="1:9">
      <c r="A10491" s="47" t="s">
        <v>8164</v>
      </c>
      <c r="B10491" s="47" t="s">
        <v>8169</v>
      </c>
      <c r="C10491" s="1061">
        <f>ROUNDUP(F10491/0.6/120,2)</f>
        <v>1.74</v>
      </c>
      <c r="D10491" s="2260" t="s">
        <v>8172</v>
      </c>
      <c r="E10491" s="1245" t="s">
        <v>2346</v>
      </c>
      <c r="F10491" s="2000">
        <v>125</v>
      </c>
      <c r="G10491" s="2317">
        <f>(C10491-(F10491/H10491))/C10491</f>
        <v>0.40134099616858232</v>
      </c>
      <c r="H10491" s="2000">
        <v>120</v>
      </c>
      <c r="I10491" s="389"/>
    </row>
    <row r="10492" spans="1:9">
      <c r="A10492" s="47" t="s">
        <v>8165</v>
      </c>
      <c r="B10492" s="47" t="s">
        <v>8170</v>
      </c>
      <c r="C10492" s="1061">
        <f>ROUNDUP(F10492/0.6/120,2)</f>
        <v>2.71</v>
      </c>
      <c r="D10492" s="2260" t="s">
        <v>8172</v>
      </c>
      <c r="E10492" s="2260" t="s">
        <v>8173</v>
      </c>
      <c r="F10492" s="47">
        <f>125+70</f>
        <v>195</v>
      </c>
      <c r="G10492" s="2317">
        <f>(C10492-(F10492/H10492))/C10492</f>
        <v>0.40036900369003692</v>
      </c>
      <c r="H10492" s="2000">
        <v>120</v>
      </c>
      <c r="I10492" s="1957" t="s">
        <v>7552</v>
      </c>
    </row>
    <row r="10493" spans="1:9">
      <c r="A10493" s="895"/>
      <c r="B10493" s="895"/>
      <c r="C10493" s="1918"/>
      <c r="D10493" s="2436"/>
      <c r="E10493" s="2436"/>
      <c r="F10493" s="895"/>
      <c r="G10493" s="2331"/>
      <c r="H10493" s="2285"/>
      <c r="I10493" s="1957"/>
    </row>
    <row r="10495" spans="1:9">
      <c r="A10495" s="902" t="s">
        <v>8174</v>
      </c>
      <c r="B10495" s="47"/>
      <c r="C10495" s="905"/>
      <c r="D10495" s="906"/>
      <c r="E10495" s="905"/>
      <c r="F10495" s="52" t="s">
        <v>134</v>
      </c>
    </row>
    <row r="10496" spans="1:9" ht="25.5">
      <c r="A10496" s="902" t="s">
        <v>8167</v>
      </c>
      <c r="B10496" s="902" t="s">
        <v>53</v>
      </c>
      <c r="C10496" s="902" t="s">
        <v>54</v>
      </c>
      <c r="D10496" s="1997" t="s">
        <v>8168</v>
      </c>
    </row>
    <row r="10497" spans="1:9">
      <c r="A10497" s="47" t="s">
        <v>7722</v>
      </c>
      <c r="B10497" s="260" t="s">
        <v>7728</v>
      </c>
      <c r="C10497" s="905">
        <v>5775</v>
      </c>
      <c r="D10497" s="891">
        <v>5.25</v>
      </c>
    </row>
    <row r="10500" spans="1:9">
      <c r="A10500" t="s">
        <v>8180</v>
      </c>
    </row>
    <row r="10501" spans="1:9" s="1199" customFormat="1" ht="40.5">
      <c r="A10501" s="886" t="s">
        <v>1400</v>
      </c>
      <c r="B10501" s="846" t="s">
        <v>2561</v>
      </c>
      <c r="C10501" s="951" t="s">
        <v>53</v>
      </c>
      <c r="D10501" s="953" t="s">
        <v>2467</v>
      </c>
      <c r="E10501" s="951" t="s">
        <v>1752</v>
      </c>
      <c r="F10501" s="2318" t="s">
        <v>8146</v>
      </c>
      <c r="G10501" s="939" t="s">
        <v>6080</v>
      </c>
      <c r="H10501" s="940" t="s">
        <v>6081</v>
      </c>
    </row>
    <row r="10502" spans="1:9" s="1274" customFormat="1" ht="24" customHeight="1">
      <c r="A10502" s="954" t="s">
        <v>8177</v>
      </c>
      <c r="B10502" s="837" t="s">
        <v>8179</v>
      </c>
      <c r="C10502" s="954" t="s">
        <v>2317</v>
      </c>
      <c r="D10502" s="1277">
        <v>6.25</v>
      </c>
      <c r="E10502" s="954" t="s">
        <v>8178</v>
      </c>
      <c r="F10502" s="954">
        <f>570+30</f>
        <v>600</v>
      </c>
      <c r="G10502" s="2317">
        <f>(D10502-(F10502/H10502))/D10502</f>
        <v>0.2</v>
      </c>
      <c r="H10502" s="2000">
        <v>120</v>
      </c>
    </row>
    <row r="10506" spans="1:9">
      <c r="A10506" s="902" t="s">
        <v>106</v>
      </c>
      <c r="B10506" s="902" t="s">
        <v>377</v>
      </c>
      <c r="C10506" s="902" t="s">
        <v>128</v>
      </c>
      <c r="D10506" s="887" t="s">
        <v>1653</v>
      </c>
      <c r="E10506" s="953" t="s">
        <v>2467</v>
      </c>
      <c r="F10506" s="1250" t="s">
        <v>2245</v>
      </c>
    </row>
    <row r="10507" spans="1:9">
      <c r="A10507" s="47" t="s">
        <v>1093</v>
      </c>
      <c r="B10507" s="907">
        <v>150</v>
      </c>
      <c r="C10507" s="260" t="s">
        <v>8181</v>
      </c>
      <c r="D10507" s="905">
        <v>5</v>
      </c>
      <c r="E10507" s="891">
        <v>6.25</v>
      </c>
      <c r="F10507" s="891">
        <f>E10507*D10507</f>
        <v>31.25</v>
      </c>
    </row>
    <row r="10508" spans="1:9">
      <c r="A10508" s="47"/>
      <c r="B10508" s="893"/>
      <c r="C10508" s="260" t="s">
        <v>5355</v>
      </c>
      <c r="D10508" s="894">
        <v>1</v>
      </c>
      <c r="E10508" s="891">
        <v>12</v>
      </c>
      <c r="F10508" s="891">
        <f>E10508*D10508</f>
        <v>12</v>
      </c>
    </row>
    <row r="10509" spans="1:9">
      <c r="A10509" s="47"/>
      <c r="B10509" s="893"/>
      <c r="C10509" s="260" t="s">
        <v>1993</v>
      </c>
      <c r="D10509" s="894">
        <v>1</v>
      </c>
      <c r="E10509" s="891">
        <v>12</v>
      </c>
      <c r="F10509" s="891">
        <f>E10509*D10509</f>
        <v>12</v>
      </c>
    </row>
    <row r="10511" spans="1:9">
      <c r="A10511" s="629" t="s">
        <v>8183</v>
      </c>
    </row>
    <row r="10512" spans="1:9" ht="15">
      <c r="A10512" s="1996" t="s">
        <v>1603</v>
      </c>
      <c r="B10512" s="1996" t="s">
        <v>52</v>
      </c>
      <c r="C10512" s="1996" t="s">
        <v>128</v>
      </c>
      <c r="D10512" s="1997" t="s">
        <v>1053</v>
      </c>
      <c r="E10512" s="1997" t="s">
        <v>6976</v>
      </c>
      <c r="F10512" s="2001" t="s">
        <v>5955</v>
      </c>
      <c r="G10512" s="2002" t="s">
        <v>5956</v>
      </c>
      <c r="H10512" s="2258"/>
      <c r="I10512" s="2259"/>
    </row>
    <row r="10513" spans="1:9" ht="38.25">
      <c r="A10513" s="47" t="s">
        <v>8184</v>
      </c>
      <c r="B10513" s="47" t="s">
        <v>7059</v>
      </c>
      <c r="C10513" s="47" t="s">
        <v>6972</v>
      </c>
      <c r="D10513" s="2092" t="s">
        <v>8185</v>
      </c>
      <c r="E10513" s="1245">
        <v>0.55000000000000004</v>
      </c>
      <c r="F10513" s="1999">
        <v>33</v>
      </c>
      <c r="G10513" s="2000">
        <v>18000</v>
      </c>
      <c r="H10513" s="2258">
        <f>(((E10513*I10513)-F10513)/(E10513*I10513))</f>
        <v>0.5</v>
      </c>
      <c r="I10513" s="2259">
        <v>120</v>
      </c>
    </row>
    <row r="10516" spans="1:9">
      <c r="A10516" s="629" t="s">
        <v>8187</v>
      </c>
    </row>
    <row r="10517" spans="1:9" ht="24">
      <c r="A10517" s="902" t="s">
        <v>455</v>
      </c>
      <c r="B10517" s="902" t="s">
        <v>8190</v>
      </c>
      <c r="C10517" s="902" t="s">
        <v>8191</v>
      </c>
      <c r="D10517" s="902" t="s">
        <v>8197</v>
      </c>
      <c r="E10517" s="902" t="s">
        <v>8199</v>
      </c>
      <c r="F10517" s="902" t="s">
        <v>1825</v>
      </c>
      <c r="G10517" s="2437" t="s">
        <v>8193</v>
      </c>
      <c r="H10517" s="2037" t="s">
        <v>6080</v>
      </c>
      <c r="I10517" s="2037" t="s">
        <v>6081</v>
      </c>
    </row>
    <row r="10518" spans="1:9" ht="14.25">
      <c r="A10518" s="103" t="s">
        <v>8188</v>
      </c>
      <c r="B10518" s="103" t="s">
        <v>8189</v>
      </c>
      <c r="C10518" s="103" t="s">
        <v>8192</v>
      </c>
      <c r="D10518" s="103" t="s">
        <v>8198</v>
      </c>
      <c r="E10518" s="103" t="s">
        <v>8200</v>
      </c>
      <c r="F10518" s="1370">
        <f>ROUNDUP(G10518/0.8/120,2)</f>
        <v>10.94</v>
      </c>
      <c r="G10518" s="317">
        <f>950+100</f>
        <v>1050</v>
      </c>
      <c r="H10518" s="2070">
        <f>(F10518-(G10518/I10518))/F10518</f>
        <v>0.20018281535648991</v>
      </c>
      <c r="I10518" s="2071">
        <v>120</v>
      </c>
    </row>
    <row r="10519" spans="1:9" ht="14.25">
      <c r="A10519" s="103" t="s">
        <v>8194</v>
      </c>
      <c r="B10519" s="103" t="s">
        <v>8189</v>
      </c>
      <c r="C10519" s="103" t="s">
        <v>8192</v>
      </c>
      <c r="D10519" s="103" t="s">
        <v>8198</v>
      </c>
      <c r="E10519" s="103" t="s">
        <v>8200</v>
      </c>
      <c r="F10519" s="1370">
        <f>ROUNDUP(G10519/0.8/120,2)</f>
        <v>10.94</v>
      </c>
      <c r="G10519" s="317">
        <f>950+100</f>
        <v>1050</v>
      </c>
      <c r="H10519" s="2070">
        <f>(F10519-(G10519/I10519))/F10519</f>
        <v>0.20018281535648991</v>
      </c>
      <c r="I10519" s="2071">
        <v>120</v>
      </c>
    </row>
    <row r="10520" spans="1:9" ht="14.25">
      <c r="A10520" s="103" t="s">
        <v>8195</v>
      </c>
      <c r="B10520" s="103" t="s">
        <v>8189</v>
      </c>
      <c r="C10520" s="103" t="s">
        <v>8192</v>
      </c>
      <c r="D10520" s="103" t="s">
        <v>8198</v>
      </c>
      <c r="E10520" s="103" t="s">
        <v>8200</v>
      </c>
      <c r="F10520" s="1370">
        <f>ROUNDUP(G10520/0.8/120,2)</f>
        <v>10.94</v>
      </c>
      <c r="G10520" s="317">
        <f>950+100</f>
        <v>1050</v>
      </c>
      <c r="H10520" s="2070">
        <f>(F10520-(G10520/I10520))/F10520</f>
        <v>0.20018281535648991</v>
      </c>
      <c r="I10520" s="2071">
        <v>120</v>
      </c>
    </row>
    <row r="10521" spans="1:9" ht="14.25">
      <c r="A10521" s="103" t="s">
        <v>8196</v>
      </c>
      <c r="B10521" s="103" t="s">
        <v>8189</v>
      </c>
      <c r="C10521" s="103" t="s">
        <v>8192</v>
      </c>
      <c r="D10521" s="103" t="s">
        <v>8198</v>
      </c>
      <c r="E10521" s="103" t="s">
        <v>8200</v>
      </c>
      <c r="F10521" s="1370">
        <f>ROUNDUP(G10521/0.8/120,2)</f>
        <v>9.17</v>
      </c>
      <c r="G10521" s="317">
        <f>780+100</f>
        <v>880</v>
      </c>
      <c r="H10521" s="2070">
        <f>(F10521-(G10521/I10521))/F10521</f>
        <v>0.20029080334423849</v>
      </c>
      <c r="I10521" s="2071">
        <v>120</v>
      </c>
    </row>
    <row r="10525" spans="1:9" ht="15">
      <c r="A10525" s="1996" t="s">
        <v>1603</v>
      </c>
      <c r="B10525" s="1996" t="s">
        <v>52</v>
      </c>
      <c r="C10525" s="1996" t="s">
        <v>53</v>
      </c>
      <c r="D10525" s="1996" t="s">
        <v>54</v>
      </c>
      <c r="E10525" s="1997" t="s">
        <v>6976</v>
      </c>
      <c r="F10525" s="1250" t="s">
        <v>2245</v>
      </c>
    </row>
    <row r="10526" spans="1:9">
      <c r="A10526" s="47" t="s">
        <v>8184</v>
      </c>
      <c r="B10526" s="48">
        <v>10</v>
      </c>
      <c r="C10526" s="47" t="s">
        <v>944</v>
      </c>
      <c r="D10526" s="905">
        <v>25</v>
      </c>
      <c r="E10526" s="891">
        <v>0.55000000000000004</v>
      </c>
      <c r="F10526" s="891">
        <f t="shared" ref="F10526:F10531" si="118">E10526*D10526</f>
        <v>13.750000000000002</v>
      </c>
    </row>
    <row r="10527" spans="1:9">
      <c r="A10527" s="47" t="s">
        <v>8184</v>
      </c>
      <c r="B10527" s="48">
        <v>10</v>
      </c>
      <c r="C10527" s="47" t="s">
        <v>8201</v>
      </c>
      <c r="D10527" s="905">
        <v>25</v>
      </c>
      <c r="E10527" s="891">
        <v>0.55000000000000004</v>
      </c>
      <c r="F10527" s="891">
        <f t="shared" si="118"/>
        <v>13.750000000000002</v>
      </c>
    </row>
    <row r="10528" spans="1:9">
      <c r="A10528" s="47" t="s">
        <v>8184</v>
      </c>
      <c r="B10528" s="48">
        <v>10</v>
      </c>
      <c r="C10528" s="47" t="s">
        <v>8202</v>
      </c>
      <c r="D10528" s="905">
        <v>25</v>
      </c>
      <c r="E10528" s="891">
        <v>0.55000000000000004</v>
      </c>
      <c r="F10528" s="891">
        <f t="shared" si="118"/>
        <v>13.750000000000002</v>
      </c>
    </row>
    <row r="10529" spans="1:9">
      <c r="A10529" s="47"/>
      <c r="B10529" s="2015"/>
      <c r="C10529" s="260" t="s">
        <v>3334</v>
      </c>
      <c r="D10529" s="894">
        <v>3</v>
      </c>
      <c r="E10529" s="891">
        <v>190</v>
      </c>
      <c r="F10529" s="891">
        <f t="shared" si="118"/>
        <v>570</v>
      </c>
    </row>
    <row r="10530" spans="1:9">
      <c r="A10530" s="47"/>
      <c r="B10530" s="2015"/>
      <c r="C10530" s="260" t="s">
        <v>8203</v>
      </c>
      <c r="D10530" s="894">
        <v>3</v>
      </c>
      <c r="E10530" s="891">
        <v>30</v>
      </c>
      <c r="F10530" s="891">
        <f t="shared" si="118"/>
        <v>90</v>
      </c>
    </row>
    <row r="10531" spans="1:9">
      <c r="A10531" s="47"/>
      <c r="B10531" s="2015"/>
      <c r="C10531" s="260" t="s">
        <v>1993</v>
      </c>
      <c r="D10531" s="894">
        <v>1</v>
      </c>
      <c r="E10531" s="891">
        <v>12</v>
      </c>
      <c r="F10531" s="891">
        <f t="shared" si="118"/>
        <v>12</v>
      </c>
    </row>
    <row r="10534" spans="1:9">
      <c r="A10534" s="902" t="s">
        <v>8207</v>
      </c>
    </row>
    <row r="10535" spans="1:9" ht="25.5">
      <c r="A10535" s="1996" t="s">
        <v>5583</v>
      </c>
      <c r="B10535" s="1997" t="s">
        <v>980</v>
      </c>
      <c r="C10535" s="1997" t="s">
        <v>1323</v>
      </c>
      <c r="D10535" s="1998" t="s">
        <v>8171</v>
      </c>
      <c r="E10535" s="1998" t="s">
        <v>6978</v>
      </c>
      <c r="F10535" s="939" t="s">
        <v>6979</v>
      </c>
      <c r="G10535" s="939" t="s">
        <v>6080</v>
      </c>
      <c r="H10535" s="940" t="s">
        <v>6081</v>
      </c>
    </row>
    <row r="10536" spans="1:9" ht="25.5">
      <c r="A10536" s="2092" t="s">
        <v>8209</v>
      </c>
      <c r="B10536" s="47" t="s">
        <v>8169</v>
      </c>
      <c r="C10536" s="1061">
        <v>1.6</v>
      </c>
      <c r="D10536" s="2260" t="s">
        <v>8172</v>
      </c>
      <c r="E10536" s="1245" t="s">
        <v>2346</v>
      </c>
      <c r="F10536" s="2000">
        <v>115</v>
      </c>
      <c r="G10536" s="2317">
        <f t="shared" ref="G10536:G10543" si="119">(C10536-(F10536/H10536))/C10536</f>
        <v>0.40104166666666669</v>
      </c>
      <c r="H10536" s="2000">
        <v>120</v>
      </c>
      <c r="I10536" s="2439" t="s">
        <v>8208</v>
      </c>
    </row>
    <row r="10537" spans="1:9" ht="25.5">
      <c r="A10537" s="2092" t="s">
        <v>8210</v>
      </c>
      <c r="B10537" s="47" t="s">
        <v>8170</v>
      </c>
      <c r="C10537" s="1061">
        <f>ROUNDUP(F10537/0.6/120,2)</f>
        <v>2.57</v>
      </c>
      <c r="D10537" s="2260" t="s">
        <v>8172</v>
      </c>
      <c r="E10537" s="2260" t="s">
        <v>8173</v>
      </c>
      <c r="F10537" s="47">
        <f>115+70</f>
        <v>185</v>
      </c>
      <c r="G10537" s="2317">
        <f t="shared" si="119"/>
        <v>0.40012970168612183</v>
      </c>
      <c r="H10537" s="2000">
        <v>120</v>
      </c>
      <c r="I10537" s="1957" t="s">
        <v>7552</v>
      </c>
    </row>
    <row r="10538" spans="1:9">
      <c r="A10538" s="2092"/>
      <c r="B10538" s="47"/>
      <c r="C10538" s="1061"/>
      <c r="D10538" s="2260"/>
      <c r="E10538" s="2260"/>
      <c r="F10538" s="47"/>
      <c r="G10538" s="2317"/>
      <c r="H10538" s="2000"/>
      <c r="I10538" s="1957"/>
    </row>
    <row r="10539" spans="1:9" ht="25.5">
      <c r="A10539" s="2092" t="s">
        <v>8211</v>
      </c>
      <c r="B10539" s="47" t="s">
        <v>8169</v>
      </c>
      <c r="C10539" s="1061">
        <v>1.95</v>
      </c>
      <c r="D10539" s="2260" t="s">
        <v>8172</v>
      </c>
      <c r="E10539" s="1245" t="s">
        <v>2346</v>
      </c>
      <c r="F10539" s="2000">
        <v>140</v>
      </c>
      <c r="G10539" s="2317">
        <f t="shared" si="119"/>
        <v>0.40170940170940167</v>
      </c>
      <c r="H10539" s="2000">
        <v>120</v>
      </c>
      <c r="I10539" s="389"/>
    </row>
    <row r="10540" spans="1:9" ht="25.5">
      <c r="A10540" s="2092" t="s">
        <v>8212</v>
      </c>
      <c r="B10540" s="47" t="s">
        <v>8170</v>
      </c>
      <c r="C10540" s="1061">
        <f>ROUNDUP(F10540/0.6/120,2)</f>
        <v>2.92</v>
      </c>
      <c r="D10540" s="2260" t="s">
        <v>8172</v>
      </c>
      <c r="E10540" s="2260" t="s">
        <v>8173</v>
      </c>
      <c r="F10540" s="47">
        <f>140+70</f>
        <v>210</v>
      </c>
      <c r="G10540" s="2317">
        <f t="shared" si="119"/>
        <v>0.40068493150684931</v>
      </c>
      <c r="H10540" s="2000">
        <v>120</v>
      </c>
      <c r="I10540" s="1957" t="s">
        <v>7552</v>
      </c>
    </row>
    <row r="10541" spans="1:9">
      <c r="A10541" s="2092"/>
      <c r="B10541" s="47"/>
      <c r="C10541" s="1061"/>
      <c r="D10541" s="2260"/>
      <c r="E10541" s="2260"/>
      <c r="F10541" s="47"/>
      <c r="G10541" s="2317"/>
      <c r="H10541" s="2000"/>
      <c r="I10541" s="1957"/>
    </row>
    <row r="10542" spans="1:9" ht="25.5">
      <c r="A10542" s="2092" t="s">
        <v>8213</v>
      </c>
      <c r="B10542" s="47" t="s">
        <v>8169</v>
      </c>
      <c r="C10542" s="1061">
        <v>2.1</v>
      </c>
      <c r="D10542" s="2260" t="s">
        <v>8172</v>
      </c>
      <c r="E10542" s="1245" t="s">
        <v>2346</v>
      </c>
      <c r="F10542" s="2000">
        <v>151</v>
      </c>
      <c r="G10542" s="2317">
        <f t="shared" si="119"/>
        <v>0.40079365079365081</v>
      </c>
      <c r="H10542" s="2000">
        <v>120</v>
      </c>
      <c r="I10542" s="389"/>
    </row>
    <row r="10543" spans="1:9" ht="25.5">
      <c r="A10543" s="2092" t="s">
        <v>8214</v>
      </c>
      <c r="B10543" s="47" t="s">
        <v>8170</v>
      </c>
      <c r="C10543" s="1061">
        <f>ROUNDUP(F10543/0.6/120,2)</f>
        <v>3.07</v>
      </c>
      <c r="D10543" s="2260" t="s">
        <v>8172</v>
      </c>
      <c r="E10543" s="2260" t="s">
        <v>8173</v>
      </c>
      <c r="F10543" s="47">
        <f>151+70</f>
        <v>221</v>
      </c>
      <c r="G10543" s="2317">
        <f t="shared" si="119"/>
        <v>0.40010857763300761</v>
      </c>
      <c r="H10543" s="2000">
        <v>120</v>
      </c>
      <c r="I10543" s="1957" t="s">
        <v>7552</v>
      </c>
    </row>
    <row r="10544" spans="1:9">
      <c r="A10544" s="888"/>
    </row>
    <row r="10545" spans="1:8">
      <c r="A10545" s="2440" t="s">
        <v>8216</v>
      </c>
    </row>
    <row r="10546" spans="1:8" ht="15">
      <c r="A10546" s="1996" t="s">
        <v>1603</v>
      </c>
      <c r="B10546" s="1996" t="s">
        <v>128</v>
      </c>
      <c r="C10546" s="1997" t="s">
        <v>1053</v>
      </c>
      <c r="D10546" s="1997" t="s">
        <v>6976</v>
      </c>
      <c r="E10546" s="2001" t="s">
        <v>5955</v>
      </c>
      <c r="F10546" s="2002" t="s">
        <v>5956</v>
      </c>
      <c r="G10546" s="2258"/>
      <c r="H10546" s="2259"/>
    </row>
    <row r="10547" spans="1:8" ht="25.5">
      <c r="A10547" s="47" t="s">
        <v>8217</v>
      </c>
      <c r="B10547" s="47" t="s">
        <v>6972</v>
      </c>
      <c r="C10547" s="2092" t="s">
        <v>8218</v>
      </c>
      <c r="D10547" s="1245">
        <v>0.37</v>
      </c>
      <c r="E10547" s="1999">
        <v>22</v>
      </c>
      <c r="F10547" s="2000">
        <v>18000</v>
      </c>
      <c r="G10547" s="2258">
        <f>(((D10547*H10547)-E10547)/(D10547*H10547))</f>
        <v>0.50450450450450446</v>
      </c>
      <c r="H10547" s="2259">
        <v>120</v>
      </c>
    </row>
    <row r="10548" spans="1:8">
      <c r="A10548" s="47" t="s">
        <v>8217</v>
      </c>
      <c r="B10548" s="47" t="s">
        <v>5974</v>
      </c>
      <c r="C10548" s="47" t="s">
        <v>5953</v>
      </c>
      <c r="D10548" s="1245">
        <v>0.37</v>
      </c>
      <c r="E10548" s="1999">
        <v>22</v>
      </c>
      <c r="F10548" s="2000"/>
      <c r="G10548" s="2258">
        <f>(((D10548*H10548)-E10548)/(D10548*H10548))</f>
        <v>0.50450450450450446</v>
      </c>
      <c r="H10548" s="2259">
        <v>120</v>
      </c>
    </row>
    <row r="10550" spans="1:8">
      <c r="C10550" s="2355"/>
    </row>
    <row r="10551" spans="1:8" s="888" customFormat="1" ht="12.75">
      <c r="A10551" s="2441" t="s">
        <v>1603</v>
      </c>
      <c r="B10551" s="2100" t="s">
        <v>52</v>
      </c>
      <c r="C10551" s="902" t="s">
        <v>128</v>
      </c>
      <c r="D10551" s="902" t="s">
        <v>1186</v>
      </c>
      <c r="E10551" s="902" t="s">
        <v>1652</v>
      </c>
      <c r="F10551" s="902" t="s">
        <v>1653</v>
      </c>
      <c r="G10551" s="1997" t="s">
        <v>1323</v>
      </c>
    </row>
    <row r="10552" spans="1:8" s="888" customFormat="1" ht="12.75">
      <c r="A10552" s="47" t="s">
        <v>8217</v>
      </c>
      <c r="B10552" s="2052">
        <v>9</v>
      </c>
      <c r="C10552" s="47" t="s">
        <v>5974</v>
      </c>
      <c r="D10552" s="905">
        <v>100</v>
      </c>
      <c r="E10552" s="906">
        <v>1</v>
      </c>
      <c r="F10552" s="905">
        <f>E10552*D10552</f>
        <v>100</v>
      </c>
      <c r="G10552" s="891">
        <v>0.37</v>
      </c>
    </row>
    <row r="10553" spans="1:8" s="888" customFormat="1" ht="12.75">
      <c r="A10553" s="47"/>
      <c r="B10553" s="893"/>
      <c r="C10553" s="260" t="s">
        <v>1993</v>
      </c>
      <c r="D10553" s="905"/>
      <c r="E10553" s="906"/>
      <c r="F10553" s="894">
        <v>1</v>
      </c>
      <c r="G10553" s="891">
        <v>12</v>
      </c>
    </row>
    <row r="10554" spans="1:8" s="888" customFormat="1" ht="12"/>
    <row r="10558" spans="1:8" ht="15">
      <c r="A10558" s="1996" t="s">
        <v>1603</v>
      </c>
      <c r="B10558" s="1996" t="s">
        <v>128</v>
      </c>
      <c r="C10558" s="1997" t="s">
        <v>1053</v>
      </c>
      <c r="D10558" s="1997" t="s">
        <v>6976</v>
      </c>
    </row>
    <row r="10559" spans="1:8" ht="25.5">
      <c r="A10559" s="47" t="s">
        <v>8217</v>
      </c>
      <c r="B10559" s="47" t="s">
        <v>6972</v>
      </c>
      <c r="C10559" s="2092" t="s">
        <v>8218</v>
      </c>
      <c r="D10559" s="1245" t="s">
        <v>8220</v>
      </c>
    </row>
    <row r="10560" spans="1:8" ht="25.5">
      <c r="A10560" s="47" t="s">
        <v>8217</v>
      </c>
      <c r="B10560" s="2092" t="s">
        <v>5974</v>
      </c>
      <c r="C10560" s="47" t="s">
        <v>5953</v>
      </c>
      <c r="D10560" s="1245" t="s">
        <v>8220</v>
      </c>
    </row>
    <row r="10563" spans="1:7">
      <c r="A10563" s="2441" t="s">
        <v>1603</v>
      </c>
      <c r="B10563" s="2100" t="s">
        <v>52</v>
      </c>
      <c r="C10563" s="902" t="s">
        <v>128</v>
      </c>
      <c r="D10563" s="902" t="s">
        <v>1186</v>
      </c>
      <c r="E10563" s="902" t="s">
        <v>1652</v>
      </c>
      <c r="F10563" s="902" t="s">
        <v>1653</v>
      </c>
      <c r="G10563" s="1997" t="s">
        <v>1323</v>
      </c>
    </row>
    <row r="10564" spans="1:7">
      <c r="A10564" s="889" t="s">
        <v>6221</v>
      </c>
      <c r="B10564" s="48"/>
      <c r="C10564" s="47"/>
      <c r="D10564" s="905"/>
      <c r="E10564" s="906"/>
      <c r="F10564" s="905"/>
      <c r="G10564" s="52" t="s">
        <v>134</v>
      </c>
    </row>
    <row r="10565" spans="1:7">
      <c r="A10565" s="47" t="s">
        <v>6214</v>
      </c>
      <c r="B10565" s="48">
        <v>9</v>
      </c>
      <c r="C10565" s="47" t="s">
        <v>8227</v>
      </c>
      <c r="D10565" s="905">
        <v>30</v>
      </c>
      <c r="E10565" s="906">
        <v>1</v>
      </c>
      <c r="F10565" s="905">
        <f>D10565*E10565</f>
        <v>30</v>
      </c>
      <c r="G10565" s="891">
        <v>1.25</v>
      </c>
    </row>
    <row r="10566" spans="1:7">
      <c r="A10566" s="47" t="s">
        <v>6214</v>
      </c>
      <c r="B10566" s="48">
        <v>15</v>
      </c>
      <c r="C10566" s="47" t="s">
        <v>8227</v>
      </c>
      <c r="D10566" s="905">
        <v>30</v>
      </c>
      <c r="E10566" s="906">
        <v>1</v>
      </c>
      <c r="F10566" s="905">
        <f>D10566*E10566</f>
        <v>30</v>
      </c>
      <c r="G10566" s="891">
        <v>1.53</v>
      </c>
    </row>
    <row r="10567" spans="1:7">
      <c r="A10567" s="889" t="s">
        <v>3737</v>
      </c>
      <c r="B10567" s="48"/>
      <c r="C10567" s="47"/>
      <c r="D10567" s="905"/>
      <c r="E10567" s="906"/>
      <c r="F10567" s="905"/>
      <c r="G10567" s="52" t="s">
        <v>134</v>
      </c>
    </row>
    <row r="10568" spans="1:7">
      <c r="A10568" s="47">
        <v>3744</v>
      </c>
      <c r="B10568" s="48">
        <v>15</v>
      </c>
      <c r="C10568" s="47" t="s">
        <v>8228</v>
      </c>
      <c r="D10568" s="905">
        <v>50</v>
      </c>
      <c r="E10568" s="906">
        <v>1</v>
      </c>
      <c r="F10568" s="905">
        <f>D10568*E10568</f>
        <v>50</v>
      </c>
      <c r="G10568" s="891">
        <v>0.77</v>
      </c>
    </row>
    <row r="10569" spans="1:7">
      <c r="A10569" s="47"/>
      <c r="B10569" s="893"/>
      <c r="C10569" s="260" t="s">
        <v>1993</v>
      </c>
      <c r="D10569" s="905"/>
      <c r="E10569" s="906"/>
      <c r="F10569" s="894">
        <v>1</v>
      </c>
      <c r="G10569" s="891">
        <v>24</v>
      </c>
    </row>
    <row r="10572" spans="1:7">
      <c r="A10572" s="2441" t="s">
        <v>1603</v>
      </c>
      <c r="B10572" s="902" t="s">
        <v>128</v>
      </c>
      <c r="C10572" s="902" t="s">
        <v>1653</v>
      </c>
      <c r="D10572" s="1997" t="s">
        <v>1323</v>
      </c>
    </row>
    <row r="10573" spans="1:7">
      <c r="A10573" s="47" t="s">
        <v>6913</v>
      </c>
      <c r="B10573" s="47" t="s">
        <v>78</v>
      </c>
      <c r="C10573" s="905">
        <v>100</v>
      </c>
      <c r="D10573" s="891">
        <v>0.59</v>
      </c>
    </row>
    <row r="10574" spans="1:7">
      <c r="A10574" s="1059"/>
      <c r="B10574" s="47" t="s">
        <v>2975</v>
      </c>
      <c r="C10574" s="894">
        <v>1</v>
      </c>
      <c r="D10574" s="891">
        <v>12</v>
      </c>
    </row>
    <row r="10576" spans="1:7" ht="15">
      <c r="A10576" s="1871" t="s">
        <v>8235</v>
      </c>
      <c r="B10576" s="1871"/>
      <c r="C10576" s="1871"/>
      <c r="D10576" s="1871"/>
      <c r="E10576" s="1871"/>
      <c r="F10576" s="1871"/>
    </row>
    <row r="10577" spans="1:7">
      <c r="A10577" s="887" t="s">
        <v>455</v>
      </c>
      <c r="B10577" s="887" t="s">
        <v>128</v>
      </c>
      <c r="C10577" s="887" t="s">
        <v>1053</v>
      </c>
      <c r="D10577" s="1783" t="s">
        <v>1323</v>
      </c>
      <c r="F10577" s="2037" t="s">
        <v>6080</v>
      </c>
      <c r="G10577" s="317" t="s">
        <v>6081</v>
      </c>
    </row>
    <row r="10578" spans="1:7">
      <c r="A10578" s="47" t="s">
        <v>3330</v>
      </c>
      <c r="B10578" s="47" t="s">
        <v>7694</v>
      </c>
      <c r="C10578" s="905">
        <v>10</v>
      </c>
      <c r="D10578" s="891">
        <f>ROUNDUP(E10578/0.6/120,2)</f>
        <v>0.69000000000000006</v>
      </c>
      <c r="E10578" s="1957">
        <v>49</v>
      </c>
      <c r="F10578" s="2070">
        <f>(D10578-(E10578/G10578))/D10578</f>
        <v>0.40821256038647347</v>
      </c>
      <c r="G10578" s="317">
        <v>120</v>
      </c>
    </row>
    <row r="10579" spans="1:7">
      <c r="A10579" s="47" t="s">
        <v>3330</v>
      </c>
      <c r="B10579" s="47" t="s">
        <v>5801</v>
      </c>
      <c r="C10579" s="905">
        <v>100</v>
      </c>
      <c r="D10579" s="891">
        <f>ROUNDUP(E10579/0.6/120,2)</f>
        <v>1.66</v>
      </c>
      <c r="E10579" s="1957">
        <f>49+70</f>
        <v>119</v>
      </c>
      <c r="F10579" s="2070">
        <f>(D10579-(E10579/G10579))/D10579</f>
        <v>0.40261044176706823</v>
      </c>
      <c r="G10579" s="317">
        <v>120</v>
      </c>
    </row>
    <row r="10580" spans="1:7">
      <c r="A10580" t="s">
        <v>8237</v>
      </c>
    </row>
    <row r="10584" spans="1:7">
      <c r="A10584" s="2441" t="s">
        <v>1603</v>
      </c>
      <c r="B10584" s="2100" t="s">
        <v>52</v>
      </c>
      <c r="C10584" s="902" t="s">
        <v>128</v>
      </c>
      <c r="D10584" s="902" t="s">
        <v>1186</v>
      </c>
      <c r="E10584" s="902" t="s">
        <v>1652</v>
      </c>
      <c r="F10584" s="902" t="s">
        <v>1653</v>
      </c>
      <c r="G10584" s="1997" t="s">
        <v>1323</v>
      </c>
    </row>
    <row r="10585" spans="1:7">
      <c r="A10585" s="47">
        <v>5291</v>
      </c>
      <c r="B10585" s="48">
        <v>8</v>
      </c>
      <c r="C10585" s="47" t="s">
        <v>499</v>
      </c>
      <c r="D10585" s="905">
        <v>50</v>
      </c>
      <c r="E10585" s="906">
        <v>8</v>
      </c>
      <c r="F10585" s="905">
        <f>D10585*E10585</f>
        <v>400</v>
      </c>
      <c r="G10585" s="891">
        <v>0.54</v>
      </c>
    </row>
    <row r="10586" spans="1:7">
      <c r="A10586" s="47"/>
      <c r="B10586" s="893"/>
      <c r="C10586" s="260" t="s">
        <v>1993</v>
      </c>
      <c r="D10586" s="905"/>
      <c r="E10586" s="906"/>
      <c r="F10586" s="894">
        <v>1</v>
      </c>
      <c r="G10586" s="891">
        <v>12</v>
      </c>
    </row>
    <row r="10588" spans="1:7">
      <c r="A10588" s="887" t="s">
        <v>455</v>
      </c>
      <c r="B10588" s="887" t="s">
        <v>128</v>
      </c>
      <c r="C10588" s="887" t="s">
        <v>54</v>
      </c>
      <c r="D10588" s="1783" t="s">
        <v>1323</v>
      </c>
    </row>
    <row r="10589" spans="1:7">
      <c r="A10589" s="47" t="s">
        <v>3330</v>
      </c>
      <c r="B10589" s="47" t="s">
        <v>8240</v>
      </c>
      <c r="C10589" s="905">
        <v>40</v>
      </c>
      <c r="D10589" s="891">
        <v>0.69</v>
      </c>
    </row>
    <row r="10590" spans="1:7">
      <c r="A10590" s="1059"/>
      <c r="B10590" s="47" t="s">
        <v>256</v>
      </c>
      <c r="C10590" s="894">
        <v>1</v>
      </c>
      <c r="D10590" s="891">
        <v>75</v>
      </c>
    </row>
    <row r="10591" spans="1:7">
      <c r="A10591" s="1059"/>
      <c r="B10591" s="47" t="s">
        <v>2975</v>
      </c>
      <c r="C10591" s="894">
        <v>1</v>
      </c>
      <c r="D10591" s="891">
        <v>12</v>
      </c>
    </row>
    <row r="10596" spans="1:7">
      <c r="A10596" s="2441" t="s">
        <v>1603</v>
      </c>
      <c r="B10596" s="2100" t="s">
        <v>52</v>
      </c>
      <c r="C10596" s="2100" t="s">
        <v>8249</v>
      </c>
      <c r="D10596" s="902" t="s">
        <v>1186</v>
      </c>
      <c r="E10596" s="902" t="s">
        <v>1652</v>
      </c>
      <c r="F10596" s="902" t="s">
        <v>1653</v>
      </c>
      <c r="G10596" s="902" t="s">
        <v>8250</v>
      </c>
    </row>
    <row r="10597" spans="1:7">
      <c r="A10597" s="47">
        <v>4141</v>
      </c>
      <c r="B10597" s="260">
        <v>6</v>
      </c>
      <c r="C10597" s="47" t="s">
        <v>8247</v>
      </c>
      <c r="D10597" s="905">
        <v>20</v>
      </c>
      <c r="E10597" s="906">
        <v>51</v>
      </c>
      <c r="F10597" s="905">
        <f>D10597*E10597</f>
        <v>1020</v>
      </c>
      <c r="G10597" s="902"/>
    </row>
    <row r="10598" spans="1:7">
      <c r="A10598" s="47">
        <v>4141</v>
      </c>
      <c r="B10598" s="260">
        <v>6</v>
      </c>
      <c r="C10598" s="47" t="s">
        <v>8248</v>
      </c>
      <c r="D10598" s="905">
        <v>20</v>
      </c>
      <c r="E10598" s="906">
        <v>27</v>
      </c>
      <c r="F10598" s="905">
        <f>D10598*E10598</f>
        <v>540</v>
      </c>
      <c r="G10598" s="902"/>
    </row>
    <row r="10601" spans="1:7">
      <c r="A10601" s="902" t="s">
        <v>106</v>
      </c>
      <c r="B10601" s="902" t="s">
        <v>52</v>
      </c>
      <c r="C10601" s="902" t="s">
        <v>53</v>
      </c>
      <c r="D10601" s="887" t="s">
        <v>1186</v>
      </c>
      <c r="E10601" s="887" t="s">
        <v>1652</v>
      </c>
      <c r="F10601" s="887" t="s">
        <v>1653</v>
      </c>
      <c r="G10601" s="887" t="s">
        <v>5574</v>
      </c>
    </row>
    <row r="10602" spans="1:7">
      <c r="A10602" s="47">
        <v>5291</v>
      </c>
      <c r="B10602" s="48">
        <v>6</v>
      </c>
      <c r="C10602" s="47" t="s">
        <v>29</v>
      </c>
      <c r="D10602" s="905">
        <v>50</v>
      </c>
      <c r="E10602" s="906">
        <v>26</v>
      </c>
      <c r="F10602" s="905">
        <f>D10602*E10602</f>
        <v>1300</v>
      </c>
      <c r="G10602" s="891">
        <v>0.51</v>
      </c>
    </row>
    <row r="10604" spans="1:7">
      <c r="A10604" s="887" t="s">
        <v>8267</v>
      </c>
      <c r="B10604" s="887" t="s">
        <v>8268</v>
      </c>
    </row>
    <row r="10605" spans="1:7">
      <c r="A10605" s="47" t="s">
        <v>8277</v>
      </c>
      <c r="B10605" s="950">
        <v>10</v>
      </c>
    </row>
    <row r="10606" spans="1:7">
      <c r="A10606" s="47" t="s">
        <v>8278</v>
      </c>
      <c r="B10606" s="950">
        <v>15</v>
      </c>
    </row>
    <row r="10607" spans="1:7">
      <c r="A10607" s="47">
        <v>4255</v>
      </c>
      <c r="B10607" s="950">
        <v>10</v>
      </c>
    </row>
    <row r="10608" spans="1:7">
      <c r="A10608" s="47" t="s">
        <v>8260</v>
      </c>
      <c r="B10608" s="950">
        <v>5</v>
      </c>
    </row>
    <row r="10609" spans="1:2">
      <c r="A10609" s="47" t="s">
        <v>8261</v>
      </c>
      <c r="B10609" s="950">
        <v>5</v>
      </c>
    </row>
    <row r="10610" spans="1:2">
      <c r="A10610" s="47" t="s">
        <v>8262</v>
      </c>
      <c r="B10610" s="950">
        <v>10</v>
      </c>
    </row>
    <row r="10611" spans="1:2">
      <c r="A10611" s="47">
        <v>4142</v>
      </c>
      <c r="B10611" s="950">
        <v>10</v>
      </c>
    </row>
    <row r="10612" spans="1:2" ht="25.5">
      <c r="A10612" s="2092" t="s">
        <v>8270</v>
      </c>
      <c r="B10612" s="950" t="s">
        <v>8269</v>
      </c>
    </row>
    <row r="10613" spans="1:2">
      <c r="A10613" s="47" t="s">
        <v>8263</v>
      </c>
      <c r="B10613" s="950">
        <v>5</v>
      </c>
    </row>
    <row r="10614" spans="1:2">
      <c r="A10614" s="47" t="s">
        <v>8264</v>
      </c>
      <c r="B10614" s="950">
        <v>5</v>
      </c>
    </row>
    <row r="10615" spans="1:2">
      <c r="A10615" s="47" t="s">
        <v>8265</v>
      </c>
      <c r="B10615" s="950">
        <v>5</v>
      </c>
    </row>
    <row r="10616" spans="1:2">
      <c r="A10616" s="1202" t="s">
        <v>8279</v>
      </c>
      <c r="B10616" s="1202">
        <f>SUM(B10605:B10615)</f>
        <v>80</v>
      </c>
    </row>
    <row r="10617" spans="1:2">
      <c r="A10617" s="47"/>
      <c r="B10617" s="416"/>
    </row>
    <row r="10618" spans="1:2">
      <c r="A10618" s="887" t="s">
        <v>8266</v>
      </c>
      <c r="B10618" s="416"/>
    </row>
    <row r="10619" spans="1:2">
      <c r="A10619" s="47" t="s">
        <v>8272</v>
      </c>
      <c r="B10619" s="2978" t="s">
        <v>8271</v>
      </c>
    </row>
    <row r="10620" spans="1:2">
      <c r="A10620" s="47" t="s">
        <v>8274</v>
      </c>
      <c r="B10620" s="2979"/>
    </row>
    <row r="10621" spans="1:2">
      <c r="A10621" s="47" t="s">
        <v>8275</v>
      </c>
      <c r="B10621" s="2979"/>
    </row>
    <row r="10622" spans="1:2">
      <c r="A10622" s="47" t="s">
        <v>8273</v>
      </c>
      <c r="B10622" s="2979"/>
    </row>
    <row r="10623" spans="1:2">
      <c r="A10623" s="47" t="s">
        <v>8276</v>
      </c>
      <c r="B10623" s="2980"/>
    </row>
    <row r="10626" spans="1:7">
      <c r="A10626" s="902" t="s">
        <v>106</v>
      </c>
      <c r="B10626" s="902" t="s">
        <v>52</v>
      </c>
      <c r="C10626" s="902" t="s">
        <v>53</v>
      </c>
      <c r="D10626" s="887" t="s">
        <v>1186</v>
      </c>
      <c r="E10626" s="887" t="s">
        <v>1652</v>
      </c>
      <c r="F10626" s="887" t="s">
        <v>1653</v>
      </c>
      <c r="G10626" s="1783" t="s">
        <v>1323</v>
      </c>
    </row>
    <row r="10627" spans="1:7">
      <c r="A10627" s="47">
        <v>3744</v>
      </c>
      <c r="B10627" s="48">
        <v>50</v>
      </c>
      <c r="C10627" s="47" t="s">
        <v>8232</v>
      </c>
      <c r="D10627" s="905">
        <v>20</v>
      </c>
      <c r="E10627" s="906">
        <v>1</v>
      </c>
      <c r="F10627" s="905">
        <f>D10627*E10627</f>
        <v>20</v>
      </c>
      <c r="G10627" s="891">
        <v>2.2799999999999998</v>
      </c>
    </row>
    <row r="10628" spans="1:7">
      <c r="A10628" s="47"/>
      <c r="B10628" s="893"/>
      <c r="C10628" s="260" t="s">
        <v>1993</v>
      </c>
      <c r="D10628" s="905"/>
      <c r="E10628" s="906"/>
      <c r="F10628" s="894">
        <v>1</v>
      </c>
      <c r="G10628" s="891">
        <v>12</v>
      </c>
    </row>
    <row r="10631" spans="1:7" ht="15">
      <c r="A10631" s="1871" t="s">
        <v>8290</v>
      </c>
      <c r="B10631" s="1871"/>
      <c r="C10631" s="1871"/>
      <c r="D10631" s="1871"/>
      <c r="E10631" s="1871"/>
      <c r="F10631" s="1871"/>
    </row>
    <row r="10632" spans="1:7">
      <c r="A10632" s="887" t="s">
        <v>455</v>
      </c>
      <c r="B10632" s="887" t="s">
        <v>128</v>
      </c>
      <c r="C10632" s="887" t="s">
        <v>1053</v>
      </c>
      <c r="D10632" s="1783" t="s">
        <v>1323</v>
      </c>
      <c r="E10632" s="1958" t="s">
        <v>8293</v>
      </c>
      <c r="F10632" s="2037" t="s">
        <v>6080</v>
      </c>
      <c r="G10632" s="317" t="s">
        <v>6081</v>
      </c>
    </row>
    <row r="10633" spans="1:7">
      <c r="A10633" s="47" t="s">
        <v>8291</v>
      </c>
      <c r="B10633" s="47" t="s">
        <v>7696</v>
      </c>
      <c r="C10633" s="905">
        <v>10</v>
      </c>
      <c r="D10633" s="891">
        <f>ROUNDUP(E10633/0.6/120,2)</f>
        <v>1.48</v>
      </c>
      <c r="E10633" s="1957">
        <v>106</v>
      </c>
      <c r="F10633" s="2070">
        <f>(D10633-(E10633/G10633))/D10633</f>
        <v>0.40315315315315314</v>
      </c>
      <c r="G10633" s="317">
        <v>120</v>
      </c>
    </row>
    <row r="10634" spans="1:7">
      <c r="A10634" s="47" t="s">
        <v>8291</v>
      </c>
      <c r="B10634" s="47" t="s">
        <v>8304</v>
      </c>
      <c r="C10634" s="905" t="s">
        <v>8292</v>
      </c>
      <c r="D10634" s="891">
        <f>ROUNDUP(E10634/0.6/120,2)</f>
        <v>2.71</v>
      </c>
      <c r="E10634" s="1957">
        <v>195</v>
      </c>
      <c r="F10634" s="2070">
        <f>(D10634-(E10634/G10634))/D10634</f>
        <v>0.40036900369003692</v>
      </c>
      <c r="G10634" s="317">
        <v>120</v>
      </c>
    </row>
    <row r="10635" spans="1:7">
      <c r="A10635" s="47" t="s">
        <v>8291</v>
      </c>
      <c r="B10635" s="47" t="s">
        <v>8303</v>
      </c>
      <c r="C10635" s="905" t="s">
        <v>8305</v>
      </c>
      <c r="D10635" s="891">
        <f>ROUNDUP(E10635/0.6/120,2)</f>
        <v>2.4499999999999997</v>
      </c>
      <c r="E10635" s="1957">
        <f>106+70</f>
        <v>176</v>
      </c>
      <c r="F10635" s="2070">
        <f>(D10635-(E10635/G10635))/D10635</f>
        <v>0.40136054421768708</v>
      </c>
      <c r="G10635" s="317">
        <v>120</v>
      </c>
    </row>
    <row r="10638" spans="1:7">
      <c r="A10638" s="902" t="s">
        <v>106</v>
      </c>
      <c r="B10638" s="902" t="s">
        <v>52</v>
      </c>
      <c r="C10638" s="902" t="s">
        <v>53</v>
      </c>
      <c r="D10638" s="887" t="s">
        <v>1186</v>
      </c>
      <c r="E10638" s="887" t="s">
        <v>1652</v>
      </c>
      <c r="F10638" s="887" t="s">
        <v>1653</v>
      </c>
      <c r="G10638" s="1783" t="s">
        <v>1323</v>
      </c>
    </row>
    <row r="10639" spans="1:7">
      <c r="A10639" s="47">
        <v>12701</v>
      </c>
      <c r="B10639" s="48">
        <v>19</v>
      </c>
      <c r="C10639" s="47" t="s">
        <v>8297</v>
      </c>
      <c r="D10639" s="905">
        <v>10</v>
      </c>
      <c r="E10639" s="906">
        <v>1</v>
      </c>
      <c r="F10639" s="905">
        <f>D10639*E10639</f>
        <v>10</v>
      </c>
      <c r="G10639" s="891">
        <v>1.25</v>
      </c>
    </row>
    <row r="10640" spans="1:7">
      <c r="A10640" s="47">
        <v>12701</v>
      </c>
      <c r="B10640" s="48">
        <v>19</v>
      </c>
      <c r="C10640" s="47" t="s">
        <v>8296</v>
      </c>
      <c r="D10640" s="905">
        <v>10</v>
      </c>
      <c r="E10640" s="906">
        <v>1</v>
      </c>
      <c r="F10640" s="905">
        <f>D10640*E10640</f>
        <v>10</v>
      </c>
      <c r="G10640" s="891">
        <v>1.25</v>
      </c>
    </row>
    <row r="10641" spans="1:9">
      <c r="A10641" s="47"/>
      <c r="B10641" s="893"/>
      <c r="C10641" s="260" t="s">
        <v>1993</v>
      </c>
      <c r="D10641" s="905"/>
      <c r="E10641" s="906"/>
      <c r="F10641" s="894">
        <v>1</v>
      </c>
      <c r="G10641" s="891">
        <v>12</v>
      </c>
    </row>
    <row r="10645" spans="1:9">
      <c r="A10645" s="902" t="s">
        <v>106</v>
      </c>
      <c r="B10645" s="902" t="s">
        <v>53</v>
      </c>
      <c r="C10645" s="887" t="s">
        <v>1653</v>
      </c>
      <c r="D10645" s="1783" t="s">
        <v>1323</v>
      </c>
      <c r="E10645" s="39"/>
    </row>
    <row r="10646" spans="1:9">
      <c r="A10646" s="47" t="s">
        <v>8301</v>
      </c>
      <c r="B10646" s="47" t="s">
        <v>7696</v>
      </c>
      <c r="C10646" s="905">
        <v>20</v>
      </c>
      <c r="D10646" s="891">
        <v>1.48</v>
      </c>
      <c r="E10646" s="891">
        <f>D10646*C10646</f>
        <v>29.6</v>
      </c>
    </row>
    <row r="10647" spans="1:9">
      <c r="A10647" s="47"/>
      <c r="B10647" s="260" t="s">
        <v>1993</v>
      </c>
      <c r="C10647" s="894">
        <v>1</v>
      </c>
      <c r="D10647" s="891">
        <v>12</v>
      </c>
      <c r="E10647" s="891">
        <f>D10647*C10647</f>
        <v>12</v>
      </c>
    </row>
    <row r="10649" spans="1:9">
      <c r="A10649" t="s">
        <v>8306</v>
      </c>
    </row>
    <row r="10650" spans="1:9" s="1199" customFormat="1" ht="48" customHeight="1">
      <c r="A10650" s="886" t="s">
        <v>1400</v>
      </c>
      <c r="B10650" s="951" t="s">
        <v>53</v>
      </c>
      <c r="C10650" s="953" t="s">
        <v>2467</v>
      </c>
      <c r="D10650" s="951" t="s">
        <v>1752</v>
      </c>
      <c r="E10650" s="2318" t="s">
        <v>8146</v>
      </c>
      <c r="F10650" s="939" t="s">
        <v>6080</v>
      </c>
      <c r="G10650" s="940" t="s">
        <v>6081</v>
      </c>
    </row>
    <row r="10651" spans="1:9" s="1274" customFormat="1" ht="24" customHeight="1">
      <c r="A10651" s="954" t="s">
        <v>8307</v>
      </c>
      <c r="B10651" s="954" t="s">
        <v>2317</v>
      </c>
      <c r="C10651" s="1277">
        <v>31.57</v>
      </c>
      <c r="D10651" s="954" t="s">
        <v>8145</v>
      </c>
      <c r="E10651" s="954">
        <f>3000+30</f>
        <v>3030</v>
      </c>
      <c r="F10651" s="2317">
        <f>(C10651-(E10651/G10651))/C10651</f>
        <v>0.20019005384859045</v>
      </c>
      <c r="G10651" s="2000">
        <v>120</v>
      </c>
    </row>
    <row r="10655" spans="1:9" ht="25.5">
      <c r="A10655" s="1166" t="s">
        <v>1369</v>
      </c>
      <c r="B10655" s="1184" t="s">
        <v>377</v>
      </c>
      <c r="C10655" s="1167" t="s">
        <v>2</v>
      </c>
      <c r="D10655" s="1168" t="s">
        <v>1734</v>
      </c>
      <c r="E10655" s="1169" t="s">
        <v>5527</v>
      </c>
      <c r="F10655" s="1783" t="s">
        <v>8309</v>
      </c>
      <c r="G10655" s="2460" t="s">
        <v>8293</v>
      </c>
      <c r="H10655" s="2037" t="s">
        <v>6080</v>
      </c>
      <c r="I10655" s="317" t="s">
        <v>6081</v>
      </c>
    </row>
    <row r="10656" spans="1:9">
      <c r="A10656" s="1170" t="s">
        <v>8308</v>
      </c>
      <c r="B10656" s="1187">
        <v>3</v>
      </c>
      <c r="C10656" s="1188">
        <v>50</v>
      </c>
      <c r="D10656" s="1172" t="s">
        <v>1812</v>
      </c>
      <c r="E10656" s="1174">
        <v>0.2</v>
      </c>
      <c r="F10656" s="1174" t="s">
        <v>8310</v>
      </c>
      <c r="G10656">
        <v>12</v>
      </c>
      <c r="H10656" s="2070">
        <f>(E10656-(G10656/I10656))/E10656</f>
        <v>0.5</v>
      </c>
      <c r="I10656" s="317">
        <v>120</v>
      </c>
    </row>
    <row r="10657" spans="1:9">
      <c r="A10657" s="1170" t="s">
        <v>8308</v>
      </c>
      <c r="B10657" s="1187">
        <v>5</v>
      </c>
      <c r="C10657" s="1188">
        <v>50</v>
      </c>
      <c r="D10657" s="1172" t="s">
        <v>1812</v>
      </c>
      <c r="E10657" s="1174">
        <v>0.23</v>
      </c>
      <c r="F10657" s="1174" t="s">
        <v>8311</v>
      </c>
      <c r="G10657">
        <v>14</v>
      </c>
      <c r="H10657" s="2070">
        <f>(E10657-(G10657/I10657))/E10657</f>
        <v>0.49275362318840582</v>
      </c>
      <c r="I10657" s="317">
        <v>120</v>
      </c>
    </row>
    <row r="10658" spans="1:9">
      <c r="A10658" s="1170" t="s">
        <v>8308</v>
      </c>
      <c r="B10658" s="1187">
        <v>6</v>
      </c>
      <c r="C10658" s="1188">
        <v>50</v>
      </c>
      <c r="D10658" s="1172" t="s">
        <v>1812</v>
      </c>
      <c r="E10658" s="1174">
        <v>0.28000000000000003</v>
      </c>
      <c r="F10658" s="1174" t="s">
        <v>8312</v>
      </c>
      <c r="G10658">
        <v>17</v>
      </c>
      <c r="H10658" s="2070">
        <f>(E10658-(G10658/I10658))/E10658</f>
        <v>0.49404761904761912</v>
      </c>
      <c r="I10658" s="317">
        <v>120</v>
      </c>
    </row>
    <row r="10659" spans="1:9">
      <c r="A10659" s="1170" t="s">
        <v>8308</v>
      </c>
      <c r="B10659" s="1187">
        <v>8</v>
      </c>
      <c r="C10659" s="1188">
        <v>50</v>
      </c>
      <c r="D10659" s="1172" t="s">
        <v>1812</v>
      </c>
      <c r="E10659" s="1174">
        <v>0.38</v>
      </c>
      <c r="F10659" s="1174" t="s">
        <v>8313</v>
      </c>
      <c r="G10659">
        <v>21</v>
      </c>
      <c r="H10659" s="2070">
        <f>(E10659-(G10659/I10659))/E10659</f>
        <v>0.53947368421052633</v>
      </c>
      <c r="I10659" s="317">
        <v>120</v>
      </c>
    </row>
    <row r="10661" spans="1:9" ht="15">
      <c r="A10661" s="1871" t="s">
        <v>8321</v>
      </c>
      <c r="B10661" s="1871"/>
      <c r="C10661" s="1871"/>
      <c r="D10661" s="1871"/>
      <c r="E10661" s="1871"/>
      <c r="F10661" s="1871"/>
    </row>
    <row r="10662" spans="1:9">
      <c r="A10662" s="887" t="s">
        <v>455</v>
      </c>
      <c r="B10662" s="887" t="s">
        <v>128</v>
      </c>
      <c r="C10662" s="887" t="s">
        <v>1053</v>
      </c>
      <c r="D10662" s="1783" t="s">
        <v>1323</v>
      </c>
      <c r="E10662" s="1958" t="s">
        <v>8293</v>
      </c>
      <c r="F10662" s="2037" t="s">
        <v>6080</v>
      </c>
      <c r="G10662" s="317" t="s">
        <v>6081</v>
      </c>
    </row>
    <row r="10663" spans="1:9">
      <c r="A10663" s="47" t="s">
        <v>8322</v>
      </c>
      <c r="B10663" s="47" t="s">
        <v>7694</v>
      </c>
      <c r="C10663" s="905">
        <v>10</v>
      </c>
      <c r="D10663" s="891">
        <f>ROUNDUP(E10663/0.6/120,2)</f>
        <v>1.8</v>
      </c>
      <c r="E10663" s="1957">
        <v>129</v>
      </c>
      <c r="F10663" s="2070">
        <f>(D10663-(E10663/G10663))/D10663</f>
        <v>0.40277777777777779</v>
      </c>
      <c r="G10663" s="317">
        <v>120</v>
      </c>
    </row>
    <row r="10664" spans="1:9">
      <c r="A10664" s="47" t="s">
        <v>8323</v>
      </c>
      <c r="B10664" s="47" t="s">
        <v>7694</v>
      </c>
      <c r="C10664" s="905">
        <v>10</v>
      </c>
      <c r="D10664" s="891">
        <f>ROUNDUP(E10664/0.6/120,2)</f>
        <v>2.13</v>
      </c>
      <c r="E10664" s="1957">
        <v>153</v>
      </c>
      <c r="F10664" s="2070">
        <f>(D10664-(E10664/G10664))/D10664</f>
        <v>0.40140845070422537</v>
      </c>
      <c r="G10664" s="317">
        <v>120</v>
      </c>
    </row>
    <row r="10665" spans="1:9">
      <c r="A10665" s="47" t="s">
        <v>8324</v>
      </c>
      <c r="B10665" s="47" t="s">
        <v>7694</v>
      </c>
      <c r="C10665" s="905">
        <v>10</v>
      </c>
      <c r="D10665" s="891">
        <f>ROUNDUP(E10665/0.6/120,2)</f>
        <v>2.2999999999999998</v>
      </c>
      <c r="E10665" s="1957">
        <v>165</v>
      </c>
      <c r="F10665" s="2070">
        <f>(D10665-(E10665/G10665))/D10665</f>
        <v>0.40217391304347822</v>
      </c>
      <c r="G10665" s="317">
        <v>120</v>
      </c>
    </row>
    <row r="10668" spans="1:9" s="1019" customFormat="1" ht="12.75">
      <c r="A10668" s="1019" t="s">
        <v>8325</v>
      </c>
    </row>
    <row r="10669" spans="1:9" s="2103" customFormat="1" ht="25.5">
      <c r="A10669" s="2101" t="s">
        <v>1400</v>
      </c>
      <c r="B10669" s="1772" t="s">
        <v>5514</v>
      </c>
      <c r="C10669" s="1772" t="s">
        <v>53</v>
      </c>
      <c r="D10669" s="1783" t="s">
        <v>6976</v>
      </c>
      <c r="E10669" s="2102" t="s">
        <v>6445</v>
      </c>
      <c r="F10669" s="2037" t="s">
        <v>6446</v>
      </c>
      <c r="G10669" s="2037" t="s">
        <v>6081</v>
      </c>
    </row>
    <row r="10670" spans="1:9" s="2103" customFormat="1" ht="33" customHeight="1">
      <c r="A10670" s="1197" t="s">
        <v>8326</v>
      </c>
      <c r="B10670" s="1197" t="s">
        <v>7029</v>
      </c>
      <c r="C10670" s="1197" t="s">
        <v>7005</v>
      </c>
      <c r="D10670" s="2105">
        <f>ROUNDUP(E10670/0.8/130,2)</f>
        <v>15.2</v>
      </c>
      <c r="E10670" s="2104">
        <f>1280+300</f>
        <v>1580</v>
      </c>
      <c r="F10670" s="2083">
        <f>(D10670-(E10670/G10670))/D10670</f>
        <v>0.20040485829959515</v>
      </c>
      <c r="G10670" s="245">
        <v>130</v>
      </c>
    </row>
    <row r="10671" spans="1:9" s="2103" customFormat="1" ht="24" customHeight="1">
      <c r="A10671" s="1197" t="s">
        <v>8327</v>
      </c>
      <c r="B10671" s="1197" t="s">
        <v>7029</v>
      </c>
      <c r="C10671" s="1197" t="s">
        <v>7005</v>
      </c>
      <c r="D10671" s="2105">
        <f>ROUNDUP(E10671/0.8/130,2)</f>
        <v>12.6</v>
      </c>
      <c r="E10671" s="2104">
        <f>1280+30</f>
        <v>1310</v>
      </c>
      <c r="F10671" s="2083">
        <f>(D10671-(E10671/G10671))/D10671</f>
        <v>0.20024420024420025</v>
      </c>
      <c r="G10671" s="245">
        <v>130</v>
      </c>
    </row>
    <row r="10673" spans="1:8">
      <c r="A10673" s="2283" t="s">
        <v>8334</v>
      </c>
    </row>
    <row r="10674" spans="1:8">
      <c r="A10674" s="902" t="s">
        <v>105</v>
      </c>
      <c r="B10674" s="902" t="s">
        <v>106</v>
      </c>
      <c r="C10674" s="902" t="s">
        <v>53</v>
      </c>
      <c r="D10674" s="887" t="s">
        <v>1186</v>
      </c>
      <c r="E10674" s="887" t="s">
        <v>1652</v>
      </c>
      <c r="F10674" s="887" t="s">
        <v>1653</v>
      </c>
      <c r="G10674" s="1997" t="s">
        <v>6976</v>
      </c>
      <c r="H10674" s="1997" t="s">
        <v>2245</v>
      </c>
    </row>
    <row r="10675" spans="1:8">
      <c r="A10675" s="47" t="s">
        <v>8335</v>
      </c>
      <c r="B10675" s="47" t="s">
        <v>3073</v>
      </c>
      <c r="C10675" s="47" t="s">
        <v>859</v>
      </c>
      <c r="D10675" s="50">
        <v>58</v>
      </c>
      <c r="E10675" s="911">
        <v>15</v>
      </c>
      <c r="F10675" s="50">
        <v>870</v>
      </c>
      <c r="G10675" s="891">
        <v>3.89</v>
      </c>
      <c r="H10675" s="891">
        <v>3384.3</v>
      </c>
    </row>
    <row r="10676" spans="1:8">
      <c r="A10676" s="47" t="s">
        <v>8335</v>
      </c>
      <c r="B10676" s="47" t="s">
        <v>3073</v>
      </c>
      <c r="C10676" s="47" t="s">
        <v>859</v>
      </c>
      <c r="D10676" s="50">
        <v>58</v>
      </c>
      <c r="E10676" s="911">
        <v>7</v>
      </c>
      <c r="F10676" s="50">
        <v>406</v>
      </c>
      <c r="G10676" s="891">
        <v>3.89</v>
      </c>
      <c r="H10676" s="891">
        <v>1579.3400000000001</v>
      </c>
    </row>
    <row r="10677" spans="1:8">
      <c r="A10677" s="47" t="s">
        <v>8335</v>
      </c>
      <c r="B10677" s="47" t="s">
        <v>3073</v>
      </c>
      <c r="C10677" s="47" t="s">
        <v>859</v>
      </c>
      <c r="D10677" s="50">
        <v>59</v>
      </c>
      <c r="E10677" s="911">
        <v>1</v>
      </c>
      <c r="F10677" s="50">
        <v>59</v>
      </c>
      <c r="G10677" s="891">
        <v>3.89</v>
      </c>
      <c r="H10677" s="891">
        <v>229.51000000000002</v>
      </c>
    </row>
    <row r="10678" spans="1:8">
      <c r="A10678" s="47" t="s">
        <v>8335</v>
      </c>
      <c r="B10678" s="47" t="s">
        <v>3073</v>
      </c>
      <c r="C10678" s="47" t="s">
        <v>859</v>
      </c>
      <c r="D10678" s="50">
        <v>56</v>
      </c>
      <c r="E10678" s="911">
        <v>1</v>
      </c>
      <c r="F10678" s="50">
        <v>56</v>
      </c>
      <c r="G10678" s="891">
        <v>3.89</v>
      </c>
      <c r="H10678" s="891">
        <v>217.84</v>
      </c>
    </row>
    <row r="10679" spans="1:8">
      <c r="A10679" s="47" t="s">
        <v>8335</v>
      </c>
      <c r="B10679" s="47" t="s">
        <v>3073</v>
      </c>
      <c r="C10679" s="47" t="s">
        <v>859</v>
      </c>
      <c r="D10679" s="50">
        <v>62</v>
      </c>
      <c r="E10679" s="911">
        <v>1</v>
      </c>
      <c r="F10679" s="50">
        <v>62</v>
      </c>
      <c r="G10679" s="891">
        <v>3.89</v>
      </c>
      <c r="H10679" s="891">
        <v>241.18</v>
      </c>
    </row>
    <row r="10680" spans="1:8">
      <c r="A10680" s="47" t="s">
        <v>8335</v>
      </c>
      <c r="B10680" s="47" t="s">
        <v>3073</v>
      </c>
      <c r="C10680" s="47" t="s">
        <v>859</v>
      </c>
      <c r="D10680" s="50">
        <v>63</v>
      </c>
      <c r="E10680" s="911">
        <v>1</v>
      </c>
      <c r="F10680" s="50">
        <v>63</v>
      </c>
      <c r="G10680" s="891">
        <v>3.89</v>
      </c>
      <c r="H10680" s="891">
        <v>245.07000000000002</v>
      </c>
    </row>
    <row r="10681" spans="1:8">
      <c r="A10681" s="47" t="s">
        <v>8335</v>
      </c>
      <c r="B10681" s="47" t="s">
        <v>3073</v>
      </c>
      <c r="C10681" s="47" t="s">
        <v>859</v>
      </c>
      <c r="D10681" s="50">
        <v>64</v>
      </c>
      <c r="E10681" s="911">
        <v>3</v>
      </c>
      <c r="F10681" s="50">
        <v>192</v>
      </c>
      <c r="G10681" s="891">
        <v>3.89</v>
      </c>
      <c r="H10681" s="891">
        <v>746.88</v>
      </c>
    </row>
    <row r="10682" spans="1:8">
      <c r="A10682" s="47" t="s">
        <v>8335</v>
      </c>
      <c r="B10682" s="47" t="s">
        <v>3073</v>
      </c>
      <c r="C10682" s="47" t="s">
        <v>859</v>
      </c>
      <c r="D10682" s="50">
        <v>65</v>
      </c>
      <c r="E10682" s="911">
        <v>1</v>
      </c>
      <c r="F10682" s="50">
        <v>65</v>
      </c>
      <c r="G10682" s="891">
        <v>3.89</v>
      </c>
      <c r="H10682" s="891">
        <v>252.85</v>
      </c>
    </row>
    <row r="10683" spans="1:8">
      <c r="A10683" s="47" t="s">
        <v>8335</v>
      </c>
      <c r="B10683" s="47">
        <v>2440</v>
      </c>
      <c r="C10683" s="47" t="s">
        <v>7613</v>
      </c>
      <c r="D10683" s="50">
        <v>58</v>
      </c>
      <c r="E10683" s="911">
        <v>2</v>
      </c>
      <c r="F10683" s="50">
        <v>116</v>
      </c>
      <c r="G10683" s="891">
        <v>3.89</v>
      </c>
      <c r="H10683" s="891">
        <v>451.24</v>
      </c>
    </row>
    <row r="10684" spans="1:8">
      <c r="A10684" s="889"/>
      <c r="B10684" s="889"/>
      <c r="C10684" s="47"/>
      <c r="D10684" s="903"/>
      <c r="E10684" s="904"/>
      <c r="F10684" s="903"/>
      <c r="G10684" s="52"/>
      <c r="H10684" s="39"/>
    </row>
    <row r="10685" spans="1:8">
      <c r="A10685" s="47" t="s">
        <v>8336</v>
      </c>
      <c r="B10685" s="47" t="s">
        <v>536</v>
      </c>
      <c r="C10685" s="47" t="s">
        <v>735</v>
      </c>
      <c r="D10685" s="50">
        <v>50</v>
      </c>
      <c r="E10685" s="911">
        <v>4</v>
      </c>
      <c r="F10685" s="905">
        <v>200</v>
      </c>
      <c r="G10685" s="51">
        <v>5</v>
      </c>
      <c r="H10685" s="891">
        <v>1000</v>
      </c>
    </row>
    <row r="10686" spans="1:8">
      <c r="A10686" s="47" t="s">
        <v>8336</v>
      </c>
      <c r="B10686" s="47" t="s">
        <v>536</v>
      </c>
      <c r="C10686" s="47" t="s">
        <v>2601</v>
      </c>
      <c r="D10686" s="50">
        <v>50</v>
      </c>
      <c r="E10686" s="911">
        <v>8</v>
      </c>
      <c r="F10686" s="905">
        <v>400</v>
      </c>
      <c r="G10686" s="51">
        <v>5</v>
      </c>
      <c r="H10686" s="891">
        <v>2000</v>
      </c>
    </row>
    <row r="10687" spans="1:8">
      <c r="A10687" s="47" t="s">
        <v>8336</v>
      </c>
      <c r="B10687" s="47">
        <v>2440</v>
      </c>
      <c r="C10687" s="47" t="s">
        <v>733</v>
      </c>
      <c r="D10687" s="50">
        <v>58</v>
      </c>
      <c r="E10687" s="911">
        <v>5</v>
      </c>
      <c r="F10687" s="50">
        <v>290</v>
      </c>
      <c r="G10687" s="891">
        <v>3.89</v>
      </c>
      <c r="H10687" s="891">
        <v>1128.1000000000001</v>
      </c>
    </row>
    <row r="10688" spans="1:8">
      <c r="A10688" s="920"/>
      <c r="B10688" s="920"/>
      <c r="C10688" s="921"/>
      <c r="D10688" s="922"/>
      <c r="E10688" s="923"/>
      <c r="F10688" s="924"/>
      <c r="G10688" s="925"/>
      <c r="H10688" s="310"/>
    </row>
    <row r="10690" spans="1:8">
      <c r="A10690" s="895" t="s">
        <v>8337</v>
      </c>
    </row>
    <row r="10691" spans="1:8">
      <c r="A10691" s="902" t="s">
        <v>105</v>
      </c>
      <c r="B10691" s="902" t="s">
        <v>106</v>
      </c>
      <c r="C10691" s="902" t="s">
        <v>53</v>
      </c>
      <c r="D10691" s="887" t="s">
        <v>1186</v>
      </c>
      <c r="E10691" s="887" t="s">
        <v>1652</v>
      </c>
      <c r="F10691" s="887" t="s">
        <v>1653</v>
      </c>
      <c r="G10691" s="1997" t="s">
        <v>6976</v>
      </c>
      <c r="H10691" s="1997" t="s">
        <v>2245</v>
      </c>
    </row>
    <row r="10692" spans="1:8">
      <c r="A10692" s="947" t="s">
        <v>8338</v>
      </c>
      <c r="B10692" s="47" t="s">
        <v>8341</v>
      </c>
      <c r="C10692" s="47" t="s">
        <v>7699</v>
      </c>
      <c r="D10692" s="50">
        <v>10</v>
      </c>
      <c r="E10692" s="911">
        <v>8</v>
      </c>
      <c r="F10692" s="905">
        <f>D10692*E10692</f>
        <v>80</v>
      </c>
      <c r="G10692" s="51">
        <v>2.59</v>
      </c>
      <c r="H10692" s="891">
        <f>G10692*F10692</f>
        <v>207.2</v>
      </c>
    </row>
    <row r="10693" spans="1:8">
      <c r="A10693" s="947"/>
      <c r="B10693" s="47"/>
      <c r="C10693" s="260"/>
      <c r="D10693" s="894"/>
      <c r="E10693" s="904"/>
      <c r="F10693" s="903"/>
      <c r="G10693" s="891"/>
      <c r="H10693" s="39"/>
    </row>
    <row r="10694" spans="1:8">
      <c r="A10694" s="947" t="s">
        <v>8339</v>
      </c>
      <c r="B10694" s="47" t="s">
        <v>8340</v>
      </c>
      <c r="C10694" s="47" t="s">
        <v>7839</v>
      </c>
      <c r="D10694" s="50">
        <v>25</v>
      </c>
      <c r="E10694" s="911">
        <v>10</v>
      </c>
      <c r="F10694" s="905">
        <f t="shared" ref="F10694:F10699" si="120">D10694*E10694</f>
        <v>250</v>
      </c>
      <c r="G10694" s="51">
        <v>3.23</v>
      </c>
      <c r="H10694" s="891">
        <f t="shared" ref="H10694:H10699" si="121">G10694*F10694</f>
        <v>807.5</v>
      </c>
    </row>
    <row r="10695" spans="1:8">
      <c r="A10695" s="947" t="s">
        <v>8339</v>
      </c>
      <c r="B10695" s="47">
        <v>2440</v>
      </c>
      <c r="C10695" s="47" t="s">
        <v>30</v>
      </c>
      <c r="D10695" s="50">
        <v>58</v>
      </c>
      <c r="E10695" s="911">
        <v>4</v>
      </c>
      <c r="F10695" s="50">
        <f t="shared" si="120"/>
        <v>232</v>
      </c>
      <c r="G10695" s="891">
        <v>4.05</v>
      </c>
      <c r="H10695" s="891">
        <f t="shared" si="121"/>
        <v>939.59999999999991</v>
      </c>
    </row>
    <row r="10696" spans="1:8">
      <c r="A10696" s="947" t="s">
        <v>8339</v>
      </c>
      <c r="B10696" s="47">
        <v>2440</v>
      </c>
      <c r="C10696" s="47" t="s">
        <v>1547</v>
      </c>
      <c r="D10696" s="50">
        <v>58</v>
      </c>
      <c r="E10696" s="911">
        <v>2</v>
      </c>
      <c r="F10696" s="50">
        <f t="shared" si="120"/>
        <v>116</v>
      </c>
      <c r="G10696" s="891">
        <v>4.05</v>
      </c>
      <c r="H10696" s="891">
        <f t="shared" si="121"/>
        <v>469.79999999999995</v>
      </c>
    </row>
    <row r="10697" spans="1:8">
      <c r="A10697" s="947" t="s">
        <v>8339</v>
      </c>
      <c r="B10697" s="47">
        <v>2440</v>
      </c>
      <c r="C10697" s="47" t="s">
        <v>8330</v>
      </c>
      <c r="D10697" s="50">
        <v>58</v>
      </c>
      <c r="E10697" s="911">
        <v>1</v>
      </c>
      <c r="F10697" s="50">
        <f t="shared" si="120"/>
        <v>58</v>
      </c>
      <c r="G10697" s="891">
        <v>4.05</v>
      </c>
      <c r="H10697" s="891">
        <f t="shared" si="121"/>
        <v>234.89999999999998</v>
      </c>
    </row>
    <row r="10698" spans="1:8">
      <c r="A10698" s="947" t="s">
        <v>8339</v>
      </c>
      <c r="B10698" s="47">
        <v>2440</v>
      </c>
      <c r="C10698" s="47" t="s">
        <v>8331</v>
      </c>
      <c r="D10698" s="50">
        <v>58</v>
      </c>
      <c r="E10698" s="911">
        <v>5</v>
      </c>
      <c r="F10698" s="50">
        <f t="shared" si="120"/>
        <v>290</v>
      </c>
      <c r="G10698" s="891">
        <v>4.05</v>
      </c>
      <c r="H10698" s="891">
        <f t="shared" si="121"/>
        <v>1174.5</v>
      </c>
    </row>
    <row r="10699" spans="1:8">
      <c r="A10699" s="947" t="s">
        <v>8339</v>
      </c>
      <c r="B10699" s="47">
        <v>2440</v>
      </c>
      <c r="C10699" s="47" t="s">
        <v>8332</v>
      </c>
      <c r="D10699" s="50">
        <v>58</v>
      </c>
      <c r="E10699" s="911">
        <v>5</v>
      </c>
      <c r="F10699" s="50">
        <f t="shared" si="120"/>
        <v>290</v>
      </c>
      <c r="G10699" s="891">
        <v>4.05</v>
      </c>
      <c r="H10699" s="891">
        <f t="shared" si="121"/>
        <v>1174.5</v>
      </c>
    </row>
    <row r="10700" spans="1:8">
      <c r="A10700" s="710"/>
      <c r="B10700" s="1116"/>
      <c r="C10700" s="921"/>
      <c r="D10700" s="922"/>
      <c r="E10700" s="923"/>
      <c r="F10700" s="924"/>
      <c r="G10700" s="2461"/>
      <c r="H10700" s="310"/>
    </row>
    <row r="10705" spans="1:5">
      <c r="A10705" s="1637" t="s">
        <v>8109</v>
      </c>
      <c r="B10705" s="909"/>
      <c r="C10705" s="1751"/>
      <c r="D10705" s="1172" t="s">
        <v>8346</v>
      </c>
      <c r="E10705" s="1172" t="s">
        <v>8347</v>
      </c>
    </row>
    <row r="10706" spans="1:5">
      <c r="A10706" s="909" t="s">
        <v>8186</v>
      </c>
      <c r="B10706" s="909" t="s">
        <v>8344</v>
      </c>
      <c r="C10706" s="1754">
        <v>1</v>
      </c>
      <c r="D10706" s="1217">
        <v>6000</v>
      </c>
      <c r="E10706" s="1217">
        <f>D10706*C10706</f>
        <v>6000</v>
      </c>
    </row>
    <row r="10707" spans="1:5">
      <c r="A10707" s="909" t="s">
        <v>8186</v>
      </c>
      <c r="B10707" s="909" t="s">
        <v>8345</v>
      </c>
      <c r="C10707" s="1751">
        <v>100</v>
      </c>
      <c r="D10707" s="1922">
        <f>125+70</f>
        <v>195</v>
      </c>
      <c r="E10707" s="1217">
        <f>D10707*C10707</f>
        <v>19500</v>
      </c>
    </row>
    <row r="10708" spans="1:5">
      <c r="A10708" s="1637" t="s">
        <v>8215</v>
      </c>
      <c r="B10708" s="909"/>
      <c r="C10708" s="1751"/>
      <c r="D10708" s="1217"/>
      <c r="E10708" s="1217"/>
    </row>
    <row r="10709" spans="1:5">
      <c r="A10709" s="909" t="s">
        <v>8204</v>
      </c>
      <c r="B10709" s="909" t="s">
        <v>8344</v>
      </c>
      <c r="C10709" s="1754">
        <v>1</v>
      </c>
      <c r="D10709" s="1217">
        <v>6000</v>
      </c>
      <c r="E10709" s="1217">
        <f>D10709*C10709</f>
        <v>6000</v>
      </c>
    </row>
    <row r="10710" spans="1:5">
      <c r="A10710" s="909" t="s">
        <v>8204</v>
      </c>
      <c r="B10710" s="909" t="s">
        <v>8345</v>
      </c>
      <c r="C10710" s="1751">
        <v>100</v>
      </c>
      <c r="D10710" s="1922">
        <f>115+70</f>
        <v>185</v>
      </c>
      <c r="E10710" s="1217">
        <f>D10710*C10710</f>
        <v>18500</v>
      </c>
    </row>
    <row r="10711" spans="1:5">
      <c r="A10711" s="1637" t="s">
        <v>8215</v>
      </c>
      <c r="B10711" s="909"/>
      <c r="C10711" s="1751" t="s">
        <v>2690</v>
      </c>
      <c r="D10711" s="1217"/>
      <c r="E10711" s="1217"/>
    </row>
    <row r="10712" spans="1:5">
      <c r="A10712" s="909" t="s">
        <v>8205</v>
      </c>
      <c r="B10712" s="909" t="s">
        <v>8344</v>
      </c>
      <c r="C10712" s="1754">
        <v>1</v>
      </c>
      <c r="D10712" s="1217">
        <v>6000</v>
      </c>
      <c r="E10712" s="1217">
        <f>D10712*C10712</f>
        <v>6000</v>
      </c>
    </row>
    <row r="10713" spans="1:5">
      <c r="A10713" s="909" t="s">
        <v>8205</v>
      </c>
      <c r="B10713" s="909" t="s">
        <v>8345</v>
      </c>
      <c r="C10713" s="1751">
        <v>100</v>
      </c>
      <c r="D10713" s="1922">
        <f>140+70</f>
        <v>210</v>
      </c>
      <c r="E10713" s="1217">
        <f>D10713*C10713</f>
        <v>21000</v>
      </c>
    </row>
    <row r="10714" spans="1:5">
      <c r="A10714" s="1637" t="s">
        <v>8215</v>
      </c>
      <c r="B10714" s="909"/>
      <c r="C10714" s="1751"/>
      <c r="D10714" s="1217"/>
      <c r="E10714" s="1217"/>
    </row>
    <row r="10715" spans="1:5">
      <c r="A10715" s="909" t="s">
        <v>8206</v>
      </c>
      <c r="B10715" s="909" t="s">
        <v>8344</v>
      </c>
      <c r="C10715" s="1754">
        <v>1</v>
      </c>
      <c r="D10715" s="1217">
        <v>6000</v>
      </c>
      <c r="E10715" s="1217">
        <f>D10715*C10715</f>
        <v>6000</v>
      </c>
    </row>
    <row r="10716" spans="1:5">
      <c r="A10716" s="909" t="s">
        <v>8206</v>
      </c>
      <c r="B10716" s="909" t="s">
        <v>8345</v>
      </c>
      <c r="C10716" s="1751">
        <v>100</v>
      </c>
      <c r="D10716" s="1922">
        <f>151+70</f>
        <v>221</v>
      </c>
      <c r="E10716" s="1217">
        <f>D10716*C10716</f>
        <v>22100</v>
      </c>
    </row>
    <row r="10717" spans="1:5">
      <c r="A10717" s="909"/>
      <c r="B10717" s="909"/>
      <c r="C10717" s="1751"/>
      <c r="D10717" s="2462" t="s">
        <v>8348</v>
      </c>
      <c r="E10717" s="2463">
        <f>SUM(E10706:E10716)</f>
        <v>105100</v>
      </c>
    </row>
    <row r="10720" spans="1:5">
      <c r="A10720" s="902" t="s">
        <v>106</v>
      </c>
      <c r="B10720" s="902" t="s">
        <v>53</v>
      </c>
      <c r="C10720" s="887" t="s">
        <v>1653</v>
      </c>
      <c r="D10720" s="1997" t="s">
        <v>6976</v>
      </c>
      <c r="E10720" s="1997" t="s">
        <v>2245</v>
      </c>
    </row>
    <row r="10721" spans="1:5">
      <c r="A10721" s="889" t="s">
        <v>8109</v>
      </c>
      <c r="B10721" s="47"/>
      <c r="C10721" s="905"/>
      <c r="D10721" s="52" t="s">
        <v>10</v>
      </c>
      <c r="E10721" s="39"/>
    </row>
    <row r="10722" spans="1:5">
      <c r="A10722" s="47" t="s">
        <v>8186</v>
      </c>
      <c r="B10722" s="47" t="s">
        <v>8344</v>
      </c>
      <c r="C10722" s="894">
        <v>1</v>
      </c>
      <c r="D10722" s="891">
        <v>65</v>
      </c>
      <c r="E10722" s="891">
        <f>D10722*C10722</f>
        <v>65</v>
      </c>
    </row>
    <row r="10723" spans="1:5">
      <c r="A10723" s="47" t="s">
        <v>8186</v>
      </c>
      <c r="B10723" s="47" t="s">
        <v>8345</v>
      </c>
      <c r="C10723" s="905">
        <v>100</v>
      </c>
      <c r="D10723" s="891">
        <v>2.71</v>
      </c>
      <c r="E10723" s="891">
        <f>D10723*C10723</f>
        <v>271</v>
      </c>
    </row>
    <row r="10724" spans="1:5">
      <c r="A10724" s="47"/>
      <c r="B10724" s="47"/>
      <c r="C10724" s="905"/>
      <c r="D10724" s="891"/>
      <c r="E10724" s="891"/>
    </row>
    <row r="10725" spans="1:5">
      <c r="A10725" s="889" t="s">
        <v>8215</v>
      </c>
      <c r="B10725" s="47"/>
      <c r="C10725" s="905"/>
      <c r="D10725" s="891"/>
      <c r="E10725" s="891"/>
    </row>
    <row r="10726" spans="1:5">
      <c r="A10726" s="47" t="s">
        <v>8204</v>
      </c>
      <c r="B10726" s="47" t="s">
        <v>8344</v>
      </c>
      <c r="C10726" s="894">
        <v>1</v>
      </c>
      <c r="D10726" s="891">
        <v>65</v>
      </c>
      <c r="E10726" s="891">
        <f>D10726*C10726</f>
        <v>65</v>
      </c>
    </row>
    <row r="10727" spans="1:5">
      <c r="A10727" s="47" t="s">
        <v>8204</v>
      </c>
      <c r="B10727" s="47" t="s">
        <v>8345</v>
      </c>
      <c r="C10727" s="905">
        <v>100</v>
      </c>
      <c r="D10727" s="891">
        <v>2.57</v>
      </c>
      <c r="E10727" s="891">
        <f>D10727*C10727</f>
        <v>257</v>
      </c>
    </row>
    <row r="10728" spans="1:5">
      <c r="A10728" s="47"/>
      <c r="B10728" s="47"/>
      <c r="C10728" s="905"/>
      <c r="D10728" s="891"/>
      <c r="E10728" s="891"/>
    </row>
    <row r="10729" spans="1:5">
      <c r="A10729" s="889" t="s">
        <v>8215</v>
      </c>
      <c r="B10729" s="47"/>
      <c r="C10729" s="905" t="s">
        <v>2690</v>
      </c>
      <c r="D10729" s="891"/>
      <c r="E10729" s="891"/>
    </row>
    <row r="10730" spans="1:5">
      <c r="A10730" s="47" t="s">
        <v>8205</v>
      </c>
      <c r="B10730" s="47" t="s">
        <v>8344</v>
      </c>
      <c r="C10730" s="894">
        <v>1</v>
      </c>
      <c r="D10730" s="891">
        <v>65</v>
      </c>
      <c r="E10730" s="891">
        <f>D10730*C10730</f>
        <v>65</v>
      </c>
    </row>
    <row r="10731" spans="1:5">
      <c r="A10731" s="47" t="s">
        <v>8205</v>
      </c>
      <c r="B10731" s="47" t="s">
        <v>8345</v>
      </c>
      <c r="C10731" s="905">
        <v>100</v>
      </c>
      <c r="D10731" s="891">
        <v>2.92</v>
      </c>
      <c r="E10731" s="891">
        <f>D10731*C10731</f>
        <v>292</v>
      </c>
    </row>
    <row r="10732" spans="1:5">
      <c r="A10732" s="47"/>
      <c r="B10732" s="47"/>
      <c r="C10732" s="905"/>
      <c r="D10732" s="891"/>
      <c r="E10732" s="891"/>
    </row>
    <row r="10733" spans="1:5">
      <c r="A10733" s="889" t="s">
        <v>8215</v>
      </c>
      <c r="B10733" s="47"/>
      <c r="C10733" s="905"/>
      <c r="D10733" s="891"/>
      <c r="E10733" s="891"/>
    </row>
    <row r="10734" spans="1:5">
      <c r="A10734" s="47" t="s">
        <v>8206</v>
      </c>
      <c r="B10734" s="47" t="s">
        <v>8344</v>
      </c>
      <c r="C10734" s="894">
        <v>1</v>
      </c>
      <c r="D10734" s="891">
        <v>65</v>
      </c>
      <c r="E10734" s="891">
        <f>D10734*C10734</f>
        <v>65</v>
      </c>
    </row>
    <row r="10735" spans="1:5">
      <c r="A10735" s="47" t="s">
        <v>8206</v>
      </c>
      <c r="B10735" s="47" t="s">
        <v>8345</v>
      </c>
      <c r="C10735" s="905">
        <v>100</v>
      </c>
      <c r="D10735" s="891">
        <v>3.07</v>
      </c>
      <c r="E10735" s="891">
        <f>D10735*C10735</f>
        <v>307</v>
      </c>
    </row>
    <row r="10736" spans="1:5">
      <c r="A10736" s="47"/>
      <c r="B10736" s="260" t="s">
        <v>1993</v>
      </c>
      <c r="C10736" s="894">
        <v>1</v>
      </c>
      <c r="D10736" s="891">
        <v>12</v>
      </c>
      <c r="E10736" s="891">
        <f>D10736*C10736</f>
        <v>12</v>
      </c>
    </row>
    <row r="10737" spans="1:8">
      <c r="A10737" s="47"/>
      <c r="B10737" s="260"/>
      <c r="C10737" s="894"/>
      <c r="D10737" s="1202" t="s">
        <v>8349</v>
      </c>
      <c r="E10737" s="919">
        <f>SUM(E10722:E10736)</f>
        <v>1399</v>
      </c>
    </row>
    <row r="10740" spans="1:8">
      <c r="A10740" s="902" t="s">
        <v>106</v>
      </c>
      <c r="B10740" s="902" t="s">
        <v>53</v>
      </c>
      <c r="C10740" s="887" t="s">
        <v>1653</v>
      </c>
      <c r="D10740" s="1997" t="s">
        <v>6976</v>
      </c>
      <c r="E10740" s="1997" t="s">
        <v>2245</v>
      </c>
      <c r="F10740" s="52" t="s">
        <v>10</v>
      </c>
      <c r="G10740" s="39"/>
    </row>
    <row r="10741" spans="1:8">
      <c r="A10741" s="47" t="s">
        <v>3330</v>
      </c>
      <c r="B10741" s="47" t="s">
        <v>8240</v>
      </c>
      <c r="C10741" s="905">
        <v>337</v>
      </c>
      <c r="D10741" s="891">
        <v>1.66</v>
      </c>
      <c r="E10741" s="891">
        <f>D10741*C10741</f>
        <v>559.41999999999996</v>
      </c>
    </row>
    <row r="10742" spans="1:8">
      <c r="A10742" s="1059"/>
      <c r="B10742" s="47" t="s">
        <v>2975</v>
      </c>
      <c r="C10742" s="894">
        <v>1</v>
      </c>
      <c r="D10742" s="891">
        <v>12</v>
      </c>
      <c r="E10742" s="891">
        <f>D10742*C10742</f>
        <v>12</v>
      </c>
    </row>
    <row r="10745" spans="1:8" ht="15">
      <c r="A10745" s="1871" t="s">
        <v>8353</v>
      </c>
      <c r="B10745" s="1871"/>
      <c r="C10745" s="1871"/>
      <c r="D10745" s="1871"/>
      <c r="E10745" s="1871"/>
      <c r="F10745" s="1871"/>
    </row>
    <row r="10746" spans="1:8" ht="25.5">
      <c r="A10746" s="887" t="s">
        <v>455</v>
      </c>
      <c r="B10746" s="887" t="s">
        <v>128</v>
      </c>
      <c r="C10746" s="887" t="s">
        <v>8351</v>
      </c>
      <c r="D10746" s="1783" t="s">
        <v>1323</v>
      </c>
      <c r="E10746" s="1783" t="s">
        <v>8355</v>
      </c>
      <c r="G10746" s="2037" t="s">
        <v>6080</v>
      </c>
      <c r="H10746" s="317" t="s">
        <v>6081</v>
      </c>
    </row>
    <row r="10747" spans="1:8">
      <c r="A10747" s="47" t="s">
        <v>8354</v>
      </c>
      <c r="B10747" s="47" t="s">
        <v>7694</v>
      </c>
      <c r="C10747" s="905" t="s">
        <v>6975</v>
      </c>
      <c r="D10747" s="1058">
        <f>ROUNDUP(F10747/0.6/120,2)</f>
        <v>1.19</v>
      </c>
      <c r="E10747" s="2464" t="s">
        <v>8356</v>
      </c>
      <c r="F10747" s="1957">
        <v>85</v>
      </c>
      <c r="G10747" s="2070">
        <f>(D10747-(F10747/H10747))/D10747</f>
        <v>0.40476190476190471</v>
      </c>
      <c r="H10747" s="317">
        <v>120</v>
      </c>
    </row>
    <row r="10748" spans="1:8" ht="25.5">
      <c r="A10748" s="47" t="s">
        <v>8354</v>
      </c>
      <c r="B10748" s="47" t="s">
        <v>8352</v>
      </c>
      <c r="C10748" s="2465" t="s">
        <v>8357</v>
      </c>
      <c r="D10748" s="1058">
        <f>ROUNDUP(F10748/0.6/120,2)</f>
        <v>1.74</v>
      </c>
      <c r="E10748" s="950" t="s">
        <v>2346</v>
      </c>
      <c r="F10748" s="1957">
        <f>85+40</f>
        <v>125</v>
      </c>
      <c r="G10748" s="2070">
        <f>(D10748-(F10748/H10748))/D10748</f>
        <v>0.40134099616858232</v>
      </c>
      <c r="H10748" s="317">
        <v>120</v>
      </c>
    </row>
    <row r="10753" spans="1:54">
      <c r="A10753" s="902" t="s">
        <v>106</v>
      </c>
      <c r="B10753" s="902" t="s">
        <v>52</v>
      </c>
      <c r="C10753" s="887" t="s">
        <v>1186</v>
      </c>
      <c r="D10753" s="887" t="s">
        <v>1652</v>
      </c>
      <c r="E10753" s="887" t="s">
        <v>1653</v>
      </c>
      <c r="F10753" s="1783" t="s">
        <v>1323</v>
      </c>
      <c r="G10753" s="887" t="s">
        <v>3130</v>
      </c>
      <c r="H10753" s="1958" t="s">
        <v>8360</v>
      </c>
      <c r="I10753" s="2037" t="s">
        <v>6080</v>
      </c>
      <c r="J10753" s="317" t="s">
        <v>6081</v>
      </c>
    </row>
    <row r="10754" spans="1:54" ht="14.25">
      <c r="A10754" s="47">
        <v>5291</v>
      </c>
      <c r="B10754" s="48">
        <v>4</v>
      </c>
      <c r="C10754" s="905">
        <v>50</v>
      </c>
      <c r="D10754" s="906">
        <v>3</v>
      </c>
      <c r="E10754" s="905">
        <f>C10754*D10754</f>
        <v>150</v>
      </c>
      <c r="F10754" s="1058">
        <v>0.15</v>
      </c>
      <c r="G10754" s="891">
        <v>0.49</v>
      </c>
      <c r="H10754" s="1971">
        <v>7.7</v>
      </c>
      <c r="I10754" s="2070">
        <f>(F10754-(H10754/J10754))/F10754</f>
        <v>0.57222222222222219</v>
      </c>
      <c r="J10754" s="317">
        <v>120</v>
      </c>
    </row>
    <row r="10756" spans="1:54">
      <c r="A10756" t="s">
        <v>8367</v>
      </c>
    </row>
    <row r="10757" spans="1:54" ht="25.5">
      <c r="A10757" s="1350" t="s">
        <v>1369</v>
      </c>
      <c r="B10757" s="1351" t="s">
        <v>377</v>
      </c>
      <c r="C10757" s="1353" t="s">
        <v>1734</v>
      </c>
      <c r="D10757" s="1354" t="s">
        <v>5527</v>
      </c>
      <c r="E10757" s="1185" t="s">
        <v>1403</v>
      </c>
      <c r="F10757" s="1958" t="s">
        <v>8360</v>
      </c>
      <c r="G10757" s="2037" t="s">
        <v>6080</v>
      </c>
      <c r="H10757" s="317" t="s">
        <v>6081</v>
      </c>
    </row>
    <row r="10758" spans="1:54" ht="14.25">
      <c r="A10758" s="1170" t="s">
        <v>8361</v>
      </c>
      <c r="B10758" s="1187" t="s">
        <v>8362</v>
      </c>
      <c r="C10758" s="1171" t="s">
        <v>8364</v>
      </c>
      <c r="D10758" s="1061">
        <v>0.45</v>
      </c>
      <c r="E10758" s="2972" t="s">
        <v>8363</v>
      </c>
      <c r="F10758" s="1971">
        <v>24.8</v>
      </c>
      <c r="G10758" s="2070">
        <f>(D10758-(F10758/H10758))/D10758</f>
        <v>0.54074074074074074</v>
      </c>
      <c r="H10758" s="317">
        <v>120</v>
      </c>
    </row>
    <row r="10759" spans="1:54" ht="14.25">
      <c r="A10759" s="1170" t="s">
        <v>8361</v>
      </c>
      <c r="B10759" s="1187" t="s">
        <v>25</v>
      </c>
      <c r="C10759" s="1171" t="s">
        <v>8365</v>
      </c>
      <c r="D10759" s="1061">
        <v>0.49</v>
      </c>
      <c r="E10759" s="2973"/>
      <c r="F10759" s="1971">
        <v>27.4</v>
      </c>
      <c r="G10759" s="2070">
        <f>(D10759-(F10759/H10759))/D10759</f>
        <v>0.53401360544217691</v>
      </c>
      <c r="H10759" s="317">
        <v>120</v>
      </c>
    </row>
    <row r="10760" spans="1:54" ht="14.25">
      <c r="A10760" s="1170" t="s">
        <v>8361</v>
      </c>
      <c r="B10760" s="1187" t="s">
        <v>24</v>
      </c>
      <c r="C10760" s="1171" t="s">
        <v>8366</v>
      </c>
      <c r="D10760" s="1061">
        <v>0.66</v>
      </c>
      <c r="E10760" s="2973"/>
      <c r="F10760" s="1971">
        <v>37.1</v>
      </c>
      <c r="G10760" s="2070">
        <f>(D10760-(F10760/H10760))/D10760</f>
        <v>0.53156565656565657</v>
      </c>
      <c r="H10760" s="317">
        <v>120</v>
      </c>
    </row>
    <row r="10761" spans="1:54" ht="14.25">
      <c r="A10761" s="1170" t="s">
        <v>8361</v>
      </c>
      <c r="B10761" s="1187" t="s">
        <v>356</v>
      </c>
      <c r="C10761" s="1171" t="s">
        <v>8366</v>
      </c>
      <c r="D10761" s="1061">
        <v>1.1599999999999999</v>
      </c>
      <c r="E10761" s="2974"/>
      <c r="F10761" s="1971">
        <v>64.8</v>
      </c>
      <c r="G10761" s="2070">
        <f>(D10761-(F10761/H10761))/D10761</f>
        <v>0.53448275862068972</v>
      </c>
      <c r="H10761" s="317">
        <v>120</v>
      </c>
    </row>
    <row r="10762" spans="1:54" s="59" customFormat="1" ht="15" hidden="1" customHeight="1">
      <c r="A10762" s="1172">
        <v>4255</v>
      </c>
      <c r="B10762" s="1782">
        <v>30</v>
      </c>
      <c r="C10762" s="1172" t="s">
        <v>1812</v>
      </c>
      <c r="D10762" s="1061">
        <v>2.9699999999999998</v>
      </c>
      <c r="E10762" s="2200">
        <v>176</v>
      </c>
      <c r="F10762" s="2186"/>
      <c r="G10762" s="2187"/>
      <c r="H10762" s="1963"/>
      <c r="I10762" s="1963"/>
      <c r="J10762" s="1963"/>
      <c r="K10762" s="1963"/>
      <c r="L10762" s="1963"/>
      <c r="M10762" s="1963"/>
      <c r="N10762" s="1963"/>
      <c r="O10762" s="1963"/>
      <c r="P10762" s="1963"/>
      <c r="Q10762" s="1963"/>
      <c r="R10762" s="1963"/>
      <c r="S10762" s="1963"/>
      <c r="T10762" s="1963"/>
      <c r="U10762" s="1963"/>
      <c r="V10762" s="1963"/>
      <c r="W10762" s="1963"/>
      <c r="X10762" s="1963"/>
      <c r="Y10762" s="1963"/>
      <c r="Z10762" s="1963"/>
      <c r="AA10762" s="1963"/>
      <c r="AB10762" s="1963"/>
      <c r="AC10762" s="1963"/>
      <c r="AD10762" s="1963"/>
      <c r="AE10762" s="1963"/>
      <c r="AF10762" s="1963"/>
      <c r="AG10762" s="1963"/>
      <c r="AH10762" s="1963"/>
      <c r="AI10762" s="1963"/>
      <c r="AJ10762" s="1963"/>
      <c r="AK10762" s="1963"/>
      <c r="AL10762" s="1963"/>
      <c r="AM10762" s="1963"/>
      <c r="AN10762" s="1963"/>
      <c r="AO10762" s="1963"/>
      <c r="AP10762" s="1963"/>
      <c r="AQ10762" s="1963"/>
      <c r="AR10762" s="1963"/>
      <c r="AS10762" s="1963"/>
      <c r="AT10762" s="1963"/>
      <c r="AU10762" s="1963"/>
      <c r="AV10762" s="1963"/>
      <c r="AW10762" s="1963"/>
      <c r="AX10762" s="1963"/>
      <c r="AY10762" s="1963"/>
      <c r="AZ10762" s="1963"/>
      <c r="BA10762" s="1963"/>
      <c r="BB10762" s="1963"/>
    </row>
    <row r="10763" spans="1:54" s="59" customFormat="1" ht="15" hidden="1" customHeight="1">
      <c r="A10763" s="1172">
        <v>4255</v>
      </c>
      <c r="B10763" s="1782">
        <v>40</v>
      </c>
      <c r="C10763" s="1172" t="s">
        <v>1812</v>
      </c>
      <c r="D10763" s="1061">
        <v>3.38</v>
      </c>
      <c r="E10763" s="2200">
        <v>201</v>
      </c>
      <c r="F10763" s="2186"/>
      <c r="G10763" s="2187"/>
      <c r="H10763" s="1963"/>
      <c r="I10763" s="1963"/>
      <c r="J10763" s="1963"/>
      <c r="K10763" s="1963"/>
      <c r="L10763" s="1963"/>
      <c r="M10763" s="1963"/>
      <c r="N10763" s="1963"/>
      <c r="O10763" s="1963"/>
      <c r="P10763" s="1963"/>
      <c r="Q10763" s="1963"/>
      <c r="R10763" s="1963"/>
      <c r="S10763" s="1963"/>
      <c r="T10763" s="1963"/>
      <c r="U10763" s="1963"/>
      <c r="V10763" s="1963"/>
      <c r="W10763" s="1963"/>
      <c r="X10763" s="1963"/>
      <c r="Y10763" s="1963"/>
      <c r="Z10763" s="1963"/>
      <c r="AA10763" s="1963"/>
      <c r="AB10763" s="1963"/>
      <c r="AC10763" s="1963"/>
      <c r="AD10763" s="1963"/>
      <c r="AE10763" s="1963"/>
      <c r="AF10763" s="1963"/>
      <c r="AG10763" s="1963"/>
      <c r="AH10763" s="1963"/>
      <c r="AI10763" s="1963"/>
      <c r="AJ10763" s="1963"/>
      <c r="AK10763" s="1963"/>
      <c r="AL10763" s="1963"/>
      <c r="AM10763" s="1963"/>
      <c r="AN10763" s="1963"/>
      <c r="AO10763" s="1963"/>
      <c r="AP10763" s="1963"/>
      <c r="AQ10763" s="1963"/>
      <c r="AR10763" s="1963"/>
      <c r="AS10763" s="1963"/>
      <c r="AT10763" s="1963"/>
      <c r="AU10763" s="1963"/>
      <c r="AV10763" s="1963"/>
      <c r="AW10763" s="1963"/>
      <c r="AX10763" s="1963"/>
      <c r="AY10763" s="1963"/>
      <c r="AZ10763" s="1963"/>
      <c r="BA10763" s="1963"/>
      <c r="BB10763" s="1963"/>
    </row>
    <row r="10764" spans="1:54" s="59" customFormat="1" ht="15" customHeight="1">
      <c r="A10764" s="1172"/>
      <c r="B10764" s="1782"/>
      <c r="C10764" s="1172"/>
      <c r="D10764" s="1061"/>
      <c r="E10764" s="2200"/>
      <c r="F10764" s="2186"/>
      <c r="G10764" s="2187"/>
      <c r="H10764" s="1963"/>
      <c r="I10764" s="1963"/>
      <c r="J10764" s="1963"/>
      <c r="K10764" s="1963"/>
      <c r="L10764" s="1963"/>
      <c r="M10764" s="1963"/>
      <c r="N10764" s="1963"/>
      <c r="O10764" s="1963"/>
      <c r="P10764" s="1963"/>
      <c r="Q10764" s="1963"/>
      <c r="R10764" s="1963"/>
      <c r="S10764" s="1963"/>
      <c r="T10764" s="1963"/>
      <c r="U10764" s="1963"/>
      <c r="V10764" s="1963"/>
      <c r="W10764" s="1963"/>
      <c r="X10764" s="1963"/>
      <c r="Y10764" s="1963"/>
      <c r="Z10764" s="1963"/>
      <c r="AA10764" s="1963"/>
      <c r="AB10764" s="1963"/>
      <c r="AC10764" s="1963"/>
      <c r="AD10764" s="1963"/>
      <c r="AE10764" s="1963"/>
      <c r="AF10764" s="1963"/>
      <c r="AG10764" s="1963"/>
      <c r="AH10764" s="1963"/>
      <c r="AI10764" s="1963"/>
      <c r="AJ10764" s="1963"/>
      <c r="AK10764" s="1963"/>
      <c r="AL10764" s="1963"/>
      <c r="AM10764" s="1963"/>
      <c r="AN10764" s="1963"/>
      <c r="AO10764" s="1963"/>
      <c r="AP10764" s="1963"/>
      <c r="AQ10764" s="1963"/>
      <c r="AR10764" s="1963"/>
      <c r="AS10764" s="1963"/>
      <c r="AT10764" s="1963"/>
      <c r="AU10764" s="1963"/>
      <c r="AV10764" s="1963"/>
      <c r="AW10764" s="1963"/>
      <c r="AX10764" s="1963"/>
      <c r="AY10764" s="1963"/>
      <c r="AZ10764" s="1963"/>
      <c r="BA10764" s="1963"/>
      <c r="BB10764" s="1963"/>
    </row>
    <row r="10765" spans="1:54" s="59" customFormat="1" ht="15" customHeight="1">
      <c r="A10765" s="1172" t="s">
        <v>7071</v>
      </c>
      <c r="B10765" s="1782">
        <v>25</v>
      </c>
      <c r="C10765" s="1172" t="s">
        <v>7072</v>
      </c>
      <c r="D10765" s="1061">
        <v>0.47</v>
      </c>
      <c r="E10765" s="2200">
        <v>27.84</v>
      </c>
      <c r="F10765" s="2186">
        <f>(((D10765*G10765)-E10765)/(D10765*G10765))</f>
        <v>0.50638297872340421</v>
      </c>
      <c r="G10765" s="2187">
        <v>120</v>
      </c>
      <c r="H10765" s="1963"/>
      <c r="I10765" s="1963"/>
      <c r="J10765" s="1963"/>
      <c r="K10765" s="1963"/>
      <c r="L10765" s="1963"/>
      <c r="M10765" s="1963"/>
      <c r="N10765" s="1963"/>
      <c r="O10765" s="1963"/>
      <c r="P10765" s="1963"/>
      <c r="Q10765" s="1963"/>
      <c r="R10765" s="1963"/>
      <c r="S10765" s="1963"/>
      <c r="T10765" s="1963"/>
      <c r="U10765" s="1963"/>
      <c r="V10765" s="1963"/>
      <c r="W10765" s="1963"/>
      <c r="X10765" s="1963"/>
      <c r="Y10765" s="1963"/>
      <c r="Z10765" s="1963"/>
      <c r="AA10765" s="1963"/>
      <c r="AB10765" s="1963"/>
      <c r="AC10765" s="1963"/>
      <c r="AD10765" s="1963"/>
      <c r="AE10765" s="1963"/>
      <c r="AF10765" s="1963"/>
      <c r="AG10765" s="1963"/>
      <c r="AH10765" s="1963"/>
      <c r="AI10765" s="1963"/>
      <c r="AJ10765" s="1963"/>
      <c r="AK10765" s="1963"/>
      <c r="AL10765" s="1963"/>
      <c r="AM10765" s="1963"/>
      <c r="AN10765" s="1963"/>
      <c r="AO10765" s="1963"/>
      <c r="AP10765" s="1963"/>
      <c r="AQ10765" s="1963"/>
      <c r="AR10765" s="1963"/>
      <c r="AS10765" s="1963"/>
      <c r="AT10765" s="1963"/>
      <c r="AU10765" s="1963"/>
      <c r="AV10765" s="1963"/>
      <c r="AW10765" s="1963"/>
      <c r="AX10765" s="1963"/>
      <c r="AY10765" s="1963"/>
      <c r="AZ10765" s="1963"/>
      <c r="BA10765" s="1963"/>
      <c r="BB10765" s="1963"/>
    </row>
    <row r="10768" spans="1:54" ht="15">
      <c r="A10768" s="1871" t="s">
        <v>8370</v>
      </c>
      <c r="B10768" s="1871"/>
      <c r="C10768" s="1871"/>
      <c r="D10768" s="1871"/>
      <c r="E10768" s="1871"/>
      <c r="F10768" s="1871"/>
    </row>
    <row r="10769" spans="1:7">
      <c r="A10769" s="887" t="s">
        <v>455</v>
      </c>
      <c r="B10769" s="887" t="s">
        <v>128</v>
      </c>
      <c r="C10769" s="887" t="s">
        <v>1053</v>
      </c>
      <c r="D10769" s="1783" t="s">
        <v>1323</v>
      </c>
      <c r="E10769" s="1959" t="s">
        <v>8368</v>
      </c>
      <c r="F10769" s="2037" t="s">
        <v>6080</v>
      </c>
      <c r="G10769" s="317" t="s">
        <v>6081</v>
      </c>
    </row>
    <row r="10770" spans="1:7">
      <c r="A10770" s="47" t="s">
        <v>8291</v>
      </c>
      <c r="B10770" s="47" t="s">
        <v>7696</v>
      </c>
      <c r="C10770" s="905">
        <v>10</v>
      </c>
      <c r="D10770" s="891">
        <f>ROUNDUP(E10770/0.6/120,2)</f>
        <v>2.6599999999999997</v>
      </c>
      <c r="E10770" s="1957">
        <v>191</v>
      </c>
      <c r="F10770" s="2070">
        <f>(D10770-(E10770/G10770))/D10770</f>
        <v>0.40162907268170422</v>
      </c>
      <c r="G10770" s="317">
        <v>120</v>
      </c>
    </row>
    <row r="10771" spans="1:7">
      <c r="A10771" s="47" t="s">
        <v>8291</v>
      </c>
      <c r="B10771" s="47" t="s">
        <v>8304</v>
      </c>
      <c r="C10771" s="905" t="s">
        <v>8292</v>
      </c>
      <c r="D10771" s="891" t="e">
        <f>ROUNDUP(E10771/0.6/120,2)</f>
        <v>#VALUE!</v>
      </c>
      <c r="E10771" s="1957" t="s">
        <v>8369</v>
      </c>
      <c r="F10771" s="2070" t="e">
        <f>(D10771-(E10771/G10771))/D10771</f>
        <v>#VALUE!</v>
      </c>
      <c r="G10771" s="317">
        <v>120</v>
      </c>
    </row>
    <row r="10772" spans="1:7">
      <c r="A10772" s="47" t="s">
        <v>8291</v>
      </c>
      <c r="B10772" s="47" t="s">
        <v>8303</v>
      </c>
      <c r="C10772" s="905" t="s">
        <v>8305</v>
      </c>
      <c r="D10772" s="891">
        <f>ROUNDUP(E10772/0.6/120,2)</f>
        <v>3.63</v>
      </c>
      <c r="E10772" s="1957">
        <f>191+70</f>
        <v>261</v>
      </c>
      <c r="F10772" s="2070">
        <f>(D10772-(E10772/G10772))/D10772</f>
        <v>0.40082644628099179</v>
      </c>
      <c r="G10772" s="317">
        <v>120</v>
      </c>
    </row>
    <row r="10774" spans="1:7" ht="36.6" customHeight="1">
      <c r="A10774" s="887" t="s">
        <v>455</v>
      </c>
      <c r="B10774" s="887" t="s">
        <v>128</v>
      </c>
      <c r="C10774" s="887" t="s">
        <v>1053</v>
      </c>
      <c r="D10774" s="1783" t="s">
        <v>1323</v>
      </c>
      <c r="E10774" s="2437" t="s">
        <v>8371</v>
      </c>
      <c r="F10774" s="2037" t="s">
        <v>6080</v>
      </c>
      <c r="G10774" s="317" t="s">
        <v>6081</v>
      </c>
    </row>
    <row r="10775" spans="1:7">
      <c r="A10775" s="47" t="s">
        <v>8291</v>
      </c>
      <c r="B10775" s="47" t="s">
        <v>7696</v>
      </c>
      <c r="C10775" s="905">
        <v>10</v>
      </c>
      <c r="D10775" s="891">
        <f>ROUNDUP(E10775/0.65/130,2)</f>
        <v>1.9</v>
      </c>
      <c r="E10775" s="1957">
        <v>160</v>
      </c>
      <c r="F10775" s="2070">
        <f>(D10775-(E10775/G10775))/D10775</f>
        <v>0.35222672064777322</v>
      </c>
      <c r="G10775" s="317">
        <v>130</v>
      </c>
    </row>
    <row r="10776" spans="1:7">
      <c r="A10776" s="47" t="s">
        <v>8291</v>
      </c>
      <c r="B10776" s="47" t="s">
        <v>8304</v>
      </c>
      <c r="C10776" s="905" t="s">
        <v>8292</v>
      </c>
      <c r="D10776" s="891" t="e">
        <f>ROUNDUP(E10776/0.6/120,2)</f>
        <v>#VALUE!</v>
      </c>
      <c r="E10776" s="1957" t="s">
        <v>8369</v>
      </c>
      <c r="F10776" s="2070" t="e">
        <f>(D10776-(E10776/G10776))/D10776</f>
        <v>#VALUE!</v>
      </c>
      <c r="G10776" s="317">
        <v>120</v>
      </c>
    </row>
    <row r="10777" spans="1:7">
      <c r="A10777" s="47" t="s">
        <v>8291</v>
      </c>
      <c r="B10777" s="47" t="s">
        <v>8303</v>
      </c>
      <c r="C10777" s="905" t="s">
        <v>8305</v>
      </c>
      <c r="D10777" s="891">
        <f>ROUNDUP(E10777/0.65/130,2)</f>
        <v>2.73</v>
      </c>
      <c r="E10777" s="1957">
        <f>160+70</f>
        <v>230</v>
      </c>
      <c r="F10777" s="2070">
        <f>(D10777-(E10777/G10777))/D10777</f>
        <v>0.3519301211608904</v>
      </c>
      <c r="G10777" s="317">
        <v>130</v>
      </c>
    </row>
    <row r="10779" spans="1:7" ht="57.6" customHeight="1">
      <c r="A10779" s="887" t="s">
        <v>455</v>
      </c>
      <c r="B10779" s="887" t="s">
        <v>128</v>
      </c>
      <c r="C10779" s="887" t="s">
        <v>1053</v>
      </c>
      <c r="D10779" s="1783" t="s">
        <v>8372</v>
      </c>
      <c r="E10779" s="1783" t="s">
        <v>8373</v>
      </c>
      <c r="F10779" s="1783" t="s">
        <v>8374</v>
      </c>
    </row>
    <row r="10780" spans="1:7">
      <c r="A10780" s="47" t="s">
        <v>8291</v>
      </c>
      <c r="B10780" s="47" t="s">
        <v>7696</v>
      </c>
      <c r="C10780" s="905">
        <v>10</v>
      </c>
      <c r="D10780" s="891">
        <v>1.48</v>
      </c>
      <c r="E10780" s="891">
        <v>2.6599999999999997</v>
      </c>
      <c r="F10780" s="891">
        <v>1.9</v>
      </c>
    </row>
    <row r="10781" spans="1:7">
      <c r="A10781" s="47" t="s">
        <v>8291</v>
      </c>
      <c r="B10781" s="47" t="s">
        <v>8304</v>
      </c>
      <c r="C10781" s="905" t="s">
        <v>8292</v>
      </c>
      <c r="D10781" s="891">
        <v>2.71</v>
      </c>
      <c r="E10781" s="1058" t="s">
        <v>8375</v>
      </c>
      <c r="F10781" s="1058" t="s">
        <v>8375</v>
      </c>
    </row>
    <row r="10782" spans="1:7">
      <c r="A10782" s="47" t="s">
        <v>8291</v>
      </c>
      <c r="B10782" s="47" t="s">
        <v>8303</v>
      </c>
      <c r="C10782" s="905" t="s">
        <v>8305</v>
      </c>
      <c r="D10782" s="891">
        <v>2.4499999999999997</v>
      </c>
      <c r="E10782" s="891">
        <v>3.63</v>
      </c>
      <c r="F10782" s="891">
        <v>2.73</v>
      </c>
    </row>
    <row r="10784" spans="1:7">
      <c r="A10784" s="895" t="s">
        <v>8377</v>
      </c>
    </row>
    <row r="10785" spans="1:8" ht="36.6" customHeight="1">
      <c r="A10785" s="887" t="s">
        <v>455</v>
      </c>
      <c r="B10785" s="887" t="s">
        <v>128</v>
      </c>
      <c r="C10785" s="887" t="s">
        <v>1053</v>
      </c>
      <c r="D10785" s="1783" t="s">
        <v>1323</v>
      </c>
      <c r="E10785" s="2437" t="s">
        <v>8119</v>
      </c>
      <c r="F10785" s="2037" t="s">
        <v>6080</v>
      </c>
      <c r="G10785" s="317" t="s">
        <v>6081</v>
      </c>
    </row>
    <row r="10786" spans="1:8">
      <c r="A10786" s="47" t="s">
        <v>8378</v>
      </c>
      <c r="B10786" s="47" t="s">
        <v>7696</v>
      </c>
      <c r="C10786" s="905">
        <v>10</v>
      </c>
      <c r="D10786" s="891">
        <f>ROUNDUP(E10786/0.6/120,2)</f>
        <v>1.03</v>
      </c>
      <c r="E10786" s="1957">
        <v>74</v>
      </c>
      <c r="F10786" s="2070">
        <f>(D10786-(E10786/G10786))/D10786</f>
        <v>0.40129449838187703</v>
      </c>
      <c r="G10786" s="317">
        <v>120</v>
      </c>
    </row>
    <row r="10787" spans="1:8">
      <c r="A10787" s="47" t="s">
        <v>8378</v>
      </c>
      <c r="B10787" s="47" t="s">
        <v>8304</v>
      </c>
      <c r="C10787" s="905" t="s">
        <v>8375</v>
      </c>
      <c r="D10787" s="1058" t="s">
        <v>8379</v>
      </c>
      <c r="E10787" s="1957" t="s">
        <v>1037</v>
      </c>
      <c r="F10787" s="2070" t="e">
        <f>(D10787-(E10787/G10787))/D10787</f>
        <v>#VALUE!</v>
      </c>
      <c r="G10787" s="317">
        <v>120</v>
      </c>
    </row>
    <row r="10788" spans="1:8">
      <c r="A10788" s="47" t="s">
        <v>8378</v>
      </c>
      <c r="B10788" s="47" t="s">
        <v>8303</v>
      </c>
      <c r="C10788" s="905" t="s">
        <v>8305</v>
      </c>
      <c r="D10788" s="891">
        <f>ROUNDUP(E10788/0.6/120,2)</f>
        <v>2</v>
      </c>
      <c r="E10788" s="1957">
        <f>74+70</f>
        <v>144</v>
      </c>
      <c r="F10788" s="2070">
        <f>(D10788-(E10788/G10788))/D10788</f>
        <v>0.4</v>
      </c>
      <c r="G10788" s="317">
        <v>120</v>
      </c>
    </row>
    <row r="10790" spans="1:8">
      <c r="A10790" s="902" t="s">
        <v>106</v>
      </c>
      <c r="B10790" s="902" t="s">
        <v>53</v>
      </c>
      <c r="C10790" s="887" t="s">
        <v>1186</v>
      </c>
      <c r="D10790" s="887" t="s">
        <v>1652</v>
      </c>
      <c r="E10790" s="887" t="s">
        <v>1653</v>
      </c>
      <c r="F10790" s="1783" t="s">
        <v>1323</v>
      </c>
      <c r="G10790" s="916" t="s">
        <v>10</v>
      </c>
    </row>
    <row r="10791" spans="1:8">
      <c r="A10791" s="47" t="s">
        <v>2349</v>
      </c>
      <c r="B10791" s="260" t="s">
        <v>78</v>
      </c>
      <c r="C10791" s="905">
        <v>14</v>
      </c>
      <c r="D10791" s="906">
        <v>220</v>
      </c>
      <c r="E10791" s="905">
        <f>D10791*C10791</f>
        <v>3080</v>
      </c>
      <c r="F10791" s="891">
        <v>1.88</v>
      </c>
    </row>
    <row r="10792" spans="1:8">
      <c r="A10792" s="47" t="s">
        <v>2349</v>
      </c>
      <c r="B10792" s="260" t="s">
        <v>78</v>
      </c>
      <c r="C10792" s="905">
        <v>14</v>
      </c>
      <c r="D10792" s="906">
        <v>1</v>
      </c>
      <c r="E10792" s="905">
        <f>D10792*C10792</f>
        <v>14</v>
      </c>
      <c r="F10792" s="891">
        <v>1.88</v>
      </c>
    </row>
    <row r="10796" spans="1:8">
      <c r="A10796" s="2440" t="s">
        <v>8381</v>
      </c>
    </row>
    <row r="10797" spans="1:8" ht="15">
      <c r="A10797" s="1996" t="s">
        <v>1603</v>
      </c>
      <c r="B10797" s="1996" t="s">
        <v>128</v>
      </c>
      <c r="C10797" s="1997" t="s">
        <v>1053</v>
      </c>
      <c r="D10797" s="1997" t="s">
        <v>6976</v>
      </c>
      <c r="E10797" s="2001" t="s">
        <v>5955</v>
      </c>
      <c r="F10797" s="2002" t="s">
        <v>5956</v>
      </c>
      <c r="G10797" s="2258"/>
      <c r="H10797" s="2259"/>
    </row>
    <row r="10798" spans="1:8">
      <c r="A10798" s="47" t="s">
        <v>8382</v>
      </c>
      <c r="B10798" s="47" t="s">
        <v>6972</v>
      </c>
      <c r="C10798" s="2092" t="s">
        <v>8383</v>
      </c>
      <c r="D10798" s="1245">
        <f t="shared" ref="D10798:D10807" si="122">ROUNDUP(E10798/0.5/120,2)</f>
        <v>0.55000000000000004</v>
      </c>
      <c r="E10798" s="1999">
        <v>33</v>
      </c>
      <c r="F10798" s="2000">
        <v>18000</v>
      </c>
      <c r="G10798" s="2258">
        <f t="shared" ref="G10798:G10807" si="123">(((D10798*H10798)-E10798)/(D10798*H10798))</f>
        <v>0.5</v>
      </c>
      <c r="H10798" s="2259">
        <v>120</v>
      </c>
    </row>
    <row r="10799" spans="1:8">
      <c r="A10799" s="47" t="s">
        <v>8382</v>
      </c>
      <c r="B10799" s="47" t="s">
        <v>5974</v>
      </c>
      <c r="C10799" s="47" t="s">
        <v>5953</v>
      </c>
      <c r="D10799" s="1245">
        <f t="shared" si="122"/>
        <v>0.55000000000000004</v>
      </c>
      <c r="E10799" s="1999">
        <v>33</v>
      </c>
      <c r="F10799" s="2000">
        <v>18000</v>
      </c>
      <c r="G10799" s="2258">
        <f t="shared" si="123"/>
        <v>0.5</v>
      </c>
      <c r="H10799" s="2259">
        <v>120</v>
      </c>
    </row>
    <row r="10800" spans="1:8">
      <c r="A10800" s="47" t="s">
        <v>8384</v>
      </c>
      <c r="B10800" s="47" t="s">
        <v>6972</v>
      </c>
      <c r="C10800" s="2092" t="s">
        <v>8383</v>
      </c>
      <c r="D10800" s="1245">
        <f t="shared" si="122"/>
        <v>0.42</v>
      </c>
      <c r="E10800" s="1999">
        <v>25</v>
      </c>
      <c r="F10800" s="2000">
        <v>18000</v>
      </c>
      <c r="G10800" s="2258">
        <f t="shared" si="123"/>
        <v>0.50396825396825395</v>
      </c>
      <c r="H10800" s="2259">
        <v>120</v>
      </c>
    </row>
    <row r="10801" spans="1:8">
      <c r="A10801" s="47" t="s">
        <v>8384</v>
      </c>
      <c r="B10801" s="47" t="s">
        <v>5974</v>
      </c>
      <c r="C10801" s="47" t="s">
        <v>5953</v>
      </c>
      <c r="D10801" s="1245">
        <f t="shared" si="122"/>
        <v>0.42</v>
      </c>
      <c r="E10801" s="1999">
        <v>25</v>
      </c>
      <c r="F10801" s="2000">
        <v>18000</v>
      </c>
      <c r="G10801" s="2258">
        <f t="shared" si="123"/>
        <v>0.50396825396825395</v>
      </c>
      <c r="H10801" s="2259">
        <v>120</v>
      </c>
    </row>
    <row r="10802" spans="1:8">
      <c r="A10802" s="47" t="s">
        <v>8385</v>
      </c>
      <c r="B10802" s="47" t="s">
        <v>6972</v>
      </c>
      <c r="C10802" s="2092" t="s">
        <v>8383</v>
      </c>
      <c r="D10802" s="1245">
        <f t="shared" si="122"/>
        <v>0.34</v>
      </c>
      <c r="E10802" s="1999">
        <v>20</v>
      </c>
      <c r="F10802" s="2000">
        <v>18000</v>
      </c>
      <c r="G10802" s="2258">
        <f t="shared" si="123"/>
        <v>0.50980392156862753</v>
      </c>
      <c r="H10802" s="2259">
        <v>120</v>
      </c>
    </row>
    <row r="10803" spans="1:8">
      <c r="A10803" s="47" t="s">
        <v>8385</v>
      </c>
      <c r="B10803" s="47" t="s">
        <v>5974</v>
      </c>
      <c r="C10803" s="47" t="s">
        <v>5953</v>
      </c>
      <c r="D10803" s="1245">
        <f t="shared" si="122"/>
        <v>0.34</v>
      </c>
      <c r="E10803" s="1999">
        <v>20</v>
      </c>
      <c r="F10803" s="2000">
        <v>18000</v>
      </c>
      <c r="G10803" s="2258">
        <f t="shared" si="123"/>
        <v>0.50980392156862753</v>
      </c>
      <c r="H10803" s="2259">
        <v>120</v>
      </c>
    </row>
    <row r="10804" spans="1:8">
      <c r="A10804" s="47" t="s">
        <v>8386</v>
      </c>
      <c r="B10804" s="47" t="s">
        <v>6972</v>
      </c>
      <c r="C10804" s="2092" t="s">
        <v>8383</v>
      </c>
      <c r="D10804" s="1245">
        <f t="shared" si="122"/>
        <v>0.34</v>
      </c>
      <c r="E10804" s="1999">
        <v>20</v>
      </c>
      <c r="F10804" s="2000">
        <v>18000</v>
      </c>
      <c r="G10804" s="2258">
        <f t="shared" si="123"/>
        <v>0.50980392156862753</v>
      </c>
      <c r="H10804" s="2259">
        <v>120</v>
      </c>
    </row>
    <row r="10805" spans="1:8">
      <c r="A10805" s="47" t="s">
        <v>8386</v>
      </c>
      <c r="B10805" s="47" t="s">
        <v>5974</v>
      </c>
      <c r="C10805" s="47" t="s">
        <v>5953</v>
      </c>
      <c r="D10805" s="1245">
        <f t="shared" si="122"/>
        <v>0.34</v>
      </c>
      <c r="E10805" s="1999">
        <v>20</v>
      </c>
      <c r="F10805" s="2000">
        <v>18000</v>
      </c>
      <c r="G10805" s="2258">
        <f t="shared" si="123"/>
        <v>0.50980392156862753</v>
      </c>
      <c r="H10805" s="2259">
        <v>120</v>
      </c>
    </row>
    <row r="10806" spans="1:8">
      <c r="A10806" s="47" t="s">
        <v>8387</v>
      </c>
      <c r="B10806" s="47" t="s">
        <v>6972</v>
      </c>
      <c r="C10806" s="2092" t="s">
        <v>8383</v>
      </c>
      <c r="D10806" s="1245">
        <f t="shared" si="122"/>
        <v>0.5</v>
      </c>
      <c r="E10806" s="1999">
        <v>29.5</v>
      </c>
      <c r="F10806" s="2000">
        <v>18000</v>
      </c>
      <c r="G10806" s="2258">
        <f t="shared" si="123"/>
        <v>0.5083333333333333</v>
      </c>
      <c r="H10806" s="2259">
        <v>120</v>
      </c>
    </row>
    <row r="10807" spans="1:8">
      <c r="A10807" s="47" t="s">
        <v>8387</v>
      </c>
      <c r="B10807" s="47" t="s">
        <v>5974</v>
      </c>
      <c r="C10807" s="47" t="s">
        <v>5953</v>
      </c>
      <c r="D10807" s="1245">
        <f t="shared" si="122"/>
        <v>0.5</v>
      </c>
      <c r="E10807" s="1999">
        <v>29.5</v>
      </c>
      <c r="F10807" s="2000">
        <v>18000</v>
      </c>
      <c r="G10807" s="2258">
        <f t="shared" si="123"/>
        <v>0.5083333333333333</v>
      </c>
      <c r="H10807" s="2259">
        <v>120</v>
      </c>
    </row>
    <row r="10808" spans="1:8" ht="14.25">
      <c r="A10808" s="1971"/>
    </row>
    <row r="10810" spans="1:8" ht="15">
      <c r="A10810" s="1996" t="s">
        <v>1603</v>
      </c>
      <c r="B10810" s="1996" t="s">
        <v>128</v>
      </c>
      <c r="C10810" s="1997" t="s">
        <v>1053</v>
      </c>
      <c r="D10810" s="1997" t="s">
        <v>6976</v>
      </c>
      <c r="E10810" s="2001" t="s">
        <v>5955</v>
      </c>
      <c r="F10810" s="2002" t="s">
        <v>5956</v>
      </c>
      <c r="G10810" s="2258"/>
      <c r="H10810" s="2259"/>
    </row>
    <row r="10811" spans="1:8" ht="38.25">
      <c r="A10811" s="47" t="s">
        <v>8385</v>
      </c>
      <c r="B10811" s="2092" t="s">
        <v>8388</v>
      </c>
      <c r="C10811" s="2092" t="s">
        <v>8383</v>
      </c>
      <c r="D10811" s="1245">
        <v>0.34</v>
      </c>
      <c r="E10811" s="1999">
        <v>20</v>
      </c>
      <c r="F10811" s="2000">
        <v>18000</v>
      </c>
      <c r="G10811" s="2258">
        <v>0.50980392156862753</v>
      </c>
      <c r="H10811" s="2259">
        <v>120</v>
      </c>
    </row>
    <row r="10812" spans="1:8">
      <c r="A10812" s="47" t="s">
        <v>8385</v>
      </c>
      <c r="B10812" s="47" t="s">
        <v>5974</v>
      </c>
      <c r="C10812" s="47" t="s">
        <v>5953</v>
      </c>
      <c r="D10812" s="1245">
        <v>0.34</v>
      </c>
      <c r="E10812" s="1999">
        <v>20</v>
      </c>
      <c r="F10812" s="2000">
        <v>18000</v>
      </c>
      <c r="G10812" s="2258">
        <v>0.50980392156862753</v>
      </c>
      <c r="H10812" s="2259">
        <v>120</v>
      </c>
    </row>
    <row r="10816" spans="1:8">
      <c r="A10816" s="902" t="s">
        <v>106</v>
      </c>
      <c r="B10816" s="902" t="s">
        <v>52</v>
      </c>
      <c r="C10816" s="902" t="s">
        <v>53</v>
      </c>
      <c r="D10816" s="887" t="s">
        <v>1186</v>
      </c>
      <c r="E10816" s="887" t="s">
        <v>1652</v>
      </c>
      <c r="F10816" s="887" t="s">
        <v>1653</v>
      </c>
      <c r="G10816" s="1783" t="s">
        <v>1323</v>
      </c>
      <c r="H10816" s="52" t="s">
        <v>134</v>
      </c>
    </row>
    <row r="10817" spans="1:11">
      <c r="A10817" s="47" t="s">
        <v>8391</v>
      </c>
      <c r="B10817" s="2052">
        <v>4</v>
      </c>
      <c r="C10817" s="47" t="s">
        <v>5974</v>
      </c>
      <c r="D10817" s="905">
        <v>100</v>
      </c>
      <c r="E10817" s="906">
        <v>2</v>
      </c>
      <c r="F10817" s="905">
        <f>E10817*D10817</f>
        <v>200</v>
      </c>
      <c r="G10817" s="891">
        <v>0.34</v>
      </c>
    </row>
    <row r="10818" spans="1:11">
      <c r="A10818" s="47"/>
      <c r="B10818" s="893"/>
      <c r="C10818" s="260" t="s">
        <v>1993</v>
      </c>
      <c r="D10818" s="905"/>
      <c r="E10818" s="906"/>
      <c r="F10818" s="894">
        <v>1</v>
      </c>
      <c r="G10818" s="891">
        <v>12</v>
      </c>
    </row>
    <row r="10821" spans="1:11">
      <c r="A10821" s="902" t="s">
        <v>106</v>
      </c>
      <c r="B10821" s="902" t="s">
        <v>52</v>
      </c>
      <c r="C10821" s="902" t="s">
        <v>53</v>
      </c>
      <c r="D10821" s="887" t="s">
        <v>1186</v>
      </c>
      <c r="E10821" s="887" t="s">
        <v>1652</v>
      </c>
      <c r="F10821" s="887" t="s">
        <v>1653</v>
      </c>
      <c r="G10821" s="887" t="s">
        <v>5574</v>
      </c>
    </row>
    <row r="10822" spans="1:11">
      <c r="A10822" s="47">
        <v>5291</v>
      </c>
      <c r="B10822" s="48">
        <v>6</v>
      </c>
      <c r="C10822" s="47" t="s">
        <v>29</v>
      </c>
      <c r="D10822" s="905">
        <v>50</v>
      </c>
      <c r="E10822" s="906">
        <v>6</v>
      </c>
      <c r="F10822" s="905">
        <f>D10822*E10822</f>
        <v>300</v>
      </c>
      <c r="G10822" s="891">
        <v>0.51</v>
      </c>
    </row>
    <row r="10823" spans="1:11">
      <c r="A10823" s="47">
        <v>5291</v>
      </c>
      <c r="B10823" s="48">
        <v>6</v>
      </c>
      <c r="C10823" s="47" t="s">
        <v>499</v>
      </c>
      <c r="D10823" s="905">
        <v>50</v>
      </c>
      <c r="E10823" s="906">
        <v>5</v>
      </c>
      <c r="F10823" s="905">
        <f>D10823*E10823</f>
        <v>250</v>
      </c>
      <c r="G10823" s="891">
        <v>0.51</v>
      </c>
    </row>
    <row r="10826" spans="1:11" ht="36.6" customHeight="1">
      <c r="A10826" s="1874" t="s">
        <v>455</v>
      </c>
      <c r="B10826" s="1874" t="s">
        <v>128</v>
      </c>
      <c r="C10826" s="1874" t="s">
        <v>1053</v>
      </c>
      <c r="D10826" s="1783" t="s">
        <v>1323</v>
      </c>
      <c r="E10826" s="1279" t="s">
        <v>8397</v>
      </c>
      <c r="F10826" s="2037" t="s">
        <v>6080</v>
      </c>
      <c r="G10826" s="317" t="s">
        <v>6081</v>
      </c>
    </row>
    <row r="10827" spans="1:11" ht="14.25">
      <c r="A10827" s="909" t="s">
        <v>8291</v>
      </c>
      <c r="B10827" s="909" t="s">
        <v>7696</v>
      </c>
      <c r="C10827" s="1640">
        <v>10</v>
      </c>
      <c r="D10827" s="1343">
        <f>ROUNDUP(E10827/0.65/130,2)</f>
        <v>1.9</v>
      </c>
      <c r="E10827" s="2467">
        <v>160</v>
      </c>
      <c r="F10827" s="2070">
        <f>(D10827-(E10827/G10827))/D10827</f>
        <v>0.35222672064777322</v>
      </c>
      <c r="G10827" s="317">
        <v>130</v>
      </c>
    </row>
    <row r="10828" spans="1:11" ht="14.25">
      <c r="A10828" s="909" t="s">
        <v>8291</v>
      </c>
      <c r="B10828" s="909" t="s">
        <v>8304</v>
      </c>
      <c r="C10828" s="1640" t="s">
        <v>8292</v>
      </c>
      <c r="D10828" s="1343" t="e">
        <f>ROUNDUP(E10828/0.6/120,2)</f>
        <v>#VALUE!</v>
      </c>
      <c r="E10828" s="2467" t="s">
        <v>1037</v>
      </c>
      <c r="F10828" s="2070" t="e">
        <f>(D10828-(E10828/G10828))/D10828</f>
        <v>#VALUE!</v>
      </c>
      <c r="G10828" s="317">
        <v>120</v>
      </c>
    </row>
    <row r="10829" spans="1:11" ht="14.25">
      <c r="A10829" s="909" t="s">
        <v>8291</v>
      </c>
      <c r="B10829" s="909" t="s">
        <v>8303</v>
      </c>
      <c r="C10829" s="1640" t="s">
        <v>8305</v>
      </c>
      <c r="D10829" s="1343">
        <f>ROUNDUP(E10829/0.65/130,2)</f>
        <v>2.73</v>
      </c>
      <c r="E10829" s="2467">
        <f>160+70</f>
        <v>230</v>
      </c>
      <c r="F10829" s="2070">
        <f>(D10829-(E10829/G10829))/D10829</f>
        <v>0.3519301211608904</v>
      </c>
      <c r="G10829" s="317">
        <v>130</v>
      </c>
    </row>
    <row r="10831" spans="1:11">
      <c r="A10831" t="s">
        <v>8399</v>
      </c>
    </row>
    <row r="10832" spans="1:11" s="1019" customFormat="1" ht="38.25">
      <c r="A10832" s="1874" t="s">
        <v>455</v>
      </c>
      <c r="B10832" s="1874" t="s">
        <v>1710</v>
      </c>
      <c r="C10832" s="1874" t="s">
        <v>8400</v>
      </c>
      <c r="D10832" s="1874" t="s">
        <v>6283</v>
      </c>
      <c r="E10832" s="1783" t="s">
        <v>6280</v>
      </c>
      <c r="F10832" s="1783" t="s">
        <v>6285</v>
      </c>
      <c r="G10832" s="2073" t="s">
        <v>6271</v>
      </c>
      <c r="H10832" s="2073" t="s">
        <v>6272</v>
      </c>
      <c r="I10832" s="2037" t="s">
        <v>6080</v>
      </c>
      <c r="J10832" s="2037" t="s">
        <v>6081</v>
      </c>
      <c r="K10832" s="1865"/>
    </row>
    <row r="10833" spans="1:11" s="1019" customFormat="1" ht="12.75">
      <c r="A10833" s="2076" t="s">
        <v>6264</v>
      </c>
      <c r="B10833" s="1865" t="s">
        <v>6265</v>
      </c>
      <c r="C10833" s="2077">
        <f>100*14+50*1</f>
        <v>1450</v>
      </c>
      <c r="D10833" s="2077" t="s">
        <v>6277</v>
      </c>
      <c r="E10833" s="2078">
        <f>ROUNDUP((G10833+H10833)/0.6/120,2)</f>
        <v>3.8899999999999997</v>
      </c>
      <c r="F10833" s="2079">
        <f>E10833*0.7</f>
        <v>2.7229999999999994</v>
      </c>
      <c r="G10833" s="2074">
        <v>210</v>
      </c>
      <c r="H10833" s="2074">
        <v>70</v>
      </c>
      <c r="I10833" s="2070">
        <f>(E10833-((G10833+H10833)/J10833))/E10833</f>
        <v>0.40017137960582683</v>
      </c>
      <c r="J10833" s="2071">
        <v>120</v>
      </c>
      <c r="K10833" s="2075"/>
    </row>
    <row r="10834" spans="1:11" s="1019" customFormat="1" ht="12.75">
      <c r="A10834" s="2470" t="s">
        <v>8414</v>
      </c>
      <c r="B10834" s="2283"/>
      <c r="C10834" s="2471"/>
      <c r="D10834" s="2471"/>
      <c r="E10834" s="2472"/>
      <c r="F10834" s="2473"/>
      <c r="G10834" s="2474"/>
      <c r="H10834" s="2474"/>
      <c r="I10834" s="2070"/>
      <c r="J10834" s="2071"/>
      <c r="K10834" s="2475"/>
    </row>
    <row r="10835" spans="1:11" s="1019" customFormat="1" ht="12.75">
      <c r="A10835" s="2470" t="s">
        <v>8417</v>
      </c>
      <c r="B10835" s="2283"/>
      <c r="C10835" s="2471"/>
      <c r="D10835" s="2471"/>
      <c r="E10835" s="2472"/>
      <c r="F10835" s="2473"/>
      <c r="G10835" s="2474"/>
      <c r="H10835" s="2474"/>
      <c r="I10835" s="2070"/>
      <c r="J10835" s="2071"/>
      <c r="K10835" s="2475"/>
    </row>
    <row r="10836" spans="1:11" s="1019" customFormat="1" ht="38.25">
      <c r="A10836" s="1874" t="s">
        <v>8420</v>
      </c>
      <c r="B10836" s="1874" t="s">
        <v>1710</v>
      </c>
      <c r="C10836" s="1874" t="s">
        <v>8415</v>
      </c>
      <c r="D10836" s="1783" t="s">
        <v>8418</v>
      </c>
      <c r="E10836" s="1783" t="s">
        <v>8419</v>
      </c>
      <c r="F10836" s="2073" t="s">
        <v>6271</v>
      </c>
      <c r="G10836" s="2073" t="s">
        <v>6272</v>
      </c>
      <c r="H10836" s="2037" t="s">
        <v>6080</v>
      </c>
      <c r="I10836" s="2037" t="s">
        <v>6081</v>
      </c>
      <c r="J10836" s="1865"/>
    </row>
    <row r="10837" spans="1:11" s="1019" customFormat="1" ht="12.75">
      <c r="A10837" s="2076" t="s">
        <v>6264</v>
      </c>
      <c r="B10837" s="1865" t="s">
        <v>6265</v>
      </c>
      <c r="C10837" s="1865" t="s">
        <v>8416</v>
      </c>
      <c r="D10837" s="2078">
        <f>3.89+0.2</f>
        <v>4.09</v>
      </c>
      <c r="E10837" s="2079">
        <f>2.72+0.2</f>
        <v>2.9200000000000004</v>
      </c>
      <c r="F10837" s="2074">
        <v>210</v>
      </c>
      <c r="G10837" s="2074">
        <v>70</v>
      </c>
      <c r="H10837" s="2070">
        <f>(D10837-((F10837+G10837)/I10837))/D10837</f>
        <v>0.4295028524857375</v>
      </c>
      <c r="I10837" s="2071">
        <v>120</v>
      </c>
      <c r="J10837" s="2075"/>
    </row>
    <row r="10838" spans="1:11" s="1019" customFormat="1" ht="12.75">
      <c r="A10838" s="2470"/>
      <c r="B10838" s="2283"/>
      <c r="C10838" s="2471"/>
      <c r="D10838" s="2471"/>
      <c r="E10838" s="2472"/>
      <c r="F10838" s="2473"/>
      <c r="G10838" s="2474"/>
      <c r="H10838" s="2474"/>
      <c r="I10838" s="2070"/>
      <c r="J10838" s="2071"/>
      <c r="K10838" s="2475"/>
    </row>
    <row r="10840" spans="1:11">
      <c r="A10840" s="1874" t="s">
        <v>455</v>
      </c>
      <c r="B10840" s="1874" t="s">
        <v>128</v>
      </c>
      <c r="C10840" s="887" t="s">
        <v>1653</v>
      </c>
      <c r="D10840" s="1783" t="s">
        <v>1323</v>
      </c>
    </row>
    <row r="10841" spans="1:11">
      <c r="A10841" s="889" t="s">
        <v>8300</v>
      </c>
      <c r="B10841" s="47"/>
      <c r="C10841" s="905"/>
      <c r="D10841" s="52" t="s">
        <v>10</v>
      </c>
    </row>
    <row r="10842" spans="1:11">
      <c r="A10842" s="47" t="s">
        <v>8301</v>
      </c>
      <c r="B10842" s="47" t="s">
        <v>8402</v>
      </c>
      <c r="C10842" s="905">
        <v>40</v>
      </c>
      <c r="D10842" s="891">
        <v>1.48</v>
      </c>
    </row>
    <row r="10843" spans="1:11">
      <c r="A10843" s="47" t="s">
        <v>8301</v>
      </c>
      <c r="B10843" s="47" t="s">
        <v>8403</v>
      </c>
      <c r="C10843" s="905">
        <v>40</v>
      </c>
      <c r="D10843" s="891">
        <v>1.48</v>
      </c>
    </row>
    <row r="10844" spans="1:11">
      <c r="A10844" s="47"/>
      <c r="B10844" s="47" t="s">
        <v>3334</v>
      </c>
      <c r="C10844" s="894">
        <v>2</v>
      </c>
      <c r="D10844" s="891">
        <v>75</v>
      </c>
    </row>
    <row r="10845" spans="1:11">
      <c r="A10845" s="47"/>
      <c r="B10845" s="260" t="s">
        <v>1993</v>
      </c>
      <c r="C10845" s="894">
        <v>1</v>
      </c>
      <c r="D10845" s="891">
        <v>12</v>
      </c>
    </row>
    <row r="10847" spans="1:11">
      <c r="A10847" s="1874" t="s">
        <v>455</v>
      </c>
      <c r="B10847" s="1874" t="s">
        <v>128</v>
      </c>
      <c r="C10847" s="887" t="s">
        <v>1653</v>
      </c>
      <c r="D10847" s="2276" t="s">
        <v>8406</v>
      </c>
    </row>
    <row r="10848" spans="1:11">
      <c r="A10848" s="889" t="s">
        <v>8300</v>
      </c>
      <c r="B10848" s="47"/>
      <c r="C10848" s="905"/>
      <c r="D10848" s="1059"/>
    </row>
    <row r="10849" spans="1:9">
      <c r="A10849" s="47" t="s">
        <v>8301</v>
      </c>
      <c r="B10849" s="47" t="s">
        <v>8402</v>
      </c>
      <c r="C10849" s="905">
        <v>40</v>
      </c>
      <c r="D10849" s="1059">
        <v>106</v>
      </c>
    </row>
    <row r="10850" spans="1:9">
      <c r="A10850" s="47" t="s">
        <v>8301</v>
      </c>
      <c r="B10850" s="47" t="s">
        <v>8403</v>
      </c>
      <c r="C10850" s="905">
        <v>40</v>
      </c>
      <c r="D10850" s="1059">
        <v>106</v>
      </c>
    </row>
    <row r="10851" spans="1:9">
      <c r="A10851" s="47"/>
      <c r="B10851" s="47" t="s">
        <v>3334</v>
      </c>
      <c r="C10851" s="894">
        <v>2</v>
      </c>
      <c r="D10851" s="1059">
        <v>7000</v>
      </c>
    </row>
    <row r="10853" spans="1:9" ht="15">
      <c r="A10853" s="1871" t="s">
        <v>8410</v>
      </c>
      <c r="B10853" s="1871"/>
      <c r="C10853" s="1871"/>
      <c r="D10853" s="1871"/>
      <c r="E10853" s="1871"/>
      <c r="F10853" s="1871"/>
    </row>
    <row r="10854" spans="1:9" ht="25.5">
      <c r="A10854" s="887" t="s">
        <v>455</v>
      </c>
      <c r="B10854" s="887" t="s">
        <v>128</v>
      </c>
      <c r="C10854" s="887" t="s">
        <v>8351</v>
      </c>
      <c r="D10854" s="1783" t="s">
        <v>1323</v>
      </c>
      <c r="E10854" s="1998" t="s">
        <v>6978</v>
      </c>
      <c r="F10854" s="1783" t="s">
        <v>8411</v>
      </c>
      <c r="H10854" s="2037" t="s">
        <v>6080</v>
      </c>
      <c r="I10854" s="317" t="s">
        <v>6081</v>
      </c>
    </row>
    <row r="10855" spans="1:9">
      <c r="A10855" s="47" t="s">
        <v>1493</v>
      </c>
      <c r="B10855" s="47" t="s">
        <v>7694</v>
      </c>
      <c r="C10855" s="905">
        <v>14</v>
      </c>
      <c r="D10855" s="1058">
        <f>ROUNDUP(G10855/0.6/120,2)</f>
        <v>3.4099999999999997</v>
      </c>
      <c r="E10855" s="2469" t="s">
        <v>6263</v>
      </c>
      <c r="F10855" s="2464" t="s">
        <v>8412</v>
      </c>
      <c r="G10855" s="1957">
        <v>245</v>
      </c>
      <c r="H10855" s="2070">
        <f>(D10855-(G10855/I10855))/D10855</f>
        <v>0.40127077223851415</v>
      </c>
      <c r="I10855" s="317">
        <v>120</v>
      </c>
    </row>
    <row r="10856" spans="1:9">
      <c r="A10856" s="47" t="s">
        <v>1493</v>
      </c>
      <c r="B10856" s="47" t="s">
        <v>8352</v>
      </c>
      <c r="C10856" s="905">
        <v>210</v>
      </c>
      <c r="D10856" s="1058">
        <f>ROUNDUP(G10856/0.6/120,2)</f>
        <v>4.24</v>
      </c>
      <c r="E10856" s="2260" t="s">
        <v>8413</v>
      </c>
      <c r="F10856" s="950" t="s">
        <v>2346</v>
      </c>
      <c r="G10856" s="1957">
        <f>245+60</f>
        <v>305</v>
      </c>
      <c r="H10856" s="2070">
        <f>(D10856-(G10856/I10856))/D10856</f>
        <v>0.4005503144654089</v>
      </c>
      <c r="I10856" s="317">
        <v>120</v>
      </c>
    </row>
    <row r="10859" spans="1:9">
      <c r="A10859" s="902" t="s">
        <v>106</v>
      </c>
      <c r="B10859" s="902" t="s">
        <v>52</v>
      </c>
      <c r="C10859" s="902" t="s">
        <v>53</v>
      </c>
      <c r="D10859" s="887" t="s">
        <v>1186</v>
      </c>
      <c r="E10859" s="887" t="s">
        <v>1652</v>
      </c>
      <c r="F10859" s="887" t="s">
        <v>1653</v>
      </c>
      <c r="G10859" s="1783" t="s">
        <v>1323</v>
      </c>
    </row>
    <row r="10860" spans="1:9">
      <c r="A10860" s="47">
        <v>4141</v>
      </c>
      <c r="B10860" s="260">
        <v>6</v>
      </c>
      <c r="C10860" s="47" t="s">
        <v>8408</v>
      </c>
      <c r="D10860" s="905">
        <v>20</v>
      </c>
      <c r="E10860" s="906">
        <v>54</v>
      </c>
      <c r="F10860" s="905">
        <f>D10860*E10860</f>
        <v>1080</v>
      </c>
      <c r="G10860" s="891">
        <v>1.47</v>
      </c>
    </row>
    <row r="10861" spans="1:9">
      <c r="A10861" s="47">
        <v>4141</v>
      </c>
      <c r="B10861" s="260">
        <v>6</v>
      </c>
      <c r="C10861" s="47" t="s">
        <v>48</v>
      </c>
      <c r="D10861" s="905">
        <v>20</v>
      </c>
      <c r="E10861" s="906">
        <v>92</v>
      </c>
      <c r="F10861" s="905">
        <f>D10861*E10861</f>
        <v>1840</v>
      </c>
      <c r="G10861" s="891">
        <v>1.47</v>
      </c>
    </row>
    <row r="10862" spans="1:9">
      <c r="A10862" s="47">
        <v>4141</v>
      </c>
      <c r="B10862" s="260">
        <v>6</v>
      </c>
      <c r="C10862" s="47" t="s">
        <v>8409</v>
      </c>
      <c r="D10862" s="905">
        <v>20</v>
      </c>
      <c r="E10862" s="906">
        <v>97</v>
      </c>
      <c r="F10862" s="905">
        <f>D10862*E10862</f>
        <v>1940</v>
      </c>
      <c r="G10862" s="891">
        <v>1.47</v>
      </c>
    </row>
    <row r="10865" spans="1:10" s="1163" customFormat="1" ht="31.5">
      <c r="A10865" s="2152" t="s">
        <v>1369</v>
      </c>
      <c r="B10865" s="2153" t="s">
        <v>377</v>
      </c>
      <c r="C10865" s="2190" t="s">
        <v>2</v>
      </c>
      <c r="D10865" s="649" t="s">
        <v>1734</v>
      </c>
      <c r="E10865" s="649" t="s">
        <v>5526</v>
      </c>
      <c r="F10865" s="2191" t="s">
        <v>2264</v>
      </c>
      <c r="G10865" s="2191" t="s">
        <v>1181</v>
      </c>
      <c r="H10865" s="2192" t="s">
        <v>5527</v>
      </c>
      <c r="I10865" s="1162" t="s">
        <v>1403</v>
      </c>
    </row>
    <row r="10866" spans="1:10" s="1165" customFormat="1" ht="15" customHeight="1">
      <c r="A10866" s="2154" t="s">
        <v>8422</v>
      </c>
      <c r="B10866" s="2155" t="s">
        <v>472</v>
      </c>
      <c r="C10866" s="2476">
        <v>50</v>
      </c>
      <c r="D10866" s="2194" t="s">
        <v>1812</v>
      </c>
      <c r="E10866" s="2156" t="s">
        <v>1197</v>
      </c>
      <c r="F10866" s="2477" t="s">
        <v>8421</v>
      </c>
      <c r="G10866" s="2477" t="s">
        <v>3092</v>
      </c>
      <c r="H10866" s="2478">
        <v>0.38</v>
      </c>
      <c r="I10866" s="2479"/>
      <c r="J10866" s="2480"/>
    </row>
    <row r="10868" spans="1:10">
      <c r="A10868" t="s">
        <v>8427</v>
      </c>
    </row>
    <row r="10869" spans="1:10" s="2103" customFormat="1" ht="26.25" thickBot="1">
      <c r="A10869" s="2417" t="s">
        <v>1369</v>
      </c>
      <c r="B10869" s="2481" t="s">
        <v>2464</v>
      </c>
      <c r="C10869" s="2482" t="s">
        <v>2317</v>
      </c>
      <c r="D10869" s="2483" t="s">
        <v>8423</v>
      </c>
      <c r="E10869" s="2481" t="s">
        <v>1181</v>
      </c>
      <c r="F10869" s="2484" t="s">
        <v>8424</v>
      </c>
      <c r="G10869" s="2485" t="s">
        <v>8425</v>
      </c>
      <c r="H10869" s="2486"/>
    </row>
    <row r="10870" spans="1:10" s="2103" customFormat="1" ht="18" customHeight="1">
      <c r="A10870" s="1170" t="s">
        <v>2358</v>
      </c>
      <c r="B10870" s="1172" t="s">
        <v>7</v>
      </c>
      <c r="C10870" s="2075" t="s">
        <v>8426</v>
      </c>
      <c r="D10870" s="1187">
        <v>5</v>
      </c>
      <c r="E10870" s="1172" t="s">
        <v>15</v>
      </c>
      <c r="F10870" s="2487">
        <v>30</v>
      </c>
      <c r="G10870" s="1061">
        <v>0.6</v>
      </c>
      <c r="H10870" s="2488">
        <v>40</v>
      </c>
      <c r="I10870" s="2489">
        <f t="shared" ref="I10870:I10880" si="124">(((G10870*J10870)-H10870)/(G10870*J10870))</f>
        <v>0.44444444444444442</v>
      </c>
      <c r="J10870" s="2490">
        <v>120</v>
      </c>
    </row>
    <row r="10871" spans="1:10" s="2103" customFormat="1" ht="18" customHeight="1">
      <c r="A10871" s="1170" t="s">
        <v>2358</v>
      </c>
      <c r="B10871" s="1172" t="s">
        <v>7</v>
      </c>
      <c r="C10871" s="2075" t="s">
        <v>8426</v>
      </c>
      <c r="D10871" s="1187">
        <v>7</v>
      </c>
      <c r="E10871" s="1172" t="s">
        <v>15</v>
      </c>
      <c r="F10871" s="2487">
        <v>30</v>
      </c>
      <c r="G10871" s="1061">
        <v>0.62</v>
      </c>
      <c r="H10871" s="2491">
        <v>41</v>
      </c>
      <c r="I10871" s="2489">
        <f t="shared" si="124"/>
        <v>0.44892473118279574</v>
      </c>
      <c r="J10871" s="2490">
        <v>120</v>
      </c>
    </row>
    <row r="10872" spans="1:10" s="2103" customFormat="1" ht="18" customHeight="1">
      <c r="A10872" s="1170" t="s">
        <v>2358</v>
      </c>
      <c r="B10872" s="1172" t="s">
        <v>7</v>
      </c>
      <c r="C10872" s="2075" t="s">
        <v>8426</v>
      </c>
      <c r="D10872" s="1187">
        <v>10</v>
      </c>
      <c r="E10872" s="1172" t="s">
        <v>15</v>
      </c>
      <c r="F10872" s="2487">
        <v>30</v>
      </c>
      <c r="G10872" s="1061">
        <v>0.69000000000000006</v>
      </c>
      <c r="H10872" s="2491">
        <v>46</v>
      </c>
      <c r="I10872" s="2489">
        <f t="shared" si="124"/>
        <v>0.44444444444444453</v>
      </c>
      <c r="J10872" s="2490">
        <v>120</v>
      </c>
    </row>
    <row r="10873" spans="1:10" s="2103" customFormat="1" ht="18" customHeight="1">
      <c r="A10873" s="1170" t="s">
        <v>2358</v>
      </c>
      <c r="B10873" s="1172" t="s">
        <v>14</v>
      </c>
      <c r="C10873" s="2075" t="s">
        <v>8426</v>
      </c>
      <c r="D10873" s="1187">
        <v>12</v>
      </c>
      <c r="E10873" s="1172" t="s">
        <v>15</v>
      </c>
      <c r="F10873" s="2487">
        <v>30</v>
      </c>
      <c r="G10873" s="1061">
        <v>0.76</v>
      </c>
      <c r="H10873" s="2491">
        <v>51</v>
      </c>
      <c r="I10873" s="2489">
        <f t="shared" si="124"/>
        <v>0.44078947368421056</v>
      </c>
      <c r="J10873" s="2490">
        <v>120</v>
      </c>
    </row>
    <row r="10874" spans="1:10" s="2103" customFormat="1" ht="18" customHeight="1">
      <c r="A10874" s="1170" t="s">
        <v>2358</v>
      </c>
      <c r="B10874" s="1172" t="s">
        <v>7</v>
      </c>
      <c r="C10874" s="2075" t="s">
        <v>8426</v>
      </c>
      <c r="D10874" s="1187">
        <v>15</v>
      </c>
      <c r="E10874" s="1172" t="s">
        <v>15</v>
      </c>
      <c r="F10874" s="2487">
        <v>30</v>
      </c>
      <c r="G10874" s="1061">
        <v>0.84</v>
      </c>
      <c r="H10874" s="2491">
        <v>55</v>
      </c>
      <c r="I10874" s="2489">
        <f t="shared" si="124"/>
        <v>0.45436507936507936</v>
      </c>
      <c r="J10874" s="2490">
        <v>120</v>
      </c>
    </row>
    <row r="10875" spans="1:10" s="2103" customFormat="1" ht="18" customHeight="1">
      <c r="A10875" s="1170" t="s">
        <v>2358</v>
      </c>
      <c r="B10875" s="1172" t="s">
        <v>14</v>
      </c>
      <c r="C10875" s="2075" t="s">
        <v>8426</v>
      </c>
      <c r="D10875" s="1187">
        <v>18</v>
      </c>
      <c r="E10875" s="1172" t="s">
        <v>15</v>
      </c>
      <c r="F10875" s="2487">
        <v>30</v>
      </c>
      <c r="G10875" s="1061">
        <v>1</v>
      </c>
      <c r="H10875" s="2491">
        <v>66</v>
      </c>
      <c r="I10875" s="2489">
        <f t="shared" si="124"/>
        <v>0.45</v>
      </c>
      <c r="J10875" s="2490">
        <v>120</v>
      </c>
    </row>
    <row r="10876" spans="1:10" s="2103" customFormat="1" ht="18" customHeight="1">
      <c r="A10876" s="1170" t="s">
        <v>2358</v>
      </c>
      <c r="B10876" s="1172" t="s">
        <v>14</v>
      </c>
      <c r="C10876" s="2075" t="s">
        <v>8426</v>
      </c>
      <c r="D10876" s="1187">
        <v>25</v>
      </c>
      <c r="E10876" s="1172" t="s">
        <v>15</v>
      </c>
      <c r="F10876" s="2487">
        <v>30</v>
      </c>
      <c r="G10876" s="1061">
        <v>1.21</v>
      </c>
      <c r="H10876" s="2491">
        <v>80</v>
      </c>
      <c r="I10876" s="2489">
        <f t="shared" si="124"/>
        <v>0.44903581267217624</v>
      </c>
      <c r="J10876" s="2490">
        <v>120</v>
      </c>
    </row>
    <row r="10877" spans="1:10" s="2103" customFormat="1" ht="18" customHeight="1">
      <c r="A10877" s="1170" t="s">
        <v>2358</v>
      </c>
      <c r="B10877" s="1172" t="s">
        <v>14</v>
      </c>
      <c r="C10877" s="2075" t="s">
        <v>8426</v>
      </c>
      <c r="D10877" s="1187">
        <v>30</v>
      </c>
      <c r="E10877" s="1172" t="s">
        <v>15</v>
      </c>
      <c r="F10877" s="2487">
        <v>30</v>
      </c>
      <c r="G10877" s="1061">
        <v>1.62</v>
      </c>
      <c r="H10877" s="2491">
        <v>106</v>
      </c>
      <c r="I10877" s="2489">
        <f t="shared" si="124"/>
        <v>0.45473251028806588</v>
      </c>
      <c r="J10877" s="2490">
        <v>120</v>
      </c>
    </row>
    <row r="10878" spans="1:10" s="2103" customFormat="1" ht="18" customHeight="1">
      <c r="A10878" s="1170" t="s">
        <v>2358</v>
      </c>
      <c r="B10878" s="1172" t="s">
        <v>7</v>
      </c>
      <c r="C10878" s="2075" t="s">
        <v>8426</v>
      </c>
      <c r="D10878" s="1187">
        <v>38</v>
      </c>
      <c r="E10878" s="1172" t="s">
        <v>15</v>
      </c>
      <c r="F10878" s="2487">
        <v>30</v>
      </c>
      <c r="G10878" s="1061">
        <v>1.78</v>
      </c>
      <c r="H10878" s="2491">
        <v>117</v>
      </c>
      <c r="I10878" s="2489">
        <f t="shared" si="124"/>
        <v>0.45224719101123595</v>
      </c>
      <c r="J10878" s="2490">
        <v>120</v>
      </c>
    </row>
    <row r="10879" spans="1:10" s="2103" customFormat="1" ht="18" customHeight="1">
      <c r="A10879" s="1170" t="s">
        <v>2358</v>
      </c>
      <c r="B10879" s="1172" t="s">
        <v>14</v>
      </c>
      <c r="C10879" s="2075" t="s">
        <v>8426</v>
      </c>
      <c r="D10879" s="1187">
        <v>50</v>
      </c>
      <c r="E10879" s="1172" t="s">
        <v>15</v>
      </c>
      <c r="F10879" s="2487">
        <v>30</v>
      </c>
      <c r="G10879" s="1061">
        <v>2.5399999999999996</v>
      </c>
      <c r="H10879" s="2491">
        <v>167</v>
      </c>
      <c r="I10879" s="2489">
        <f t="shared" si="124"/>
        <v>0.4520997375328083</v>
      </c>
      <c r="J10879" s="2490">
        <v>120</v>
      </c>
    </row>
    <row r="10880" spans="1:10" s="2103" customFormat="1" ht="18" customHeight="1">
      <c r="A10880" s="1170" t="s">
        <v>2358</v>
      </c>
      <c r="B10880" s="1172" t="s">
        <v>14</v>
      </c>
      <c r="C10880" s="2075" t="s">
        <v>8426</v>
      </c>
      <c r="D10880" s="1187">
        <v>75</v>
      </c>
      <c r="E10880" s="1172" t="s">
        <v>15</v>
      </c>
      <c r="F10880" s="2487">
        <v>30</v>
      </c>
      <c r="G10880" s="1061">
        <v>4.0599999999999996</v>
      </c>
      <c r="H10880" s="2491">
        <v>266</v>
      </c>
      <c r="I10880" s="2489">
        <f t="shared" si="124"/>
        <v>0.45402298850574707</v>
      </c>
      <c r="J10880" s="2490">
        <v>120</v>
      </c>
    </row>
    <row r="10884" spans="1:7">
      <c r="A10884" s="902" t="s">
        <v>106</v>
      </c>
      <c r="B10884" s="902" t="s">
        <v>53</v>
      </c>
      <c r="C10884" s="887" t="s">
        <v>1186</v>
      </c>
      <c r="D10884" s="887" t="s">
        <v>1652</v>
      </c>
      <c r="E10884" s="887" t="s">
        <v>1653</v>
      </c>
      <c r="F10884" s="1783" t="s">
        <v>1323</v>
      </c>
    </row>
    <row r="10885" spans="1:7">
      <c r="A10885" s="47" t="s">
        <v>1493</v>
      </c>
      <c r="B10885" s="260" t="s">
        <v>78</v>
      </c>
      <c r="C10885" s="905">
        <v>14</v>
      </c>
      <c r="D10885" s="906">
        <v>2</v>
      </c>
      <c r="E10885" s="905">
        <f>D10885*C10885</f>
        <v>28</v>
      </c>
      <c r="F10885" s="891">
        <v>3.41</v>
      </c>
    </row>
    <row r="10886" spans="1:7">
      <c r="A10886" s="47"/>
      <c r="B10886" s="260" t="s">
        <v>1993</v>
      </c>
      <c r="C10886" s="905"/>
      <c r="D10886" s="906"/>
      <c r="E10886" s="894">
        <v>1</v>
      </c>
      <c r="F10886" s="891">
        <v>12</v>
      </c>
    </row>
    <row r="10890" spans="1:7" s="888" customFormat="1" ht="12.75">
      <c r="A10890" s="902" t="s">
        <v>106</v>
      </c>
      <c r="B10890" s="902" t="s">
        <v>53</v>
      </c>
      <c r="C10890" s="887" t="s">
        <v>1186</v>
      </c>
      <c r="D10890" s="887" t="s">
        <v>1652</v>
      </c>
      <c r="E10890" s="887" t="s">
        <v>1653</v>
      </c>
      <c r="F10890" s="1783" t="s">
        <v>1323</v>
      </c>
      <c r="G10890" s="1783" t="s">
        <v>8431</v>
      </c>
    </row>
    <row r="10891" spans="1:7" s="888" customFormat="1" ht="12.75">
      <c r="A10891" s="47" t="s">
        <v>2349</v>
      </c>
      <c r="B10891" s="260" t="s">
        <v>78</v>
      </c>
      <c r="C10891" s="905">
        <v>14</v>
      </c>
      <c r="D10891" s="906">
        <v>73</v>
      </c>
      <c r="E10891" s="905">
        <f>D10891*C10891</f>
        <v>1022</v>
      </c>
      <c r="F10891" s="891">
        <v>1.88</v>
      </c>
      <c r="G10891" s="950" t="s">
        <v>8430</v>
      </c>
    </row>
    <row r="10892" spans="1:7" s="888" customFormat="1" ht="12.75">
      <c r="A10892" s="47" t="s">
        <v>2349</v>
      </c>
      <c r="B10892" s="260" t="s">
        <v>78</v>
      </c>
      <c r="C10892" s="905">
        <v>14</v>
      </c>
      <c r="D10892" s="906">
        <v>208</v>
      </c>
      <c r="E10892" s="905">
        <f>D10892*C10892</f>
        <v>2912</v>
      </c>
      <c r="F10892" s="891">
        <v>1.88</v>
      </c>
      <c r="G10892" s="950" t="s">
        <v>8432</v>
      </c>
    </row>
    <row r="10895" spans="1:7">
      <c r="A10895" s="1865" t="s">
        <v>2349</v>
      </c>
      <c r="B10895" s="1753" t="s">
        <v>78</v>
      </c>
      <c r="C10895" s="1751">
        <v>14</v>
      </c>
      <c r="D10895" s="1867">
        <v>147</v>
      </c>
      <c r="E10895" s="1751">
        <f>D10895*C10895</f>
        <v>2058</v>
      </c>
      <c r="F10895" s="1751" t="s">
        <v>8433</v>
      </c>
    </row>
    <row r="10896" spans="1:7">
      <c r="A10896" s="909" t="s">
        <v>2349</v>
      </c>
      <c r="B10896" s="1753" t="s">
        <v>78</v>
      </c>
      <c r="C10896" s="1751">
        <v>14</v>
      </c>
      <c r="D10896" s="1867">
        <v>61</v>
      </c>
      <c r="E10896" s="1751">
        <f>D10896*C10896</f>
        <v>854</v>
      </c>
      <c r="F10896" s="1751" t="s">
        <v>8434</v>
      </c>
    </row>
    <row r="10899" spans="1:8">
      <c r="A10899" s="2283" t="s">
        <v>8334</v>
      </c>
    </row>
    <row r="10900" spans="1:8">
      <c r="A10900" s="902" t="s">
        <v>105</v>
      </c>
      <c r="B10900" s="902" t="s">
        <v>106</v>
      </c>
      <c r="C10900" s="902" t="s">
        <v>53</v>
      </c>
      <c r="D10900" s="887" t="s">
        <v>1186</v>
      </c>
      <c r="E10900" s="887" t="s">
        <v>1652</v>
      </c>
      <c r="F10900" s="887" t="s">
        <v>1653</v>
      </c>
      <c r="G10900" s="1997" t="s">
        <v>6976</v>
      </c>
      <c r="H10900" s="1997" t="s">
        <v>2245</v>
      </c>
    </row>
    <row r="10901" spans="1:8">
      <c r="A10901" s="47" t="s">
        <v>8335</v>
      </c>
      <c r="B10901" s="47" t="s">
        <v>3073</v>
      </c>
      <c r="C10901" s="47" t="s">
        <v>859</v>
      </c>
      <c r="D10901" s="50">
        <v>58</v>
      </c>
      <c r="E10901" s="911">
        <v>15</v>
      </c>
      <c r="F10901" s="50">
        <v>870</v>
      </c>
      <c r="G10901" s="891">
        <v>3.89</v>
      </c>
      <c r="H10901" s="891">
        <v>3384.3</v>
      </c>
    </row>
    <row r="10902" spans="1:8">
      <c r="A10902" s="47" t="s">
        <v>8335</v>
      </c>
      <c r="B10902" s="47" t="s">
        <v>3073</v>
      </c>
      <c r="C10902" s="47" t="s">
        <v>859</v>
      </c>
      <c r="D10902" s="50">
        <v>58</v>
      </c>
      <c r="E10902" s="911">
        <v>7</v>
      </c>
      <c r="F10902" s="50">
        <v>406</v>
      </c>
      <c r="G10902" s="891">
        <v>3.89</v>
      </c>
      <c r="H10902" s="891">
        <v>1579.3400000000001</v>
      </c>
    </row>
    <row r="10903" spans="1:8">
      <c r="A10903" s="47" t="s">
        <v>8335</v>
      </c>
      <c r="B10903" s="47" t="s">
        <v>3073</v>
      </c>
      <c r="C10903" s="47" t="s">
        <v>859</v>
      </c>
      <c r="D10903" s="50">
        <v>59</v>
      </c>
      <c r="E10903" s="911">
        <v>1</v>
      </c>
      <c r="F10903" s="50">
        <v>59</v>
      </c>
      <c r="G10903" s="891">
        <v>3.89</v>
      </c>
      <c r="H10903" s="891">
        <v>229.51000000000002</v>
      </c>
    </row>
    <row r="10904" spans="1:8">
      <c r="A10904" s="47" t="s">
        <v>8335</v>
      </c>
      <c r="B10904" s="47" t="s">
        <v>3073</v>
      </c>
      <c r="C10904" s="47" t="s">
        <v>859</v>
      </c>
      <c r="D10904" s="50">
        <v>56</v>
      </c>
      <c r="E10904" s="911">
        <v>1</v>
      </c>
      <c r="F10904" s="50">
        <v>56</v>
      </c>
      <c r="G10904" s="891">
        <v>3.89</v>
      </c>
      <c r="H10904" s="891">
        <v>217.84</v>
      </c>
    </row>
    <row r="10905" spans="1:8">
      <c r="A10905" s="47" t="s">
        <v>8335</v>
      </c>
      <c r="B10905" s="47" t="s">
        <v>3073</v>
      </c>
      <c r="C10905" s="47" t="s">
        <v>859</v>
      </c>
      <c r="D10905" s="50">
        <v>62</v>
      </c>
      <c r="E10905" s="911">
        <v>1</v>
      </c>
      <c r="F10905" s="50">
        <v>62</v>
      </c>
      <c r="G10905" s="891">
        <v>3.89</v>
      </c>
      <c r="H10905" s="891">
        <v>241.18</v>
      </c>
    </row>
    <row r="10906" spans="1:8">
      <c r="A10906" s="47" t="s">
        <v>8335</v>
      </c>
      <c r="B10906" s="47" t="s">
        <v>3073</v>
      </c>
      <c r="C10906" s="47" t="s">
        <v>859</v>
      </c>
      <c r="D10906" s="50">
        <v>63</v>
      </c>
      <c r="E10906" s="911">
        <v>1</v>
      </c>
      <c r="F10906" s="50">
        <v>63</v>
      </c>
      <c r="G10906" s="891">
        <v>3.89</v>
      </c>
      <c r="H10906" s="891">
        <v>245.07000000000002</v>
      </c>
    </row>
    <row r="10907" spans="1:8">
      <c r="A10907" s="47" t="s">
        <v>8335</v>
      </c>
      <c r="B10907" s="47" t="s">
        <v>3073</v>
      </c>
      <c r="C10907" s="47" t="s">
        <v>859</v>
      </c>
      <c r="D10907" s="50">
        <v>64</v>
      </c>
      <c r="E10907" s="911">
        <v>3</v>
      </c>
      <c r="F10907" s="50">
        <v>192</v>
      </c>
      <c r="G10907" s="891">
        <v>3.89</v>
      </c>
      <c r="H10907" s="891">
        <v>746.88</v>
      </c>
    </row>
    <row r="10908" spans="1:8">
      <c r="A10908" s="47" t="s">
        <v>8335</v>
      </c>
      <c r="B10908" s="47" t="s">
        <v>3073</v>
      </c>
      <c r="C10908" s="47" t="s">
        <v>859</v>
      </c>
      <c r="D10908" s="50">
        <v>65</v>
      </c>
      <c r="E10908" s="911">
        <v>1</v>
      </c>
      <c r="F10908" s="50">
        <v>65</v>
      </c>
      <c r="G10908" s="891">
        <v>3.89</v>
      </c>
      <c r="H10908" s="891">
        <v>252.85</v>
      </c>
    </row>
    <row r="10909" spans="1:8">
      <c r="A10909" s="889"/>
      <c r="B10909" s="889"/>
      <c r="C10909" s="47"/>
      <c r="D10909" s="903"/>
      <c r="E10909" s="904"/>
      <c r="F10909" s="903"/>
      <c r="G10909" s="52"/>
      <c r="H10909" s="39"/>
    </row>
    <row r="10910" spans="1:8">
      <c r="A10910" s="47" t="s">
        <v>8336</v>
      </c>
      <c r="B10910" s="47" t="s">
        <v>536</v>
      </c>
      <c r="C10910" s="47" t="s">
        <v>735</v>
      </c>
      <c r="D10910" s="50">
        <v>50</v>
      </c>
      <c r="E10910" s="911">
        <v>4</v>
      </c>
      <c r="F10910" s="905">
        <v>200</v>
      </c>
      <c r="G10910" s="51">
        <v>5</v>
      </c>
      <c r="H10910" s="891">
        <v>1000</v>
      </c>
    </row>
    <row r="10911" spans="1:8">
      <c r="A10911" s="47" t="s">
        <v>8336</v>
      </c>
      <c r="B10911" s="47" t="s">
        <v>536</v>
      </c>
      <c r="C10911" s="47" t="s">
        <v>2601</v>
      </c>
      <c r="D10911" s="50">
        <v>50</v>
      </c>
      <c r="E10911" s="911">
        <v>8</v>
      </c>
      <c r="F10911" s="905">
        <v>400</v>
      </c>
      <c r="G10911" s="51">
        <v>5</v>
      </c>
      <c r="H10911" s="891">
        <v>2000</v>
      </c>
    </row>
    <row r="10912" spans="1:8">
      <c r="A10912" s="47" t="s">
        <v>8336</v>
      </c>
      <c r="B10912" s="47">
        <v>2440</v>
      </c>
      <c r="C10912" s="47" t="s">
        <v>733</v>
      </c>
      <c r="D10912" s="50">
        <v>58</v>
      </c>
      <c r="E10912" s="911">
        <v>5</v>
      </c>
      <c r="F10912" s="50">
        <v>290</v>
      </c>
      <c r="G10912" s="891">
        <v>3.89</v>
      </c>
      <c r="H10912" s="891">
        <v>1128.1000000000001</v>
      </c>
    </row>
    <row r="10913" spans="1:8">
      <c r="A10913" s="920"/>
      <c r="B10913" s="920"/>
      <c r="C10913" s="921"/>
      <c r="D10913" s="922"/>
      <c r="E10913" s="923"/>
      <c r="F10913" s="924"/>
      <c r="G10913" s="925"/>
      <c r="H10913" s="310"/>
    </row>
    <row r="10918" spans="1:8">
      <c r="A10918" s="902" t="s">
        <v>106</v>
      </c>
      <c r="B10918" s="902" t="s">
        <v>53</v>
      </c>
      <c r="C10918" s="887" t="s">
        <v>1653</v>
      </c>
      <c r="D10918" s="2276" t="s">
        <v>8446</v>
      </c>
      <c r="E10918" s="1204" t="e">
        <f>D10918*C10918</f>
        <v>#VALUE!</v>
      </c>
    </row>
    <row r="10919" spans="1:8">
      <c r="A10919" s="47" t="s">
        <v>8186</v>
      </c>
      <c r="B10919" s="47" t="s">
        <v>8345</v>
      </c>
      <c r="C10919" s="50" t="s">
        <v>8442</v>
      </c>
      <c r="D10919" s="346">
        <f>125+70</f>
        <v>195</v>
      </c>
      <c r="E10919" s="1204" t="e">
        <f>D10919*C10919</f>
        <v>#VALUE!</v>
      </c>
    </row>
    <row r="10920" spans="1:8">
      <c r="A10920" s="889"/>
      <c r="B10920" s="47"/>
      <c r="C10920" s="50"/>
      <c r="D10920" s="1059">
        <v>0</v>
      </c>
      <c r="E10920" s="1204"/>
    </row>
    <row r="10921" spans="1:8">
      <c r="A10921" s="47" t="s">
        <v>8204</v>
      </c>
      <c r="B10921" s="47" t="s">
        <v>8345</v>
      </c>
      <c r="C10921" s="50">
        <v>558</v>
      </c>
      <c r="D10921" s="346">
        <f>115+70</f>
        <v>185</v>
      </c>
      <c r="E10921" s="1204">
        <f>D10921*C10921</f>
        <v>103230</v>
      </c>
    </row>
    <row r="10922" spans="1:8">
      <c r="A10922" s="889"/>
      <c r="B10922" s="47"/>
      <c r="C10922" s="50" t="s">
        <v>2690</v>
      </c>
      <c r="D10922" s="1059">
        <v>0</v>
      </c>
      <c r="E10922" s="1204"/>
    </row>
    <row r="10923" spans="1:8">
      <c r="A10923" s="47" t="s">
        <v>8205</v>
      </c>
      <c r="B10923" s="47" t="s">
        <v>8344</v>
      </c>
      <c r="C10923" s="894">
        <v>1</v>
      </c>
      <c r="D10923" s="1059">
        <v>6000</v>
      </c>
      <c r="E10923" s="1204">
        <f>D10923*C10923</f>
        <v>6000</v>
      </c>
    </row>
    <row r="10924" spans="1:8">
      <c r="A10924" s="47" t="s">
        <v>8205</v>
      </c>
      <c r="B10924" s="47" t="s">
        <v>8345</v>
      </c>
      <c r="C10924" s="50">
        <v>173</v>
      </c>
      <c r="D10924" s="346">
        <f>140+70</f>
        <v>210</v>
      </c>
      <c r="E10924" s="1204">
        <f>D10924*C10924</f>
        <v>36330</v>
      </c>
    </row>
    <row r="10925" spans="1:8">
      <c r="A10925" s="889"/>
      <c r="B10925" s="47"/>
      <c r="C10925" s="50"/>
      <c r="D10925" s="1059">
        <v>0</v>
      </c>
      <c r="E10925" s="1204"/>
    </row>
    <row r="10926" spans="1:8">
      <c r="A10926" s="47" t="s">
        <v>8206</v>
      </c>
      <c r="B10926" s="47" t="s">
        <v>8344</v>
      </c>
      <c r="C10926" s="894">
        <v>1</v>
      </c>
      <c r="D10926" s="1059">
        <v>6000</v>
      </c>
      <c r="E10926" s="1204">
        <f>D10926*C10926</f>
        <v>6000</v>
      </c>
    </row>
    <row r="10927" spans="1:8">
      <c r="A10927" s="47" t="s">
        <v>8206</v>
      </c>
      <c r="B10927" s="47" t="s">
        <v>8345</v>
      </c>
      <c r="C10927" s="50">
        <v>345</v>
      </c>
      <c r="D10927" s="346">
        <f>151+70</f>
        <v>221</v>
      </c>
      <c r="E10927" s="1204">
        <f>D10927*C10927</f>
        <v>76245</v>
      </c>
    </row>
    <row r="10929" spans="1:8" ht="14.25">
      <c r="B10929" s="2492"/>
    </row>
    <row r="10930" spans="1:8" ht="14.25" thickBot="1"/>
    <row r="10931" spans="1:8" ht="15" thickBot="1">
      <c r="A10931" s="2493" t="s">
        <v>8435</v>
      </c>
      <c r="B10931" s="2494" t="s">
        <v>8041</v>
      </c>
      <c r="C10931" s="2494" t="s">
        <v>8436</v>
      </c>
    </row>
    <row r="10932" spans="1:8" ht="16.5" thickBot="1">
      <c r="A10932" s="2495" t="s">
        <v>8437</v>
      </c>
      <c r="B10932" s="2496" t="s">
        <v>8438</v>
      </c>
      <c r="C10932" s="2497" t="s">
        <v>8442</v>
      </c>
    </row>
    <row r="10933" spans="1:8" ht="16.5" thickBot="1">
      <c r="A10933" s="2498" t="s">
        <v>8439</v>
      </c>
      <c r="B10933" s="2496" t="s">
        <v>8438</v>
      </c>
      <c r="C10933" s="2497" t="s">
        <v>8443</v>
      </c>
    </row>
    <row r="10934" spans="1:8" ht="16.5" thickBot="1">
      <c r="A10934" s="2498" t="s">
        <v>8440</v>
      </c>
      <c r="B10934" s="2496" t="s">
        <v>8438</v>
      </c>
      <c r="C10934" s="2497" t="s">
        <v>8444</v>
      </c>
    </row>
    <row r="10935" spans="1:8" ht="15" thickBot="1">
      <c r="A10935" s="2499" t="s">
        <v>8441</v>
      </c>
      <c r="B10935" s="2496" t="s">
        <v>8438</v>
      </c>
      <c r="C10935" s="2497" t="s">
        <v>8445</v>
      </c>
    </row>
    <row r="10937" spans="1:8" ht="38.25">
      <c r="A10937" s="902" t="s">
        <v>106</v>
      </c>
      <c r="B10937" s="902" t="s">
        <v>53</v>
      </c>
      <c r="C10937" s="887" t="s">
        <v>1653</v>
      </c>
      <c r="D10937" s="1997" t="s">
        <v>8449</v>
      </c>
      <c r="E10937" s="1997" t="s">
        <v>8450</v>
      </c>
    </row>
    <row r="10938" spans="1:8">
      <c r="A10938" s="889" t="s">
        <v>8109</v>
      </c>
      <c r="B10938" s="47"/>
      <c r="C10938" s="905"/>
      <c r="D10938" s="52" t="s">
        <v>10</v>
      </c>
      <c r="E10938" s="52" t="s">
        <v>10</v>
      </c>
      <c r="F10938" s="2500" t="s">
        <v>8119</v>
      </c>
      <c r="G10938" s="2037" t="s">
        <v>6080</v>
      </c>
      <c r="H10938" s="317" t="s">
        <v>6081</v>
      </c>
    </row>
    <row r="10939" spans="1:8">
      <c r="A10939" s="47" t="s">
        <v>8186</v>
      </c>
      <c r="B10939" s="47" t="s">
        <v>8345</v>
      </c>
      <c r="C10939" s="905">
        <v>1073</v>
      </c>
      <c r="D10939" s="891">
        <v>2.71</v>
      </c>
      <c r="E10939" s="891">
        <f>ROUNDUP(F10939/0.6/130,2)</f>
        <v>2.48</v>
      </c>
      <c r="F10939" s="346">
        <f>123+70</f>
        <v>193</v>
      </c>
      <c r="G10939" s="2070">
        <f t="shared" ref="G10939:G10950" si="125">(E10939-(F10939/H10939))/E10939</f>
        <v>0.40136476426799006</v>
      </c>
      <c r="H10939" s="317">
        <v>130</v>
      </c>
    </row>
    <row r="10940" spans="1:8">
      <c r="A10940" s="47"/>
      <c r="B10940" s="47"/>
      <c r="C10940" s="905"/>
      <c r="D10940" s="891"/>
      <c r="E10940" s="891"/>
      <c r="F10940" s="1059"/>
      <c r="G10940" s="2070" t="e">
        <f t="shared" si="125"/>
        <v>#DIV/0!</v>
      </c>
      <c r="H10940" s="317">
        <v>130</v>
      </c>
    </row>
    <row r="10941" spans="1:8">
      <c r="A10941" s="889" t="s">
        <v>8215</v>
      </c>
      <c r="B10941" s="47"/>
      <c r="C10941" s="905"/>
      <c r="D10941" s="891"/>
      <c r="E10941" s="891"/>
      <c r="F10941" s="1059"/>
      <c r="G10941" s="2070" t="e">
        <f t="shared" si="125"/>
        <v>#DIV/0!</v>
      </c>
      <c r="H10941" s="317">
        <v>130</v>
      </c>
    </row>
    <row r="10942" spans="1:8">
      <c r="A10942" s="47" t="s">
        <v>8204</v>
      </c>
      <c r="B10942" s="47" t="s">
        <v>8345</v>
      </c>
      <c r="C10942" s="905">
        <v>558</v>
      </c>
      <c r="D10942" s="891">
        <v>2.57</v>
      </c>
      <c r="E10942" s="891">
        <f>ROUNDUP(F10942/0.6/130,2)</f>
        <v>2.38</v>
      </c>
      <c r="F10942" s="346">
        <f>115+70</f>
        <v>185</v>
      </c>
      <c r="G10942" s="2070">
        <f t="shared" si="125"/>
        <v>0.4020685197155785</v>
      </c>
      <c r="H10942" s="317">
        <v>130</v>
      </c>
    </row>
    <row r="10943" spans="1:8">
      <c r="A10943" s="47"/>
      <c r="B10943" s="47"/>
      <c r="C10943" s="905"/>
      <c r="D10943" s="891"/>
      <c r="E10943" s="891"/>
      <c r="F10943" s="1059"/>
      <c r="G10943" s="2070" t="e">
        <f t="shared" si="125"/>
        <v>#DIV/0!</v>
      </c>
      <c r="H10943" s="317">
        <v>130</v>
      </c>
    </row>
    <row r="10944" spans="1:8">
      <c r="A10944" s="889" t="s">
        <v>8215</v>
      </c>
      <c r="B10944" s="47"/>
      <c r="C10944" s="905" t="s">
        <v>2690</v>
      </c>
      <c r="D10944" s="891"/>
      <c r="E10944" s="891"/>
      <c r="F10944" s="1059"/>
      <c r="G10944" s="2070" t="e">
        <f t="shared" si="125"/>
        <v>#DIV/0!</v>
      </c>
      <c r="H10944" s="317">
        <v>130</v>
      </c>
    </row>
    <row r="10945" spans="1:148">
      <c r="A10945" s="47" t="s">
        <v>8205</v>
      </c>
      <c r="B10945" s="47" t="s">
        <v>8344</v>
      </c>
      <c r="C10945" s="894">
        <v>1</v>
      </c>
      <c r="D10945" s="891">
        <v>65</v>
      </c>
      <c r="E10945" s="891">
        <v>65</v>
      </c>
      <c r="F10945" s="1059">
        <v>6000</v>
      </c>
      <c r="G10945" s="2070">
        <f t="shared" si="125"/>
        <v>0.28994082840236685</v>
      </c>
      <c r="H10945" s="317">
        <v>130</v>
      </c>
    </row>
    <row r="10946" spans="1:148">
      <c r="A10946" s="47" t="s">
        <v>8205</v>
      </c>
      <c r="B10946" s="47" t="s">
        <v>8345</v>
      </c>
      <c r="C10946" s="905">
        <v>173</v>
      </c>
      <c r="D10946" s="891">
        <v>2.92</v>
      </c>
      <c r="E10946" s="891">
        <f>ROUNDUP(F10946/0.6/130,2)</f>
        <v>2.6999999999999997</v>
      </c>
      <c r="F10946" s="346">
        <f>140+70</f>
        <v>210</v>
      </c>
      <c r="G10946" s="2070">
        <f t="shared" si="125"/>
        <v>0.40170940170940161</v>
      </c>
      <c r="H10946" s="317">
        <v>130</v>
      </c>
    </row>
    <row r="10947" spans="1:148">
      <c r="A10947" s="47"/>
      <c r="B10947" s="47"/>
      <c r="C10947" s="905"/>
      <c r="D10947" s="891"/>
      <c r="E10947" s="891"/>
      <c r="F10947" s="1059"/>
      <c r="G10947" s="2070" t="e">
        <f t="shared" si="125"/>
        <v>#DIV/0!</v>
      </c>
      <c r="H10947" s="317">
        <v>130</v>
      </c>
    </row>
    <row r="10948" spans="1:148">
      <c r="A10948" s="889" t="s">
        <v>8215</v>
      </c>
      <c r="B10948" s="47"/>
      <c r="C10948" s="905"/>
      <c r="D10948" s="891"/>
      <c r="E10948" s="891"/>
      <c r="F10948" s="1059"/>
      <c r="G10948" s="2070" t="e">
        <f t="shared" si="125"/>
        <v>#DIV/0!</v>
      </c>
      <c r="H10948" s="317">
        <v>130</v>
      </c>
    </row>
    <row r="10949" spans="1:148">
      <c r="A10949" s="47" t="s">
        <v>8206</v>
      </c>
      <c r="B10949" s="47" t="s">
        <v>8344</v>
      </c>
      <c r="C10949" s="894">
        <v>1</v>
      </c>
      <c r="D10949" s="891">
        <v>65</v>
      </c>
      <c r="E10949" s="891">
        <v>65</v>
      </c>
      <c r="F10949" s="1059">
        <v>6000</v>
      </c>
      <c r="G10949" s="2070">
        <f t="shared" si="125"/>
        <v>0.28994082840236685</v>
      </c>
      <c r="H10949" s="317">
        <v>130</v>
      </c>
    </row>
    <row r="10950" spans="1:148">
      <c r="A10950" s="47" t="s">
        <v>8206</v>
      </c>
      <c r="B10950" s="47" t="s">
        <v>8345</v>
      </c>
      <c r="C10950" s="905">
        <v>345</v>
      </c>
      <c r="D10950" s="891">
        <v>3.07</v>
      </c>
      <c r="E10950" s="891">
        <f>ROUNDUP(F10950/0.6/130,2)</f>
        <v>2.84</v>
      </c>
      <c r="F10950" s="346">
        <f>151+70</f>
        <v>221</v>
      </c>
      <c r="G10950" s="2070">
        <f t="shared" si="125"/>
        <v>0.40140845070422532</v>
      </c>
      <c r="H10950" s="317">
        <v>130</v>
      </c>
    </row>
    <row r="10951" spans="1:148">
      <c r="G10951" s="2070"/>
      <c r="H10951" s="317"/>
    </row>
    <row r="10953" spans="1:148" s="1163" customFormat="1" ht="25.5">
      <c r="A10953" s="1166" t="s">
        <v>1369</v>
      </c>
      <c r="B10953" s="1184" t="s">
        <v>377</v>
      </c>
      <c r="C10953" s="1167" t="s">
        <v>2</v>
      </c>
      <c r="D10953" s="1168" t="s">
        <v>1734</v>
      </c>
      <c r="E10953" s="1169" t="s">
        <v>5527</v>
      </c>
      <c r="F10953" s="2266" t="s">
        <v>8119</v>
      </c>
      <c r="G10953" s="2037" t="s">
        <v>6080</v>
      </c>
      <c r="H10953" s="317" t="s">
        <v>6081</v>
      </c>
    </row>
    <row r="10954" spans="1:148" s="1165" customFormat="1" ht="15">
      <c r="A10954" s="1170" t="s">
        <v>8451</v>
      </c>
      <c r="B10954" s="1187">
        <v>2</v>
      </c>
      <c r="C10954" s="1188">
        <v>50</v>
      </c>
      <c r="D10954" s="1172" t="s">
        <v>1812</v>
      </c>
      <c r="E10954" s="1174">
        <v>0.23</v>
      </c>
      <c r="F10954" s="2501">
        <v>14</v>
      </c>
      <c r="G10954" s="2070">
        <f>(E10954-(F10954/H10954))/E10954</f>
        <v>0.49275362318840582</v>
      </c>
      <c r="H10954" s="317">
        <v>120</v>
      </c>
      <c r="I10954" s="1963"/>
      <c r="J10954" s="1963"/>
      <c r="K10954" s="1963"/>
      <c r="L10954" s="1963"/>
      <c r="M10954" s="1963"/>
      <c r="N10954" s="1963"/>
      <c r="O10954" s="1963"/>
      <c r="P10954" s="1963"/>
      <c r="Q10954" s="1963"/>
      <c r="R10954" s="1963"/>
      <c r="S10954" s="1963"/>
      <c r="T10954" s="1963"/>
      <c r="U10954" s="1963"/>
      <c r="V10954" s="1963"/>
      <c r="W10954" s="1963"/>
      <c r="X10954" s="1963"/>
      <c r="Y10954" s="1963"/>
      <c r="Z10954" s="1963"/>
      <c r="AA10954" s="1963"/>
      <c r="AB10954" s="1963"/>
      <c r="AC10954" s="1963"/>
      <c r="AD10954" s="1963"/>
      <c r="AE10954" s="1963"/>
      <c r="AF10954" s="1963"/>
      <c r="AG10954" s="1963"/>
      <c r="AH10954" s="1963"/>
      <c r="AI10954" s="1963"/>
      <c r="AJ10954" s="1963"/>
      <c r="AK10954" s="1963"/>
      <c r="AL10954" s="1963"/>
      <c r="AM10954" s="1963"/>
      <c r="AN10954" s="1963"/>
      <c r="AO10954" s="1963"/>
      <c r="AP10954" s="1963"/>
      <c r="AQ10954" s="1963"/>
      <c r="AR10954" s="1963"/>
      <c r="AS10954" s="1963"/>
      <c r="AT10954" s="1963"/>
      <c r="AU10954" s="1963"/>
      <c r="AV10954" s="1963"/>
      <c r="AW10954" s="1963"/>
      <c r="AX10954" s="1963"/>
      <c r="AY10954" s="1963"/>
      <c r="AZ10954" s="1963"/>
      <c r="BA10954" s="1963"/>
      <c r="BB10954" s="1963"/>
      <c r="BC10954" s="1963"/>
      <c r="BD10954" s="1963"/>
      <c r="BE10954" s="1963"/>
      <c r="BF10954" s="1963"/>
      <c r="BG10954" s="1963"/>
      <c r="BH10954" s="1963"/>
      <c r="BI10954" s="1963"/>
      <c r="BJ10954" s="1963"/>
      <c r="BK10954" s="1963"/>
      <c r="BL10954" s="1963"/>
      <c r="BM10954" s="1963"/>
      <c r="BN10954" s="1963"/>
      <c r="BO10954" s="1963"/>
      <c r="BP10954" s="1963"/>
      <c r="BQ10954" s="1963"/>
      <c r="BR10954" s="1963"/>
      <c r="BS10954" s="1963"/>
      <c r="BT10954" s="1963"/>
      <c r="BU10954" s="1963"/>
      <c r="BV10954" s="1963"/>
      <c r="BW10954" s="1963"/>
      <c r="BX10954" s="1963"/>
      <c r="BY10954" s="1963"/>
      <c r="BZ10954" s="1963"/>
      <c r="CA10954" s="1963"/>
      <c r="CB10954" s="1963"/>
      <c r="CC10954" s="1963"/>
      <c r="CD10954" s="1963"/>
      <c r="CE10954" s="1963"/>
      <c r="CF10954" s="1963"/>
      <c r="CG10954" s="1963"/>
      <c r="CH10954" s="1963"/>
      <c r="CI10954" s="1963"/>
      <c r="CJ10954" s="1963"/>
      <c r="CK10954" s="1963"/>
      <c r="CL10954" s="1963"/>
      <c r="CM10954" s="1963"/>
      <c r="CN10954" s="1963"/>
      <c r="CO10954" s="1963"/>
      <c r="CP10954" s="1963"/>
      <c r="CQ10954" s="1963"/>
      <c r="CR10954" s="1963"/>
      <c r="CS10954" s="1963"/>
      <c r="CT10954" s="1963"/>
      <c r="CU10954" s="1963"/>
      <c r="CV10954" s="1963"/>
      <c r="CW10954" s="1963"/>
      <c r="CX10954" s="1963"/>
      <c r="CY10954" s="1963"/>
      <c r="CZ10954" s="1963"/>
      <c r="DA10954" s="1963"/>
      <c r="DB10954" s="1963"/>
      <c r="DC10954" s="1963"/>
      <c r="DD10954" s="1963"/>
      <c r="DE10954" s="1963"/>
      <c r="DF10954" s="1963"/>
      <c r="DG10954" s="1963"/>
      <c r="DH10954" s="1963"/>
      <c r="DI10954" s="1963"/>
      <c r="DJ10954" s="1963"/>
      <c r="DK10954" s="1963"/>
      <c r="DL10954" s="1963"/>
      <c r="DM10954" s="1963"/>
      <c r="DN10954" s="1963"/>
      <c r="DO10954" s="1963"/>
      <c r="DP10954" s="1963"/>
      <c r="DQ10954" s="1963"/>
      <c r="DR10954" s="1963"/>
      <c r="DS10954" s="1963"/>
      <c r="DT10954" s="1963"/>
      <c r="DU10954" s="1963"/>
      <c r="DV10954" s="1963"/>
      <c r="DW10954" s="1963"/>
      <c r="DX10954" s="1963"/>
      <c r="DY10954" s="1963"/>
      <c r="DZ10954" s="1963"/>
      <c r="EA10954" s="1963"/>
      <c r="EB10954" s="1963"/>
      <c r="EC10954" s="1963"/>
      <c r="ED10954" s="1963"/>
      <c r="EE10954" s="1963"/>
      <c r="EF10954" s="1963"/>
      <c r="EG10954" s="1963"/>
      <c r="EH10954" s="1963"/>
      <c r="EI10954" s="1963"/>
      <c r="EJ10954" s="1963"/>
      <c r="EK10954" s="1963"/>
      <c r="EL10954" s="1963"/>
      <c r="EM10954" s="1963"/>
      <c r="EN10954" s="1963"/>
      <c r="EO10954" s="1963"/>
      <c r="EP10954" s="1963"/>
      <c r="EQ10954" s="1963"/>
      <c r="ER10954" s="1963"/>
    </row>
    <row r="10955" spans="1:148" s="1165" customFormat="1" ht="15">
      <c r="A10955" s="1170" t="s">
        <v>8451</v>
      </c>
      <c r="B10955" s="1187">
        <v>4</v>
      </c>
      <c r="C10955" s="1188">
        <v>50</v>
      </c>
      <c r="D10955" s="1172" t="s">
        <v>1812</v>
      </c>
      <c r="E10955" s="1174">
        <v>0.36</v>
      </c>
      <c r="F10955" s="2501">
        <v>22</v>
      </c>
      <c r="G10955" s="2070">
        <f t="shared" ref="G10955:G10961" si="126">(E10955-(F10955/H10955))/E10955</f>
        <v>0.49074074074074076</v>
      </c>
      <c r="H10955" s="317">
        <v>120</v>
      </c>
      <c r="I10955" s="1963"/>
      <c r="J10955" s="1963"/>
      <c r="K10955" s="1963"/>
      <c r="L10955" s="1963"/>
      <c r="M10955" s="1963"/>
      <c r="N10955" s="1963"/>
      <c r="O10955" s="1963"/>
      <c r="P10955" s="1963"/>
      <c r="Q10955" s="1963"/>
      <c r="R10955" s="1963"/>
      <c r="S10955" s="1963"/>
      <c r="T10955" s="1963"/>
      <c r="U10955" s="1963"/>
      <c r="V10955" s="1963"/>
      <c r="W10955" s="1963"/>
      <c r="X10955" s="1963"/>
      <c r="Y10955" s="1963"/>
      <c r="Z10955" s="1963"/>
      <c r="AA10955" s="1963"/>
      <c r="AB10955" s="1963"/>
      <c r="AC10955" s="1963"/>
      <c r="AD10955" s="1963"/>
      <c r="AE10955" s="1963"/>
      <c r="AF10955" s="1963"/>
      <c r="AG10955" s="1963"/>
      <c r="AH10955" s="1963"/>
      <c r="AI10955" s="1963"/>
      <c r="AJ10955" s="1963"/>
      <c r="AK10955" s="1963"/>
      <c r="AL10955" s="1963"/>
      <c r="AM10955" s="1963"/>
      <c r="AN10955" s="1963"/>
      <c r="AO10955" s="1963"/>
      <c r="AP10955" s="1963"/>
      <c r="AQ10955" s="1963"/>
      <c r="AR10955" s="1963"/>
      <c r="AS10955" s="1963"/>
      <c r="AT10955" s="1963"/>
      <c r="AU10955" s="1963"/>
      <c r="AV10955" s="1963"/>
      <c r="AW10955" s="1963"/>
      <c r="AX10955" s="1963"/>
      <c r="AY10955" s="1963"/>
      <c r="AZ10955" s="1963"/>
      <c r="BA10955" s="1963"/>
      <c r="BB10955" s="1963"/>
      <c r="BC10955" s="1963"/>
      <c r="BD10955" s="1963"/>
      <c r="BE10955" s="1963"/>
      <c r="BF10955" s="1963"/>
      <c r="BG10955" s="1963"/>
      <c r="BH10955" s="1963"/>
      <c r="BI10955" s="1963"/>
      <c r="BJ10955" s="1963"/>
      <c r="BK10955" s="1963"/>
      <c r="BL10955" s="1963"/>
      <c r="BM10955" s="1963"/>
      <c r="BN10955" s="1963"/>
      <c r="BO10955" s="1963"/>
      <c r="BP10955" s="1963"/>
      <c r="BQ10955" s="1963"/>
      <c r="BR10955" s="1963"/>
      <c r="BS10955" s="1963"/>
      <c r="BT10955" s="1963"/>
      <c r="BU10955" s="1963"/>
      <c r="BV10955" s="1963"/>
      <c r="BW10955" s="1963"/>
      <c r="BX10955" s="1963"/>
      <c r="BY10955" s="1963"/>
      <c r="BZ10955" s="1963"/>
      <c r="CA10955" s="1963"/>
      <c r="CB10955" s="1963"/>
      <c r="CC10955" s="1963"/>
      <c r="CD10955" s="1963"/>
      <c r="CE10955" s="1963"/>
      <c r="CF10955" s="1963"/>
      <c r="CG10955" s="1963"/>
      <c r="CH10955" s="1963"/>
      <c r="CI10955" s="1963"/>
      <c r="CJ10955" s="1963"/>
      <c r="CK10955" s="1963"/>
      <c r="CL10955" s="1963"/>
      <c r="CM10955" s="1963"/>
      <c r="CN10955" s="1963"/>
      <c r="CO10955" s="1963"/>
      <c r="CP10955" s="1963"/>
      <c r="CQ10955" s="1963"/>
      <c r="CR10955" s="1963"/>
      <c r="CS10955" s="1963"/>
      <c r="CT10955" s="1963"/>
      <c r="CU10955" s="1963"/>
      <c r="CV10955" s="1963"/>
      <c r="CW10955" s="1963"/>
      <c r="CX10955" s="1963"/>
      <c r="CY10955" s="1963"/>
      <c r="CZ10955" s="1963"/>
      <c r="DA10955" s="1963"/>
      <c r="DB10955" s="1963"/>
      <c r="DC10955" s="1963"/>
      <c r="DD10955" s="1963"/>
      <c r="DE10955" s="1963"/>
      <c r="DF10955" s="1963"/>
      <c r="DG10955" s="1963"/>
      <c r="DH10955" s="1963"/>
      <c r="DI10955" s="1963"/>
      <c r="DJ10955" s="1963"/>
      <c r="DK10955" s="1963"/>
      <c r="DL10955" s="1963"/>
      <c r="DM10955" s="1963"/>
      <c r="DN10955" s="1963"/>
      <c r="DO10955" s="1963"/>
      <c r="DP10955" s="1963"/>
      <c r="DQ10955" s="1963"/>
      <c r="DR10955" s="1963"/>
      <c r="DS10955" s="1963"/>
      <c r="DT10955" s="1963"/>
      <c r="DU10955" s="1963"/>
      <c r="DV10955" s="1963"/>
      <c r="DW10955" s="1963"/>
      <c r="DX10955" s="1963"/>
      <c r="DY10955" s="1963"/>
      <c r="DZ10955" s="1963"/>
      <c r="EA10955" s="1963"/>
      <c r="EB10955" s="1963"/>
      <c r="EC10955" s="1963"/>
      <c r="ED10955" s="1963"/>
      <c r="EE10955" s="1963"/>
      <c r="EF10955" s="1963"/>
      <c r="EG10955" s="1963"/>
      <c r="EH10955" s="1963"/>
      <c r="EI10955" s="1963"/>
      <c r="EJ10955" s="1963"/>
      <c r="EK10955" s="1963"/>
      <c r="EL10955" s="1963"/>
      <c r="EM10955" s="1963"/>
      <c r="EN10955" s="1963"/>
      <c r="EO10955" s="1963"/>
      <c r="EP10955" s="1963"/>
      <c r="EQ10955" s="1963"/>
      <c r="ER10955" s="1963"/>
    </row>
    <row r="10956" spans="1:148" s="1165" customFormat="1" ht="15">
      <c r="A10956" s="1170" t="s">
        <v>8451</v>
      </c>
      <c r="B10956" s="1187">
        <v>5</v>
      </c>
      <c r="C10956" s="1188">
        <v>50</v>
      </c>
      <c r="D10956" s="1172" t="s">
        <v>1812</v>
      </c>
      <c r="E10956" s="1174">
        <v>0.46</v>
      </c>
      <c r="F10956" s="2501">
        <v>28</v>
      </c>
      <c r="G10956" s="2070">
        <f t="shared" si="126"/>
        <v>0.49275362318840582</v>
      </c>
      <c r="H10956" s="317">
        <v>120</v>
      </c>
      <c r="I10956" s="1963"/>
      <c r="J10956" s="1963"/>
      <c r="K10956" s="1963"/>
      <c r="L10956" s="1963"/>
      <c r="M10956" s="1963"/>
      <c r="N10956" s="1963"/>
      <c r="O10956" s="1963"/>
      <c r="P10956" s="1963"/>
      <c r="Q10956" s="1963"/>
      <c r="R10956" s="1963"/>
      <c r="S10956" s="1963"/>
      <c r="T10956" s="1963"/>
      <c r="U10956" s="1963"/>
      <c r="V10956" s="1963"/>
      <c r="W10956" s="1963"/>
      <c r="X10956" s="1963"/>
      <c r="Y10956" s="1963"/>
      <c r="Z10956" s="1963"/>
      <c r="AA10956" s="1963"/>
      <c r="AB10956" s="1963"/>
      <c r="AC10956" s="1963"/>
      <c r="AD10956" s="1963"/>
      <c r="AE10956" s="1963"/>
      <c r="AF10956" s="1963"/>
      <c r="AG10956" s="1963"/>
      <c r="AH10956" s="1963"/>
      <c r="AI10956" s="1963"/>
      <c r="AJ10956" s="1963"/>
      <c r="AK10956" s="1963"/>
      <c r="AL10956" s="1963"/>
      <c r="AM10956" s="1963"/>
      <c r="AN10956" s="1963"/>
      <c r="AO10956" s="1963"/>
      <c r="AP10956" s="1963"/>
      <c r="AQ10956" s="1963"/>
      <c r="AR10956" s="1963"/>
      <c r="AS10956" s="1963"/>
      <c r="AT10956" s="1963"/>
      <c r="AU10956" s="1963"/>
      <c r="AV10956" s="1963"/>
      <c r="AW10956" s="1963"/>
      <c r="AX10956" s="1963"/>
      <c r="AY10956" s="1963"/>
      <c r="AZ10956" s="1963"/>
      <c r="BA10956" s="1963"/>
      <c r="BB10956" s="1963"/>
      <c r="BC10956" s="1963"/>
      <c r="BD10956" s="1963"/>
      <c r="BE10956" s="1963"/>
      <c r="BF10956" s="1963"/>
      <c r="BG10956" s="1963"/>
      <c r="BH10956" s="1963"/>
      <c r="BI10956" s="1963"/>
      <c r="BJ10956" s="1963"/>
      <c r="BK10956" s="1963"/>
      <c r="BL10956" s="1963"/>
      <c r="BM10956" s="1963"/>
      <c r="BN10956" s="1963"/>
      <c r="BO10956" s="1963"/>
      <c r="BP10956" s="1963"/>
      <c r="BQ10956" s="1963"/>
      <c r="BR10956" s="1963"/>
      <c r="BS10956" s="1963"/>
      <c r="BT10956" s="1963"/>
      <c r="BU10956" s="1963"/>
      <c r="BV10956" s="1963"/>
      <c r="BW10956" s="1963"/>
      <c r="BX10956" s="1963"/>
      <c r="BY10956" s="1963"/>
      <c r="BZ10956" s="1963"/>
      <c r="CA10956" s="1963"/>
      <c r="CB10956" s="1963"/>
      <c r="CC10956" s="1963"/>
      <c r="CD10956" s="1963"/>
      <c r="CE10956" s="1963"/>
      <c r="CF10956" s="1963"/>
      <c r="CG10956" s="1963"/>
      <c r="CH10956" s="1963"/>
      <c r="CI10956" s="1963"/>
      <c r="CJ10956" s="1963"/>
      <c r="CK10956" s="1963"/>
      <c r="CL10956" s="1963"/>
      <c r="CM10956" s="1963"/>
      <c r="CN10956" s="1963"/>
      <c r="CO10956" s="1963"/>
      <c r="CP10956" s="1963"/>
      <c r="CQ10956" s="1963"/>
      <c r="CR10956" s="1963"/>
      <c r="CS10956" s="1963"/>
      <c r="CT10956" s="1963"/>
      <c r="CU10956" s="1963"/>
      <c r="CV10956" s="1963"/>
      <c r="CW10956" s="1963"/>
      <c r="CX10956" s="1963"/>
      <c r="CY10956" s="1963"/>
      <c r="CZ10956" s="1963"/>
      <c r="DA10956" s="1963"/>
      <c r="DB10956" s="1963"/>
      <c r="DC10956" s="1963"/>
      <c r="DD10956" s="1963"/>
      <c r="DE10956" s="1963"/>
      <c r="DF10956" s="1963"/>
      <c r="DG10956" s="1963"/>
      <c r="DH10956" s="1963"/>
      <c r="DI10956" s="1963"/>
      <c r="DJ10956" s="1963"/>
      <c r="DK10956" s="1963"/>
      <c r="DL10956" s="1963"/>
      <c r="DM10956" s="1963"/>
      <c r="DN10956" s="1963"/>
      <c r="DO10956" s="1963"/>
      <c r="DP10956" s="1963"/>
      <c r="DQ10956" s="1963"/>
      <c r="DR10956" s="1963"/>
      <c r="DS10956" s="1963"/>
      <c r="DT10956" s="1963"/>
      <c r="DU10956" s="1963"/>
      <c r="DV10956" s="1963"/>
      <c r="DW10956" s="1963"/>
      <c r="DX10956" s="1963"/>
      <c r="DY10956" s="1963"/>
      <c r="DZ10956" s="1963"/>
      <c r="EA10956" s="1963"/>
      <c r="EB10956" s="1963"/>
      <c r="EC10956" s="1963"/>
      <c r="ED10956" s="1963"/>
      <c r="EE10956" s="1963"/>
      <c r="EF10956" s="1963"/>
      <c r="EG10956" s="1963"/>
      <c r="EH10956" s="1963"/>
      <c r="EI10956" s="1963"/>
      <c r="EJ10956" s="1963"/>
      <c r="EK10956" s="1963"/>
      <c r="EL10956" s="1963"/>
      <c r="EM10956" s="1963"/>
      <c r="EN10956" s="1963"/>
      <c r="EO10956" s="1963"/>
      <c r="EP10956" s="1963"/>
      <c r="EQ10956" s="1963"/>
      <c r="ER10956" s="1963"/>
    </row>
    <row r="10957" spans="1:148" s="1165" customFormat="1" ht="15">
      <c r="A10957" s="1170" t="s">
        <v>8451</v>
      </c>
      <c r="B10957" s="1187">
        <v>6</v>
      </c>
      <c r="C10957" s="1171">
        <v>30</v>
      </c>
      <c r="D10957" s="1172" t="s">
        <v>1812</v>
      </c>
      <c r="E10957" s="1174">
        <v>0.64</v>
      </c>
      <c r="F10957" s="2501">
        <v>38</v>
      </c>
      <c r="G10957" s="2070">
        <f t="shared" si="126"/>
        <v>0.50520833333333337</v>
      </c>
      <c r="H10957" s="317">
        <v>120</v>
      </c>
      <c r="I10957" s="1963"/>
      <c r="J10957" s="1963"/>
      <c r="K10957" s="1963"/>
      <c r="L10957" s="1963"/>
      <c r="M10957" s="1963"/>
      <c r="N10957" s="1963"/>
      <c r="O10957" s="1963"/>
      <c r="P10957" s="1963"/>
      <c r="Q10957" s="1963"/>
      <c r="R10957" s="1963"/>
      <c r="S10957" s="1963"/>
      <c r="T10957" s="1963"/>
      <c r="U10957" s="1963"/>
      <c r="V10957" s="1963"/>
      <c r="W10957" s="1963"/>
      <c r="X10957" s="1963"/>
      <c r="Y10957" s="1963"/>
      <c r="Z10957" s="1963"/>
      <c r="AA10957" s="1963"/>
      <c r="AB10957" s="1963"/>
      <c r="AC10957" s="1963"/>
      <c r="AD10957" s="1963"/>
      <c r="AE10957" s="1963"/>
      <c r="AF10957" s="1963"/>
      <c r="AG10957" s="1963"/>
      <c r="AH10957" s="1963"/>
      <c r="AI10957" s="1963"/>
      <c r="AJ10957" s="1963"/>
      <c r="AK10957" s="1963"/>
      <c r="AL10957" s="1963"/>
      <c r="AM10957" s="1963"/>
      <c r="AN10957" s="1963"/>
      <c r="AO10957" s="1963"/>
      <c r="AP10957" s="1963"/>
      <c r="AQ10957" s="1963"/>
      <c r="AR10957" s="1963"/>
      <c r="AS10957" s="1963"/>
      <c r="AT10957" s="1963"/>
      <c r="AU10957" s="1963"/>
      <c r="AV10957" s="1963"/>
      <c r="AW10957" s="1963"/>
      <c r="AX10957" s="1963"/>
      <c r="AY10957" s="1963"/>
      <c r="AZ10957" s="1963"/>
      <c r="BA10957" s="1963"/>
      <c r="BB10957" s="1963"/>
      <c r="BC10957" s="1963"/>
      <c r="BD10957" s="1963"/>
      <c r="BE10957" s="1963"/>
      <c r="BF10957" s="1963"/>
      <c r="BG10957" s="1963"/>
      <c r="BH10957" s="1963"/>
      <c r="BI10957" s="1963"/>
      <c r="BJ10957" s="1963"/>
      <c r="BK10957" s="1963"/>
      <c r="BL10957" s="1963"/>
      <c r="BM10957" s="1963"/>
      <c r="BN10957" s="1963"/>
      <c r="BO10957" s="1963"/>
      <c r="BP10957" s="1963"/>
      <c r="BQ10957" s="1963"/>
      <c r="BR10957" s="1963"/>
      <c r="BS10957" s="1963"/>
      <c r="BT10957" s="1963"/>
      <c r="BU10957" s="1963"/>
      <c r="BV10957" s="1963"/>
      <c r="BW10957" s="1963"/>
      <c r="BX10957" s="1963"/>
      <c r="BY10957" s="1963"/>
      <c r="BZ10957" s="1963"/>
      <c r="CA10957" s="1963"/>
      <c r="CB10957" s="1963"/>
      <c r="CC10957" s="1963"/>
      <c r="CD10957" s="1963"/>
      <c r="CE10957" s="1963"/>
      <c r="CF10957" s="1963"/>
      <c r="CG10957" s="1963"/>
      <c r="CH10957" s="1963"/>
      <c r="CI10957" s="1963"/>
      <c r="CJ10957" s="1963"/>
      <c r="CK10957" s="1963"/>
      <c r="CL10957" s="1963"/>
      <c r="CM10957" s="1963"/>
      <c r="CN10957" s="1963"/>
      <c r="CO10957" s="1963"/>
      <c r="CP10957" s="1963"/>
      <c r="CQ10957" s="1963"/>
      <c r="CR10957" s="1963"/>
      <c r="CS10957" s="1963"/>
      <c r="CT10957" s="1963"/>
      <c r="CU10957" s="1963"/>
      <c r="CV10957" s="1963"/>
      <c r="CW10957" s="1963"/>
      <c r="CX10957" s="1963"/>
      <c r="CY10957" s="1963"/>
      <c r="CZ10957" s="1963"/>
      <c r="DA10957" s="1963"/>
      <c r="DB10957" s="1963"/>
      <c r="DC10957" s="1963"/>
      <c r="DD10957" s="1963"/>
      <c r="DE10957" s="1963"/>
      <c r="DF10957" s="1963"/>
      <c r="DG10957" s="1963"/>
      <c r="DH10957" s="1963"/>
      <c r="DI10957" s="1963"/>
      <c r="DJ10957" s="1963"/>
      <c r="DK10957" s="1963"/>
      <c r="DL10957" s="1963"/>
      <c r="DM10957" s="1963"/>
      <c r="DN10957" s="1963"/>
      <c r="DO10957" s="1963"/>
      <c r="DP10957" s="1963"/>
      <c r="DQ10957" s="1963"/>
      <c r="DR10957" s="1963"/>
      <c r="DS10957" s="1963"/>
      <c r="DT10957" s="1963"/>
      <c r="DU10957" s="1963"/>
      <c r="DV10957" s="1963"/>
      <c r="DW10957" s="1963"/>
      <c r="DX10957" s="1963"/>
      <c r="DY10957" s="1963"/>
      <c r="DZ10957" s="1963"/>
      <c r="EA10957" s="1963"/>
      <c r="EB10957" s="1963"/>
      <c r="EC10957" s="1963"/>
      <c r="ED10957" s="1963"/>
      <c r="EE10957" s="1963"/>
      <c r="EF10957" s="1963"/>
      <c r="EG10957" s="1963"/>
      <c r="EH10957" s="1963"/>
      <c r="EI10957" s="1963"/>
      <c r="EJ10957" s="1963"/>
      <c r="EK10957" s="1963"/>
      <c r="EL10957" s="1963"/>
      <c r="EM10957" s="1963"/>
      <c r="EN10957" s="1963"/>
      <c r="EO10957" s="1963"/>
      <c r="EP10957" s="1963"/>
      <c r="EQ10957" s="1963"/>
      <c r="ER10957" s="1963"/>
    </row>
    <row r="10958" spans="1:148" s="1165" customFormat="1" ht="15">
      <c r="A10958" s="1170" t="s">
        <v>8451</v>
      </c>
      <c r="B10958" s="1187">
        <v>7</v>
      </c>
      <c r="C10958" s="1171">
        <v>30</v>
      </c>
      <c r="D10958" s="1172" t="s">
        <v>1812</v>
      </c>
      <c r="E10958" s="1174">
        <v>1.08</v>
      </c>
      <c r="F10958" s="2501">
        <v>65</v>
      </c>
      <c r="G10958" s="2070">
        <f t="shared" si="126"/>
        <v>0.49845679012345684</v>
      </c>
      <c r="H10958" s="317">
        <v>120</v>
      </c>
      <c r="I10958" s="1963"/>
      <c r="J10958" s="1963"/>
      <c r="K10958" s="1963"/>
      <c r="L10958" s="1963"/>
      <c r="M10958" s="1963"/>
      <c r="N10958" s="1963"/>
      <c r="O10958" s="1963"/>
      <c r="P10958" s="1963"/>
      <c r="Q10958" s="1963"/>
      <c r="R10958" s="1963"/>
      <c r="S10958" s="1963"/>
      <c r="T10958" s="1963"/>
      <c r="U10958" s="1963"/>
      <c r="V10958" s="1963"/>
      <c r="W10958" s="1963"/>
      <c r="X10958" s="1963"/>
      <c r="Y10958" s="1963"/>
      <c r="Z10958" s="1963"/>
      <c r="AA10958" s="1963"/>
      <c r="AB10958" s="1963"/>
      <c r="AC10958" s="1963"/>
      <c r="AD10958" s="1963"/>
      <c r="AE10958" s="1963"/>
      <c r="AF10958" s="1963"/>
      <c r="AG10958" s="1963"/>
      <c r="AH10958" s="1963"/>
      <c r="AI10958" s="1963"/>
      <c r="AJ10958" s="1963"/>
      <c r="AK10958" s="1963"/>
      <c r="AL10958" s="1963"/>
      <c r="AM10958" s="1963"/>
      <c r="AN10958" s="1963"/>
      <c r="AO10958" s="1963"/>
      <c r="AP10958" s="1963"/>
      <c r="AQ10958" s="1963"/>
      <c r="AR10958" s="1963"/>
      <c r="AS10958" s="1963"/>
      <c r="AT10958" s="1963"/>
      <c r="AU10958" s="1963"/>
      <c r="AV10958" s="1963"/>
      <c r="AW10958" s="1963"/>
      <c r="AX10958" s="1963"/>
      <c r="AY10958" s="1963"/>
      <c r="AZ10958" s="1963"/>
      <c r="BA10958" s="1963"/>
      <c r="BB10958" s="1963"/>
      <c r="BC10958" s="1963"/>
      <c r="BD10958" s="1963"/>
      <c r="BE10958" s="1963"/>
      <c r="BF10958" s="1963"/>
      <c r="BG10958" s="1963"/>
      <c r="BH10958" s="1963"/>
      <c r="BI10958" s="1963"/>
      <c r="BJ10958" s="1963"/>
      <c r="BK10958" s="1963"/>
      <c r="BL10958" s="1963"/>
      <c r="BM10958" s="1963"/>
      <c r="BN10958" s="1963"/>
      <c r="BO10958" s="1963"/>
      <c r="BP10958" s="1963"/>
      <c r="BQ10958" s="1963"/>
      <c r="BR10958" s="1963"/>
      <c r="BS10958" s="1963"/>
      <c r="BT10958" s="1963"/>
      <c r="BU10958" s="1963"/>
      <c r="BV10958" s="1963"/>
      <c r="BW10958" s="1963"/>
      <c r="BX10958" s="1963"/>
      <c r="BY10958" s="1963"/>
      <c r="BZ10958" s="1963"/>
      <c r="CA10958" s="1963"/>
      <c r="CB10958" s="1963"/>
      <c r="CC10958" s="1963"/>
      <c r="CD10958" s="1963"/>
      <c r="CE10958" s="1963"/>
      <c r="CF10958" s="1963"/>
      <c r="CG10958" s="1963"/>
      <c r="CH10958" s="1963"/>
      <c r="CI10958" s="1963"/>
      <c r="CJ10958" s="1963"/>
      <c r="CK10958" s="1963"/>
      <c r="CL10958" s="1963"/>
      <c r="CM10958" s="1963"/>
      <c r="CN10958" s="1963"/>
      <c r="CO10958" s="1963"/>
      <c r="CP10958" s="1963"/>
      <c r="CQ10958" s="1963"/>
      <c r="CR10958" s="1963"/>
      <c r="CS10958" s="1963"/>
      <c r="CT10958" s="1963"/>
      <c r="CU10958" s="1963"/>
      <c r="CV10958" s="1963"/>
      <c r="CW10958" s="1963"/>
      <c r="CX10958" s="1963"/>
      <c r="CY10958" s="1963"/>
      <c r="CZ10958" s="1963"/>
      <c r="DA10958" s="1963"/>
      <c r="DB10958" s="1963"/>
      <c r="DC10958" s="1963"/>
      <c r="DD10958" s="1963"/>
      <c r="DE10958" s="1963"/>
      <c r="DF10958" s="1963"/>
      <c r="DG10958" s="1963"/>
      <c r="DH10958" s="1963"/>
      <c r="DI10958" s="1963"/>
      <c r="DJ10958" s="1963"/>
      <c r="DK10958" s="1963"/>
      <c r="DL10958" s="1963"/>
      <c r="DM10958" s="1963"/>
      <c r="DN10958" s="1963"/>
      <c r="DO10958" s="1963"/>
      <c r="DP10958" s="1963"/>
      <c r="DQ10958" s="1963"/>
      <c r="DR10958" s="1963"/>
      <c r="DS10958" s="1963"/>
      <c r="DT10958" s="1963"/>
      <c r="DU10958" s="1963"/>
      <c r="DV10958" s="1963"/>
      <c r="DW10958" s="1963"/>
      <c r="DX10958" s="1963"/>
      <c r="DY10958" s="1963"/>
      <c r="DZ10958" s="1963"/>
      <c r="EA10958" s="1963"/>
      <c r="EB10958" s="1963"/>
      <c r="EC10958" s="1963"/>
      <c r="ED10958" s="1963"/>
      <c r="EE10958" s="1963"/>
      <c r="EF10958" s="1963"/>
      <c r="EG10958" s="1963"/>
      <c r="EH10958" s="1963"/>
      <c r="EI10958" s="1963"/>
      <c r="EJ10958" s="1963"/>
      <c r="EK10958" s="1963"/>
      <c r="EL10958" s="1963"/>
      <c r="EM10958" s="1963"/>
      <c r="EN10958" s="1963"/>
      <c r="EO10958" s="1963"/>
      <c r="EP10958" s="1963"/>
      <c r="EQ10958" s="1963"/>
      <c r="ER10958" s="1963"/>
    </row>
    <row r="10959" spans="1:148" s="1165" customFormat="1" ht="15" customHeight="1">
      <c r="A10959" s="1170" t="s">
        <v>6691</v>
      </c>
      <c r="B10959" s="2062"/>
      <c r="C10959" s="1171">
        <v>50</v>
      </c>
      <c r="D10959" s="1172" t="s">
        <v>1812</v>
      </c>
      <c r="E10959" s="1174">
        <v>0.17</v>
      </c>
      <c r="F10959" s="2502">
        <v>9.4</v>
      </c>
      <c r="G10959" s="2070">
        <f t="shared" si="126"/>
        <v>0.53921568627450978</v>
      </c>
      <c r="H10959" s="317">
        <v>120</v>
      </c>
    </row>
    <row r="10960" spans="1:148" s="1165" customFormat="1" ht="15" customHeight="1">
      <c r="A10960" s="1170" t="s">
        <v>8452</v>
      </c>
      <c r="B10960" s="2062"/>
      <c r="C10960" s="1171">
        <v>50</v>
      </c>
      <c r="D10960" s="1172" t="s">
        <v>1812</v>
      </c>
      <c r="E10960" s="1174">
        <v>0.12</v>
      </c>
      <c r="F10960" s="2502">
        <v>6.6</v>
      </c>
      <c r="G10960" s="2070">
        <f t="shared" si="126"/>
        <v>0.54166666666666674</v>
      </c>
      <c r="H10960" s="317">
        <v>120</v>
      </c>
    </row>
    <row r="10961" spans="1:8" s="1165" customFormat="1" ht="15" customHeight="1">
      <c r="A10961" s="1170" t="s">
        <v>8453</v>
      </c>
      <c r="B10961" s="2062"/>
      <c r="C10961" s="1171">
        <v>50</v>
      </c>
      <c r="D10961" s="1172" t="s">
        <v>1812</v>
      </c>
      <c r="E10961" s="1174">
        <v>0.19</v>
      </c>
      <c r="F10961" s="2502">
        <v>10.8</v>
      </c>
      <c r="G10961" s="2070">
        <f t="shared" si="126"/>
        <v>0.52631578947368418</v>
      </c>
      <c r="H10961" s="317">
        <v>120</v>
      </c>
    </row>
    <row r="10963" spans="1:8">
      <c r="A10963" s="1365" t="s">
        <v>8456</v>
      </c>
    </row>
    <row r="10964" spans="1:8" ht="15">
      <c r="A10964" s="1996" t="s">
        <v>1603</v>
      </c>
      <c r="B10964" s="1996" t="s">
        <v>128</v>
      </c>
      <c r="C10964" s="1997" t="s">
        <v>1053</v>
      </c>
      <c r="D10964" s="1997" t="s">
        <v>6976</v>
      </c>
      <c r="E10964" s="2001" t="s">
        <v>5955</v>
      </c>
      <c r="F10964" s="2002" t="s">
        <v>5956</v>
      </c>
      <c r="G10964" s="2258"/>
      <c r="H10964" s="2259"/>
    </row>
    <row r="10965" spans="1:8" ht="38.25">
      <c r="A10965" s="47" t="s">
        <v>8457</v>
      </c>
      <c r="B10965" s="2092" t="s">
        <v>8388</v>
      </c>
      <c r="C10965" s="2092" t="s">
        <v>8383</v>
      </c>
      <c r="D10965" s="1245">
        <v>0.82</v>
      </c>
      <c r="E10965" s="1999">
        <v>44</v>
      </c>
      <c r="F10965" s="2000">
        <v>18000</v>
      </c>
      <c r="G10965" s="2258">
        <f>(((D10965*H10965)-E10965)/(D10965*H10965))</f>
        <v>0.55284552845528456</v>
      </c>
      <c r="H10965" s="2259">
        <v>120</v>
      </c>
    </row>
    <row r="10966" spans="1:8">
      <c r="A10966" s="47" t="s">
        <v>8457</v>
      </c>
      <c r="B10966" s="47" t="s">
        <v>5974</v>
      </c>
      <c r="C10966" s="47" t="s">
        <v>5953</v>
      </c>
      <c r="D10966" s="1245">
        <v>0.82</v>
      </c>
      <c r="E10966" s="1999">
        <v>44</v>
      </c>
      <c r="F10966" s="2000">
        <v>18000</v>
      </c>
      <c r="G10966" s="2258">
        <f>(((D10966*H10966)-E10966)/(D10966*H10966))</f>
        <v>0.55284552845528456</v>
      </c>
      <c r="H10966" s="2259">
        <v>120</v>
      </c>
    </row>
    <row r="10968" spans="1:8" ht="14.25" thickBot="1">
      <c r="A10968" t="s">
        <v>8472</v>
      </c>
    </row>
    <row r="10969" spans="1:8" ht="14.25" thickBot="1">
      <c r="A10969" s="1120" t="s">
        <v>455</v>
      </c>
      <c r="B10969" s="1121" t="s">
        <v>3082</v>
      </c>
      <c r="C10969" s="1121" t="s">
        <v>6343</v>
      </c>
      <c r="D10969" s="1121" t="s">
        <v>6345</v>
      </c>
      <c r="E10969" s="1121" t="s">
        <v>3084</v>
      </c>
      <c r="F10969" s="2082" t="s">
        <v>8473</v>
      </c>
      <c r="G10969" s="2037" t="s">
        <v>6080</v>
      </c>
      <c r="H10969" s="2037" t="s">
        <v>6081</v>
      </c>
    </row>
    <row r="10970" spans="1:8" ht="51.75" thickBot="1">
      <c r="A10970" s="1159" t="s">
        <v>3086</v>
      </c>
      <c r="B10970" s="1160">
        <v>23.55</v>
      </c>
      <c r="C10970" s="1161" t="s">
        <v>8474</v>
      </c>
      <c r="D10970" s="1161" t="s">
        <v>1037</v>
      </c>
      <c r="E10970" s="1159" t="s">
        <v>3085</v>
      </c>
      <c r="F10970" s="317">
        <f>2230+30</f>
        <v>2260</v>
      </c>
      <c r="G10970" s="2083">
        <f>(B10970-(F10970/H10970))/B10970</f>
        <v>0.20028308563340419</v>
      </c>
      <c r="H10970" s="1331">
        <v>120</v>
      </c>
    </row>
    <row r="10973" spans="1:8" ht="15">
      <c r="A10973" s="1996" t="s">
        <v>1603</v>
      </c>
      <c r="B10973" s="1996" t="s">
        <v>128</v>
      </c>
      <c r="C10973" s="887" t="s">
        <v>1653</v>
      </c>
      <c r="D10973" s="2434" t="s">
        <v>8477</v>
      </c>
    </row>
    <row r="10974" spans="1:8">
      <c r="A10974" s="1008" t="s">
        <v>6913</v>
      </c>
      <c r="B10974" s="47" t="s">
        <v>8475</v>
      </c>
      <c r="C10974" s="905">
        <v>350</v>
      </c>
      <c r="D10974" s="1059">
        <f>42+70</f>
        <v>112</v>
      </c>
    </row>
    <row r="10975" spans="1:8">
      <c r="A10975" s="1008" t="s">
        <v>6913</v>
      </c>
      <c r="B10975" s="47" t="s">
        <v>8476</v>
      </c>
      <c r="C10975" s="905">
        <v>300</v>
      </c>
      <c r="D10975" s="1059">
        <f>42+70</f>
        <v>112</v>
      </c>
    </row>
    <row r="10977" spans="1:8">
      <c r="A10977" s="2100" t="s">
        <v>1603</v>
      </c>
      <c r="B10977" s="2100" t="s">
        <v>128</v>
      </c>
      <c r="C10977" s="887" t="s">
        <v>1653</v>
      </c>
      <c r="D10977" s="1997" t="s">
        <v>6976</v>
      </c>
    </row>
    <row r="10978" spans="1:8">
      <c r="A10978" s="1008" t="s">
        <v>6913</v>
      </c>
      <c r="B10978" s="47" t="s">
        <v>8475</v>
      </c>
      <c r="C10978" s="905">
        <v>350</v>
      </c>
      <c r="D10978" s="1061">
        <v>1.56</v>
      </c>
    </row>
    <row r="10979" spans="1:8">
      <c r="A10979" s="1008" t="s">
        <v>6913</v>
      </c>
      <c r="B10979" s="47" t="s">
        <v>8476</v>
      </c>
      <c r="C10979" s="905">
        <v>300</v>
      </c>
      <c r="D10979" s="1061">
        <v>1.56</v>
      </c>
    </row>
    <row r="10980" spans="1:8">
      <c r="A10980" s="47"/>
      <c r="B10980" s="260" t="s">
        <v>1993</v>
      </c>
      <c r="C10980" s="894">
        <v>1</v>
      </c>
      <c r="D10980" s="891">
        <v>12</v>
      </c>
    </row>
    <row r="10983" spans="1:8" ht="15">
      <c r="A10983" s="1871" t="s">
        <v>8479</v>
      </c>
      <c r="B10983" s="1871"/>
      <c r="C10983" s="1871"/>
      <c r="D10983" s="1871"/>
      <c r="E10983" s="1871"/>
      <c r="F10983" s="1871"/>
    </row>
    <row r="10984" spans="1:8" ht="25.5">
      <c r="A10984" s="887" t="s">
        <v>455</v>
      </c>
      <c r="B10984" s="887" t="s">
        <v>128</v>
      </c>
      <c r="C10984" s="887" t="s">
        <v>8351</v>
      </c>
      <c r="D10984" s="1783" t="s">
        <v>1323</v>
      </c>
      <c r="E10984" s="1783" t="s">
        <v>8478</v>
      </c>
      <c r="F10984" s="1958" t="s">
        <v>8360</v>
      </c>
      <c r="G10984" s="2037" t="s">
        <v>6080</v>
      </c>
      <c r="H10984" s="317" t="s">
        <v>6081</v>
      </c>
    </row>
    <row r="10985" spans="1:8">
      <c r="A10985" s="47" t="s">
        <v>8480</v>
      </c>
      <c r="B10985" s="47" t="s">
        <v>7694</v>
      </c>
      <c r="C10985" s="905">
        <v>10</v>
      </c>
      <c r="D10985" s="1058">
        <f>ROUNDUP(F10985/0.6/120,2)</f>
        <v>1</v>
      </c>
      <c r="E10985" s="2464"/>
      <c r="F10985" s="2280">
        <v>72</v>
      </c>
      <c r="G10985" s="2070">
        <f>(D10985-(F10985/H10985))/D10985</f>
        <v>0.4</v>
      </c>
      <c r="H10985" s="317">
        <v>120</v>
      </c>
    </row>
    <row r="10986" spans="1:8">
      <c r="A10986" s="47" t="s">
        <v>8481</v>
      </c>
      <c r="B10986" s="47" t="s">
        <v>7694</v>
      </c>
      <c r="C10986" s="905">
        <v>10</v>
      </c>
      <c r="D10986" s="1058">
        <f>ROUNDUP(F10986/0.6/120,2)</f>
        <v>0.94000000000000006</v>
      </c>
      <c r="E10986" s="2464"/>
      <c r="F10986" s="2280">
        <v>67</v>
      </c>
      <c r="G10986" s="2070">
        <f>(D10986-(F10986/H10986))/D10986</f>
        <v>0.40602836879432624</v>
      </c>
      <c r="H10986" s="317">
        <v>120</v>
      </c>
    </row>
    <row r="10989" spans="1:8">
      <c r="A10989" s="2100" t="s">
        <v>1603</v>
      </c>
      <c r="B10989" s="2100" t="s">
        <v>128</v>
      </c>
      <c r="C10989" s="887" t="s">
        <v>1653</v>
      </c>
      <c r="D10989" s="1997" t="s">
        <v>6976</v>
      </c>
    </row>
    <row r="10990" spans="1:8">
      <c r="A10990" s="47" t="s">
        <v>8301</v>
      </c>
      <c r="B10990" s="47" t="s">
        <v>8483</v>
      </c>
      <c r="C10990" s="905">
        <v>40</v>
      </c>
      <c r="D10990" s="891">
        <v>1.9</v>
      </c>
    </row>
    <row r="10991" spans="1:8">
      <c r="A10991" s="47"/>
      <c r="B10991" s="47" t="s">
        <v>3334</v>
      </c>
      <c r="C10991" s="894">
        <v>1</v>
      </c>
      <c r="D10991" s="891">
        <v>75</v>
      </c>
    </row>
    <row r="10992" spans="1:8">
      <c r="A10992" s="47"/>
      <c r="B10992" s="260" t="s">
        <v>1993</v>
      </c>
      <c r="C10992" s="894">
        <v>1</v>
      </c>
      <c r="D10992" s="891">
        <v>12</v>
      </c>
    </row>
    <row r="10995" spans="1:5">
      <c r="A10995" s="2100" t="s">
        <v>1603</v>
      </c>
      <c r="B10995" s="2100" t="s">
        <v>53</v>
      </c>
      <c r="C10995" s="887" t="s">
        <v>1653</v>
      </c>
      <c r="D10995" s="2518" t="s">
        <v>8490</v>
      </c>
    </row>
    <row r="10996" spans="1:5">
      <c r="A10996" s="47" t="s">
        <v>8186</v>
      </c>
      <c r="B10996" s="1865" t="s">
        <v>8344</v>
      </c>
      <c r="C10996" s="894">
        <v>1</v>
      </c>
      <c r="D10996" s="1059">
        <v>6000</v>
      </c>
    </row>
    <row r="10997" spans="1:5">
      <c r="A10997" s="47" t="s">
        <v>8186</v>
      </c>
      <c r="B10997" s="909" t="s">
        <v>543</v>
      </c>
      <c r="C10997" s="905">
        <v>30</v>
      </c>
      <c r="D10997" s="346">
        <v>125</v>
      </c>
    </row>
    <row r="10998" spans="1:5">
      <c r="A10998" s="47" t="s">
        <v>8186</v>
      </c>
      <c r="B10998" s="1209" t="s">
        <v>8487</v>
      </c>
      <c r="C10998" s="905">
        <v>30</v>
      </c>
      <c r="D10998" s="346">
        <v>125</v>
      </c>
    </row>
    <row r="10999" spans="1:5">
      <c r="A10999" s="47" t="s">
        <v>8186</v>
      </c>
      <c r="B10999" s="1209" t="s">
        <v>8488</v>
      </c>
      <c r="C10999" s="905">
        <v>40</v>
      </c>
      <c r="D10999" s="346">
        <v>125</v>
      </c>
    </row>
    <row r="11000" spans="1:5">
      <c r="A11000" s="47" t="s">
        <v>8186</v>
      </c>
      <c r="B11000" s="909" t="s">
        <v>8489</v>
      </c>
      <c r="C11000" s="905">
        <v>40</v>
      </c>
      <c r="D11000" s="346">
        <v>125</v>
      </c>
    </row>
    <row r="11001" spans="1:5">
      <c r="A11001" s="47" t="s">
        <v>8186</v>
      </c>
      <c r="B11001" s="909" t="s">
        <v>3334</v>
      </c>
      <c r="C11001" s="894">
        <v>4</v>
      </c>
      <c r="D11001" s="1059">
        <v>7000</v>
      </c>
    </row>
    <row r="11005" spans="1:5">
      <c r="A11005" s="2100" t="s">
        <v>1603</v>
      </c>
      <c r="B11005" s="2100" t="s">
        <v>377</v>
      </c>
      <c r="C11005" s="2100" t="s">
        <v>53</v>
      </c>
      <c r="D11005" s="887" t="s">
        <v>1653</v>
      </c>
      <c r="E11005" s="1997" t="s">
        <v>6976</v>
      </c>
    </row>
    <row r="11006" spans="1:5">
      <c r="A11006" s="47">
        <v>5600</v>
      </c>
      <c r="B11006" s="907">
        <v>148</v>
      </c>
      <c r="C11006" s="47" t="s">
        <v>8492</v>
      </c>
      <c r="D11006" s="905">
        <v>10</v>
      </c>
      <c r="E11006" s="891">
        <v>8.75</v>
      </c>
    </row>
    <row r="11007" spans="1:5">
      <c r="A11007" s="47">
        <v>5600</v>
      </c>
      <c r="B11007" s="907">
        <v>148</v>
      </c>
      <c r="C11007" s="47" t="s">
        <v>335</v>
      </c>
      <c r="D11007" s="905">
        <v>10</v>
      </c>
      <c r="E11007" s="891">
        <v>8.75</v>
      </c>
    </row>
    <row r="11008" spans="1:5">
      <c r="A11008" s="47"/>
      <c r="B11008" s="893"/>
      <c r="C11008" s="260" t="s">
        <v>1075</v>
      </c>
      <c r="D11008" s="894">
        <v>2</v>
      </c>
      <c r="E11008" s="891">
        <v>15</v>
      </c>
    </row>
    <row r="11009" spans="1:8">
      <c r="A11009" s="47"/>
      <c r="B11009" s="893"/>
      <c r="C11009" s="260" t="s">
        <v>1993</v>
      </c>
      <c r="D11009" s="894">
        <v>1</v>
      </c>
      <c r="E11009" s="891">
        <v>25</v>
      </c>
    </row>
    <row r="11010" spans="1:8">
      <c r="A11010" s="1116"/>
      <c r="B11010" s="921"/>
      <c r="C11010" s="921" t="s">
        <v>1227</v>
      </c>
      <c r="D11010" s="922" t="s">
        <v>1243</v>
      </c>
      <c r="E11010" s="923"/>
      <c r="F11010" s="924"/>
      <c r="G11010" s="1218" t="s">
        <v>8493</v>
      </c>
    </row>
    <row r="11013" spans="1:8">
      <c r="A11013" s="2100" t="s">
        <v>1603</v>
      </c>
      <c r="B11013" s="2100" t="s">
        <v>53</v>
      </c>
      <c r="C11013" s="887" t="s">
        <v>1653</v>
      </c>
      <c r="D11013" s="1997" t="s">
        <v>6976</v>
      </c>
      <c r="E11013" s="887" t="s">
        <v>8494</v>
      </c>
    </row>
    <row r="11014" spans="1:8">
      <c r="A11014" s="47" t="s">
        <v>8186</v>
      </c>
      <c r="B11014" s="1865" t="s">
        <v>8344</v>
      </c>
      <c r="C11014" s="894">
        <v>1</v>
      </c>
      <c r="D11014" s="891">
        <v>65</v>
      </c>
      <c r="E11014" s="891">
        <f t="shared" ref="E11014:E11020" si="127">D11014*C11014</f>
        <v>65</v>
      </c>
    </row>
    <row r="11015" spans="1:8">
      <c r="A11015" s="47" t="s">
        <v>8186</v>
      </c>
      <c r="B11015" s="909" t="s">
        <v>543</v>
      </c>
      <c r="C11015" s="905">
        <v>30</v>
      </c>
      <c r="D11015" s="891">
        <v>1.74</v>
      </c>
      <c r="E11015" s="891">
        <f t="shared" si="127"/>
        <v>52.2</v>
      </c>
    </row>
    <row r="11016" spans="1:8">
      <c r="A11016" s="47" t="s">
        <v>8186</v>
      </c>
      <c r="B11016" s="1209" t="s">
        <v>8487</v>
      </c>
      <c r="C11016" s="905">
        <v>30</v>
      </c>
      <c r="D11016" s="891">
        <v>1.74</v>
      </c>
      <c r="E11016" s="891">
        <f t="shared" si="127"/>
        <v>52.2</v>
      </c>
    </row>
    <row r="11017" spans="1:8">
      <c r="A11017" s="47" t="s">
        <v>8186</v>
      </c>
      <c r="B11017" s="1209" t="s">
        <v>8488</v>
      </c>
      <c r="C11017" s="905">
        <v>40</v>
      </c>
      <c r="D11017" s="891">
        <v>1.74</v>
      </c>
      <c r="E11017" s="891">
        <f t="shared" si="127"/>
        <v>69.599999999999994</v>
      </c>
    </row>
    <row r="11018" spans="1:8">
      <c r="A11018" s="47" t="s">
        <v>8186</v>
      </c>
      <c r="B11018" s="909" t="s">
        <v>8489</v>
      </c>
      <c r="C11018" s="905">
        <v>40</v>
      </c>
      <c r="D11018" s="891">
        <v>1.74</v>
      </c>
      <c r="E11018" s="891">
        <f t="shared" si="127"/>
        <v>69.599999999999994</v>
      </c>
    </row>
    <row r="11019" spans="1:8">
      <c r="A11019" s="47" t="s">
        <v>8186</v>
      </c>
      <c r="B11019" s="909" t="s">
        <v>3334</v>
      </c>
      <c r="C11019" s="894">
        <v>4</v>
      </c>
      <c r="D11019" s="891">
        <v>75</v>
      </c>
      <c r="E11019" s="891">
        <f t="shared" si="127"/>
        <v>300</v>
      </c>
    </row>
    <row r="11020" spans="1:8">
      <c r="A11020" s="47"/>
      <c r="B11020" s="260" t="s">
        <v>1993</v>
      </c>
      <c r="C11020" s="894">
        <v>1</v>
      </c>
      <c r="D11020" s="891">
        <v>12</v>
      </c>
      <c r="E11020" s="891">
        <f t="shared" si="127"/>
        <v>12</v>
      </c>
    </row>
    <row r="11021" spans="1:8">
      <c r="A11021" s="47"/>
      <c r="B11021" s="260"/>
      <c r="C11021" s="894"/>
      <c r="D11021" s="918" t="s">
        <v>8495</v>
      </c>
      <c r="E11021" s="919">
        <f>SUM(E11014:E11020)</f>
        <v>620.6</v>
      </c>
    </row>
    <row r="11023" spans="1:8" ht="15">
      <c r="A11023" s="1871" t="s">
        <v>8497</v>
      </c>
      <c r="B11023" s="1871"/>
      <c r="C11023" s="1871"/>
      <c r="D11023" s="1871"/>
      <c r="E11023" s="1871"/>
      <c r="F11023" s="1871"/>
    </row>
    <row r="11024" spans="1:8" ht="25.5">
      <c r="A11024" s="887" t="s">
        <v>455</v>
      </c>
      <c r="B11024" s="887" t="s">
        <v>128</v>
      </c>
      <c r="C11024" s="887" t="s">
        <v>8351</v>
      </c>
      <c r="D11024" s="1783" t="s">
        <v>1323</v>
      </c>
      <c r="E11024" s="1783" t="s">
        <v>8496</v>
      </c>
      <c r="F11024" s="1958" t="s">
        <v>8360</v>
      </c>
      <c r="G11024" s="2037" t="s">
        <v>6080</v>
      </c>
      <c r="H11024" s="317" t="s">
        <v>6081</v>
      </c>
    </row>
    <row r="11025" spans="1:8">
      <c r="A11025" s="47" t="s">
        <v>8498</v>
      </c>
      <c r="B11025" s="47" t="s">
        <v>7694</v>
      </c>
      <c r="C11025" s="905">
        <v>10</v>
      </c>
      <c r="D11025" s="1058">
        <f>ROUNDUP(F11025/0.6/120,2)</f>
        <v>2.8099999999999996</v>
      </c>
      <c r="E11025" s="2464" t="s">
        <v>8499</v>
      </c>
      <c r="F11025" s="2280">
        <v>202</v>
      </c>
      <c r="G11025" s="2070">
        <f>(D11025-(F11025/H11025))/D11025</f>
        <v>0.40094899169632259</v>
      </c>
      <c r="H11025" s="317">
        <v>120</v>
      </c>
    </row>
    <row r="11026" spans="1:8">
      <c r="A11026" s="47" t="s">
        <v>8498</v>
      </c>
      <c r="B11026" s="47" t="s">
        <v>8352</v>
      </c>
      <c r="C11026" s="905" t="s">
        <v>8500</v>
      </c>
      <c r="D11026" s="1058">
        <f>ROUNDUP(F11026/0.6/120,2)</f>
        <v>4.62</v>
      </c>
      <c r="E11026" s="2464" t="s">
        <v>2346</v>
      </c>
      <c r="F11026" s="2280">
        <f>202+130</f>
        <v>332</v>
      </c>
      <c r="G11026" s="2070">
        <f>(D11026-(F11026/H11026))/D11026</f>
        <v>0.40115440115440121</v>
      </c>
      <c r="H11026" s="317">
        <v>120</v>
      </c>
    </row>
    <row r="11027" spans="1:8">
      <c r="A11027" s="47" t="s">
        <v>8501</v>
      </c>
      <c r="B11027" s="47" t="s">
        <v>7694</v>
      </c>
      <c r="C11027" s="905">
        <v>10</v>
      </c>
      <c r="D11027" s="1058">
        <f>ROUNDUP(F11027/0.6/120,2)</f>
        <v>2.5599999999999996</v>
      </c>
      <c r="E11027" s="2464" t="s">
        <v>8502</v>
      </c>
      <c r="F11027" s="2280">
        <v>184</v>
      </c>
      <c r="G11027" s="2070">
        <f>(D11027-(F11027/H11027))/D11027</f>
        <v>0.40104166666666652</v>
      </c>
      <c r="H11027" s="317">
        <v>120</v>
      </c>
    </row>
    <row r="11028" spans="1:8">
      <c r="A11028" s="47" t="s">
        <v>8501</v>
      </c>
      <c r="B11028" s="47" t="s">
        <v>8352</v>
      </c>
      <c r="C11028" s="905" t="s">
        <v>8500</v>
      </c>
      <c r="D11028" s="1058">
        <f>ROUNDUP(F11028/0.6/120,2)</f>
        <v>3.9499999999999997</v>
      </c>
      <c r="E11028" s="2464" t="s">
        <v>2346</v>
      </c>
      <c r="F11028" s="2280">
        <f>184+100</f>
        <v>284</v>
      </c>
      <c r="G11028" s="2070">
        <f>(D11028-(F11028/H11028))/D11028</f>
        <v>0.40084388185654002</v>
      </c>
      <c r="H11028" s="317">
        <v>120</v>
      </c>
    </row>
    <row r="11031" spans="1:8" s="1163" customFormat="1" ht="31.5">
      <c r="A11031" s="2152" t="s">
        <v>1369</v>
      </c>
      <c r="B11031" s="2190" t="s">
        <v>2</v>
      </c>
      <c r="C11031" s="649" t="s">
        <v>1734</v>
      </c>
      <c r="D11031" s="2192" t="s">
        <v>5527</v>
      </c>
      <c r="E11031" s="1958" t="s">
        <v>8360</v>
      </c>
      <c r="F11031" s="2037" t="s">
        <v>6080</v>
      </c>
      <c r="G11031" s="317" t="s">
        <v>6081</v>
      </c>
    </row>
    <row r="11032" spans="1:8" s="1165" customFormat="1" ht="15" customHeight="1">
      <c r="A11032" s="2154" t="s">
        <v>8504</v>
      </c>
      <c r="B11032" s="2476">
        <v>50</v>
      </c>
      <c r="C11032" s="2194" t="s">
        <v>8505</v>
      </c>
      <c r="D11032" s="2197">
        <v>0.31</v>
      </c>
      <c r="E11032" s="2280">
        <v>16.3</v>
      </c>
      <c r="F11032" s="2070">
        <f>(D11032-(E11032/G11032))/D11032</f>
        <v>0.56182795698924726</v>
      </c>
      <c r="G11032" s="317">
        <v>120</v>
      </c>
    </row>
    <row r="11035" spans="1:8">
      <c r="A11035" s="887" t="s">
        <v>455</v>
      </c>
      <c r="B11035" s="887" t="s">
        <v>128</v>
      </c>
      <c r="C11035" s="887" t="s">
        <v>54</v>
      </c>
      <c r="D11035" s="2434" t="s">
        <v>8508</v>
      </c>
      <c r="E11035" s="2276" t="s">
        <v>8507</v>
      </c>
    </row>
    <row r="11036" spans="1:8">
      <c r="A11036" s="889" t="s">
        <v>8109</v>
      </c>
      <c r="B11036" s="47"/>
      <c r="C11036" s="905"/>
      <c r="D11036" s="2434"/>
      <c r="E11036" s="2276"/>
    </row>
    <row r="11037" spans="1:8">
      <c r="A11037" s="47" t="s">
        <v>8186</v>
      </c>
      <c r="B11037" s="1865" t="s">
        <v>8344</v>
      </c>
      <c r="C11037" s="894">
        <v>1</v>
      </c>
      <c r="D11037" s="1059">
        <v>6000</v>
      </c>
      <c r="E11037" s="346">
        <f t="shared" ref="E11037:E11042" si="128">D11037*C11037</f>
        <v>6000</v>
      </c>
    </row>
    <row r="11038" spans="1:8">
      <c r="A11038" s="47" t="s">
        <v>8186</v>
      </c>
      <c r="B11038" s="909" t="s">
        <v>543</v>
      </c>
      <c r="C11038" s="905">
        <v>30</v>
      </c>
      <c r="D11038" s="346">
        <v>125</v>
      </c>
      <c r="E11038" s="346">
        <f t="shared" si="128"/>
        <v>3750</v>
      </c>
    </row>
    <row r="11039" spans="1:8">
      <c r="A11039" s="47" t="s">
        <v>8186</v>
      </c>
      <c r="B11039" s="1209" t="s">
        <v>8487</v>
      </c>
      <c r="C11039" s="905">
        <v>30</v>
      </c>
      <c r="D11039" s="346">
        <v>125</v>
      </c>
      <c r="E11039" s="346">
        <f t="shared" si="128"/>
        <v>3750</v>
      </c>
    </row>
    <row r="11040" spans="1:8">
      <c r="A11040" s="47" t="s">
        <v>8186</v>
      </c>
      <c r="B11040" s="1209" t="s">
        <v>8488</v>
      </c>
      <c r="C11040" s="905">
        <v>40</v>
      </c>
      <c r="D11040" s="346">
        <v>125</v>
      </c>
      <c r="E11040" s="346">
        <f t="shared" si="128"/>
        <v>5000</v>
      </c>
    </row>
    <row r="11041" spans="1:5">
      <c r="A11041" s="47" t="s">
        <v>8186</v>
      </c>
      <c r="B11041" s="909" t="s">
        <v>8489</v>
      </c>
      <c r="C11041" s="905">
        <v>40</v>
      </c>
      <c r="D11041" s="346">
        <v>125</v>
      </c>
      <c r="E11041" s="346">
        <f t="shared" si="128"/>
        <v>5000</v>
      </c>
    </row>
    <row r="11042" spans="1:5">
      <c r="A11042" s="47" t="s">
        <v>8186</v>
      </c>
      <c r="B11042" s="909" t="s">
        <v>3334</v>
      </c>
      <c r="C11042" s="894">
        <v>4</v>
      </c>
      <c r="D11042" s="1059">
        <v>7000</v>
      </c>
      <c r="E11042" s="346">
        <f t="shared" si="128"/>
        <v>28000</v>
      </c>
    </row>
    <row r="11043" spans="1:5">
      <c r="A11043" s="889" t="s">
        <v>8215</v>
      </c>
      <c r="B11043" s="47"/>
      <c r="C11043" s="905"/>
      <c r="D11043" s="1059"/>
      <c r="E11043" s="346"/>
    </row>
    <row r="11044" spans="1:5">
      <c r="A11044" s="47" t="s">
        <v>8204</v>
      </c>
      <c r="B11044" s="1865" t="s">
        <v>8344</v>
      </c>
      <c r="C11044" s="894">
        <v>1</v>
      </c>
      <c r="D11044" s="1059">
        <v>6000</v>
      </c>
      <c r="E11044" s="346">
        <f>D11044*C11044</f>
        <v>6000</v>
      </c>
    </row>
    <row r="11045" spans="1:5">
      <c r="A11045" s="47" t="s">
        <v>8204</v>
      </c>
      <c r="B11045" s="1209" t="s">
        <v>8488</v>
      </c>
      <c r="C11045" s="905">
        <v>25</v>
      </c>
      <c r="D11045" s="346">
        <v>115</v>
      </c>
      <c r="E11045" s="346">
        <f>D11045*C11045</f>
        <v>2875</v>
      </c>
    </row>
    <row r="11046" spans="1:5">
      <c r="A11046" s="47" t="s">
        <v>8204</v>
      </c>
      <c r="B11046" s="909" t="s">
        <v>8489</v>
      </c>
      <c r="C11046" s="905">
        <v>25</v>
      </c>
      <c r="D11046" s="346">
        <v>115</v>
      </c>
      <c r="E11046" s="346">
        <f>D11046*C11046</f>
        <v>2875</v>
      </c>
    </row>
    <row r="11047" spans="1:5">
      <c r="A11047" s="889" t="s">
        <v>8215</v>
      </c>
      <c r="B11047" s="47"/>
      <c r="C11047" s="905" t="s">
        <v>2690</v>
      </c>
      <c r="D11047" s="1059"/>
      <c r="E11047" s="346"/>
    </row>
    <row r="11048" spans="1:5">
      <c r="A11048" s="47" t="s">
        <v>8205</v>
      </c>
      <c r="B11048" s="47" t="s">
        <v>8344</v>
      </c>
      <c r="C11048" s="894">
        <v>1</v>
      </c>
      <c r="D11048" s="1059">
        <v>6000</v>
      </c>
      <c r="E11048" s="346">
        <f>D11048*C11048</f>
        <v>6000</v>
      </c>
    </row>
    <row r="11049" spans="1:5">
      <c r="A11049" s="47" t="s">
        <v>8205</v>
      </c>
      <c r="B11049" s="1209" t="s">
        <v>8488</v>
      </c>
      <c r="C11049" s="905">
        <v>15</v>
      </c>
      <c r="D11049" s="346">
        <f>140</f>
        <v>140</v>
      </c>
      <c r="E11049" s="346">
        <f>D11049*C11049</f>
        <v>2100</v>
      </c>
    </row>
    <row r="11050" spans="1:5">
      <c r="A11050" s="47" t="s">
        <v>8205</v>
      </c>
      <c r="B11050" s="909" t="s">
        <v>8489</v>
      </c>
      <c r="C11050" s="905">
        <v>15</v>
      </c>
      <c r="D11050" s="346">
        <f>140</f>
        <v>140</v>
      </c>
      <c r="E11050" s="346">
        <f>D11050*C11050</f>
        <v>2100</v>
      </c>
    </row>
    <row r="11051" spans="1:5">
      <c r="A11051" s="889" t="s">
        <v>8215</v>
      </c>
      <c r="B11051" s="47"/>
      <c r="C11051" s="905"/>
      <c r="D11051" s="1059"/>
      <c r="E11051" s="346"/>
    </row>
    <row r="11052" spans="1:5">
      <c r="A11052" s="47" t="s">
        <v>8206</v>
      </c>
      <c r="B11052" s="47" t="s">
        <v>8344</v>
      </c>
      <c r="C11052" s="894">
        <v>1</v>
      </c>
      <c r="D11052" s="1059">
        <v>6000</v>
      </c>
      <c r="E11052" s="346">
        <f>D11052*C11052</f>
        <v>6000</v>
      </c>
    </row>
    <row r="11053" spans="1:5">
      <c r="A11053" s="47" t="s">
        <v>8206</v>
      </c>
      <c r="B11053" s="1209" t="s">
        <v>8488</v>
      </c>
      <c r="C11053" s="905">
        <v>25</v>
      </c>
      <c r="D11053" s="346">
        <f>151</f>
        <v>151</v>
      </c>
      <c r="E11053" s="346">
        <f>D11053*C11053</f>
        <v>3775</v>
      </c>
    </row>
    <row r="11054" spans="1:5">
      <c r="A11054" s="47" t="s">
        <v>8206</v>
      </c>
      <c r="B11054" s="909" t="s">
        <v>8489</v>
      </c>
      <c r="C11054" s="905">
        <v>25</v>
      </c>
      <c r="D11054" s="346">
        <f>151</f>
        <v>151</v>
      </c>
      <c r="E11054" s="346">
        <f>D11054*C11054</f>
        <v>3775</v>
      </c>
    </row>
    <row r="11055" spans="1:5">
      <c r="A11055" s="47" t="s">
        <v>8506</v>
      </c>
      <c r="B11055" s="47" t="s">
        <v>8126</v>
      </c>
      <c r="C11055" s="894">
        <v>2</v>
      </c>
      <c r="D11055" s="1059">
        <v>7000</v>
      </c>
      <c r="E11055" s="346">
        <f>D11055*C11055</f>
        <v>14000</v>
      </c>
    </row>
    <row r="11058" spans="1:8" ht="15">
      <c r="A11058" s="1871" t="s">
        <v>8509</v>
      </c>
      <c r="B11058" s="1871"/>
      <c r="C11058" s="1871"/>
      <c r="D11058" s="1871"/>
      <c r="E11058" s="1871"/>
      <c r="F11058" s="1871"/>
    </row>
    <row r="11059" spans="1:8" ht="25.5">
      <c r="A11059" s="887" t="s">
        <v>455</v>
      </c>
      <c r="B11059" s="887" t="s">
        <v>128</v>
      </c>
      <c r="C11059" s="887" t="s">
        <v>8351</v>
      </c>
      <c r="D11059" s="1783" t="s">
        <v>1323</v>
      </c>
      <c r="E11059" s="1783" t="s">
        <v>8511</v>
      </c>
      <c r="F11059" s="1958" t="s">
        <v>8360</v>
      </c>
      <c r="G11059" s="2037" t="s">
        <v>6080</v>
      </c>
      <c r="H11059" s="317" t="s">
        <v>6081</v>
      </c>
    </row>
    <row r="11060" spans="1:8">
      <c r="A11060" s="47" t="s">
        <v>8510</v>
      </c>
      <c r="B11060" s="47" t="s">
        <v>7694</v>
      </c>
      <c r="C11060" s="905">
        <v>10</v>
      </c>
      <c r="D11060" s="1058">
        <f>ROUNDUP(F11060/0.6/120,2)</f>
        <v>2.5299999999999998</v>
      </c>
      <c r="E11060" s="2464" t="s">
        <v>8512</v>
      </c>
      <c r="F11060" s="2280">
        <v>182</v>
      </c>
      <c r="G11060" s="2070">
        <f>(D11060-(F11060/H11060))/D11060</f>
        <v>0.40052700922266138</v>
      </c>
      <c r="H11060" s="317">
        <v>120</v>
      </c>
    </row>
    <row r="11061" spans="1:8">
      <c r="A11061" s="47" t="s">
        <v>8510</v>
      </c>
      <c r="B11061" s="47" t="s">
        <v>8352</v>
      </c>
      <c r="C11061" s="905" t="s">
        <v>8500</v>
      </c>
      <c r="D11061" s="1058">
        <f>ROUNDUP(F11061/0.6/120,2)</f>
        <v>3.92</v>
      </c>
      <c r="E11061" s="2464" t="s">
        <v>8514</v>
      </c>
      <c r="F11061" s="2280">
        <f>182+100</f>
        <v>282</v>
      </c>
      <c r="G11061" s="2070">
        <f>(D11061-(F11061/H11061))/D11061</f>
        <v>0.40051020408163263</v>
      </c>
      <c r="H11061" s="317">
        <v>120</v>
      </c>
    </row>
    <row r="11062" spans="1:8">
      <c r="A11062" s="47" t="s">
        <v>8515</v>
      </c>
      <c r="B11062" s="47" t="s">
        <v>7694</v>
      </c>
      <c r="C11062" s="905">
        <v>10</v>
      </c>
      <c r="D11062" s="1058">
        <f>ROUNDUP(F11062/0.6/120,2)</f>
        <v>2.42</v>
      </c>
      <c r="E11062" s="2464" t="s">
        <v>8513</v>
      </c>
      <c r="F11062" s="2280">
        <v>174</v>
      </c>
      <c r="G11062" s="2070">
        <f>(D11062-(F11062/H11062))/D11062</f>
        <v>0.40082644628099173</v>
      </c>
      <c r="H11062" s="317">
        <v>120</v>
      </c>
    </row>
    <row r="11063" spans="1:8">
      <c r="A11063" s="47" t="s">
        <v>8515</v>
      </c>
      <c r="B11063" s="47" t="s">
        <v>8352</v>
      </c>
      <c r="C11063" s="905" t="s">
        <v>8500</v>
      </c>
      <c r="D11063" s="1058">
        <f>ROUNDUP(F11063/0.6/120,2)</f>
        <v>3.8099999999999996</v>
      </c>
      <c r="E11063" s="2464" t="s">
        <v>8514</v>
      </c>
      <c r="F11063" s="2280">
        <f>174+100</f>
        <v>274</v>
      </c>
      <c r="G11063" s="2070">
        <f>(D11063-(F11063/H11063))/D11063</f>
        <v>0.40069991251093612</v>
      </c>
      <c r="H11063" s="317">
        <v>120</v>
      </c>
    </row>
    <row r="11067" spans="1:8">
      <c r="A11067" s="887" t="s">
        <v>455</v>
      </c>
      <c r="B11067" s="887" t="s">
        <v>128</v>
      </c>
      <c r="C11067" s="887" t="s">
        <v>54</v>
      </c>
      <c r="D11067" s="1783" t="s">
        <v>1323</v>
      </c>
      <c r="E11067" s="1783" t="s">
        <v>2245</v>
      </c>
    </row>
    <row r="11068" spans="1:8">
      <c r="A11068" s="889" t="s">
        <v>8109</v>
      </c>
      <c r="B11068" s="47"/>
      <c r="C11068" s="905"/>
      <c r="D11068" s="52" t="s">
        <v>10</v>
      </c>
      <c r="E11068" s="39"/>
    </row>
    <row r="11069" spans="1:8">
      <c r="A11069" s="47" t="s">
        <v>8186</v>
      </c>
      <c r="B11069" s="1865" t="s">
        <v>8344</v>
      </c>
      <c r="C11069" s="894">
        <v>1</v>
      </c>
      <c r="D11069" s="891">
        <v>65</v>
      </c>
      <c r="E11069" s="891">
        <f t="shared" ref="E11069:E11074" si="129">D11069*C11069</f>
        <v>65</v>
      </c>
    </row>
    <row r="11070" spans="1:8">
      <c r="A11070" s="47" t="s">
        <v>8186</v>
      </c>
      <c r="B11070" s="909" t="s">
        <v>543</v>
      </c>
      <c r="C11070" s="905">
        <v>30</v>
      </c>
      <c r="D11070" s="891">
        <v>1.74</v>
      </c>
      <c r="E11070" s="891">
        <f t="shared" si="129"/>
        <v>52.2</v>
      </c>
    </row>
    <row r="11071" spans="1:8">
      <c r="A11071" s="47" t="s">
        <v>8186</v>
      </c>
      <c r="B11071" s="1209" t="s">
        <v>8487</v>
      </c>
      <c r="C11071" s="905">
        <v>30</v>
      </c>
      <c r="D11071" s="891">
        <v>1.74</v>
      </c>
      <c r="E11071" s="891">
        <f t="shared" si="129"/>
        <v>52.2</v>
      </c>
    </row>
    <row r="11072" spans="1:8">
      <c r="A11072" s="47" t="s">
        <v>8186</v>
      </c>
      <c r="B11072" s="1209" t="s">
        <v>8488</v>
      </c>
      <c r="C11072" s="905">
        <v>40</v>
      </c>
      <c r="D11072" s="891">
        <v>1.74</v>
      </c>
      <c r="E11072" s="891">
        <f t="shared" si="129"/>
        <v>69.599999999999994</v>
      </c>
    </row>
    <row r="11073" spans="1:5">
      <c r="A11073" s="47" t="s">
        <v>8186</v>
      </c>
      <c r="B11073" s="909" t="s">
        <v>8489</v>
      </c>
      <c r="C11073" s="905">
        <v>40</v>
      </c>
      <c r="D11073" s="891">
        <v>1.74</v>
      </c>
      <c r="E11073" s="891">
        <f t="shared" si="129"/>
        <v>69.599999999999994</v>
      </c>
    </row>
    <row r="11074" spans="1:5">
      <c r="A11074" s="47" t="s">
        <v>8186</v>
      </c>
      <c r="B11074" s="909" t="s">
        <v>3334</v>
      </c>
      <c r="C11074" s="894">
        <v>4</v>
      </c>
      <c r="D11074" s="891">
        <v>75</v>
      </c>
      <c r="E11074" s="891">
        <f t="shared" si="129"/>
        <v>300</v>
      </c>
    </row>
    <row r="11075" spans="1:5">
      <c r="A11075" s="889" t="s">
        <v>8215</v>
      </c>
      <c r="B11075" s="47"/>
      <c r="C11075" s="905"/>
      <c r="D11075" s="891"/>
      <c r="E11075" s="891"/>
    </row>
    <row r="11076" spans="1:5">
      <c r="A11076" s="47" t="s">
        <v>8204</v>
      </c>
      <c r="B11076" s="1865" t="s">
        <v>8344</v>
      </c>
      <c r="C11076" s="894">
        <v>1</v>
      </c>
      <c r="D11076" s="891">
        <v>65</v>
      </c>
      <c r="E11076" s="891">
        <f>D11076*C11076</f>
        <v>65</v>
      </c>
    </row>
    <row r="11077" spans="1:5">
      <c r="A11077" s="47" t="s">
        <v>8204</v>
      </c>
      <c r="B11077" s="1209" t="s">
        <v>8488</v>
      </c>
      <c r="C11077" s="905">
        <v>25</v>
      </c>
      <c r="D11077" s="891">
        <v>1.6</v>
      </c>
      <c r="E11077" s="891">
        <f>D11077*C11077</f>
        <v>40</v>
      </c>
    </row>
    <row r="11078" spans="1:5">
      <c r="A11078" s="47" t="s">
        <v>8204</v>
      </c>
      <c r="B11078" s="909" t="s">
        <v>8489</v>
      </c>
      <c r="C11078" s="905">
        <v>25</v>
      </c>
      <c r="D11078" s="891">
        <v>1.6</v>
      </c>
      <c r="E11078" s="891">
        <f>D11078*C11078</f>
        <v>40</v>
      </c>
    </row>
    <row r="11079" spans="1:5">
      <c r="A11079" s="47" t="s">
        <v>8204</v>
      </c>
      <c r="B11079" s="909" t="s">
        <v>3334</v>
      </c>
      <c r="C11079" s="894">
        <v>2</v>
      </c>
      <c r="D11079" s="891">
        <v>75</v>
      </c>
      <c r="E11079" s="891">
        <f>D11079*C11079</f>
        <v>150</v>
      </c>
    </row>
    <row r="11080" spans="1:5">
      <c r="A11080" s="889" t="s">
        <v>8215</v>
      </c>
      <c r="B11080" s="47"/>
      <c r="C11080" s="905" t="s">
        <v>2690</v>
      </c>
      <c r="D11080" s="891"/>
      <c r="E11080" s="891"/>
    </row>
    <row r="11081" spans="1:5">
      <c r="A11081" s="47" t="s">
        <v>8205</v>
      </c>
      <c r="B11081" s="47" t="s">
        <v>8344</v>
      </c>
      <c r="C11081" s="894">
        <v>1</v>
      </c>
      <c r="D11081" s="891">
        <v>65</v>
      </c>
      <c r="E11081" s="891">
        <f>D11081*C11081</f>
        <v>65</v>
      </c>
    </row>
    <row r="11082" spans="1:5">
      <c r="A11082" s="47" t="s">
        <v>8205</v>
      </c>
      <c r="B11082" s="1209" t="s">
        <v>8488</v>
      </c>
      <c r="C11082" s="905">
        <v>15</v>
      </c>
      <c r="D11082" s="891">
        <v>1.95</v>
      </c>
      <c r="E11082" s="891">
        <f>D11082*C11082</f>
        <v>29.25</v>
      </c>
    </row>
    <row r="11083" spans="1:5">
      <c r="A11083" s="47" t="s">
        <v>8205</v>
      </c>
      <c r="B11083" s="909" t="s">
        <v>8489</v>
      </c>
      <c r="C11083" s="905">
        <v>15</v>
      </c>
      <c r="D11083" s="891">
        <v>1.95</v>
      </c>
      <c r="E11083" s="891">
        <f>D11083*C11083</f>
        <v>29.25</v>
      </c>
    </row>
    <row r="11084" spans="1:5">
      <c r="A11084" s="47" t="s">
        <v>8205</v>
      </c>
      <c r="B11084" s="909" t="s">
        <v>3334</v>
      </c>
      <c r="C11084" s="894">
        <v>2</v>
      </c>
      <c r="D11084" s="891">
        <v>75</v>
      </c>
      <c r="E11084" s="891">
        <f>D11084*C11084</f>
        <v>150</v>
      </c>
    </row>
    <row r="11085" spans="1:5">
      <c r="A11085" s="889" t="s">
        <v>8215</v>
      </c>
      <c r="B11085" s="47"/>
      <c r="C11085" s="905"/>
      <c r="D11085" s="891"/>
      <c r="E11085" s="891"/>
    </row>
    <row r="11086" spans="1:5">
      <c r="A11086" s="47" t="s">
        <v>8206</v>
      </c>
      <c r="B11086" s="47" t="s">
        <v>8344</v>
      </c>
      <c r="C11086" s="894">
        <v>1</v>
      </c>
      <c r="D11086" s="891">
        <v>65</v>
      </c>
      <c r="E11086" s="891">
        <f>D11086*C11086</f>
        <v>65</v>
      </c>
    </row>
    <row r="11087" spans="1:5">
      <c r="A11087" s="47" t="s">
        <v>8206</v>
      </c>
      <c r="B11087" s="1209" t="s">
        <v>8488</v>
      </c>
      <c r="C11087" s="905">
        <v>25</v>
      </c>
      <c r="D11087" s="891">
        <v>2.1</v>
      </c>
      <c r="E11087" s="891">
        <f>D11087*C11087</f>
        <v>52.5</v>
      </c>
    </row>
    <row r="11088" spans="1:5">
      <c r="A11088" s="47" t="s">
        <v>8206</v>
      </c>
      <c r="B11088" s="909" t="s">
        <v>8489</v>
      </c>
      <c r="C11088" s="905">
        <v>25</v>
      </c>
      <c r="D11088" s="891">
        <v>2.1</v>
      </c>
      <c r="E11088" s="891">
        <f>D11088*C11088</f>
        <v>52.5</v>
      </c>
    </row>
    <row r="11089" spans="1:8">
      <c r="A11089" s="47" t="s">
        <v>8516</v>
      </c>
      <c r="B11089" s="909" t="s">
        <v>3334</v>
      </c>
      <c r="C11089" s="894">
        <v>2</v>
      </c>
      <c r="D11089" s="891">
        <v>75</v>
      </c>
      <c r="E11089" s="891">
        <f>D11089*C11089</f>
        <v>150</v>
      </c>
    </row>
    <row r="11090" spans="1:8">
      <c r="A11090" s="47"/>
      <c r="B11090" s="260" t="s">
        <v>1993</v>
      </c>
      <c r="C11090" s="894">
        <v>1</v>
      </c>
      <c r="D11090" s="891">
        <v>12</v>
      </c>
      <c r="E11090" s="891">
        <f>D11090*C11090</f>
        <v>12</v>
      </c>
    </row>
    <row r="11091" spans="1:8">
      <c r="A11091" s="236"/>
      <c r="B11091" s="236"/>
      <c r="C11091" s="236"/>
      <c r="D11091" s="918" t="s">
        <v>375</v>
      </c>
      <c r="E11091" s="919">
        <f>SUM(E11069:E11090)</f>
        <v>1509.1</v>
      </c>
    </row>
    <row r="11095" spans="1:8">
      <c r="A11095" s="887" t="s">
        <v>455</v>
      </c>
      <c r="B11095" s="887" t="s">
        <v>128</v>
      </c>
      <c r="C11095" s="887" t="s">
        <v>54</v>
      </c>
      <c r="D11095" s="1783" t="s">
        <v>1323</v>
      </c>
      <c r="E11095" s="1783" t="s">
        <v>2245</v>
      </c>
      <c r="F11095" s="1783" t="s">
        <v>2245</v>
      </c>
    </row>
    <row r="11096" spans="1:8">
      <c r="A11096" s="1008" t="s">
        <v>6913</v>
      </c>
      <c r="B11096" s="47" t="s">
        <v>8475</v>
      </c>
      <c r="C11096" s="905">
        <v>350</v>
      </c>
      <c r="D11096" s="1061">
        <v>1.56</v>
      </c>
      <c r="E11096" s="891">
        <f>D11096*C11096</f>
        <v>546</v>
      </c>
      <c r="F11096" s="1865" t="s">
        <v>8524</v>
      </c>
    </row>
    <row r="11097" spans="1:8">
      <c r="A11097" s="1008" t="s">
        <v>6913</v>
      </c>
      <c r="B11097" s="47" t="s">
        <v>8476</v>
      </c>
      <c r="C11097" s="905">
        <v>300</v>
      </c>
      <c r="D11097" s="1061">
        <v>1.56</v>
      </c>
      <c r="E11097" s="891">
        <f>D11097*C11097</f>
        <v>468</v>
      </c>
      <c r="F11097" s="1865" t="s">
        <v>8524</v>
      </c>
    </row>
    <row r="11098" spans="1:8">
      <c r="A11098" s="47"/>
      <c r="B11098" s="260" t="s">
        <v>1993</v>
      </c>
      <c r="C11098" s="894">
        <v>1</v>
      </c>
      <c r="D11098" s="891">
        <v>12</v>
      </c>
      <c r="E11098" s="891">
        <f>D11098*C11098</f>
        <v>12</v>
      </c>
      <c r="F11098" s="1865" t="s">
        <v>8524</v>
      </c>
    </row>
    <row r="11099" spans="1:8">
      <c r="A11099" s="47" t="s">
        <v>6913</v>
      </c>
      <c r="B11099" s="47" t="s">
        <v>8054</v>
      </c>
      <c r="C11099" s="905">
        <v>300</v>
      </c>
      <c r="D11099" s="891">
        <v>0.59</v>
      </c>
      <c r="E11099" s="891">
        <f>D11099*C11099</f>
        <v>177</v>
      </c>
      <c r="F11099" s="1874" t="s">
        <v>8525</v>
      </c>
    </row>
    <row r="11100" spans="1:8">
      <c r="A11100" s="47"/>
      <c r="B11100" s="260" t="s">
        <v>1993</v>
      </c>
      <c r="C11100" s="894">
        <v>1</v>
      </c>
      <c r="D11100" s="891">
        <v>12</v>
      </c>
      <c r="E11100" s="891">
        <f>D11100*C11100</f>
        <v>12</v>
      </c>
      <c r="F11100" s="1874" t="s">
        <v>8525</v>
      </c>
    </row>
    <row r="11103" spans="1:8" ht="15">
      <c r="A11103" s="1871" t="s">
        <v>8526</v>
      </c>
      <c r="B11103" s="1871"/>
      <c r="C11103" s="1871"/>
      <c r="D11103" s="1871"/>
      <c r="E11103" s="1871"/>
      <c r="F11103" s="1871"/>
    </row>
    <row r="11104" spans="1:8" ht="25.5">
      <c r="A11104" s="887" t="s">
        <v>455</v>
      </c>
      <c r="B11104" s="887" t="s">
        <v>128</v>
      </c>
      <c r="C11104" s="887" t="s">
        <v>8351</v>
      </c>
      <c r="D11104" s="1783" t="s">
        <v>1323</v>
      </c>
      <c r="E11104" s="1783" t="s">
        <v>8530</v>
      </c>
      <c r="F11104" s="1958" t="s">
        <v>8360</v>
      </c>
      <c r="G11104" s="2037" t="s">
        <v>6080</v>
      </c>
      <c r="H11104" s="317" t="s">
        <v>6081</v>
      </c>
    </row>
    <row r="11105" spans="1:8">
      <c r="A11105" s="47" t="s">
        <v>8527</v>
      </c>
      <c r="B11105" s="47" t="s">
        <v>7694</v>
      </c>
      <c r="C11105" s="905">
        <v>10</v>
      </c>
      <c r="D11105" s="1058">
        <f t="shared" ref="D11105:D11110" si="130">ROUNDUP(F11105/0.6/120,2)</f>
        <v>4.3</v>
      </c>
      <c r="E11105" s="2464" t="s">
        <v>8531</v>
      </c>
      <c r="F11105" s="2280">
        <v>309</v>
      </c>
      <c r="G11105" s="2070">
        <f t="shared" ref="G11105:G11110" si="131">(D11105-(F11105/H11105))/D11105</f>
        <v>0.40116279069767435</v>
      </c>
      <c r="H11105" s="317">
        <v>120</v>
      </c>
    </row>
    <row r="11106" spans="1:8">
      <c r="A11106" s="47" t="s">
        <v>8527</v>
      </c>
      <c r="B11106" s="47" t="s">
        <v>8352</v>
      </c>
      <c r="C11106" s="905" t="s">
        <v>8500</v>
      </c>
      <c r="D11106" s="1058">
        <f t="shared" si="130"/>
        <v>5.96</v>
      </c>
      <c r="E11106" s="2464" t="s">
        <v>2346</v>
      </c>
      <c r="F11106" s="2280">
        <f>309+120</f>
        <v>429</v>
      </c>
      <c r="G11106" s="2070">
        <f t="shared" si="131"/>
        <v>0.40016778523489932</v>
      </c>
      <c r="H11106" s="317">
        <v>120</v>
      </c>
    </row>
    <row r="11107" spans="1:8">
      <c r="A11107" s="47" t="s">
        <v>8528</v>
      </c>
      <c r="B11107" s="47" t="s">
        <v>7694</v>
      </c>
      <c r="C11107" s="905">
        <v>10</v>
      </c>
      <c r="D11107" s="1058">
        <f t="shared" si="130"/>
        <v>2.44</v>
      </c>
      <c r="E11107" s="2464" t="s">
        <v>8532</v>
      </c>
      <c r="F11107" s="2280">
        <v>175</v>
      </c>
      <c r="G11107" s="2070">
        <f t="shared" si="131"/>
        <v>0.40232240437158473</v>
      </c>
      <c r="H11107" s="317">
        <v>120</v>
      </c>
    </row>
    <row r="11108" spans="1:8">
      <c r="A11108" s="47" t="s">
        <v>8528</v>
      </c>
      <c r="B11108" s="47" t="s">
        <v>8352</v>
      </c>
      <c r="C11108" s="905" t="s">
        <v>8500</v>
      </c>
      <c r="D11108" s="1058">
        <f t="shared" si="130"/>
        <v>3.69</v>
      </c>
      <c r="E11108" s="2464" t="s">
        <v>2346</v>
      </c>
      <c r="F11108" s="2280">
        <f>175+90</f>
        <v>265</v>
      </c>
      <c r="G11108" s="2070">
        <f t="shared" si="131"/>
        <v>0.40153568202348683</v>
      </c>
      <c r="H11108" s="317">
        <v>120</v>
      </c>
    </row>
    <row r="11109" spans="1:8">
      <c r="A11109" s="47" t="s">
        <v>8529</v>
      </c>
      <c r="B11109" s="47" t="s">
        <v>7694</v>
      </c>
      <c r="C11109" s="905">
        <v>10</v>
      </c>
      <c r="D11109" s="1058">
        <f t="shared" si="130"/>
        <v>6.55</v>
      </c>
      <c r="E11109" s="2464" t="s">
        <v>8532</v>
      </c>
      <c r="F11109" s="2280">
        <v>471</v>
      </c>
      <c r="G11109" s="2070">
        <f t="shared" si="131"/>
        <v>0.40076335877862596</v>
      </c>
      <c r="H11109" s="317">
        <v>120</v>
      </c>
    </row>
    <row r="11110" spans="1:8">
      <c r="A11110" s="47" t="s">
        <v>8529</v>
      </c>
      <c r="B11110" s="47" t="s">
        <v>8352</v>
      </c>
      <c r="C11110" s="905" t="s">
        <v>8500</v>
      </c>
      <c r="D11110" s="1058">
        <f t="shared" si="130"/>
        <v>7.9399999999999995</v>
      </c>
      <c r="E11110" s="2464" t="s">
        <v>2346</v>
      </c>
      <c r="F11110" s="2280">
        <f>471+100</f>
        <v>571</v>
      </c>
      <c r="G11110" s="2070">
        <f t="shared" si="131"/>
        <v>0.40071368597816953</v>
      </c>
      <c r="H11110" s="317">
        <v>120</v>
      </c>
    </row>
    <row r="11115" spans="1:8">
      <c r="A11115" s="887" t="s">
        <v>455</v>
      </c>
      <c r="B11115" s="887" t="s">
        <v>128</v>
      </c>
      <c r="C11115" s="887" t="s">
        <v>54</v>
      </c>
      <c r="D11115" s="1783" t="s">
        <v>1323</v>
      </c>
      <c r="E11115" s="1783" t="s">
        <v>2245</v>
      </c>
    </row>
    <row r="11116" spans="1:8">
      <c r="A11116" s="47" t="s">
        <v>8186</v>
      </c>
      <c r="B11116" s="1865" t="s">
        <v>8344</v>
      </c>
      <c r="C11116" s="894">
        <v>1</v>
      </c>
      <c r="D11116" s="891">
        <v>65</v>
      </c>
      <c r="E11116" s="891">
        <f>D11116*C11116</f>
        <v>65</v>
      </c>
    </row>
    <row r="11117" spans="1:8">
      <c r="A11117" s="47" t="s">
        <v>8186</v>
      </c>
      <c r="B11117" s="909" t="s">
        <v>543</v>
      </c>
      <c r="C11117" s="905">
        <v>10</v>
      </c>
      <c r="D11117" s="891">
        <v>1.74</v>
      </c>
      <c r="E11117" s="891">
        <f>D11117*C11117</f>
        <v>17.399999999999999</v>
      </c>
    </row>
    <row r="11118" spans="1:8">
      <c r="A11118" s="47" t="s">
        <v>8186</v>
      </c>
      <c r="B11118" s="909" t="s">
        <v>3334</v>
      </c>
      <c r="C11118" s="894">
        <v>1</v>
      </c>
      <c r="D11118" s="891">
        <v>75</v>
      </c>
      <c r="E11118" s="891">
        <f>D11118*C11118</f>
        <v>75</v>
      </c>
    </row>
    <row r="11119" spans="1:8">
      <c r="A11119" s="47"/>
      <c r="B11119" s="260" t="s">
        <v>1993</v>
      </c>
      <c r="C11119" s="894">
        <v>1</v>
      </c>
      <c r="D11119" s="891">
        <v>12</v>
      </c>
      <c r="E11119" s="891">
        <f>D11119*C11119</f>
        <v>12</v>
      </c>
    </row>
    <row r="11120" spans="1:8">
      <c r="A11120" s="47"/>
      <c r="B11120" s="260"/>
      <c r="C11120" s="894"/>
      <c r="D11120" s="1783" t="s">
        <v>5705</v>
      </c>
      <c r="E11120" s="919">
        <f>SUM(E11116:E11119)</f>
        <v>169.4</v>
      </c>
    </row>
    <row r="11123" spans="1:5">
      <c r="A11123" s="887" t="s">
        <v>455</v>
      </c>
      <c r="B11123" s="887" t="s">
        <v>128</v>
      </c>
      <c r="C11123" s="887" t="s">
        <v>54</v>
      </c>
      <c r="D11123" s="1783" t="s">
        <v>1323</v>
      </c>
      <c r="E11123" s="1783" t="s">
        <v>2245</v>
      </c>
    </row>
    <row r="11124" spans="1:5">
      <c r="A11124" s="47" t="s">
        <v>8204</v>
      </c>
      <c r="B11124" s="1865" t="s">
        <v>8344</v>
      </c>
      <c r="C11124" s="894">
        <v>1</v>
      </c>
      <c r="D11124" s="51">
        <v>65</v>
      </c>
      <c r="E11124" s="891">
        <f>D11124*C11124</f>
        <v>65</v>
      </c>
    </row>
    <row r="11125" spans="1:5">
      <c r="A11125" s="47" t="s">
        <v>8204</v>
      </c>
      <c r="B11125" s="908" t="s">
        <v>8489</v>
      </c>
      <c r="C11125" s="50">
        <v>25</v>
      </c>
      <c r="D11125" s="51">
        <v>1.6</v>
      </c>
      <c r="E11125" s="891">
        <f>D11125*C11125</f>
        <v>40</v>
      </c>
    </row>
    <row r="11126" spans="1:5">
      <c r="A11126" s="47" t="s">
        <v>8204</v>
      </c>
      <c r="B11126" s="47" t="s">
        <v>3334</v>
      </c>
      <c r="C11126" s="894">
        <v>1</v>
      </c>
      <c r="D11126" s="51">
        <v>75</v>
      </c>
      <c r="E11126" s="891">
        <f>D11126*C11126</f>
        <v>75</v>
      </c>
    </row>
    <row r="11127" spans="1:5">
      <c r="A11127" s="889"/>
      <c r="B11127" s="47"/>
      <c r="C11127" s="50" t="s">
        <v>2690</v>
      </c>
      <c r="D11127" s="51"/>
      <c r="E11127" s="891"/>
    </row>
    <row r="11128" spans="1:5">
      <c r="A11128" s="47" t="s">
        <v>8205</v>
      </c>
      <c r="B11128" s="47" t="s">
        <v>8344</v>
      </c>
      <c r="C11128" s="894">
        <v>1</v>
      </c>
      <c r="D11128" s="51">
        <v>65</v>
      </c>
      <c r="E11128" s="891">
        <f>D11128*C11128</f>
        <v>65</v>
      </c>
    </row>
    <row r="11129" spans="1:5">
      <c r="A11129" s="47" t="s">
        <v>8205</v>
      </c>
      <c r="B11129" s="908" t="s">
        <v>8489</v>
      </c>
      <c r="C11129" s="50">
        <v>15</v>
      </c>
      <c r="D11129" s="51">
        <v>1.95</v>
      </c>
      <c r="E11129" s="891">
        <f>D11129*C11129</f>
        <v>29.25</v>
      </c>
    </row>
    <row r="11130" spans="1:5">
      <c r="A11130" s="47" t="s">
        <v>8205</v>
      </c>
      <c r="B11130" s="47" t="s">
        <v>3334</v>
      </c>
      <c r="C11130" s="894">
        <v>1</v>
      </c>
      <c r="D11130" s="51">
        <v>75</v>
      </c>
      <c r="E11130" s="891">
        <f>D11130*C11130</f>
        <v>75</v>
      </c>
    </row>
    <row r="11131" spans="1:5">
      <c r="A11131" s="889"/>
      <c r="B11131" s="47"/>
      <c r="C11131" s="50"/>
      <c r="D11131" s="51"/>
      <c r="E11131" s="891"/>
    </row>
    <row r="11132" spans="1:5">
      <c r="A11132" s="47" t="s">
        <v>8206</v>
      </c>
      <c r="B11132" s="47" t="s">
        <v>8344</v>
      </c>
      <c r="C11132" s="894">
        <v>1</v>
      </c>
      <c r="D11132" s="51">
        <v>65</v>
      </c>
      <c r="E11132" s="891">
        <f>D11132*C11132</f>
        <v>65</v>
      </c>
    </row>
    <row r="11133" spans="1:5">
      <c r="A11133" s="47" t="s">
        <v>8206</v>
      </c>
      <c r="B11133" s="908" t="s">
        <v>8489</v>
      </c>
      <c r="C11133" s="50">
        <v>25</v>
      </c>
      <c r="D11133" s="51">
        <v>2.1</v>
      </c>
      <c r="E11133" s="891">
        <f>D11133*C11133</f>
        <v>52.5</v>
      </c>
    </row>
    <row r="11134" spans="1:5">
      <c r="A11134" s="47" t="s">
        <v>8206</v>
      </c>
      <c r="B11134" s="47" t="s">
        <v>3334</v>
      </c>
      <c r="C11134" s="894">
        <v>1</v>
      </c>
      <c r="D11134" s="51">
        <v>75</v>
      </c>
      <c r="E11134" s="891">
        <f>D11134*C11134</f>
        <v>75</v>
      </c>
    </row>
    <row r="11137" spans="1:8" ht="15">
      <c r="A11137" s="1871" t="s">
        <v>8535</v>
      </c>
      <c r="B11137" s="1871"/>
      <c r="C11137" s="1871"/>
      <c r="D11137" s="1871"/>
      <c r="E11137" s="1871"/>
      <c r="F11137" s="1871"/>
    </row>
    <row r="11138" spans="1:8" ht="25.5">
      <c r="A11138" s="887" t="s">
        <v>455</v>
      </c>
      <c r="B11138" s="887" t="s">
        <v>128</v>
      </c>
      <c r="C11138" s="887" t="s">
        <v>1053</v>
      </c>
      <c r="D11138" s="1783" t="s">
        <v>1323</v>
      </c>
      <c r="E11138" s="1783" t="s">
        <v>8538</v>
      </c>
      <c r="F11138" s="1959" t="s">
        <v>8537</v>
      </c>
      <c r="G11138" s="2037" t="s">
        <v>6080</v>
      </c>
      <c r="H11138" s="317" t="s">
        <v>6081</v>
      </c>
    </row>
    <row r="11139" spans="1:8">
      <c r="A11139" s="47" t="s">
        <v>8536</v>
      </c>
      <c r="B11139" s="47" t="s">
        <v>7694</v>
      </c>
      <c r="C11139" s="905">
        <v>10</v>
      </c>
      <c r="D11139" s="891">
        <f>ROUNDUP(F11139/0.6/120,2)</f>
        <v>2.1199999999999997</v>
      </c>
      <c r="E11139" s="2464" t="s">
        <v>8539</v>
      </c>
      <c r="F11139" s="1957">
        <v>152</v>
      </c>
      <c r="G11139" s="2070">
        <f>(D11139-(F11139/H11139))/D11139</f>
        <v>0.40251572327044016</v>
      </c>
      <c r="H11139" s="317">
        <v>120</v>
      </c>
    </row>
    <row r="11140" spans="1:8">
      <c r="A11140" s="47" t="s">
        <v>8536</v>
      </c>
      <c r="B11140" s="47" t="s">
        <v>8303</v>
      </c>
      <c r="C11140" s="905" t="s">
        <v>8305</v>
      </c>
      <c r="D11140" s="891">
        <f>ROUNDUP(F11140/0.6/120,2)</f>
        <v>3.5</v>
      </c>
      <c r="E11140" s="2464" t="s">
        <v>8540</v>
      </c>
      <c r="F11140" s="1957">
        <f>152+100</f>
        <v>252</v>
      </c>
      <c r="G11140" s="2070">
        <f>(D11140-(F11140/H11140))/D11140</f>
        <v>0.39999999999999997</v>
      </c>
      <c r="H11140" s="317">
        <v>120</v>
      </c>
    </row>
    <row r="11143" spans="1:8">
      <c r="A11143" s="776"/>
    </row>
    <row r="11144" spans="1:8" ht="25.5">
      <c r="A11144" s="887" t="s">
        <v>455</v>
      </c>
      <c r="B11144" s="887" t="s">
        <v>457</v>
      </c>
      <c r="C11144" s="887" t="s">
        <v>7709</v>
      </c>
      <c r="D11144" s="2526" t="s">
        <v>6413</v>
      </c>
      <c r="E11144" s="2526" t="s">
        <v>8541</v>
      </c>
      <c r="F11144" s="2526" t="s">
        <v>8553</v>
      </c>
    </row>
    <row r="11145" spans="1:8">
      <c r="A11145" s="47" t="s">
        <v>8542</v>
      </c>
      <c r="B11145" s="47" t="s">
        <v>8533</v>
      </c>
      <c r="C11145" s="346" t="s">
        <v>482</v>
      </c>
      <c r="D11145" s="2096">
        <v>65</v>
      </c>
      <c r="E11145" s="346" t="s">
        <v>8543</v>
      </c>
      <c r="F11145" s="2527">
        <v>0</v>
      </c>
    </row>
    <row r="11146" spans="1:8">
      <c r="A11146" s="47" t="s">
        <v>8542</v>
      </c>
      <c r="B11146" s="2020" t="s">
        <v>8544</v>
      </c>
      <c r="C11146" s="2021" t="s">
        <v>8545</v>
      </c>
      <c r="D11146" s="2096">
        <v>1.6</v>
      </c>
      <c r="E11146" s="346" t="s">
        <v>8546</v>
      </c>
      <c r="F11146" s="2527">
        <v>20</v>
      </c>
    </row>
    <row r="11147" spans="1:8">
      <c r="A11147" s="47" t="s">
        <v>8542</v>
      </c>
      <c r="B11147" s="47" t="s">
        <v>8534</v>
      </c>
      <c r="C11147" s="346" t="s">
        <v>482</v>
      </c>
      <c r="D11147" s="2096">
        <v>75</v>
      </c>
      <c r="E11147" s="2527">
        <v>75</v>
      </c>
      <c r="F11147" s="2527">
        <v>75</v>
      </c>
    </row>
    <row r="11148" spans="1:8">
      <c r="A11148" s="1145"/>
      <c r="B11148" s="968"/>
      <c r="C11148" s="2528"/>
      <c r="D11148" s="2529"/>
      <c r="E11148" s="1145"/>
      <c r="F11148" s="236"/>
    </row>
    <row r="11149" spans="1:8">
      <c r="A11149" s="47" t="s">
        <v>8547</v>
      </c>
      <c r="B11149" s="47" t="s">
        <v>8533</v>
      </c>
      <c r="C11149" s="346" t="s">
        <v>482</v>
      </c>
      <c r="D11149" s="2096">
        <v>65</v>
      </c>
      <c r="E11149" s="346" t="s">
        <v>8548</v>
      </c>
      <c r="F11149" s="2527">
        <v>0</v>
      </c>
    </row>
    <row r="11150" spans="1:8">
      <c r="A11150" s="47" t="s">
        <v>8547</v>
      </c>
      <c r="B11150" s="2020" t="s">
        <v>8544</v>
      </c>
      <c r="C11150" s="2021" t="s">
        <v>8549</v>
      </c>
      <c r="D11150" s="2096">
        <v>1.95</v>
      </c>
      <c r="E11150" s="346" t="s">
        <v>8550</v>
      </c>
      <c r="F11150" s="2527">
        <v>14.62</v>
      </c>
    </row>
    <row r="11151" spans="1:8">
      <c r="A11151" s="47" t="s">
        <v>8547</v>
      </c>
      <c r="B11151" s="47" t="s">
        <v>8534</v>
      </c>
      <c r="C11151" s="346" t="s">
        <v>482</v>
      </c>
      <c r="D11151" s="2096">
        <v>75</v>
      </c>
      <c r="E11151" s="2527">
        <v>75</v>
      </c>
      <c r="F11151" s="2527">
        <v>75</v>
      </c>
    </row>
    <row r="11152" spans="1:8">
      <c r="A11152" s="1145"/>
      <c r="B11152" s="968"/>
      <c r="C11152" s="2530"/>
      <c r="D11152" s="2529"/>
      <c r="E11152" s="1145"/>
      <c r="F11152" s="236"/>
    </row>
    <row r="11153" spans="1:6">
      <c r="A11153" s="47" t="s">
        <v>8551</v>
      </c>
      <c r="B11153" s="47" t="s">
        <v>8533</v>
      </c>
      <c r="C11153" s="346" t="s">
        <v>482</v>
      </c>
      <c r="D11153" s="2096">
        <v>65</v>
      </c>
      <c r="E11153" s="346" t="s">
        <v>8548</v>
      </c>
      <c r="F11153" s="2527">
        <v>0</v>
      </c>
    </row>
    <row r="11154" spans="1:6">
      <c r="A11154" s="47" t="s">
        <v>8551</v>
      </c>
      <c r="B11154" s="2020" t="s">
        <v>8544</v>
      </c>
      <c r="C11154" s="2021" t="s">
        <v>8545</v>
      </c>
      <c r="D11154" s="2096">
        <v>2.1</v>
      </c>
      <c r="E11154" s="346" t="s">
        <v>8552</v>
      </c>
      <c r="F11154" s="2527">
        <v>26.25</v>
      </c>
    </row>
    <row r="11155" spans="1:6">
      <c r="A11155" s="47" t="s">
        <v>8551</v>
      </c>
      <c r="B11155" s="47" t="s">
        <v>8534</v>
      </c>
      <c r="C11155" s="346" t="s">
        <v>482</v>
      </c>
      <c r="D11155" s="2096">
        <v>75</v>
      </c>
      <c r="E11155" s="2527">
        <v>75</v>
      </c>
      <c r="F11155" s="2527">
        <v>75</v>
      </c>
    </row>
    <row r="11156" spans="1:6">
      <c r="A11156" s="47"/>
      <c r="B11156" s="47"/>
      <c r="C11156" s="346"/>
      <c r="D11156" s="2096"/>
      <c r="E11156" s="2526" t="s">
        <v>8554</v>
      </c>
      <c r="F11156" s="2531">
        <f>SUM(F11145:F11155)</f>
        <v>285.87</v>
      </c>
    </row>
    <row r="11159" spans="1:6">
      <c r="A11159" s="887" t="s">
        <v>455</v>
      </c>
      <c r="B11159" s="887" t="s">
        <v>128</v>
      </c>
      <c r="C11159" s="887" t="s">
        <v>7709</v>
      </c>
      <c r="D11159" s="2526" t="s">
        <v>6413</v>
      </c>
    </row>
    <row r="11160" spans="1:6">
      <c r="A11160" s="47" t="s">
        <v>7993</v>
      </c>
      <c r="B11160" s="47" t="s">
        <v>7694</v>
      </c>
      <c r="C11160" s="905">
        <v>20</v>
      </c>
      <c r="D11160" s="891">
        <v>1.42</v>
      </c>
    </row>
    <row r="11161" spans="1:6">
      <c r="A11161" s="47"/>
      <c r="B11161" s="260" t="s">
        <v>1993</v>
      </c>
      <c r="C11161" s="894">
        <v>1</v>
      </c>
      <c r="D11161" s="891">
        <v>12</v>
      </c>
    </row>
    <row r="11163" spans="1:6">
      <c r="A11163" s="887" t="s">
        <v>455</v>
      </c>
      <c r="B11163" s="887" t="s">
        <v>128</v>
      </c>
      <c r="C11163" s="887" t="s">
        <v>7709</v>
      </c>
      <c r="D11163" s="2526" t="s">
        <v>6413</v>
      </c>
      <c r="E11163" s="2526" t="s">
        <v>8541</v>
      </c>
    </row>
    <row r="11164" spans="1:6">
      <c r="A11164" s="47" t="s">
        <v>8252</v>
      </c>
      <c r="B11164" s="47"/>
      <c r="C11164" s="905"/>
      <c r="D11164" s="52" t="s">
        <v>10</v>
      </c>
      <c r="E11164" s="39"/>
    </row>
    <row r="11165" spans="1:6">
      <c r="A11165" s="47" t="s">
        <v>8569</v>
      </c>
      <c r="B11165" s="47" t="s">
        <v>7694</v>
      </c>
      <c r="C11165" s="905">
        <v>50</v>
      </c>
      <c r="D11165" s="891">
        <v>3.28</v>
      </c>
      <c r="E11165" s="891">
        <f>D11165*C11165</f>
        <v>164</v>
      </c>
    </row>
    <row r="11166" spans="1:6">
      <c r="A11166" s="47"/>
      <c r="B11166" s="260" t="s">
        <v>1993</v>
      </c>
      <c r="C11166" s="894">
        <v>1</v>
      </c>
      <c r="D11166" s="891">
        <v>12</v>
      </c>
      <c r="E11166" s="891">
        <f>D11166*C11166</f>
        <v>12</v>
      </c>
    </row>
    <row r="11169" spans="1:8" ht="15">
      <c r="A11169" s="1871" t="s">
        <v>8571</v>
      </c>
      <c r="B11169" s="1871"/>
      <c r="C11169" s="1871"/>
      <c r="D11169" s="1871"/>
      <c r="E11169" s="1871"/>
      <c r="F11169" s="1871"/>
    </row>
    <row r="11170" spans="1:8" ht="25.5">
      <c r="A11170" s="887" t="s">
        <v>455</v>
      </c>
      <c r="B11170" s="887" t="s">
        <v>128</v>
      </c>
      <c r="C11170" s="887" t="s">
        <v>1053</v>
      </c>
      <c r="D11170" s="1783" t="s">
        <v>1323</v>
      </c>
      <c r="E11170" s="1783" t="s">
        <v>8573</v>
      </c>
      <c r="F11170" s="1959" t="s">
        <v>8537</v>
      </c>
      <c r="G11170" s="2037" t="s">
        <v>6080</v>
      </c>
      <c r="H11170" s="317" t="s">
        <v>6081</v>
      </c>
    </row>
    <row r="11171" spans="1:8">
      <c r="A11171" s="47" t="s">
        <v>8572</v>
      </c>
      <c r="B11171" s="47" t="s">
        <v>7694</v>
      </c>
      <c r="C11171" s="905">
        <v>10</v>
      </c>
      <c r="D11171" s="891">
        <f t="shared" ref="D11171:D11176" si="132">ROUNDUP(F11171/0.6/120,2)</f>
        <v>3.28</v>
      </c>
      <c r="E11171" s="2464" t="s">
        <v>7260</v>
      </c>
      <c r="F11171" s="1957">
        <v>236</v>
      </c>
      <c r="G11171" s="2070">
        <f t="shared" ref="G11171:G11176" si="133">(D11171-(F11171/H11171))/D11171</f>
        <v>0.40040650406504064</v>
      </c>
      <c r="H11171" s="317">
        <v>120</v>
      </c>
    </row>
    <row r="11172" spans="1:8">
      <c r="A11172" s="47" t="s">
        <v>8572</v>
      </c>
      <c r="B11172" s="47" t="s">
        <v>8303</v>
      </c>
      <c r="C11172" s="905" t="s">
        <v>6582</v>
      </c>
      <c r="D11172" s="891">
        <f t="shared" si="132"/>
        <v>4.5299999999999994</v>
      </c>
      <c r="E11172" s="2464" t="s">
        <v>2346</v>
      </c>
      <c r="F11172" s="1957">
        <f>236+90</f>
        <v>326</v>
      </c>
      <c r="G11172" s="2070">
        <f t="shared" si="133"/>
        <v>0.40029433406916842</v>
      </c>
      <c r="H11172" s="317">
        <v>120</v>
      </c>
    </row>
    <row r="11173" spans="1:8" ht="15">
      <c r="A11173" s="47" t="s">
        <v>8574</v>
      </c>
      <c r="B11173" s="47" t="s">
        <v>7694</v>
      </c>
      <c r="C11173" s="905">
        <v>200</v>
      </c>
      <c r="D11173" s="891">
        <f t="shared" si="132"/>
        <v>5.7</v>
      </c>
      <c r="E11173" s="2464" t="s">
        <v>2346</v>
      </c>
      <c r="F11173" s="489">
        <v>410</v>
      </c>
      <c r="G11173" s="2070">
        <f t="shared" si="133"/>
        <v>0.40058479532163749</v>
      </c>
      <c r="H11173" s="317">
        <v>120</v>
      </c>
    </row>
    <row r="11174" spans="1:8" ht="15">
      <c r="A11174" s="47" t="s">
        <v>8574</v>
      </c>
      <c r="B11174" s="47" t="s">
        <v>8303</v>
      </c>
      <c r="C11174" s="905" t="s">
        <v>8575</v>
      </c>
      <c r="D11174" s="891">
        <f t="shared" si="132"/>
        <v>6.95</v>
      </c>
      <c r="E11174" s="2464" t="s">
        <v>2346</v>
      </c>
      <c r="F11174" s="489">
        <f>410+90</f>
        <v>500</v>
      </c>
      <c r="G11174" s="2070">
        <f t="shared" si="133"/>
        <v>0.40047961630695439</v>
      </c>
      <c r="H11174" s="317">
        <v>120</v>
      </c>
    </row>
    <row r="11175" spans="1:8" ht="15">
      <c r="A11175" s="47" t="s">
        <v>8576</v>
      </c>
      <c r="B11175" s="47" t="s">
        <v>7694</v>
      </c>
      <c r="C11175" s="905">
        <v>200</v>
      </c>
      <c r="D11175" s="891">
        <f t="shared" si="132"/>
        <v>5.0699999999999994</v>
      </c>
      <c r="E11175" s="2464" t="s">
        <v>2346</v>
      </c>
      <c r="F11175" s="489">
        <v>365</v>
      </c>
      <c r="G11175" s="2070">
        <f t="shared" si="133"/>
        <v>0.40006574621959234</v>
      </c>
      <c r="H11175" s="317">
        <v>120</v>
      </c>
    </row>
    <row r="11176" spans="1:8" ht="15">
      <c r="A11176" s="47" t="s">
        <v>8576</v>
      </c>
      <c r="B11176" s="47" t="s">
        <v>8303</v>
      </c>
      <c r="C11176" s="905" t="s">
        <v>8575</v>
      </c>
      <c r="D11176" s="891">
        <f t="shared" si="132"/>
        <v>6.1899999999999995</v>
      </c>
      <c r="E11176" s="2464" t="s">
        <v>2346</v>
      </c>
      <c r="F11176" s="489">
        <f>365+80</f>
        <v>445</v>
      </c>
      <c r="G11176" s="2070">
        <f t="shared" si="133"/>
        <v>0.40091545503500264</v>
      </c>
      <c r="H11176" s="317">
        <v>120</v>
      </c>
    </row>
    <row r="11179" spans="1:8" ht="15">
      <c r="A11179" s="1871" t="s">
        <v>8577</v>
      </c>
      <c r="B11179" s="1871"/>
      <c r="C11179" s="1871"/>
      <c r="D11179" s="1871"/>
      <c r="E11179" s="1871"/>
      <c r="F11179" s="1871"/>
    </row>
    <row r="11180" spans="1:8">
      <c r="A11180" s="887" t="s">
        <v>455</v>
      </c>
      <c r="B11180" s="887" t="s">
        <v>128</v>
      </c>
      <c r="C11180" s="887" t="s">
        <v>8351</v>
      </c>
      <c r="D11180" s="1783" t="s">
        <v>1323</v>
      </c>
      <c r="E11180" s="1958" t="s">
        <v>8360</v>
      </c>
      <c r="F11180" s="2037" t="s">
        <v>6080</v>
      </c>
      <c r="G11180" s="317" t="s">
        <v>6081</v>
      </c>
    </row>
    <row r="11181" spans="1:8">
      <c r="A11181" s="47" t="s">
        <v>8578</v>
      </c>
      <c r="B11181" s="47" t="s">
        <v>7694</v>
      </c>
      <c r="C11181" s="905">
        <v>10</v>
      </c>
      <c r="D11181" s="1058">
        <f>ROUNDUP(E11181/0.6/120,2)</f>
        <v>1.89</v>
      </c>
      <c r="E11181" s="2280">
        <v>136</v>
      </c>
      <c r="F11181" s="2070">
        <f>(D11181-(E11181/G11181))/D11181</f>
        <v>0.400352733686067</v>
      </c>
      <c r="G11181" s="317">
        <v>120</v>
      </c>
    </row>
    <row r="11182" spans="1:8">
      <c r="A11182" s="47" t="s">
        <v>8578</v>
      </c>
      <c r="B11182" s="47" t="s">
        <v>8352</v>
      </c>
      <c r="C11182" s="905" t="s">
        <v>8500</v>
      </c>
      <c r="D11182" s="1058">
        <f>ROUNDUP(E11182/0.6/120,2)</f>
        <v>3.42</v>
      </c>
      <c r="E11182" s="2280">
        <f>136+110</f>
        <v>246</v>
      </c>
      <c r="F11182" s="2070">
        <f>(D11182-(E11182/G11182))/D11182</f>
        <v>0.40058479532163749</v>
      </c>
      <c r="G11182" s="317">
        <v>120</v>
      </c>
    </row>
    <row r="11188" spans="1:6">
      <c r="A11188" s="887" t="s">
        <v>455</v>
      </c>
      <c r="B11188" s="887" t="s">
        <v>128</v>
      </c>
      <c r="C11188" s="1783" t="s">
        <v>54</v>
      </c>
      <c r="D11188" s="1783" t="s">
        <v>1323</v>
      </c>
      <c r="E11188" s="52" t="s">
        <v>10</v>
      </c>
      <c r="F11188" s="39"/>
    </row>
    <row r="11189" spans="1:6">
      <c r="A11189" s="47" t="s">
        <v>8578</v>
      </c>
      <c r="B11189" s="47" t="s">
        <v>8566</v>
      </c>
      <c r="C11189" s="905">
        <v>25</v>
      </c>
      <c r="D11189" s="891">
        <v>1.89</v>
      </c>
      <c r="E11189" s="891">
        <f>D11189*C11189</f>
        <v>47.25</v>
      </c>
    </row>
    <row r="11190" spans="1:6">
      <c r="A11190" s="47"/>
      <c r="B11190" s="260" t="s">
        <v>256</v>
      </c>
      <c r="C11190" s="894">
        <v>1</v>
      </c>
      <c r="D11190" s="891">
        <v>115</v>
      </c>
      <c r="E11190" s="891">
        <f>D11190*C11190</f>
        <v>115</v>
      </c>
    </row>
    <row r="11191" spans="1:6">
      <c r="A11191" s="47"/>
      <c r="B11191" s="260" t="s">
        <v>1993</v>
      </c>
      <c r="C11191" s="894">
        <v>1</v>
      </c>
      <c r="D11191" s="891">
        <v>12</v>
      </c>
      <c r="E11191" s="891">
        <f>D11191*C11191</f>
        <v>12</v>
      </c>
    </row>
    <row r="11194" spans="1:6">
      <c r="A11194" s="887" t="s">
        <v>455</v>
      </c>
      <c r="B11194" s="887" t="s">
        <v>128</v>
      </c>
      <c r="C11194" s="1783" t="s">
        <v>54</v>
      </c>
      <c r="D11194" s="1783" t="s">
        <v>1323</v>
      </c>
    </row>
    <row r="11195" spans="1:6">
      <c r="A11195" s="889" t="s">
        <v>8300</v>
      </c>
      <c r="B11195" s="47"/>
      <c r="C11195" s="905"/>
      <c r="D11195" s="52"/>
    </row>
    <row r="11196" spans="1:6">
      <c r="A11196" s="889" t="s">
        <v>8580</v>
      </c>
      <c r="B11196" s="47" t="s">
        <v>8581</v>
      </c>
      <c r="C11196" s="2969">
        <v>200</v>
      </c>
      <c r="D11196" s="2874" t="s">
        <v>8585</v>
      </c>
    </row>
    <row r="11197" spans="1:6">
      <c r="A11197" s="889" t="s">
        <v>8580</v>
      </c>
      <c r="B11197" s="47" t="s">
        <v>5801</v>
      </c>
      <c r="C11197" s="2970"/>
      <c r="D11197" s="2971"/>
    </row>
    <row r="11198" spans="1:6">
      <c r="A11198" s="889"/>
      <c r="B11198" s="47"/>
      <c r="C11198" s="2535"/>
      <c r="D11198" s="891"/>
    </row>
    <row r="11199" spans="1:6">
      <c r="A11199" s="889" t="s">
        <v>8582</v>
      </c>
      <c r="B11199" s="47" t="s">
        <v>8581</v>
      </c>
      <c r="C11199" s="2969">
        <v>200</v>
      </c>
      <c r="D11199" s="2874" t="s">
        <v>8584</v>
      </c>
    </row>
    <row r="11200" spans="1:6">
      <c r="A11200" s="889" t="s">
        <v>8582</v>
      </c>
      <c r="B11200" s="47" t="s">
        <v>5801</v>
      </c>
      <c r="C11200" s="2970"/>
      <c r="D11200" s="2971"/>
    </row>
    <row r="11201" spans="1:8">
      <c r="A11201" s="889"/>
      <c r="B11201" s="47"/>
      <c r="C11201" s="2535"/>
      <c r="D11201" s="891"/>
    </row>
    <row r="11202" spans="1:8">
      <c r="A11202" s="47"/>
      <c r="B11202" s="260" t="s">
        <v>8583</v>
      </c>
      <c r="C11202" s="894" t="s">
        <v>8586</v>
      </c>
      <c r="D11202" s="891">
        <v>130</v>
      </c>
    </row>
    <row r="11206" spans="1:8">
      <c r="A11206" t="s">
        <v>8590</v>
      </c>
    </row>
    <row r="11207" spans="1:8" s="1163" customFormat="1" ht="31.5">
      <c r="A11207" s="2152" t="s">
        <v>1369</v>
      </c>
      <c r="B11207" s="2190" t="s">
        <v>2</v>
      </c>
      <c r="C11207" s="649" t="s">
        <v>1734</v>
      </c>
      <c r="D11207" s="2192" t="s">
        <v>5527</v>
      </c>
      <c r="E11207" s="1958" t="s">
        <v>8360</v>
      </c>
      <c r="F11207" s="2037" t="s">
        <v>6080</v>
      </c>
      <c r="G11207" s="317" t="s">
        <v>6081</v>
      </c>
    </row>
    <row r="11208" spans="1:8" s="1165" customFormat="1" ht="15" customHeight="1">
      <c r="A11208" s="2154" t="s">
        <v>8591</v>
      </c>
      <c r="B11208" s="2476">
        <v>50</v>
      </c>
      <c r="C11208" s="2194" t="s">
        <v>8505</v>
      </c>
      <c r="D11208" s="2197">
        <v>0.31</v>
      </c>
      <c r="E11208" s="2280">
        <v>16.3</v>
      </c>
      <c r="F11208" s="2070">
        <f>(D11208-(E11208/G11208))/D11208</f>
        <v>0.56182795698924726</v>
      </c>
      <c r="G11208" s="317">
        <v>120</v>
      </c>
    </row>
    <row r="11212" spans="1:8" ht="15">
      <c r="A11212" s="1871" t="s">
        <v>8592</v>
      </c>
      <c r="B11212" s="1871"/>
      <c r="C11212" s="1871"/>
      <c r="D11212" s="1871"/>
      <c r="E11212" s="1871"/>
      <c r="F11212" s="1871"/>
    </row>
    <row r="11213" spans="1:8" ht="25.5">
      <c r="A11213" s="887" t="s">
        <v>455</v>
      </c>
      <c r="B11213" s="887" t="s">
        <v>128</v>
      </c>
      <c r="C11213" s="887" t="s">
        <v>8351</v>
      </c>
      <c r="D11213" s="1783" t="s">
        <v>1323</v>
      </c>
      <c r="E11213" s="1783" t="s">
        <v>8596</v>
      </c>
      <c r="F11213" s="1958" t="s">
        <v>8360</v>
      </c>
      <c r="G11213" s="2037" t="s">
        <v>6080</v>
      </c>
      <c r="H11213" s="317" t="s">
        <v>6081</v>
      </c>
    </row>
    <row r="11214" spans="1:8">
      <c r="A11214" s="47" t="s">
        <v>8593</v>
      </c>
      <c r="B11214" s="47" t="s">
        <v>7696</v>
      </c>
      <c r="C11214" s="905">
        <v>10</v>
      </c>
      <c r="D11214" s="1058">
        <f t="shared" ref="D11214:D11219" si="134">ROUNDUP(F11214/0.6/120,2)</f>
        <v>2.98</v>
      </c>
      <c r="E11214" s="950" t="s">
        <v>8597</v>
      </c>
      <c r="F11214" s="2280">
        <v>214</v>
      </c>
      <c r="G11214" s="2070">
        <f t="shared" ref="G11214:G11219" si="135">(D11214-(F11214/H11214))/D11214</f>
        <v>0.40156599552572703</v>
      </c>
      <c r="H11214" s="317">
        <v>120</v>
      </c>
    </row>
    <row r="11215" spans="1:8">
      <c r="A11215" s="47" t="s">
        <v>8593</v>
      </c>
      <c r="B11215" s="47" t="s">
        <v>8352</v>
      </c>
      <c r="C11215" s="905" t="s">
        <v>8500</v>
      </c>
      <c r="D11215" s="1058">
        <f t="shared" si="134"/>
        <v>4.37</v>
      </c>
      <c r="E11215" s="950" t="s">
        <v>8598</v>
      </c>
      <c r="F11215" s="2280">
        <f>214+100</f>
        <v>314</v>
      </c>
      <c r="G11215" s="2070">
        <f t="shared" si="135"/>
        <v>0.40122044241037375</v>
      </c>
      <c r="H11215" s="317">
        <v>120</v>
      </c>
    </row>
    <row r="11216" spans="1:8">
      <c r="A11216" s="47" t="s">
        <v>8594</v>
      </c>
      <c r="B11216" s="47" t="s">
        <v>7694</v>
      </c>
      <c r="C11216" s="905">
        <v>10</v>
      </c>
      <c r="D11216" s="1058">
        <f t="shared" si="134"/>
        <v>1.48</v>
      </c>
      <c r="E11216" s="950" t="s">
        <v>8599</v>
      </c>
      <c r="F11216" s="2280">
        <v>106</v>
      </c>
      <c r="G11216" s="2070">
        <f t="shared" si="135"/>
        <v>0.40315315315315314</v>
      </c>
      <c r="H11216" s="317">
        <v>120</v>
      </c>
    </row>
    <row r="11217" spans="1:8">
      <c r="A11217" s="47" t="s">
        <v>8594</v>
      </c>
      <c r="B11217" s="47" t="s">
        <v>8352</v>
      </c>
      <c r="C11217" s="905" t="s">
        <v>8500</v>
      </c>
      <c r="D11217" s="1058">
        <f t="shared" si="134"/>
        <v>2.73</v>
      </c>
      <c r="E11217" s="950" t="s">
        <v>8598</v>
      </c>
      <c r="F11217" s="2280">
        <f>106+90</f>
        <v>196</v>
      </c>
      <c r="G11217" s="2070">
        <f t="shared" si="135"/>
        <v>0.40170940170940173</v>
      </c>
      <c r="H11217" s="317">
        <v>120</v>
      </c>
    </row>
    <row r="11218" spans="1:8">
      <c r="A11218" s="47" t="s">
        <v>8595</v>
      </c>
      <c r="B11218" s="47" t="s">
        <v>7694</v>
      </c>
      <c r="C11218" s="905">
        <v>10</v>
      </c>
      <c r="D11218" s="1058">
        <f t="shared" si="134"/>
        <v>1.39</v>
      </c>
      <c r="E11218" s="950" t="s">
        <v>8600</v>
      </c>
      <c r="F11218" s="2280">
        <v>100</v>
      </c>
      <c r="G11218" s="2070">
        <f t="shared" si="135"/>
        <v>0.40047961630695439</v>
      </c>
      <c r="H11218" s="317">
        <v>120</v>
      </c>
    </row>
    <row r="11219" spans="1:8">
      <c r="A11219" s="47" t="s">
        <v>8595</v>
      </c>
      <c r="B11219" s="47" t="s">
        <v>8352</v>
      </c>
      <c r="C11219" s="905" t="s">
        <v>8500</v>
      </c>
      <c r="D11219" s="1058">
        <f t="shared" si="134"/>
        <v>2.5</v>
      </c>
      <c r="E11219" s="950" t="s">
        <v>8598</v>
      </c>
      <c r="F11219" s="2280">
        <f>100+80</f>
        <v>180</v>
      </c>
      <c r="G11219" s="2070">
        <f t="shared" si="135"/>
        <v>0.4</v>
      </c>
      <c r="H11219" s="317">
        <v>120</v>
      </c>
    </row>
    <row r="11222" spans="1:8" ht="15">
      <c r="A11222" s="1871" t="s">
        <v>8601</v>
      </c>
      <c r="B11222" s="1871"/>
      <c r="C11222" s="1871"/>
      <c r="D11222" s="1871"/>
      <c r="E11222" s="1871"/>
      <c r="F11222" s="1871"/>
    </row>
    <row r="11223" spans="1:8" ht="25.5">
      <c r="A11223" s="887" t="s">
        <v>455</v>
      </c>
      <c r="B11223" s="887" t="s">
        <v>128</v>
      </c>
      <c r="C11223" s="887" t="s">
        <v>8351</v>
      </c>
      <c r="D11223" s="1783" t="s">
        <v>1323</v>
      </c>
      <c r="E11223" s="1783" t="s">
        <v>8606</v>
      </c>
      <c r="F11223" s="1958" t="s">
        <v>8360</v>
      </c>
      <c r="G11223" s="2037" t="s">
        <v>6080</v>
      </c>
      <c r="H11223" s="317" t="s">
        <v>6081</v>
      </c>
    </row>
    <row r="11224" spans="1:8">
      <c r="A11224" s="47" t="s">
        <v>8602</v>
      </c>
      <c r="B11224" s="47" t="s">
        <v>7694</v>
      </c>
      <c r="C11224" s="905">
        <v>10</v>
      </c>
      <c r="D11224" s="1058">
        <f>ROUNDUP(F11224/0.6/120,2)</f>
        <v>2.1599999999999997</v>
      </c>
      <c r="E11224" s="950" t="s">
        <v>8604</v>
      </c>
      <c r="F11224" s="2280">
        <v>155</v>
      </c>
      <c r="G11224" s="2070">
        <f>(D11224-(F11224/H11224))/D11224</f>
        <v>0.40200617283950607</v>
      </c>
      <c r="H11224" s="317">
        <v>120</v>
      </c>
    </row>
    <row r="11225" spans="1:8">
      <c r="A11225" s="47" t="s">
        <v>8602</v>
      </c>
      <c r="B11225" s="47" t="s">
        <v>8352</v>
      </c>
      <c r="C11225" s="905" t="s">
        <v>8500</v>
      </c>
      <c r="D11225" s="1058">
        <f>ROUNDUP(F11225/0.6/120,2)</f>
        <v>3.2699999999999996</v>
      </c>
      <c r="E11225" s="950" t="s">
        <v>2346</v>
      </c>
      <c r="F11225" s="2280">
        <f>155+80</f>
        <v>235</v>
      </c>
      <c r="G11225" s="2070">
        <f>(D11225-(F11225/H11225))/D11225</f>
        <v>0.40112130479102953</v>
      </c>
      <c r="H11225" s="317">
        <v>120</v>
      </c>
    </row>
    <row r="11226" spans="1:8">
      <c r="A11226" s="47" t="s">
        <v>8603</v>
      </c>
      <c r="B11226" s="47" t="s">
        <v>7694</v>
      </c>
      <c r="C11226" s="905">
        <v>10</v>
      </c>
      <c r="D11226" s="1058">
        <f>ROUNDUP(F11226/0.6/120,2)</f>
        <v>1.8</v>
      </c>
      <c r="E11226" s="950" t="s">
        <v>8605</v>
      </c>
      <c r="F11226" s="2280">
        <v>129</v>
      </c>
      <c r="G11226" s="2070">
        <f>(D11226-(F11226/H11226))/D11226</f>
        <v>0.40277777777777779</v>
      </c>
      <c r="H11226" s="317">
        <v>120</v>
      </c>
    </row>
    <row r="11227" spans="1:8">
      <c r="A11227" s="47" t="s">
        <v>8603</v>
      </c>
      <c r="B11227" s="47" t="s">
        <v>8352</v>
      </c>
      <c r="C11227" s="905" t="s">
        <v>8500</v>
      </c>
      <c r="D11227" s="1058">
        <f>ROUNDUP(F11227/0.6/120,2)</f>
        <v>3.32</v>
      </c>
      <c r="E11227" s="950" t="s">
        <v>2346</v>
      </c>
      <c r="F11227" s="2280">
        <f>129+110</f>
        <v>239</v>
      </c>
      <c r="G11227" s="2070">
        <f>(D11227-(F11227/H11227))/D11227</f>
        <v>0.40010040160642568</v>
      </c>
      <c r="H11227" s="317">
        <v>120</v>
      </c>
    </row>
    <row r="11233" spans="1:4">
      <c r="A11233" s="47" t="s">
        <v>8603</v>
      </c>
      <c r="B11233" s="47" t="s">
        <v>7694</v>
      </c>
      <c r="C11233" s="905">
        <v>10</v>
      </c>
    </row>
    <row r="11234" spans="1:4">
      <c r="A11234" s="47" t="s">
        <v>8602</v>
      </c>
      <c r="B11234" s="47" t="s">
        <v>7694</v>
      </c>
      <c r="C11234" s="905">
        <v>10</v>
      </c>
    </row>
    <row r="11236" spans="1:4" s="345" customFormat="1">
      <c r="A11236" s="107" t="s">
        <v>8610</v>
      </c>
      <c r="B11236" s="107" t="s">
        <v>8611</v>
      </c>
      <c r="C11236" s="107" t="s">
        <v>8612</v>
      </c>
      <c r="D11236" s="107" t="s">
        <v>8613</v>
      </c>
    </row>
    <row r="11237" spans="1:4" s="888" customFormat="1" ht="12.75">
      <c r="A11237" s="47" t="s">
        <v>8609</v>
      </c>
      <c r="B11237" s="47" t="s">
        <v>8581</v>
      </c>
      <c r="C11237" s="49">
        <v>200</v>
      </c>
      <c r="D11237" s="47">
        <v>410</v>
      </c>
    </row>
    <row r="11238" spans="1:4" s="888" customFormat="1" ht="12.75">
      <c r="A11238" s="47" t="s">
        <v>8608</v>
      </c>
      <c r="B11238" s="47" t="s">
        <v>8581</v>
      </c>
      <c r="C11238" s="49">
        <v>200</v>
      </c>
      <c r="D11238" s="47">
        <v>365</v>
      </c>
    </row>
    <row r="11241" spans="1:4" ht="15">
      <c r="A11241" s="2536" t="s">
        <v>8614</v>
      </c>
    </row>
    <row r="11242" spans="1:4">
      <c r="A11242" s="1874" t="s">
        <v>8626</v>
      </c>
      <c r="B11242" s="967" t="s">
        <v>8629</v>
      </c>
      <c r="C11242" s="1874" t="s">
        <v>8627</v>
      </c>
    </row>
    <row r="11243" spans="1:4">
      <c r="A11243" s="909" t="s">
        <v>8616</v>
      </c>
      <c r="B11243" s="2537">
        <v>3940</v>
      </c>
      <c r="C11243" s="1217">
        <f t="shared" ref="C11243:C11253" si="136">B11243*0.3</f>
        <v>1182</v>
      </c>
    </row>
    <row r="11244" spans="1:4">
      <c r="A11244" s="909" t="s">
        <v>8615</v>
      </c>
      <c r="B11244" s="2537">
        <v>3440</v>
      </c>
      <c r="C11244" s="1217">
        <f t="shared" si="136"/>
        <v>1032</v>
      </c>
    </row>
    <row r="11245" spans="1:4">
      <c r="A11245" s="909" t="s">
        <v>8618</v>
      </c>
      <c r="B11245" s="2537">
        <v>5040</v>
      </c>
      <c r="C11245" s="1217">
        <f t="shared" si="136"/>
        <v>1512</v>
      </c>
    </row>
    <row r="11246" spans="1:4">
      <c r="A11246" s="909" t="s">
        <v>8617</v>
      </c>
      <c r="B11246" s="2537">
        <v>4340</v>
      </c>
      <c r="C11246" s="1217">
        <f t="shared" si="136"/>
        <v>1302</v>
      </c>
    </row>
    <row r="11247" spans="1:4">
      <c r="A11247" s="909" t="s">
        <v>8619</v>
      </c>
      <c r="B11247" s="2537">
        <v>3690</v>
      </c>
      <c r="C11247" s="1217">
        <f t="shared" si="136"/>
        <v>1107</v>
      </c>
    </row>
    <row r="11248" spans="1:4">
      <c r="A11248" s="909" t="s">
        <v>8620</v>
      </c>
      <c r="B11248" s="2537">
        <v>3250</v>
      </c>
      <c r="C11248" s="1217">
        <f t="shared" si="136"/>
        <v>975</v>
      </c>
    </row>
    <row r="11249" spans="1:8">
      <c r="A11249" s="909" t="s">
        <v>8621</v>
      </c>
      <c r="B11249" s="2537">
        <v>790</v>
      </c>
      <c r="C11249" s="1217">
        <f t="shared" si="136"/>
        <v>237</v>
      </c>
    </row>
    <row r="11250" spans="1:8">
      <c r="A11250" s="909" t="s">
        <v>8622</v>
      </c>
      <c r="B11250" s="2537">
        <v>480</v>
      </c>
      <c r="C11250" s="1217">
        <f t="shared" si="136"/>
        <v>144</v>
      </c>
    </row>
    <row r="11251" spans="1:8">
      <c r="A11251" s="909" t="s">
        <v>8623</v>
      </c>
      <c r="B11251" s="2537">
        <v>3790</v>
      </c>
      <c r="C11251" s="1217">
        <f t="shared" si="136"/>
        <v>1137</v>
      </c>
    </row>
    <row r="11252" spans="1:8">
      <c r="A11252" s="909" t="s">
        <v>8624</v>
      </c>
      <c r="B11252" s="2537">
        <v>360</v>
      </c>
      <c r="C11252" s="1217">
        <f t="shared" si="136"/>
        <v>108</v>
      </c>
    </row>
    <row r="11253" spans="1:8">
      <c r="A11253" s="909" t="s">
        <v>8625</v>
      </c>
      <c r="B11253" s="2537">
        <v>260</v>
      </c>
      <c r="C11253" s="1217">
        <f t="shared" si="136"/>
        <v>78</v>
      </c>
    </row>
    <row r="11254" spans="1:8">
      <c r="A11254" s="909"/>
      <c r="B11254" s="2538" t="s">
        <v>8628</v>
      </c>
      <c r="C11254" s="2539">
        <f>SUM(C11243:C11253)</f>
        <v>8814</v>
      </c>
    </row>
    <row r="11257" spans="1:8" ht="15">
      <c r="A11257" s="1871" t="s">
        <v>8630</v>
      </c>
      <c r="B11257" s="1871"/>
      <c r="C11257" s="1871"/>
      <c r="D11257" s="1871"/>
      <c r="E11257" s="1871"/>
      <c r="F11257" s="1871"/>
    </row>
    <row r="11258" spans="1:8" ht="25.5">
      <c r="A11258" s="887" t="s">
        <v>455</v>
      </c>
      <c r="B11258" s="887" t="s">
        <v>128</v>
      </c>
      <c r="C11258" s="887" t="s">
        <v>8351</v>
      </c>
      <c r="D11258" s="1783" t="s">
        <v>1323</v>
      </c>
      <c r="E11258" s="1783" t="s">
        <v>8632</v>
      </c>
      <c r="F11258" s="1958" t="s">
        <v>8360</v>
      </c>
      <c r="G11258" s="2037" t="s">
        <v>6080</v>
      </c>
      <c r="H11258" s="317" t="s">
        <v>6081</v>
      </c>
    </row>
    <row r="11259" spans="1:8">
      <c r="A11259" s="47" t="s">
        <v>8631</v>
      </c>
      <c r="B11259" s="47" t="s">
        <v>7694</v>
      </c>
      <c r="C11259" s="905">
        <v>10</v>
      </c>
      <c r="D11259" s="1058">
        <f>ROUNDUP(F11259/0.6/120,2)</f>
        <v>1.64</v>
      </c>
      <c r="E11259" s="950" t="s">
        <v>8633</v>
      </c>
      <c r="F11259" s="2280">
        <v>118</v>
      </c>
      <c r="G11259" s="2070">
        <f>(D11259-(F11259/H11259))/D11259</f>
        <v>0.40040650406504064</v>
      </c>
      <c r="H11259" s="317">
        <v>120</v>
      </c>
    </row>
    <row r="11260" spans="1:8">
      <c r="A11260" s="47" t="s">
        <v>8631</v>
      </c>
      <c r="B11260" s="47" t="s">
        <v>8352</v>
      </c>
      <c r="C11260" s="905" t="s">
        <v>8500</v>
      </c>
      <c r="D11260" s="1058">
        <f>ROUNDUP(F11260/0.6/120,2)</f>
        <v>2.8899999999999997</v>
      </c>
      <c r="E11260" s="950" t="s">
        <v>2346</v>
      </c>
      <c r="F11260" s="2280">
        <f>118+90</f>
        <v>208</v>
      </c>
      <c r="G11260" s="2070">
        <f>(D11260-(F11260/H11260))/D11260</f>
        <v>0.40023068050749705</v>
      </c>
      <c r="H11260" s="317">
        <v>120</v>
      </c>
    </row>
    <row r="11263" spans="1:8">
      <c r="A11263" s="887" t="s">
        <v>455</v>
      </c>
      <c r="B11263" s="887" t="s">
        <v>128</v>
      </c>
      <c r="C11263" s="1783" t="s">
        <v>54</v>
      </c>
      <c r="D11263" s="1783" t="s">
        <v>1323</v>
      </c>
    </row>
    <row r="11264" spans="1:8">
      <c r="A11264" s="47" t="s">
        <v>8635</v>
      </c>
      <c r="B11264" s="47" t="s">
        <v>8636</v>
      </c>
      <c r="C11264" s="905">
        <v>50</v>
      </c>
      <c r="D11264" s="891">
        <v>0.68</v>
      </c>
    </row>
    <row r="11265" spans="1:8">
      <c r="A11265" s="47" t="s">
        <v>8635</v>
      </c>
      <c r="B11265" s="47" t="s">
        <v>8637</v>
      </c>
      <c r="C11265" s="905">
        <v>50</v>
      </c>
      <c r="D11265" s="891">
        <v>0.68</v>
      </c>
    </row>
    <row r="11266" spans="1:8">
      <c r="A11266" s="47" t="s">
        <v>8635</v>
      </c>
      <c r="B11266" s="47" t="s">
        <v>8638</v>
      </c>
      <c r="C11266" s="905">
        <v>50</v>
      </c>
      <c r="D11266" s="891">
        <v>0.68</v>
      </c>
    </row>
    <row r="11267" spans="1:8">
      <c r="A11267" s="47"/>
      <c r="B11267" s="260" t="s">
        <v>1993</v>
      </c>
      <c r="C11267" s="894">
        <v>1</v>
      </c>
      <c r="D11267" s="891">
        <v>12</v>
      </c>
    </row>
    <row r="11269" spans="1:8" ht="15">
      <c r="A11269" s="1871" t="s">
        <v>8639</v>
      </c>
      <c r="B11269" s="1871"/>
      <c r="C11269" s="1871"/>
      <c r="D11269" s="1871"/>
      <c r="E11269" s="1871"/>
      <c r="F11269" s="1871"/>
    </row>
    <row r="11270" spans="1:8" ht="25.5">
      <c r="A11270" s="887" t="s">
        <v>455</v>
      </c>
      <c r="B11270" s="887" t="s">
        <v>128</v>
      </c>
      <c r="C11270" s="887" t="s">
        <v>8351</v>
      </c>
      <c r="D11270" s="1783" t="s">
        <v>1323</v>
      </c>
      <c r="E11270" s="1783" t="s">
        <v>8641</v>
      </c>
      <c r="F11270" s="1958" t="s">
        <v>8360</v>
      </c>
      <c r="G11270" s="2037" t="s">
        <v>6080</v>
      </c>
      <c r="H11270" s="317" t="s">
        <v>6081</v>
      </c>
    </row>
    <row r="11271" spans="1:8">
      <c r="A11271" s="47" t="s">
        <v>8640</v>
      </c>
      <c r="B11271" s="47" t="s">
        <v>7696</v>
      </c>
      <c r="C11271" s="905">
        <v>10</v>
      </c>
      <c r="D11271" s="1058">
        <f>ROUNDUP(F11271/0.6/120,2)</f>
        <v>2.4099999999999997</v>
      </c>
      <c r="E11271" s="950" t="s">
        <v>8642</v>
      </c>
      <c r="F11271" s="2280">
        <v>173</v>
      </c>
      <c r="G11271" s="2070">
        <f>(D11271-(F11271/H11271))/D11271</f>
        <v>0.40179806362378967</v>
      </c>
      <c r="H11271" s="317">
        <v>120</v>
      </c>
    </row>
    <row r="11272" spans="1:8">
      <c r="A11272" s="47" t="s">
        <v>8640</v>
      </c>
      <c r="B11272" s="47" t="s">
        <v>8352</v>
      </c>
      <c r="C11272" s="905" t="s">
        <v>8500</v>
      </c>
      <c r="D11272" s="1058">
        <f>ROUNDUP(F11272/0.6/120,2)</f>
        <v>3.5199999999999996</v>
      </c>
      <c r="E11272" s="950" t="s">
        <v>2346</v>
      </c>
      <c r="F11272" s="2280">
        <f>173+80</f>
        <v>253</v>
      </c>
      <c r="G11272" s="2070">
        <f>(D11272-(F11272/H11272))/D11272</f>
        <v>0.40104166666666657</v>
      </c>
      <c r="H11272" s="317">
        <v>120</v>
      </c>
    </row>
    <row r="11275" spans="1:8" ht="15">
      <c r="A11275" s="1871" t="s">
        <v>8647</v>
      </c>
      <c r="B11275" s="1871"/>
      <c r="C11275" s="1871"/>
      <c r="D11275" s="1871"/>
      <c r="E11275" s="1871"/>
      <c r="F11275" s="1871"/>
    </row>
    <row r="11276" spans="1:8" ht="25.5">
      <c r="A11276" s="887" t="s">
        <v>455</v>
      </c>
      <c r="B11276" s="887" t="s">
        <v>128</v>
      </c>
      <c r="C11276" s="887" t="s">
        <v>8351</v>
      </c>
      <c r="D11276" s="1783" t="s">
        <v>1323</v>
      </c>
      <c r="E11276" s="1783" t="s">
        <v>8650</v>
      </c>
      <c r="F11276" s="1958" t="s">
        <v>8360</v>
      </c>
      <c r="G11276" s="2037" t="s">
        <v>6080</v>
      </c>
      <c r="H11276" s="317" t="s">
        <v>6081</v>
      </c>
    </row>
    <row r="11277" spans="1:8">
      <c r="A11277" s="47" t="s">
        <v>8648</v>
      </c>
      <c r="B11277" s="47" t="s">
        <v>7694</v>
      </c>
      <c r="C11277" s="905">
        <v>10</v>
      </c>
      <c r="D11277" s="1058">
        <f>ROUNDUP(F11277/0.6/120,2)</f>
        <v>2.5499999999999998</v>
      </c>
      <c r="E11277" s="950" t="s">
        <v>8651</v>
      </c>
      <c r="F11277" s="2280">
        <v>183</v>
      </c>
      <c r="G11277" s="2070">
        <f>(D11277-(F11277/H11277))/D11277</f>
        <v>0.40196078431372551</v>
      </c>
      <c r="H11277" s="317">
        <v>120</v>
      </c>
    </row>
    <row r="11278" spans="1:8">
      <c r="A11278" s="47" t="s">
        <v>8648</v>
      </c>
      <c r="B11278" s="47" t="s">
        <v>8352</v>
      </c>
      <c r="C11278" s="905" t="s">
        <v>8500</v>
      </c>
      <c r="D11278" s="1058">
        <f>ROUNDUP(F11278/0.6/120,2)</f>
        <v>3.8</v>
      </c>
      <c r="E11278" s="950" t="s">
        <v>2346</v>
      </c>
      <c r="F11278" s="2280">
        <f>183+90</f>
        <v>273</v>
      </c>
      <c r="G11278" s="2070">
        <f>(D11278-(F11278/H11278))/D11278</f>
        <v>0.40131578947368418</v>
      </c>
      <c r="H11278" s="317">
        <v>120</v>
      </c>
    </row>
    <row r="11279" spans="1:8">
      <c r="A11279" s="47" t="s">
        <v>8649</v>
      </c>
      <c r="B11279" s="47" t="s">
        <v>7694</v>
      </c>
      <c r="C11279" s="905">
        <v>10</v>
      </c>
      <c r="D11279" s="1058">
        <f>ROUNDUP(F11279/0.6/120,2)</f>
        <v>2.4499999999999997</v>
      </c>
      <c r="E11279" s="950" t="s">
        <v>8652</v>
      </c>
      <c r="F11279" s="2280">
        <v>176</v>
      </c>
      <c r="G11279" s="2070">
        <f>(D11279-(F11279/H11279))/D11279</f>
        <v>0.40136054421768708</v>
      </c>
      <c r="H11279" s="317">
        <v>120</v>
      </c>
    </row>
    <row r="11280" spans="1:8">
      <c r="A11280" s="47" t="s">
        <v>8649</v>
      </c>
      <c r="B11280" s="47" t="s">
        <v>8352</v>
      </c>
      <c r="C11280" s="905" t="s">
        <v>8500</v>
      </c>
      <c r="D11280" s="1058">
        <f>ROUNDUP(F11280/0.6/120,2)</f>
        <v>3.6999999999999997</v>
      </c>
      <c r="E11280" s="950" t="s">
        <v>2346</v>
      </c>
      <c r="F11280" s="2280">
        <f>176+90</f>
        <v>266</v>
      </c>
      <c r="G11280" s="2070">
        <f>(D11280-(F11280/H11280))/D11280</f>
        <v>0.4009009009009008</v>
      </c>
      <c r="H11280" s="317">
        <v>120</v>
      </c>
    </row>
    <row r="11284" spans="1:10">
      <c r="A11284" s="887" t="s">
        <v>455</v>
      </c>
      <c r="B11284" s="887" t="s">
        <v>128</v>
      </c>
      <c r="C11284" s="1783" t="s">
        <v>54</v>
      </c>
      <c r="D11284" s="1783" t="s">
        <v>1323</v>
      </c>
    </row>
    <row r="11285" spans="1:10">
      <c r="A11285" s="47" t="s">
        <v>8645</v>
      </c>
      <c r="B11285" s="47" t="s">
        <v>8646</v>
      </c>
      <c r="C11285" s="905">
        <v>50</v>
      </c>
      <c r="D11285" s="891">
        <v>2.41</v>
      </c>
    </row>
    <row r="11286" spans="1:10">
      <c r="A11286" s="47" t="s">
        <v>8645</v>
      </c>
      <c r="B11286" s="47" t="s">
        <v>7696</v>
      </c>
      <c r="C11286" s="905">
        <v>100</v>
      </c>
      <c r="D11286" s="891">
        <v>2.41</v>
      </c>
    </row>
    <row r="11287" spans="1:10">
      <c r="A11287" s="47"/>
      <c r="B11287" s="260" t="s">
        <v>256</v>
      </c>
      <c r="C11287" s="894">
        <v>1</v>
      </c>
      <c r="D11287" s="891">
        <v>85</v>
      </c>
    </row>
    <row r="11288" spans="1:10">
      <c r="A11288" s="47"/>
      <c r="B11288" s="260" t="s">
        <v>1993</v>
      </c>
      <c r="C11288" s="894">
        <v>1</v>
      </c>
      <c r="D11288" s="891">
        <v>12</v>
      </c>
    </row>
    <row r="11290" spans="1:10" s="2142" customFormat="1" ht="23.25" customHeight="1">
      <c r="A11290" s="2939" t="s">
        <v>6548</v>
      </c>
      <c r="B11290" s="2965" t="s">
        <v>6519</v>
      </c>
      <c r="C11290" s="2966" t="s">
        <v>8658</v>
      </c>
      <c r="D11290" s="2967"/>
      <c r="E11290" s="2967"/>
      <c r="F11290" s="2968"/>
      <c r="G11290" s="2939" t="s">
        <v>6837</v>
      </c>
      <c r="H11290" s="2939" t="s">
        <v>6838</v>
      </c>
      <c r="I11290" s="2939" t="s">
        <v>6549</v>
      </c>
    </row>
    <row r="11291" spans="1:10" s="2142" customFormat="1" ht="12" customHeight="1">
      <c r="A11291" s="2939"/>
      <c r="B11291" s="2965"/>
      <c r="C11291" s="2149" t="s">
        <v>8086</v>
      </c>
      <c r="D11291" s="2149" t="s">
        <v>8087</v>
      </c>
      <c r="E11291" s="2149" t="s">
        <v>8088</v>
      </c>
      <c r="F11291" s="2149" t="s">
        <v>8089</v>
      </c>
      <c r="G11291" s="2939"/>
      <c r="H11291" s="2939"/>
      <c r="I11291" s="2939"/>
    </row>
    <row r="11292" spans="1:10" s="1019" customFormat="1" ht="12.75">
      <c r="A11292" s="2542" t="s">
        <v>8654</v>
      </c>
      <c r="B11292" s="909" t="s">
        <v>8655</v>
      </c>
      <c r="C11292" s="2540">
        <v>3.9</v>
      </c>
      <c r="D11292" s="2540">
        <v>2.8</v>
      </c>
      <c r="E11292" s="2540">
        <v>2.65</v>
      </c>
      <c r="F11292" s="2540">
        <v>2.5099999999999998</v>
      </c>
      <c r="G11292" s="909">
        <v>950</v>
      </c>
      <c r="H11292" s="2541" t="s">
        <v>8657</v>
      </c>
      <c r="I11292" s="1217" t="s">
        <v>8656</v>
      </c>
      <c r="J11292" s="1217"/>
    </row>
    <row r="11295" spans="1:10" ht="15">
      <c r="A11295" s="1871" t="s">
        <v>8659</v>
      </c>
      <c r="B11295" s="1871"/>
      <c r="C11295" s="1871"/>
      <c r="D11295" s="1871"/>
      <c r="E11295" s="1871"/>
      <c r="F11295" s="1871"/>
    </row>
    <row r="11296" spans="1:10" ht="25.5">
      <c r="A11296" s="887" t="s">
        <v>455</v>
      </c>
      <c r="B11296" s="887" t="s">
        <v>128</v>
      </c>
      <c r="C11296" s="887" t="s">
        <v>8351</v>
      </c>
      <c r="D11296" s="1783" t="s">
        <v>1323</v>
      </c>
      <c r="E11296" s="1783" t="s">
        <v>8661</v>
      </c>
      <c r="F11296" s="1958" t="s">
        <v>8360</v>
      </c>
      <c r="G11296" s="2037" t="s">
        <v>6080</v>
      </c>
      <c r="H11296" s="317" t="s">
        <v>6081</v>
      </c>
    </row>
    <row r="11297" spans="1:8">
      <c r="A11297" s="47" t="s">
        <v>8660</v>
      </c>
      <c r="B11297" s="47" t="s">
        <v>7694</v>
      </c>
      <c r="C11297" s="905">
        <v>10</v>
      </c>
      <c r="D11297" s="1058">
        <f>ROUNDUP(F11297/0.6/120,2)</f>
        <v>3.0599999999999996</v>
      </c>
      <c r="E11297" s="950" t="s">
        <v>8662</v>
      </c>
      <c r="F11297" s="2280">
        <v>220</v>
      </c>
      <c r="G11297" s="2070">
        <f>(D11297-(F11297/H11297))/D11297</f>
        <v>0.40087145969498905</v>
      </c>
      <c r="H11297" s="317">
        <v>120</v>
      </c>
    </row>
    <row r="11298" spans="1:8">
      <c r="A11298" s="47" t="s">
        <v>8660</v>
      </c>
      <c r="B11298" s="47" t="s">
        <v>8352</v>
      </c>
      <c r="C11298" s="905" t="s">
        <v>8500</v>
      </c>
      <c r="D11298" s="1058">
        <f>ROUNDUP(F11298/0.6/120,2)</f>
        <v>4.87</v>
      </c>
      <c r="E11298" s="950" t="s">
        <v>2346</v>
      </c>
      <c r="F11298" s="2280">
        <f>220+130</f>
        <v>350</v>
      </c>
      <c r="G11298" s="2070">
        <f>(D11298-(F11298/H11298))/D11298</f>
        <v>0.40109514031485288</v>
      </c>
      <c r="H11298" s="317">
        <v>120</v>
      </c>
    </row>
    <row r="11302" spans="1:8">
      <c r="A11302" s="887" t="s">
        <v>455</v>
      </c>
      <c r="B11302" s="887" t="s">
        <v>128</v>
      </c>
      <c r="C11302" s="1783" t="s">
        <v>54</v>
      </c>
      <c r="D11302" s="1783" t="s">
        <v>1323</v>
      </c>
    </row>
    <row r="11303" spans="1:8">
      <c r="A11303" s="47" t="s">
        <v>8631</v>
      </c>
      <c r="B11303" s="47" t="s">
        <v>7694</v>
      </c>
      <c r="C11303" s="905">
        <v>10</v>
      </c>
      <c r="D11303" s="891">
        <v>1.64</v>
      </c>
    </row>
    <row r="11304" spans="1:8">
      <c r="A11304" s="47"/>
      <c r="B11304" s="260" t="s">
        <v>1993</v>
      </c>
      <c r="C11304" s="894">
        <v>1</v>
      </c>
      <c r="D11304" s="891">
        <v>12</v>
      </c>
    </row>
    <row r="11309" spans="1:8">
      <c r="A11309" s="902" t="s">
        <v>106</v>
      </c>
      <c r="B11309" s="902" t="s">
        <v>52</v>
      </c>
      <c r="C11309" s="902" t="s">
        <v>53</v>
      </c>
      <c r="D11309" s="887" t="s">
        <v>1186</v>
      </c>
      <c r="E11309" s="887" t="s">
        <v>1652</v>
      </c>
      <c r="F11309" s="887" t="s">
        <v>1653</v>
      </c>
      <c r="G11309" s="887" t="s">
        <v>5574</v>
      </c>
    </row>
    <row r="11310" spans="1:8">
      <c r="A11310" s="47">
        <v>5291</v>
      </c>
      <c r="B11310" s="48">
        <v>6</v>
      </c>
      <c r="C11310" s="47" t="s">
        <v>29</v>
      </c>
      <c r="D11310" s="905">
        <v>50</v>
      </c>
      <c r="E11310" s="906">
        <v>7</v>
      </c>
      <c r="F11310" s="905">
        <f>D11310*E11310</f>
        <v>350</v>
      </c>
      <c r="G11310" s="891">
        <v>0.51</v>
      </c>
    </row>
    <row r="11311" spans="1:8">
      <c r="A11311" s="47">
        <v>5291</v>
      </c>
      <c r="B11311" s="48">
        <v>6</v>
      </c>
      <c r="C11311" s="47" t="s">
        <v>499</v>
      </c>
      <c r="D11311" s="905">
        <v>50</v>
      </c>
      <c r="E11311" s="906">
        <v>3</v>
      </c>
      <c r="F11311" s="905">
        <f>D11311*E11311</f>
        <v>150</v>
      </c>
      <c r="G11311" s="891">
        <v>0.51</v>
      </c>
    </row>
    <row r="11313" spans="1:8">
      <c r="A11313" s="902" t="s">
        <v>106</v>
      </c>
      <c r="B11313" s="902" t="s">
        <v>52</v>
      </c>
      <c r="C11313" s="902" t="s">
        <v>53</v>
      </c>
      <c r="D11313" s="887" t="s">
        <v>1653</v>
      </c>
      <c r="E11313" s="1783" t="s">
        <v>1323</v>
      </c>
    </row>
    <row r="11314" spans="1:8">
      <c r="A11314" s="47" t="s">
        <v>18</v>
      </c>
      <c r="B11314" s="260">
        <v>30</v>
      </c>
      <c r="C11314" s="47" t="s">
        <v>2727</v>
      </c>
      <c r="D11314" s="905">
        <v>5</v>
      </c>
      <c r="E11314" s="891">
        <v>4.26</v>
      </c>
    </row>
    <row r="11315" spans="1:8">
      <c r="A11315" s="47" t="s">
        <v>18</v>
      </c>
      <c r="B11315" s="260">
        <v>30</v>
      </c>
      <c r="C11315" s="47" t="s">
        <v>7582</v>
      </c>
      <c r="D11315" s="905">
        <v>5</v>
      </c>
      <c r="E11315" s="891">
        <v>4.26</v>
      </c>
    </row>
    <row r="11316" spans="1:8">
      <c r="A11316" s="47"/>
      <c r="B11316" s="893"/>
      <c r="C11316" s="260" t="s">
        <v>1993</v>
      </c>
      <c r="D11316" s="894">
        <v>1</v>
      </c>
      <c r="E11316" s="891">
        <v>12</v>
      </c>
    </row>
    <row r="11320" spans="1:8">
      <c r="A11320" s="902" t="s">
        <v>106</v>
      </c>
      <c r="B11320" s="902" t="s">
        <v>53</v>
      </c>
      <c r="C11320" s="887" t="s">
        <v>1653</v>
      </c>
      <c r="D11320" s="1783" t="s">
        <v>1323</v>
      </c>
    </row>
    <row r="11321" spans="1:8">
      <c r="A11321" s="47" t="s">
        <v>8186</v>
      </c>
      <c r="B11321" s="47" t="s">
        <v>8345</v>
      </c>
      <c r="C11321" s="905">
        <v>777</v>
      </c>
      <c r="D11321" s="891">
        <v>2.71</v>
      </c>
    </row>
    <row r="11324" spans="1:8" ht="15">
      <c r="A11324" s="1871" t="s">
        <v>8678</v>
      </c>
      <c r="B11324" s="1871"/>
      <c r="C11324" s="1871"/>
      <c r="D11324" s="1871"/>
      <c r="E11324" s="1871"/>
      <c r="F11324" s="1871"/>
    </row>
    <row r="11325" spans="1:8" ht="25.5">
      <c r="A11325" s="887" t="s">
        <v>455</v>
      </c>
      <c r="B11325" s="887" t="s">
        <v>128</v>
      </c>
      <c r="C11325" s="887" t="s">
        <v>8351</v>
      </c>
      <c r="D11325" s="1783" t="s">
        <v>1323</v>
      </c>
      <c r="E11325" s="1783" t="s">
        <v>8680</v>
      </c>
      <c r="F11325" s="1958" t="s">
        <v>8360</v>
      </c>
      <c r="G11325" s="2037" t="s">
        <v>6080</v>
      </c>
      <c r="H11325" s="317" t="s">
        <v>6081</v>
      </c>
    </row>
    <row r="11326" spans="1:8">
      <c r="A11326" s="47" t="s">
        <v>8679</v>
      </c>
      <c r="B11326" s="47" t="s">
        <v>7694</v>
      </c>
      <c r="C11326" s="905">
        <v>10</v>
      </c>
      <c r="D11326" s="1058">
        <f>ROUNDUP(F11326/0.6/120,2)</f>
        <v>2.71</v>
      </c>
      <c r="E11326" s="950" t="s">
        <v>8681</v>
      </c>
      <c r="F11326" s="2280">
        <v>195</v>
      </c>
      <c r="G11326" s="2070">
        <f>(D11326-(F11326/H11326))/D11326</f>
        <v>0.40036900369003692</v>
      </c>
      <c r="H11326" s="317">
        <v>120</v>
      </c>
    </row>
    <row r="11327" spans="1:8">
      <c r="A11327" s="47" t="s">
        <v>8679</v>
      </c>
      <c r="B11327" s="47" t="s">
        <v>8352</v>
      </c>
      <c r="C11327" s="905" t="s">
        <v>8500</v>
      </c>
      <c r="D11327" s="1058">
        <f>ROUNDUP(F11327/0.6/120,2)</f>
        <v>3.96</v>
      </c>
      <c r="E11327" s="950" t="s">
        <v>2346</v>
      </c>
      <c r="F11327" s="2280">
        <f>195+90</f>
        <v>285</v>
      </c>
      <c r="G11327" s="2070">
        <f>(D11327-(F11327/H11327))/D11327</f>
        <v>0.40025252525252525</v>
      </c>
      <c r="H11327" s="317">
        <v>120</v>
      </c>
    </row>
    <row r="11330" spans="1:8" ht="15">
      <c r="A11330" s="1871" t="s">
        <v>8682</v>
      </c>
      <c r="B11330" s="1871"/>
      <c r="C11330" s="1871"/>
      <c r="D11330" s="1871"/>
      <c r="E11330" s="1871"/>
      <c r="F11330" s="1871"/>
    </row>
    <row r="11331" spans="1:8" ht="25.5">
      <c r="A11331" s="887" t="s">
        <v>455</v>
      </c>
      <c r="B11331" s="887" t="s">
        <v>128</v>
      </c>
      <c r="C11331" s="887" t="s">
        <v>1053</v>
      </c>
      <c r="D11331" s="1783" t="s">
        <v>1323</v>
      </c>
      <c r="E11331" s="1783" t="s">
        <v>8685</v>
      </c>
      <c r="F11331" s="2548" t="s">
        <v>8537</v>
      </c>
      <c r="G11331" s="2037" t="s">
        <v>6080</v>
      </c>
      <c r="H11331" s="317" t="s">
        <v>6081</v>
      </c>
    </row>
    <row r="11332" spans="1:8" ht="15">
      <c r="A11332" s="47" t="s">
        <v>8683</v>
      </c>
      <c r="B11332" s="47" t="s">
        <v>7694</v>
      </c>
      <c r="C11332" s="905">
        <v>10</v>
      </c>
      <c r="D11332" s="891">
        <f t="shared" ref="D11332:D11339" si="137">ROUNDUP(F11332/0.6/120,2)</f>
        <v>4.7299999999999995</v>
      </c>
      <c r="E11332" s="2464" t="s">
        <v>8311</v>
      </c>
      <c r="F11332" s="2547">
        <v>340</v>
      </c>
      <c r="G11332" s="2070">
        <f t="shared" ref="G11332:G11339" si="138">(D11332-(F11332/H11332))/D11332</f>
        <v>0.40098661028893579</v>
      </c>
      <c r="H11332" s="317">
        <v>120</v>
      </c>
    </row>
    <row r="11333" spans="1:8" ht="15">
      <c r="A11333" s="47" t="s">
        <v>8683</v>
      </c>
      <c r="B11333" s="47" t="s">
        <v>8303</v>
      </c>
      <c r="C11333" s="905" t="s">
        <v>8500</v>
      </c>
      <c r="D11333" s="891">
        <f t="shared" si="137"/>
        <v>6.39</v>
      </c>
      <c r="E11333" s="2464" t="s">
        <v>2346</v>
      </c>
      <c r="F11333" s="2547">
        <f>340+120</f>
        <v>460</v>
      </c>
      <c r="G11333" s="2070">
        <f t="shared" si="138"/>
        <v>0.40010432968179444</v>
      </c>
      <c r="H11333" s="317">
        <v>120</v>
      </c>
    </row>
    <row r="11334" spans="1:8" ht="15">
      <c r="A11334" s="47" t="s">
        <v>8684</v>
      </c>
      <c r="B11334" s="47" t="s">
        <v>7696</v>
      </c>
      <c r="C11334" s="905">
        <v>200</v>
      </c>
      <c r="D11334" s="891">
        <f>ROUNDUP(F11334/0.6/120,2)</f>
        <v>9.73</v>
      </c>
      <c r="E11334" s="2464" t="s">
        <v>2346</v>
      </c>
      <c r="F11334" s="2547">
        <v>700</v>
      </c>
      <c r="G11334" s="2070">
        <f>(D11334-(F11334/H11334))/D11334</f>
        <v>0.4004796163069545</v>
      </c>
      <c r="H11334" s="317">
        <v>120</v>
      </c>
    </row>
    <row r="11335" spans="1:8" ht="15">
      <c r="A11335" s="47" t="s">
        <v>8684</v>
      </c>
      <c r="B11335" s="47" t="s">
        <v>8303</v>
      </c>
      <c r="C11335" s="905" t="s">
        <v>8575</v>
      </c>
      <c r="D11335" s="891">
        <f>ROUNDUP(F11335/0.6/120,2)</f>
        <v>11.39</v>
      </c>
      <c r="E11335" s="2464" t="s">
        <v>2346</v>
      </c>
      <c r="F11335" s="2547">
        <f>700+120</f>
        <v>820</v>
      </c>
      <c r="G11335" s="2070">
        <f>(D11335-(F11335/H11335))/D11335</f>
        <v>0.40005853087503662</v>
      </c>
      <c r="H11335" s="317">
        <v>120</v>
      </c>
    </row>
    <row r="11336" spans="1:8" ht="15">
      <c r="A11336" s="47" t="s">
        <v>8686</v>
      </c>
      <c r="B11336" s="47" t="s">
        <v>7694</v>
      </c>
      <c r="C11336" s="905">
        <v>10</v>
      </c>
      <c r="D11336" s="891">
        <f t="shared" si="137"/>
        <v>3.44</v>
      </c>
      <c r="E11336" s="2464" t="s">
        <v>6671</v>
      </c>
      <c r="F11336" s="7">
        <v>247</v>
      </c>
      <c r="G11336" s="2070">
        <f t="shared" si="138"/>
        <v>0.40164728682170547</v>
      </c>
      <c r="H11336" s="317">
        <v>120</v>
      </c>
    </row>
    <row r="11337" spans="1:8" ht="15">
      <c r="A11337" s="47" t="s">
        <v>8686</v>
      </c>
      <c r="B11337" s="47" t="s">
        <v>8303</v>
      </c>
      <c r="C11337" s="905" t="s">
        <v>8500</v>
      </c>
      <c r="D11337" s="891">
        <f t="shared" si="137"/>
        <v>4.96</v>
      </c>
      <c r="E11337" s="2464" t="s">
        <v>2346</v>
      </c>
      <c r="F11337" s="7">
        <f>247+110</f>
        <v>357</v>
      </c>
      <c r="G11337" s="2070">
        <f t="shared" si="138"/>
        <v>0.40020161290322581</v>
      </c>
      <c r="H11337" s="317">
        <v>120</v>
      </c>
    </row>
    <row r="11338" spans="1:8" ht="15">
      <c r="A11338" s="47" t="s">
        <v>8687</v>
      </c>
      <c r="B11338" s="47" t="s">
        <v>7696</v>
      </c>
      <c r="C11338" s="905">
        <v>200</v>
      </c>
      <c r="D11338" s="891">
        <f t="shared" si="137"/>
        <v>6.95</v>
      </c>
      <c r="E11338" s="2464" t="s">
        <v>2346</v>
      </c>
      <c r="F11338" s="7">
        <v>500</v>
      </c>
      <c r="G11338" s="2070">
        <f t="shared" si="138"/>
        <v>0.40047961630695439</v>
      </c>
      <c r="H11338" s="317">
        <v>120</v>
      </c>
    </row>
    <row r="11339" spans="1:8" ht="15">
      <c r="A11339" s="47" t="s">
        <v>8687</v>
      </c>
      <c r="B11339" s="47" t="s">
        <v>8303</v>
      </c>
      <c r="C11339" s="905" t="s">
        <v>8575</v>
      </c>
      <c r="D11339" s="891">
        <f t="shared" si="137"/>
        <v>8.48</v>
      </c>
      <c r="E11339" s="2464" t="s">
        <v>2346</v>
      </c>
      <c r="F11339" s="7">
        <f>500+110</f>
        <v>610</v>
      </c>
      <c r="G11339" s="2070">
        <f t="shared" si="138"/>
        <v>0.4005503144654089</v>
      </c>
      <c r="H11339" s="317">
        <v>120</v>
      </c>
    </row>
    <row r="11342" spans="1:8" ht="15">
      <c r="A11342" s="1871" t="s">
        <v>8690</v>
      </c>
      <c r="B11342" s="1871"/>
      <c r="C11342" s="1871"/>
      <c r="D11342" s="1871"/>
      <c r="E11342" s="1871"/>
      <c r="F11342" s="1871"/>
    </row>
    <row r="11343" spans="1:8">
      <c r="A11343" s="887" t="s">
        <v>455</v>
      </c>
      <c r="B11343" s="887" t="s">
        <v>128</v>
      </c>
      <c r="C11343" s="887" t="s">
        <v>1053</v>
      </c>
      <c r="D11343" s="1783" t="s">
        <v>1323</v>
      </c>
      <c r="E11343" s="2548" t="s">
        <v>8537</v>
      </c>
      <c r="F11343" s="2037" t="s">
        <v>6080</v>
      </c>
      <c r="G11343" s="317" t="s">
        <v>6081</v>
      </c>
    </row>
    <row r="11344" spans="1:8" ht="15">
      <c r="A11344" s="47" t="s">
        <v>8688</v>
      </c>
      <c r="B11344" s="47" t="s">
        <v>7694</v>
      </c>
      <c r="C11344" s="905" t="s">
        <v>8691</v>
      </c>
      <c r="D11344" s="891">
        <f>ROUNDUP(E11344/0.6/120,2)</f>
        <v>5.7</v>
      </c>
      <c r="E11344" s="7">
        <v>410</v>
      </c>
      <c r="F11344" s="2070">
        <f>(D11344-(E11344/G11344))/D11344</f>
        <v>0.40058479532163749</v>
      </c>
      <c r="G11344" s="317">
        <v>120</v>
      </c>
    </row>
    <row r="11345" spans="1:8" ht="25.5">
      <c r="A11345" s="47" t="s">
        <v>8688</v>
      </c>
      <c r="B11345" s="47" t="s">
        <v>8303</v>
      </c>
      <c r="C11345" s="2549" t="s">
        <v>8692</v>
      </c>
      <c r="D11345" s="891">
        <f>ROUNDUP(E11345/0.6/120,2)</f>
        <v>6.95</v>
      </c>
      <c r="E11345" s="7">
        <f>410+90</f>
        <v>500</v>
      </c>
      <c r="F11345" s="2070">
        <f>(D11345-(E11345/G11345))/D11345</f>
        <v>0.40047961630695439</v>
      </c>
      <c r="G11345" s="317">
        <v>120</v>
      </c>
    </row>
    <row r="11346" spans="1:8" ht="15">
      <c r="A11346" s="47" t="s">
        <v>8689</v>
      </c>
      <c r="B11346" s="47" t="s">
        <v>7694</v>
      </c>
      <c r="C11346" s="905" t="s">
        <v>8691</v>
      </c>
      <c r="D11346" s="891">
        <f>ROUNDUP(E11346/0.6/120,2)</f>
        <v>5.0699999999999994</v>
      </c>
      <c r="E11346" s="7">
        <v>365</v>
      </c>
      <c r="F11346" s="2070">
        <f>(D11346-(E11346/G11346))/D11346</f>
        <v>0.40006574621959234</v>
      </c>
      <c r="G11346" s="317">
        <v>120</v>
      </c>
    </row>
    <row r="11347" spans="1:8" ht="25.5">
      <c r="A11347" s="47" t="s">
        <v>8689</v>
      </c>
      <c r="B11347" s="47" t="s">
        <v>8303</v>
      </c>
      <c r="C11347" s="2549" t="s">
        <v>8692</v>
      </c>
      <c r="D11347" s="891">
        <f>ROUNDUP(E11347/0.6/120,2)</f>
        <v>6.1899999999999995</v>
      </c>
      <c r="E11347" s="7">
        <f>365+80</f>
        <v>445</v>
      </c>
      <c r="F11347" s="2070">
        <f>(D11347-(E11347/G11347))/D11347</f>
        <v>0.40091545503500264</v>
      </c>
      <c r="G11347" s="317">
        <v>120</v>
      </c>
    </row>
    <row r="11350" spans="1:8">
      <c r="A11350" s="902" t="s">
        <v>106</v>
      </c>
      <c r="B11350" s="902" t="s">
        <v>53</v>
      </c>
      <c r="C11350" s="887" t="s">
        <v>1653</v>
      </c>
      <c r="D11350" s="1783" t="s">
        <v>1323</v>
      </c>
    </row>
    <row r="11351" spans="1:8">
      <c r="A11351" s="47" t="s">
        <v>8648</v>
      </c>
      <c r="B11351" s="47" t="s">
        <v>7694</v>
      </c>
      <c r="C11351" s="905">
        <v>12</v>
      </c>
      <c r="D11351" s="891">
        <v>2.5499999999999998</v>
      </c>
    </row>
    <row r="11352" spans="1:8">
      <c r="A11352" s="47" t="s">
        <v>8649</v>
      </c>
      <c r="B11352" s="47" t="s">
        <v>7694</v>
      </c>
      <c r="C11352" s="905">
        <v>4</v>
      </c>
      <c r="D11352" s="891">
        <v>2.4500000000000002</v>
      </c>
    </row>
    <row r="11353" spans="1:8">
      <c r="A11353" s="47"/>
      <c r="B11353" s="260" t="s">
        <v>1993</v>
      </c>
      <c r="C11353" s="894">
        <v>1</v>
      </c>
      <c r="D11353" s="891">
        <v>12</v>
      </c>
    </row>
    <row r="11356" spans="1:8" ht="15">
      <c r="A11356" s="1871" t="s">
        <v>8695</v>
      </c>
      <c r="B11356" s="1871"/>
      <c r="C11356" s="1871"/>
      <c r="D11356" s="1871"/>
      <c r="E11356" s="1871"/>
      <c r="F11356" s="1871"/>
    </row>
    <row r="11357" spans="1:8" ht="25.5">
      <c r="A11357" s="887" t="s">
        <v>455</v>
      </c>
      <c r="B11357" s="887" t="s">
        <v>128</v>
      </c>
      <c r="C11357" s="887" t="s">
        <v>8351</v>
      </c>
      <c r="D11357" s="1783" t="s">
        <v>1323</v>
      </c>
      <c r="E11357" s="1783" t="s">
        <v>8699</v>
      </c>
      <c r="F11357" s="1958" t="s">
        <v>8360</v>
      </c>
      <c r="G11357" s="2037" t="s">
        <v>6080</v>
      </c>
      <c r="H11357" s="317" t="s">
        <v>6081</v>
      </c>
    </row>
    <row r="11358" spans="1:8">
      <c r="A11358" s="47" t="s">
        <v>8696</v>
      </c>
      <c r="B11358" s="47" t="s">
        <v>7694</v>
      </c>
      <c r="C11358" s="905">
        <v>10</v>
      </c>
      <c r="D11358" s="1058">
        <f t="shared" ref="D11358:D11363" si="139">ROUNDUP(F11358/0.6/120,2)</f>
        <v>1.1000000000000001</v>
      </c>
      <c r="E11358" s="950" t="s">
        <v>8700</v>
      </c>
      <c r="F11358" s="2280">
        <v>79</v>
      </c>
      <c r="G11358" s="2070">
        <f t="shared" ref="G11358:G11363" si="140">(D11358-(F11358/H11358))/D11358</f>
        <v>0.40151515151515155</v>
      </c>
      <c r="H11358" s="317">
        <v>120</v>
      </c>
    </row>
    <row r="11359" spans="1:8">
      <c r="A11359" s="47" t="s">
        <v>8696</v>
      </c>
      <c r="B11359" s="47" t="s">
        <v>8352</v>
      </c>
      <c r="C11359" s="905" t="s">
        <v>8500</v>
      </c>
      <c r="D11359" s="1058">
        <f t="shared" si="139"/>
        <v>2.21</v>
      </c>
      <c r="E11359" s="950" t="s">
        <v>2346</v>
      </c>
      <c r="F11359" s="2280">
        <f>79+80</f>
        <v>159</v>
      </c>
      <c r="G11359" s="2070">
        <f t="shared" si="140"/>
        <v>0.40045248868778283</v>
      </c>
      <c r="H11359" s="317">
        <v>120</v>
      </c>
    </row>
    <row r="11360" spans="1:8">
      <c r="A11360" s="47" t="s">
        <v>8697</v>
      </c>
      <c r="B11360" s="47" t="s">
        <v>7694</v>
      </c>
      <c r="C11360" s="905">
        <v>10</v>
      </c>
      <c r="D11360" s="1058">
        <f t="shared" si="139"/>
        <v>1.48</v>
      </c>
      <c r="E11360" s="950" t="s">
        <v>8701</v>
      </c>
      <c r="F11360" s="2280">
        <v>106</v>
      </c>
      <c r="G11360" s="2070">
        <f t="shared" si="140"/>
        <v>0.40315315315315314</v>
      </c>
      <c r="H11360" s="317">
        <v>120</v>
      </c>
    </row>
    <row r="11361" spans="1:8">
      <c r="A11361" s="47" t="s">
        <v>8697</v>
      </c>
      <c r="B11361" s="47" t="s">
        <v>8352</v>
      </c>
      <c r="C11361" s="905" t="s">
        <v>8500</v>
      </c>
      <c r="D11361" s="1058">
        <f t="shared" si="139"/>
        <v>2.59</v>
      </c>
      <c r="E11361" s="950" t="s">
        <v>2346</v>
      </c>
      <c r="F11361" s="2280">
        <f>106+80</f>
        <v>186</v>
      </c>
      <c r="G11361" s="2070">
        <f t="shared" si="140"/>
        <v>0.40154440154440152</v>
      </c>
      <c r="H11361" s="317">
        <v>120</v>
      </c>
    </row>
    <row r="11362" spans="1:8">
      <c r="A11362" s="47" t="s">
        <v>8698</v>
      </c>
      <c r="B11362" s="47" t="s">
        <v>7694</v>
      </c>
      <c r="C11362" s="905">
        <v>10</v>
      </c>
      <c r="D11362" s="1058">
        <f t="shared" si="139"/>
        <v>1.0900000000000001</v>
      </c>
      <c r="E11362" s="950" t="s">
        <v>8416</v>
      </c>
      <c r="F11362" s="2280">
        <v>78</v>
      </c>
      <c r="G11362" s="2070">
        <f t="shared" si="140"/>
        <v>0.40366972477064222</v>
      </c>
      <c r="H11362" s="317">
        <v>120</v>
      </c>
    </row>
    <row r="11363" spans="1:8">
      <c r="A11363" s="47" t="s">
        <v>8698</v>
      </c>
      <c r="B11363" s="47" t="s">
        <v>8352</v>
      </c>
      <c r="C11363" s="905" t="s">
        <v>8500</v>
      </c>
      <c r="D11363" s="1058">
        <f t="shared" si="139"/>
        <v>2.1999999999999997</v>
      </c>
      <c r="E11363" s="950" t="s">
        <v>2346</v>
      </c>
      <c r="F11363" s="2280">
        <f>78+80</f>
        <v>158</v>
      </c>
      <c r="G11363" s="2070">
        <f t="shared" si="140"/>
        <v>0.40151515151515144</v>
      </c>
      <c r="H11363" s="317">
        <v>120</v>
      </c>
    </row>
    <row r="11367" spans="1:8">
      <c r="A11367" s="887" t="s">
        <v>455</v>
      </c>
      <c r="B11367" s="887" t="s">
        <v>128</v>
      </c>
      <c r="C11367" s="887" t="s">
        <v>54</v>
      </c>
      <c r="D11367" s="1783" t="s">
        <v>1323</v>
      </c>
      <c r="E11367" s="1783" t="s">
        <v>2245</v>
      </c>
    </row>
    <row r="11368" spans="1:8">
      <c r="A11368" s="47" t="s">
        <v>8679</v>
      </c>
      <c r="B11368" s="47" t="s">
        <v>8705</v>
      </c>
      <c r="C11368" s="905">
        <v>5</v>
      </c>
      <c r="D11368" s="891">
        <v>2.71</v>
      </c>
      <c r="E11368" s="891">
        <f t="shared" ref="E11368:E11373" si="141">D11368*C11368</f>
        <v>13.55</v>
      </c>
    </row>
    <row r="11369" spans="1:8">
      <c r="A11369" s="47" t="s">
        <v>8679</v>
      </c>
      <c r="B11369" s="47" t="s">
        <v>8706</v>
      </c>
      <c r="C11369" s="905">
        <v>3</v>
      </c>
      <c r="D11369" s="891">
        <v>2.71</v>
      </c>
      <c r="E11369" s="891">
        <f t="shared" si="141"/>
        <v>8.129999999999999</v>
      </c>
    </row>
    <row r="11370" spans="1:8">
      <c r="A11370" s="47" t="s">
        <v>8679</v>
      </c>
      <c r="B11370" s="47" t="s">
        <v>8707</v>
      </c>
      <c r="C11370" s="905">
        <v>3</v>
      </c>
      <c r="D11370" s="891">
        <v>2.71</v>
      </c>
      <c r="E11370" s="891">
        <f t="shared" si="141"/>
        <v>8.129999999999999</v>
      </c>
    </row>
    <row r="11371" spans="1:8">
      <c r="A11371" s="47" t="s">
        <v>8679</v>
      </c>
      <c r="B11371" s="47" t="s">
        <v>8708</v>
      </c>
      <c r="C11371" s="905">
        <v>5</v>
      </c>
      <c r="D11371" s="891">
        <v>2.71</v>
      </c>
      <c r="E11371" s="891">
        <f t="shared" si="141"/>
        <v>13.55</v>
      </c>
    </row>
    <row r="11372" spans="1:8">
      <c r="A11372" s="47"/>
      <c r="B11372" s="260" t="s">
        <v>3334</v>
      </c>
      <c r="C11372" s="894">
        <v>4</v>
      </c>
      <c r="D11372" s="891">
        <v>95</v>
      </c>
      <c r="E11372" s="891">
        <f t="shared" si="141"/>
        <v>380</v>
      </c>
    </row>
    <row r="11373" spans="1:8">
      <c r="A11373" s="47"/>
      <c r="B11373" s="260" t="s">
        <v>1993</v>
      </c>
      <c r="C11373" s="894">
        <v>1</v>
      </c>
      <c r="D11373" s="891">
        <v>12</v>
      </c>
      <c r="E11373" s="891">
        <f t="shared" si="141"/>
        <v>12</v>
      </c>
    </row>
    <row r="11374" spans="1:8">
      <c r="A11374" s="47"/>
      <c r="B11374" s="260"/>
      <c r="C11374" s="894"/>
      <c r="D11374" s="919" t="s">
        <v>8709</v>
      </c>
      <c r="E11374" s="919">
        <f>SUM(E11368:E11373)</f>
        <v>435.36</v>
      </c>
    </row>
    <row r="11377" spans="1:150" s="1163" customFormat="1" ht="31.5">
      <c r="A11377" s="2152" t="s">
        <v>1369</v>
      </c>
      <c r="B11377" s="2153" t="s">
        <v>377</v>
      </c>
      <c r="C11377" s="649" t="s">
        <v>1734</v>
      </c>
      <c r="D11377" s="2192" t="s">
        <v>5527</v>
      </c>
      <c r="E11377" s="1958" t="s">
        <v>8360</v>
      </c>
      <c r="F11377" s="2037" t="s">
        <v>6080</v>
      </c>
      <c r="G11377" s="317" t="s">
        <v>6081</v>
      </c>
    </row>
    <row r="11378" spans="1:150" s="1165" customFormat="1" ht="15" customHeight="1">
      <c r="A11378" s="2154" t="s">
        <v>8724</v>
      </c>
      <c r="B11378" s="2157">
        <v>15</v>
      </c>
      <c r="C11378" s="2194" t="s">
        <v>8725</v>
      </c>
      <c r="D11378" s="2550">
        <f>ROUNDUP(E11378/0.6/120,2)</f>
        <v>2.96</v>
      </c>
      <c r="E11378" s="2280">
        <v>213</v>
      </c>
      <c r="F11378" s="2070">
        <f>(D11378-(E11378/G11378))/D11378</f>
        <v>0.40033783783783788</v>
      </c>
      <c r="G11378" s="317">
        <v>120</v>
      </c>
      <c r="H11378" s="1963"/>
      <c r="I11378" s="1963"/>
      <c r="J11378" s="1963"/>
      <c r="K11378" s="1963"/>
      <c r="L11378" s="1963"/>
      <c r="M11378" s="1963"/>
      <c r="N11378" s="1963"/>
      <c r="O11378" s="1963"/>
      <c r="P11378" s="1963"/>
      <c r="Q11378" s="1963"/>
      <c r="R11378" s="1963"/>
      <c r="S11378" s="1963"/>
      <c r="T11378" s="1963"/>
      <c r="U11378" s="1963"/>
      <c r="V11378" s="1963"/>
      <c r="W11378" s="1963"/>
      <c r="X11378" s="1963"/>
      <c r="Y11378" s="1963"/>
      <c r="Z11378" s="1963"/>
      <c r="AA11378" s="1963"/>
      <c r="AB11378" s="1963"/>
      <c r="AC11378" s="1963"/>
      <c r="AD11378" s="1963"/>
      <c r="AE11378" s="1963"/>
      <c r="AF11378" s="1963"/>
      <c r="AG11378" s="1963"/>
      <c r="AH11378" s="1963"/>
      <c r="AI11378" s="1963"/>
      <c r="AJ11378" s="1963"/>
      <c r="AK11378" s="1963"/>
      <c r="AL11378" s="1963"/>
      <c r="AM11378" s="1963"/>
      <c r="AN11378" s="1963"/>
      <c r="AO11378" s="1963"/>
      <c r="AP11378" s="1963"/>
      <c r="AQ11378" s="1963"/>
      <c r="AR11378" s="1963"/>
      <c r="AS11378" s="1963"/>
      <c r="AT11378" s="1963"/>
      <c r="AU11378" s="1963"/>
      <c r="AV11378" s="1963"/>
      <c r="AW11378" s="1963"/>
      <c r="AX11378" s="1963"/>
      <c r="AY11378" s="1963"/>
      <c r="AZ11378" s="1963"/>
      <c r="BA11378" s="1963"/>
      <c r="BB11378" s="1963"/>
      <c r="BC11378" s="1963"/>
      <c r="BD11378" s="1963"/>
      <c r="BE11378" s="1963"/>
      <c r="BF11378" s="1963"/>
      <c r="BG11378" s="1963"/>
      <c r="BH11378" s="1963"/>
      <c r="BI11378" s="1963"/>
      <c r="BJ11378" s="1963"/>
      <c r="BK11378" s="1963"/>
      <c r="BL11378" s="1963"/>
      <c r="BM11378" s="1963"/>
      <c r="BN11378" s="1963"/>
      <c r="BO11378" s="1963"/>
      <c r="BP11378" s="1963"/>
      <c r="BQ11378" s="1963"/>
      <c r="BR11378" s="1963"/>
      <c r="BS11378" s="1963"/>
      <c r="BT11378" s="1963"/>
      <c r="BU11378" s="1963"/>
      <c r="BV11378" s="1963"/>
      <c r="BW11378" s="1963"/>
      <c r="BX11378" s="1963"/>
      <c r="BY11378" s="1963"/>
      <c r="BZ11378" s="1963"/>
      <c r="CA11378" s="1963"/>
      <c r="CB11378" s="1963"/>
      <c r="CC11378" s="1963"/>
      <c r="CD11378" s="1963"/>
      <c r="CE11378" s="1963"/>
      <c r="CF11378" s="1963"/>
      <c r="CG11378" s="1963"/>
      <c r="CH11378" s="1963"/>
      <c r="CI11378" s="1963"/>
      <c r="CJ11378" s="1963"/>
      <c r="CK11378" s="1963"/>
      <c r="CL11378" s="1963"/>
      <c r="CM11378" s="1963"/>
      <c r="CN11378" s="1963"/>
      <c r="CO11378" s="1963"/>
      <c r="CP11378" s="1963"/>
      <c r="CQ11378" s="1963"/>
      <c r="CR11378" s="1963"/>
      <c r="CS11378" s="1963"/>
      <c r="CT11378" s="1963"/>
      <c r="CU11378" s="1963"/>
      <c r="CV11378" s="1963"/>
      <c r="CW11378" s="1963"/>
      <c r="CX11378" s="1963"/>
      <c r="CY11378" s="1963"/>
      <c r="CZ11378" s="1963"/>
      <c r="DA11378" s="1963"/>
      <c r="DB11378" s="1963"/>
      <c r="DC11378" s="1963"/>
      <c r="DD11378" s="1963"/>
      <c r="DE11378" s="1963"/>
      <c r="DF11378" s="1963"/>
      <c r="DG11378" s="1963"/>
      <c r="DH11378" s="1963"/>
      <c r="DI11378" s="1963"/>
      <c r="DJ11378" s="1963"/>
      <c r="DK11378" s="1963"/>
      <c r="DL11378" s="1963"/>
      <c r="DM11378" s="1963"/>
      <c r="DN11378" s="1963"/>
      <c r="DO11378" s="1963"/>
      <c r="DP11378" s="1963"/>
      <c r="DQ11378" s="1963"/>
      <c r="DR11378" s="1963"/>
      <c r="DS11378" s="1963"/>
      <c r="DT11378" s="1963"/>
      <c r="DU11378" s="1963"/>
      <c r="DV11378" s="1963"/>
      <c r="DW11378" s="1963"/>
      <c r="DX11378" s="1963"/>
      <c r="DY11378" s="1963"/>
      <c r="DZ11378" s="1963"/>
      <c r="EA11378" s="1963"/>
      <c r="EB11378" s="1963"/>
      <c r="EC11378" s="1963"/>
      <c r="ED11378" s="1963"/>
      <c r="EE11378" s="1963"/>
      <c r="EF11378" s="1963"/>
      <c r="EG11378" s="1963"/>
      <c r="EH11378" s="1963"/>
      <c r="EI11378" s="1963"/>
      <c r="EJ11378" s="1963"/>
      <c r="EK11378" s="1963"/>
      <c r="EL11378" s="1963"/>
      <c r="EM11378" s="1963"/>
      <c r="EN11378" s="1963"/>
      <c r="EO11378" s="1963"/>
      <c r="EP11378" s="1963"/>
      <c r="EQ11378" s="1963"/>
      <c r="ER11378" s="1963"/>
      <c r="ES11378" s="1963"/>
      <c r="ET11378" s="1963"/>
    </row>
    <row r="11379" spans="1:150" s="1165" customFormat="1" ht="15" customHeight="1">
      <c r="A11379" s="2154" t="s">
        <v>8726</v>
      </c>
      <c r="B11379" s="2157">
        <v>15</v>
      </c>
      <c r="C11379" s="2194" t="s">
        <v>8727</v>
      </c>
      <c r="D11379" s="2550">
        <f>ROUNDUP(E11379/0.6/120,2)</f>
        <v>1.91</v>
      </c>
      <c r="E11379" s="2280">
        <v>137</v>
      </c>
      <c r="F11379" s="2070">
        <f>(D11379-(E11379/G11379))/D11379</f>
        <v>0.40226876090750435</v>
      </c>
      <c r="G11379" s="317">
        <v>120</v>
      </c>
      <c r="H11379" s="1963"/>
      <c r="I11379" s="1963"/>
      <c r="J11379" s="1963"/>
      <c r="K11379" s="1963"/>
      <c r="L11379" s="1963"/>
      <c r="M11379" s="1963"/>
      <c r="N11379" s="1963"/>
      <c r="O11379" s="1963"/>
      <c r="P11379" s="1963"/>
      <c r="Q11379" s="1963"/>
      <c r="R11379" s="1963"/>
      <c r="S11379" s="1963"/>
      <c r="T11379" s="1963"/>
      <c r="U11379" s="1963"/>
      <c r="V11379" s="1963"/>
      <c r="W11379" s="1963"/>
      <c r="X11379" s="1963"/>
      <c r="Y11379" s="1963"/>
      <c r="Z11379" s="1963"/>
      <c r="AA11379" s="1963"/>
      <c r="AB11379" s="1963"/>
      <c r="AC11379" s="1963"/>
      <c r="AD11379" s="1963"/>
      <c r="AE11379" s="1963"/>
      <c r="AF11379" s="1963"/>
      <c r="AG11379" s="1963"/>
      <c r="AH11379" s="1963"/>
      <c r="AI11379" s="1963"/>
      <c r="AJ11379" s="1963"/>
      <c r="AK11379" s="1963"/>
      <c r="AL11379" s="1963"/>
      <c r="AM11379" s="1963"/>
      <c r="AN11379" s="1963"/>
      <c r="AO11379" s="1963"/>
      <c r="AP11379" s="1963"/>
      <c r="AQ11379" s="1963"/>
      <c r="AR11379" s="1963"/>
      <c r="AS11379" s="1963"/>
      <c r="AT11379" s="1963"/>
      <c r="AU11379" s="1963"/>
      <c r="AV11379" s="1963"/>
      <c r="AW11379" s="1963"/>
      <c r="AX11379" s="1963"/>
      <c r="AY11379" s="1963"/>
      <c r="AZ11379" s="1963"/>
      <c r="BA11379" s="1963"/>
      <c r="BB11379" s="1963"/>
      <c r="BC11379" s="1963"/>
      <c r="BD11379" s="1963"/>
      <c r="BE11379" s="1963"/>
      <c r="BF11379" s="1963"/>
      <c r="BG11379" s="1963"/>
      <c r="BH11379" s="1963"/>
      <c r="BI11379" s="1963"/>
      <c r="BJ11379" s="1963"/>
      <c r="BK11379" s="1963"/>
      <c r="BL11379" s="1963"/>
      <c r="BM11379" s="1963"/>
      <c r="BN11379" s="1963"/>
      <c r="BO11379" s="1963"/>
      <c r="BP11379" s="1963"/>
      <c r="BQ11379" s="1963"/>
      <c r="BR11379" s="1963"/>
      <c r="BS11379" s="1963"/>
      <c r="BT11379" s="1963"/>
      <c r="BU11379" s="1963"/>
      <c r="BV11379" s="1963"/>
      <c r="BW11379" s="1963"/>
      <c r="BX11379" s="1963"/>
      <c r="BY11379" s="1963"/>
      <c r="BZ11379" s="1963"/>
      <c r="CA11379" s="1963"/>
      <c r="CB11379" s="1963"/>
      <c r="CC11379" s="1963"/>
      <c r="CD11379" s="1963"/>
      <c r="CE11379" s="1963"/>
      <c r="CF11379" s="1963"/>
      <c r="CG11379" s="1963"/>
      <c r="CH11379" s="1963"/>
      <c r="CI11379" s="1963"/>
      <c r="CJ11379" s="1963"/>
      <c r="CK11379" s="1963"/>
      <c r="CL11379" s="1963"/>
      <c r="CM11379" s="1963"/>
      <c r="CN11379" s="1963"/>
      <c r="CO11379" s="1963"/>
      <c r="CP11379" s="1963"/>
      <c r="CQ11379" s="1963"/>
      <c r="CR11379" s="1963"/>
      <c r="CS11379" s="1963"/>
      <c r="CT11379" s="1963"/>
      <c r="CU11379" s="1963"/>
      <c r="CV11379" s="1963"/>
      <c r="CW11379" s="1963"/>
      <c r="CX11379" s="1963"/>
      <c r="CY11379" s="1963"/>
      <c r="CZ11379" s="1963"/>
      <c r="DA11379" s="1963"/>
      <c r="DB11379" s="1963"/>
      <c r="DC11379" s="1963"/>
      <c r="DD11379" s="1963"/>
      <c r="DE11379" s="1963"/>
      <c r="DF11379" s="1963"/>
      <c r="DG11379" s="1963"/>
      <c r="DH11379" s="1963"/>
      <c r="DI11379" s="1963"/>
      <c r="DJ11379" s="1963"/>
      <c r="DK11379" s="1963"/>
      <c r="DL11379" s="1963"/>
      <c r="DM11379" s="1963"/>
      <c r="DN11379" s="1963"/>
      <c r="DO11379" s="1963"/>
      <c r="DP11379" s="1963"/>
      <c r="DQ11379" s="1963"/>
      <c r="DR11379" s="1963"/>
      <c r="DS11379" s="1963"/>
      <c r="DT11379" s="1963"/>
      <c r="DU11379" s="1963"/>
      <c r="DV11379" s="1963"/>
      <c r="DW11379" s="1963"/>
      <c r="DX11379" s="1963"/>
      <c r="DY11379" s="1963"/>
      <c r="DZ11379" s="1963"/>
      <c r="EA11379" s="1963"/>
      <c r="EB11379" s="1963"/>
      <c r="EC11379" s="1963"/>
      <c r="ED11379" s="1963"/>
      <c r="EE11379" s="1963"/>
      <c r="EF11379" s="1963"/>
      <c r="EG11379" s="1963"/>
      <c r="EH11379" s="1963"/>
      <c r="EI11379" s="1963"/>
      <c r="EJ11379" s="1963"/>
      <c r="EK11379" s="1963"/>
      <c r="EL11379" s="1963"/>
      <c r="EM11379" s="1963"/>
      <c r="EN11379" s="1963"/>
      <c r="EO11379" s="1963"/>
      <c r="EP11379" s="1963"/>
      <c r="EQ11379" s="1963"/>
      <c r="ER11379" s="1963"/>
      <c r="ES11379" s="1963"/>
      <c r="ET11379" s="1963"/>
    </row>
    <row r="11382" spans="1:150">
      <c r="A11382" s="1365" t="s">
        <v>8728</v>
      </c>
    </row>
    <row r="11383" spans="1:150" ht="15">
      <c r="A11383" s="1996" t="s">
        <v>1603</v>
      </c>
      <c r="B11383" s="1996" t="s">
        <v>128</v>
      </c>
      <c r="C11383" s="1997" t="s">
        <v>1053</v>
      </c>
      <c r="D11383" s="1997" t="s">
        <v>6976</v>
      </c>
      <c r="E11383" s="2001" t="s">
        <v>5955</v>
      </c>
      <c r="F11383" s="2002" t="s">
        <v>5956</v>
      </c>
      <c r="G11383" s="2037" t="s">
        <v>6080</v>
      </c>
      <c r="H11383" s="317" t="s">
        <v>6081</v>
      </c>
    </row>
    <row r="11384" spans="1:150" ht="38.25">
      <c r="A11384" s="47" t="s">
        <v>8729</v>
      </c>
      <c r="B11384" s="2092" t="s">
        <v>8733</v>
      </c>
      <c r="C11384" s="2092" t="s">
        <v>8383</v>
      </c>
      <c r="D11384" s="2551">
        <f t="shared" ref="D11384:D11389" si="142">ROUNDUP(E11384/0.5/120,2)</f>
        <v>0.89</v>
      </c>
      <c r="E11384" s="1999">
        <v>53</v>
      </c>
      <c r="F11384" s="2000">
        <v>18000</v>
      </c>
      <c r="G11384" s="2258">
        <f t="shared" ref="G11384:G11389" si="143">(((D11384*H11384)-E11384)/(D11384*H11384))</f>
        <v>0.50374531835205993</v>
      </c>
      <c r="H11384" s="2259">
        <v>120</v>
      </c>
    </row>
    <row r="11385" spans="1:150">
      <c r="A11385" s="47" t="s">
        <v>8729</v>
      </c>
      <c r="B11385" s="47" t="s">
        <v>8732</v>
      </c>
      <c r="C11385" s="47" t="s">
        <v>5953</v>
      </c>
      <c r="D11385" s="2551">
        <f t="shared" si="142"/>
        <v>0.89</v>
      </c>
      <c r="E11385" s="1999">
        <v>53</v>
      </c>
      <c r="F11385" s="2000">
        <v>18000</v>
      </c>
      <c r="G11385" s="2258">
        <f t="shared" si="143"/>
        <v>0.50374531835205993</v>
      </c>
      <c r="H11385" s="2259">
        <v>120</v>
      </c>
    </row>
    <row r="11386" spans="1:150" ht="38.25">
      <c r="A11386" s="47" t="s">
        <v>8730</v>
      </c>
      <c r="B11386" s="2092" t="s">
        <v>8733</v>
      </c>
      <c r="C11386" s="2092" t="s">
        <v>8383</v>
      </c>
      <c r="D11386" s="2551">
        <f t="shared" si="142"/>
        <v>0.89</v>
      </c>
      <c r="E11386" s="1999">
        <v>53</v>
      </c>
      <c r="F11386" s="2000">
        <v>18000</v>
      </c>
      <c r="G11386" s="2258">
        <f t="shared" si="143"/>
        <v>0.50374531835205993</v>
      </c>
      <c r="H11386" s="2259">
        <v>120</v>
      </c>
    </row>
    <row r="11387" spans="1:150">
      <c r="A11387" s="47" t="s">
        <v>8730</v>
      </c>
      <c r="B11387" s="47" t="s">
        <v>8732</v>
      </c>
      <c r="C11387" s="47" t="s">
        <v>5953</v>
      </c>
      <c r="D11387" s="2551">
        <f t="shared" si="142"/>
        <v>0.89</v>
      </c>
      <c r="E11387" s="1999">
        <v>53</v>
      </c>
      <c r="F11387" s="2000">
        <v>18000</v>
      </c>
      <c r="G11387" s="2258">
        <f t="shared" si="143"/>
        <v>0.50374531835205993</v>
      </c>
      <c r="H11387" s="2259">
        <v>120</v>
      </c>
    </row>
    <row r="11388" spans="1:150" ht="38.25">
      <c r="A11388" s="47" t="s">
        <v>8731</v>
      </c>
      <c r="B11388" s="2092" t="s">
        <v>8733</v>
      </c>
      <c r="C11388" s="2092" t="s">
        <v>8383</v>
      </c>
      <c r="D11388" s="2551">
        <f t="shared" si="142"/>
        <v>0.54</v>
      </c>
      <c r="E11388" s="1999">
        <v>32</v>
      </c>
      <c r="F11388" s="2000">
        <v>18000</v>
      </c>
      <c r="G11388" s="2258">
        <f t="shared" si="143"/>
        <v>0.50617283950617298</v>
      </c>
      <c r="H11388" s="2259">
        <v>120</v>
      </c>
    </row>
    <row r="11389" spans="1:150">
      <c r="A11389" s="47" t="s">
        <v>8731</v>
      </c>
      <c r="B11389" s="47" t="s">
        <v>8732</v>
      </c>
      <c r="C11389" s="47" t="s">
        <v>5953</v>
      </c>
      <c r="D11389" s="2551">
        <f t="shared" si="142"/>
        <v>0.54</v>
      </c>
      <c r="E11389" s="1999">
        <v>32</v>
      </c>
      <c r="F11389" s="2000">
        <v>18000</v>
      </c>
      <c r="G11389" s="2258">
        <f t="shared" si="143"/>
        <v>0.50617283950617298</v>
      </c>
      <c r="H11389" s="2259">
        <v>120</v>
      </c>
    </row>
    <row r="11392" spans="1:150" ht="15">
      <c r="A11392" s="1871" t="s">
        <v>8734</v>
      </c>
      <c r="B11392" s="1871"/>
      <c r="C11392" s="1871"/>
      <c r="D11392" s="1871"/>
      <c r="E11392" s="1871"/>
      <c r="F11392" s="1871"/>
    </row>
    <row r="11393" spans="1:11">
      <c r="A11393" s="887" t="s">
        <v>455</v>
      </c>
      <c r="B11393" s="887" t="s">
        <v>128</v>
      </c>
      <c r="C11393" s="887" t="s">
        <v>8351</v>
      </c>
      <c r="D11393" s="1783" t="s">
        <v>1323</v>
      </c>
      <c r="E11393" s="1958" t="s">
        <v>8360</v>
      </c>
      <c r="F11393" s="2037" t="s">
        <v>6080</v>
      </c>
      <c r="G11393" s="317" t="s">
        <v>6081</v>
      </c>
    </row>
    <row r="11394" spans="1:11">
      <c r="A11394" s="47" t="s">
        <v>8735</v>
      </c>
      <c r="B11394" s="47" t="s">
        <v>7694</v>
      </c>
      <c r="C11394" s="905">
        <v>10</v>
      </c>
      <c r="D11394" s="1058">
        <f>ROUNDUP(E11394/0.6/120,2)</f>
        <v>2.7699999999999996</v>
      </c>
      <c r="E11394" s="2280">
        <v>199</v>
      </c>
      <c r="F11394" s="2070">
        <f>(D11394-(E11394/G11394))/D11394</f>
        <v>0.40132370637785786</v>
      </c>
      <c r="G11394" s="317">
        <v>120</v>
      </c>
    </row>
    <row r="11395" spans="1:11">
      <c r="A11395" s="47" t="s">
        <v>8735</v>
      </c>
      <c r="B11395" s="47" t="s">
        <v>8352</v>
      </c>
      <c r="C11395" s="905" t="s">
        <v>8500</v>
      </c>
      <c r="D11395" s="1058">
        <f>ROUNDUP(E11395/0.6/120,2)</f>
        <v>4.16</v>
      </c>
      <c r="E11395" s="2280">
        <f>199+100</f>
        <v>299</v>
      </c>
      <c r="F11395" s="2070">
        <f>(D11395-(E11395/G11395))/D11395</f>
        <v>0.40104166666666669</v>
      </c>
      <c r="G11395" s="317">
        <v>120</v>
      </c>
    </row>
    <row r="11396" spans="1:11">
      <c r="A11396" s="47" t="s">
        <v>8660</v>
      </c>
      <c r="B11396" s="47" t="s">
        <v>7694</v>
      </c>
      <c r="C11396" s="905">
        <v>10</v>
      </c>
      <c r="D11396" s="1058">
        <f>ROUNDUP(E11396/0.6/120,2)</f>
        <v>3.0599999999999996</v>
      </c>
      <c r="E11396" s="2280">
        <v>220</v>
      </c>
      <c r="F11396" s="2070">
        <f>(D11396-(E11396/G11396))/D11396</f>
        <v>0.40087145969498905</v>
      </c>
      <c r="G11396" s="317">
        <v>120</v>
      </c>
    </row>
    <row r="11397" spans="1:11">
      <c r="A11397" s="47" t="s">
        <v>8660</v>
      </c>
      <c r="B11397" s="47" t="s">
        <v>8352</v>
      </c>
      <c r="C11397" s="905" t="s">
        <v>8500</v>
      </c>
      <c r="D11397" s="1058">
        <f>ROUNDUP(E11397/0.6/120,2)</f>
        <v>4.87</v>
      </c>
      <c r="E11397" s="2280">
        <f>220+130</f>
        <v>350</v>
      </c>
      <c r="F11397" s="2070">
        <f>(D11397-(E11397/G11397))/D11397</f>
        <v>0.40109514031485288</v>
      </c>
      <c r="G11397" s="317">
        <v>120</v>
      </c>
    </row>
    <row r="11400" spans="1:11">
      <c r="A11400" s="2382" t="s">
        <v>8740</v>
      </c>
    </row>
    <row r="11401" spans="1:11" s="1163" customFormat="1" ht="31.5">
      <c r="A11401" s="2152" t="s">
        <v>1369</v>
      </c>
      <c r="B11401" s="2153" t="s">
        <v>377</v>
      </c>
      <c r="C11401" s="2190" t="s">
        <v>322</v>
      </c>
      <c r="D11401" s="649" t="s">
        <v>1734</v>
      </c>
      <c r="E11401" s="2192" t="s">
        <v>5527</v>
      </c>
      <c r="F11401" s="1958" t="s">
        <v>8360</v>
      </c>
      <c r="G11401" s="2037" t="s">
        <v>6080</v>
      </c>
      <c r="H11401" s="317" t="s">
        <v>6081</v>
      </c>
      <c r="I11401" s="649" t="s">
        <v>5526</v>
      </c>
      <c r="J11401" s="2191" t="s">
        <v>2264</v>
      </c>
      <c r="K11401" s="2191" t="s">
        <v>1181</v>
      </c>
    </row>
    <row r="11402" spans="1:11" s="1165" customFormat="1" ht="15" customHeight="1">
      <c r="A11402" s="2154" t="s">
        <v>6690</v>
      </c>
      <c r="B11402" s="2193">
        <v>2.5</v>
      </c>
      <c r="C11402" s="2156">
        <v>50</v>
      </c>
      <c r="D11402" s="2194" t="s">
        <v>1812</v>
      </c>
      <c r="E11402" s="2197">
        <f>ROUNDUP(F11402/0.5/120,2)</f>
        <v>0.15000000000000002</v>
      </c>
      <c r="F11402" s="2280">
        <v>8.8000000000000007</v>
      </c>
      <c r="G11402" s="2070">
        <f>(E11402-(F11402/H11402))/E11402</f>
        <v>0.51111111111111118</v>
      </c>
      <c r="H11402" s="317">
        <v>120</v>
      </c>
      <c r="I11402" s="2156" t="s">
        <v>1197</v>
      </c>
      <c r="J11402" s="2477" t="s">
        <v>3091</v>
      </c>
      <c r="K11402" s="2477" t="s">
        <v>3092</v>
      </c>
    </row>
    <row r="11403" spans="1:11" s="1165" customFormat="1" ht="15" customHeight="1">
      <c r="A11403" s="2154" t="s">
        <v>6691</v>
      </c>
      <c r="B11403" s="2193">
        <v>2.8</v>
      </c>
      <c r="C11403" s="2156">
        <v>50</v>
      </c>
      <c r="D11403" s="2194" t="s">
        <v>1812</v>
      </c>
      <c r="E11403" s="2197">
        <f>ROUNDUP(F11403/0.5/120,2)</f>
        <v>0.18000000000000002</v>
      </c>
      <c r="F11403" s="2280">
        <v>10.6</v>
      </c>
      <c r="G11403" s="2070">
        <f>(E11403-(F11403/H11403))/E11403</f>
        <v>0.5092592592592593</v>
      </c>
      <c r="H11403" s="317">
        <v>120</v>
      </c>
      <c r="I11403" s="2156" t="s">
        <v>1197</v>
      </c>
      <c r="J11403" s="2477" t="s">
        <v>3091</v>
      </c>
      <c r="K11403" s="2477" t="s">
        <v>3092</v>
      </c>
    </row>
    <row r="11404" spans="1:11" s="1165" customFormat="1" ht="15" customHeight="1">
      <c r="A11404" s="2154" t="s">
        <v>6692</v>
      </c>
      <c r="B11404" s="2193">
        <v>4</v>
      </c>
      <c r="C11404" s="2156">
        <v>50</v>
      </c>
      <c r="D11404" s="2194" t="s">
        <v>1812</v>
      </c>
      <c r="E11404" s="2197">
        <f>ROUNDUP(F11404/0.5/120,2)</f>
        <v>0.25</v>
      </c>
      <c r="F11404" s="2280">
        <v>14.8</v>
      </c>
      <c r="G11404" s="2070">
        <f>(E11404-(F11404/H11404))/E11404</f>
        <v>0.5066666666666666</v>
      </c>
      <c r="H11404" s="317">
        <v>120</v>
      </c>
      <c r="I11404" s="2156" t="s">
        <v>1197</v>
      </c>
      <c r="J11404" s="2477" t="s">
        <v>3091</v>
      </c>
      <c r="K11404" s="2477" t="s">
        <v>3092</v>
      </c>
    </row>
    <row r="11405" spans="1:11" s="1165" customFormat="1" ht="15" customHeight="1">
      <c r="A11405" s="2154" t="s">
        <v>6693</v>
      </c>
      <c r="B11405" s="2193">
        <v>8</v>
      </c>
      <c r="C11405" s="2156">
        <v>50</v>
      </c>
      <c r="D11405" s="2194" t="s">
        <v>1812</v>
      </c>
      <c r="E11405" s="2197">
        <f t="shared" ref="E11405:E11455" si="144">ROUNDUP(F11405/0.5/120,2)</f>
        <v>0.31</v>
      </c>
      <c r="F11405" s="2280">
        <v>18.2</v>
      </c>
      <c r="G11405" s="2070">
        <f t="shared" ref="G11405:G11455" si="145">(E11405-(F11405/H11405))/E11405</f>
        <v>0.510752688172043</v>
      </c>
      <c r="H11405" s="317">
        <v>120</v>
      </c>
      <c r="I11405" s="2156" t="s">
        <v>1197</v>
      </c>
      <c r="J11405" s="2477" t="s">
        <v>3091</v>
      </c>
      <c r="K11405" s="2477" t="s">
        <v>3092</v>
      </c>
    </row>
    <row r="11406" spans="1:11" s="1165" customFormat="1" ht="15" customHeight="1">
      <c r="A11406" s="2154" t="s">
        <v>6694</v>
      </c>
      <c r="B11406" s="2193">
        <v>8</v>
      </c>
      <c r="C11406" s="2156">
        <v>50</v>
      </c>
      <c r="D11406" s="2194" t="s">
        <v>1812</v>
      </c>
      <c r="E11406" s="2197">
        <f t="shared" si="144"/>
        <v>0.35</v>
      </c>
      <c r="F11406" s="2280">
        <v>21</v>
      </c>
      <c r="G11406" s="2070">
        <f t="shared" si="145"/>
        <v>0.5</v>
      </c>
      <c r="H11406" s="317">
        <v>120</v>
      </c>
      <c r="I11406" s="2156" t="s">
        <v>1197</v>
      </c>
      <c r="J11406" s="2477" t="s">
        <v>3091</v>
      </c>
      <c r="K11406" s="2477" t="s">
        <v>3092</v>
      </c>
    </row>
    <row r="11407" spans="1:11" s="1165" customFormat="1" ht="15" customHeight="1">
      <c r="A11407" s="2154" t="s">
        <v>484</v>
      </c>
      <c r="B11407" s="2193">
        <v>7.5</v>
      </c>
      <c r="C11407" s="2156">
        <v>50</v>
      </c>
      <c r="D11407" s="2194" t="s">
        <v>1812</v>
      </c>
      <c r="E11407" s="2197">
        <f t="shared" si="144"/>
        <v>0.29000000000000004</v>
      </c>
      <c r="F11407" s="2280">
        <v>17</v>
      </c>
      <c r="G11407" s="2070">
        <f t="shared" si="145"/>
        <v>0.51149425287356332</v>
      </c>
      <c r="H11407" s="317">
        <v>120</v>
      </c>
      <c r="I11407" s="2156" t="s">
        <v>1197</v>
      </c>
      <c r="J11407" s="2477" t="s">
        <v>3091</v>
      </c>
      <c r="K11407" s="2477" t="s">
        <v>3092</v>
      </c>
    </row>
    <row r="11408" spans="1:11" s="1165" customFormat="1" ht="15" customHeight="1">
      <c r="A11408" s="2154" t="s">
        <v>6695</v>
      </c>
      <c r="B11408" s="2193">
        <v>9</v>
      </c>
      <c r="C11408" s="2156">
        <v>50</v>
      </c>
      <c r="D11408" s="2194" t="s">
        <v>1812</v>
      </c>
      <c r="E11408" s="2197">
        <f t="shared" si="144"/>
        <v>0.31</v>
      </c>
      <c r="F11408" s="2280">
        <v>18.600000000000001</v>
      </c>
      <c r="G11408" s="2070">
        <f t="shared" si="145"/>
        <v>0.5</v>
      </c>
      <c r="H11408" s="317">
        <v>120</v>
      </c>
      <c r="I11408" s="2156" t="s">
        <v>1197</v>
      </c>
      <c r="J11408" s="2477" t="s">
        <v>3091</v>
      </c>
      <c r="K11408" s="2477" t="s">
        <v>3092</v>
      </c>
    </row>
    <row r="11409" spans="1:11" s="1165" customFormat="1" ht="15" customHeight="1">
      <c r="A11409" s="2154" t="s">
        <v>6696</v>
      </c>
      <c r="B11409" s="2193">
        <v>5.5</v>
      </c>
      <c r="C11409" s="2156">
        <v>50</v>
      </c>
      <c r="D11409" s="2194" t="s">
        <v>1812</v>
      </c>
      <c r="E11409" s="2197">
        <f t="shared" si="144"/>
        <v>0.28000000000000003</v>
      </c>
      <c r="F11409" s="2280">
        <v>16.600000000000001</v>
      </c>
      <c r="G11409" s="2070">
        <f t="shared" si="145"/>
        <v>0.50595238095238104</v>
      </c>
      <c r="H11409" s="317">
        <v>120</v>
      </c>
      <c r="I11409" s="2156" t="s">
        <v>1197</v>
      </c>
      <c r="J11409" s="2477" t="s">
        <v>3091</v>
      </c>
      <c r="K11409" s="2477" t="s">
        <v>3092</v>
      </c>
    </row>
    <row r="11410" spans="1:11" s="1165" customFormat="1" ht="15" customHeight="1">
      <c r="A11410" s="2154" t="s">
        <v>6697</v>
      </c>
      <c r="B11410" s="2193">
        <v>6</v>
      </c>
      <c r="C11410" s="2156">
        <v>50</v>
      </c>
      <c r="D11410" s="2194" t="s">
        <v>1812</v>
      </c>
      <c r="E11410" s="2197">
        <f t="shared" si="144"/>
        <v>0.28000000000000003</v>
      </c>
      <c r="F11410" s="2280">
        <v>16.3</v>
      </c>
      <c r="G11410" s="2070">
        <f t="shared" si="145"/>
        <v>0.51488095238095244</v>
      </c>
      <c r="H11410" s="317">
        <v>120</v>
      </c>
      <c r="I11410" s="2156" t="s">
        <v>1197</v>
      </c>
      <c r="J11410" s="2477" t="s">
        <v>3091</v>
      </c>
      <c r="K11410" s="2477" t="s">
        <v>3092</v>
      </c>
    </row>
    <row r="11411" spans="1:11" s="1165" customFormat="1" ht="15" customHeight="1">
      <c r="A11411" s="2154" t="s">
        <v>6698</v>
      </c>
      <c r="B11411" s="2193">
        <v>4</v>
      </c>
      <c r="C11411" s="2156">
        <v>50</v>
      </c>
      <c r="D11411" s="2194" t="s">
        <v>1812</v>
      </c>
      <c r="E11411" s="2197">
        <f t="shared" si="144"/>
        <v>0.28000000000000003</v>
      </c>
      <c r="F11411" s="2280">
        <v>16.5</v>
      </c>
      <c r="G11411" s="2070">
        <f t="shared" si="145"/>
        <v>0.5089285714285714</v>
      </c>
      <c r="H11411" s="317">
        <v>120</v>
      </c>
      <c r="I11411" s="2156" t="s">
        <v>1197</v>
      </c>
      <c r="J11411" s="2477" t="s">
        <v>3091</v>
      </c>
      <c r="K11411" s="2477" t="s">
        <v>3092</v>
      </c>
    </row>
    <row r="11412" spans="1:11" s="1165" customFormat="1" ht="15" customHeight="1">
      <c r="A11412" s="2154" t="s">
        <v>6699</v>
      </c>
      <c r="B11412" s="2193">
        <v>1.2</v>
      </c>
      <c r="C11412" s="2156">
        <v>50</v>
      </c>
      <c r="D11412" s="2194" t="s">
        <v>1812</v>
      </c>
      <c r="E11412" s="2197">
        <f t="shared" si="144"/>
        <v>0.13</v>
      </c>
      <c r="F11412" s="2280">
        <v>7.6</v>
      </c>
      <c r="G11412" s="2070">
        <f t="shared" si="145"/>
        <v>0.51282051282051289</v>
      </c>
      <c r="H11412" s="317">
        <v>120</v>
      </c>
      <c r="I11412" s="2156" t="s">
        <v>1197</v>
      </c>
      <c r="J11412" s="2477" t="s">
        <v>3091</v>
      </c>
      <c r="K11412" s="2477" t="s">
        <v>3092</v>
      </c>
    </row>
    <row r="11413" spans="1:11" s="1165" customFormat="1" ht="15" customHeight="1">
      <c r="A11413" s="2154" t="s">
        <v>6700</v>
      </c>
      <c r="B11413" s="2193">
        <v>2.5</v>
      </c>
      <c r="C11413" s="2156">
        <v>50</v>
      </c>
      <c r="D11413" s="2194" t="s">
        <v>1812</v>
      </c>
      <c r="E11413" s="2197">
        <f t="shared" si="144"/>
        <v>0.13</v>
      </c>
      <c r="F11413" s="2280">
        <v>7.4</v>
      </c>
      <c r="G11413" s="2070">
        <f t="shared" si="145"/>
        <v>0.52564102564102555</v>
      </c>
      <c r="H11413" s="317">
        <v>120</v>
      </c>
      <c r="I11413" s="2156" t="s">
        <v>1197</v>
      </c>
      <c r="J11413" s="2477" t="s">
        <v>3091</v>
      </c>
      <c r="K11413" s="2477" t="s">
        <v>3092</v>
      </c>
    </row>
    <row r="11414" spans="1:11" s="1165" customFormat="1" ht="15" customHeight="1">
      <c r="A11414" s="2154" t="s">
        <v>6701</v>
      </c>
      <c r="B11414" s="2193">
        <v>4</v>
      </c>
      <c r="C11414" s="2156">
        <v>50</v>
      </c>
      <c r="D11414" s="2194" t="s">
        <v>1812</v>
      </c>
      <c r="E11414" s="2197">
        <f t="shared" si="144"/>
        <v>0.18000000000000002</v>
      </c>
      <c r="F11414" s="2280">
        <v>10.3</v>
      </c>
      <c r="G11414" s="2070">
        <f t="shared" si="145"/>
        <v>0.52314814814814814</v>
      </c>
      <c r="H11414" s="317">
        <v>120</v>
      </c>
      <c r="I11414" s="2156" t="s">
        <v>1197</v>
      </c>
      <c r="J11414" s="2477" t="s">
        <v>3091</v>
      </c>
      <c r="K11414" s="2477" t="s">
        <v>3092</v>
      </c>
    </row>
    <row r="11415" spans="1:11" s="1165" customFormat="1" ht="15" customHeight="1">
      <c r="A11415" s="2154" t="s">
        <v>6702</v>
      </c>
      <c r="B11415" s="2193">
        <v>5.5</v>
      </c>
      <c r="C11415" s="2156">
        <v>50</v>
      </c>
      <c r="D11415" s="2194" t="s">
        <v>1812</v>
      </c>
      <c r="E11415" s="2197">
        <f t="shared" si="144"/>
        <v>0.25</v>
      </c>
      <c r="F11415" s="2280">
        <v>14.7</v>
      </c>
      <c r="G11415" s="2070">
        <f t="shared" si="145"/>
        <v>0.51</v>
      </c>
      <c r="H11415" s="317">
        <v>120</v>
      </c>
      <c r="I11415" s="2156" t="s">
        <v>1197</v>
      </c>
      <c r="J11415" s="2477" t="s">
        <v>3091</v>
      </c>
      <c r="K11415" s="2477" t="s">
        <v>3092</v>
      </c>
    </row>
    <row r="11416" spans="1:11" s="1165" customFormat="1" ht="15" customHeight="1">
      <c r="A11416" s="2154" t="s">
        <v>3090</v>
      </c>
      <c r="B11416" s="2193">
        <v>7</v>
      </c>
      <c r="C11416" s="2156">
        <v>50</v>
      </c>
      <c r="D11416" s="2194" t="s">
        <v>1812</v>
      </c>
      <c r="E11416" s="2197">
        <f t="shared" si="144"/>
        <v>0.39</v>
      </c>
      <c r="F11416" s="2280">
        <v>23</v>
      </c>
      <c r="G11416" s="2070">
        <f t="shared" si="145"/>
        <v>0.50854700854700852</v>
      </c>
      <c r="H11416" s="317">
        <v>120</v>
      </c>
      <c r="I11416" s="2156" t="s">
        <v>1197</v>
      </c>
      <c r="J11416" s="2477" t="s">
        <v>3091</v>
      </c>
      <c r="K11416" s="2477" t="s">
        <v>3092</v>
      </c>
    </row>
    <row r="11417" spans="1:11" s="1165" customFormat="1" ht="15" customHeight="1">
      <c r="A11417" s="2154" t="s">
        <v>6703</v>
      </c>
      <c r="B11417" s="2193">
        <v>3.3</v>
      </c>
      <c r="C11417" s="2156">
        <v>50</v>
      </c>
      <c r="D11417" s="2194" t="s">
        <v>1812</v>
      </c>
      <c r="E11417" s="2197">
        <f t="shared" si="144"/>
        <v>0.21000000000000002</v>
      </c>
      <c r="F11417" s="2280">
        <v>12.1</v>
      </c>
      <c r="G11417" s="2070">
        <f t="shared" si="145"/>
        <v>0.51984126984126988</v>
      </c>
      <c r="H11417" s="317">
        <v>120</v>
      </c>
      <c r="I11417" s="2156" t="s">
        <v>1197</v>
      </c>
      <c r="J11417" s="2477" t="s">
        <v>3091</v>
      </c>
      <c r="K11417" s="2477" t="s">
        <v>3092</v>
      </c>
    </row>
    <row r="11418" spans="1:11" s="1165" customFormat="1" ht="15" customHeight="1">
      <c r="A11418" s="2154" t="s">
        <v>6704</v>
      </c>
      <c r="B11418" s="2193">
        <v>5</v>
      </c>
      <c r="C11418" s="2156">
        <v>50</v>
      </c>
      <c r="D11418" s="2194" t="s">
        <v>1812</v>
      </c>
      <c r="E11418" s="2197">
        <f t="shared" si="144"/>
        <v>0.24000000000000002</v>
      </c>
      <c r="F11418" s="2280">
        <v>13.9</v>
      </c>
      <c r="G11418" s="2070">
        <f t="shared" si="145"/>
        <v>0.51736111111111116</v>
      </c>
      <c r="H11418" s="317">
        <v>120</v>
      </c>
      <c r="I11418" s="2156" t="s">
        <v>1197</v>
      </c>
      <c r="J11418" s="2477" t="s">
        <v>3091</v>
      </c>
      <c r="K11418" s="2477" t="s">
        <v>3092</v>
      </c>
    </row>
    <row r="11419" spans="1:11" s="1165" customFormat="1" ht="15" customHeight="1">
      <c r="A11419" s="2154" t="s">
        <v>6705</v>
      </c>
      <c r="B11419" s="2193">
        <v>4.5999999999999996</v>
      </c>
      <c r="C11419" s="2156">
        <v>50</v>
      </c>
      <c r="D11419" s="2194" t="s">
        <v>1812</v>
      </c>
      <c r="E11419" s="2197">
        <f t="shared" si="144"/>
        <v>0.27</v>
      </c>
      <c r="F11419" s="2280">
        <v>15.7</v>
      </c>
      <c r="G11419" s="2070">
        <f t="shared" si="145"/>
        <v>0.51543209876543217</v>
      </c>
      <c r="H11419" s="317">
        <v>120</v>
      </c>
      <c r="I11419" s="2156" t="s">
        <v>1197</v>
      </c>
      <c r="J11419" s="2477" t="s">
        <v>3091</v>
      </c>
      <c r="K11419" s="2477" t="s">
        <v>3092</v>
      </c>
    </row>
    <row r="11420" spans="1:11" s="1165" customFormat="1" ht="15" customHeight="1">
      <c r="A11420" s="2154" t="s">
        <v>6706</v>
      </c>
      <c r="B11420" s="2193">
        <v>7</v>
      </c>
      <c r="C11420" s="2156">
        <v>50</v>
      </c>
      <c r="D11420" s="2194" t="s">
        <v>1812</v>
      </c>
      <c r="E11420" s="2197">
        <f t="shared" si="144"/>
        <v>0.31</v>
      </c>
      <c r="F11420" s="2280">
        <v>18.3</v>
      </c>
      <c r="G11420" s="2070">
        <f t="shared" si="145"/>
        <v>0.50806451612903225</v>
      </c>
      <c r="H11420" s="317">
        <v>120</v>
      </c>
      <c r="I11420" s="2156" t="s">
        <v>1197</v>
      </c>
      <c r="J11420" s="2477" t="s">
        <v>3091</v>
      </c>
      <c r="K11420" s="2477" t="s">
        <v>3092</v>
      </c>
    </row>
    <row r="11421" spans="1:11" s="1165" customFormat="1" ht="15" customHeight="1">
      <c r="A11421" s="2154" t="s">
        <v>6707</v>
      </c>
      <c r="B11421" s="2193">
        <v>10.199999999999999</v>
      </c>
      <c r="C11421" s="2156">
        <v>50</v>
      </c>
      <c r="D11421" s="2194" t="s">
        <v>1812</v>
      </c>
      <c r="E11421" s="2197">
        <f t="shared" si="144"/>
        <v>0.36</v>
      </c>
      <c r="F11421" s="2280">
        <v>21.1</v>
      </c>
      <c r="G11421" s="2070">
        <f t="shared" si="145"/>
        <v>0.51157407407407407</v>
      </c>
      <c r="H11421" s="317">
        <v>120</v>
      </c>
      <c r="I11421" s="2156" t="s">
        <v>1197</v>
      </c>
      <c r="J11421" s="2477" t="s">
        <v>3091</v>
      </c>
      <c r="K11421" s="2477" t="s">
        <v>3092</v>
      </c>
    </row>
    <row r="11422" spans="1:11" s="1165" customFormat="1" ht="15" customHeight="1">
      <c r="A11422" s="2154" t="s">
        <v>6708</v>
      </c>
      <c r="B11422" s="2193">
        <v>3</v>
      </c>
      <c r="C11422" s="2156">
        <v>50</v>
      </c>
      <c r="D11422" s="2194" t="s">
        <v>1812</v>
      </c>
      <c r="E11422" s="2197">
        <f t="shared" si="144"/>
        <v>0.18</v>
      </c>
      <c r="F11422" s="2280">
        <v>10.8</v>
      </c>
      <c r="G11422" s="2070">
        <f t="shared" si="145"/>
        <v>0.49999999999999994</v>
      </c>
      <c r="H11422" s="317">
        <v>120</v>
      </c>
      <c r="I11422" s="2156" t="s">
        <v>1197</v>
      </c>
      <c r="J11422" s="2477" t="s">
        <v>3091</v>
      </c>
      <c r="K11422" s="2477" t="s">
        <v>3092</v>
      </c>
    </row>
    <row r="11423" spans="1:11" s="1165" customFormat="1" ht="15" customHeight="1">
      <c r="A11423" s="2154" t="s">
        <v>6709</v>
      </c>
      <c r="B11423" s="2193">
        <v>4</v>
      </c>
      <c r="C11423" s="2156">
        <v>50</v>
      </c>
      <c r="D11423" s="2194" t="s">
        <v>1812</v>
      </c>
      <c r="E11423" s="2197">
        <f t="shared" si="144"/>
        <v>0.23</v>
      </c>
      <c r="F11423" s="2280">
        <v>13.7</v>
      </c>
      <c r="G11423" s="2070">
        <f t="shared" si="145"/>
        <v>0.50362318840579712</v>
      </c>
      <c r="H11423" s="317">
        <v>120</v>
      </c>
      <c r="I11423" s="2156" t="s">
        <v>1197</v>
      </c>
      <c r="J11423" s="2477" t="s">
        <v>3091</v>
      </c>
      <c r="K11423" s="2477" t="s">
        <v>3092</v>
      </c>
    </row>
    <row r="11424" spans="1:11" s="1165" customFormat="1" ht="15" customHeight="1">
      <c r="A11424" s="2154" t="s">
        <v>3140</v>
      </c>
      <c r="B11424" s="2193">
        <v>7</v>
      </c>
      <c r="C11424" s="2156">
        <v>50</v>
      </c>
      <c r="D11424" s="2194" t="s">
        <v>1812</v>
      </c>
      <c r="E11424" s="2197">
        <f t="shared" si="144"/>
        <v>0.34</v>
      </c>
      <c r="F11424" s="2280">
        <v>19.899999999999999</v>
      </c>
      <c r="G11424" s="2070">
        <f t="shared" si="145"/>
        <v>0.51225490196078438</v>
      </c>
      <c r="H11424" s="317">
        <v>120</v>
      </c>
      <c r="I11424" s="2156" t="s">
        <v>1197</v>
      </c>
      <c r="J11424" s="2477" t="s">
        <v>3091</v>
      </c>
      <c r="K11424" s="2477" t="s">
        <v>3092</v>
      </c>
    </row>
    <row r="11425" spans="1:153" s="1165" customFormat="1" ht="15" customHeight="1">
      <c r="A11425" s="2154" t="s">
        <v>6710</v>
      </c>
      <c r="B11425" s="2193">
        <v>10</v>
      </c>
      <c r="C11425" s="2156">
        <v>50</v>
      </c>
      <c r="D11425" s="2194" t="s">
        <v>1812</v>
      </c>
      <c r="E11425" s="2197">
        <f t="shared" si="144"/>
        <v>0.35000000000000003</v>
      </c>
      <c r="F11425" s="2280">
        <v>20.9</v>
      </c>
      <c r="G11425" s="2070">
        <f t="shared" si="145"/>
        <v>0.50238095238095248</v>
      </c>
      <c r="H11425" s="317">
        <v>120</v>
      </c>
      <c r="I11425" s="2156" t="s">
        <v>1197</v>
      </c>
      <c r="J11425" s="2477" t="s">
        <v>3091</v>
      </c>
      <c r="K11425" s="2477" t="s">
        <v>3092</v>
      </c>
    </row>
    <row r="11426" spans="1:153" s="1165" customFormat="1" ht="15">
      <c r="A11426" s="2154" t="s">
        <v>8741</v>
      </c>
      <c r="B11426" s="2155">
        <v>4</v>
      </c>
      <c r="C11426" s="2156">
        <v>30</v>
      </c>
      <c r="D11426" s="2194" t="s">
        <v>1812</v>
      </c>
      <c r="E11426" s="2561" t="s">
        <v>8755</v>
      </c>
      <c r="F11426" s="2560" t="s">
        <v>8755</v>
      </c>
      <c r="G11426" s="2070" t="e">
        <f t="shared" si="145"/>
        <v>#VALUE!</v>
      </c>
      <c r="H11426" s="317">
        <v>120</v>
      </c>
      <c r="I11426" s="2156" t="s">
        <v>1197</v>
      </c>
      <c r="J11426" s="2553" t="s">
        <v>8742</v>
      </c>
      <c r="K11426" s="2553" t="s">
        <v>8743</v>
      </c>
      <c r="L11426" s="2554"/>
      <c r="M11426" s="1963"/>
      <c r="N11426" s="1963"/>
      <c r="O11426" s="1963"/>
      <c r="P11426" s="1963"/>
      <c r="Q11426" s="1963"/>
      <c r="R11426" s="1963"/>
      <c r="S11426" s="1963"/>
      <c r="T11426" s="1963"/>
      <c r="U11426" s="1963"/>
      <c r="V11426" s="1963"/>
      <c r="W11426" s="1963"/>
      <c r="X11426" s="1963"/>
      <c r="Y11426" s="1963"/>
      <c r="Z11426" s="1963"/>
      <c r="AA11426" s="1963"/>
      <c r="AB11426" s="1963"/>
      <c r="AC11426" s="1963"/>
      <c r="AD11426" s="1963"/>
      <c r="AE11426" s="1963"/>
      <c r="AF11426" s="1963"/>
      <c r="AG11426" s="1963"/>
      <c r="AH11426" s="1963"/>
      <c r="AI11426" s="1963"/>
      <c r="AJ11426" s="1963"/>
      <c r="AK11426" s="1963"/>
      <c r="AL11426" s="1963"/>
      <c r="AM11426" s="1963"/>
      <c r="AN11426" s="1963"/>
      <c r="AO11426" s="1963"/>
      <c r="AP11426" s="1963"/>
      <c r="AQ11426" s="1963"/>
      <c r="AR11426" s="1963"/>
      <c r="AS11426" s="1963"/>
      <c r="AT11426" s="1963"/>
      <c r="AU11426" s="1963"/>
      <c r="AV11426" s="1963"/>
      <c r="AW11426" s="1963"/>
      <c r="AX11426" s="1963"/>
      <c r="AY11426" s="1963"/>
      <c r="AZ11426" s="1963"/>
      <c r="BA11426" s="1963"/>
      <c r="BB11426" s="1963"/>
      <c r="BC11426" s="1963"/>
      <c r="BD11426" s="1963"/>
      <c r="BE11426" s="1963"/>
      <c r="BF11426" s="1963"/>
      <c r="BG11426" s="1963"/>
      <c r="BH11426" s="1963"/>
      <c r="BI11426" s="1963"/>
      <c r="BJ11426" s="1963"/>
      <c r="BK11426" s="1963"/>
      <c r="BL11426" s="1963"/>
      <c r="BM11426" s="1963"/>
      <c r="BN11426" s="1963"/>
      <c r="BO11426" s="1963"/>
      <c r="BP11426" s="1963"/>
      <c r="BQ11426" s="1963"/>
      <c r="BR11426" s="1963"/>
      <c r="BS11426" s="1963"/>
      <c r="BT11426" s="1963"/>
      <c r="BU11426" s="1963"/>
      <c r="BV11426" s="1963"/>
      <c r="BW11426" s="1963"/>
      <c r="BX11426" s="1963"/>
      <c r="BY11426" s="1963"/>
      <c r="BZ11426" s="1963"/>
      <c r="CA11426" s="1963"/>
      <c r="CB11426" s="1963"/>
      <c r="CC11426" s="1963"/>
      <c r="CD11426" s="1963"/>
      <c r="CE11426" s="1963"/>
      <c r="CF11426" s="1963"/>
      <c r="CG11426" s="1963"/>
      <c r="CH11426" s="1963"/>
      <c r="CI11426" s="1963"/>
      <c r="CJ11426" s="1963"/>
      <c r="CK11426" s="1963"/>
      <c r="CL11426" s="1963"/>
      <c r="CM11426" s="1963"/>
      <c r="CN11426" s="1963"/>
      <c r="CO11426" s="1963"/>
      <c r="CP11426" s="1963"/>
      <c r="CQ11426" s="1963"/>
      <c r="CR11426" s="1963"/>
      <c r="CS11426" s="1963"/>
      <c r="CT11426" s="1963"/>
      <c r="CU11426" s="1963"/>
      <c r="CV11426" s="1963"/>
      <c r="CW11426" s="1963"/>
      <c r="CX11426" s="1963"/>
      <c r="CY11426" s="1963"/>
      <c r="CZ11426" s="1963"/>
      <c r="DA11426" s="1963"/>
      <c r="DB11426" s="1963"/>
      <c r="DC11426" s="1963"/>
      <c r="DD11426" s="1963"/>
      <c r="DE11426" s="1963"/>
      <c r="DF11426" s="1963"/>
      <c r="DG11426" s="1963"/>
      <c r="DH11426" s="1963"/>
      <c r="DI11426" s="1963"/>
      <c r="DJ11426" s="1963"/>
      <c r="DK11426" s="1963"/>
      <c r="DL11426" s="1963"/>
      <c r="DM11426" s="1963"/>
      <c r="DN11426" s="1963"/>
      <c r="DO11426" s="1963"/>
      <c r="DP11426" s="1963"/>
      <c r="DQ11426" s="1963"/>
      <c r="DR11426" s="1963"/>
      <c r="DS11426" s="1963"/>
      <c r="DT11426" s="1963"/>
      <c r="DU11426" s="1963"/>
      <c r="DV11426" s="1963"/>
      <c r="DW11426" s="1963"/>
      <c r="DX11426" s="1963"/>
      <c r="DY11426" s="1963"/>
      <c r="DZ11426" s="1963"/>
      <c r="EA11426" s="1963"/>
      <c r="EB11426" s="1963"/>
      <c r="EC11426" s="1963"/>
      <c r="ED11426" s="1963"/>
      <c r="EE11426" s="1963"/>
      <c r="EF11426" s="1963"/>
      <c r="EG11426" s="1963"/>
      <c r="EH11426" s="1963"/>
      <c r="EI11426" s="1963"/>
      <c r="EJ11426" s="1963"/>
      <c r="EK11426" s="1963"/>
      <c r="EL11426" s="1963"/>
      <c r="EM11426" s="1963"/>
      <c r="EN11426" s="1963"/>
      <c r="EO11426" s="1963"/>
      <c r="EP11426" s="1963"/>
      <c r="EQ11426" s="1963"/>
      <c r="ER11426" s="1963"/>
      <c r="ES11426" s="1963"/>
      <c r="ET11426" s="1963"/>
      <c r="EU11426" s="1963"/>
      <c r="EV11426" s="1963"/>
      <c r="EW11426" s="1963"/>
    </row>
    <row r="11427" spans="1:153" s="1165" customFormat="1" ht="15">
      <c r="A11427" s="2154" t="s">
        <v>8741</v>
      </c>
      <c r="B11427" s="2155">
        <v>7</v>
      </c>
      <c r="C11427" s="2156">
        <v>30</v>
      </c>
      <c r="D11427" s="2194" t="s">
        <v>1812</v>
      </c>
      <c r="E11427" s="2561" t="s">
        <v>8755</v>
      </c>
      <c r="F11427" s="2560" t="s">
        <v>8755</v>
      </c>
      <c r="G11427" s="2070" t="e">
        <f t="shared" si="145"/>
        <v>#VALUE!</v>
      </c>
      <c r="H11427" s="317">
        <v>120</v>
      </c>
      <c r="I11427" s="2156" t="s">
        <v>1197</v>
      </c>
      <c r="J11427" s="2553" t="s">
        <v>8742</v>
      </c>
      <c r="K11427" s="2553" t="s">
        <v>8743</v>
      </c>
      <c r="L11427" s="2554"/>
      <c r="M11427" s="1963"/>
      <c r="N11427" s="1963"/>
      <c r="O11427" s="1963"/>
      <c r="P11427" s="1963"/>
      <c r="Q11427" s="1963"/>
      <c r="R11427" s="1963"/>
      <c r="S11427" s="1963"/>
      <c r="T11427" s="1963"/>
      <c r="U11427" s="1963"/>
      <c r="V11427" s="1963"/>
      <c r="W11427" s="1963"/>
      <c r="X11427" s="1963"/>
      <c r="Y11427" s="1963"/>
      <c r="Z11427" s="1963"/>
      <c r="AA11427" s="1963"/>
      <c r="AB11427" s="1963"/>
      <c r="AC11427" s="1963"/>
      <c r="AD11427" s="1963"/>
      <c r="AE11427" s="1963"/>
      <c r="AF11427" s="1963"/>
      <c r="AG11427" s="1963"/>
      <c r="AH11427" s="1963"/>
      <c r="AI11427" s="1963"/>
      <c r="AJ11427" s="1963"/>
      <c r="AK11427" s="1963"/>
      <c r="AL11427" s="1963"/>
      <c r="AM11427" s="1963"/>
      <c r="AN11427" s="1963"/>
      <c r="AO11427" s="1963"/>
      <c r="AP11427" s="1963"/>
      <c r="AQ11427" s="1963"/>
      <c r="AR11427" s="1963"/>
      <c r="AS11427" s="1963"/>
      <c r="AT11427" s="1963"/>
      <c r="AU11427" s="1963"/>
      <c r="AV11427" s="1963"/>
      <c r="AW11427" s="1963"/>
      <c r="AX11427" s="1963"/>
      <c r="AY11427" s="1963"/>
      <c r="AZ11427" s="1963"/>
      <c r="BA11427" s="1963"/>
      <c r="BB11427" s="1963"/>
      <c r="BC11427" s="1963"/>
      <c r="BD11427" s="1963"/>
      <c r="BE11427" s="1963"/>
      <c r="BF11427" s="1963"/>
      <c r="BG11427" s="1963"/>
      <c r="BH11427" s="1963"/>
      <c r="BI11427" s="1963"/>
      <c r="BJ11427" s="1963"/>
      <c r="BK11427" s="1963"/>
      <c r="BL11427" s="1963"/>
      <c r="BM11427" s="1963"/>
      <c r="BN11427" s="1963"/>
      <c r="BO11427" s="1963"/>
      <c r="BP11427" s="1963"/>
      <c r="BQ11427" s="1963"/>
      <c r="BR11427" s="1963"/>
      <c r="BS11427" s="1963"/>
      <c r="BT11427" s="1963"/>
      <c r="BU11427" s="1963"/>
      <c r="BV11427" s="1963"/>
      <c r="BW11427" s="1963"/>
      <c r="BX11427" s="1963"/>
      <c r="BY11427" s="1963"/>
      <c r="BZ11427" s="1963"/>
      <c r="CA11427" s="1963"/>
      <c r="CB11427" s="1963"/>
      <c r="CC11427" s="1963"/>
      <c r="CD11427" s="1963"/>
      <c r="CE11427" s="1963"/>
      <c r="CF11427" s="1963"/>
      <c r="CG11427" s="1963"/>
      <c r="CH11427" s="1963"/>
      <c r="CI11427" s="1963"/>
      <c r="CJ11427" s="1963"/>
      <c r="CK11427" s="1963"/>
      <c r="CL11427" s="1963"/>
      <c r="CM11427" s="1963"/>
      <c r="CN11427" s="1963"/>
      <c r="CO11427" s="1963"/>
      <c r="CP11427" s="1963"/>
      <c r="CQ11427" s="1963"/>
      <c r="CR11427" s="1963"/>
      <c r="CS11427" s="1963"/>
      <c r="CT11427" s="1963"/>
      <c r="CU11427" s="1963"/>
      <c r="CV11427" s="1963"/>
      <c r="CW11427" s="1963"/>
      <c r="CX11427" s="1963"/>
      <c r="CY11427" s="1963"/>
      <c r="CZ11427" s="1963"/>
      <c r="DA11427" s="1963"/>
      <c r="DB11427" s="1963"/>
      <c r="DC11427" s="1963"/>
      <c r="DD11427" s="1963"/>
      <c r="DE11427" s="1963"/>
      <c r="DF11427" s="1963"/>
      <c r="DG11427" s="1963"/>
      <c r="DH11427" s="1963"/>
      <c r="DI11427" s="1963"/>
      <c r="DJ11427" s="1963"/>
      <c r="DK11427" s="1963"/>
      <c r="DL11427" s="1963"/>
      <c r="DM11427" s="1963"/>
      <c r="DN11427" s="1963"/>
      <c r="DO11427" s="1963"/>
      <c r="DP11427" s="1963"/>
      <c r="DQ11427" s="1963"/>
      <c r="DR11427" s="1963"/>
      <c r="DS11427" s="1963"/>
      <c r="DT11427" s="1963"/>
      <c r="DU11427" s="1963"/>
      <c r="DV11427" s="1963"/>
      <c r="DW11427" s="1963"/>
      <c r="DX11427" s="1963"/>
      <c r="DY11427" s="1963"/>
      <c r="DZ11427" s="1963"/>
      <c r="EA11427" s="1963"/>
      <c r="EB11427" s="1963"/>
      <c r="EC11427" s="1963"/>
      <c r="ED11427" s="1963"/>
      <c r="EE11427" s="1963"/>
      <c r="EF11427" s="1963"/>
      <c r="EG11427" s="1963"/>
      <c r="EH11427" s="1963"/>
      <c r="EI11427" s="1963"/>
      <c r="EJ11427" s="1963"/>
      <c r="EK11427" s="1963"/>
      <c r="EL11427" s="1963"/>
      <c r="EM11427" s="1963"/>
      <c r="EN11427" s="1963"/>
      <c r="EO11427" s="1963"/>
      <c r="EP11427" s="1963"/>
      <c r="EQ11427" s="1963"/>
      <c r="ER11427" s="1963"/>
      <c r="ES11427" s="1963"/>
      <c r="ET11427" s="1963"/>
      <c r="EU11427" s="1963"/>
      <c r="EV11427" s="1963"/>
      <c r="EW11427" s="1963"/>
    </row>
    <row r="11428" spans="1:153" s="1165" customFormat="1" ht="15">
      <c r="A11428" s="2154" t="s">
        <v>8744</v>
      </c>
      <c r="B11428" s="2155">
        <v>4</v>
      </c>
      <c r="C11428" s="2555">
        <v>50</v>
      </c>
      <c r="D11428" s="2194" t="s">
        <v>1812</v>
      </c>
      <c r="E11428" s="2197">
        <f t="shared" si="144"/>
        <v>0.3</v>
      </c>
      <c r="F11428" s="2280">
        <v>18</v>
      </c>
      <c r="G11428" s="2070">
        <f t="shared" si="145"/>
        <v>0.5</v>
      </c>
      <c r="H11428" s="317">
        <v>120</v>
      </c>
      <c r="I11428" s="2156" t="s">
        <v>1197</v>
      </c>
      <c r="J11428" s="2553" t="s">
        <v>8742</v>
      </c>
      <c r="K11428" s="2553" t="s">
        <v>8743</v>
      </c>
      <c r="L11428" s="2554"/>
      <c r="M11428" s="1963"/>
      <c r="N11428" s="1963"/>
      <c r="O11428" s="1963"/>
      <c r="P11428" s="1963"/>
      <c r="Q11428" s="1963"/>
      <c r="R11428" s="1963"/>
      <c r="S11428" s="1963"/>
      <c r="T11428" s="1963"/>
      <c r="U11428" s="1963"/>
      <c r="V11428" s="1963"/>
      <c r="W11428" s="1963"/>
      <c r="X11428" s="1963"/>
      <c r="Y11428" s="1963"/>
      <c r="Z11428" s="1963"/>
      <c r="AA11428" s="1963"/>
      <c r="AB11428" s="1963"/>
      <c r="AC11428" s="1963"/>
      <c r="AD11428" s="1963"/>
      <c r="AE11428" s="1963"/>
      <c r="AF11428" s="1963"/>
      <c r="AG11428" s="1963"/>
      <c r="AH11428" s="1963"/>
      <c r="AI11428" s="1963"/>
      <c r="AJ11428" s="1963"/>
      <c r="AK11428" s="1963"/>
      <c r="AL11428" s="1963"/>
      <c r="AM11428" s="1963"/>
      <c r="AN11428" s="1963"/>
      <c r="AO11428" s="1963"/>
      <c r="AP11428" s="1963"/>
      <c r="AQ11428" s="1963"/>
      <c r="AR11428" s="1963"/>
      <c r="AS11428" s="1963"/>
      <c r="AT11428" s="1963"/>
      <c r="AU11428" s="1963"/>
      <c r="AV11428" s="1963"/>
      <c r="AW11428" s="1963"/>
      <c r="AX11428" s="1963"/>
      <c r="AY11428" s="1963"/>
      <c r="AZ11428" s="1963"/>
      <c r="BA11428" s="1963"/>
      <c r="BB11428" s="1963"/>
      <c r="BC11428" s="1963"/>
      <c r="BD11428" s="1963"/>
      <c r="BE11428" s="1963"/>
      <c r="BF11428" s="1963"/>
      <c r="BG11428" s="1963"/>
      <c r="BH11428" s="1963"/>
      <c r="BI11428" s="1963"/>
      <c r="BJ11428" s="1963"/>
      <c r="BK11428" s="1963"/>
      <c r="BL11428" s="1963"/>
      <c r="BM11428" s="1963"/>
      <c r="BN11428" s="1963"/>
      <c r="BO11428" s="1963"/>
      <c r="BP11428" s="1963"/>
      <c r="BQ11428" s="1963"/>
      <c r="BR11428" s="1963"/>
      <c r="BS11428" s="1963"/>
      <c r="BT11428" s="1963"/>
      <c r="BU11428" s="1963"/>
      <c r="BV11428" s="1963"/>
      <c r="BW11428" s="1963"/>
      <c r="BX11428" s="1963"/>
      <c r="BY11428" s="1963"/>
      <c r="BZ11428" s="1963"/>
      <c r="CA11428" s="1963"/>
      <c r="CB11428" s="1963"/>
      <c r="CC11428" s="1963"/>
      <c r="CD11428" s="1963"/>
      <c r="CE11428" s="1963"/>
      <c r="CF11428" s="1963"/>
      <c r="CG11428" s="1963"/>
      <c r="CH11428" s="1963"/>
      <c r="CI11428" s="1963"/>
      <c r="CJ11428" s="1963"/>
      <c r="CK11428" s="1963"/>
      <c r="CL11428" s="1963"/>
      <c r="CM11428" s="1963"/>
      <c r="CN11428" s="1963"/>
      <c r="CO11428" s="1963"/>
      <c r="CP11428" s="1963"/>
      <c r="CQ11428" s="1963"/>
      <c r="CR11428" s="1963"/>
      <c r="CS11428" s="1963"/>
      <c r="CT11428" s="1963"/>
      <c r="CU11428" s="1963"/>
      <c r="CV11428" s="1963"/>
      <c r="CW11428" s="1963"/>
      <c r="CX11428" s="1963"/>
      <c r="CY11428" s="1963"/>
      <c r="CZ11428" s="1963"/>
      <c r="DA11428" s="1963"/>
      <c r="DB11428" s="1963"/>
      <c r="DC11428" s="1963"/>
      <c r="DD11428" s="1963"/>
      <c r="DE11428" s="1963"/>
      <c r="DF11428" s="1963"/>
      <c r="DG11428" s="1963"/>
      <c r="DH11428" s="1963"/>
      <c r="DI11428" s="1963"/>
      <c r="DJ11428" s="1963"/>
      <c r="DK11428" s="1963"/>
      <c r="DL11428" s="1963"/>
      <c r="DM11428" s="1963"/>
      <c r="DN11428" s="1963"/>
      <c r="DO11428" s="1963"/>
      <c r="DP11428" s="1963"/>
      <c r="DQ11428" s="1963"/>
      <c r="DR11428" s="1963"/>
      <c r="DS11428" s="1963"/>
      <c r="DT11428" s="1963"/>
      <c r="DU11428" s="1963"/>
      <c r="DV11428" s="1963"/>
      <c r="DW11428" s="1963"/>
      <c r="DX11428" s="1963"/>
      <c r="DY11428" s="1963"/>
      <c r="DZ11428" s="1963"/>
      <c r="EA11428" s="1963"/>
      <c r="EB11428" s="1963"/>
      <c r="EC11428" s="1963"/>
      <c r="ED11428" s="1963"/>
      <c r="EE11428" s="1963"/>
      <c r="EF11428" s="1963"/>
      <c r="EG11428" s="1963"/>
      <c r="EH11428" s="1963"/>
      <c r="EI11428" s="1963"/>
      <c r="EJ11428" s="1963"/>
      <c r="EK11428" s="1963"/>
      <c r="EL11428" s="1963"/>
      <c r="EM11428" s="1963"/>
      <c r="EN11428" s="1963"/>
      <c r="EO11428" s="1963"/>
      <c r="EP11428" s="1963"/>
      <c r="EQ11428" s="1963"/>
      <c r="ER11428" s="1963"/>
      <c r="ES11428" s="1963"/>
      <c r="ET11428" s="1963"/>
      <c r="EU11428" s="1963"/>
      <c r="EV11428" s="1963"/>
      <c r="EW11428" s="1963"/>
    </row>
    <row r="11429" spans="1:153" s="1165" customFormat="1" ht="15">
      <c r="A11429" s="2154" t="s">
        <v>8744</v>
      </c>
      <c r="B11429" s="2155">
        <v>7</v>
      </c>
      <c r="C11429" s="2555">
        <v>50</v>
      </c>
      <c r="D11429" s="2194" t="s">
        <v>1812</v>
      </c>
      <c r="E11429" s="2197">
        <f t="shared" si="144"/>
        <v>0.42</v>
      </c>
      <c r="F11429" s="2280">
        <v>25</v>
      </c>
      <c r="G11429" s="2070">
        <f t="shared" si="145"/>
        <v>0.50396825396825395</v>
      </c>
      <c r="H11429" s="317">
        <v>120</v>
      </c>
      <c r="I11429" s="2156" t="s">
        <v>1197</v>
      </c>
      <c r="J11429" s="2553" t="s">
        <v>8742</v>
      </c>
      <c r="K11429" s="2553" t="s">
        <v>8743</v>
      </c>
      <c r="L11429" s="2554"/>
      <c r="M11429" s="1963"/>
      <c r="N11429" s="1963"/>
      <c r="O11429" s="1963"/>
      <c r="P11429" s="1963"/>
      <c r="Q11429" s="1963"/>
      <c r="R11429" s="1963"/>
      <c r="S11429" s="1963"/>
      <c r="T11429" s="1963"/>
      <c r="U11429" s="1963"/>
      <c r="V11429" s="1963"/>
      <c r="W11429" s="1963"/>
      <c r="X11429" s="1963"/>
      <c r="Y11429" s="1963"/>
      <c r="Z11429" s="1963"/>
      <c r="AA11429" s="1963"/>
      <c r="AB11429" s="1963"/>
      <c r="AC11429" s="1963"/>
      <c r="AD11429" s="1963"/>
      <c r="AE11429" s="1963"/>
      <c r="AF11429" s="1963"/>
      <c r="AG11429" s="1963"/>
      <c r="AH11429" s="1963"/>
      <c r="AI11429" s="1963"/>
      <c r="AJ11429" s="1963"/>
      <c r="AK11429" s="1963"/>
      <c r="AL11429" s="1963"/>
      <c r="AM11429" s="1963"/>
      <c r="AN11429" s="1963"/>
      <c r="AO11429" s="1963"/>
      <c r="AP11429" s="1963"/>
      <c r="AQ11429" s="1963"/>
      <c r="AR11429" s="1963"/>
      <c r="AS11429" s="1963"/>
      <c r="AT11429" s="1963"/>
      <c r="AU11429" s="1963"/>
      <c r="AV11429" s="1963"/>
      <c r="AW11429" s="1963"/>
      <c r="AX11429" s="1963"/>
      <c r="AY11429" s="1963"/>
      <c r="AZ11429" s="1963"/>
      <c r="BA11429" s="1963"/>
      <c r="BB11429" s="1963"/>
      <c r="BC11429" s="1963"/>
      <c r="BD11429" s="1963"/>
      <c r="BE11429" s="1963"/>
      <c r="BF11429" s="1963"/>
      <c r="BG11429" s="1963"/>
      <c r="BH11429" s="1963"/>
      <c r="BI11429" s="1963"/>
      <c r="BJ11429" s="1963"/>
      <c r="BK11429" s="1963"/>
      <c r="BL11429" s="1963"/>
      <c r="BM11429" s="1963"/>
      <c r="BN11429" s="1963"/>
      <c r="BO11429" s="1963"/>
      <c r="BP11429" s="1963"/>
      <c r="BQ11429" s="1963"/>
      <c r="BR11429" s="1963"/>
      <c r="BS11429" s="1963"/>
      <c r="BT11429" s="1963"/>
      <c r="BU11429" s="1963"/>
      <c r="BV11429" s="1963"/>
      <c r="BW11429" s="1963"/>
      <c r="BX11429" s="1963"/>
      <c r="BY11429" s="1963"/>
      <c r="BZ11429" s="1963"/>
      <c r="CA11429" s="1963"/>
      <c r="CB11429" s="1963"/>
      <c r="CC11429" s="1963"/>
      <c r="CD11429" s="1963"/>
      <c r="CE11429" s="1963"/>
      <c r="CF11429" s="1963"/>
      <c r="CG11429" s="1963"/>
      <c r="CH11429" s="1963"/>
      <c r="CI11429" s="1963"/>
      <c r="CJ11429" s="1963"/>
      <c r="CK11429" s="1963"/>
      <c r="CL11429" s="1963"/>
      <c r="CM11429" s="1963"/>
      <c r="CN11429" s="1963"/>
      <c r="CO11429" s="1963"/>
      <c r="CP11429" s="1963"/>
      <c r="CQ11429" s="1963"/>
      <c r="CR11429" s="1963"/>
      <c r="CS11429" s="1963"/>
      <c r="CT11429" s="1963"/>
      <c r="CU11429" s="1963"/>
      <c r="CV11429" s="1963"/>
      <c r="CW11429" s="1963"/>
      <c r="CX11429" s="1963"/>
      <c r="CY11429" s="1963"/>
      <c r="CZ11429" s="1963"/>
      <c r="DA11429" s="1963"/>
      <c r="DB11429" s="1963"/>
      <c r="DC11429" s="1963"/>
      <c r="DD11429" s="1963"/>
      <c r="DE11429" s="1963"/>
      <c r="DF11429" s="1963"/>
      <c r="DG11429" s="1963"/>
      <c r="DH11429" s="1963"/>
      <c r="DI11429" s="1963"/>
      <c r="DJ11429" s="1963"/>
      <c r="DK11429" s="1963"/>
      <c r="DL11429" s="1963"/>
      <c r="DM11429" s="1963"/>
      <c r="DN11429" s="1963"/>
      <c r="DO11429" s="1963"/>
      <c r="DP11429" s="1963"/>
      <c r="DQ11429" s="1963"/>
      <c r="DR11429" s="1963"/>
      <c r="DS11429" s="1963"/>
      <c r="DT11429" s="1963"/>
      <c r="DU11429" s="1963"/>
      <c r="DV11429" s="1963"/>
      <c r="DW11429" s="1963"/>
      <c r="DX11429" s="1963"/>
      <c r="DY11429" s="1963"/>
      <c r="DZ11429" s="1963"/>
      <c r="EA11429" s="1963"/>
      <c r="EB11429" s="1963"/>
      <c r="EC11429" s="1963"/>
      <c r="ED11429" s="1963"/>
      <c r="EE11429" s="1963"/>
      <c r="EF11429" s="1963"/>
      <c r="EG11429" s="1963"/>
      <c r="EH11429" s="1963"/>
      <c r="EI11429" s="1963"/>
      <c r="EJ11429" s="1963"/>
      <c r="EK11429" s="1963"/>
      <c r="EL11429" s="1963"/>
      <c r="EM11429" s="1963"/>
      <c r="EN11429" s="1963"/>
      <c r="EO11429" s="1963"/>
      <c r="EP11429" s="1963"/>
      <c r="EQ11429" s="1963"/>
      <c r="ER11429" s="1963"/>
      <c r="ES11429" s="1963"/>
      <c r="ET11429" s="1963"/>
      <c r="EU11429" s="1963"/>
      <c r="EV11429" s="1963"/>
      <c r="EW11429" s="1963"/>
    </row>
    <row r="11430" spans="1:153" s="1165" customFormat="1" ht="15">
      <c r="A11430" s="2154" t="s">
        <v>8745</v>
      </c>
      <c r="B11430" s="2155">
        <v>13</v>
      </c>
      <c r="C11430" s="2156">
        <v>30</v>
      </c>
      <c r="D11430" s="2194" t="s">
        <v>1812</v>
      </c>
      <c r="E11430" s="2197">
        <f t="shared" si="144"/>
        <v>0.74</v>
      </c>
      <c r="F11430" s="2280">
        <v>44</v>
      </c>
      <c r="G11430" s="2070">
        <f t="shared" si="145"/>
        <v>0.50450450450450457</v>
      </c>
      <c r="H11430" s="317">
        <v>120</v>
      </c>
      <c r="I11430" s="2156" t="s">
        <v>1197</v>
      </c>
      <c r="J11430" s="2553" t="s">
        <v>8742</v>
      </c>
      <c r="K11430" s="2553" t="s">
        <v>8743</v>
      </c>
      <c r="L11430" s="2554"/>
      <c r="M11430" s="1963"/>
      <c r="N11430" s="1963"/>
      <c r="O11430" s="1963"/>
      <c r="P11430" s="1963"/>
      <c r="Q11430" s="1963"/>
      <c r="R11430" s="1963"/>
      <c r="S11430" s="1963"/>
      <c r="T11430" s="1963"/>
      <c r="U11430" s="1963"/>
      <c r="V11430" s="1963"/>
      <c r="W11430" s="1963"/>
      <c r="X11430" s="1963"/>
      <c r="Y11430" s="1963"/>
      <c r="Z11430" s="1963"/>
      <c r="AA11430" s="1963"/>
      <c r="AB11430" s="1963"/>
      <c r="AC11430" s="1963"/>
      <c r="AD11430" s="1963"/>
      <c r="AE11430" s="1963"/>
      <c r="AF11430" s="1963"/>
      <c r="AG11430" s="1963"/>
      <c r="AH11430" s="1963"/>
      <c r="AI11430" s="1963"/>
      <c r="AJ11430" s="1963"/>
      <c r="AK11430" s="1963"/>
      <c r="AL11430" s="1963"/>
      <c r="AM11430" s="1963"/>
      <c r="AN11430" s="1963"/>
      <c r="AO11430" s="1963"/>
      <c r="AP11430" s="1963"/>
      <c r="AQ11430" s="1963"/>
      <c r="AR11430" s="1963"/>
      <c r="AS11430" s="1963"/>
      <c r="AT11430" s="1963"/>
      <c r="AU11430" s="1963"/>
      <c r="AV11430" s="1963"/>
      <c r="AW11430" s="1963"/>
      <c r="AX11430" s="1963"/>
      <c r="AY11430" s="1963"/>
      <c r="AZ11430" s="1963"/>
      <c r="BA11430" s="1963"/>
      <c r="BB11430" s="1963"/>
      <c r="BC11430" s="1963"/>
      <c r="BD11430" s="1963"/>
      <c r="BE11430" s="1963"/>
      <c r="BF11430" s="1963"/>
      <c r="BG11430" s="1963"/>
      <c r="BH11430" s="1963"/>
      <c r="BI11430" s="1963"/>
      <c r="BJ11430" s="1963"/>
      <c r="BK11430" s="1963"/>
      <c r="BL11430" s="1963"/>
      <c r="BM11430" s="1963"/>
      <c r="BN11430" s="1963"/>
      <c r="BO11430" s="1963"/>
      <c r="BP11430" s="1963"/>
      <c r="BQ11430" s="1963"/>
      <c r="BR11430" s="1963"/>
      <c r="BS11430" s="1963"/>
      <c r="BT11430" s="1963"/>
      <c r="BU11430" s="1963"/>
      <c r="BV11430" s="1963"/>
      <c r="BW11430" s="1963"/>
      <c r="BX11430" s="1963"/>
      <c r="BY11430" s="1963"/>
      <c r="BZ11430" s="1963"/>
      <c r="CA11430" s="1963"/>
      <c r="CB11430" s="1963"/>
      <c r="CC11430" s="1963"/>
      <c r="CD11430" s="1963"/>
      <c r="CE11430" s="1963"/>
      <c r="CF11430" s="1963"/>
      <c r="CG11430" s="1963"/>
      <c r="CH11430" s="1963"/>
      <c r="CI11430" s="1963"/>
      <c r="CJ11430" s="1963"/>
      <c r="CK11430" s="1963"/>
      <c r="CL11430" s="1963"/>
      <c r="CM11430" s="1963"/>
      <c r="CN11430" s="1963"/>
      <c r="CO11430" s="1963"/>
      <c r="CP11430" s="1963"/>
      <c r="CQ11430" s="1963"/>
      <c r="CR11430" s="1963"/>
      <c r="CS11430" s="1963"/>
      <c r="CT11430" s="1963"/>
      <c r="CU11430" s="1963"/>
      <c r="CV11430" s="1963"/>
      <c r="CW11430" s="1963"/>
      <c r="CX11430" s="1963"/>
      <c r="CY11430" s="1963"/>
      <c r="CZ11430" s="1963"/>
      <c r="DA11430" s="1963"/>
      <c r="DB11430" s="1963"/>
      <c r="DC11430" s="1963"/>
      <c r="DD11430" s="1963"/>
      <c r="DE11430" s="1963"/>
      <c r="DF11430" s="1963"/>
      <c r="DG11430" s="1963"/>
      <c r="DH11430" s="1963"/>
      <c r="DI11430" s="1963"/>
      <c r="DJ11430" s="1963"/>
      <c r="DK11430" s="1963"/>
      <c r="DL11430" s="1963"/>
      <c r="DM11430" s="1963"/>
      <c r="DN11430" s="1963"/>
      <c r="DO11430" s="1963"/>
      <c r="DP11430" s="1963"/>
      <c r="DQ11430" s="1963"/>
      <c r="DR11430" s="1963"/>
      <c r="DS11430" s="1963"/>
      <c r="DT11430" s="1963"/>
      <c r="DU11430" s="1963"/>
      <c r="DV11430" s="1963"/>
      <c r="DW11430" s="1963"/>
      <c r="DX11430" s="1963"/>
      <c r="DY11430" s="1963"/>
      <c r="DZ11430" s="1963"/>
      <c r="EA11430" s="1963"/>
      <c r="EB11430" s="1963"/>
      <c r="EC11430" s="1963"/>
      <c r="ED11430" s="1963"/>
      <c r="EE11430" s="1963"/>
      <c r="EF11430" s="1963"/>
      <c r="EG11430" s="1963"/>
      <c r="EH11430" s="1963"/>
      <c r="EI11430" s="1963"/>
      <c r="EJ11430" s="1963"/>
      <c r="EK11430" s="1963"/>
      <c r="EL11430" s="1963"/>
      <c r="EM11430" s="1963"/>
      <c r="EN11430" s="1963"/>
      <c r="EO11430" s="1963"/>
      <c r="EP11430" s="1963"/>
      <c r="EQ11430" s="1963"/>
      <c r="ER11430" s="1963"/>
      <c r="ES11430" s="1963"/>
      <c r="ET11430" s="1963"/>
      <c r="EU11430" s="1963"/>
      <c r="EV11430" s="1963"/>
      <c r="EW11430" s="1963"/>
    </row>
    <row r="11431" spans="1:153" s="1165" customFormat="1" ht="15">
      <c r="A11431" s="2154" t="s">
        <v>8745</v>
      </c>
      <c r="B11431" s="2155">
        <v>18</v>
      </c>
      <c r="C11431" s="2156">
        <v>30</v>
      </c>
      <c r="D11431" s="2194" t="s">
        <v>1812</v>
      </c>
      <c r="E11431" s="2197">
        <f t="shared" si="144"/>
        <v>0.92</v>
      </c>
      <c r="F11431" s="2280">
        <v>55</v>
      </c>
      <c r="G11431" s="2070">
        <f t="shared" si="145"/>
        <v>0.50181159420289856</v>
      </c>
      <c r="H11431" s="317">
        <v>120</v>
      </c>
      <c r="I11431" s="2156" t="s">
        <v>1197</v>
      </c>
      <c r="J11431" s="2553" t="s">
        <v>8742</v>
      </c>
      <c r="K11431" s="2553" t="s">
        <v>8743</v>
      </c>
      <c r="L11431" s="2554"/>
      <c r="M11431" s="1963"/>
      <c r="N11431" s="1963"/>
      <c r="O11431" s="1963"/>
      <c r="P11431" s="1963"/>
      <c r="Q11431" s="1963"/>
      <c r="R11431" s="1963"/>
      <c r="S11431" s="1963"/>
      <c r="T11431" s="1963"/>
      <c r="U11431" s="1963"/>
      <c r="V11431" s="1963"/>
      <c r="W11431" s="1963"/>
      <c r="X11431" s="1963"/>
      <c r="Y11431" s="1963"/>
      <c r="Z11431" s="1963"/>
      <c r="AA11431" s="1963"/>
      <c r="AB11431" s="1963"/>
      <c r="AC11431" s="1963"/>
      <c r="AD11431" s="1963"/>
      <c r="AE11431" s="1963"/>
      <c r="AF11431" s="1963"/>
      <c r="AG11431" s="1963"/>
      <c r="AH11431" s="1963"/>
      <c r="AI11431" s="1963"/>
      <c r="AJ11431" s="1963"/>
      <c r="AK11431" s="1963"/>
      <c r="AL11431" s="1963"/>
      <c r="AM11431" s="1963"/>
      <c r="AN11431" s="1963"/>
      <c r="AO11431" s="1963"/>
      <c r="AP11431" s="1963"/>
      <c r="AQ11431" s="1963"/>
      <c r="AR11431" s="1963"/>
      <c r="AS11431" s="1963"/>
      <c r="AT11431" s="1963"/>
      <c r="AU11431" s="1963"/>
      <c r="AV11431" s="1963"/>
      <c r="AW11431" s="1963"/>
      <c r="AX11431" s="1963"/>
      <c r="AY11431" s="1963"/>
      <c r="AZ11431" s="1963"/>
      <c r="BA11431" s="1963"/>
      <c r="BB11431" s="1963"/>
      <c r="BC11431" s="1963"/>
      <c r="BD11431" s="1963"/>
      <c r="BE11431" s="1963"/>
      <c r="BF11431" s="1963"/>
      <c r="BG11431" s="1963"/>
      <c r="BH11431" s="1963"/>
      <c r="BI11431" s="1963"/>
      <c r="BJ11431" s="1963"/>
      <c r="BK11431" s="1963"/>
      <c r="BL11431" s="1963"/>
      <c r="BM11431" s="1963"/>
      <c r="BN11431" s="1963"/>
      <c r="BO11431" s="1963"/>
      <c r="BP11431" s="1963"/>
      <c r="BQ11431" s="1963"/>
      <c r="BR11431" s="1963"/>
      <c r="BS11431" s="1963"/>
      <c r="BT11431" s="1963"/>
      <c r="BU11431" s="1963"/>
      <c r="BV11431" s="1963"/>
      <c r="BW11431" s="1963"/>
      <c r="BX11431" s="1963"/>
      <c r="BY11431" s="1963"/>
      <c r="BZ11431" s="1963"/>
      <c r="CA11431" s="1963"/>
      <c r="CB11431" s="1963"/>
      <c r="CC11431" s="1963"/>
      <c r="CD11431" s="1963"/>
      <c r="CE11431" s="1963"/>
      <c r="CF11431" s="1963"/>
      <c r="CG11431" s="1963"/>
      <c r="CH11431" s="1963"/>
      <c r="CI11431" s="1963"/>
      <c r="CJ11431" s="1963"/>
      <c r="CK11431" s="1963"/>
      <c r="CL11431" s="1963"/>
      <c r="CM11431" s="1963"/>
      <c r="CN11431" s="1963"/>
      <c r="CO11431" s="1963"/>
      <c r="CP11431" s="1963"/>
      <c r="CQ11431" s="1963"/>
      <c r="CR11431" s="1963"/>
      <c r="CS11431" s="1963"/>
      <c r="CT11431" s="1963"/>
      <c r="CU11431" s="1963"/>
      <c r="CV11431" s="1963"/>
      <c r="CW11431" s="1963"/>
      <c r="CX11431" s="1963"/>
      <c r="CY11431" s="1963"/>
      <c r="CZ11431" s="1963"/>
      <c r="DA11431" s="1963"/>
      <c r="DB11431" s="1963"/>
      <c r="DC11431" s="1963"/>
      <c r="DD11431" s="1963"/>
      <c r="DE11431" s="1963"/>
      <c r="DF11431" s="1963"/>
      <c r="DG11431" s="1963"/>
      <c r="DH11431" s="1963"/>
      <c r="DI11431" s="1963"/>
      <c r="DJ11431" s="1963"/>
      <c r="DK11431" s="1963"/>
      <c r="DL11431" s="1963"/>
      <c r="DM11431" s="1963"/>
      <c r="DN11431" s="1963"/>
      <c r="DO11431" s="1963"/>
      <c r="DP11431" s="1963"/>
      <c r="DQ11431" s="1963"/>
      <c r="DR11431" s="1963"/>
      <c r="DS11431" s="1963"/>
      <c r="DT11431" s="1963"/>
      <c r="DU11431" s="1963"/>
      <c r="DV11431" s="1963"/>
      <c r="DW11431" s="1963"/>
      <c r="DX11431" s="1963"/>
      <c r="DY11431" s="1963"/>
      <c r="DZ11431" s="1963"/>
      <c r="EA11431" s="1963"/>
      <c r="EB11431" s="1963"/>
      <c r="EC11431" s="1963"/>
      <c r="ED11431" s="1963"/>
      <c r="EE11431" s="1963"/>
      <c r="EF11431" s="1963"/>
      <c r="EG11431" s="1963"/>
      <c r="EH11431" s="1963"/>
      <c r="EI11431" s="1963"/>
      <c r="EJ11431" s="1963"/>
      <c r="EK11431" s="1963"/>
      <c r="EL11431" s="1963"/>
      <c r="EM11431" s="1963"/>
      <c r="EN11431" s="1963"/>
      <c r="EO11431" s="1963"/>
      <c r="EP11431" s="1963"/>
      <c r="EQ11431" s="1963"/>
      <c r="ER11431" s="1963"/>
      <c r="ES11431" s="1963"/>
      <c r="ET11431" s="1963"/>
      <c r="EU11431" s="1963"/>
      <c r="EV11431" s="1963"/>
      <c r="EW11431" s="1963"/>
    </row>
    <row r="11432" spans="1:153" s="1165" customFormat="1" ht="15">
      <c r="A11432" s="2154" t="s">
        <v>8745</v>
      </c>
      <c r="B11432" s="2155">
        <v>22</v>
      </c>
      <c r="C11432" s="2156">
        <v>30</v>
      </c>
      <c r="D11432" s="2194" t="s">
        <v>1812</v>
      </c>
      <c r="E11432" s="2197">
        <f t="shared" si="144"/>
        <v>1.1000000000000001</v>
      </c>
      <c r="F11432" s="2280">
        <v>66</v>
      </c>
      <c r="G11432" s="2070">
        <f t="shared" si="145"/>
        <v>0.5</v>
      </c>
      <c r="H11432" s="317">
        <v>120</v>
      </c>
      <c r="I11432" s="2156" t="s">
        <v>1197</v>
      </c>
      <c r="J11432" s="2553" t="s">
        <v>8742</v>
      </c>
      <c r="K11432" s="2553" t="s">
        <v>8743</v>
      </c>
      <c r="L11432" s="2554"/>
      <c r="M11432" s="1963"/>
      <c r="N11432" s="1963"/>
      <c r="O11432" s="1963"/>
      <c r="P11432" s="1963"/>
      <c r="Q11432" s="1963"/>
      <c r="R11432" s="1963"/>
      <c r="S11432" s="1963"/>
      <c r="T11432" s="1963"/>
      <c r="U11432" s="1963"/>
      <c r="V11432" s="1963"/>
      <c r="W11432" s="1963"/>
      <c r="X11432" s="1963"/>
      <c r="Y11432" s="1963"/>
      <c r="Z11432" s="1963"/>
      <c r="AA11432" s="1963"/>
      <c r="AB11432" s="1963"/>
      <c r="AC11432" s="1963"/>
      <c r="AD11432" s="1963"/>
      <c r="AE11432" s="1963"/>
      <c r="AF11432" s="1963"/>
      <c r="AG11432" s="1963"/>
      <c r="AH11432" s="1963"/>
      <c r="AI11432" s="1963"/>
      <c r="AJ11432" s="1963"/>
      <c r="AK11432" s="1963"/>
      <c r="AL11432" s="1963"/>
      <c r="AM11432" s="1963"/>
      <c r="AN11432" s="1963"/>
      <c r="AO11432" s="1963"/>
      <c r="AP11432" s="1963"/>
      <c r="AQ11432" s="1963"/>
      <c r="AR11432" s="1963"/>
      <c r="AS11432" s="1963"/>
      <c r="AT11432" s="1963"/>
      <c r="AU11432" s="1963"/>
      <c r="AV11432" s="1963"/>
      <c r="AW11432" s="1963"/>
      <c r="AX11432" s="1963"/>
      <c r="AY11432" s="1963"/>
      <c r="AZ11432" s="1963"/>
      <c r="BA11432" s="1963"/>
      <c r="BB11432" s="1963"/>
      <c r="BC11432" s="1963"/>
      <c r="BD11432" s="1963"/>
      <c r="BE11432" s="1963"/>
      <c r="BF11432" s="1963"/>
      <c r="BG11432" s="1963"/>
      <c r="BH11432" s="1963"/>
      <c r="BI11432" s="1963"/>
      <c r="BJ11432" s="1963"/>
      <c r="BK11432" s="1963"/>
      <c r="BL11432" s="1963"/>
      <c r="BM11432" s="1963"/>
      <c r="BN11432" s="1963"/>
      <c r="BO11432" s="1963"/>
      <c r="BP11432" s="1963"/>
      <c r="BQ11432" s="1963"/>
      <c r="BR11432" s="1963"/>
      <c r="BS11432" s="1963"/>
      <c r="BT11432" s="1963"/>
      <c r="BU11432" s="1963"/>
      <c r="BV11432" s="1963"/>
      <c r="BW11432" s="1963"/>
      <c r="BX11432" s="1963"/>
      <c r="BY11432" s="1963"/>
      <c r="BZ11432" s="1963"/>
      <c r="CA11432" s="1963"/>
      <c r="CB11432" s="1963"/>
      <c r="CC11432" s="1963"/>
      <c r="CD11432" s="1963"/>
      <c r="CE11432" s="1963"/>
      <c r="CF11432" s="1963"/>
      <c r="CG11432" s="1963"/>
      <c r="CH11432" s="1963"/>
      <c r="CI11432" s="1963"/>
      <c r="CJ11432" s="1963"/>
      <c r="CK11432" s="1963"/>
      <c r="CL11432" s="1963"/>
      <c r="CM11432" s="1963"/>
      <c r="CN11432" s="1963"/>
      <c r="CO11432" s="1963"/>
      <c r="CP11432" s="1963"/>
      <c r="CQ11432" s="1963"/>
      <c r="CR11432" s="1963"/>
      <c r="CS11432" s="1963"/>
      <c r="CT11432" s="1963"/>
      <c r="CU11432" s="1963"/>
      <c r="CV11432" s="1963"/>
      <c r="CW11432" s="1963"/>
      <c r="CX11432" s="1963"/>
      <c r="CY11432" s="1963"/>
      <c r="CZ11432" s="1963"/>
      <c r="DA11432" s="1963"/>
      <c r="DB11432" s="1963"/>
      <c r="DC11432" s="1963"/>
      <c r="DD11432" s="1963"/>
      <c r="DE11432" s="1963"/>
      <c r="DF11432" s="1963"/>
      <c r="DG11432" s="1963"/>
      <c r="DH11432" s="1963"/>
      <c r="DI11432" s="1963"/>
      <c r="DJ11432" s="1963"/>
      <c r="DK11432" s="1963"/>
      <c r="DL11432" s="1963"/>
      <c r="DM11432" s="1963"/>
      <c r="DN11432" s="1963"/>
      <c r="DO11432" s="1963"/>
      <c r="DP11432" s="1963"/>
      <c r="DQ11432" s="1963"/>
      <c r="DR11432" s="1963"/>
      <c r="DS11432" s="1963"/>
      <c r="DT11432" s="1963"/>
      <c r="DU11432" s="1963"/>
      <c r="DV11432" s="1963"/>
      <c r="DW11432" s="1963"/>
      <c r="DX11432" s="1963"/>
      <c r="DY11432" s="1963"/>
      <c r="DZ11432" s="1963"/>
      <c r="EA11432" s="1963"/>
      <c r="EB11432" s="1963"/>
      <c r="EC11432" s="1963"/>
      <c r="ED11432" s="1963"/>
      <c r="EE11432" s="1963"/>
      <c r="EF11432" s="1963"/>
      <c r="EG11432" s="1963"/>
      <c r="EH11432" s="1963"/>
      <c r="EI11432" s="1963"/>
      <c r="EJ11432" s="1963"/>
      <c r="EK11432" s="1963"/>
      <c r="EL11432" s="1963"/>
      <c r="EM11432" s="1963"/>
      <c r="EN11432" s="1963"/>
      <c r="EO11432" s="1963"/>
      <c r="EP11432" s="1963"/>
      <c r="EQ11432" s="1963"/>
      <c r="ER11432" s="1963"/>
      <c r="ES11432" s="1963"/>
      <c r="ET11432" s="1963"/>
      <c r="EU11432" s="1963"/>
      <c r="EV11432" s="1963"/>
      <c r="EW11432" s="1963"/>
    </row>
    <row r="11433" spans="1:153" s="1165" customFormat="1" ht="15">
      <c r="A11433" s="2154" t="s">
        <v>8308</v>
      </c>
      <c r="B11433" s="2155">
        <v>3</v>
      </c>
      <c r="C11433" s="2555">
        <v>50</v>
      </c>
      <c r="D11433" s="2194" t="s">
        <v>1812</v>
      </c>
      <c r="E11433" s="2197">
        <f t="shared" si="144"/>
        <v>0.24000000000000002</v>
      </c>
      <c r="F11433" s="2280">
        <v>14</v>
      </c>
      <c r="G11433" s="2070">
        <f t="shared" si="145"/>
        <v>0.51388888888888895</v>
      </c>
      <c r="H11433" s="317">
        <v>120</v>
      </c>
      <c r="I11433" s="2156" t="s">
        <v>1197</v>
      </c>
      <c r="J11433" s="2553" t="s">
        <v>8742</v>
      </c>
      <c r="K11433" s="2553" t="s">
        <v>6110</v>
      </c>
      <c r="L11433" s="2554"/>
      <c r="M11433" s="1963"/>
      <c r="N11433" s="1963"/>
      <c r="O11433" s="1963"/>
      <c r="P11433" s="1963"/>
      <c r="Q11433" s="1963"/>
      <c r="R11433" s="1963"/>
      <c r="S11433" s="1963"/>
      <c r="T11433" s="1963"/>
      <c r="U11433" s="1963"/>
      <c r="V11433" s="1963"/>
      <c r="W11433" s="1963"/>
      <c r="X11433" s="1963"/>
      <c r="Y11433" s="1963"/>
      <c r="Z11433" s="1963"/>
      <c r="AA11433" s="1963"/>
      <c r="AB11433" s="1963"/>
      <c r="AC11433" s="1963"/>
      <c r="AD11433" s="1963"/>
      <c r="AE11433" s="1963"/>
      <c r="AF11433" s="1963"/>
      <c r="AG11433" s="1963"/>
      <c r="AH11433" s="1963"/>
      <c r="AI11433" s="1963"/>
      <c r="AJ11433" s="1963"/>
      <c r="AK11433" s="1963"/>
      <c r="AL11433" s="1963"/>
      <c r="AM11433" s="1963"/>
      <c r="AN11433" s="1963"/>
      <c r="AO11433" s="1963"/>
      <c r="AP11433" s="1963"/>
      <c r="AQ11433" s="1963"/>
      <c r="AR11433" s="1963"/>
      <c r="AS11433" s="1963"/>
      <c r="AT11433" s="1963"/>
      <c r="AU11433" s="1963"/>
      <c r="AV11433" s="1963"/>
      <c r="AW11433" s="1963"/>
      <c r="AX11433" s="1963"/>
      <c r="AY11433" s="1963"/>
      <c r="AZ11433" s="1963"/>
      <c r="BA11433" s="1963"/>
      <c r="BB11433" s="1963"/>
      <c r="BC11433" s="1963"/>
      <c r="BD11433" s="1963"/>
      <c r="BE11433" s="1963"/>
      <c r="BF11433" s="1963"/>
      <c r="BG11433" s="1963"/>
      <c r="BH11433" s="1963"/>
      <c r="BI11433" s="1963"/>
      <c r="BJ11433" s="1963"/>
      <c r="BK11433" s="1963"/>
      <c r="BL11433" s="1963"/>
      <c r="BM11433" s="1963"/>
      <c r="BN11433" s="1963"/>
      <c r="BO11433" s="1963"/>
      <c r="BP11433" s="1963"/>
      <c r="BQ11433" s="1963"/>
      <c r="BR11433" s="1963"/>
      <c r="BS11433" s="1963"/>
      <c r="BT11433" s="1963"/>
      <c r="BU11433" s="1963"/>
      <c r="BV11433" s="1963"/>
      <c r="BW11433" s="1963"/>
      <c r="BX11433" s="1963"/>
      <c r="BY11433" s="1963"/>
      <c r="BZ11433" s="1963"/>
      <c r="CA11433" s="1963"/>
      <c r="CB11433" s="1963"/>
      <c r="CC11433" s="1963"/>
      <c r="CD11433" s="1963"/>
      <c r="CE11433" s="1963"/>
      <c r="CF11433" s="1963"/>
      <c r="CG11433" s="1963"/>
      <c r="CH11433" s="1963"/>
      <c r="CI11433" s="1963"/>
      <c r="CJ11433" s="1963"/>
      <c r="CK11433" s="1963"/>
      <c r="CL11433" s="1963"/>
      <c r="CM11433" s="1963"/>
      <c r="CN11433" s="1963"/>
      <c r="CO11433" s="1963"/>
      <c r="CP11433" s="1963"/>
      <c r="CQ11433" s="1963"/>
      <c r="CR11433" s="1963"/>
      <c r="CS11433" s="1963"/>
      <c r="CT11433" s="1963"/>
      <c r="CU11433" s="1963"/>
      <c r="CV11433" s="1963"/>
      <c r="CW11433" s="1963"/>
      <c r="CX11433" s="1963"/>
      <c r="CY11433" s="1963"/>
      <c r="CZ11433" s="1963"/>
      <c r="DA11433" s="1963"/>
      <c r="DB11433" s="1963"/>
      <c r="DC11433" s="1963"/>
      <c r="DD11433" s="1963"/>
      <c r="DE11433" s="1963"/>
      <c r="DF11433" s="1963"/>
      <c r="DG11433" s="1963"/>
      <c r="DH11433" s="1963"/>
      <c r="DI11433" s="1963"/>
      <c r="DJ11433" s="1963"/>
      <c r="DK11433" s="1963"/>
      <c r="DL11433" s="1963"/>
      <c r="DM11433" s="1963"/>
      <c r="DN11433" s="1963"/>
      <c r="DO11433" s="1963"/>
      <c r="DP11433" s="1963"/>
      <c r="DQ11433" s="1963"/>
      <c r="DR11433" s="1963"/>
      <c r="DS11433" s="1963"/>
      <c r="DT11433" s="1963"/>
      <c r="DU11433" s="1963"/>
      <c r="DV11433" s="1963"/>
      <c r="DW11433" s="1963"/>
      <c r="DX11433" s="1963"/>
      <c r="DY11433" s="1963"/>
      <c r="DZ11433" s="1963"/>
      <c r="EA11433" s="1963"/>
      <c r="EB11433" s="1963"/>
      <c r="EC11433" s="1963"/>
      <c r="ED11433" s="1963"/>
      <c r="EE11433" s="1963"/>
      <c r="EF11433" s="1963"/>
      <c r="EG11433" s="1963"/>
      <c r="EH11433" s="1963"/>
      <c r="EI11433" s="1963"/>
      <c r="EJ11433" s="1963"/>
      <c r="EK11433" s="1963"/>
      <c r="EL11433" s="1963"/>
      <c r="EM11433" s="1963"/>
      <c r="EN11433" s="1963"/>
      <c r="EO11433" s="1963"/>
      <c r="EP11433" s="1963"/>
      <c r="EQ11433" s="1963"/>
      <c r="ER11433" s="1963"/>
      <c r="ES11433" s="1963"/>
      <c r="ET11433" s="1963"/>
      <c r="EU11433" s="1963"/>
      <c r="EV11433" s="1963"/>
      <c r="EW11433" s="1963"/>
    </row>
    <row r="11434" spans="1:153" s="1165" customFormat="1" ht="15">
      <c r="A11434" s="2154" t="s">
        <v>8308</v>
      </c>
      <c r="B11434" s="2155">
        <v>5</v>
      </c>
      <c r="C11434" s="2555">
        <v>50</v>
      </c>
      <c r="D11434" s="2194" t="s">
        <v>1812</v>
      </c>
      <c r="E11434" s="2197">
        <f t="shared" si="144"/>
        <v>0.29000000000000004</v>
      </c>
      <c r="F11434" s="2280">
        <v>17</v>
      </c>
      <c r="G11434" s="2070">
        <f t="shared" si="145"/>
        <v>0.51149425287356332</v>
      </c>
      <c r="H11434" s="317">
        <v>120</v>
      </c>
      <c r="I11434" s="2156" t="s">
        <v>1197</v>
      </c>
      <c r="J11434" s="2553" t="s">
        <v>8742</v>
      </c>
      <c r="K11434" s="2553" t="s">
        <v>6110</v>
      </c>
      <c r="L11434" s="2554"/>
      <c r="M11434" s="1963"/>
      <c r="N11434" s="1963"/>
      <c r="O11434" s="1963"/>
      <c r="P11434" s="1963"/>
      <c r="Q11434" s="1963"/>
      <c r="R11434" s="1963"/>
      <c r="S11434" s="1963"/>
      <c r="T11434" s="1963"/>
      <c r="U11434" s="1963"/>
      <c r="V11434" s="1963"/>
      <c r="W11434" s="1963"/>
      <c r="X11434" s="1963"/>
      <c r="Y11434" s="1963"/>
      <c r="Z11434" s="1963"/>
      <c r="AA11434" s="1963"/>
      <c r="AB11434" s="1963"/>
      <c r="AC11434" s="1963"/>
      <c r="AD11434" s="1963"/>
      <c r="AE11434" s="1963"/>
      <c r="AF11434" s="1963"/>
      <c r="AG11434" s="1963"/>
      <c r="AH11434" s="1963"/>
      <c r="AI11434" s="1963"/>
      <c r="AJ11434" s="1963"/>
      <c r="AK11434" s="1963"/>
      <c r="AL11434" s="1963"/>
      <c r="AM11434" s="1963"/>
      <c r="AN11434" s="1963"/>
      <c r="AO11434" s="1963"/>
      <c r="AP11434" s="1963"/>
      <c r="AQ11434" s="1963"/>
      <c r="AR11434" s="1963"/>
      <c r="AS11434" s="1963"/>
      <c r="AT11434" s="1963"/>
      <c r="AU11434" s="1963"/>
      <c r="AV11434" s="1963"/>
      <c r="AW11434" s="1963"/>
      <c r="AX11434" s="1963"/>
      <c r="AY11434" s="1963"/>
      <c r="AZ11434" s="1963"/>
      <c r="BA11434" s="1963"/>
      <c r="BB11434" s="1963"/>
      <c r="BC11434" s="1963"/>
      <c r="BD11434" s="1963"/>
      <c r="BE11434" s="1963"/>
      <c r="BF11434" s="1963"/>
      <c r="BG11434" s="1963"/>
      <c r="BH11434" s="1963"/>
      <c r="BI11434" s="1963"/>
      <c r="BJ11434" s="1963"/>
      <c r="BK11434" s="1963"/>
      <c r="BL11434" s="1963"/>
      <c r="BM11434" s="1963"/>
      <c r="BN11434" s="1963"/>
      <c r="BO11434" s="1963"/>
      <c r="BP11434" s="1963"/>
      <c r="BQ11434" s="1963"/>
      <c r="BR11434" s="1963"/>
      <c r="BS11434" s="1963"/>
      <c r="BT11434" s="1963"/>
      <c r="BU11434" s="1963"/>
      <c r="BV11434" s="1963"/>
      <c r="BW11434" s="1963"/>
      <c r="BX11434" s="1963"/>
      <c r="BY11434" s="1963"/>
      <c r="BZ11434" s="1963"/>
      <c r="CA11434" s="1963"/>
      <c r="CB11434" s="1963"/>
      <c r="CC11434" s="1963"/>
      <c r="CD11434" s="1963"/>
      <c r="CE11434" s="1963"/>
      <c r="CF11434" s="1963"/>
      <c r="CG11434" s="1963"/>
      <c r="CH11434" s="1963"/>
      <c r="CI11434" s="1963"/>
      <c r="CJ11434" s="1963"/>
      <c r="CK11434" s="1963"/>
      <c r="CL11434" s="1963"/>
      <c r="CM11434" s="1963"/>
      <c r="CN11434" s="1963"/>
      <c r="CO11434" s="1963"/>
      <c r="CP11434" s="1963"/>
      <c r="CQ11434" s="1963"/>
      <c r="CR11434" s="1963"/>
      <c r="CS11434" s="1963"/>
      <c r="CT11434" s="1963"/>
      <c r="CU11434" s="1963"/>
      <c r="CV11434" s="1963"/>
      <c r="CW11434" s="1963"/>
      <c r="CX11434" s="1963"/>
      <c r="CY11434" s="1963"/>
      <c r="CZ11434" s="1963"/>
      <c r="DA11434" s="1963"/>
      <c r="DB11434" s="1963"/>
      <c r="DC11434" s="1963"/>
      <c r="DD11434" s="1963"/>
      <c r="DE11434" s="1963"/>
      <c r="DF11434" s="1963"/>
      <c r="DG11434" s="1963"/>
      <c r="DH11434" s="1963"/>
      <c r="DI11434" s="1963"/>
      <c r="DJ11434" s="1963"/>
      <c r="DK11434" s="1963"/>
      <c r="DL11434" s="1963"/>
      <c r="DM11434" s="1963"/>
      <c r="DN11434" s="1963"/>
      <c r="DO11434" s="1963"/>
      <c r="DP11434" s="1963"/>
      <c r="DQ11434" s="1963"/>
      <c r="DR11434" s="1963"/>
      <c r="DS11434" s="1963"/>
      <c r="DT11434" s="1963"/>
      <c r="DU11434" s="1963"/>
      <c r="DV11434" s="1963"/>
      <c r="DW11434" s="1963"/>
      <c r="DX11434" s="1963"/>
      <c r="DY11434" s="1963"/>
      <c r="DZ11434" s="1963"/>
      <c r="EA11434" s="1963"/>
      <c r="EB11434" s="1963"/>
      <c r="EC11434" s="1963"/>
      <c r="ED11434" s="1963"/>
      <c r="EE11434" s="1963"/>
      <c r="EF11434" s="1963"/>
      <c r="EG11434" s="1963"/>
      <c r="EH11434" s="1963"/>
      <c r="EI11434" s="1963"/>
      <c r="EJ11434" s="1963"/>
      <c r="EK11434" s="1963"/>
      <c r="EL11434" s="1963"/>
      <c r="EM11434" s="1963"/>
      <c r="EN11434" s="1963"/>
      <c r="EO11434" s="1963"/>
      <c r="EP11434" s="1963"/>
      <c r="EQ11434" s="1963"/>
      <c r="ER11434" s="1963"/>
      <c r="ES11434" s="1963"/>
      <c r="ET11434" s="1963"/>
      <c r="EU11434" s="1963"/>
      <c r="EV11434" s="1963"/>
      <c r="EW11434" s="1963"/>
    </row>
    <row r="11435" spans="1:153" s="1165" customFormat="1" ht="15">
      <c r="A11435" s="2154" t="s">
        <v>8308</v>
      </c>
      <c r="B11435" s="2155">
        <v>6</v>
      </c>
      <c r="C11435" s="2555">
        <v>50</v>
      </c>
      <c r="D11435" s="2194" t="s">
        <v>1812</v>
      </c>
      <c r="E11435" s="2197">
        <f t="shared" si="144"/>
        <v>0.35</v>
      </c>
      <c r="F11435" s="2280">
        <v>21</v>
      </c>
      <c r="G11435" s="2070">
        <f t="shared" si="145"/>
        <v>0.5</v>
      </c>
      <c r="H11435" s="317">
        <v>120</v>
      </c>
      <c r="I11435" s="2156" t="s">
        <v>1197</v>
      </c>
      <c r="J11435" s="2553" t="s">
        <v>8742</v>
      </c>
      <c r="K11435" s="2553" t="s">
        <v>6110</v>
      </c>
      <c r="L11435" s="2554"/>
      <c r="M11435" s="1963"/>
      <c r="N11435" s="1963"/>
      <c r="O11435" s="1963"/>
      <c r="P11435" s="1963"/>
      <c r="Q11435" s="1963"/>
      <c r="R11435" s="1963"/>
      <c r="S11435" s="1963"/>
      <c r="T11435" s="1963"/>
      <c r="U11435" s="1963"/>
      <c r="V11435" s="1963"/>
      <c r="W11435" s="1963"/>
      <c r="X11435" s="1963"/>
      <c r="Y11435" s="1963"/>
      <c r="Z11435" s="1963"/>
      <c r="AA11435" s="1963"/>
      <c r="AB11435" s="1963"/>
      <c r="AC11435" s="1963"/>
      <c r="AD11435" s="1963"/>
      <c r="AE11435" s="1963"/>
      <c r="AF11435" s="1963"/>
      <c r="AG11435" s="1963"/>
      <c r="AH11435" s="1963"/>
      <c r="AI11435" s="1963"/>
      <c r="AJ11435" s="1963"/>
      <c r="AK11435" s="1963"/>
      <c r="AL11435" s="1963"/>
      <c r="AM11435" s="1963"/>
      <c r="AN11435" s="1963"/>
      <c r="AO11435" s="1963"/>
      <c r="AP11435" s="1963"/>
      <c r="AQ11435" s="1963"/>
      <c r="AR11435" s="1963"/>
      <c r="AS11435" s="1963"/>
      <c r="AT11435" s="1963"/>
      <c r="AU11435" s="1963"/>
      <c r="AV11435" s="1963"/>
      <c r="AW11435" s="1963"/>
      <c r="AX11435" s="1963"/>
      <c r="AY11435" s="1963"/>
      <c r="AZ11435" s="1963"/>
      <c r="BA11435" s="1963"/>
      <c r="BB11435" s="1963"/>
      <c r="BC11435" s="1963"/>
      <c r="BD11435" s="1963"/>
      <c r="BE11435" s="1963"/>
      <c r="BF11435" s="1963"/>
      <c r="BG11435" s="1963"/>
      <c r="BH11435" s="1963"/>
      <c r="BI11435" s="1963"/>
      <c r="BJ11435" s="1963"/>
      <c r="BK11435" s="1963"/>
      <c r="BL11435" s="1963"/>
      <c r="BM11435" s="1963"/>
      <c r="BN11435" s="1963"/>
      <c r="BO11435" s="1963"/>
      <c r="BP11435" s="1963"/>
      <c r="BQ11435" s="1963"/>
      <c r="BR11435" s="1963"/>
      <c r="BS11435" s="1963"/>
      <c r="BT11435" s="1963"/>
      <c r="BU11435" s="1963"/>
      <c r="BV11435" s="1963"/>
      <c r="BW11435" s="1963"/>
      <c r="BX11435" s="1963"/>
      <c r="BY11435" s="1963"/>
      <c r="BZ11435" s="1963"/>
      <c r="CA11435" s="1963"/>
      <c r="CB11435" s="1963"/>
      <c r="CC11435" s="1963"/>
      <c r="CD11435" s="1963"/>
      <c r="CE11435" s="1963"/>
      <c r="CF11435" s="1963"/>
      <c r="CG11435" s="1963"/>
      <c r="CH11435" s="1963"/>
      <c r="CI11435" s="1963"/>
      <c r="CJ11435" s="1963"/>
      <c r="CK11435" s="1963"/>
      <c r="CL11435" s="1963"/>
      <c r="CM11435" s="1963"/>
      <c r="CN11435" s="1963"/>
      <c r="CO11435" s="1963"/>
      <c r="CP11435" s="1963"/>
      <c r="CQ11435" s="1963"/>
      <c r="CR11435" s="1963"/>
      <c r="CS11435" s="1963"/>
      <c r="CT11435" s="1963"/>
      <c r="CU11435" s="1963"/>
      <c r="CV11435" s="1963"/>
      <c r="CW11435" s="1963"/>
      <c r="CX11435" s="1963"/>
      <c r="CY11435" s="1963"/>
      <c r="CZ11435" s="1963"/>
      <c r="DA11435" s="1963"/>
      <c r="DB11435" s="1963"/>
      <c r="DC11435" s="1963"/>
      <c r="DD11435" s="1963"/>
      <c r="DE11435" s="1963"/>
      <c r="DF11435" s="1963"/>
      <c r="DG11435" s="1963"/>
      <c r="DH11435" s="1963"/>
      <c r="DI11435" s="1963"/>
      <c r="DJ11435" s="1963"/>
      <c r="DK11435" s="1963"/>
      <c r="DL11435" s="1963"/>
      <c r="DM11435" s="1963"/>
      <c r="DN11435" s="1963"/>
      <c r="DO11435" s="1963"/>
      <c r="DP11435" s="1963"/>
      <c r="DQ11435" s="1963"/>
      <c r="DR11435" s="1963"/>
      <c r="DS11435" s="1963"/>
      <c r="DT11435" s="1963"/>
      <c r="DU11435" s="1963"/>
      <c r="DV11435" s="1963"/>
      <c r="DW11435" s="1963"/>
      <c r="DX11435" s="1963"/>
      <c r="DY11435" s="1963"/>
      <c r="DZ11435" s="1963"/>
      <c r="EA11435" s="1963"/>
      <c r="EB11435" s="1963"/>
      <c r="EC11435" s="1963"/>
      <c r="ED11435" s="1963"/>
      <c r="EE11435" s="1963"/>
      <c r="EF11435" s="1963"/>
      <c r="EG11435" s="1963"/>
      <c r="EH11435" s="1963"/>
      <c r="EI11435" s="1963"/>
      <c r="EJ11435" s="1963"/>
      <c r="EK11435" s="1963"/>
      <c r="EL11435" s="1963"/>
      <c r="EM11435" s="1963"/>
      <c r="EN11435" s="1963"/>
      <c r="EO11435" s="1963"/>
      <c r="EP11435" s="1963"/>
      <c r="EQ11435" s="1963"/>
      <c r="ER11435" s="1963"/>
      <c r="ES11435" s="1963"/>
      <c r="ET11435" s="1963"/>
      <c r="EU11435" s="1963"/>
      <c r="EV11435" s="1963"/>
      <c r="EW11435" s="1963"/>
    </row>
    <row r="11436" spans="1:153" s="1165" customFormat="1" ht="15">
      <c r="A11436" s="2154" t="s">
        <v>8308</v>
      </c>
      <c r="B11436" s="2155">
        <v>8</v>
      </c>
      <c r="C11436" s="2555">
        <v>50</v>
      </c>
      <c r="D11436" s="2194" t="s">
        <v>1812</v>
      </c>
      <c r="E11436" s="2197">
        <f t="shared" si="144"/>
        <v>0.44</v>
      </c>
      <c r="F11436" s="2280">
        <v>26</v>
      </c>
      <c r="G11436" s="2070">
        <f t="shared" si="145"/>
        <v>0.50757575757575757</v>
      </c>
      <c r="H11436" s="317">
        <v>120</v>
      </c>
      <c r="I11436" s="2156" t="s">
        <v>1197</v>
      </c>
      <c r="J11436" s="2553" t="s">
        <v>8742</v>
      </c>
      <c r="K11436" s="2553" t="s">
        <v>6110</v>
      </c>
      <c r="L11436" s="2554"/>
      <c r="M11436" s="1963"/>
      <c r="N11436" s="1963"/>
      <c r="O11436" s="1963"/>
      <c r="P11436" s="1963"/>
      <c r="Q11436" s="1963"/>
      <c r="R11436" s="1963"/>
      <c r="S11436" s="1963"/>
      <c r="T11436" s="1963"/>
      <c r="U11436" s="1963"/>
      <c r="V11436" s="1963"/>
      <c r="W11436" s="1963"/>
      <c r="X11436" s="1963"/>
      <c r="Y11436" s="1963"/>
      <c r="Z11436" s="1963"/>
      <c r="AA11436" s="1963"/>
      <c r="AB11436" s="1963"/>
      <c r="AC11436" s="1963"/>
      <c r="AD11436" s="1963"/>
      <c r="AE11436" s="1963"/>
      <c r="AF11436" s="1963"/>
      <c r="AG11436" s="1963"/>
      <c r="AH11436" s="1963"/>
      <c r="AI11436" s="1963"/>
      <c r="AJ11436" s="1963"/>
      <c r="AK11436" s="1963"/>
      <c r="AL11436" s="1963"/>
      <c r="AM11436" s="1963"/>
      <c r="AN11436" s="1963"/>
      <c r="AO11436" s="1963"/>
      <c r="AP11436" s="1963"/>
      <c r="AQ11436" s="1963"/>
      <c r="AR11436" s="1963"/>
      <c r="AS11436" s="1963"/>
      <c r="AT11436" s="1963"/>
      <c r="AU11436" s="1963"/>
      <c r="AV11436" s="1963"/>
      <c r="AW11436" s="1963"/>
      <c r="AX11436" s="1963"/>
      <c r="AY11436" s="1963"/>
      <c r="AZ11436" s="1963"/>
      <c r="BA11436" s="1963"/>
      <c r="BB11436" s="1963"/>
      <c r="BC11436" s="1963"/>
      <c r="BD11436" s="1963"/>
      <c r="BE11436" s="1963"/>
      <c r="BF11436" s="1963"/>
      <c r="BG11436" s="1963"/>
      <c r="BH11436" s="1963"/>
      <c r="BI11436" s="1963"/>
      <c r="BJ11436" s="1963"/>
      <c r="BK11436" s="1963"/>
      <c r="BL11436" s="1963"/>
      <c r="BM11436" s="1963"/>
      <c r="BN11436" s="1963"/>
      <c r="BO11436" s="1963"/>
      <c r="BP11436" s="1963"/>
      <c r="BQ11436" s="1963"/>
      <c r="BR11436" s="1963"/>
      <c r="BS11436" s="1963"/>
      <c r="BT11436" s="1963"/>
      <c r="BU11436" s="1963"/>
      <c r="BV11436" s="1963"/>
      <c r="BW11436" s="1963"/>
      <c r="BX11436" s="1963"/>
      <c r="BY11436" s="1963"/>
      <c r="BZ11436" s="1963"/>
      <c r="CA11436" s="1963"/>
      <c r="CB11436" s="1963"/>
      <c r="CC11436" s="1963"/>
      <c r="CD11436" s="1963"/>
      <c r="CE11436" s="1963"/>
      <c r="CF11436" s="1963"/>
      <c r="CG11436" s="1963"/>
      <c r="CH11436" s="1963"/>
      <c r="CI11436" s="1963"/>
      <c r="CJ11436" s="1963"/>
      <c r="CK11436" s="1963"/>
      <c r="CL11436" s="1963"/>
      <c r="CM11436" s="1963"/>
      <c r="CN11436" s="1963"/>
      <c r="CO11436" s="1963"/>
      <c r="CP11436" s="1963"/>
      <c r="CQ11436" s="1963"/>
      <c r="CR11436" s="1963"/>
      <c r="CS11436" s="1963"/>
      <c r="CT11436" s="1963"/>
      <c r="CU11436" s="1963"/>
      <c r="CV11436" s="1963"/>
      <c r="CW11436" s="1963"/>
      <c r="CX11436" s="1963"/>
      <c r="CY11436" s="1963"/>
      <c r="CZ11436" s="1963"/>
      <c r="DA11436" s="1963"/>
      <c r="DB11436" s="1963"/>
      <c r="DC11436" s="1963"/>
      <c r="DD11436" s="1963"/>
      <c r="DE11436" s="1963"/>
      <c r="DF11436" s="1963"/>
      <c r="DG11436" s="1963"/>
      <c r="DH11436" s="1963"/>
      <c r="DI11436" s="1963"/>
      <c r="DJ11436" s="1963"/>
      <c r="DK11436" s="1963"/>
      <c r="DL11436" s="1963"/>
      <c r="DM11436" s="1963"/>
      <c r="DN11436" s="1963"/>
      <c r="DO11436" s="1963"/>
      <c r="DP11436" s="1963"/>
      <c r="DQ11436" s="1963"/>
      <c r="DR11436" s="1963"/>
      <c r="DS11436" s="1963"/>
      <c r="DT11436" s="1963"/>
      <c r="DU11436" s="1963"/>
      <c r="DV11436" s="1963"/>
      <c r="DW11436" s="1963"/>
      <c r="DX11436" s="1963"/>
      <c r="DY11436" s="1963"/>
      <c r="DZ11436" s="1963"/>
      <c r="EA11436" s="1963"/>
      <c r="EB11436" s="1963"/>
      <c r="EC11436" s="1963"/>
      <c r="ED11436" s="1963"/>
      <c r="EE11436" s="1963"/>
      <c r="EF11436" s="1963"/>
      <c r="EG11436" s="1963"/>
      <c r="EH11436" s="1963"/>
      <c r="EI11436" s="1963"/>
      <c r="EJ11436" s="1963"/>
      <c r="EK11436" s="1963"/>
      <c r="EL11436" s="1963"/>
      <c r="EM11436" s="1963"/>
      <c r="EN11436" s="1963"/>
      <c r="EO11436" s="1963"/>
      <c r="EP11436" s="1963"/>
      <c r="EQ11436" s="1963"/>
      <c r="ER11436" s="1963"/>
      <c r="ES11436" s="1963"/>
      <c r="ET11436" s="1963"/>
      <c r="EU11436" s="1963"/>
      <c r="EV11436" s="1963"/>
      <c r="EW11436" s="1963"/>
    </row>
    <row r="11437" spans="1:153" s="1165" customFormat="1" ht="15">
      <c r="A11437" s="2154" t="s">
        <v>8746</v>
      </c>
      <c r="B11437" s="2155">
        <v>2</v>
      </c>
      <c r="C11437" s="2555">
        <v>50</v>
      </c>
      <c r="D11437" s="2194" t="s">
        <v>1812</v>
      </c>
      <c r="E11437" s="2197">
        <f t="shared" si="144"/>
        <v>0.3</v>
      </c>
      <c r="F11437" s="2280">
        <v>18</v>
      </c>
      <c r="G11437" s="2070">
        <f t="shared" si="145"/>
        <v>0.5</v>
      </c>
      <c r="H11437" s="317">
        <v>120</v>
      </c>
      <c r="I11437" s="2156" t="s">
        <v>1197</v>
      </c>
      <c r="J11437" s="2553" t="s">
        <v>8742</v>
      </c>
      <c r="K11437" s="2553" t="s">
        <v>6110</v>
      </c>
      <c r="L11437" s="2554"/>
      <c r="M11437" s="1963"/>
      <c r="N11437" s="1963"/>
      <c r="O11437" s="1963"/>
      <c r="P11437" s="1963"/>
      <c r="Q11437" s="1963"/>
      <c r="R11437" s="1963"/>
      <c r="S11437" s="1963"/>
      <c r="T11437" s="1963"/>
      <c r="U11437" s="1963"/>
      <c r="V11437" s="1963"/>
      <c r="W11437" s="1963"/>
      <c r="X11437" s="1963"/>
      <c r="Y11437" s="1963"/>
      <c r="Z11437" s="1963"/>
      <c r="AA11437" s="1963"/>
      <c r="AB11437" s="1963"/>
      <c r="AC11437" s="1963"/>
      <c r="AD11437" s="1963"/>
      <c r="AE11437" s="1963"/>
      <c r="AF11437" s="1963"/>
      <c r="AG11437" s="1963"/>
      <c r="AH11437" s="1963"/>
      <c r="AI11437" s="1963"/>
      <c r="AJ11437" s="1963"/>
      <c r="AK11437" s="1963"/>
      <c r="AL11437" s="1963"/>
      <c r="AM11437" s="1963"/>
      <c r="AN11437" s="1963"/>
      <c r="AO11437" s="1963"/>
      <c r="AP11437" s="1963"/>
      <c r="AQ11437" s="1963"/>
      <c r="AR11437" s="1963"/>
      <c r="AS11437" s="1963"/>
      <c r="AT11437" s="1963"/>
      <c r="AU11437" s="1963"/>
      <c r="AV11437" s="1963"/>
      <c r="AW11437" s="1963"/>
      <c r="AX11437" s="1963"/>
      <c r="AY11437" s="1963"/>
      <c r="AZ11437" s="1963"/>
      <c r="BA11437" s="1963"/>
      <c r="BB11437" s="1963"/>
      <c r="BC11437" s="1963"/>
      <c r="BD11437" s="1963"/>
      <c r="BE11437" s="1963"/>
      <c r="BF11437" s="1963"/>
      <c r="BG11437" s="1963"/>
      <c r="BH11437" s="1963"/>
      <c r="BI11437" s="1963"/>
      <c r="BJ11437" s="1963"/>
      <c r="BK11437" s="1963"/>
      <c r="BL11437" s="1963"/>
      <c r="BM11437" s="1963"/>
      <c r="BN11437" s="1963"/>
      <c r="BO11437" s="1963"/>
      <c r="BP11437" s="1963"/>
      <c r="BQ11437" s="1963"/>
      <c r="BR11437" s="1963"/>
      <c r="BS11437" s="1963"/>
      <c r="BT11437" s="1963"/>
      <c r="BU11437" s="1963"/>
      <c r="BV11437" s="1963"/>
      <c r="BW11437" s="1963"/>
      <c r="BX11437" s="1963"/>
      <c r="BY11437" s="1963"/>
      <c r="BZ11437" s="1963"/>
      <c r="CA11437" s="1963"/>
      <c r="CB11437" s="1963"/>
      <c r="CC11437" s="1963"/>
      <c r="CD11437" s="1963"/>
      <c r="CE11437" s="1963"/>
      <c r="CF11437" s="1963"/>
      <c r="CG11437" s="1963"/>
      <c r="CH11437" s="1963"/>
      <c r="CI11437" s="1963"/>
      <c r="CJ11437" s="1963"/>
      <c r="CK11437" s="1963"/>
      <c r="CL11437" s="1963"/>
      <c r="CM11437" s="1963"/>
      <c r="CN11437" s="1963"/>
      <c r="CO11437" s="1963"/>
      <c r="CP11437" s="1963"/>
      <c r="CQ11437" s="1963"/>
      <c r="CR11437" s="1963"/>
      <c r="CS11437" s="1963"/>
      <c r="CT11437" s="1963"/>
      <c r="CU11437" s="1963"/>
      <c r="CV11437" s="1963"/>
      <c r="CW11437" s="1963"/>
      <c r="CX11437" s="1963"/>
      <c r="CY11437" s="1963"/>
      <c r="CZ11437" s="1963"/>
      <c r="DA11437" s="1963"/>
      <c r="DB11437" s="1963"/>
      <c r="DC11437" s="1963"/>
      <c r="DD11437" s="1963"/>
      <c r="DE11437" s="1963"/>
      <c r="DF11437" s="1963"/>
      <c r="DG11437" s="1963"/>
      <c r="DH11437" s="1963"/>
      <c r="DI11437" s="1963"/>
      <c r="DJ11437" s="1963"/>
      <c r="DK11437" s="1963"/>
      <c r="DL11437" s="1963"/>
      <c r="DM11437" s="1963"/>
      <c r="DN11437" s="1963"/>
      <c r="DO11437" s="1963"/>
      <c r="DP11437" s="1963"/>
      <c r="DQ11437" s="1963"/>
      <c r="DR11437" s="1963"/>
      <c r="DS11437" s="1963"/>
      <c r="DT11437" s="1963"/>
      <c r="DU11437" s="1963"/>
      <c r="DV11437" s="1963"/>
      <c r="DW11437" s="1963"/>
      <c r="DX11437" s="1963"/>
      <c r="DY11437" s="1963"/>
      <c r="DZ11437" s="1963"/>
      <c r="EA11437" s="1963"/>
      <c r="EB11437" s="1963"/>
      <c r="EC11437" s="1963"/>
      <c r="ED11437" s="1963"/>
      <c r="EE11437" s="1963"/>
      <c r="EF11437" s="1963"/>
      <c r="EG11437" s="1963"/>
      <c r="EH11437" s="1963"/>
      <c r="EI11437" s="1963"/>
      <c r="EJ11437" s="1963"/>
      <c r="EK11437" s="1963"/>
      <c r="EL11437" s="1963"/>
      <c r="EM11437" s="1963"/>
      <c r="EN11437" s="1963"/>
      <c r="EO11437" s="1963"/>
      <c r="EP11437" s="1963"/>
      <c r="EQ11437" s="1963"/>
      <c r="ER11437" s="1963"/>
      <c r="ES11437" s="1963"/>
      <c r="ET11437" s="1963"/>
      <c r="EU11437" s="1963"/>
      <c r="EV11437" s="1963"/>
      <c r="EW11437" s="1963"/>
    </row>
    <row r="11438" spans="1:153" s="1165" customFormat="1" ht="15">
      <c r="A11438" s="2154" t="s">
        <v>8746</v>
      </c>
      <c r="B11438" s="2155">
        <v>3</v>
      </c>
      <c r="C11438" s="2555">
        <v>50</v>
      </c>
      <c r="D11438" s="2194" t="s">
        <v>1812</v>
      </c>
      <c r="E11438" s="2197">
        <f t="shared" si="144"/>
        <v>0.37</v>
      </c>
      <c r="F11438" s="2280">
        <v>22</v>
      </c>
      <c r="G11438" s="2070">
        <f t="shared" si="145"/>
        <v>0.50450450450450457</v>
      </c>
      <c r="H11438" s="317">
        <v>120</v>
      </c>
      <c r="I11438" s="2156" t="s">
        <v>1197</v>
      </c>
      <c r="J11438" s="2553" t="s">
        <v>8742</v>
      </c>
      <c r="K11438" s="2553" t="s">
        <v>6110</v>
      </c>
      <c r="L11438" s="2554"/>
      <c r="M11438" s="1963"/>
      <c r="N11438" s="1963"/>
      <c r="O11438" s="1963"/>
      <c r="P11438" s="1963"/>
      <c r="Q11438" s="1963"/>
      <c r="R11438" s="1963"/>
      <c r="S11438" s="1963"/>
      <c r="T11438" s="1963"/>
      <c r="U11438" s="1963"/>
      <c r="V11438" s="1963"/>
      <c r="W11438" s="1963"/>
      <c r="X11438" s="1963"/>
      <c r="Y11438" s="1963"/>
      <c r="Z11438" s="1963"/>
      <c r="AA11438" s="1963"/>
      <c r="AB11438" s="1963"/>
      <c r="AC11438" s="1963"/>
      <c r="AD11438" s="1963"/>
      <c r="AE11438" s="1963"/>
      <c r="AF11438" s="1963"/>
      <c r="AG11438" s="1963"/>
      <c r="AH11438" s="1963"/>
      <c r="AI11438" s="1963"/>
      <c r="AJ11438" s="1963"/>
      <c r="AK11438" s="1963"/>
      <c r="AL11438" s="1963"/>
      <c r="AM11438" s="1963"/>
      <c r="AN11438" s="1963"/>
      <c r="AO11438" s="1963"/>
      <c r="AP11438" s="1963"/>
      <c r="AQ11438" s="1963"/>
      <c r="AR11438" s="1963"/>
      <c r="AS11438" s="1963"/>
      <c r="AT11438" s="1963"/>
      <c r="AU11438" s="1963"/>
      <c r="AV11438" s="1963"/>
      <c r="AW11438" s="1963"/>
      <c r="AX11438" s="1963"/>
      <c r="AY11438" s="1963"/>
      <c r="AZ11438" s="1963"/>
      <c r="BA11438" s="1963"/>
      <c r="BB11438" s="1963"/>
      <c r="BC11438" s="1963"/>
      <c r="BD11438" s="1963"/>
      <c r="BE11438" s="1963"/>
      <c r="BF11438" s="1963"/>
      <c r="BG11438" s="1963"/>
      <c r="BH11438" s="1963"/>
      <c r="BI11438" s="1963"/>
      <c r="BJ11438" s="1963"/>
      <c r="BK11438" s="1963"/>
      <c r="BL11438" s="1963"/>
      <c r="BM11438" s="1963"/>
      <c r="BN11438" s="1963"/>
      <c r="BO11438" s="1963"/>
      <c r="BP11438" s="1963"/>
      <c r="BQ11438" s="1963"/>
      <c r="BR11438" s="1963"/>
      <c r="BS11438" s="1963"/>
      <c r="BT11438" s="1963"/>
      <c r="BU11438" s="1963"/>
      <c r="BV11438" s="1963"/>
      <c r="BW11438" s="1963"/>
      <c r="BX11438" s="1963"/>
      <c r="BY11438" s="1963"/>
      <c r="BZ11438" s="1963"/>
      <c r="CA11438" s="1963"/>
      <c r="CB11438" s="1963"/>
      <c r="CC11438" s="1963"/>
      <c r="CD11438" s="1963"/>
      <c r="CE11438" s="1963"/>
      <c r="CF11438" s="1963"/>
      <c r="CG11438" s="1963"/>
      <c r="CH11438" s="1963"/>
      <c r="CI11438" s="1963"/>
      <c r="CJ11438" s="1963"/>
      <c r="CK11438" s="1963"/>
      <c r="CL11438" s="1963"/>
      <c r="CM11438" s="1963"/>
      <c r="CN11438" s="1963"/>
      <c r="CO11438" s="1963"/>
      <c r="CP11438" s="1963"/>
      <c r="CQ11438" s="1963"/>
      <c r="CR11438" s="1963"/>
      <c r="CS11438" s="1963"/>
      <c r="CT11438" s="1963"/>
      <c r="CU11438" s="1963"/>
      <c r="CV11438" s="1963"/>
      <c r="CW11438" s="1963"/>
      <c r="CX11438" s="1963"/>
      <c r="CY11438" s="1963"/>
      <c r="CZ11438" s="1963"/>
      <c r="DA11438" s="1963"/>
      <c r="DB11438" s="1963"/>
      <c r="DC11438" s="1963"/>
      <c r="DD11438" s="1963"/>
      <c r="DE11438" s="1963"/>
      <c r="DF11438" s="1963"/>
      <c r="DG11438" s="1963"/>
      <c r="DH11438" s="1963"/>
      <c r="DI11438" s="1963"/>
      <c r="DJ11438" s="1963"/>
      <c r="DK11438" s="1963"/>
      <c r="DL11438" s="1963"/>
      <c r="DM11438" s="1963"/>
      <c r="DN11438" s="1963"/>
      <c r="DO11438" s="1963"/>
      <c r="DP11438" s="1963"/>
      <c r="DQ11438" s="1963"/>
      <c r="DR11438" s="1963"/>
      <c r="DS11438" s="1963"/>
      <c r="DT11438" s="1963"/>
      <c r="DU11438" s="1963"/>
      <c r="DV11438" s="1963"/>
      <c r="DW11438" s="1963"/>
      <c r="DX11438" s="1963"/>
      <c r="DY11438" s="1963"/>
      <c r="DZ11438" s="1963"/>
      <c r="EA11438" s="1963"/>
      <c r="EB11438" s="1963"/>
      <c r="EC11438" s="1963"/>
      <c r="ED11438" s="1963"/>
      <c r="EE11438" s="1963"/>
      <c r="EF11438" s="1963"/>
      <c r="EG11438" s="1963"/>
      <c r="EH11438" s="1963"/>
      <c r="EI11438" s="1963"/>
      <c r="EJ11438" s="1963"/>
      <c r="EK11438" s="1963"/>
      <c r="EL11438" s="1963"/>
      <c r="EM11438" s="1963"/>
      <c r="EN11438" s="1963"/>
      <c r="EO11438" s="1963"/>
      <c r="EP11438" s="1963"/>
      <c r="EQ11438" s="1963"/>
      <c r="ER11438" s="1963"/>
      <c r="ES11438" s="1963"/>
      <c r="ET11438" s="1963"/>
      <c r="EU11438" s="1963"/>
      <c r="EV11438" s="1963"/>
      <c r="EW11438" s="1963"/>
    </row>
    <row r="11439" spans="1:153" s="1165" customFormat="1" ht="15">
      <c r="A11439" s="2154" t="s">
        <v>8747</v>
      </c>
      <c r="B11439" s="2155"/>
      <c r="C11439" s="2156">
        <v>30</v>
      </c>
      <c r="D11439" s="2194" t="s">
        <v>1812</v>
      </c>
      <c r="E11439" s="2197">
        <f t="shared" si="144"/>
        <v>0.42</v>
      </c>
      <c r="F11439" s="2280">
        <v>25</v>
      </c>
      <c r="G11439" s="2070">
        <f t="shared" si="145"/>
        <v>0.50396825396825395</v>
      </c>
      <c r="H11439" s="317">
        <v>120</v>
      </c>
      <c r="I11439" s="2156" t="s">
        <v>1197</v>
      </c>
      <c r="J11439" s="2553" t="s">
        <v>8742</v>
      </c>
      <c r="K11439" s="2553" t="s">
        <v>6110</v>
      </c>
      <c r="L11439" s="2554"/>
      <c r="M11439" s="1963"/>
      <c r="N11439" s="1963"/>
      <c r="O11439" s="1963"/>
      <c r="P11439" s="1963"/>
      <c r="Q11439" s="1963"/>
      <c r="R11439" s="1963"/>
      <c r="S11439" s="1963"/>
      <c r="T11439" s="1963"/>
      <c r="U11439" s="1963"/>
      <c r="V11439" s="1963"/>
      <c r="W11439" s="1963"/>
      <c r="X11439" s="1963"/>
      <c r="Y11439" s="1963"/>
      <c r="Z11439" s="1963"/>
      <c r="AA11439" s="1963"/>
      <c r="AB11439" s="1963"/>
      <c r="AC11439" s="1963"/>
      <c r="AD11439" s="1963"/>
      <c r="AE11439" s="1963"/>
      <c r="AF11439" s="1963"/>
      <c r="AG11439" s="1963"/>
      <c r="AH11439" s="1963"/>
      <c r="AI11439" s="1963"/>
      <c r="AJ11439" s="1963"/>
      <c r="AK11439" s="1963"/>
      <c r="AL11439" s="1963"/>
      <c r="AM11439" s="1963"/>
      <c r="AN11439" s="1963"/>
      <c r="AO11439" s="1963"/>
      <c r="AP11439" s="1963"/>
      <c r="AQ11439" s="1963"/>
      <c r="AR11439" s="1963"/>
      <c r="AS11439" s="1963"/>
      <c r="AT11439" s="1963"/>
      <c r="AU11439" s="1963"/>
      <c r="AV11439" s="1963"/>
      <c r="AW11439" s="1963"/>
      <c r="AX11439" s="1963"/>
      <c r="AY11439" s="1963"/>
      <c r="AZ11439" s="1963"/>
      <c r="BA11439" s="1963"/>
      <c r="BB11439" s="1963"/>
      <c r="BC11439" s="1963"/>
      <c r="BD11439" s="1963"/>
      <c r="BE11439" s="1963"/>
      <c r="BF11439" s="1963"/>
      <c r="BG11439" s="1963"/>
      <c r="BH11439" s="1963"/>
      <c r="BI11439" s="1963"/>
      <c r="BJ11439" s="1963"/>
      <c r="BK11439" s="1963"/>
      <c r="BL11439" s="1963"/>
      <c r="BM11439" s="1963"/>
      <c r="BN11439" s="1963"/>
      <c r="BO11439" s="1963"/>
      <c r="BP11439" s="1963"/>
      <c r="BQ11439" s="1963"/>
      <c r="BR11439" s="1963"/>
      <c r="BS11439" s="1963"/>
      <c r="BT11439" s="1963"/>
      <c r="BU11439" s="1963"/>
      <c r="BV11439" s="1963"/>
      <c r="BW11439" s="1963"/>
      <c r="BX11439" s="1963"/>
      <c r="BY11439" s="1963"/>
      <c r="BZ11439" s="1963"/>
      <c r="CA11439" s="1963"/>
      <c r="CB11439" s="1963"/>
      <c r="CC11439" s="1963"/>
      <c r="CD11439" s="1963"/>
      <c r="CE11439" s="1963"/>
      <c r="CF11439" s="1963"/>
      <c r="CG11439" s="1963"/>
      <c r="CH11439" s="1963"/>
      <c r="CI11439" s="1963"/>
      <c r="CJ11439" s="1963"/>
      <c r="CK11439" s="1963"/>
      <c r="CL11439" s="1963"/>
      <c r="CM11439" s="1963"/>
      <c r="CN11439" s="1963"/>
      <c r="CO11439" s="1963"/>
      <c r="CP11439" s="1963"/>
      <c r="CQ11439" s="1963"/>
      <c r="CR11439" s="1963"/>
      <c r="CS11439" s="1963"/>
      <c r="CT11439" s="1963"/>
      <c r="CU11439" s="1963"/>
      <c r="CV11439" s="1963"/>
      <c r="CW11439" s="1963"/>
      <c r="CX11439" s="1963"/>
      <c r="CY11439" s="1963"/>
      <c r="CZ11439" s="1963"/>
      <c r="DA11439" s="1963"/>
      <c r="DB11439" s="1963"/>
      <c r="DC11439" s="1963"/>
      <c r="DD11439" s="1963"/>
      <c r="DE11439" s="1963"/>
      <c r="DF11439" s="1963"/>
      <c r="DG11439" s="1963"/>
      <c r="DH11439" s="1963"/>
      <c r="DI11439" s="1963"/>
      <c r="DJ11439" s="1963"/>
      <c r="DK11439" s="1963"/>
      <c r="DL11439" s="1963"/>
      <c r="DM11439" s="1963"/>
      <c r="DN11439" s="1963"/>
      <c r="DO11439" s="1963"/>
      <c r="DP11439" s="1963"/>
      <c r="DQ11439" s="1963"/>
      <c r="DR11439" s="1963"/>
      <c r="DS11439" s="1963"/>
      <c r="DT11439" s="1963"/>
      <c r="DU11439" s="1963"/>
      <c r="DV11439" s="1963"/>
      <c r="DW11439" s="1963"/>
      <c r="DX11439" s="1963"/>
      <c r="DY11439" s="1963"/>
      <c r="DZ11439" s="1963"/>
      <c r="EA11439" s="1963"/>
      <c r="EB11439" s="1963"/>
      <c r="EC11439" s="1963"/>
      <c r="ED11439" s="1963"/>
      <c r="EE11439" s="1963"/>
      <c r="EF11439" s="1963"/>
      <c r="EG11439" s="1963"/>
      <c r="EH11439" s="1963"/>
      <c r="EI11439" s="1963"/>
      <c r="EJ11439" s="1963"/>
      <c r="EK11439" s="1963"/>
      <c r="EL11439" s="1963"/>
      <c r="EM11439" s="1963"/>
      <c r="EN11439" s="1963"/>
      <c r="EO11439" s="1963"/>
      <c r="EP11439" s="1963"/>
      <c r="EQ11439" s="1963"/>
      <c r="ER11439" s="1963"/>
      <c r="ES11439" s="1963"/>
      <c r="ET11439" s="1963"/>
      <c r="EU11439" s="1963"/>
      <c r="EV11439" s="1963"/>
      <c r="EW11439" s="1963"/>
    </row>
    <row r="11440" spans="1:153" s="1165" customFormat="1" ht="15">
      <c r="A11440" s="2154" t="s">
        <v>1811</v>
      </c>
      <c r="B11440" s="2155">
        <v>4</v>
      </c>
      <c r="C11440" s="2555">
        <v>50</v>
      </c>
      <c r="D11440" s="2194" t="s">
        <v>1812</v>
      </c>
      <c r="E11440" s="2197">
        <f t="shared" si="144"/>
        <v>0.39</v>
      </c>
      <c r="F11440" s="2280">
        <v>23</v>
      </c>
      <c r="G11440" s="2070">
        <f t="shared" si="145"/>
        <v>0.50854700854700852</v>
      </c>
      <c r="H11440" s="317">
        <v>120</v>
      </c>
      <c r="I11440" s="2156" t="s">
        <v>1197</v>
      </c>
      <c r="J11440" s="2553" t="s">
        <v>8742</v>
      </c>
      <c r="K11440" s="2553" t="s">
        <v>6110</v>
      </c>
      <c r="L11440" s="2554"/>
      <c r="M11440" s="1963"/>
      <c r="N11440" s="1963"/>
      <c r="O11440" s="1963"/>
      <c r="P11440" s="1963"/>
      <c r="Q11440" s="1963"/>
      <c r="R11440" s="1963"/>
      <c r="S11440" s="1963"/>
      <c r="T11440" s="1963"/>
      <c r="U11440" s="1963"/>
      <c r="V11440" s="1963"/>
      <c r="W11440" s="1963"/>
      <c r="X11440" s="1963"/>
      <c r="Y11440" s="1963"/>
      <c r="Z11440" s="1963"/>
      <c r="AA11440" s="1963"/>
      <c r="AB11440" s="1963"/>
      <c r="AC11440" s="1963"/>
      <c r="AD11440" s="1963"/>
      <c r="AE11440" s="1963"/>
      <c r="AF11440" s="1963"/>
      <c r="AG11440" s="1963"/>
      <c r="AH11440" s="1963"/>
      <c r="AI11440" s="1963"/>
      <c r="AJ11440" s="1963"/>
      <c r="AK11440" s="1963"/>
      <c r="AL11440" s="1963"/>
      <c r="AM11440" s="1963"/>
      <c r="AN11440" s="1963"/>
      <c r="AO11440" s="1963"/>
      <c r="AP11440" s="1963"/>
      <c r="AQ11440" s="1963"/>
      <c r="AR11440" s="1963"/>
      <c r="AS11440" s="1963"/>
      <c r="AT11440" s="1963"/>
      <c r="AU11440" s="1963"/>
      <c r="AV11440" s="1963"/>
      <c r="AW11440" s="1963"/>
      <c r="AX11440" s="1963"/>
      <c r="AY11440" s="1963"/>
      <c r="AZ11440" s="1963"/>
      <c r="BA11440" s="1963"/>
      <c r="BB11440" s="1963"/>
      <c r="BC11440" s="1963"/>
      <c r="BD11440" s="1963"/>
      <c r="BE11440" s="1963"/>
      <c r="BF11440" s="1963"/>
      <c r="BG11440" s="1963"/>
      <c r="BH11440" s="1963"/>
      <c r="BI11440" s="1963"/>
      <c r="BJ11440" s="1963"/>
      <c r="BK11440" s="1963"/>
      <c r="BL11440" s="1963"/>
      <c r="BM11440" s="1963"/>
      <c r="BN11440" s="1963"/>
      <c r="BO11440" s="1963"/>
      <c r="BP11440" s="1963"/>
      <c r="BQ11440" s="1963"/>
      <c r="BR11440" s="1963"/>
      <c r="BS11440" s="1963"/>
      <c r="BT11440" s="1963"/>
      <c r="BU11440" s="1963"/>
      <c r="BV11440" s="1963"/>
      <c r="BW11440" s="1963"/>
      <c r="BX11440" s="1963"/>
      <c r="BY11440" s="1963"/>
      <c r="BZ11440" s="1963"/>
      <c r="CA11440" s="1963"/>
      <c r="CB11440" s="1963"/>
      <c r="CC11440" s="1963"/>
      <c r="CD11440" s="1963"/>
      <c r="CE11440" s="1963"/>
      <c r="CF11440" s="1963"/>
      <c r="CG11440" s="1963"/>
      <c r="CH11440" s="1963"/>
      <c r="CI11440" s="1963"/>
      <c r="CJ11440" s="1963"/>
      <c r="CK11440" s="1963"/>
      <c r="CL11440" s="1963"/>
      <c r="CM11440" s="1963"/>
      <c r="CN11440" s="1963"/>
      <c r="CO11440" s="1963"/>
      <c r="CP11440" s="1963"/>
      <c r="CQ11440" s="1963"/>
      <c r="CR11440" s="1963"/>
      <c r="CS11440" s="1963"/>
      <c r="CT11440" s="1963"/>
      <c r="CU11440" s="1963"/>
      <c r="CV11440" s="1963"/>
      <c r="CW11440" s="1963"/>
      <c r="CX11440" s="1963"/>
      <c r="CY11440" s="1963"/>
      <c r="CZ11440" s="1963"/>
      <c r="DA11440" s="1963"/>
      <c r="DB11440" s="1963"/>
      <c r="DC11440" s="1963"/>
      <c r="DD11440" s="1963"/>
      <c r="DE11440" s="1963"/>
      <c r="DF11440" s="1963"/>
      <c r="DG11440" s="1963"/>
      <c r="DH11440" s="1963"/>
      <c r="DI11440" s="1963"/>
      <c r="DJ11440" s="1963"/>
      <c r="DK11440" s="1963"/>
      <c r="DL11440" s="1963"/>
      <c r="DM11440" s="1963"/>
      <c r="DN11440" s="1963"/>
      <c r="DO11440" s="1963"/>
      <c r="DP11440" s="1963"/>
      <c r="DQ11440" s="1963"/>
      <c r="DR11440" s="1963"/>
      <c r="DS11440" s="1963"/>
      <c r="DT11440" s="1963"/>
      <c r="DU11440" s="1963"/>
      <c r="DV11440" s="1963"/>
      <c r="DW11440" s="1963"/>
      <c r="DX11440" s="1963"/>
      <c r="DY11440" s="1963"/>
      <c r="DZ11440" s="1963"/>
      <c r="EA11440" s="1963"/>
      <c r="EB11440" s="1963"/>
      <c r="EC11440" s="1963"/>
      <c r="ED11440" s="1963"/>
      <c r="EE11440" s="1963"/>
      <c r="EF11440" s="1963"/>
      <c r="EG11440" s="1963"/>
      <c r="EH11440" s="1963"/>
      <c r="EI11440" s="1963"/>
      <c r="EJ11440" s="1963"/>
      <c r="EK11440" s="1963"/>
      <c r="EL11440" s="1963"/>
      <c r="EM11440" s="1963"/>
      <c r="EN11440" s="1963"/>
      <c r="EO11440" s="1963"/>
      <c r="EP11440" s="1963"/>
      <c r="EQ11440" s="1963"/>
      <c r="ER11440" s="1963"/>
      <c r="ES11440" s="1963"/>
      <c r="ET11440" s="1963"/>
      <c r="EU11440" s="1963"/>
      <c r="EV11440" s="1963"/>
      <c r="EW11440" s="1963"/>
    </row>
    <row r="11441" spans="1:153" s="1165" customFormat="1" ht="15">
      <c r="A11441" s="2154" t="s">
        <v>1811</v>
      </c>
      <c r="B11441" s="2155">
        <v>6</v>
      </c>
      <c r="C11441" s="2555">
        <v>50</v>
      </c>
      <c r="D11441" s="2194" t="s">
        <v>1812</v>
      </c>
      <c r="E11441" s="2197">
        <f t="shared" si="144"/>
        <v>0.49</v>
      </c>
      <c r="F11441" s="2280">
        <v>29</v>
      </c>
      <c r="G11441" s="2070">
        <f t="shared" si="145"/>
        <v>0.50680272108843538</v>
      </c>
      <c r="H11441" s="317">
        <v>120</v>
      </c>
      <c r="I11441" s="2156" t="s">
        <v>1197</v>
      </c>
      <c r="J11441" s="2553" t="s">
        <v>8742</v>
      </c>
      <c r="K11441" s="2553" t="s">
        <v>6110</v>
      </c>
      <c r="L11441" s="2554"/>
      <c r="M11441" s="1963"/>
      <c r="N11441" s="1963"/>
      <c r="O11441" s="1963"/>
      <c r="P11441" s="1963"/>
      <c r="Q11441" s="1963"/>
      <c r="R11441" s="1963"/>
      <c r="S11441" s="1963"/>
      <c r="T11441" s="1963"/>
      <c r="U11441" s="1963"/>
      <c r="V11441" s="1963"/>
      <c r="W11441" s="1963"/>
      <c r="X11441" s="1963"/>
      <c r="Y11441" s="1963"/>
      <c r="Z11441" s="1963"/>
      <c r="AA11441" s="1963"/>
      <c r="AB11441" s="1963"/>
      <c r="AC11441" s="1963"/>
      <c r="AD11441" s="1963"/>
      <c r="AE11441" s="1963"/>
      <c r="AF11441" s="1963"/>
      <c r="AG11441" s="1963"/>
      <c r="AH11441" s="1963"/>
      <c r="AI11441" s="1963"/>
      <c r="AJ11441" s="1963"/>
      <c r="AK11441" s="1963"/>
      <c r="AL11441" s="1963"/>
      <c r="AM11441" s="1963"/>
      <c r="AN11441" s="1963"/>
      <c r="AO11441" s="1963"/>
      <c r="AP11441" s="1963"/>
      <c r="AQ11441" s="1963"/>
      <c r="AR11441" s="1963"/>
      <c r="AS11441" s="1963"/>
      <c r="AT11441" s="1963"/>
      <c r="AU11441" s="1963"/>
      <c r="AV11441" s="1963"/>
      <c r="AW11441" s="1963"/>
      <c r="AX11441" s="1963"/>
      <c r="AY11441" s="1963"/>
      <c r="AZ11441" s="1963"/>
      <c r="BA11441" s="1963"/>
      <c r="BB11441" s="1963"/>
      <c r="BC11441" s="1963"/>
      <c r="BD11441" s="1963"/>
      <c r="BE11441" s="1963"/>
      <c r="BF11441" s="1963"/>
      <c r="BG11441" s="1963"/>
      <c r="BH11441" s="1963"/>
      <c r="BI11441" s="1963"/>
      <c r="BJ11441" s="1963"/>
      <c r="BK11441" s="1963"/>
      <c r="BL11441" s="1963"/>
      <c r="BM11441" s="1963"/>
      <c r="BN11441" s="1963"/>
      <c r="BO11441" s="1963"/>
      <c r="BP11441" s="1963"/>
      <c r="BQ11441" s="1963"/>
      <c r="BR11441" s="1963"/>
      <c r="BS11441" s="1963"/>
      <c r="BT11441" s="1963"/>
      <c r="BU11441" s="1963"/>
      <c r="BV11441" s="1963"/>
      <c r="BW11441" s="1963"/>
      <c r="BX11441" s="1963"/>
      <c r="BY11441" s="1963"/>
      <c r="BZ11441" s="1963"/>
      <c r="CA11441" s="1963"/>
      <c r="CB11441" s="1963"/>
      <c r="CC11441" s="1963"/>
      <c r="CD11441" s="1963"/>
      <c r="CE11441" s="1963"/>
      <c r="CF11441" s="1963"/>
      <c r="CG11441" s="1963"/>
      <c r="CH11441" s="1963"/>
      <c r="CI11441" s="1963"/>
      <c r="CJ11441" s="1963"/>
      <c r="CK11441" s="1963"/>
      <c r="CL11441" s="1963"/>
      <c r="CM11441" s="1963"/>
      <c r="CN11441" s="1963"/>
      <c r="CO11441" s="1963"/>
      <c r="CP11441" s="1963"/>
      <c r="CQ11441" s="1963"/>
      <c r="CR11441" s="1963"/>
      <c r="CS11441" s="1963"/>
      <c r="CT11441" s="1963"/>
      <c r="CU11441" s="1963"/>
      <c r="CV11441" s="1963"/>
      <c r="CW11441" s="1963"/>
      <c r="CX11441" s="1963"/>
      <c r="CY11441" s="1963"/>
      <c r="CZ11441" s="1963"/>
      <c r="DA11441" s="1963"/>
      <c r="DB11441" s="1963"/>
      <c r="DC11441" s="1963"/>
      <c r="DD11441" s="1963"/>
      <c r="DE11441" s="1963"/>
      <c r="DF11441" s="1963"/>
      <c r="DG11441" s="1963"/>
      <c r="DH11441" s="1963"/>
      <c r="DI11441" s="1963"/>
      <c r="DJ11441" s="1963"/>
      <c r="DK11441" s="1963"/>
      <c r="DL11441" s="1963"/>
      <c r="DM11441" s="1963"/>
      <c r="DN11441" s="1963"/>
      <c r="DO11441" s="1963"/>
      <c r="DP11441" s="1963"/>
      <c r="DQ11441" s="1963"/>
      <c r="DR11441" s="1963"/>
      <c r="DS11441" s="1963"/>
      <c r="DT11441" s="1963"/>
      <c r="DU11441" s="1963"/>
      <c r="DV11441" s="1963"/>
      <c r="DW11441" s="1963"/>
      <c r="DX11441" s="1963"/>
      <c r="DY11441" s="1963"/>
      <c r="DZ11441" s="1963"/>
      <c r="EA11441" s="1963"/>
      <c r="EB11441" s="1963"/>
      <c r="EC11441" s="1963"/>
      <c r="ED11441" s="1963"/>
      <c r="EE11441" s="1963"/>
      <c r="EF11441" s="1963"/>
      <c r="EG11441" s="1963"/>
      <c r="EH11441" s="1963"/>
      <c r="EI11441" s="1963"/>
      <c r="EJ11441" s="1963"/>
      <c r="EK11441" s="1963"/>
      <c r="EL11441" s="1963"/>
      <c r="EM11441" s="1963"/>
      <c r="EN11441" s="1963"/>
      <c r="EO11441" s="1963"/>
      <c r="EP11441" s="1963"/>
      <c r="EQ11441" s="1963"/>
      <c r="ER11441" s="1963"/>
      <c r="ES11441" s="1963"/>
      <c r="ET11441" s="1963"/>
      <c r="EU11441" s="1963"/>
      <c r="EV11441" s="1963"/>
      <c r="EW11441" s="1963"/>
    </row>
    <row r="11442" spans="1:153" s="1165" customFormat="1" ht="15">
      <c r="A11442" s="2154" t="s">
        <v>8748</v>
      </c>
      <c r="B11442" s="2155">
        <v>3</v>
      </c>
      <c r="C11442" s="2555">
        <v>50</v>
      </c>
      <c r="D11442" s="2194" t="s">
        <v>1812</v>
      </c>
      <c r="E11442" s="2197">
        <f t="shared" si="144"/>
        <v>0.29000000000000004</v>
      </c>
      <c r="F11442" s="2280">
        <v>17</v>
      </c>
      <c r="G11442" s="2070">
        <f t="shared" si="145"/>
        <v>0.51149425287356332</v>
      </c>
      <c r="H11442" s="317">
        <v>120</v>
      </c>
      <c r="I11442" s="2156" t="s">
        <v>1197</v>
      </c>
      <c r="J11442" s="2553" t="s">
        <v>8742</v>
      </c>
      <c r="K11442" s="2553" t="s">
        <v>6110</v>
      </c>
      <c r="L11442" s="2554"/>
      <c r="M11442" s="1963"/>
      <c r="N11442" s="1963"/>
      <c r="O11442" s="1963"/>
      <c r="P11442" s="1963"/>
      <c r="Q11442" s="1963"/>
      <c r="R11442" s="1963"/>
      <c r="S11442" s="1963"/>
      <c r="T11442" s="1963"/>
      <c r="U11442" s="1963"/>
      <c r="V11442" s="1963"/>
      <c r="W11442" s="1963"/>
      <c r="X11442" s="1963"/>
      <c r="Y11442" s="1963"/>
      <c r="Z11442" s="1963"/>
      <c r="AA11442" s="1963"/>
      <c r="AB11442" s="1963"/>
      <c r="AC11442" s="1963"/>
      <c r="AD11442" s="1963"/>
      <c r="AE11442" s="1963"/>
      <c r="AF11442" s="1963"/>
      <c r="AG11442" s="1963"/>
      <c r="AH11442" s="1963"/>
      <c r="AI11442" s="1963"/>
      <c r="AJ11442" s="1963"/>
      <c r="AK11442" s="1963"/>
      <c r="AL11442" s="1963"/>
      <c r="AM11442" s="1963"/>
      <c r="AN11442" s="1963"/>
      <c r="AO11442" s="1963"/>
      <c r="AP11442" s="1963"/>
      <c r="AQ11442" s="1963"/>
      <c r="AR11442" s="1963"/>
      <c r="AS11442" s="1963"/>
      <c r="AT11442" s="1963"/>
      <c r="AU11442" s="1963"/>
      <c r="AV11442" s="1963"/>
      <c r="AW11442" s="1963"/>
      <c r="AX11442" s="1963"/>
      <c r="AY11442" s="1963"/>
      <c r="AZ11442" s="1963"/>
      <c r="BA11442" s="1963"/>
      <c r="BB11442" s="1963"/>
      <c r="BC11442" s="1963"/>
      <c r="BD11442" s="1963"/>
      <c r="BE11442" s="1963"/>
      <c r="BF11442" s="1963"/>
      <c r="BG11442" s="1963"/>
      <c r="BH11442" s="1963"/>
      <c r="BI11442" s="1963"/>
      <c r="BJ11442" s="1963"/>
      <c r="BK11442" s="1963"/>
      <c r="BL11442" s="1963"/>
      <c r="BM11442" s="1963"/>
      <c r="BN11442" s="1963"/>
      <c r="BO11442" s="1963"/>
      <c r="BP11442" s="1963"/>
      <c r="BQ11442" s="1963"/>
      <c r="BR11442" s="1963"/>
      <c r="BS11442" s="1963"/>
      <c r="BT11442" s="1963"/>
      <c r="BU11442" s="1963"/>
      <c r="BV11442" s="1963"/>
      <c r="BW11442" s="1963"/>
      <c r="BX11442" s="1963"/>
      <c r="BY11442" s="1963"/>
      <c r="BZ11442" s="1963"/>
      <c r="CA11442" s="1963"/>
      <c r="CB11442" s="1963"/>
      <c r="CC11442" s="1963"/>
      <c r="CD11442" s="1963"/>
      <c r="CE11442" s="1963"/>
      <c r="CF11442" s="1963"/>
      <c r="CG11442" s="1963"/>
      <c r="CH11442" s="1963"/>
      <c r="CI11442" s="1963"/>
      <c r="CJ11442" s="1963"/>
      <c r="CK11442" s="1963"/>
      <c r="CL11442" s="1963"/>
      <c r="CM11442" s="1963"/>
      <c r="CN11442" s="1963"/>
      <c r="CO11442" s="1963"/>
      <c r="CP11442" s="1963"/>
      <c r="CQ11442" s="1963"/>
      <c r="CR11442" s="1963"/>
      <c r="CS11442" s="1963"/>
      <c r="CT11442" s="1963"/>
      <c r="CU11442" s="1963"/>
      <c r="CV11442" s="1963"/>
      <c r="CW11442" s="1963"/>
      <c r="CX11442" s="1963"/>
      <c r="CY11442" s="1963"/>
      <c r="CZ11442" s="1963"/>
      <c r="DA11442" s="1963"/>
      <c r="DB11442" s="1963"/>
      <c r="DC11442" s="1963"/>
      <c r="DD11442" s="1963"/>
      <c r="DE11442" s="1963"/>
      <c r="DF11442" s="1963"/>
      <c r="DG11442" s="1963"/>
      <c r="DH11442" s="1963"/>
      <c r="DI11442" s="1963"/>
      <c r="DJ11442" s="1963"/>
      <c r="DK11442" s="1963"/>
      <c r="DL11442" s="1963"/>
      <c r="DM11442" s="1963"/>
      <c r="DN11442" s="1963"/>
      <c r="DO11442" s="1963"/>
      <c r="DP11442" s="1963"/>
      <c r="DQ11442" s="1963"/>
      <c r="DR11442" s="1963"/>
      <c r="DS11442" s="1963"/>
      <c r="DT11442" s="1963"/>
      <c r="DU11442" s="1963"/>
      <c r="DV11442" s="1963"/>
      <c r="DW11442" s="1963"/>
      <c r="DX11442" s="1963"/>
      <c r="DY11442" s="1963"/>
      <c r="DZ11442" s="1963"/>
      <c r="EA11442" s="1963"/>
      <c r="EB11442" s="1963"/>
      <c r="EC11442" s="1963"/>
      <c r="ED11442" s="1963"/>
      <c r="EE11442" s="1963"/>
      <c r="EF11442" s="1963"/>
      <c r="EG11442" s="1963"/>
      <c r="EH11442" s="1963"/>
      <c r="EI11442" s="1963"/>
      <c r="EJ11442" s="1963"/>
      <c r="EK11442" s="1963"/>
      <c r="EL11442" s="1963"/>
      <c r="EM11442" s="1963"/>
      <c r="EN11442" s="1963"/>
      <c r="EO11442" s="1963"/>
      <c r="EP11442" s="1963"/>
      <c r="EQ11442" s="1963"/>
      <c r="ER11442" s="1963"/>
      <c r="ES11442" s="1963"/>
      <c r="ET11442" s="1963"/>
      <c r="EU11442" s="1963"/>
      <c r="EV11442" s="1963"/>
      <c r="EW11442" s="1963"/>
    </row>
    <row r="11443" spans="1:153" s="1165" customFormat="1" ht="15">
      <c r="A11443" s="2154" t="s">
        <v>8748</v>
      </c>
      <c r="B11443" s="2155">
        <v>4</v>
      </c>
      <c r="C11443" s="2555">
        <v>50</v>
      </c>
      <c r="D11443" s="2194" t="s">
        <v>1812</v>
      </c>
      <c r="E11443" s="2197">
        <f t="shared" si="144"/>
        <v>0.35</v>
      </c>
      <c r="F11443" s="2280">
        <v>21</v>
      </c>
      <c r="G11443" s="2070">
        <f t="shared" si="145"/>
        <v>0.5</v>
      </c>
      <c r="H11443" s="317">
        <v>120</v>
      </c>
      <c r="I11443" s="2156" t="s">
        <v>1197</v>
      </c>
      <c r="J11443" s="2553" t="s">
        <v>8742</v>
      </c>
      <c r="K11443" s="2553" t="s">
        <v>6110</v>
      </c>
      <c r="L11443" s="2554"/>
      <c r="M11443" s="1963"/>
      <c r="N11443" s="1963"/>
      <c r="O11443" s="1963"/>
      <c r="P11443" s="1963"/>
      <c r="Q11443" s="1963"/>
      <c r="R11443" s="1963"/>
      <c r="S11443" s="1963"/>
      <c r="T11443" s="1963"/>
      <c r="U11443" s="1963"/>
      <c r="V11443" s="1963"/>
      <c r="W11443" s="1963"/>
      <c r="X11443" s="1963"/>
      <c r="Y11443" s="1963"/>
      <c r="Z11443" s="1963"/>
      <c r="AA11443" s="1963"/>
      <c r="AB11443" s="1963"/>
      <c r="AC11443" s="1963"/>
      <c r="AD11443" s="1963"/>
      <c r="AE11443" s="1963"/>
      <c r="AF11443" s="1963"/>
      <c r="AG11443" s="1963"/>
      <c r="AH11443" s="1963"/>
      <c r="AI11443" s="1963"/>
      <c r="AJ11443" s="1963"/>
      <c r="AK11443" s="1963"/>
      <c r="AL11443" s="1963"/>
      <c r="AM11443" s="1963"/>
      <c r="AN11443" s="1963"/>
      <c r="AO11443" s="1963"/>
      <c r="AP11443" s="1963"/>
      <c r="AQ11443" s="1963"/>
      <c r="AR11443" s="1963"/>
      <c r="AS11443" s="1963"/>
      <c r="AT11443" s="1963"/>
      <c r="AU11443" s="1963"/>
      <c r="AV11443" s="1963"/>
      <c r="AW11443" s="1963"/>
      <c r="AX11443" s="1963"/>
      <c r="AY11443" s="1963"/>
      <c r="AZ11443" s="1963"/>
      <c r="BA11443" s="1963"/>
      <c r="BB11443" s="1963"/>
      <c r="BC11443" s="1963"/>
      <c r="BD11443" s="1963"/>
      <c r="BE11443" s="1963"/>
      <c r="BF11443" s="1963"/>
      <c r="BG11443" s="1963"/>
      <c r="BH11443" s="1963"/>
      <c r="BI11443" s="1963"/>
      <c r="BJ11443" s="1963"/>
      <c r="BK11443" s="1963"/>
      <c r="BL11443" s="1963"/>
      <c r="BM11443" s="1963"/>
      <c r="BN11443" s="1963"/>
      <c r="BO11443" s="1963"/>
      <c r="BP11443" s="1963"/>
      <c r="BQ11443" s="1963"/>
      <c r="BR11443" s="1963"/>
      <c r="BS11443" s="1963"/>
      <c r="BT11443" s="1963"/>
      <c r="BU11443" s="1963"/>
      <c r="BV11443" s="1963"/>
      <c r="BW11443" s="1963"/>
      <c r="BX11443" s="1963"/>
      <c r="BY11443" s="1963"/>
      <c r="BZ11443" s="1963"/>
      <c r="CA11443" s="1963"/>
      <c r="CB11443" s="1963"/>
      <c r="CC11443" s="1963"/>
      <c r="CD11443" s="1963"/>
      <c r="CE11443" s="1963"/>
      <c r="CF11443" s="1963"/>
      <c r="CG11443" s="1963"/>
      <c r="CH11443" s="1963"/>
      <c r="CI11443" s="1963"/>
      <c r="CJ11443" s="1963"/>
      <c r="CK11443" s="1963"/>
      <c r="CL11443" s="1963"/>
      <c r="CM11443" s="1963"/>
      <c r="CN11443" s="1963"/>
      <c r="CO11443" s="1963"/>
      <c r="CP11443" s="1963"/>
      <c r="CQ11443" s="1963"/>
      <c r="CR11443" s="1963"/>
      <c r="CS11443" s="1963"/>
      <c r="CT11443" s="1963"/>
      <c r="CU11443" s="1963"/>
      <c r="CV11443" s="1963"/>
      <c r="CW11443" s="1963"/>
      <c r="CX11443" s="1963"/>
      <c r="CY11443" s="1963"/>
      <c r="CZ11443" s="1963"/>
      <c r="DA11443" s="1963"/>
      <c r="DB11443" s="1963"/>
      <c r="DC11443" s="1963"/>
      <c r="DD11443" s="1963"/>
      <c r="DE11443" s="1963"/>
      <c r="DF11443" s="1963"/>
      <c r="DG11443" s="1963"/>
      <c r="DH11443" s="1963"/>
      <c r="DI11443" s="1963"/>
      <c r="DJ11443" s="1963"/>
      <c r="DK11443" s="1963"/>
      <c r="DL11443" s="1963"/>
      <c r="DM11443" s="1963"/>
      <c r="DN11443" s="1963"/>
      <c r="DO11443" s="1963"/>
      <c r="DP11443" s="1963"/>
      <c r="DQ11443" s="1963"/>
      <c r="DR11443" s="1963"/>
      <c r="DS11443" s="1963"/>
      <c r="DT11443" s="1963"/>
      <c r="DU11443" s="1963"/>
      <c r="DV11443" s="1963"/>
      <c r="DW11443" s="1963"/>
      <c r="DX11443" s="1963"/>
      <c r="DY11443" s="1963"/>
      <c r="DZ11443" s="1963"/>
      <c r="EA11443" s="1963"/>
      <c r="EB11443" s="1963"/>
      <c r="EC11443" s="1963"/>
      <c r="ED11443" s="1963"/>
      <c r="EE11443" s="1963"/>
      <c r="EF11443" s="1963"/>
      <c r="EG11443" s="1963"/>
      <c r="EH11443" s="1963"/>
      <c r="EI11443" s="1963"/>
      <c r="EJ11443" s="1963"/>
      <c r="EK11443" s="1963"/>
      <c r="EL11443" s="1963"/>
      <c r="EM11443" s="1963"/>
      <c r="EN11443" s="1963"/>
      <c r="EO11443" s="1963"/>
      <c r="EP11443" s="1963"/>
      <c r="EQ11443" s="1963"/>
      <c r="ER11443" s="1963"/>
      <c r="ES11443" s="1963"/>
      <c r="ET11443" s="1963"/>
      <c r="EU11443" s="1963"/>
      <c r="EV11443" s="1963"/>
      <c r="EW11443" s="1963"/>
    </row>
    <row r="11444" spans="1:153" s="1165" customFormat="1" ht="15">
      <c r="A11444" s="2154" t="s">
        <v>8748</v>
      </c>
      <c r="B11444" s="2155">
        <v>7</v>
      </c>
      <c r="C11444" s="2156">
        <v>30</v>
      </c>
      <c r="D11444" s="2194" t="s">
        <v>1812</v>
      </c>
      <c r="E11444" s="2197">
        <f t="shared" si="144"/>
        <v>0.54</v>
      </c>
      <c r="F11444" s="2280">
        <v>32</v>
      </c>
      <c r="G11444" s="2070">
        <f t="shared" si="145"/>
        <v>0.50617283950617287</v>
      </c>
      <c r="H11444" s="317">
        <v>120</v>
      </c>
      <c r="I11444" s="2156" t="s">
        <v>1197</v>
      </c>
      <c r="J11444" s="2553" t="s">
        <v>8742</v>
      </c>
      <c r="K11444" s="2553" t="s">
        <v>6110</v>
      </c>
      <c r="L11444" s="2554"/>
      <c r="M11444" s="1963"/>
      <c r="N11444" s="1963"/>
      <c r="O11444" s="1963"/>
      <c r="P11444" s="1963"/>
      <c r="Q11444" s="1963"/>
      <c r="R11444" s="1963"/>
      <c r="S11444" s="1963"/>
      <c r="T11444" s="1963"/>
      <c r="U11444" s="1963"/>
      <c r="V11444" s="1963"/>
      <c r="W11444" s="1963"/>
      <c r="X11444" s="1963"/>
      <c r="Y11444" s="1963"/>
      <c r="Z11444" s="1963"/>
      <c r="AA11444" s="1963"/>
      <c r="AB11444" s="1963"/>
      <c r="AC11444" s="1963"/>
      <c r="AD11444" s="1963"/>
      <c r="AE11444" s="1963"/>
      <c r="AF11444" s="1963"/>
      <c r="AG11444" s="1963"/>
      <c r="AH11444" s="1963"/>
      <c r="AI11444" s="1963"/>
      <c r="AJ11444" s="1963"/>
      <c r="AK11444" s="1963"/>
      <c r="AL11444" s="1963"/>
      <c r="AM11444" s="1963"/>
      <c r="AN11444" s="1963"/>
      <c r="AO11444" s="1963"/>
      <c r="AP11444" s="1963"/>
      <c r="AQ11444" s="1963"/>
      <c r="AR11444" s="1963"/>
      <c r="AS11444" s="1963"/>
      <c r="AT11444" s="1963"/>
      <c r="AU11444" s="1963"/>
      <c r="AV11444" s="1963"/>
      <c r="AW11444" s="1963"/>
      <c r="AX11444" s="1963"/>
      <c r="AY11444" s="1963"/>
      <c r="AZ11444" s="1963"/>
      <c r="BA11444" s="1963"/>
      <c r="BB11444" s="1963"/>
      <c r="BC11444" s="1963"/>
      <c r="BD11444" s="1963"/>
      <c r="BE11444" s="1963"/>
      <c r="BF11444" s="1963"/>
      <c r="BG11444" s="1963"/>
      <c r="BH11444" s="1963"/>
      <c r="BI11444" s="1963"/>
      <c r="BJ11444" s="1963"/>
      <c r="BK11444" s="1963"/>
      <c r="BL11444" s="1963"/>
      <c r="BM11444" s="1963"/>
      <c r="BN11444" s="1963"/>
      <c r="BO11444" s="1963"/>
      <c r="BP11444" s="1963"/>
      <c r="BQ11444" s="1963"/>
      <c r="BR11444" s="1963"/>
      <c r="BS11444" s="1963"/>
      <c r="BT11444" s="1963"/>
      <c r="BU11444" s="1963"/>
      <c r="BV11444" s="1963"/>
      <c r="BW11444" s="1963"/>
      <c r="BX11444" s="1963"/>
      <c r="BY11444" s="1963"/>
      <c r="BZ11444" s="1963"/>
      <c r="CA11444" s="1963"/>
      <c r="CB11444" s="1963"/>
      <c r="CC11444" s="1963"/>
      <c r="CD11444" s="1963"/>
      <c r="CE11444" s="1963"/>
      <c r="CF11444" s="1963"/>
      <c r="CG11444" s="1963"/>
      <c r="CH11444" s="1963"/>
      <c r="CI11444" s="1963"/>
      <c r="CJ11444" s="1963"/>
      <c r="CK11444" s="1963"/>
      <c r="CL11444" s="1963"/>
      <c r="CM11444" s="1963"/>
      <c r="CN11444" s="1963"/>
      <c r="CO11444" s="1963"/>
      <c r="CP11444" s="1963"/>
      <c r="CQ11444" s="1963"/>
      <c r="CR11444" s="1963"/>
      <c r="CS11444" s="1963"/>
      <c r="CT11444" s="1963"/>
      <c r="CU11444" s="1963"/>
      <c r="CV11444" s="1963"/>
      <c r="CW11444" s="1963"/>
      <c r="CX11444" s="1963"/>
      <c r="CY11444" s="1963"/>
      <c r="CZ11444" s="1963"/>
      <c r="DA11444" s="1963"/>
      <c r="DB11444" s="1963"/>
      <c r="DC11444" s="1963"/>
      <c r="DD11444" s="1963"/>
      <c r="DE11444" s="1963"/>
      <c r="DF11444" s="1963"/>
      <c r="DG11444" s="1963"/>
      <c r="DH11444" s="1963"/>
      <c r="DI11444" s="1963"/>
      <c r="DJ11444" s="1963"/>
      <c r="DK11444" s="1963"/>
      <c r="DL11444" s="1963"/>
      <c r="DM11444" s="1963"/>
      <c r="DN11444" s="1963"/>
      <c r="DO11444" s="1963"/>
      <c r="DP11444" s="1963"/>
      <c r="DQ11444" s="1963"/>
      <c r="DR11444" s="1963"/>
      <c r="DS11444" s="1963"/>
      <c r="DT11444" s="1963"/>
      <c r="DU11444" s="1963"/>
      <c r="DV11444" s="1963"/>
      <c r="DW11444" s="1963"/>
      <c r="DX11444" s="1963"/>
      <c r="DY11444" s="1963"/>
      <c r="DZ11444" s="1963"/>
      <c r="EA11444" s="1963"/>
      <c r="EB11444" s="1963"/>
      <c r="EC11444" s="1963"/>
      <c r="ED11444" s="1963"/>
      <c r="EE11444" s="1963"/>
      <c r="EF11444" s="1963"/>
      <c r="EG11444" s="1963"/>
      <c r="EH11444" s="1963"/>
      <c r="EI11444" s="1963"/>
      <c r="EJ11444" s="1963"/>
      <c r="EK11444" s="1963"/>
      <c r="EL11444" s="1963"/>
      <c r="EM11444" s="1963"/>
      <c r="EN11444" s="1963"/>
      <c r="EO11444" s="1963"/>
      <c r="EP11444" s="1963"/>
      <c r="EQ11444" s="1963"/>
      <c r="ER11444" s="1963"/>
      <c r="ES11444" s="1963"/>
      <c r="ET11444" s="1963"/>
      <c r="EU11444" s="1963"/>
      <c r="EV11444" s="1963"/>
      <c r="EW11444" s="1963"/>
    </row>
    <row r="11445" spans="1:153" s="1165" customFormat="1" ht="15">
      <c r="A11445" s="2154" t="s">
        <v>8451</v>
      </c>
      <c r="B11445" s="2155">
        <v>2</v>
      </c>
      <c r="C11445" s="2555">
        <v>50</v>
      </c>
      <c r="D11445" s="2194" t="s">
        <v>1812</v>
      </c>
      <c r="E11445" s="2197">
        <f t="shared" si="144"/>
        <v>0.29000000000000004</v>
      </c>
      <c r="F11445" s="2280">
        <v>17</v>
      </c>
      <c r="G11445" s="2070">
        <f t="shared" si="145"/>
        <v>0.51149425287356332</v>
      </c>
      <c r="H11445" s="317">
        <v>120</v>
      </c>
      <c r="I11445" s="2156" t="s">
        <v>1197</v>
      </c>
      <c r="J11445" s="2553" t="s">
        <v>8742</v>
      </c>
      <c r="K11445" s="2553" t="s">
        <v>6110</v>
      </c>
      <c r="L11445" s="2554"/>
      <c r="M11445" s="1963"/>
      <c r="N11445" s="1963"/>
      <c r="O11445" s="1963"/>
      <c r="P11445" s="1963"/>
      <c r="Q11445" s="1963"/>
      <c r="R11445" s="1963"/>
      <c r="S11445" s="1963"/>
      <c r="T11445" s="1963"/>
      <c r="U11445" s="1963"/>
      <c r="V11445" s="1963"/>
      <c r="W11445" s="1963"/>
      <c r="X11445" s="1963"/>
      <c r="Y11445" s="1963"/>
      <c r="Z11445" s="1963"/>
      <c r="AA11445" s="1963"/>
      <c r="AB11445" s="1963"/>
      <c r="AC11445" s="1963"/>
      <c r="AD11445" s="1963"/>
      <c r="AE11445" s="1963"/>
      <c r="AF11445" s="1963"/>
      <c r="AG11445" s="1963"/>
      <c r="AH11445" s="1963"/>
      <c r="AI11445" s="1963"/>
      <c r="AJ11445" s="1963"/>
      <c r="AK11445" s="1963"/>
      <c r="AL11445" s="1963"/>
      <c r="AM11445" s="1963"/>
      <c r="AN11445" s="1963"/>
      <c r="AO11445" s="1963"/>
      <c r="AP11445" s="1963"/>
      <c r="AQ11445" s="1963"/>
      <c r="AR11445" s="1963"/>
      <c r="AS11445" s="1963"/>
      <c r="AT11445" s="1963"/>
      <c r="AU11445" s="1963"/>
      <c r="AV11445" s="1963"/>
      <c r="AW11445" s="1963"/>
      <c r="AX11445" s="1963"/>
      <c r="AY11445" s="1963"/>
      <c r="AZ11445" s="1963"/>
      <c r="BA11445" s="1963"/>
      <c r="BB11445" s="1963"/>
      <c r="BC11445" s="1963"/>
      <c r="BD11445" s="1963"/>
      <c r="BE11445" s="1963"/>
      <c r="BF11445" s="1963"/>
      <c r="BG11445" s="1963"/>
      <c r="BH11445" s="1963"/>
      <c r="BI11445" s="1963"/>
      <c r="BJ11445" s="1963"/>
      <c r="BK11445" s="1963"/>
      <c r="BL11445" s="1963"/>
      <c r="BM11445" s="1963"/>
      <c r="BN11445" s="1963"/>
      <c r="BO11445" s="1963"/>
      <c r="BP11445" s="1963"/>
      <c r="BQ11445" s="1963"/>
      <c r="BR11445" s="1963"/>
      <c r="BS11445" s="1963"/>
      <c r="BT11445" s="1963"/>
      <c r="BU11445" s="1963"/>
      <c r="BV11445" s="1963"/>
      <c r="BW11445" s="1963"/>
      <c r="BX11445" s="1963"/>
      <c r="BY11445" s="1963"/>
      <c r="BZ11445" s="1963"/>
      <c r="CA11445" s="1963"/>
      <c r="CB11445" s="1963"/>
      <c r="CC11445" s="1963"/>
      <c r="CD11445" s="1963"/>
      <c r="CE11445" s="1963"/>
      <c r="CF11445" s="1963"/>
      <c r="CG11445" s="1963"/>
      <c r="CH11445" s="1963"/>
      <c r="CI11445" s="1963"/>
      <c r="CJ11445" s="1963"/>
      <c r="CK11445" s="1963"/>
      <c r="CL11445" s="1963"/>
      <c r="CM11445" s="1963"/>
      <c r="CN11445" s="1963"/>
      <c r="CO11445" s="1963"/>
      <c r="CP11445" s="1963"/>
      <c r="CQ11445" s="1963"/>
      <c r="CR11445" s="1963"/>
      <c r="CS11445" s="1963"/>
      <c r="CT11445" s="1963"/>
      <c r="CU11445" s="1963"/>
      <c r="CV11445" s="1963"/>
      <c r="CW11445" s="1963"/>
      <c r="CX11445" s="1963"/>
      <c r="CY11445" s="1963"/>
      <c r="CZ11445" s="1963"/>
      <c r="DA11445" s="1963"/>
      <c r="DB11445" s="1963"/>
      <c r="DC11445" s="1963"/>
      <c r="DD11445" s="1963"/>
      <c r="DE11445" s="1963"/>
      <c r="DF11445" s="1963"/>
      <c r="DG11445" s="1963"/>
      <c r="DH11445" s="1963"/>
      <c r="DI11445" s="1963"/>
      <c r="DJ11445" s="1963"/>
      <c r="DK11445" s="1963"/>
      <c r="DL11445" s="1963"/>
      <c r="DM11445" s="1963"/>
      <c r="DN11445" s="1963"/>
      <c r="DO11445" s="1963"/>
      <c r="DP11445" s="1963"/>
      <c r="DQ11445" s="1963"/>
      <c r="DR11445" s="1963"/>
      <c r="DS11445" s="1963"/>
      <c r="DT11445" s="1963"/>
      <c r="DU11445" s="1963"/>
      <c r="DV11445" s="1963"/>
      <c r="DW11445" s="1963"/>
      <c r="DX11445" s="1963"/>
      <c r="DY11445" s="1963"/>
      <c r="DZ11445" s="1963"/>
      <c r="EA11445" s="1963"/>
      <c r="EB11445" s="1963"/>
      <c r="EC11445" s="1963"/>
      <c r="ED11445" s="1963"/>
      <c r="EE11445" s="1963"/>
      <c r="EF11445" s="1963"/>
      <c r="EG11445" s="1963"/>
      <c r="EH11445" s="1963"/>
      <c r="EI11445" s="1963"/>
      <c r="EJ11445" s="1963"/>
      <c r="EK11445" s="1963"/>
      <c r="EL11445" s="1963"/>
      <c r="EM11445" s="1963"/>
      <c r="EN11445" s="1963"/>
      <c r="EO11445" s="1963"/>
      <c r="EP11445" s="1963"/>
      <c r="EQ11445" s="1963"/>
      <c r="ER11445" s="1963"/>
      <c r="ES11445" s="1963"/>
      <c r="ET11445" s="1963"/>
      <c r="EU11445" s="1963"/>
      <c r="EV11445" s="1963"/>
      <c r="EW11445" s="1963"/>
    </row>
    <row r="11446" spans="1:153" s="1165" customFormat="1" ht="15">
      <c r="A11446" s="2154" t="s">
        <v>8451</v>
      </c>
      <c r="B11446" s="2155">
        <v>4</v>
      </c>
      <c r="C11446" s="2555">
        <v>50</v>
      </c>
      <c r="D11446" s="2194" t="s">
        <v>1812</v>
      </c>
      <c r="E11446" s="2197">
        <f t="shared" si="144"/>
        <v>0.45</v>
      </c>
      <c r="F11446" s="2280">
        <v>27</v>
      </c>
      <c r="G11446" s="2070">
        <f t="shared" si="145"/>
        <v>0.5</v>
      </c>
      <c r="H11446" s="317">
        <v>120</v>
      </c>
      <c r="I11446" s="2156" t="s">
        <v>1197</v>
      </c>
      <c r="J11446" s="2553" t="s">
        <v>8742</v>
      </c>
      <c r="K11446" s="2553" t="s">
        <v>6110</v>
      </c>
      <c r="L11446" s="2554"/>
      <c r="M11446" s="1963"/>
      <c r="N11446" s="1963"/>
      <c r="O11446" s="1963"/>
      <c r="P11446" s="1963"/>
      <c r="Q11446" s="1963"/>
      <c r="R11446" s="1963"/>
      <c r="S11446" s="1963"/>
      <c r="T11446" s="1963"/>
      <c r="U11446" s="1963"/>
      <c r="V11446" s="1963"/>
      <c r="W11446" s="1963"/>
      <c r="X11446" s="1963"/>
      <c r="Y11446" s="1963"/>
      <c r="Z11446" s="1963"/>
      <c r="AA11446" s="1963"/>
      <c r="AB11446" s="1963"/>
      <c r="AC11446" s="1963"/>
      <c r="AD11446" s="1963"/>
      <c r="AE11446" s="1963"/>
      <c r="AF11446" s="1963"/>
      <c r="AG11446" s="1963"/>
      <c r="AH11446" s="1963"/>
      <c r="AI11446" s="1963"/>
      <c r="AJ11446" s="1963"/>
      <c r="AK11446" s="1963"/>
      <c r="AL11446" s="1963"/>
      <c r="AM11446" s="1963"/>
      <c r="AN11446" s="1963"/>
      <c r="AO11446" s="1963"/>
      <c r="AP11446" s="1963"/>
      <c r="AQ11446" s="1963"/>
      <c r="AR11446" s="1963"/>
      <c r="AS11446" s="1963"/>
      <c r="AT11446" s="1963"/>
      <c r="AU11446" s="1963"/>
      <c r="AV11446" s="1963"/>
      <c r="AW11446" s="1963"/>
      <c r="AX11446" s="1963"/>
      <c r="AY11446" s="1963"/>
      <c r="AZ11446" s="1963"/>
      <c r="BA11446" s="1963"/>
      <c r="BB11446" s="1963"/>
      <c r="BC11446" s="1963"/>
      <c r="BD11446" s="1963"/>
      <c r="BE11446" s="1963"/>
      <c r="BF11446" s="1963"/>
      <c r="BG11446" s="1963"/>
      <c r="BH11446" s="1963"/>
      <c r="BI11446" s="1963"/>
      <c r="BJ11446" s="1963"/>
      <c r="BK11446" s="1963"/>
      <c r="BL11446" s="1963"/>
      <c r="BM11446" s="1963"/>
      <c r="BN11446" s="1963"/>
      <c r="BO11446" s="1963"/>
      <c r="BP11446" s="1963"/>
      <c r="BQ11446" s="1963"/>
      <c r="BR11446" s="1963"/>
      <c r="BS11446" s="1963"/>
      <c r="BT11446" s="1963"/>
      <c r="BU11446" s="1963"/>
      <c r="BV11446" s="1963"/>
      <c r="BW11446" s="1963"/>
      <c r="BX11446" s="1963"/>
      <c r="BY11446" s="1963"/>
      <c r="BZ11446" s="1963"/>
      <c r="CA11446" s="1963"/>
      <c r="CB11446" s="1963"/>
      <c r="CC11446" s="1963"/>
      <c r="CD11446" s="1963"/>
      <c r="CE11446" s="1963"/>
      <c r="CF11446" s="1963"/>
      <c r="CG11446" s="1963"/>
      <c r="CH11446" s="1963"/>
      <c r="CI11446" s="1963"/>
      <c r="CJ11446" s="1963"/>
      <c r="CK11446" s="1963"/>
      <c r="CL11446" s="1963"/>
      <c r="CM11446" s="1963"/>
      <c r="CN11446" s="1963"/>
      <c r="CO11446" s="1963"/>
      <c r="CP11446" s="1963"/>
      <c r="CQ11446" s="1963"/>
      <c r="CR11446" s="1963"/>
      <c r="CS11446" s="1963"/>
      <c r="CT11446" s="1963"/>
      <c r="CU11446" s="1963"/>
      <c r="CV11446" s="1963"/>
      <c r="CW11446" s="1963"/>
      <c r="CX11446" s="1963"/>
      <c r="CY11446" s="1963"/>
      <c r="CZ11446" s="1963"/>
      <c r="DA11446" s="1963"/>
      <c r="DB11446" s="1963"/>
      <c r="DC11446" s="1963"/>
      <c r="DD11446" s="1963"/>
      <c r="DE11446" s="1963"/>
      <c r="DF11446" s="1963"/>
      <c r="DG11446" s="1963"/>
      <c r="DH11446" s="1963"/>
      <c r="DI11446" s="1963"/>
      <c r="DJ11446" s="1963"/>
      <c r="DK11446" s="1963"/>
      <c r="DL11446" s="1963"/>
      <c r="DM11446" s="1963"/>
      <c r="DN11446" s="1963"/>
      <c r="DO11446" s="1963"/>
      <c r="DP11446" s="1963"/>
      <c r="DQ11446" s="1963"/>
      <c r="DR11446" s="1963"/>
      <c r="DS11446" s="1963"/>
      <c r="DT11446" s="1963"/>
      <c r="DU11446" s="1963"/>
      <c r="DV11446" s="1963"/>
      <c r="DW11446" s="1963"/>
      <c r="DX11446" s="1963"/>
      <c r="DY11446" s="1963"/>
      <c r="DZ11446" s="1963"/>
      <c r="EA11446" s="1963"/>
      <c r="EB11446" s="1963"/>
      <c r="EC11446" s="1963"/>
      <c r="ED11446" s="1963"/>
      <c r="EE11446" s="1963"/>
      <c r="EF11446" s="1963"/>
      <c r="EG11446" s="1963"/>
      <c r="EH11446" s="1963"/>
      <c r="EI11446" s="1963"/>
      <c r="EJ11446" s="1963"/>
      <c r="EK11446" s="1963"/>
      <c r="EL11446" s="1963"/>
      <c r="EM11446" s="1963"/>
      <c r="EN11446" s="1963"/>
      <c r="EO11446" s="1963"/>
      <c r="EP11446" s="1963"/>
      <c r="EQ11446" s="1963"/>
      <c r="ER11446" s="1963"/>
      <c r="ES11446" s="1963"/>
      <c r="ET11446" s="1963"/>
      <c r="EU11446" s="1963"/>
      <c r="EV11446" s="1963"/>
      <c r="EW11446" s="1963"/>
    </row>
    <row r="11447" spans="1:153" s="1165" customFormat="1" ht="15">
      <c r="A11447" s="2154" t="s">
        <v>8451</v>
      </c>
      <c r="B11447" s="2155">
        <v>5</v>
      </c>
      <c r="C11447" s="2555">
        <v>50</v>
      </c>
      <c r="D11447" s="2194" t="s">
        <v>1812</v>
      </c>
      <c r="E11447" s="2197">
        <f t="shared" si="144"/>
        <v>0.57000000000000006</v>
      </c>
      <c r="F11447" s="2280">
        <v>34</v>
      </c>
      <c r="G11447" s="2070">
        <f t="shared" si="145"/>
        <v>0.50292397660818722</v>
      </c>
      <c r="H11447" s="317">
        <v>120</v>
      </c>
      <c r="I11447" s="2156" t="s">
        <v>1197</v>
      </c>
      <c r="J11447" s="2553" t="s">
        <v>8742</v>
      </c>
      <c r="K11447" s="2553" t="s">
        <v>6110</v>
      </c>
      <c r="L11447" s="2554"/>
      <c r="M11447" s="1963"/>
      <c r="N11447" s="1963"/>
      <c r="O11447" s="1963"/>
      <c r="P11447" s="1963"/>
      <c r="Q11447" s="1963"/>
      <c r="R11447" s="1963"/>
      <c r="S11447" s="1963"/>
      <c r="T11447" s="1963"/>
      <c r="U11447" s="1963"/>
      <c r="V11447" s="1963"/>
      <c r="W11447" s="1963"/>
      <c r="X11447" s="1963"/>
      <c r="Y11447" s="1963"/>
      <c r="Z11447" s="1963"/>
      <c r="AA11447" s="1963"/>
      <c r="AB11447" s="1963"/>
      <c r="AC11447" s="1963"/>
      <c r="AD11447" s="1963"/>
      <c r="AE11447" s="1963"/>
      <c r="AF11447" s="1963"/>
      <c r="AG11447" s="1963"/>
      <c r="AH11447" s="1963"/>
      <c r="AI11447" s="1963"/>
      <c r="AJ11447" s="1963"/>
      <c r="AK11447" s="1963"/>
      <c r="AL11447" s="1963"/>
      <c r="AM11447" s="1963"/>
      <c r="AN11447" s="1963"/>
      <c r="AO11447" s="1963"/>
      <c r="AP11447" s="1963"/>
      <c r="AQ11447" s="1963"/>
      <c r="AR11447" s="1963"/>
      <c r="AS11447" s="1963"/>
      <c r="AT11447" s="1963"/>
      <c r="AU11447" s="1963"/>
      <c r="AV11447" s="1963"/>
      <c r="AW11447" s="1963"/>
      <c r="AX11447" s="1963"/>
      <c r="AY11447" s="1963"/>
      <c r="AZ11447" s="1963"/>
      <c r="BA11447" s="1963"/>
      <c r="BB11447" s="1963"/>
      <c r="BC11447" s="1963"/>
      <c r="BD11447" s="1963"/>
      <c r="BE11447" s="1963"/>
      <c r="BF11447" s="1963"/>
      <c r="BG11447" s="1963"/>
      <c r="BH11447" s="1963"/>
      <c r="BI11447" s="1963"/>
      <c r="BJ11447" s="1963"/>
      <c r="BK11447" s="1963"/>
      <c r="BL11447" s="1963"/>
      <c r="BM11447" s="1963"/>
      <c r="BN11447" s="1963"/>
      <c r="BO11447" s="1963"/>
      <c r="BP11447" s="1963"/>
      <c r="BQ11447" s="1963"/>
      <c r="BR11447" s="1963"/>
      <c r="BS11447" s="1963"/>
      <c r="BT11447" s="1963"/>
      <c r="BU11447" s="1963"/>
      <c r="BV11447" s="1963"/>
      <c r="BW11447" s="1963"/>
      <c r="BX11447" s="1963"/>
      <c r="BY11447" s="1963"/>
      <c r="BZ11447" s="1963"/>
      <c r="CA11447" s="1963"/>
      <c r="CB11447" s="1963"/>
      <c r="CC11447" s="1963"/>
      <c r="CD11447" s="1963"/>
      <c r="CE11447" s="1963"/>
      <c r="CF11447" s="1963"/>
      <c r="CG11447" s="1963"/>
      <c r="CH11447" s="1963"/>
      <c r="CI11447" s="1963"/>
      <c r="CJ11447" s="1963"/>
      <c r="CK11447" s="1963"/>
      <c r="CL11447" s="1963"/>
      <c r="CM11447" s="1963"/>
      <c r="CN11447" s="1963"/>
      <c r="CO11447" s="1963"/>
      <c r="CP11447" s="1963"/>
      <c r="CQ11447" s="1963"/>
      <c r="CR11447" s="1963"/>
      <c r="CS11447" s="1963"/>
      <c r="CT11447" s="1963"/>
      <c r="CU11447" s="1963"/>
      <c r="CV11447" s="1963"/>
      <c r="CW11447" s="1963"/>
      <c r="CX11447" s="1963"/>
      <c r="CY11447" s="1963"/>
      <c r="CZ11447" s="1963"/>
      <c r="DA11447" s="1963"/>
      <c r="DB11447" s="1963"/>
      <c r="DC11447" s="1963"/>
      <c r="DD11447" s="1963"/>
      <c r="DE11447" s="1963"/>
      <c r="DF11447" s="1963"/>
      <c r="DG11447" s="1963"/>
      <c r="DH11447" s="1963"/>
      <c r="DI11447" s="1963"/>
      <c r="DJ11447" s="1963"/>
      <c r="DK11447" s="1963"/>
      <c r="DL11447" s="1963"/>
      <c r="DM11447" s="1963"/>
      <c r="DN11447" s="1963"/>
      <c r="DO11447" s="1963"/>
      <c r="DP11447" s="1963"/>
      <c r="DQ11447" s="1963"/>
      <c r="DR11447" s="1963"/>
      <c r="DS11447" s="1963"/>
      <c r="DT11447" s="1963"/>
      <c r="DU11447" s="1963"/>
      <c r="DV11447" s="1963"/>
      <c r="DW11447" s="1963"/>
      <c r="DX11447" s="1963"/>
      <c r="DY11447" s="1963"/>
      <c r="DZ11447" s="1963"/>
      <c r="EA11447" s="1963"/>
      <c r="EB11447" s="1963"/>
      <c r="EC11447" s="1963"/>
      <c r="ED11447" s="1963"/>
      <c r="EE11447" s="1963"/>
      <c r="EF11447" s="1963"/>
      <c r="EG11447" s="1963"/>
      <c r="EH11447" s="1963"/>
      <c r="EI11447" s="1963"/>
      <c r="EJ11447" s="1963"/>
      <c r="EK11447" s="1963"/>
      <c r="EL11447" s="1963"/>
      <c r="EM11447" s="1963"/>
      <c r="EN11447" s="1963"/>
      <c r="EO11447" s="1963"/>
      <c r="EP11447" s="1963"/>
      <c r="EQ11447" s="1963"/>
      <c r="ER11447" s="1963"/>
      <c r="ES11447" s="1963"/>
      <c r="ET11447" s="1963"/>
      <c r="EU11447" s="1963"/>
      <c r="EV11447" s="1963"/>
      <c r="EW11447" s="1963"/>
    </row>
    <row r="11448" spans="1:153" s="1165" customFormat="1" ht="15">
      <c r="A11448" s="2154" t="s">
        <v>8451</v>
      </c>
      <c r="B11448" s="2155">
        <v>6</v>
      </c>
      <c r="C11448" s="2156">
        <v>30</v>
      </c>
      <c r="D11448" s="2194" t="s">
        <v>1812</v>
      </c>
      <c r="E11448" s="2197">
        <f t="shared" si="144"/>
        <v>0.77</v>
      </c>
      <c r="F11448" s="2280">
        <v>46</v>
      </c>
      <c r="G11448" s="2070">
        <f t="shared" si="145"/>
        <v>0.50216450216450215</v>
      </c>
      <c r="H11448" s="317">
        <v>120</v>
      </c>
      <c r="I11448" s="2156" t="s">
        <v>1197</v>
      </c>
      <c r="J11448" s="2553" t="s">
        <v>8742</v>
      </c>
      <c r="K11448" s="2553" t="s">
        <v>6110</v>
      </c>
      <c r="L11448" s="2554"/>
      <c r="M11448" s="1963"/>
      <c r="N11448" s="1963"/>
      <c r="O11448" s="1963"/>
      <c r="P11448" s="1963"/>
      <c r="Q11448" s="1963"/>
      <c r="R11448" s="1963"/>
      <c r="S11448" s="1963"/>
      <c r="T11448" s="1963"/>
      <c r="U11448" s="1963"/>
      <c r="V11448" s="1963"/>
      <c r="W11448" s="1963"/>
      <c r="X11448" s="1963"/>
      <c r="Y11448" s="1963"/>
      <c r="Z11448" s="1963"/>
      <c r="AA11448" s="1963"/>
      <c r="AB11448" s="1963"/>
      <c r="AC11448" s="1963"/>
      <c r="AD11448" s="1963"/>
      <c r="AE11448" s="1963"/>
      <c r="AF11448" s="1963"/>
      <c r="AG11448" s="1963"/>
      <c r="AH11448" s="1963"/>
      <c r="AI11448" s="1963"/>
      <c r="AJ11448" s="1963"/>
      <c r="AK11448" s="1963"/>
      <c r="AL11448" s="1963"/>
      <c r="AM11448" s="1963"/>
      <c r="AN11448" s="1963"/>
      <c r="AO11448" s="1963"/>
      <c r="AP11448" s="1963"/>
      <c r="AQ11448" s="1963"/>
      <c r="AR11448" s="1963"/>
      <c r="AS11448" s="1963"/>
      <c r="AT11448" s="1963"/>
      <c r="AU11448" s="1963"/>
      <c r="AV11448" s="1963"/>
      <c r="AW11448" s="1963"/>
      <c r="AX11448" s="1963"/>
      <c r="AY11448" s="1963"/>
      <c r="AZ11448" s="1963"/>
      <c r="BA11448" s="1963"/>
      <c r="BB11448" s="1963"/>
      <c r="BC11448" s="1963"/>
      <c r="BD11448" s="1963"/>
      <c r="BE11448" s="1963"/>
      <c r="BF11448" s="1963"/>
      <c r="BG11448" s="1963"/>
      <c r="BH11448" s="1963"/>
      <c r="BI11448" s="1963"/>
      <c r="BJ11448" s="1963"/>
      <c r="BK11448" s="1963"/>
      <c r="BL11448" s="1963"/>
      <c r="BM11448" s="1963"/>
      <c r="BN11448" s="1963"/>
      <c r="BO11448" s="1963"/>
      <c r="BP11448" s="1963"/>
      <c r="BQ11448" s="1963"/>
      <c r="BR11448" s="1963"/>
      <c r="BS11448" s="1963"/>
      <c r="BT11448" s="1963"/>
      <c r="BU11448" s="1963"/>
      <c r="BV11448" s="1963"/>
      <c r="BW11448" s="1963"/>
      <c r="BX11448" s="1963"/>
      <c r="BY11448" s="1963"/>
      <c r="BZ11448" s="1963"/>
      <c r="CA11448" s="1963"/>
      <c r="CB11448" s="1963"/>
      <c r="CC11448" s="1963"/>
      <c r="CD11448" s="1963"/>
      <c r="CE11448" s="1963"/>
      <c r="CF11448" s="1963"/>
      <c r="CG11448" s="1963"/>
      <c r="CH11448" s="1963"/>
      <c r="CI11448" s="1963"/>
      <c r="CJ11448" s="1963"/>
      <c r="CK11448" s="1963"/>
      <c r="CL11448" s="1963"/>
      <c r="CM11448" s="1963"/>
      <c r="CN11448" s="1963"/>
      <c r="CO11448" s="1963"/>
      <c r="CP11448" s="1963"/>
      <c r="CQ11448" s="1963"/>
      <c r="CR11448" s="1963"/>
      <c r="CS11448" s="1963"/>
      <c r="CT11448" s="1963"/>
      <c r="CU11448" s="1963"/>
      <c r="CV11448" s="1963"/>
      <c r="CW11448" s="1963"/>
      <c r="CX11448" s="1963"/>
      <c r="CY11448" s="1963"/>
      <c r="CZ11448" s="1963"/>
      <c r="DA11448" s="1963"/>
      <c r="DB11448" s="1963"/>
      <c r="DC11448" s="1963"/>
      <c r="DD11448" s="1963"/>
      <c r="DE11448" s="1963"/>
      <c r="DF11448" s="1963"/>
      <c r="DG11448" s="1963"/>
      <c r="DH11448" s="1963"/>
      <c r="DI11448" s="1963"/>
      <c r="DJ11448" s="1963"/>
      <c r="DK11448" s="1963"/>
      <c r="DL11448" s="1963"/>
      <c r="DM11448" s="1963"/>
      <c r="DN11448" s="1963"/>
      <c r="DO11448" s="1963"/>
      <c r="DP11448" s="1963"/>
      <c r="DQ11448" s="1963"/>
      <c r="DR11448" s="1963"/>
      <c r="DS11448" s="1963"/>
      <c r="DT11448" s="1963"/>
      <c r="DU11448" s="1963"/>
      <c r="DV11448" s="1963"/>
      <c r="DW11448" s="1963"/>
      <c r="DX11448" s="1963"/>
      <c r="DY11448" s="1963"/>
      <c r="DZ11448" s="1963"/>
      <c r="EA11448" s="1963"/>
      <c r="EB11448" s="1963"/>
      <c r="EC11448" s="1963"/>
      <c r="ED11448" s="1963"/>
      <c r="EE11448" s="1963"/>
      <c r="EF11448" s="1963"/>
      <c r="EG11448" s="1963"/>
      <c r="EH11448" s="1963"/>
      <c r="EI11448" s="1963"/>
      <c r="EJ11448" s="1963"/>
      <c r="EK11448" s="1963"/>
      <c r="EL11448" s="1963"/>
      <c r="EM11448" s="1963"/>
      <c r="EN11448" s="1963"/>
      <c r="EO11448" s="1963"/>
      <c r="EP11448" s="1963"/>
      <c r="EQ11448" s="1963"/>
      <c r="ER11448" s="1963"/>
      <c r="ES11448" s="1963"/>
      <c r="ET11448" s="1963"/>
      <c r="EU11448" s="1963"/>
      <c r="EV11448" s="1963"/>
      <c r="EW11448" s="1963"/>
    </row>
    <row r="11449" spans="1:153" s="1165" customFormat="1" ht="15">
      <c r="A11449" s="2154" t="s">
        <v>8451</v>
      </c>
      <c r="B11449" s="2155">
        <v>7</v>
      </c>
      <c r="C11449" s="2156">
        <v>30</v>
      </c>
      <c r="D11449" s="2194" t="s">
        <v>1812</v>
      </c>
      <c r="E11449" s="2197">
        <f t="shared" si="144"/>
        <v>1.3</v>
      </c>
      <c r="F11449" s="2280">
        <v>78</v>
      </c>
      <c r="G11449" s="2070">
        <f t="shared" si="145"/>
        <v>0.5</v>
      </c>
      <c r="H11449" s="317">
        <v>120</v>
      </c>
      <c r="I11449" s="2156" t="s">
        <v>1197</v>
      </c>
      <c r="J11449" s="2553" t="s">
        <v>8742</v>
      </c>
      <c r="K11449" s="2553" t="s">
        <v>6110</v>
      </c>
      <c r="L11449" s="2554"/>
      <c r="M11449" s="1963"/>
      <c r="N11449" s="1963"/>
      <c r="O11449" s="1963"/>
      <c r="P11449" s="1963"/>
      <c r="Q11449" s="1963"/>
      <c r="R11449" s="1963"/>
      <c r="S11449" s="1963"/>
      <c r="T11449" s="1963"/>
      <c r="U11449" s="1963"/>
      <c r="V11449" s="1963"/>
      <c r="W11449" s="1963"/>
      <c r="X11449" s="1963"/>
      <c r="Y11449" s="1963"/>
      <c r="Z11449" s="1963"/>
      <c r="AA11449" s="1963"/>
      <c r="AB11449" s="1963"/>
      <c r="AC11449" s="1963"/>
      <c r="AD11449" s="1963"/>
      <c r="AE11449" s="1963"/>
      <c r="AF11449" s="1963"/>
      <c r="AG11449" s="1963"/>
      <c r="AH11449" s="1963"/>
      <c r="AI11449" s="1963"/>
      <c r="AJ11449" s="1963"/>
      <c r="AK11449" s="1963"/>
      <c r="AL11449" s="1963"/>
      <c r="AM11449" s="1963"/>
      <c r="AN11449" s="1963"/>
      <c r="AO11449" s="1963"/>
      <c r="AP11449" s="1963"/>
      <c r="AQ11449" s="1963"/>
      <c r="AR11449" s="1963"/>
      <c r="AS11449" s="1963"/>
      <c r="AT11449" s="1963"/>
      <c r="AU11449" s="1963"/>
      <c r="AV11449" s="1963"/>
      <c r="AW11449" s="1963"/>
      <c r="AX11449" s="1963"/>
      <c r="AY11449" s="1963"/>
      <c r="AZ11449" s="1963"/>
      <c r="BA11449" s="1963"/>
      <c r="BB11449" s="1963"/>
      <c r="BC11449" s="1963"/>
      <c r="BD11449" s="1963"/>
      <c r="BE11449" s="1963"/>
      <c r="BF11449" s="1963"/>
      <c r="BG11449" s="1963"/>
      <c r="BH11449" s="1963"/>
      <c r="BI11449" s="1963"/>
      <c r="BJ11449" s="1963"/>
      <c r="BK11449" s="1963"/>
      <c r="BL11449" s="1963"/>
      <c r="BM11449" s="1963"/>
      <c r="BN11449" s="1963"/>
      <c r="BO11449" s="1963"/>
      <c r="BP11449" s="1963"/>
      <c r="BQ11449" s="1963"/>
      <c r="BR11449" s="1963"/>
      <c r="BS11449" s="1963"/>
      <c r="BT11449" s="1963"/>
      <c r="BU11449" s="1963"/>
      <c r="BV11449" s="1963"/>
      <c r="BW11449" s="1963"/>
      <c r="BX11449" s="1963"/>
      <c r="BY11449" s="1963"/>
      <c r="BZ11449" s="1963"/>
      <c r="CA11449" s="1963"/>
      <c r="CB11449" s="1963"/>
      <c r="CC11449" s="1963"/>
      <c r="CD11449" s="1963"/>
      <c r="CE11449" s="1963"/>
      <c r="CF11449" s="1963"/>
      <c r="CG11449" s="1963"/>
      <c r="CH11449" s="1963"/>
      <c r="CI11449" s="1963"/>
      <c r="CJ11449" s="1963"/>
      <c r="CK11449" s="1963"/>
      <c r="CL11449" s="1963"/>
      <c r="CM11449" s="1963"/>
      <c r="CN11449" s="1963"/>
      <c r="CO11449" s="1963"/>
      <c r="CP11449" s="1963"/>
      <c r="CQ11449" s="1963"/>
      <c r="CR11449" s="1963"/>
      <c r="CS11449" s="1963"/>
      <c r="CT11449" s="1963"/>
      <c r="CU11449" s="1963"/>
      <c r="CV11449" s="1963"/>
      <c r="CW11449" s="1963"/>
      <c r="CX11449" s="1963"/>
      <c r="CY11449" s="1963"/>
      <c r="CZ11449" s="1963"/>
      <c r="DA11449" s="1963"/>
      <c r="DB11449" s="1963"/>
      <c r="DC11449" s="1963"/>
      <c r="DD11449" s="1963"/>
      <c r="DE11449" s="1963"/>
      <c r="DF11449" s="1963"/>
      <c r="DG11449" s="1963"/>
      <c r="DH11449" s="1963"/>
      <c r="DI11449" s="1963"/>
      <c r="DJ11449" s="1963"/>
      <c r="DK11449" s="1963"/>
      <c r="DL11449" s="1963"/>
      <c r="DM11449" s="1963"/>
      <c r="DN11449" s="1963"/>
      <c r="DO11449" s="1963"/>
      <c r="DP11449" s="1963"/>
      <c r="DQ11449" s="1963"/>
      <c r="DR11449" s="1963"/>
      <c r="DS11449" s="1963"/>
      <c r="DT11449" s="1963"/>
      <c r="DU11449" s="1963"/>
      <c r="DV11449" s="1963"/>
      <c r="DW11449" s="1963"/>
      <c r="DX11449" s="1963"/>
      <c r="DY11449" s="1963"/>
      <c r="DZ11449" s="1963"/>
      <c r="EA11449" s="1963"/>
      <c r="EB11449" s="1963"/>
      <c r="EC11449" s="1963"/>
      <c r="ED11449" s="1963"/>
      <c r="EE11449" s="1963"/>
      <c r="EF11449" s="1963"/>
      <c r="EG11449" s="1963"/>
      <c r="EH11449" s="1963"/>
      <c r="EI11449" s="1963"/>
      <c r="EJ11449" s="1963"/>
      <c r="EK11449" s="1963"/>
      <c r="EL11449" s="1963"/>
      <c r="EM11449" s="1963"/>
      <c r="EN11449" s="1963"/>
      <c r="EO11449" s="1963"/>
      <c r="EP11449" s="1963"/>
      <c r="EQ11449" s="1963"/>
      <c r="ER11449" s="1963"/>
      <c r="ES11449" s="1963"/>
      <c r="ET11449" s="1963"/>
      <c r="EU11449" s="1963"/>
      <c r="EV11449" s="1963"/>
      <c r="EW11449" s="1963"/>
    </row>
    <row r="11450" spans="1:153" s="1165" customFormat="1" ht="15">
      <c r="A11450" s="2154" t="s">
        <v>8749</v>
      </c>
      <c r="B11450" s="2155"/>
      <c r="C11450" s="2555">
        <v>50</v>
      </c>
      <c r="D11450" s="2194" t="s">
        <v>1812</v>
      </c>
      <c r="E11450" s="2197">
        <f t="shared" si="144"/>
        <v>0.4</v>
      </c>
      <c r="F11450" s="2280">
        <v>24</v>
      </c>
      <c r="G11450" s="2070">
        <f t="shared" si="145"/>
        <v>0.5</v>
      </c>
      <c r="H11450" s="317">
        <v>120</v>
      </c>
      <c r="I11450" s="2156" t="s">
        <v>1197</v>
      </c>
      <c r="J11450" s="2553" t="s">
        <v>8742</v>
      </c>
      <c r="K11450" s="2553" t="s">
        <v>6110</v>
      </c>
      <c r="L11450" s="2554"/>
      <c r="M11450" s="1963"/>
      <c r="N11450" s="1963"/>
      <c r="O11450" s="1963"/>
      <c r="P11450" s="1963"/>
      <c r="Q11450" s="1963"/>
      <c r="R11450" s="1963"/>
      <c r="S11450" s="1963"/>
      <c r="T11450" s="1963"/>
      <c r="U11450" s="1963"/>
      <c r="V11450" s="1963"/>
      <c r="W11450" s="1963"/>
      <c r="X11450" s="1963"/>
      <c r="Y11450" s="1963"/>
      <c r="Z11450" s="1963"/>
      <c r="AA11450" s="1963"/>
      <c r="AB11450" s="1963"/>
      <c r="AC11450" s="1963"/>
      <c r="AD11450" s="1963"/>
      <c r="AE11450" s="1963"/>
      <c r="AF11450" s="1963"/>
      <c r="AG11450" s="1963"/>
      <c r="AH11450" s="1963"/>
      <c r="AI11450" s="1963"/>
      <c r="AJ11450" s="1963"/>
      <c r="AK11450" s="1963"/>
      <c r="AL11450" s="1963"/>
      <c r="AM11450" s="1963"/>
      <c r="AN11450" s="1963"/>
      <c r="AO11450" s="1963"/>
      <c r="AP11450" s="1963"/>
      <c r="AQ11450" s="1963"/>
      <c r="AR11450" s="1963"/>
      <c r="AS11450" s="1963"/>
      <c r="AT11450" s="1963"/>
      <c r="AU11450" s="1963"/>
      <c r="AV11450" s="1963"/>
      <c r="AW11450" s="1963"/>
      <c r="AX11450" s="1963"/>
      <c r="AY11450" s="1963"/>
      <c r="AZ11450" s="1963"/>
      <c r="BA11450" s="1963"/>
      <c r="BB11450" s="1963"/>
      <c r="BC11450" s="1963"/>
      <c r="BD11450" s="1963"/>
      <c r="BE11450" s="1963"/>
      <c r="BF11450" s="1963"/>
      <c r="BG11450" s="1963"/>
      <c r="BH11450" s="1963"/>
      <c r="BI11450" s="1963"/>
      <c r="BJ11450" s="1963"/>
      <c r="BK11450" s="1963"/>
      <c r="BL11450" s="1963"/>
      <c r="BM11450" s="1963"/>
      <c r="BN11450" s="1963"/>
      <c r="BO11450" s="1963"/>
      <c r="BP11450" s="1963"/>
      <c r="BQ11450" s="1963"/>
      <c r="BR11450" s="1963"/>
      <c r="BS11450" s="1963"/>
      <c r="BT11450" s="1963"/>
      <c r="BU11450" s="1963"/>
      <c r="BV11450" s="1963"/>
      <c r="BW11450" s="1963"/>
      <c r="BX11450" s="1963"/>
      <c r="BY11450" s="1963"/>
      <c r="BZ11450" s="1963"/>
      <c r="CA11450" s="1963"/>
      <c r="CB11450" s="1963"/>
      <c r="CC11450" s="1963"/>
      <c r="CD11450" s="1963"/>
      <c r="CE11450" s="1963"/>
      <c r="CF11450" s="1963"/>
      <c r="CG11450" s="1963"/>
      <c r="CH11450" s="1963"/>
      <c r="CI11450" s="1963"/>
      <c r="CJ11450" s="1963"/>
      <c r="CK11450" s="1963"/>
      <c r="CL11450" s="1963"/>
      <c r="CM11450" s="1963"/>
      <c r="CN11450" s="1963"/>
      <c r="CO11450" s="1963"/>
      <c r="CP11450" s="1963"/>
      <c r="CQ11450" s="1963"/>
      <c r="CR11450" s="1963"/>
      <c r="CS11450" s="1963"/>
      <c r="CT11450" s="1963"/>
      <c r="CU11450" s="1963"/>
      <c r="CV11450" s="1963"/>
      <c r="CW11450" s="1963"/>
      <c r="CX11450" s="1963"/>
      <c r="CY11450" s="1963"/>
      <c r="CZ11450" s="1963"/>
      <c r="DA11450" s="1963"/>
      <c r="DB11450" s="1963"/>
      <c r="DC11450" s="1963"/>
      <c r="DD11450" s="1963"/>
      <c r="DE11450" s="1963"/>
      <c r="DF11450" s="1963"/>
      <c r="DG11450" s="1963"/>
      <c r="DH11450" s="1963"/>
      <c r="DI11450" s="1963"/>
      <c r="DJ11450" s="1963"/>
      <c r="DK11450" s="1963"/>
      <c r="DL11450" s="1963"/>
      <c r="DM11450" s="1963"/>
      <c r="DN11450" s="1963"/>
      <c r="DO11450" s="1963"/>
      <c r="DP11450" s="1963"/>
      <c r="DQ11450" s="1963"/>
      <c r="DR11450" s="1963"/>
      <c r="DS11450" s="1963"/>
      <c r="DT11450" s="1963"/>
      <c r="DU11450" s="1963"/>
      <c r="DV11450" s="1963"/>
      <c r="DW11450" s="1963"/>
      <c r="DX11450" s="1963"/>
      <c r="DY11450" s="1963"/>
      <c r="DZ11450" s="1963"/>
      <c r="EA11450" s="1963"/>
      <c r="EB11450" s="1963"/>
      <c r="EC11450" s="1963"/>
      <c r="ED11450" s="1963"/>
      <c r="EE11450" s="1963"/>
      <c r="EF11450" s="1963"/>
      <c r="EG11450" s="1963"/>
      <c r="EH11450" s="1963"/>
      <c r="EI11450" s="1963"/>
      <c r="EJ11450" s="1963"/>
      <c r="EK11450" s="1963"/>
      <c r="EL11450" s="1963"/>
      <c r="EM11450" s="1963"/>
      <c r="EN11450" s="1963"/>
      <c r="EO11450" s="1963"/>
      <c r="EP11450" s="1963"/>
      <c r="EQ11450" s="1963"/>
      <c r="ER11450" s="1963"/>
      <c r="ES11450" s="1963"/>
      <c r="ET11450" s="1963"/>
      <c r="EU11450" s="1963"/>
      <c r="EV11450" s="1963"/>
      <c r="EW11450" s="1963"/>
    </row>
    <row r="11451" spans="1:153" s="1165" customFormat="1" ht="15">
      <c r="A11451" s="2154" t="s">
        <v>8750</v>
      </c>
      <c r="B11451" s="2155"/>
      <c r="C11451" s="2156">
        <v>30</v>
      </c>
      <c r="D11451" s="2194" t="s">
        <v>1812</v>
      </c>
      <c r="E11451" s="2197">
        <f t="shared" si="144"/>
        <v>0.55000000000000004</v>
      </c>
      <c r="F11451" s="2280">
        <v>33</v>
      </c>
      <c r="G11451" s="2070">
        <f t="shared" si="145"/>
        <v>0.5</v>
      </c>
      <c r="H11451" s="317">
        <v>120</v>
      </c>
      <c r="I11451" s="2156" t="s">
        <v>1197</v>
      </c>
      <c r="J11451" s="2553" t="s">
        <v>8742</v>
      </c>
      <c r="K11451" s="2553" t="s">
        <v>6110</v>
      </c>
      <c r="L11451" s="2554"/>
      <c r="M11451" s="1963"/>
      <c r="N11451" s="1963"/>
      <c r="O11451" s="1963"/>
      <c r="P11451" s="1963"/>
      <c r="Q11451" s="1963"/>
      <c r="R11451" s="1963"/>
      <c r="S11451" s="1963"/>
      <c r="T11451" s="1963"/>
      <c r="U11451" s="1963"/>
      <c r="V11451" s="1963"/>
      <c r="W11451" s="1963"/>
      <c r="X11451" s="1963"/>
      <c r="Y11451" s="1963"/>
      <c r="Z11451" s="1963"/>
      <c r="AA11451" s="1963"/>
      <c r="AB11451" s="1963"/>
      <c r="AC11451" s="1963"/>
      <c r="AD11451" s="1963"/>
      <c r="AE11451" s="1963"/>
      <c r="AF11451" s="1963"/>
      <c r="AG11451" s="1963"/>
      <c r="AH11451" s="1963"/>
      <c r="AI11451" s="1963"/>
      <c r="AJ11451" s="1963"/>
      <c r="AK11451" s="1963"/>
      <c r="AL11451" s="1963"/>
      <c r="AM11451" s="1963"/>
      <c r="AN11451" s="1963"/>
      <c r="AO11451" s="1963"/>
      <c r="AP11451" s="1963"/>
      <c r="AQ11451" s="1963"/>
      <c r="AR11451" s="1963"/>
      <c r="AS11451" s="1963"/>
      <c r="AT11451" s="1963"/>
      <c r="AU11451" s="1963"/>
      <c r="AV11451" s="1963"/>
      <c r="AW11451" s="1963"/>
      <c r="AX11451" s="1963"/>
      <c r="AY11451" s="1963"/>
      <c r="AZ11451" s="1963"/>
      <c r="BA11451" s="1963"/>
      <c r="BB11451" s="1963"/>
      <c r="BC11451" s="1963"/>
      <c r="BD11451" s="1963"/>
      <c r="BE11451" s="1963"/>
      <c r="BF11451" s="1963"/>
      <c r="BG11451" s="1963"/>
      <c r="BH11451" s="1963"/>
      <c r="BI11451" s="1963"/>
      <c r="BJ11451" s="1963"/>
      <c r="BK11451" s="1963"/>
      <c r="BL11451" s="1963"/>
      <c r="BM11451" s="1963"/>
      <c r="BN11451" s="1963"/>
      <c r="BO11451" s="1963"/>
      <c r="BP11451" s="1963"/>
      <c r="BQ11451" s="1963"/>
      <c r="BR11451" s="1963"/>
      <c r="BS11451" s="1963"/>
      <c r="BT11451" s="1963"/>
      <c r="BU11451" s="1963"/>
      <c r="BV11451" s="1963"/>
      <c r="BW11451" s="1963"/>
      <c r="BX11451" s="1963"/>
      <c r="BY11451" s="1963"/>
      <c r="BZ11451" s="1963"/>
      <c r="CA11451" s="1963"/>
      <c r="CB11451" s="1963"/>
      <c r="CC11451" s="1963"/>
      <c r="CD11451" s="1963"/>
      <c r="CE11451" s="1963"/>
      <c r="CF11451" s="1963"/>
      <c r="CG11451" s="1963"/>
      <c r="CH11451" s="1963"/>
      <c r="CI11451" s="1963"/>
      <c r="CJ11451" s="1963"/>
      <c r="CK11451" s="1963"/>
      <c r="CL11451" s="1963"/>
      <c r="CM11451" s="1963"/>
      <c r="CN11451" s="1963"/>
      <c r="CO11451" s="1963"/>
      <c r="CP11451" s="1963"/>
      <c r="CQ11451" s="1963"/>
      <c r="CR11451" s="1963"/>
      <c r="CS11451" s="1963"/>
      <c r="CT11451" s="1963"/>
      <c r="CU11451" s="1963"/>
      <c r="CV11451" s="1963"/>
      <c r="CW11451" s="1963"/>
      <c r="CX11451" s="1963"/>
      <c r="CY11451" s="1963"/>
      <c r="CZ11451" s="1963"/>
      <c r="DA11451" s="1963"/>
      <c r="DB11451" s="1963"/>
      <c r="DC11451" s="1963"/>
      <c r="DD11451" s="1963"/>
      <c r="DE11451" s="1963"/>
      <c r="DF11451" s="1963"/>
      <c r="DG11451" s="1963"/>
      <c r="DH11451" s="1963"/>
      <c r="DI11451" s="1963"/>
      <c r="DJ11451" s="1963"/>
      <c r="DK11451" s="1963"/>
      <c r="DL11451" s="1963"/>
      <c r="DM11451" s="1963"/>
      <c r="DN11451" s="1963"/>
      <c r="DO11451" s="1963"/>
      <c r="DP11451" s="1963"/>
      <c r="DQ11451" s="1963"/>
      <c r="DR11451" s="1963"/>
      <c r="DS11451" s="1963"/>
      <c r="DT11451" s="1963"/>
      <c r="DU11451" s="1963"/>
      <c r="DV11451" s="1963"/>
      <c r="DW11451" s="1963"/>
      <c r="DX11451" s="1963"/>
      <c r="DY11451" s="1963"/>
      <c r="DZ11451" s="1963"/>
      <c r="EA11451" s="1963"/>
      <c r="EB11451" s="1963"/>
      <c r="EC11451" s="1963"/>
      <c r="ED11451" s="1963"/>
      <c r="EE11451" s="1963"/>
      <c r="EF11451" s="1963"/>
      <c r="EG11451" s="1963"/>
      <c r="EH11451" s="1963"/>
      <c r="EI11451" s="1963"/>
      <c r="EJ11451" s="1963"/>
      <c r="EK11451" s="1963"/>
      <c r="EL11451" s="1963"/>
      <c r="EM11451" s="1963"/>
      <c r="EN11451" s="1963"/>
      <c r="EO11451" s="1963"/>
      <c r="EP11451" s="1963"/>
      <c r="EQ11451" s="1963"/>
      <c r="ER11451" s="1963"/>
      <c r="ES11451" s="1963"/>
      <c r="ET11451" s="1963"/>
      <c r="EU11451" s="1963"/>
      <c r="EV11451" s="1963"/>
      <c r="EW11451" s="1963"/>
    </row>
    <row r="11452" spans="1:153" s="1165" customFormat="1" ht="15">
      <c r="A11452" s="2154" t="s">
        <v>8751</v>
      </c>
      <c r="B11452" s="2155">
        <v>3</v>
      </c>
      <c r="C11452" s="2156">
        <v>30</v>
      </c>
      <c r="D11452" s="2194" t="s">
        <v>1812</v>
      </c>
      <c r="E11452" s="2197">
        <f t="shared" si="144"/>
        <v>0.47000000000000003</v>
      </c>
      <c r="F11452" s="2280">
        <v>28</v>
      </c>
      <c r="G11452" s="2070">
        <f t="shared" si="145"/>
        <v>0.5035460992907802</v>
      </c>
      <c r="H11452" s="317">
        <v>120</v>
      </c>
      <c r="I11452" s="2156" t="s">
        <v>1197</v>
      </c>
      <c r="J11452" s="2553" t="s">
        <v>8752</v>
      </c>
      <c r="K11452" s="2553" t="s">
        <v>6110</v>
      </c>
      <c r="L11452" s="2554"/>
      <c r="M11452" s="1963"/>
      <c r="N11452" s="1963"/>
      <c r="O11452" s="1963"/>
      <c r="P11452" s="1963"/>
      <c r="Q11452" s="1963"/>
      <c r="R11452" s="1963"/>
      <c r="S11452" s="1963"/>
      <c r="T11452" s="1963"/>
      <c r="U11452" s="1963"/>
      <c r="V11452" s="1963"/>
      <c r="W11452" s="1963"/>
      <c r="X11452" s="1963"/>
      <c r="Y11452" s="1963"/>
      <c r="Z11452" s="1963"/>
      <c r="AA11452" s="1963"/>
      <c r="AB11452" s="1963"/>
      <c r="AC11452" s="1963"/>
      <c r="AD11452" s="1963"/>
      <c r="AE11452" s="1963"/>
      <c r="AF11452" s="1963"/>
      <c r="AG11452" s="1963"/>
      <c r="AH11452" s="1963"/>
      <c r="AI11452" s="1963"/>
      <c r="AJ11452" s="1963"/>
      <c r="AK11452" s="1963"/>
      <c r="AL11452" s="1963"/>
      <c r="AM11452" s="1963"/>
      <c r="AN11452" s="1963"/>
      <c r="AO11452" s="1963"/>
      <c r="AP11452" s="1963"/>
      <c r="AQ11452" s="1963"/>
      <c r="AR11452" s="1963"/>
      <c r="AS11452" s="1963"/>
      <c r="AT11452" s="1963"/>
      <c r="AU11452" s="1963"/>
      <c r="AV11452" s="1963"/>
      <c r="AW11452" s="1963"/>
      <c r="AX11452" s="1963"/>
      <c r="AY11452" s="1963"/>
      <c r="AZ11452" s="1963"/>
      <c r="BA11452" s="1963"/>
      <c r="BB11452" s="1963"/>
      <c r="BC11452" s="1963"/>
      <c r="BD11452" s="1963"/>
      <c r="BE11452" s="1963"/>
      <c r="BF11452" s="1963"/>
      <c r="BG11452" s="1963"/>
      <c r="BH11452" s="1963"/>
      <c r="BI11452" s="1963"/>
      <c r="BJ11452" s="1963"/>
      <c r="BK11452" s="1963"/>
      <c r="BL11452" s="1963"/>
      <c r="BM11452" s="1963"/>
      <c r="BN11452" s="1963"/>
      <c r="BO11452" s="1963"/>
      <c r="BP11452" s="1963"/>
      <c r="BQ11452" s="1963"/>
      <c r="BR11452" s="1963"/>
      <c r="BS11452" s="1963"/>
      <c r="BT11452" s="1963"/>
      <c r="BU11452" s="1963"/>
      <c r="BV11452" s="1963"/>
      <c r="BW11452" s="1963"/>
      <c r="BX11452" s="1963"/>
      <c r="BY11452" s="1963"/>
      <c r="BZ11452" s="1963"/>
      <c r="CA11452" s="1963"/>
      <c r="CB11452" s="1963"/>
      <c r="CC11452" s="1963"/>
      <c r="CD11452" s="1963"/>
      <c r="CE11452" s="1963"/>
      <c r="CF11452" s="1963"/>
      <c r="CG11452" s="1963"/>
      <c r="CH11452" s="1963"/>
      <c r="CI11452" s="1963"/>
      <c r="CJ11452" s="1963"/>
      <c r="CK11452" s="1963"/>
      <c r="CL11452" s="1963"/>
      <c r="CM11452" s="1963"/>
      <c r="CN11452" s="1963"/>
      <c r="CO11452" s="1963"/>
      <c r="CP11452" s="1963"/>
      <c r="CQ11452" s="1963"/>
      <c r="CR11452" s="1963"/>
      <c r="CS11452" s="1963"/>
      <c r="CT11452" s="1963"/>
      <c r="CU11452" s="1963"/>
      <c r="CV11452" s="1963"/>
      <c r="CW11452" s="1963"/>
      <c r="CX11452" s="1963"/>
      <c r="CY11452" s="1963"/>
      <c r="CZ11452" s="1963"/>
      <c r="DA11452" s="1963"/>
      <c r="DB11452" s="1963"/>
      <c r="DC11452" s="1963"/>
      <c r="DD11452" s="1963"/>
      <c r="DE11452" s="1963"/>
      <c r="DF11452" s="1963"/>
      <c r="DG11452" s="1963"/>
      <c r="DH11452" s="1963"/>
      <c r="DI11452" s="1963"/>
      <c r="DJ11452" s="1963"/>
      <c r="DK11452" s="1963"/>
      <c r="DL11452" s="1963"/>
      <c r="DM11452" s="1963"/>
      <c r="DN11452" s="1963"/>
      <c r="DO11452" s="1963"/>
      <c r="DP11452" s="1963"/>
      <c r="DQ11452" s="1963"/>
      <c r="DR11452" s="1963"/>
      <c r="DS11452" s="1963"/>
      <c r="DT11452" s="1963"/>
      <c r="DU11452" s="1963"/>
      <c r="DV11452" s="1963"/>
      <c r="DW11452" s="1963"/>
      <c r="DX11452" s="1963"/>
      <c r="DY11452" s="1963"/>
      <c r="DZ11452" s="1963"/>
      <c r="EA11452" s="1963"/>
      <c r="EB11452" s="1963"/>
      <c r="EC11452" s="1963"/>
      <c r="ED11452" s="1963"/>
      <c r="EE11452" s="1963"/>
      <c r="EF11452" s="1963"/>
      <c r="EG11452" s="1963"/>
      <c r="EH11452" s="1963"/>
      <c r="EI11452" s="1963"/>
      <c r="EJ11452" s="1963"/>
      <c r="EK11452" s="1963"/>
      <c r="EL11452" s="1963"/>
      <c r="EM11452" s="1963"/>
      <c r="EN11452" s="1963"/>
      <c r="EO11452" s="1963"/>
      <c r="EP11452" s="1963"/>
      <c r="EQ11452" s="1963"/>
      <c r="ER11452" s="1963"/>
      <c r="ES11452" s="1963"/>
      <c r="ET11452" s="1963"/>
      <c r="EU11452" s="1963"/>
      <c r="EV11452" s="1963"/>
      <c r="EW11452" s="1963"/>
    </row>
    <row r="11453" spans="1:153" s="1165" customFormat="1" ht="15">
      <c r="A11453" s="2154" t="s">
        <v>8751</v>
      </c>
      <c r="B11453" s="2155">
        <v>4</v>
      </c>
      <c r="C11453" s="2156">
        <v>30</v>
      </c>
      <c r="D11453" s="2194" t="s">
        <v>1812</v>
      </c>
      <c r="E11453" s="2197">
        <f t="shared" si="144"/>
        <v>0.67</v>
      </c>
      <c r="F11453" s="2280">
        <v>40</v>
      </c>
      <c r="G11453" s="2070">
        <f t="shared" si="145"/>
        <v>0.50248756218905477</v>
      </c>
      <c r="H11453" s="317">
        <v>120</v>
      </c>
      <c r="I11453" s="2156" t="s">
        <v>1197</v>
      </c>
      <c r="J11453" s="2553" t="s">
        <v>8752</v>
      </c>
      <c r="K11453" s="2553" t="s">
        <v>6110</v>
      </c>
      <c r="L11453" s="2554"/>
      <c r="M11453" s="1963"/>
      <c r="N11453" s="1963"/>
      <c r="O11453" s="1963"/>
      <c r="P11453" s="1963"/>
      <c r="Q11453" s="1963"/>
      <c r="R11453" s="1963"/>
      <c r="S11453" s="1963"/>
      <c r="T11453" s="1963"/>
      <c r="U11453" s="1963"/>
      <c r="V11453" s="1963"/>
      <c r="W11453" s="1963"/>
      <c r="X11453" s="1963"/>
      <c r="Y11453" s="1963"/>
      <c r="Z11453" s="1963"/>
      <c r="AA11453" s="1963"/>
      <c r="AB11453" s="1963"/>
      <c r="AC11453" s="1963"/>
      <c r="AD11453" s="1963"/>
      <c r="AE11453" s="1963"/>
      <c r="AF11453" s="1963"/>
      <c r="AG11453" s="1963"/>
      <c r="AH11453" s="1963"/>
      <c r="AI11453" s="1963"/>
      <c r="AJ11453" s="1963"/>
      <c r="AK11453" s="1963"/>
      <c r="AL11453" s="1963"/>
      <c r="AM11453" s="1963"/>
      <c r="AN11453" s="1963"/>
      <c r="AO11453" s="1963"/>
      <c r="AP11453" s="1963"/>
      <c r="AQ11453" s="1963"/>
      <c r="AR11453" s="1963"/>
      <c r="AS11453" s="1963"/>
      <c r="AT11453" s="1963"/>
      <c r="AU11453" s="1963"/>
      <c r="AV11453" s="1963"/>
      <c r="AW11453" s="1963"/>
      <c r="AX11453" s="1963"/>
      <c r="AY11453" s="1963"/>
      <c r="AZ11453" s="1963"/>
      <c r="BA11453" s="1963"/>
      <c r="BB11453" s="1963"/>
      <c r="BC11453" s="1963"/>
      <c r="BD11453" s="1963"/>
      <c r="BE11453" s="1963"/>
      <c r="BF11453" s="1963"/>
      <c r="BG11453" s="1963"/>
      <c r="BH11453" s="1963"/>
      <c r="BI11453" s="1963"/>
      <c r="BJ11453" s="1963"/>
      <c r="BK11453" s="1963"/>
      <c r="BL11453" s="1963"/>
      <c r="BM11453" s="1963"/>
      <c r="BN11453" s="1963"/>
      <c r="BO11453" s="1963"/>
      <c r="BP11453" s="1963"/>
      <c r="BQ11453" s="1963"/>
      <c r="BR11453" s="1963"/>
      <c r="BS11453" s="1963"/>
      <c r="BT11453" s="1963"/>
      <c r="BU11453" s="1963"/>
      <c r="BV11453" s="1963"/>
      <c r="BW11453" s="1963"/>
      <c r="BX11453" s="1963"/>
      <c r="BY11453" s="1963"/>
      <c r="BZ11453" s="1963"/>
      <c r="CA11453" s="1963"/>
      <c r="CB11453" s="1963"/>
      <c r="CC11453" s="1963"/>
      <c r="CD11453" s="1963"/>
      <c r="CE11453" s="1963"/>
      <c r="CF11453" s="1963"/>
      <c r="CG11453" s="1963"/>
      <c r="CH11453" s="1963"/>
      <c r="CI11453" s="1963"/>
      <c r="CJ11453" s="1963"/>
      <c r="CK11453" s="1963"/>
      <c r="CL11453" s="1963"/>
      <c r="CM11453" s="1963"/>
      <c r="CN11453" s="1963"/>
      <c r="CO11453" s="1963"/>
      <c r="CP11453" s="1963"/>
      <c r="CQ11453" s="1963"/>
      <c r="CR11453" s="1963"/>
      <c r="CS11453" s="1963"/>
      <c r="CT11453" s="1963"/>
      <c r="CU11453" s="1963"/>
      <c r="CV11453" s="1963"/>
      <c r="CW11453" s="1963"/>
      <c r="CX11453" s="1963"/>
      <c r="CY11453" s="1963"/>
      <c r="CZ11453" s="1963"/>
      <c r="DA11453" s="1963"/>
      <c r="DB11453" s="1963"/>
      <c r="DC11453" s="1963"/>
      <c r="DD11453" s="1963"/>
      <c r="DE11453" s="1963"/>
      <c r="DF11453" s="1963"/>
      <c r="DG11453" s="1963"/>
      <c r="DH11453" s="1963"/>
      <c r="DI11453" s="1963"/>
      <c r="DJ11453" s="1963"/>
      <c r="DK11453" s="1963"/>
      <c r="DL11453" s="1963"/>
      <c r="DM11453" s="1963"/>
      <c r="DN11453" s="1963"/>
      <c r="DO11453" s="1963"/>
      <c r="DP11453" s="1963"/>
      <c r="DQ11453" s="1963"/>
      <c r="DR11453" s="1963"/>
      <c r="DS11453" s="1963"/>
      <c r="DT11453" s="1963"/>
      <c r="DU11453" s="1963"/>
      <c r="DV11453" s="1963"/>
      <c r="DW11453" s="1963"/>
      <c r="DX11453" s="1963"/>
      <c r="DY11453" s="1963"/>
      <c r="DZ11453" s="1963"/>
      <c r="EA11453" s="1963"/>
      <c r="EB11453" s="1963"/>
      <c r="EC11453" s="1963"/>
      <c r="ED11453" s="1963"/>
      <c r="EE11453" s="1963"/>
      <c r="EF11453" s="1963"/>
      <c r="EG11453" s="1963"/>
      <c r="EH11453" s="1963"/>
      <c r="EI11453" s="1963"/>
      <c r="EJ11453" s="1963"/>
      <c r="EK11453" s="1963"/>
      <c r="EL11453" s="1963"/>
      <c r="EM11453" s="1963"/>
      <c r="EN11453" s="1963"/>
      <c r="EO11453" s="1963"/>
      <c r="EP11453" s="1963"/>
      <c r="EQ11453" s="1963"/>
      <c r="ER11453" s="1963"/>
      <c r="ES11453" s="1963"/>
      <c r="ET11453" s="1963"/>
      <c r="EU11453" s="1963"/>
      <c r="EV11453" s="1963"/>
      <c r="EW11453" s="1963"/>
    </row>
    <row r="11454" spans="1:153" s="1165" customFormat="1" ht="15">
      <c r="A11454" s="2154" t="s">
        <v>8751</v>
      </c>
      <c r="B11454" s="2155">
        <v>5</v>
      </c>
      <c r="C11454" s="2156">
        <v>30</v>
      </c>
      <c r="D11454" s="2194" t="s">
        <v>1812</v>
      </c>
      <c r="E11454" s="2197">
        <f t="shared" si="144"/>
        <v>0.97</v>
      </c>
      <c r="F11454" s="2280">
        <v>58</v>
      </c>
      <c r="G11454" s="2070">
        <f t="shared" si="145"/>
        <v>0.50171821305841924</v>
      </c>
      <c r="H11454" s="317">
        <v>120</v>
      </c>
      <c r="I11454" s="2156" t="s">
        <v>1197</v>
      </c>
      <c r="J11454" s="2553" t="s">
        <v>8752</v>
      </c>
      <c r="K11454" s="2553" t="s">
        <v>6110</v>
      </c>
      <c r="L11454" s="2554"/>
      <c r="M11454" s="1963"/>
      <c r="N11454" s="1963"/>
      <c r="O11454" s="1963"/>
      <c r="P11454" s="1963"/>
      <c r="Q11454" s="1963"/>
      <c r="R11454" s="1963"/>
      <c r="S11454" s="1963"/>
      <c r="T11454" s="1963"/>
      <c r="U11454" s="1963"/>
      <c r="V11454" s="1963"/>
      <c r="W11454" s="1963"/>
      <c r="X11454" s="1963"/>
      <c r="Y11454" s="1963"/>
      <c r="Z11454" s="1963"/>
      <c r="AA11454" s="1963"/>
      <c r="AB11454" s="1963"/>
      <c r="AC11454" s="1963"/>
      <c r="AD11454" s="1963"/>
      <c r="AE11454" s="1963"/>
      <c r="AF11454" s="1963"/>
      <c r="AG11454" s="1963"/>
      <c r="AH11454" s="1963"/>
      <c r="AI11454" s="1963"/>
      <c r="AJ11454" s="1963"/>
      <c r="AK11454" s="1963"/>
      <c r="AL11454" s="1963"/>
      <c r="AM11454" s="1963"/>
      <c r="AN11454" s="1963"/>
      <c r="AO11454" s="1963"/>
      <c r="AP11454" s="1963"/>
      <c r="AQ11454" s="1963"/>
      <c r="AR11454" s="1963"/>
      <c r="AS11454" s="1963"/>
      <c r="AT11454" s="1963"/>
      <c r="AU11454" s="1963"/>
      <c r="AV11454" s="1963"/>
      <c r="AW11454" s="1963"/>
      <c r="AX11454" s="1963"/>
      <c r="AY11454" s="1963"/>
      <c r="AZ11454" s="1963"/>
      <c r="BA11454" s="1963"/>
      <c r="BB11454" s="1963"/>
      <c r="BC11454" s="1963"/>
      <c r="BD11454" s="1963"/>
      <c r="BE11454" s="1963"/>
      <c r="BF11454" s="1963"/>
      <c r="BG11454" s="1963"/>
      <c r="BH11454" s="1963"/>
      <c r="BI11454" s="1963"/>
      <c r="BJ11454" s="1963"/>
      <c r="BK11454" s="1963"/>
      <c r="BL11454" s="1963"/>
      <c r="BM11454" s="1963"/>
      <c r="BN11454" s="1963"/>
      <c r="BO11454" s="1963"/>
      <c r="BP11454" s="1963"/>
      <c r="BQ11454" s="1963"/>
      <c r="BR11454" s="1963"/>
      <c r="BS11454" s="1963"/>
      <c r="BT11454" s="1963"/>
      <c r="BU11454" s="1963"/>
      <c r="BV11454" s="1963"/>
      <c r="BW11454" s="1963"/>
      <c r="BX11454" s="1963"/>
      <c r="BY11454" s="1963"/>
      <c r="BZ11454" s="1963"/>
      <c r="CA11454" s="1963"/>
      <c r="CB11454" s="1963"/>
      <c r="CC11454" s="1963"/>
      <c r="CD11454" s="1963"/>
      <c r="CE11454" s="1963"/>
      <c r="CF11454" s="1963"/>
      <c r="CG11454" s="1963"/>
      <c r="CH11454" s="1963"/>
      <c r="CI11454" s="1963"/>
      <c r="CJ11454" s="1963"/>
      <c r="CK11454" s="1963"/>
      <c r="CL11454" s="1963"/>
      <c r="CM11454" s="1963"/>
      <c r="CN11454" s="1963"/>
      <c r="CO11454" s="1963"/>
      <c r="CP11454" s="1963"/>
      <c r="CQ11454" s="1963"/>
      <c r="CR11454" s="1963"/>
      <c r="CS11454" s="1963"/>
      <c r="CT11454" s="1963"/>
      <c r="CU11454" s="1963"/>
      <c r="CV11454" s="1963"/>
      <c r="CW11454" s="1963"/>
      <c r="CX11454" s="1963"/>
      <c r="CY11454" s="1963"/>
      <c r="CZ11454" s="1963"/>
      <c r="DA11454" s="1963"/>
      <c r="DB11454" s="1963"/>
      <c r="DC11454" s="1963"/>
      <c r="DD11454" s="1963"/>
      <c r="DE11454" s="1963"/>
      <c r="DF11454" s="1963"/>
      <c r="DG11454" s="1963"/>
      <c r="DH11454" s="1963"/>
      <c r="DI11454" s="1963"/>
      <c r="DJ11454" s="1963"/>
      <c r="DK11454" s="1963"/>
      <c r="DL11454" s="1963"/>
      <c r="DM11454" s="1963"/>
      <c r="DN11454" s="1963"/>
      <c r="DO11454" s="1963"/>
      <c r="DP11454" s="1963"/>
      <c r="DQ11454" s="1963"/>
      <c r="DR11454" s="1963"/>
      <c r="DS11454" s="1963"/>
      <c r="DT11454" s="1963"/>
      <c r="DU11454" s="1963"/>
      <c r="DV11454" s="1963"/>
      <c r="DW11454" s="1963"/>
      <c r="DX11454" s="1963"/>
      <c r="DY11454" s="1963"/>
      <c r="DZ11454" s="1963"/>
      <c r="EA11454" s="1963"/>
      <c r="EB11454" s="1963"/>
      <c r="EC11454" s="1963"/>
      <c r="ED11454" s="1963"/>
      <c r="EE11454" s="1963"/>
      <c r="EF11454" s="1963"/>
      <c r="EG11454" s="1963"/>
      <c r="EH11454" s="1963"/>
      <c r="EI11454" s="1963"/>
      <c r="EJ11454" s="1963"/>
      <c r="EK11454" s="1963"/>
      <c r="EL11454" s="1963"/>
      <c r="EM11454" s="1963"/>
      <c r="EN11454" s="1963"/>
      <c r="EO11454" s="1963"/>
      <c r="EP11454" s="1963"/>
      <c r="EQ11454" s="1963"/>
      <c r="ER11454" s="1963"/>
      <c r="ES11454" s="1963"/>
      <c r="ET11454" s="1963"/>
      <c r="EU11454" s="1963"/>
      <c r="EV11454" s="1963"/>
      <c r="EW11454" s="1963"/>
    </row>
    <row r="11455" spans="1:153" s="1165" customFormat="1" ht="15">
      <c r="A11455" s="2154" t="s">
        <v>8751</v>
      </c>
      <c r="B11455" s="2155">
        <v>6</v>
      </c>
      <c r="C11455" s="2156">
        <v>30</v>
      </c>
      <c r="D11455" s="2194" t="s">
        <v>1812</v>
      </c>
      <c r="E11455" s="2197">
        <f t="shared" si="144"/>
        <v>1.39</v>
      </c>
      <c r="F11455" s="2280">
        <v>83</v>
      </c>
      <c r="G11455" s="2070">
        <f t="shared" si="145"/>
        <v>0.50239808153477217</v>
      </c>
      <c r="H11455" s="317">
        <v>120</v>
      </c>
      <c r="I11455" s="2156" t="s">
        <v>1197</v>
      </c>
      <c r="J11455" s="2553" t="s">
        <v>8752</v>
      </c>
      <c r="K11455" s="2553" t="s">
        <v>6110</v>
      </c>
      <c r="L11455" s="2554"/>
      <c r="M11455" s="1963"/>
      <c r="N11455" s="1963"/>
      <c r="O11455" s="1963"/>
      <c r="P11455" s="1963"/>
      <c r="Q11455" s="1963"/>
      <c r="R11455" s="1963"/>
      <c r="S11455" s="1963"/>
      <c r="T11455" s="1963"/>
      <c r="U11455" s="1963"/>
      <c r="V11455" s="1963"/>
      <c r="W11455" s="1963"/>
      <c r="X11455" s="1963"/>
      <c r="Y11455" s="1963"/>
      <c r="Z11455" s="1963"/>
      <c r="AA11455" s="1963"/>
      <c r="AB11455" s="1963"/>
      <c r="AC11455" s="1963"/>
      <c r="AD11455" s="1963"/>
      <c r="AE11455" s="1963"/>
      <c r="AF11455" s="1963"/>
      <c r="AG11455" s="1963"/>
      <c r="AH11455" s="1963"/>
      <c r="AI11455" s="1963"/>
      <c r="AJ11455" s="1963"/>
      <c r="AK11455" s="1963"/>
      <c r="AL11455" s="1963"/>
      <c r="AM11455" s="1963"/>
      <c r="AN11455" s="1963"/>
      <c r="AO11455" s="1963"/>
      <c r="AP11455" s="1963"/>
      <c r="AQ11455" s="1963"/>
      <c r="AR11455" s="1963"/>
      <c r="AS11455" s="1963"/>
      <c r="AT11455" s="1963"/>
      <c r="AU11455" s="1963"/>
      <c r="AV11455" s="1963"/>
      <c r="AW11455" s="1963"/>
      <c r="AX11455" s="1963"/>
      <c r="AY11455" s="1963"/>
      <c r="AZ11455" s="1963"/>
      <c r="BA11455" s="1963"/>
      <c r="BB11455" s="1963"/>
      <c r="BC11455" s="1963"/>
      <c r="BD11455" s="1963"/>
      <c r="BE11455" s="1963"/>
      <c r="BF11455" s="1963"/>
      <c r="BG11455" s="1963"/>
      <c r="BH11455" s="1963"/>
      <c r="BI11455" s="1963"/>
      <c r="BJ11455" s="1963"/>
      <c r="BK11455" s="1963"/>
      <c r="BL11455" s="1963"/>
      <c r="BM11455" s="1963"/>
      <c r="BN11455" s="1963"/>
      <c r="BO11455" s="1963"/>
      <c r="BP11455" s="1963"/>
      <c r="BQ11455" s="1963"/>
      <c r="BR11455" s="1963"/>
      <c r="BS11455" s="1963"/>
      <c r="BT11455" s="1963"/>
      <c r="BU11455" s="1963"/>
      <c r="BV11455" s="1963"/>
      <c r="BW11455" s="1963"/>
      <c r="BX11455" s="1963"/>
      <c r="BY11455" s="1963"/>
      <c r="BZ11455" s="1963"/>
      <c r="CA11455" s="1963"/>
      <c r="CB11455" s="1963"/>
      <c r="CC11455" s="1963"/>
      <c r="CD11455" s="1963"/>
      <c r="CE11455" s="1963"/>
      <c r="CF11455" s="1963"/>
      <c r="CG11455" s="1963"/>
      <c r="CH11455" s="1963"/>
      <c r="CI11455" s="1963"/>
      <c r="CJ11455" s="1963"/>
      <c r="CK11455" s="1963"/>
      <c r="CL11455" s="1963"/>
      <c r="CM11455" s="1963"/>
      <c r="CN11455" s="1963"/>
      <c r="CO11455" s="1963"/>
      <c r="CP11455" s="1963"/>
      <c r="CQ11455" s="1963"/>
      <c r="CR11455" s="1963"/>
      <c r="CS11455" s="1963"/>
      <c r="CT11455" s="1963"/>
      <c r="CU11455" s="1963"/>
      <c r="CV11455" s="1963"/>
      <c r="CW11455" s="1963"/>
      <c r="CX11455" s="1963"/>
      <c r="CY11455" s="1963"/>
      <c r="CZ11455" s="1963"/>
      <c r="DA11455" s="1963"/>
      <c r="DB11455" s="1963"/>
      <c r="DC11455" s="1963"/>
      <c r="DD11455" s="1963"/>
      <c r="DE11455" s="1963"/>
      <c r="DF11455" s="1963"/>
      <c r="DG11455" s="1963"/>
      <c r="DH11455" s="1963"/>
      <c r="DI11455" s="1963"/>
      <c r="DJ11455" s="1963"/>
      <c r="DK11455" s="1963"/>
      <c r="DL11455" s="1963"/>
      <c r="DM11455" s="1963"/>
      <c r="DN11455" s="1963"/>
      <c r="DO11455" s="1963"/>
      <c r="DP11455" s="1963"/>
      <c r="DQ11455" s="1963"/>
      <c r="DR11455" s="1963"/>
      <c r="DS11455" s="1963"/>
      <c r="DT11455" s="1963"/>
      <c r="DU11455" s="1963"/>
      <c r="DV11455" s="1963"/>
      <c r="DW11455" s="1963"/>
      <c r="DX11455" s="1963"/>
      <c r="DY11455" s="1963"/>
      <c r="DZ11455" s="1963"/>
      <c r="EA11455" s="1963"/>
      <c r="EB11455" s="1963"/>
      <c r="EC11455" s="1963"/>
      <c r="ED11455" s="1963"/>
      <c r="EE11455" s="1963"/>
      <c r="EF11455" s="1963"/>
      <c r="EG11455" s="1963"/>
      <c r="EH11455" s="1963"/>
      <c r="EI11455" s="1963"/>
      <c r="EJ11455" s="1963"/>
      <c r="EK11455" s="1963"/>
      <c r="EL11455" s="1963"/>
      <c r="EM11455" s="1963"/>
      <c r="EN11455" s="1963"/>
      <c r="EO11455" s="1963"/>
      <c r="EP11455" s="1963"/>
      <c r="EQ11455" s="1963"/>
      <c r="ER11455" s="1963"/>
      <c r="ES11455" s="1963"/>
      <c r="ET11455" s="1963"/>
      <c r="EU11455" s="1963"/>
      <c r="EV11455" s="1963"/>
      <c r="EW11455" s="1963"/>
    </row>
    <row r="11463" spans="1:7">
      <c r="A11463" s="902" t="s">
        <v>106</v>
      </c>
      <c r="B11463" s="902" t="s">
        <v>52</v>
      </c>
      <c r="C11463" s="902" t="s">
        <v>53</v>
      </c>
      <c r="D11463" s="887" t="s">
        <v>1186</v>
      </c>
      <c r="E11463" s="887" t="s">
        <v>1652</v>
      </c>
      <c r="F11463" s="887" t="s">
        <v>1653</v>
      </c>
      <c r="G11463" s="1783" t="s">
        <v>1323</v>
      </c>
    </row>
    <row r="11464" spans="1:7">
      <c r="A11464" s="2556">
        <v>4156</v>
      </c>
      <c r="B11464" s="2557" t="s">
        <v>8739</v>
      </c>
      <c r="C11464" s="2556" t="s">
        <v>8753</v>
      </c>
      <c r="D11464" s="50">
        <v>15</v>
      </c>
      <c r="E11464" s="911">
        <v>1</v>
      </c>
      <c r="F11464" s="50">
        <f>D11464*E11464</f>
        <v>15</v>
      </c>
      <c r="G11464" s="51">
        <v>1.91</v>
      </c>
    </row>
    <row r="11465" spans="1:7">
      <c r="A11465" s="2556"/>
      <c r="B11465" s="2558"/>
      <c r="C11465" s="2557" t="s">
        <v>1993</v>
      </c>
      <c r="D11465" s="50"/>
      <c r="E11465" s="911"/>
      <c r="F11465" s="2559">
        <v>1</v>
      </c>
      <c r="G11465" s="51">
        <v>12</v>
      </c>
    </row>
    <row r="11467" spans="1:7" s="1019" customFormat="1" ht="12.75">
      <c r="A11467" s="1019" t="s">
        <v>8767</v>
      </c>
    </row>
    <row r="11468" spans="1:7" s="2103" customFormat="1" ht="27">
      <c r="A11468" s="887" t="s">
        <v>8763</v>
      </c>
      <c r="B11468" s="1772" t="s">
        <v>5514</v>
      </c>
      <c r="C11468" s="1783" t="s">
        <v>6976</v>
      </c>
      <c r="D11468" s="2318" t="s">
        <v>8146</v>
      </c>
      <c r="E11468" s="2037" t="s">
        <v>6080</v>
      </c>
      <c r="F11468" s="2037" t="s">
        <v>6081</v>
      </c>
    </row>
    <row r="11469" spans="1:7" s="2103" customFormat="1" ht="33" customHeight="1">
      <c r="A11469" s="1197" t="s">
        <v>8756</v>
      </c>
      <c r="B11469" s="1197" t="s">
        <v>6447</v>
      </c>
      <c r="C11469" s="2105">
        <f>ROUNDUP(D11469/0.8/120,2)</f>
        <v>15.94</v>
      </c>
      <c r="D11469" s="2104">
        <f>1130+400</f>
        <v>1530</v>
      </c>
      <c r="E11469" s="2083">
        <f>(C11469-(D11469/F11469))/C11469</f>
        <v>0.20012547051442908</v>
      </c>
      <c r="F11469" s="245">
        <v>120</v>
      </c>
    </row>
    <row r="11470" spans="1:7" s="2103" customFormat="1" ht="24" customHeight="1">
      <c r="A11470" s="1197" t="s">
        <v>8757</v>
      </c>
      <c r="B11470" s="1197" t="s">
        <v>6447</v>
      </c>
      <c r="C11470" s="2105">
        <f>ROUNDUP(D11470/0.8/120,2)</f>
        <v>12.09</v>
      </c>
      <c r="D11470" s="2104">
        <f>1130+30</f>
        <v>1160</v>
      </c>
      <c r="E11470" s="2083">
        <f>(C11470-(D11470/F11470))/C11470</f>
        <v>0.20044113592500692</v>
      </c>
      <c r="F11470" s="245">
        <v>120</v>
      </c>
    </row>
    <row r="11471" spans="1:7" s="2103" customFormat="1" ht="24" customHeight="1">
      <c r="A11471" s="1197" t="s">
        <v>8764</v>
      </c>
      <c r="B11471" s="1197" t="s">
        <v>6447</v>
      </c>
      <c r="C11471" s="2105">
        <f>ROUNDUP(D11471/0.8/120,2)</f>
        <v>11.879999999999999</v>
      </c>
      <c r="D11471" s="2104">
        <f>1110+30</f>
        <v>1140</v>
      </c>
      <c r="E11471" s="2083">
        <f>(C11471-(D11471/F11471))/C11471</f>
        <v>0.20033670033670026</v>
      </c>
      <c r="F11471" s="245">
        <v>120</v>
      </c>
    </row>
    <row r="11472" spans="1:7" s="2103" customFormat="1" ht="24" customHeight="1">
      <c r="A11472" s="1197" t="s">
        <v>8765</v>
      </c>
      <c r="B11472" s="1197" t="s">
        <v>6447</v>
      </c>
      <c r="C11472" s="2105">
        <f>ROUNDUP(D11472/0.8/120,2)</f>
        <v>11.459999999999999</v>
      </c>
      <c r="D11472" s="2104">
        <f>1070+30</f>
        <v>1100</v>
      </c>
      <c r="E11472" s="2083">
        <f>(C11472-(D11472/F11472))/C11472</f>
        <v>0.20011634671320533</v>
      </c>
      <c r="F11472" s="245">
        <v>120</v>
      </c>
    </row>
    <row r="11473" spans="1:6" s="2103" customFormat="1" ht="24" customHeight="1">
      <c r="A11473" s="1197" t="s">
        <v>8766</v>
      </c>
      <c r="B11473" s="1197" t="s">
        <v>6447</v>
      </c>
      <c r="C11473" s="2105">
        <f>ROUNDUP(D11473/0.8/120,2)</f>
        <v>10.94</v>
      </c>
      <c r="D11473" s="2104">
        <f>1020+30</f>
        <v>1050</v>
      </c>
      <c r="E11473" s="2083">
        <f>(C11473-(D11473/F11473))/C11473</f>
        <v>0.20018281535648991</v>
      </c>
      <c r="F11473" s="245">
        <v>120</v>
      </c>
    </row>
    <row r="11474" spans="1:6" s="2103" customFormat="1" ht="24" customHeight="1">
      <c r="A11474" s="2562"/>
      <c r="B11474" s="2562"/>
      <c r="C11474" s="2563"/>
      <c r="D11474" s="2564"/>
      <c r="E11474" s="2083"/>
      <c r="F11474" s="245"/>
    </row>
    <row r="11475" spans="1:6" s="2103" customFormat="1" ht="24" customHeight="1">
      <c r="A11475" s="2562"/>
      <c r="B11475" s="2562"/>
      <c r="C11475" s="2563"/>
      <c r="D11475" s="2564"/>
      <c r="E11475" s="2083"/>
      <c r="F11475" s="245"/>
    </row>
    <row r="11476" spans="1:6" s="1019" customFormat="1" ht="12.75">
      <c r="A11476" s="1019" t="s">
        <v>8767</v>
      </c>
    </row>
    <row r="11477" spans="1:6" s="2103" customFormat="1" ht="27">
      <c r="A11477" s="887" t="s">
        <v>8768</v>
      </c>
      <c r="B11477" s="1772" t="s">
        <v>5514</v>
      </c>
      <c r="C11477" s="1783" t="s">
        <v>6976</v>
      </c>
      <c r="D11477" s="2318" t="s">
        <v>8146</v>
      </c>
      <c r="E11477" s="2037" t="s">
        <v>6080</v>
      </c>
      <c r="F11477" s="2037" t="s">
        <v>6081</v>
      </c>
    </row>
    <row r="11478" spans="1:6" s="2103" customFormat="1" ht="33" customHeight="1">
      <c r="A11478" s="1197" t="s">
        <v>8771</v>
      </c>
      <c r="B11478" s="1197" t="s">
        <v>6447</v>
      </c>
      <c r="C11478" s="2105" t="s">
        <v>8769</v>
      </c>
      <c r="D11478" s="2104">
        <f>1130+400</f>
        <v>1530</v>
      </c>
      <c r="E11478" s="2083" t="e">
        <f>(C11478-(D11478/F11478))/C11478</f>
        <v>#VALUE!</v>
      </c>
      <c r="F11478" s="245">
        <v>120</v>
      </c>
    </row>
    <row r="11479" spans="1:6" s="2103" customFormat="1" ht="25.5">
      <c r="A11479" s="1197" t="s">
        <v>8770</v>
      </c>
      <c r="B11479" s="1197" t="s">
        <v>6447</v>
      </c>
      <c r="C11479" s="2105">
        <f>ROUNDUP(D11479/0.8/120,2)</f>
        <v>12.09</v>
      </c>
      <c r="D11479" s="2104">
        <f>1130+30</f>
        <v>1160</v>
      </c>
      <c r="E11479" s="2083">
        <f>(C11479-(D11479/F11479))/C11479</f>
        <v>0.20044113592500692</v>
      </c>
      <c r="F11479" s="245">
        <v>120</v>
      </c>
    </row>
    <row r="11480" spans="1:6" s="2103" customFormat="1" ht="24" customHeight="1">
      <c r="A11480" s="1197" t="s">
        <v>8764</v>
      </c>
      <c r="B11480" s="1197" t="s">
        <v>6447</v>
      </c>
      <c r="C11480" s="2105">
        <f>ROUNDUP(D11480/0.8/120,2)</f>
        <v>11.879999999999999</v>
      </c>
      <c r="D11480" s="2104">
        <f>1110+30</f>
        <v>1140</v>
      </c>
      <c r="E11480" s="2083">
        <f>(C11480-(D11480/F11480))/C11480</f>
        <v>0.20033670033670026</v>
      </c>
      <c r="F11480" s="245">
        <v>120</v>
      </c>
    </row>
    <row r="11481" spans="1:6" s="2103" customFormat="1" ht="24" customHeight="1">
      <c r="A11481" s="1197" t="s">
        <v>8765</v>
      </c>
      <c r="B11481" s="1197" t="s">
        <v>6447</v>
      </c>
      <c r="C11481" s="2105">
        <f>ROUNDUP(D11481/0.8/120,2)</f>
        <v>11.459999999999999</v>
      </c>
      <c r="D11481" s="2104">
        <f>1070+30</f>
        <v>1100</v>
      </c>
      <c r="E11481" s="2083">
        <f>(C11481-(D11481/F11481))/C11481</f>
        <v>0.20011634671320533</v>
      </c>
      <c r="F11481" s="245">
        <v>120</v>
      </c>
    </row>
    <row r="11482" spans="1:6" s="2103" customFormat="1" ht="24" customHeight="1">
      <c r="A11482" s="1197" t="s">
        <v>8766</v>
      </c>
      <c r="B11482" s="1197" t="s">
        <v>6447</v>
      </c>
      <c r="C11482" s="2105">
        <f>ROUNDUP(D11482/0.8/120,2)</f>
        <v>10.94</v>
      </c>
      <c r="D11482" s="2104">
        <f>1020+30</f>
        <v>1050</v>
      </c>
      <c r="E11482" s="2083">
        <f>(C11482-(D11482/F11482))/C11482</f>
        <v>0.20018281535648991</v>
      </c>
      <c r="F11482" s="245">
        <v>120</v>
      </c>
    </row>
    <row r="11483" spans="1:6" s="2103" customFormat="1" ht="24" customHeight="1">
      <c r="A11483" s="2562"/>
      <c r="B11483" s="2562"/>
      <c r="C11483" s="2563"/>
      <c r="D11483" s="2564"/>
      <c r="E11483" s="2083"/>
      <c r="F11483" s="245"/>
    </row>
    <row r="11484" spans="1:6" s="2103" customFormat="1" ht="24" customHeight="1">
      <c r="A11484" s="2562"/>
      <c r="B11484" s="2562"/>
      <c r="C11484" s="2563"/>
      <c r="D11484" s="2564"/>
      <c r="E11484" s="2083"/>
      <c r="F11484" s="245"/>
    </row>
    <row r="11485" spans="1:6" s="2103" customFormat="1" ht="24" customHeight="1">
      <c r="A11485" s="2562"/>
      <c r="B11485" s="2562"/>
      <c r="C11485" s="2563"/>
      <c r="D11485" s="2564"/>
      <c r="E11485" s="2083"/>
      <c r="F11485" s="245"/>
    </row>
    <row r="11490" spans="1:8">
      <c r="A11490" s="902" t="s">
        <v>106</v>
      </c>
      <c r="B11490" s="902" t="s">
        <v>52</v>
      </c>
      <c r="C11490" s="902" t="s">
        <v>53</v>
      </c>
      <c r="D11490" s="887" t="s">
        <v>1186</v>
      </c>
      <c r="E11490" s="887" t="s">
        <v>1652</v>
      </c>
      <c r="F11490" s="887" t="s">
        <v>1653</v>
      </c>
      <c r="G11490" s="1783" t="s">
        <v>1323</v>
      </c>
    </row>
    <row r="11491" spans="1:8">
      <c r="A11491" s="47">
        <v>4141</v>
      </c>
      <c r="B11491" s="260">
        <v>6</v>
      </c>
      <c r="C11491" s="47" t="s">
        <v>48</v>
      </c>
      <c r="D11491" s="905">
        <v>20</v>
      </c>
      <c r="E11491" s="906">
        <v>129</v>
      </c>
      <c r="F11491" s="905">
        <f>D11491*E11491</f>
        <v>2580</v>
      </c>
      <c r="G11491" s="891">
        <v>1.47</v>
      </c>
    </row>
    <row r="11492" spans="1:8">
      <c r="A11492" s="47">
        <v>4141</v>
      </c>
      <c r="B11492" s="260">
        <v>6</v>
      </c>
      <c r="C11492" s="665" t="s">
        <v>8759</v>
      </c>
      <c r="D11492" s="905">
        <v>20</v>
      </c>
      <c r="E11492" s="906">
        <v>25</v>
      </c>
      <c r="F11492" s="905">
        <f>D11492*E11492</f>
        <v>500</v>
      </c>
      <c r="G11492" s="891">
        <v>1.47</v>
      </c>
    </row>
    <row r="11495" spans="1:8" ht="13.5" customHeight="1">
      <c r="A11495" s="895" t="s">
        <v>8762</v>
      </c>
    </row>
    <row r="11496" spans="1:8" ht="13.5" customHeight="1">
      <c r="A11496" s="902" t="s">
        <v>1603</v>
      </c>
      <c r="B11496" s="902" t="s">
        <v>8006</v>
      </c>
      <c r="C11496" s="1772" t="s">
        <v>7856</v>
      </c>
      <c r="D11496" s="1772" t="s">
        <v>1403</v>
      </c>
      <c r="E11496" s="2037" t="s">
        <v>6613</v>
      </c>
      <c r="F11496" s="2037" t="s">
        <v>6929</v>
      </c>
      <c r="G11496" s="2037" t="s">
        <v>6081</v>
      </c>
    </row>
    <row r="11497" spans="1:8" ht="13.5" customHeight="1">
      <c r="A11497" s="909" t="s">
        <v>8760</v>
      </c>
      <c r="B11497" s="1209" t="s">
        <v>8005</v>
      </c>
      <c r="C11497" s="1245">
        <f>ROUNDUP(E11497/0.77/120,2)</f>
        <v>26.630000000000003</v>
      </c>
      <c r="D11497" s="1245" t="s">
        <v>7857</v>
      </c>
      <c r="E11497" s="2253">
        <f>2160+300</f>
        <v>2460</v>
      </c>
      <c r="F11497" s="1965">
        <f>(C11497-(E11497/G11497))/C11497</f>
        <v>0.23019151333082996</v>
      </c>
      <c r="G11497">
        <v>120</v>
      </c>
      <c r="H11497" s="317"/>
    </row>
    <row r="11498" spans="1:8" ht="13.5" customHeight="1">
      <c r="A11498" s="909" t="s">
        <v>8760</v>
      </c>
      <c r="B11498" s="1209" t="s">
        <v>8004</v>
      </c>
      <c r="C11498" s="1245">
        <f>ROUNDUP(E11498/0.77/120,2)</f>
        <v>23.380000000000003</v>
      </c>
      <c r="D11498" s="1245"/>
      <c r="E11498" s="2253">
        <v>2160</v>
      </c>
      <c r="F11498" s="1965">
        <f>(C11498-(E11498/G11498))/C11498</f>
        <v>0.23011120615911043</v>
      </c>
      <c r="G11498">
        <v>120</v>
      </c>
      <c r="H11498" s="2335"/>
    </row>
    <row r="11499" spans="1:8" ht="13.5" customHeight="1">
      <c r="A11499" s="909"/>
      <c r="B11499" s="1209"/>
      <c r="C11499" s="1245"/>
      <c r="D11499" s="1245"/>
      <c r="E11499" s="2253"/>
      <c r="F11499" s="1965"/>
      <c r="H11499" s="2335"/>
    </row>
    <row r="11500" spans="1:8" ht="13.5" customHeight="1">
      <c r="A11500" s="909" t="s">
        <v>8761</v>
      </c>
      <c r="B11500" s="1209" t="s">
        <v>8005</v>
      </c>
      <c r="C11500" s="1245">
        <f>ROUNDUP(E11500/0.77/120,2)</f>
        <v>27.39</v>
      </c>
      <c r="D11500" s="1245" t="s">
        <v>7857</v>
      </c>
      <c r="E11500" s="2253">
        <f>2230+300</f>
        <v>2530</v>
      </c>
      <c r="F11500" s="1965">
        <f>(C11500-(E11500/G11500))/C11500</f>
        <v>0.23025435073627851</v>
      </c>
      <c r="G11500">
        <v>120</v>
      </c>
      <c r="H11500" s="317"/>
    </row>
    <row r="11501" spans="1:8" ht="13.5" customHeight="1">
      <c r="A11501" s="909" t="s">
        <v>8761</v>
      </c>
      <c r="B11501" s="1209" t="s">
        <v>8004</v>
      </c>
      <c r="C11501" s="1245">
        <f>ROUNDUP(E11501/0.77/120,2)</f>
        <v>24.14</v>
      </c>
      <c r="D11501" s="1245"/>
      <c r="E11501" s="2253">
        <v>2230</v>
      </c>
      <c r="F11501" s="1965">
        <f>(C11501-(E11501/G11501))/C11501</f>
        <v>0.23018503175918262</v>
      </c>
      <c r="G11501">
        <v>120</v>
      </c>
      <c r="H11501" s="2335"/>
    </row>
    <row r="11505" spans="1:9" s="345" customFormat="1">
      <c r="A11505" s="902" t="s">
        <v>106</v>
      </c>
      <c r="B11505" s="902" t="s">
        <v>377</v>
      </c>
      <c r="C11505" s="902" t="s">
        <v>53</v>
      </c>
      <c r="D11505" s="887" t="s">
        <v>1186</v>
      </c>
      <c r="E11505" s="887" t="s">
        <v>1652</v>
      </c>
      <c r="F11505" s="887" t="s">
        <v>1653</v>
      </c>
      <c r="G11505" s="1783" t="s">
        <v>1323</v>
      </c>
      <c r="H11505" s="574" t="s">
        <v>8778</v>
      </c>
      <c r="I11505" s="574" t="s">
        <v>8777</v>
      </c>
    </row>
    <row r="11506" spans="1:9">
      <c r="A11506" s="889"/>
      <c r="B11506" s="907"/>
      <c r="C11506" s="47"/>
      <c r="D11506" s="903"/>
      <c r="E11506" s="904"/>
      <c r="F11506" s="903"/>
      <c r="G11506" s="916" t="s">
        <v>10</v>
      </c>
      <c r="H11506" s="574"/>
      <c r="I11506" s="574"/>
    </row>
    <row r="11507" spans="1:9">
      <c r="A11507" s="47" t="s">
        <v>8774</v>
      </c>
      <c r="B11507" s="907">
        <v>152</v>
      </c>
      <c r="C11507" s="47" t="s">
        <v>6771</v>
      </c>
      <c r="D11507" s="905">
        <v>58</v>
      </c>
      <c r="E11507" s="906">
        <v>2</v>
      </c>
      <c r="F11507" s="905">
        <f>D11507*E11507</f>
        <v>116</v>
      </c>
      <c r="G11507" s="891">
        <v>4.05</v>
      </c>
      <c r="H11507" s="39" t="s">
        <v>8779</v>
      </c>
      <c r="I11507" s="1202" t="s">
        <v>2219</v>
      </c>
    </row>
    <row r="11508" spans="1:9" ht="16.5">
      <c r="A11508" s="47" t="s">
        <v>8774</v>
      </c>
      <c r="B11508" s="907">
        <v>152</v>
      </c>
      <c r="C11508" s="47" t="s">
        <v>5668</v>
      </c>
      <c r="D11508" s="905">
        <v>58</v>
      </c>
      <c r="E11508" s="906">
        <v>3</v>
      </c>
      <c r="F11508" s="905">
        <f>D11508*E11508</f>
        <v>174</v>
      </c>
      <c r="G11508" s="891">
        <v>4.05</v>
      </c>
      <c r="H11508" s="2565" t="s">
        <v>8780</v>
      </c>
      <c r="I11508" s="1202" t="s">
        <v>2219</v>
      </c>
    </row>
    <row r="11509" spans="1:9">
      <c r="A11509" s="47" t="s">
        <v>8774</v>
      </c>
      <c r="B11509" s="907">
        <v>152</v>
      </c>
      <c r="C11509" s="47" t="s">
        <v>1299</v>
      </c>
      <c r="D11509" s="905">
        <v>58</v>
      </c>
      <c r="E11509" s="906">
        <v>3</v>
      </c>
      <c r="F11509" s="905">
        <f>D11509*E11509</f>
        <v>174</v>
      </c>
      <c r="G11509" s="891">
        <v>4.05</v>
      </c>
      <c r="H11509" s="39" t="s">
        <v>8779</v>
      </c>
      <c r="I11509" s="1202" t="s">
        <v>2219</v>
      </c>
    </row>
    <row r="11510" spans="1:9">
      <c r="A11510" s="47">
        <v>2440</v>
      </c>
      <c r="B11510" s="907">
        <v>140</v>
      </c>
      <c r="C11510" s="47" t="s">
        <v>8775</v>
      </c>
      <c r="D11510" s="905">
        <v>58</v>
      </c>
      <c r="E11510" s="906">
        <v>5</v>
      </c>
      <c r="F11510" s="905">
        <f>D11510*E11510</f>
        <v>290</v>
      </c>
      <c r="G11510" s="891">
        <v>4.05</v>
      </c>
      <c r="H11510" s="39" t="s">
        <v>8776</v>
      </c>
      <c r="I11510" s="1202" t="s">
        <v>2219</v>
      </c>
    </row>
    <row r="11511" spans="1:9">
      <c r="A11511" s="47">
        <v>2440</v>
      </c>
      <c r="B11511" s="907">
        <v>140</v>
      </c>
      <c r="C11511" s="47" t="s">
        <v>2601</v>
      </c>
      <c r="D11511" s="905">
        <v>58</v>
      </c>
      <c r="E11511" s="906">
        <v>9</v>
      </c>
      <c r="F11511" s="905">
        <f>D11511*E11511</f>
        <v>522</v>
      </c>
      <c r="G11511" s="891">
        <v>4.05</v>
      </c>
      <c r="H11511" s="39" t="s">
        <v>8776</v>
      </c>
      <c r="I11511" s="1202" t="s">
        <v>2219</v>
      </c>
    </row>
    <row r="11512" spans="1:9">
      <c r="A11512" s="889"/>
      <c r="B11512" s="907"/>
      <c r="C11512" s="47"/>
      <c r="D11512" s="903"/>
      <c r="E11512" s="904"/>
      <c r="F11512" s="903"/>
      <c r="G11512" s="52"/>
      <c r="H11512" s="39"/>
      <c r="I11512" s="39"/>
    </row>
    <row r="11513" spans="1:9">
      <c r="A11513" s="47" t="s">
        <v>536</v>
      </c>
      <c r="B11513" s="907">
        <v>160</v>
      </c>
      <c r="C11513" s="47" t="s">
        <v>2600</v>
      </c>
      <c r="D11513" s="905">
        <v>50</v>
      </c>
      <c r="E11513" s="906">
        <v>6</v>
      </c>
      <c r="F11513" s="905">
        <f>D11513*E11513</f>
        <v>300</v>
      </c>
      <c r="G11513" s="891">
        <v>5</v>
      </c>
      <c r="H11513" s="39" t="s">
        <v>8776</v>
      </c>
      <c r="I11513" s="1202" t="s">
        <v>2218</v>
      </c>
    </row>
    <row r="11518" spans="1:9">
      <c r="A11518" s="902" t="s">
        <v>106</v>
      </c>
      <c r="B11518" s="902" t="s">
        <v>377</v>
      </c>
      <c r="C11518" s="902" t="s">
        <v>53</v>
      </c>
      <c r="D11518" s="887" t="s">
        <v>1653</v>
      </c>
      <c r="E11518" s="1783" t="s">
        <v>1323</v>
      </c>
    </row>
    <row r="11519" spans="1:9">
      <c r="A11519" s="47" t="s">
        <v>8783</v>
      </c>
      <c r="B11519" s="1146" t="s">
        <v>8784</v>
      </c>
      <c r="C11519" s="47" t="s">
        <v>8785</v>
      </c>
      <c r="D11519" s="905">
        <v>15</v>
      </c>
      <c r="E11519" s="891">
        <v>15.94</v>
      </c>
    </row>
    <row r="11524" spans="1:5">
      <c r="A11524" s="902" t="s">
        <v>106</v>
      </c>
      <c r="B11524" s="902" t="s">
        <v>377</v>
      </c>
      <c r="C11524" s="902" t="s">
        <v>53</v>
      </c>
      <c r="D11524" s="887" t="s">
        <v>1653</v>
      </c>
      <c r="E11524" s="1783" t="s">
        <v>1323</v>
      </c>
    </row>
    <row r="11525" spans="1:5">
      <c r="A11525" s="47" t="s">
        <v>8783</v>
      </c>
      <c r="B11525" s="1146" t="s">
        <v>8784</v>
      </c>
      <c r="C11525" s="47" t="s">
        <v>8785</v>
      </c>
      <c r="D11525" s="983">
        <v>41.8</v>
      </c>
      <c r="E11525" s="891">
        <v>12.09</v>
      </c>
    </row>
    <row r="11526" spans="1:5">
      <c r="A11526" s="47" t="s">
        <v>8783</v>
      </c>
      <c r="B11526" s="1146" t="s">
        <v>8784</v>
      </c>
      <c r="C11526" s="47" t="s">
        <v>8786</v>
      </c>
      <c r="D11526" s="905">
        <v>20</v>
      </c>
      <c r="E11526" s="891">
        <v>15.94</v>
      </c>
    </row>
    <row r="11527" spans="1:5">
      <c r="A11527" s="47" t="s">
        <v>8783</v>
      </c>
      <c r="B11527" s="1146" t="s">
        <v>8784</v>
      </c>
      <c r="C11527" s="47" t="s">
        <v>8786</v>
      </c>
      <c r="D11527" s="905">
        <v>13</v>
      </c>
      <c r="E11527" s="891">
        <v>15.94</v>
      </c>
    </row>
    <row r="11532" spans="1:5">
      <c r="A11532" s="902" t="s">
        <v>106</v>
      </c>
      <c r="B11532" s="902" t="s">
        <v>53</v>
      </c>
      <c r="C11532" s="887" t="s">
        <v>1653</v>
      </c>
      <c r="D11532" s="1783" t="s">
        <v>1323</v>
      </c>
      <c r="E11532" s="1783" t="s">
        <v>2245</v>
      </c>
    </row>
    <row r="11533" spans="1:5">
      <c r="A11533" s="47" t="s">
        <v>6352</v>
      </c>
      <c r="B11533" s="47" t="s">
        <v>6354</v>
      </c>
      <c r="C11533" s="890">
        <v>500</v>
      </c>
      <c r="D11533" s="891">
        <v>0.24</v>
      </c>
      <c r="E11533" s="891">
        <f t="shared" ref="E11533:E11539" si="146">D11533*C11533</f>
        <v>120</v>
      </c>
    </row>
    <row r="11534" spans="1:5">
      <c r="A11534" s="47" t="s">
        <v>6352</v>
      </c>
      <c r="B11534" s="47" t="s">
        <v>6353</v>
      </c>
      <c r="C11534" s="890">
        <v>1000</v>
      </c>
      <c r="D11534" s="891">
        <v>0.24</v>
      </c>
      <c r="E11534" s="891">
        <f t="shared" si="146"/>
        <v>240</v>
      </c>
    </row>
    <row r="11535" spans="1:5">
      <c r="A11535" s="47" t="s">
        <v>6352</v>
      </c>
      <c r="B11535" s="47" t="s">
        <v>8800</v>
      </c>
      <c r="C11535" s="890">
        <v>100</v>
      </c>
      <c r="D11535" s="891">
        <v>0.24</v>
      </c>
      <c r="E11535" s="891">
        <f t="shared" si="146"/>
        <v>24</v>
      </c>
    </row>
    <row r="11536" spans="1:5">
      <c r="A11536" s="47" t="s">
        <v>6352</v>
      </c>
      <c r="B11536" s="47" t="s">
        <v>8798</v>
      </c>
      <c r="C11536" s="890">
        <v>500</v>
      </c>
      <c r="D11536" s="891">
        <v>0.24</v>
      </c>
      <c r="E11536" s="891">
        <f t="shared" si="146"/>
        <v>120</v>
      </c>
    </row>
    <row r="11537" spans="1:117">
      <c r="A11537" s="47" t="s">
        <v>6352</v>
      </c>
      <c r="B11537" s="47" t="s">
        <v>8799</v>
      </c>
      <c r="C11537" s="890">
        <v>500</v>
      </c>
      <c r="D11537" s="891">
        <v>0.24</v>
      </c>
      <c r="E11537" s="891">
        <f t="shared" si="146"/>
        <v>120</v>
      </c>
    </row>
    <row r="11538" spans="1:117">
      <c r="A11538" s="47"/>
      <c r="B11538" s="47" t="s">
        <v>6356</v>
      </c>
      <c r="C11538" s="894">
        <v>3</v>
      </c>
      <c r="D11538" s="891">
        <v>110</v>
      </c>
      <c r="E11538" s="891">
        <f t="shared" si="146"/>
        <v>330</v>
      </c>
    </row>
    <row r="11539" spans="1:117">
      <c r="A11539" s="47"/>
      <c r="B11539" s="260" t="s">
        <v>1949</v>
      </c>
      <c r="C11539" s="894">
        <v>1</v>
      </c>
      <c r="D11539" s="891">
        <v>12</v>
      </c>
      <c r="E11539" s="891">
        <f t="shared" si="146"/>
        <v>12</v>
      </c>
    </row>
    <row r="11540" spans="1:117">
      <c r="A11540" s="47"/>
      <c r="B11540" s="260"/>
      <c r="C11540" s="894"/>
      <c r="D11540" s="1202" t="s">
        <v>8801</v>
      </c>
      <c r="E11540" s="919">
        <f>SUM(E11533:E11539)</f>
        <v>966</v>
      </c>
    </row>
    <row r="11542" spans="1:117">
      <c r="A11542" t="s">
        <v>8802</v>
      </c>
    </row>
    <row r="11543" spans="1:117" s="1163" customFormat="1" ht="31.5">
      <c r="A11543" s="2152" t="s">
        <v>1369</v>
      </c>
      <c r="B11543" s="2153" t="s">
        <v>377</v>
      </c>
      <c r="C11543" s="649" t="s">
        <v>1734</v>
      </c>
      <c r="D11543" s="2192" t="s">
        <v>5527</v>
      </c>
      <c r="E11543" s="2183" t="s">
        <v>6673</v>
      </c>
      <c r="F11543" s="2184" t="s">
        <v>6669</v>
      </c>
      <c r="G11543" s="2184" t="s">
        <v>6670</v>
      </c>
    </row>
    <row r="11544" spans="1:117" s="59" customFormat="1" ht="15">
      <c r="A11544" s="2154" t="s">
        <v>2265</v>
      </c>
      <c r="B11544" s="2155">
        <v>6</v>
      </c>
      <c r="C11544" s="2194" t="s">
        <v>8803</v>
      </c>
      <c r="D11544" s="1602">
        <v>1.47</v>
      </c>
      <c r="E11544" s="2200">
        <v>96</v>
      </c>
      <c r="F11544" s="2186">
        <f t="shared" ref="F11544:F11551" si="147">(((D11544*G11544)-E11544)/(D11544*G11544))</f>
        <v>0.45578231292517007</v>
      </c>
      <c r="G11544" s="2187">
        <v>120</v>
      </c>
      <c r="H11544" s="1963"/>
      <c r="I11544" s="1963"/>
      <c r="J11544" s="1963"/>
      <c r="K11544" s="1963"/>
      <c r="L11544" s="1963"/>
      <c r="M11544" s="1963"/>
      <c r="N11544" s="1963"/>
      <c r="O11544" s="1963"/>
      <c r="P11544" s="1963"/>
      <c r="Q11544" s="1963"/>
      <c r="R11544" s="1963"/>
      <c r="S11544" s="1963"/>
      <c r="T11544" s="1963"/>
      <c r="U11544" s="1963"/>
      <c r="V11544" s="1963"/>
      <c r="W11544" s="1963"/>
      <c r="X11544" s="1963"/>
      <c r="Y11544" s="1963"/>
      <c r="Z11544" s="1963"/>
      <c r="AA11544" s="1963"/>
      <c r="AB11544" s="1963"/>
      <c r="AC11544" s="1963"/>
      <c r="AD11544" s="1963"/>
      <c r="AE11544" s="1963"/>
      <c r="AF11544" s="1963"/>
      <c r="AG11544" s="1963"/>
      <c r="AH11544" s="1963"/>
      <c r="AI11544" s="1963"/>
      <c r="AJ11544" s="1963"/>
      <c r="AK11544" s="1963"/>
      <c r="AL11544" s="1963"/>
      <c r="AM11544" s="1963"/>
      <c r="AN11544" s="1963"/>
      <c r="AO11544" s="1963"/>
      <c r="AP11544" s="1963"/>
      <c r="AQ11544" s="1963"/>
      <c r="AR11544" s="1963"/>
      <c r="AS11544" s="1963"/>
      <c r="AT11544" s="1963"/>
      <c r="AU11544" s="1963"/>
      <c r="AV11544" s="1963"/>
      <c r="AW11544" s="1963"/>
      <c r="AX11544" s="1963"/>
      <c r="AY11544" s="1963"/>
      <c r="AZ11544" s="1963"/>
      <c r="BA11544" s="1963"/>
      <c r="BB11544" s="1963"/>
      <c r="BC11544" s="1963"/>
      <c r="BD11544" s="1963"/>
      <c r="BE11544" s="1963"/>
      <c r="BF11544" s="1963"/>
      <c r="BG11544" s="1963"/>
      <c r="BH11544" s="1963"/>
      <c r="BI11544" s="1963"/>
      <c r="BJ11544" s="1963"/>
      <c r="BK11544" s="1963"/>
      <c r="BL11544" s="1963"/>
      <c r="BM11544" s="1963"/>
      <c r="BN11544" s="1963"/>
      <c r="BO11544" s="1963"/>
      <c r="BP11544" s="1963"/>
      <c r="BQ11544" s="1963"/>
      <c r="BR11544" s="1963"/>
      <c r="BS11544" s="1963"/>
      <c r="BT11544" s="1963"/>
      <c r="BU11544" s="1963"/>
      <c r="BV11544" s="1963"/>
      <c r="BW11544" s="1963"/>
      <c r="BX11544" s="1963"/>
      <c r="BY11544" s="1963"/>
      <c r="BZ11544" s="1963"/>
      <c r="CA11544" s="1963"/>
      <c r="CB11544" s="1963"/>
      <c r="CC11544" s="1963"/>
      <c r="CD11544" s="1963"/>
      <c r="CE11544" s="1963"/>
      <c r="CF11544" s="1963"/>
      <c r="CG11544" s="1963"/>
      <c r="CH11544" s="1963"/>
      <c r="CI11544" s="1963"/>
      <c r="CJ11544" s="1963"/>
      <c r="CK11544" s="1963"/>
      <c r="CL11544" s="1963"/>
      <c r="CM11544" s="1963"/>
      <c r="CN11544" s="1963"/>
      <c r="CO11544" s="1963"/>
      <c r="CP11544" s="1963"/>
      <c r="CQ11544" s="1963"/>
      <c r="CR11544" s="1963"/>
      <c r="CS11544" s="1963"/>
      <c r="CT11544" s="1963"/>
      <c r="CU11544" s="1963"/>
      <c r="CV11544" s="1963"/>
      <c r="CW11544" s="1963"/>
      <c r="CX11544" s="1963"/>
      <c r="CY11544" s="1963"/>
      <c r="CZ11544" s="1963"/>
      <c r="DA11544" s="1963"/>
      <c r="DB11544" s="1963"/>
      <c r="DC11544" s="1963"/>
      <c r="DD11544" s="1963"/>
      <c r="DE11544" s="1963"/>
      <c r="DF11544" s="1963"/>
      <c r="DG11544" s="1963"/>
      <c r="DH11544" s="1963"/>
      <c r="DI11544" s="1963"/>
      <c r="DJ11544" s="1963"/>
      <c r="DK11544" s="1963"/>
      <c r="DL11544" s="1963"/>
      <c r="DM11544" s="1963"/>
    </row>
    <row r="11545" spans="1:117" s="59" customFormat="1" ht="15" customHeight="1">
      <c r="A11545" s="2154" t="s">
        <v>2265</v>
      </c>
      <c r="B11545" s="2155">
        <v>9</v>
      </c>
      <c r="C11545" s="2194" t="s">
        <v>8803</v>
      </c>
      <c r="D11545" s="1602">
        <v>1.6300000000000001</v>
      </c>
      <c r="E11545" s="2200">
        <v>107</v>
      </c>
      <c r="F11545" s="2186">
        <f t="shared" si="147"/>
        <v>0.4529652351738242</v>
      </c>
      <c r="G11545" s="2187">
        <v>120</v>
      </c>
      <c r="H11545" s="1963"/>
      <c r="I11545" s="1963"/>
      <c r="J11545" s="1963"/>
      <c r="K11545" s="1963"/>
      <c r="L11545" s="1963"/>
      <c r="M11545" s="1963"/>
      <c r="N11545" s="1963"/>
      <c r="O11545" s="1963"/>
      <c r="P11545" s="1963"/>
      <c r="Q11545" s="1963"/>
      <c r="R11545" s="1963"/>
      <c r="S11545" s="1963"/>
      <c r="T11545" s="1963"/>
      <c r="U11545" s="1963"/>
      <c r="V11545" s="1963"/>
      <c r="W11545" s="1963"/>
      <c r="X11545" s="1963"/>
      <c r="Y11545" s="1963"/>
      <c r="Z11545" s="1963"/>
      <c r="AA11545" s="1963"/>
      <c r="AB11545" s="1963"/>
      <c r="AC11545" s="1963"/>
      <c r="AD11545" s="1963"/>
      <c r="AE11545" s="1963"/>
      <c r="AF11545" s="1963"/>
      <c r="AG11545" s="1963"/>
      <c r="AH11545" s="1963"/>
      <c r="AI11545" s="1963"/>
      <c r="AJ11545" s="1963"/>
      <c r="AK11545" s="1963"/>
      <c r="AL11545" s="1963"/>
      <c r="AM11545" s="1963"/>
      <c r="AN11545" s="1963"/>
      <c r="AO11545" s="1963"/>
      <c r="AP11545" s="1963"/>
      <c r="AQ11545" s="1963"/>
      <c r="AR11545" s="1963"/>
      <c r="AS11545" s="1963"/>
      <c r="AT11545" s="1963"/>
      <c r="AU11545" s="1963"/>
      <c r="AV11545" s="1963"/>
      <c r="AW11545" s="1963"/>
      <c r="AX11545" s="1963"/>
      <c r="AY11545" s="1963"/>
      <c r="AZ11545" s="1963"/>
      <c r="BA11545" s="1963"/>
      <c r="BB11545" s="1963"/>
      <c r="BC11545" s="1963"/>
      <c r="BD11545" s="1963"/>
      <c r="BE11545" s="1963"/>
      <c r="BF11545" s="1963"/>
      <c r="BG11545" s="1963"/>
      <c r="BH11545" s="1963"/>
      <c r="BI11545" s="1963"/>
      <c r="BJ11545" s="1963"/>
      <c r="BK11545" s="1963"/>
      <c r="BL11545" s="1963"/>
      <c r="BM11545" s="1963"/>
      <c r="BN11545" s="1963"/>
      <c r="BO11545" s="1963"/>
      <c r="BP11545" s="1963"/>
      <c r="BQ11545" s="1963"/>
      <c r="BR11545" s="1963"/>
      <c r="BS11545" s="1963"/>
      <c r="BT11545" s="1963"/>
      <c r="BU11545" s="1963"/>
      <c r="BV11545" s="1963"/>
      <c r="BW11545" s="1963"/>
      <c r="BX11545" s="1963"/>
      <c r="BY11545" s="1963"/>
      <c r="BZ11545" s="1963"/>
      <c r="CA11545" s="1963"/>
      <c r="CB11545" s="1963"/>
      <c r="CC11545" s="1963"/>
      <c r="CD11545" s="1963"/>
      <c r="CE11545" s="1963"/>
      <c r="CF11545" s="1963"/>
      <c r="CG11545" s="1963"/>
      <c r="CH11545" s="1963"/>
      <c r="CI11545" s="1963"/>
      <c r="CJ11545" s="1963"/>
      <c r="CK11545" s="1963"/>
      <c r="CL11545" s="1963"/>
      <c r="CM11545" s="1963"/>
      <c r="CN11545" s="1963"/>
      <c r="CO11545" s="1963"/>
      <c r="CP11545" s="1963"/>
      <c r="CQ11545" s="1963"/>
      <c r="CR11545" s="1963"/>
      <c r="CS11545" s="1963"/>
      <c r="CT11545" s="1963"/>
      <c r="CU11545" s="1963"/>
      <c r="CV11545" s="1963"/>
      <c r="CW11545" s="1963"/>
      <c r="CX11545" s="1963"/>
      <c r="CY11545" s="1963"/>
      <c r="CZ11545" s="1963"/>
      <c r="DA11545" s="1963"/>
      <c r="DB11545" s="1963"/>
      <c r="DC11545" s="1963"/>
      <c r="DD11545" s="1963"/>
      <c r="DE11545" s="1963"/>
      <c r="DF11545" s="1963"/>
      <c r="DG11545" s="1963"/>
      <c r="DH11545" s="1963"/>
      <c r="DI11545" s="1963"/>
      <c r="DJ11545" s="1963"/>
      <c r="DK11545" s="1963"/>
      <c r="DL11545" s="1963"/>
      <c r="DM11545" s="1963"/>
    </row>
    <row r="11546" spans="1:117" s="59" customFormat="1" ht="15" customHeight="1">
      <c r="A11546" s="2154" t="s">
        <v>2265</v>
      </c>
      <c r="B11546" s="2155">
        <v>12</v>
      </c>
      <c r="C11546" s="2194" t="s">
        <v>8803</v>
      </c>
      <c r="D11546" s="1602">
        <v>1.86</v>
      </c>
      <c r="E11546" s="2200">
        <v>121</v>
      </c>
      <c r="F11546" s="2186">
        <f t="shared" si="147"/>
        <v>0.45788530465949823</v>
      </c>
      <c r="G11546" s="2187">
        <v>120</v>
      </c>
      <c r="H11546" s="1963"/>
      <c r="I11546" s="1963"/>
      <c r="J11546" s="1963"/>
      <c r="K11546" s="1963"/>
      <c r="L11546" s="1963"/>
      <c r="M11546" s="1963"/>
      <c r="N11546" s="1963"/>
      <c r="O11546" s="1963"/>
      <c r="P11546" s="1963"/>
      <c r="Q11546" s="1963"/>
      <c r="R11546" s="1963"/>
      <c r="S11546" s="1963"/>
      <c r="T11546" s="1963"/>
      <c r="U11546" s="1963"/>
      <c r="V11546" s="1963"/>
      <c r="W11546" s="1963"/>
      <c r="X11546" s="1963"/>
      <c r="Y11546" s="1963"/>
      <c r="Z11546" s="1963"/>
      <c r="AA11546" s="1963"/>
      <c r="AB11546" s="1963"/>
      <c r="AC11546" s="1963"/>
      <c r="AD11546" s="1963"/>
      <c r="AE11546" s="1963"/>
      <c r="AF11546" s="1963"/>
      <c r="AG11546" s="1963"/>
      <c r="AH11546" s="1963"/>
      <c r="AI11546" s="1963"/>
      <c r="AJ11546" s="1963"/>
      <c r="AK11546" s="1963"/>
      <c r="AL11546" s="1963"/>
      <c r="AM11546" s="1963"/>
      <c r="AN11546" s="1963"/>
      <c r="AO11546" s="1963"/>
      <c r="AP11546" s="1963"/>
      <c r="AQ11546" s="1963"/>
      <c r="AR11546" s="1963"/>
      <c r="AS11546" s="1963"/>
      <c r="AT11546" s="1963"/>
      <c r="AU11546" s="1963"/>
      <c r="AV11546" s="1963"/>
      <c r="AW11546" s="1963"/>
      <c r="AX11546" s="1963"/>
      <c r="AY11546" s="1963"/>
      <c r="AZ11546" s="1963"/>
      <c r="BA11546" s="1963"/>
      <c r="BB11546" s="1963"/>
      <c r="BC11546" s="1963"/>
      <c r="BD11546" s="1963"/>
      <c r="BE11546" s="1963"/>
      <c r="BF11546" s="1963"/>
      <c r="BG11546" s="1963"/>
      <c r="BH11546" s="1963"/>
      <c r="BI11546" s="1963"/>
      <c r="BJ11546" s="1963"/>
      <c r="BK11546" s="1963"/>
      <c r="BL11546" s="1963"/>
      <c r="BM11546" s="1963"/>
      <c r="BN11546" s="1963"/>
      <c r="BO11546" s="1963"/>
      <c r="BP11546" s="1963"/>
      <c r="BQ11546" s="1963"/>
      <c r="BR11546" s="1963"/>
      <c r="BS11546" s="1963"/>
      <c r="BT11546" s="1963"/>
      <c r="BU11546" s="1963"/>
      <c r="BV11546" s="1963"/>
      <c r="BW11546" s="1963"/>
      <c r="BX11546" s="1963"/>
      <c r="BY11546" s="1963"/>
      <c r="BZ11546" s="1963"/>
      <c r="CA11546" s="1963"/>
      <c r="CB11546" s="1963"/>
      <c r="CC11546" s="1963"/>
      <c r="CD11546" s="1963"/>
      <c r="CE11546" s="1963"/>
      <c r="CF11546" s="1963"/>
      <c r="CG11546" s="1963"/>
      <c r="CH11546" s="1963"/>
      <c r="CI11546" s="1963"/>
      <c r="CJ11546" s="1963"/>
      <c r="CK11546" s="1963"/>
      <c r="CL11546" s="1963"/>
      <c r="CM11546" s="1963"/>
      <c r="CN11546" s="1963"/>
      <c r="CO11546" s="1963"/>
      <c r="CP11546" s="1963"/>
      <c r="CQ11546" s="1963"/>
      <c r="CR11546" s="1963"/>
      <c r="CS11546" s="1963"/>
      <c r="CT11546" s="1963"/>
      <c r="CU11546" s="1963"/>
      <c r="CV11546" s="1963"/>
      <c r="CW11546" s="1963"/>
      <c r="CX11546" s="1963"/>
      <c r="CY11546" s="1963"/>
      <c r="CZ11546" s="1963"/>
      <c r="DA11546" s="1963"/>
      <c r="DB11546" s="1963"/>
      <c r="DC11546" s="1963"/>
      <c r="DD11546" s="1963"/>
      <c r="DE11546" s="1963"/>
      <c r="DF11546" s="1963"/>
      <c r="DG11546" s="1963"/>
      <c r="DH11546" s="1963"/>
      <c r="DI11546" s="1963"/>
      <c r="DJ11546" s="1963"/>
      <c r="DK11546" s="1963"/>
      <c r="DL11546" s="1963"/>
      <c r="DM11546" s="1963"/>
    </row>
    <row r="11547" spans="1:117" s="59" customFormat="1" ht="15" customHeight="1">
      <c r="A11547" s="2154" t="s">
        <v>2265</v>
      </c>
      <c r="B11547" s="2155">
        <v>18</v>
      </c>
      <c r="C11547" s="2194" t="s">
        <v>8803</v>
      </c>
      <c r="D11547" s="1602">
        <v>2.1199999999999997</v>
      </c>
      <c r="E11547" s="2200">
        <v>139</v>
      </c>
      <c r="F11547" s="2186">
        <f t="shared" si="147"/>
        <v>0.45361635220125773</v>
      </c>
      <c r="G11547" s="2187">
        <v>120</v>
      </c>
      <c r="H11547" s="1963"/>
      <c r="I11547" s="1963"/>
      <c r="J11547" s="1963"/>
      <c r="K11547" s="1963"/>
      <c r="L11547" s="1963"/>
      <c r="M11547" s="1963"/>
      <c r="N11547" s="1963"/>
      <c r="O11547" s="1963"/>
      <c r="P11547" s="1963"/>
      <c r="Q11547" s="1963"/>
      <c r="R11547" s="1963"/>
      <c r="S11547" s="1963"/>
      <c r="T11547" s="1963"/>
      <c r="U11547" s="1963"/>
      <c r="V11547" s="1963"/>
      <c r="W11547" s="1963"/>
      <c r="X11547" s="1963"/>
      <c r="Y11547" s="1963"/>
      <c r="Z11547" s="1963"/>
      <c r="AA11547" s="1963"/>
      <c r="AB11547" s="1963"/>
      <c r="AC11547" s="1963"/>
      <c r="AD11547" s="1963"/>
      <c r="AE11547" s="1963"/>
      <c r="AF11547" s="1963"/>
      <c r="AG11547" s="1963"/>
      <c r="AH11547" s="1963"/>
      <c r="AI11547" s="1963"/>
      <c r="AJ11547" s="1963"/>
      <c r="AK11547" s="1963"/>
      <c r="AL11547" s="1963"/>
      <c r="AM11547" s="1963"/>
      <c r="AN11547" s="1963"/>
      <c r="AO11547" s="1963"/>
      <c r="AP11547" s="1963"/>
      <c r="AQ11547" s="1963"/>
      <c r="AR11547" s="1963"/>
      <c r="AS11547" s="1963"/>
      <c r="AT11547" s="1963"/>
      <c r="AU11547" s="1963"/>
      <c r="AV11547" s="1963"/>
      <c r="AW11547" s="1963"/>
      <c r="AX11547" s="1963"/>
      <c r="AY11547" s="1963"/>
      <c r="AZ11547" s="1963"/>
      <c r="BA11547" s="1963"/>
      <c r="BB11547" s="1963"/>
      <c r="BC11547" s="1963"/>
      <c r="BD11547" s="1963"/>
      <c r="BE11547" s="1963"/>
      <c r="BF11547" s="1963"/>
      <c r="BG11547" s="1963"/>
      <c r="BH11547" s="1963"/>
      <c r="BI11547" s="1963"/>
      <c r="BJ11547" s="1963"/>
      <c r="BK11547" s="1963"/>
      <c r="BL11547" s="1963"/>
      <c r="BM11547" s="1963"/>
      <c r="BN11547" s="1963"/>
      <c r="BO11547" s="1963"/>
      <c r="BP11547" s="1963"/>
      <c r="BQ11547" s="1963"/>
      <c r="BR11547" s="1963"/>
      <c r="BS11547" s="1963"/>
      <c r="BT11547" s="1963"/>
      <c r="BU11547" s="1963"/>
      <c r="BV11547" s="1963"/>
      <c r="BW11547" s="1963"/>
      <c r="BX11547" s="1963"/>
      <c r="BY11547" s="1963"/>
      <c r="BZ11547" s="1963"/>
      <c r="CA11547" s="1963"/>
      <c r="CB11547" s="1963"/>
      <c r="CC11547" s="1963"/>
      <c r="CD11547" s="1963"/>
      <c r="CE11547" s="1963"/>
      <c r="CF11547" s="1963"/>
      <c r="CG11547" s="1963"/>
      <c r="CH11547" s="1963"/>
      <c r="CI11547" s="1963"/>
      <c r="CJ11547" s="1963"/>
      <c r="CK11547" s="1963"/>
      <c r="CL11547" s="1963"/>
      <c r="CM11547" s="1963"/>
      <c r="CN11547" s="1963"/>
      <c r="CO11547" s="1963"/>
      <c r="CP11547" s="1963"/>
      <c r="CQ11547" s="1963"/>
      <c r="CR11547" s="1963"/>
      <c r="CS11547" s="1963"/>
      <c r="CT11547" s="1963"/>
      <c r="CU11547" s="1963"/>
      <c r="CV11547" s="1963"/>
      <c r="CW11547" s="1963"/>
      <c r="CX11547" s="1963"/>
      <c r="CY11547" s="1963"/>
      <c r="CZ11547" s="1963"/>
      <c r="DA11547" s="1963"/>
      <c r="DB11547" s="1963"/>
      <c r="DC11547" s="1963"/>
      <c r="DD11547" s="1963"/>
      <c r="DE11547" s="1963"/>
      <c r="DF11547" s="1963"/>
      <c r="DG11547" s="1963"/>
      <c r="DH11547" s="1963"/>
      <c r="DI11547" s="1963"/>
      <c r="DJ11547" s="1963"/>
      <c r="DK11547" s="1963"/>
      <c r="DL11547" s="1963"/>
      <c r="DM11547" s="1963"/>
    </row>
    <row r="11548" spans="1:117" s="59" customFormat="1" ht="15" customHeight="1">
      <c r="A11548" s="2154" t="s">
        <v>2265</v>
      </c>
      <c r="B11548" s="2155">
        <v>24</v>
      </c>
      <c r="C11548" s="2194" t="s">
        <v>8803</v>
      </c>
      <c r="D11548" s="1602">
        <v>2.4899999999999998</v>
      </c>
      <c r="E11548" s="2200">
        <v>163</v>
      </c>
      <c r="F11548" s="2186">
        <f t="shared" si="147"/>
        <v>0.45448460508701466</v>
      </c>
      <c r="G11548" s="2187">
        <v>120</v>
      </c>
      <c r="H11548" s="1963"/>
      <c r="I11548" s="1963"/>
      <c r="J11548" s="1963"/>
      <c r="K11548" s="1963"/>
      <c r="L11548" s="1963"/>
      <c r="M11548" s="1963"/>
      <c r="N11548" s="1963"/>
      <c r="O11548" s="1963"/>
      <c r="P11548" s="1963"/>
      <c r="Q11548" s="1963"/>
      <c r="R11548" s="1963"/>
      <c r="S11548" s="1963"/>
      <c r="T11548" s="1963"/>
      <c r="U11548" s="1963"/>
      <c r="V11548" s="1963"/>
      <c r="W11548" s="1963"/>
      <c r="X11548" s="1963"/>
      <c r="Y11548" s="1963"/>
      <c r="Z11548" s="1963"/>
      <c r="AA11548" s="1963"/>
      <c r="AB11548" s="1963"/>
      <c r="AC11548" s="1963"/>
      <c r="AD11548" s="1963"/>
      <c r="AE11548" s="1963"/>
      <c r="AF11548" s="1963"/>
      <c r="AG11548" s="1963"/>
      <c r="AH11548" s="1963"/>
      <c r="AI11548" s="1963"/>
      <c r="AJ11548" s="1963"/>
      <c r="AK11548" s="1963"/>
      <c r="AL11548" s="1963"/>
      <c r="AM11548" s="1963"/>
      <c r="AN11548" s="1963"/>
      <c r="AO11548" s="1963"/>
      <c r="AP11548" s="1963"/>
      <c r="AQ11548" s="1963"/>
      <c r="AR11548" s="1963"/>
      <c r="AS11548" s="1963"/>
      <c r="AT11548" s="1963"/>
      <c r="AU11548" s="1963"/>
      <c r="AV11548" s="1963"/>
      <c r="AW11548" s="1963"/>
      <c r="AX11548" s="1963"/>
      <c r="AY11548" s="1963"/>
      <c r="AZ11548" s="1963"/>
      <c r="BA11548" s="1963"/>
      <c r="BB11548" s="1963"/>
      <c r="BC11548" s="1963"/>
      <c r="BD11548" s="1963"/>
      <c r="BE11548" s="1963"/>
      <c r="BF11548" s="1963"/>
      <c r="BG11548" s="1963"/>
      <c r="BH11548" s="1963"/>
      <c r="BI11548" s="1963"/>
      <c r="BJ11548" s="1963"/>
      <c r="BK11548" s="1963"/>
      <c r="BL11548" s="1963"/>
      <c r="BM11548" s="1963"/>
      <c r="BN11548" s="1963"/>
      <c r="BO11548" s="1963"/>
      <c r="BP11548" s="1963"/>
      <c r="BQ11548" s="1963"/>
      <c r="BR11548" s="1963"/>
      <c r="BS11548" s="1963"/>
      <c r="BT11548" s="1963"/>
      <c r="BU11548" s="1963"/>
      <c r="BV11548" s="1963"/>
      <c r="BW11548" s="1963"/>
      <c r="BX11548" s="1963"/>
      <c r="BY11548" s="1963"/>
      <c r="BZ11548" s="1963"/>
      <c r="CA11548" s="1963"/>
      <c r="CB11548" s="1963"/>
      <c r="CC11548" s="1963"/>
      <c r="CD11548" s="1963"/>
      <c r="CE11548" s="1963"/>
      <c r="CF11548" s="1963"/>
      <c r="CG11548" s="1963"/>
      <c r="CH11548" s="1963"/>
      <c r="CI11548" s="1963"/>
      <c r="CJ11548" s="1963"/>
      <c r="CK11548" s="1963"/>
      <c r="CL11548" s="1963"/>
      <c r="CM11548" s="1963"/>
      <c r="CN11548" s="1963"/>
      <c r="CO11548" s="1963"/>
      <c r="CP11548" s="1963"/>
      <c r="CQ11548" s="1963"/>
      <c r="CR11548" s="1963"/>
      <c r="CS11548" s="1963"/>
      <c r="CT11548" s="1963"/>
      <c r="CU11548" s="1963"/>
      <c r="CV11548" s="1963"/>
      <c r="CW11548" s="1963"/>
      <c r="CX11548" s="1963"/>
      <c r="CY11548" s="1963"/>
      <c r="CZ11548" s="1963"/>
      <c r="DA11548" s="1963"/>
      <c r="DB11548" s="1963"/>
      <c r="DC11548" s="1963"/>
      <c r="DD11548" s="1963"/>
      <c r="DE11548" s="1963"/>
      <c r="DF11548" s="1963"/>
      <c r="DG11548" s="1963"/>
      <c r="DH11548" s="1963"/>
      <c r="DI11548" s="1963"/>
      <c r="DJ11548" s="1963"/>
      <c r="DK11548" s="1963"/>
      <c r="DL11548" s="1963"/>
      <c r="DM11548" s="1963"/>
    </row>
    <row r="11549" spans="1:117" s="59" customFormat="1" ht="15" customHeight="1">
      <c r="A11549" s="2154" t="s">
        <v>2265</v>
      </c>
      <c r="B11549" s="2157">
        <v>7</v>
      </c>
      <c r="C11549" s="2194" t="s">
        <v>8803</v>
      </c>
      <c r="D11549" s="1602">
        <v>1.89</v>
      </c>
      <c r="E11549" s="2200">
        <v>125</v>
      </c>
      <c r="F11549" s="2186">
        <f t="shared" si="147"/>
        <v>0.44885361552028213</v>
      </c>
      <c r="G11549" s="2187">
        <v>120</v>
      </c>
      <c r="H11549" s="1963"/>
      <c r="I11549" s="1963"/>
      <c r="J11549" s="1963"/>
      <c r="K11549" s="1963"/>
      <c r="L11549" s="1963"/>
      <c r="M11549" s="1963"/>
      <c r="N11549" s="1963"/>
      <c r="O11549" s="1963"/>
      <c r="P11549" s="1963"/>
      <c r="Q11549" s="1963"/>
      <c r="R11549" s="1963"/>
      <c r="S11549" s="1963"/>
      <c r="T11549" s="1963"/>
      <c r="U11549" s="1963"/>
      <c r="V11549" s="1963"/>
      <c r="W11549" s="1963"/>
      <c r="X11549" s="1963"/>
      <c r="Y11549" s="1963"/>
      <c r="Z11549" s="1963"/>
      <c r="AA11549" s="1963"/>
      <c r="AB11549" s="1963"/>
      <c r="AC11549" s="1963"/>
      <c r="AD11549" s="1963"/>
      <c r="AE11549" s="1963"/>
      <c r="AF11549" s="1963"/>
      <c r="AG11549" s="1963"/>
      <c r="AH11549" s="1963"/>
      <c r="AI11549" s="1963"/>
      <c r="AJ11549" s="1963"/>
      <c r="AK11549" s="1963"/>
      <c r="AL11549" s="1963"/>
      <c r="AM11549" s="1963"/>
      <c r="AN11549" s="1963"/>
      <c r="AO11549" s="1963"/>
      <c r="AP11549" s="1963"/>
      <c r="AQ11549" s="1963"/>
      <c r="AR11549" s="1963"/>
      <c r="AS11549" s="1963"/>
      <c r="AT11549" s="1963"/>
      <c r="AU11549" s="1963"/>
      <c r="AV11549" s="1963"/>
      <c r="AW11549" s="1963"/>
      <c r="AX11549" s="1963"/>
      <c r="AY11549" s="1963"/>
      <c r="AZ11549" s="1963"/>
      <c r="BA11549" s="1963"/>
      <c r="BB11549" s="1963"/>
      <c r="BC11549" s="1963"/>
      <c r="BD11549" s="1963"/>
      <c r="BE11549" s="1963"/>
      <c r="BF11549" s="1963"/>
      <c r="BG11549" s="1963"/>
      <c r="BH11549" s="1963"/>
      <c r="BI11549" s="1963"/>
      <c r="BJ11549" s="1963"/>
      <c r="BK11549" s="1963"/>
      <c r="BL11549" s="1963"/>
      <c r="BM11549" s="1963"/>
      <c r="BN11549" s="1963"/>
      <c r="BO11549" s="1963"/>
      <c r="BP11549" s="1963"/>
      <c r="BQ11549" s="1963"/>
      <c r="BR11549" s="1963"/>
      <c r="BS11549" s="1963"/>
      <c r="BT11549" s="1963"/>
      <c r="BU11549" s="1963"/>
      <c r="BV11549" s="1963"/>
      <c r="BW11549" s="1963"/>
      <c r="BX11549" s="1963"/>
      <c r="BY11549" s="1963"/>
      <c r="BZ11549" s="1963"/>
      <c r="CA11549" s="1963"/>
      <c r="CB11549" s="1963"/>
      <c r="CC11549" s="1963"/>
      <c r="CD11549" s="1963"/>
      <c r="CE11549" s="1963"/>
      <c r="CF11549" s="1963"/>
      <c r="CG11549" s="1963"/>
      <c r="CH11549" s="1963"/>
      <c r="CI11549" s="1963"/>
      <c r="CJ11549" s="1963"/>
      <c r="CK11549" s="1963"/>
      <c r="CL11549" s="1963"/>
      <c r="CM11549" s="1963"/>
      <c r="CN11549" s="1963"/>
      <c r="CO11549" s="1963"/>
      <c r="CP11549" s="1963"/>
      <c r="CQ11549" s="1963"/>
      <c r="CR11549" s="1963"/>
      <c r="CS11549" s="1963"/>
      <c r="CT11549" s="1963"/>
      <c r="CU11549" s="1963"/>
      <c r="CV11549" s="1963"/>
      <c r="CW11549" s="1963"/>
      <c r="CX11549" s="1963"/>
      <c r="CY11549" s="1963"/>
      <c r="CZ11549" s="1963"/>
      <c r="DA11549" s="1963"/>
      <c r="DB11549" s="1963"/>
      <c r="DC11549" s="1963"/>
      <c r="DD11549" s="1963"/>
      <c r="DE11549" s="1963"/>
      <c r="DF11549" s="1963"/>
      <c r="DG11549" s="1963"/>
      <c r="DH11549" s="1963"/>
      <c r="DI11549" s="1963"/>
      <c r="DJ11549" s="1963"/>
      <c r="DK11549" s="1963"/>
      <c r="DL11549" s="1963"/>
      <c r="DM11549" s="1963"/>
    </row>
    <row r="11550" spans="1:117" s="59" customFormat="1" ht="15" customHeight="1">
      <c r="A11550" s="2154" t="s">
        <v>2265</v>
      </c>
      <c r="B11550" s="2157">
        <v>9</v>
      </c>
      <c r="C11550" s="2194" t="s">
        <v>8803</v>
      </c>
      <c r="D11550" s="1602">
        <v>2.1199999999999997</v>
      </c>
      <c r="E11550" s="2200">
        <v>139</v>
      </c>
      <c r="F11550" s="2186">
        <f t="shared" si="147"/>
        <v>0.45361635220125773</v>
      </c>
      <c r="G11550" s="2187">
        <v>120</v>
      </c>
      <c r="H11550" s="1963"/>
      <c r="I11550" s="1963"/>
      <c r="J11550" s="1963"/>
      <c r="K11550" s="1963"/>
      <c r="L11550" s="1963"/>
      <c r="M11550" s="1963"/>
      <c r="N11550" s="1963"/>
      <c r="O11550" s="1963"/>
      <c r="P11550" s="1963"/>
      <c r="Q11550" s="1963"/>
      <c r="R11550" s="1963"/>
      <c r="S11550" s="1963"/>
      <c r="T11550" s="1963"/>
      <c r="U11550" s="1963"/>
      <c r="V11550" s="1963"/>
      <c r="W11550" s="1963"/>
      <c r="X11550" s="1963"/>
      <c r="Y11550" s="1963"/>
      <c r="Z11550" s="1963"/>
      <c r="AA11550" s="1963"/>
      <c r="AB11550" s="1963"/>
      <c r="AC11550" s="1963"/>
      <c r="AD11550" s="1963"/>
      <c r="AE11550" s="1963"/>
      <c r="AF11550" s="1963"/>
      <c r="AG11550" s="1963"/>
      <c r="AH11550" s="1963"/>
      <c r="AI11550" s="1963"/>
      <c r="AJ11550" s="1963"/>
      <c r="AK11550" s="1963"/>
      <c r="AL11550" s="1963"/>
      <c r="AM11550" s="1963"/>
      <c r="AN11550" s="1963"/>
      <c r="AO11550" s="1963"/>
      <c r="AP11550" s="1963"/>
      <c r="AQ11550" s="1963"/>
      <c r="AR11550" s="1963"/>
      <c r="AS11550" s="1963"/>
      <c r="AT11550" s="1963"/>
      <c r="AU11550" s="1963"/>
      <c r="AV11550" s="1963"/>
      <c r="AW11550" s="1963"/>
      <c r="AX11550" s="1963"/>
      <c r="AY11550" s="1963"/>
      <c r="AZ11550" s="1963"/>
      <c r="BA11550" s="1963"/>
      <c r="BB11550" s="1963"/>
      <c r="BC11550" s="1963"/>
      <c r="BD11550" s="1963"/>
      <c r="BE11550" s="1963"/>
      <c r="BF11550" s="1963"/>
      <c r="BG11550" s="1963"/>
      <c r="BH11550" s="1963"/>
      <c r="BI11550" s="1963"/>
      <c r="BJ11550" s="1963"/>
      <c r="BK11550" s="1963"/>
      <c r="BL11550" s="1963"/>
      <c r="BM11550" s="1963"/>
      <c r="BN11550" s="1963"/>
      <c r="BO11550" s="1963"/>
      <c r="BP11550" s="1963"/>
      <c r="BQ11550" s="1963"/>
      <c r="BR11550" s="1963"/>
      <c r="BS11550" s="1963"/>
      <c r="BT11550" s="1963"/>
      <c r="BU11550" s="1963"/>
      <c r="BV11550" s="1963"/>
      <c r="BW11550" s="1963"/>
      <c r="BX11550" s="1963"/>
      <c r="BY11550" s="1963"/>
      <c r="BZ11550" s="1963"/>
      <c r="CA11550" s="1963"/>
      <c r="CB11550" s="1963"/>
      <c r="CC11550" s="1963"/>
      <c r="CD11550" s="1963"/>
      <c r="CE11550" s="1963"/>
      <c r="CF11550" s="1963"/>
      <c r="CG11550" s="1963"/>
      <c r="CH11550" s="1963"/>
      <c r="CI11550" s="1963"/>
      <c r="CJ11550" s="1963"/>
      <c r="CK11550" s="1963"/>
      <c r="CL11550" s="1963"/>
      <c r="CM11550" s="1963"/>
      <c r="CN11550" s="1963"/>
      <c r="CO11550" s="1963"/>
      <c r="CP11550" s="1963"/>
      <c r="CQ11550" s="1963"/>
      <c r="CR11550" s="1963"/>
      <c r="CS11550" s="1963"/>
      <c r="CT11550" s="1963"/>
      <c r="CU11550" s="1963"/>
      <c r="CV11550" s="1963"/>
      <c r="CW11550" s="1963"/>
      <c r="CX11550" s="1963"/>
      <c r="CY11550" s="1963"/>
      <c r="CZ11550" s="1963"/>
      <c r="DA11550" s="1963"/>
      <c r="DB11550" s="1963"/>
      <c r="DC11550" s="1963"/>
      <c r="DD11550" s="1963"/>
      <c r="DE11550" s="1963"/>
      <c r="DF11550" s="1963"/>
      <c r="DG11550" s="1963"/>
      <c r="DH11550" s="1963"/>
      <c r="DI11550" s="1963"/>
      <c r="DJ11550" s="1963"/>
      <c r="DK11550" s="1963"/>
      <c r="DL11550" s="1963"/>
      <c r="DM11550" s="1963"/>
    </row>
    <row r="11551" spans="1:117" s="59" customFormat="1" ht="15" customHeight="1">
      <c r="A11551" s="2154" t="s">
        <v>2265</v>
      </c>
      <c r="B11551" s="2157">
        <v>12</v>
      </c>
      <c r="C11551" s="2194" t="s">
        <v>8803</v>
      </c>
      <c r="D11551" s="1602">
        <v>2.4899999999999998</v>
      </c>
      <c r="E11551" s="2200">
        <v>163</v>
      </c>
      <c r="F11551" s="2186">
        <f t="shared" si="147"/>
        <v>0.45448460508701466</v>
      </c>
      <c r="G11551" s="2187">
        <v>120</v>
      </c>
      <c r="H11551" s="1963"/>
      <c r="I11551" s="1963"/>
      <c r="J11551" s="1963"/>
      <c r="K11551" s="1963"/>
      <c r="L11551" s="1963"/>
      <c r="M11551" s="1963"/>
      <c r="N11551" s="1963"/>
      <c r="O11551" s="1963"/>
      <c r="P11551" s="1963"/>
      <c r="Q11551" s="1963"/>
      <c r="R11551" s="1963"/>
      <c r="S11551" s="1963"/>
      <c r="T11551" s="1963"/>
      <c r="U11551" s="1963"/>
      <c r="V11551" s="1963"/>
      <c r="W11551" s="1963"/>
      <c r="X11551" s="1963"/>
      <c r="Y11551" s="1963"/>
      <c r="Z11551" s="1963"/>
      <c r="AA11551" s="1963"/>
      <c r="AB11551" s="1963"/>
      <c r="AC11551" s="1963"/>
      <c r="AD11551" s="1963"/>
      <c r="AE11551" s="1963"/>
      <c r="AF11551" s="1963"/>
      <c r="AG11551" s="1963"/>
      <c r="AH11551" s="1963"/>
      <c r="AI11551" s="1963"/>
      <c r="AJ11551" s="1963"/>
      <c r="AK11551" s="1963"/>
      <c r="AL11551" s="1963"/>
      <c r="AM11551" s="1963"/>
      <c r="AN11551" s="1963"/>
      <c r="AO11551" s="1963"/>
      <c r="AP11551" s="1963"/>
      <c r="AQ11551" s="1963"/>
      <c r="AR11551" s="1963"/>
      <c r="AS11551" s="1963"/>
      <c r="AT11551" s="1963"/>
      <c r="AU11551" s="1963"/>
      <c r="AV11551" s="1963"/>
      <c r="AW11551" s="1963"/>
      <c r="AX11551" s="1963"/>
      <c r="AY11551" s="1963"/>
      <c r="AZ11551" s="1963"/>
      <c r="BA11551" s="1963"/>
      <c r="BB11551" s="1963"/>
      <c r="BC11551" s="1963"/>
      <c r="BD11551" s="1963"/>
      <c r="BE11551" s="1963"/>
      <c r="BF11551" s="1963"/>
      <c r="BG11551" s="1963"/>
      <c r="BH11551" s="1963"/>
      <c r="BI11551" s="1963"/>
      <c r="BJ11551" s="1963"/>
      <c r="BK11551" s="1963"/>
      <c r="BL11551" s="1963"/>
      <c r="BM11551" s="1963"/>
      <c r="BN11551" s="1963"/>
      <c r="BO11551" s="1963"/>
      <c r="BP11551" s="1963"/>
      <c r="BQ11551" s="1963"/>
      <c r="BR11551" s="1963"/>
      <c r="BS11551" s="1963"/>
      <c r="BT11551" s="1963"/>
      <c r="BU11551" s="1963"/>
      <c r="BV11551" s="1963"/>
      <c r="BW11551" s="1963"/>
      <c r="BX11551" s="1963"/>
      <c r="BY11551" s="1963"/>
      <c r="BZ11551" s="1963"/>
      <c r="CA11551" s="1963"/>
      <c r="CB11551" s="1963"/>
      <c r="CC11551" s="1963"/>
      <c r="CD11551" s="1963"/>
      <c r="CE11551" s="1963"/>
      <c r="CF11551" s="1963"/>
      <c r="CG11551" s="1963"/>
      <c r="CH11551" s="1963"/>
      <c r="CI11551" s="1963"/>
      <c r="CJ11551" s="1963"/>
      <c r="CK11551" s="1963"/>
      <c r="CL11551" s="1963"/>
      <c r="CM11551" s="1963"/>
      <c r="CN11551" s="1963"/>
      <c r="CO11551" s="1963"/>
      <c r="CP11551" s="1963"/>
      <c r="CQ11551" s="1963"/>
      <c r="CR11551" s="1963"/>
      <c r="CS11551" s="1963"/>
      <c r="CT11551" s="1963"/>
      <c r="CU11551" s="1963"/>
      <c r="CV11551" s="1963"/>
      <c r="CW11551" s="1963"/>
      <c r="CX11551" s="1963"/>
      <c r="CY11551" s="1963"/>
      <c r="CZ11551" s="1963"/>
      <c r="DA11551" s="1963"/>
      <c r="DB11551" s="1963"/>
      <c r="DC11551" s="1963"/>
      <c r="DD11551" s="1963"/>
      <c r="DE11551" s="1963"/>
      <c r="DF11551" s="1963"/>
      <c r="DG11551" s="1963"/>
      <c r="DH11551" s="1963"/>
      <c r="DI11551" s="1963"/>
      <c r="DJ11551" s="1963"/>
      <c r="DK11551" s="1963"/>
      <c r="DL11551" s="1963"/>
      <c r="DM11551" s="1963"/>
    </row>
    <row r="11555" spans="1:117">
      <c r="A11555" s="902" t="s">
        <v>106</v>
      </c>
      <c r="B11555" s="902" t="s">
        <v>53</v>
      </c>
      <c r="C11555" s="887" t="s">
        <v>1186</v>
      </c>
      <c r="D11555" s="887" t="s">
        <v>1652</v>
      </c>
      <c r="E11555" s="887" t="s">
        <v>1653</v>
      </c>
      <c r="F11555" s="1783" t="s">
        <v>1323</v>
      </c>
    </row>
    <row r="11556" spans="1:117">
      <c r="A11556" s="2556" t="s">
        <v>1536</v>
      </c>
      <c r="B11556" s="2557" t="s">
        <v>7694</v>
      </c>
      <c r="C11556" s="50">
        <v>14</v>
      </c>
      <c r="D11556" s="911">
        <v>7</v>
      </c>
      <c r="E11556" s="50">
        <f>D11556*C11556</f>
        <v>98</v>
      </c>
      <c r="F11556" s="51">
        <v>1.05</v>
      </c>
    </row>
    <row r="11557" spans="1:117">
      <c r="A11557" s="2556" t="s">
        <v>1529</v>
      </c>
      <c r="B11557" s="2557" t="s">
        <v>7694</v>
      </c>
      <c r="C11557" s="50">
        <v>14</v>
      </c>
      <c r="D11557" s="911">
        <v>7</v>
      </c>
      <c r="E11557" s="50">
        <f>D11557*C11557</f>
        <v>98</v>
      </c>
      <c r="F11557" s="51">
        <v>1.81</v>
      </c>
    </row>
    <row r="11558" spans="1:117">
      <c r="A11558" s="2556"/>
      <c r="B11558" s="2557" t="s">
        <v>1993</v>
      </c>
      <c r="C11558" s="50"/>
      <c r="D11558" s="911"/>
      <c r="E11558" s="2559">
        <v>1</v>
      </c>
      <c r="F11558" s="51">
        <v>15</v>
      </c>
    </row>
    <row r="11561" spans="1:117">
      <c r="A11561" t="s">
        <v>8809</v>
      </c>
    </row>
    <row r="11562" spans="1:117" s="1163" customFormat="1" ht="31.5">
      <c r="A11562" s="2152" t="s">
        <v>1369</v>
      </c>
      <c r="B11562" s="2153" t="s">
        <v>377</v>
      </c>
      <c r="C11562" s="649" t="s">
        <v>54</v>
      </c>
      <c r="D11562" s="2192" t="s">
        <v>5527</v>
      </c>
      <c r="E11562" s="2183" t="s">
        <v>6673</v>
      </c>
      <c r="F11562" s="2184" t="s">
        <v>6669</v>
      </c>
      <c r="G11562" s="2184" t="s">
        <v>6670</v>
      </c>
    </row>
    <row r="11563" spans="1:117" s="59" customFormat="1" ht="15">
      <c r="A11563" s="2154" t="s">
        <v>2265</v>
      </c>
      <c r="B11563" s="2155">
        <v>6</v>
      </c>
      <c r="C11563" s="2194" t="s">
        <v>8808</v>
      </c>
      <c r="D11563" s="1602">
        <v>1.34</v>
      </c>
      <c r="E11563" s="2200">
        <v>96</v>
      </c>
      <c r="F11563" s="2186">
        <f>(((D11563*G11563)-E11563)/(D11563*G11563))</f>
        <v>0.40298507462686572</v>
      </c>
      <c r="G11563" s="2187">
        <v>120</v>
      </c>
      <c r="H11563" s="1963"/>
      <c r="I11563" s="1963"/>
      <c r="J11563" s="1963"/>
      <c r="K11563" s="1963"/>
      <c r="L11563" s="1963"/>
      <c r="M11563" s="1963"/>
      <c r="N11563" s="1963"/>
      <c r="O11563" s="1963"/>
      <c r="P11563" s="1963"/>
      <c r="Q11563" s="1963"/>
      <c r="R11563" s="1963"/>
      <c r="S11563" s="1963"/>
      <c r="T11563" s="1963"/>
      <c r="U11563" s="1963"/>
      <c r="V11563" s="1963"/>
      <c r="W11563" s="1963"/>
      <c r="X11563" s="1963"/>
      <c r="Y11563" s="1963"/>
      <c r="Z11563" s="1963"/>
      <c r="AA11563" s="1963"/>
      <c r="AB11563" s="1963"/>
      <c r="AC11563" s="1963"/>
      <c r="AD11563" s="1963"/>
      <c r="AE11563" s="1963"/>
      <c r="AF11563" s="1963"/>
      <c r="AG11563" s="1963"/>
      <c r="AH11563" s="1963"/>
      <c r="AI11563" s="1963"/>
      <c r="AJ11563" s="1963"/>
      <c r="AK11563" s="1963"/>
      <c r="AL11563" s="1963"/>
      <c r="AM11563" s="1963"/>
      <c r="AN11563" s="1963"/>
      <c r="AO11563" s="1963"/>
      <c r="AP11563" s="1963"/>
      <c r="AQ11563" s="1963"/>
      <c r="AR11563" s="1963"/>
      <c r="AS11563" s="1963"/>
      <c r="AT11563" s="1963"/>
      <c r="AU11563" s="1963"/>
      <c r="AV11563" s="1963"/>
      <c r="AW11563" s="1963"/>
      <c r="AX11563" s="1963"/>
      <c r="AY11563" s="1963"/>
      <c r="AZ11563" s="1963"/>
      <c r="BA11563" s="1963"/>
      <c r="BB11563" s="1963"/>
      <c r="BC11563" s="1963"/>
      <c r="BD11563" s="1963"/>
      <c r="BE11563" s="1963"/>
      <c r="BF11563" s="1963"/>
      <c r="BG11563" s="1963"/>
      <c r="BH11563" s="1963"/>
      <c r="BI11563" s="1963"/>
      <c r="BJ11563" s="1963"/>
      <c r="BK11563" s="1963"/>
      <c r="BL11563" s="1963"/>
      <c r="BM11563" s="1963"/>
      <c r="BN11563" s="1963"/>
      <c r="BO11563" s="1963"/>
      <c r="BP11563" s="1963"/>
      <c r="BQ11563" s="1963"/>
      <c r="BR11563" s="1963"/>
      <c r="BS11563" s="1963"/>
      <c r="BT11563" s="1963"/>
      <c r="BU11563" s="1963"/>
      <c r="BV11563" s="1963"/>
      <c r="BW11563" s="1963"/>
      <c r="BX11563" s="1963"/>
      <c r="BY11563" s="1963"/>
      <c r="BZ11563" s="1963"/>
      <c r="CA11563" s="1963"/>
      <c r="CB11563" s="1963"/>
      <c r="CC11563" s="1963"/>
      <c r="CD11563" s="1963"/>
      <c r="CE11563" s="1963"/>
      <c r="CF11563" s="1963"/>
      <c r="CG11563" s="1963"/>
      <c r="CH11563" s="1963"/>
      <c r="CI11563" s="1963"/>
      <c r="CJ11563" s="1963"/>
      <c r="CK11563" s="1963"/>
      <c r="CL11563" s="1963"/>
      <c r="CM11563" s="1963"/>
      <c r="CN11563" s="1963"/>
      <c r="CO11563" s="1963"/>
      <c r="CP11563" s="1963"/>
      <c r="CQ11563" s="1963"/>
      <c r="CR11563" s="1963"/>
      <c r="CS11563" s="1963"/>
      <c r="CT11563" s="1963"/>
      <c r="CU11563" s="1963"/>
      <c r="CV11563" s="1963"/>
      <c r="CW11563" s="1963"/>
      <c r="CX11563" s="1963"/>
      <c r="CY11563" s="1963"/>
      <c r="CZ11563" s="1963"/>
      <c r="DA11563" s="1963"/>
      <c r="DB11563" s="1963"/>
      <c r="DC11563" s="1963"/>
      <c r="DD11563" s="1963"/>
      <c r="DE11563" s="1963"/>
      <c r="DF11563" s="1963"/>
      <c r="DG11563" s="1963"/>
      <c r="DH11563" s="1963"/>
      <c r="DI11563" s="1963"/>
      <c r="DJ11563" s="1963"/>
      <c r="DK11563" s="1963"/>
      <c r="DL11563" s="1963"/>
      <c r="DM11563" s="1963"/>
    </row>
    <row r="11568" spans="1:117">
      <c r="A11568" s="902" t="s">
        <v>106</v>
      </c>
      <c r="B11568" s="902" t="s">
        <v>53</v>
      </c>
      <c r="C11568" s="887" t="s">
        <v>1653</v>
      </c>
    </row>
    <row r="11569" spans="1:7" ht="15">
      <c r="A11569" s="24" t="s">
        <v>1536</v>
      </c>
      <c r="B11569" s="44" t="s">
        <v>7694</v>
      </c>
      <c r="C11569" s="67">
        <v>98</v>
      </c>
    </row>
    <row r="11570" spans="1:7" ht="15">
      <c r="A11570" s="24" t="s">
        <v>1529</v>
      </c>
      <c r="B11570" s="44" t="s">
        <v>7694</v>
      </c>
      <c r="C11570" s="67">
        <v>98</v>
      </c>
    </row>
    <row r="11571" spans="1:7" ht="15">
      <c r="A11571" s="24" t="s">
        <v>1006</v>
      </c>
      <c r="B11571" s="44" t="s">
        <v>7694</v>
      </c>
      <c r="C11571" s="67">
        <v>98</v>
      </c>
    </row>
    <row r="11574" spans="1:7">
      <c r="A11574" s="902" t="s">
        <v>106</v>
      </c>
      <c r="B11574" s="902" t="s">
        <v>53</v>
      </c>
      <c r="C11574" s="887" t="s">
        <v>8812</v>
      </c>
      <c r="D11574" s="1783" t="s">
        <v>1323</v>
      </c>
    </row>
    <row r="11575" spans="1:7" ht="15">
      <c r="A11575" s="24" t="s">
        <v>8663</v>
      </c>
      <c r="B11575" s="24" t="s">
        <v>7694</v>
      </c>
      <c r="C11575" s="8">
        <v>20</v>
      </c>
      <c r="D11575" s="46">
        <v>3.06</v>
      </c>
    </row>
    <row r="11576" spans="1:7" ht="15">
      <c r="A11576" s="24"/>
      <c r="B11576" s="44" t="s">
        <v>1993</v>
      </c>
      <c r="C11576" s="45">
        <v>1</v>
      </c>
      <c r="D11576" s="46">
        <v>12</v>
      </c>
    </row>
    <row r="11580" spans="1:7" s="888" customFormat="1" ht="12.75">
      <c r="A11580" s="902" t="s">
        <v>106</v>
      </c>
      <c r="B11580" s="902" t="s">
        <v>52</v>
      </c>
      <c r="C11580" s="902" t="s">
        <v>53</v>
      </c>
      <c r="D11580" s="887" t="s">
        <v>1186</v>
      </c>
      <c r="E11580" s="887" t="s">
        <v>1652</v>
      </c>
      <c r="F11580" s="887" t="s">
        <v>1653</v>
      </c>
      <c r="G11580" s="887" t="s">
        <v>5574</v>
      </c>
    </row>
    <row r="11581" spans="1:7" s="888" customFormat="1" ht="12.75">
      <c r="A11581" s="47">
        <v>5291</v>
      </c>
      <c r="B11581" s="48">
        <v>6</v>
      </c>
      <c r="C11581" s="47" t="s">
        <v>499</v>
      </c>
      <c r="D11581" s="905">
        <v>50</v>
      </c>
      <c r="E11581" s="906">
        <v>3</v>
      </c>
      <c r="F11581" s="905">
        <f>D11581*E11581</f>
        <v>150</v>
      </c>
      <c r="G11581" s="891">
        <v>0.51</v>
      </c>
    </row>
    <row r="11582" spans="1:7" s="888" customFormat="1" ht="12.75">
      <c r="A11582" s="47" t="s">
        <v>8635</v>
      </c>
      <c r="B11582" s="48"/>
      <c r="C11582" s="47" t="s">
        <v>8638</v>
      </c>
      <c r="D11582" s="905">
        <v>50</v>
      </c>
      <c r="E11582" s="906">
        <v>18</v>
      </c>
      <c r="F11582" s="905">
        <f>D11582*E11582</f>
        <v>900</v>
      </c>
      <c r="G11582" s="891">
        <v>1.1000000000000001</v>
      </c>
    </row>
    <row r="11586" spans="1:12">
      <c r="A11586" s="902" t="s">
        <v>106</v>
      </c>
      <c r="B11586" s="902" t="s">
        <v>52</v>
      </c>
      <c r="C11586" s="902" t="s">
        <v>53</v>
      </c>
      <c r="D11586" s="887" t="s">
        <v>1186</v>
      </c>
      <c r="E11586" s="887" t="s">
        <v>1652</v>
      </c>
      <c r="F11586" s="887" t="s">
        <v>1653</v>
      </c>
      <c r="G11586" s="1783" t="s">
        <v>1323</v>
      </c>
    </row>
    <row r="11587" spans="1:12">
      <c r="A11587" s="47" t="s">
        <v>6214</v>
      </c>
      <c r="B11587" s="48">
        <v>9</v>
      </c>
      <c r="C11587" s="47" t="s">
        <v>6224</v>
      </c>
      <c r="D11587" s="905">
        <v>30</v>
      </c>
      <c r="E11587" s="906">
        <v>4</v>
      </c>
      <c r="F11587" s="905">
        <f>D11587*E11587</f>
        <v>120</v>
      </c>
      <c r="G11587" s="891">
        <v>1.32</v>
      </c>
    </row>
    <row r="11588" spans="1:12">
      <c r="A11588" s="47" t="s">
        <v>6214</v>
      </c>
      <c r="B11588" s="48">
        <v>15</v>
      </c>
      <c r="C11588" s="47" t="s">
        <v>6224</v>
      </c>
      <c r="D11588" s="905">
        <v>30</v>
      </c>
      <c r="E11588" s="906">
        <v>4</v>
      </c>
      <c r="F11588" s="905">
        <f>D11588*E11588</f>
        <v>120</v>
      </c>
      <c r="G11588" s="891">
        <v>1.62</v>
      </c>
    </row>
    <row r="11589" spans="1:12">
      <c r="A11589" s="47"/>
      <c r="B11589" s="893"/>
      <c r="C11589" s="260" t="s">
        <v>1993</v>
      </c>
      <c r="D11589" s="905"/>
      <c r="E11589" s="906"/>
      <c r="F11589" s="894">
        <v>1</v>
      </c>
      <c r="G11589" s="891">
        <v>12</v>
      </c>
    </row>
    <row r="11592" spans="1:12">
      <c r="A11592" s="902" t="s">
        <v>106</v>
      </c>
      <c r="B11592" s="902" t="s">
        <v>53</v>
      </c>
      <c r="C11592" s="887" t="s">
        <v>1653</v>
      </c>
      <c r="D11592" s="2578" t="s">
        <v>245</v>
      </c>
    </row>
    <row r="11593" spans="1:12">
      <c r="A11593" s="889" t="s">
        <v>8300</v>
      </c>
      <c r="B11593" s="47"/>
      <c r="C11593" s="50"/>
      <c r="D11593" s="53" t="s">
        <v>10</v>
      </c>
      <c r="E11593" s="39"/>
      <c r="F11593" s="39"/>
      <c r="G11593" s="39"/>
      <c r="H11593" s="1148"/>
      <c r="I11593" s="1149" t="e">
        <f>D11593*(VLOOKUP(#REF!,$C$2:$F$6,3,FALSE))</f>
        <v>#VALUE!</v>
      </c>
      <c r="J11593" s="1150"/>
      <c r="K11593" s="2161"/>
      <c r="L11593" s="1151"/>
    </row>
    <row r="11594" spans="1:12">
      <c r="A11594" s="47" t="s">
        <v>8301</v>
      </c>
      <c r="B11594" s="47" t="s">
        <v>8483</v>
      </c>
      <c r="C11594" s="50">
        <v>1700</v>
      </c>
      <c r="D11594" s="2579" t="s">
        <v>8816</v>
      </c>
      <c r="E11594" s="891" t="e">
        <f>D11594*C11594</f>
        <v>#VALUE!</v>
      </c>
      <c r="F11594" s="1202" t="s">
        <v>2219</v>
      </c>
      <c r="G11594" s="2453"/>
      <c r="H11594" s="1148"/>
      <c r="I11594" s="1149" t="e">
        <f>D11594*(VLOOKUP(#REF!,$C$2:$F$6,3,FALSE))</f>
        <v>#VALUE!</v>
      </c>
      <c r="J11594" s="1150">
        <v>2.4</v>
      </c>
      <c r="K11594" s="2161">
        <f>J11594*C11594</f>
        <v>4080</v>
      </c>
      <c r="L11594" s="1151">
        <f>160+70</f>
        <v>230</v>
      </c>
    </row>
    <row r="11595" spans="1:12">
      <c r="A11595" s="47" t="s">
        <v>8301</v>
      </c>
      <c r="B11595" s="47" t="s">
        <v>8403</v>
      </c>
      <c r="C11595" s="50">
        <v>1020</v>
      </c>
      <c r="D11595" s="2579" t="s">
        <v>8816</v>
      </c>
      <c r="E11595" s="891" t="e">
        <f>D11595*C11595</f>
        <v>#VALUE!</v>
      </c>
      <c r="F11595" s="1202" t="s">
        <v>2219</v>
      </c>
      <c r="G11595" s="2453"/>
      <c r="H11595" s="1148"/>
      <c r="I11595" s="1149" t="e">
        <f>D11595*(VLOOKUP(#REF!,$C$2:$F$6,3,FALSE))</f>
        <v>#VALUE!</v>
      </c>
      <c r="J11595" s="1150">
        <v>2.4</v>
      </c>
      <c r="K11595" s="2161">
        <f>J11595*C11595</f>
        <v>2448</v>
      </c>
      <c r="L11595" s="1151">
        <f>160+70</f>
        <v>230</v>
      </c>
    </row>
    <row r="11598" spans="1:12" ht="25.5">
      <c r="A11598" s="902" t="s">
        <v>106</v>
      </c>
      <c r="B11598" s="902" t="s">
        <v>53</v>
      </c>
      <c r="C11598" s="902" t="s">
        <v>8821</v>
      </c>
      <c r="D11598" s="1783" t="s">
        <v>1323</v>
      </c>
      <c r="E11598" s="1783" t="s">
        <v>8823</v>
      </c>
    </row>
    <row r="11599" spans="1:12">
      <c r="A11599" s="47" t="s">
        <v>2611</v>
      </c>
      <c r="B11599" s="260" t="s">
        <v>7694</v>
      </c>
      <c r="C11599" s="905" t="s">
        <v>8822</v>
      </c>
      <c r="D11599" s="891">
        <v>3.89</v>
      </c>
      <c r="E11599" s="891" t="s">
        <v>8824</v>
      </c>
    </row>
    <row r="11600" spans="1:12">
      <c r="A11600" s="47" t="s">
        <v>157</v>
      </c>
      <c r="B11600" s="260" t="s">
        <v>7694</v>
      </c>
      <c r="C11600" s="905" t="s">
        <v>8822</v>
      </c>
      <c r="D11600" s="891">
        <v>7.64</v>
      </c>
      <c r="E11600" s="891" t="s">
        <v>8825</v>
      </c>
    </row>
    <row r="11601" spans="1:8">
      <c r="A11601" s="47" t="s">
        <v>7080</v>
      </c>
      <c r="B11601" s="260" t="s">
        <v>7694</v>
      </c>
      <c r="C11601" s="905" t="s">
        <v>8822</v>
      </c>
      <c r="D11601" s="891">
        <v>5.56</v>
      </c>
      <c r="E11601" s="891" t="s">
        <v>8826</v>
      </c>
    </row>
    <row r="11602" spans="1:8">
      <c r="A11602" s="47" t="s">
        <v>7006</v>
      </c>
      <c r="B11602" s="260" t="s">
        <v>7694</v>
      </c>
      <c r="C11602" s="905" t="s">
        <v>8822</v>
      </c>
      <c r="D11602" s="891">
        <v>8.48</v>
      </c>
      <c r="E11602" s="891" t="s">
        <v>8827</v>
      </c>
    </row>
    <row r="11603" spans="1:8">
      <c r="A11603" s="47" t="s">
        <v>362</v>
      </c>
      <c r="B11603" s="260" t="s">
        <v>7694</v>
      </c>
      <c r="C11603" s="905" t="s">
        <v>8822</v>
      </c>
      <c r="D11603" s="891">
        <v>5.98</v>
      </c>
      <c r="E11603" s="891" t="s">
        <v>8828</v>
      </c>
    </row>
    <row r="11606" spans="1:8" ht="15">
      <c r="A11606" s="1871" t="s">
        <v>8829</v>
      </c>
      <c r="B11606" s="1871"/>
      <c r="C11606" s="1871"/>
      <c r="D11606" s="1871"/>
      <c r="E11606" s="1871"/>
      <c r="F11606" s="1871"/>
    </row>
    <row r="11607" spans="1:8" s="888" customFormat="1" ht="25.5">
      <c r="A11607" s="887" t="s">
        <v>455</v>
      </c>
      <c r="B11607" s="887" t="s">
        <v>128</v>
      </c>
      <c r="C11607" s="887" t="s">
        <v>8351</v>
      </c>
      <c r="D11607" s="1783" t="s">
        <v>1323</v>
      </c>
      <c r="E11607" s="1783" t="s">
        <v>8857</v>
      </c>
      <c r="F11607" s="1958" t="s">
        <v>8360</v>
      </c>
      <c r="G11607" s="2581" t="s">
        <v>6080</v>
      </c>
      <c r="H11607" s="2130" t="s">
        <v>6081</v>
      </c>
    </row>
    <row r="11608" spans="1:8" s="888" customFormat="1" ht="12.75">
      <c r="A11608" s="1865" t="s">
        <v>8831</v>
      </c>
      <c r="B11608" s="2580" t="s">
        <v>7694</v>
      </c>
      <c r="C11608" s="905">
        <v>10</v>
      </c>
      <c r="D11608" s="1058">
        <f t="shared" ref="D11608:D11639" si="148">ROUNDUP(F11608/0.6/120,2)</f>
        <v>0.91</v>
      </c>
      <c r="E11608" s="2582" t="s">
        <v>8859</v>
      </c>
      <c r="F11608" s="1922">
        <v>65</v>
      </c>
      <c r="G11608" s="2070">
        <f t="shared" ref="G11608:G11639" si="149">(D11608-(F11608/H11608))/D11608</f>
        <v>0.40476190476190482</v>
      </c>
      <c r="H11608" s="2130">
        <v>120</v>
      </c>
    </row>
    <row r="11609" spans="1:8" s="888" customFormat="1" ht="12.75">
      <c r="A11609" s="1865" t="s">
        <v>8831</v>
      </c>
      <c r="B11609" s="2580" t="s">
        <v>8352</v>
      </c>
      <c r="C11609" s="905" t="s">
        <v>8500</v>
      </c>
      <c r="D11609" s="1058">
        <f t="shared" si="148"/>
        <v>1.8800000000000001</v>
      </c>
      <c r="E11609" s="2582" t="s">
        <v>8858</v>
      </c>
      <c r="F11609" s="1922">
        <f>65+70</f>
        <v>135</v>
      </c>
      <c r="G11609" s="2070">
        <f t="shared" si="149"/>
        <v>0.40159574468085107</v>
      </c>
      <c r="H11609" s="2130">
        <v>120</v>
      </c>
    </row>
    <row r="11610" spans="1:8" s="888" customFormat="1" ht="12.75">
      <c r="A11610" s="1865" t="s">
        <v>8832</v>
      </c>
      <c r="B11610" s="2580" t="s">
        <v>7694</v>
      </c>
      <c r="C11610" s="905">
        <v>10</v>
      </c>
      <c r="D11610" s="1058">
        <f t="shared" si="148"/>
        <v>1.8</v>
      </c>
      <c r="E11610" s="2582" t="s">
        <v>8860</v>
      </c>
      <c r="F11610" s="1922">
        <v>129</v>
      </c>
      <c r="G11610" s="2070">
        <f t="shared" si="149"/>
        <v>0.40277777777777779</v>
      </c>
      <c r="H11610" s="2130">
        <v>120</v>
      </c>
    </row>
    <row r="11611" spans="1:8" s="888" customFormat="1" ht="12.75">
      <c r="A11611" s="1865" t="s">
        <v>8832</v>
      </c>
      <c r="B11611" s="2580" t="s">
        <v>8352</v>
      </c>
      <c r="C11611" s="905" t="s">
        <v>8500</v>
      </c>
      <c r="D11611" s="1058">
        <f t="shared" si="148"/>
        <v>2.9099999999999997</v>
      </c>
      <c r="E11611" s="2582" t="s">
        <v>8858</v>
      </c>
      <c r="F11611" s="1922">
        <f>129+80</f>
        <v>209</v>
      </c>
      <c r="G11611" s="2070">
        <f t="shared" si="149"/>
        <v>0.40148911798396325</v>
      </c>
      <c r="H11611" s="2130">
        <v>120</v>
      </c>
    </row>
    <row r="11612" spans="1:8" s="888" customFormat="1" ht="12.75">
      <c r="A11612" s="1865" t="s">
        <v>8833</v>
      </c>
      <c r="B11612" s="2580" t="s">
        <v>7694</v>
      </c>
      <c r="C11612" s="905">
        <v>10</v>
      </c>
      <c r="D11612" s="1058">
        <f t="shared" si="148"/>
        <v>0.91</v>
      </c>
      <c r="E11612" s="2582" t="s">
        <v>8860</v>
      </c>
      <c r="F11612" s="1922">
        <v>65</v>
      </c>
      <c r="G11612" s="2070">
        <f t="shared" si="149"/>
        <v>0.40476190476190482</v>
      </c>
      <c r="H11612" s="2130">
        <v>120</v>
      </c>
    </row>
    <row r="11613" spans="1:8" s="888" customFormat="1" ht="12.75">
      <c r="A11613" s="1865" t="s">
        <v>8833</v>
      </c>
      <c r="B11613" s="2580" t="s">
        <v>8352</v>
      </c>
      <c r="C11613" s="905" t="s">
        <v>8500</v>
      </c>
      <c r="D11613" s="1058">
        <f t="shared" si="148"/>
        <v>1.8800000000000001</v>
      </c>
      <c r="E11613" s="2582" t="s">
        <v>8858</v>
      </c>
      <c r="F11613" s="1922">
        <f>65+70</f>
        <v>135</v>
      </c>
      <c r="G11613" s="2070">
        <f t="shared" si="149"/>
        <v>0.40159574468085107</v>
      </c>
      <c r="H11613" s="2130">
        <v>120</v>
      </c>
    </row>
    <row r="11614" spans="1:8" s="888" customFormat="1" ht="12.75">
      <c r="A11614" s="1865" t="s">
        <v>8834</v>
      </c>
      <c r="B11614" s="2580" t="s">
        <v>7694</v>
      </c>
      <c r="C11614" s="905">
        <v>10</v>
      </c>
      <c r="D11614" s="1058">
        <f t="shared" si="148"/>
        <v>1.73</v>
      </c>
      <c r="E11614" s="2582" t="s">
        <v>8861</v>
      </c>
      <c r="F11614" s="1922">
        <v>124</v>
      </c>
      <c r="G11614" s="2070">
        <f t="shared" si="149"/>
        <v>0.40269749518304426</v>
      </c>
      <c r="H11614" s="2130">
        <v>120</v>
      </c>
    </row>
    <row r="11615" spans="1:8" s="888" customFormat="1" ht="12.75">
      <c r="A11615" s="1865" t="s">
        <v>8834</v>
      </c>
      <c r="B11615" s="2580" t="s">
        <v>8352</v>
      </c>
      <c r="C11615" s="905" t="s">
        <v>8500</v>
      </c>
      <c r="D11615" s="1058">
        <f t="shared" si="148"/>
        <v>2.84</v>
      </c>
      <c r="E11615" s="2582" t="s">
        <v>8858</v>
      </c>
      <c r="F11615" s="1922">
        <f>124+80</f>
        <v>204</v>
      </c>
      <c r="G11615" s="2070">
        <f t="shared" si="149"/>
        <v>0.40140845070422532</v>
      </c>
      <c r="H11615" s="2130">
        <v>120</v>
      </c>
    </row>
    <row r="11616" spans="1:8" s="888" customFormat="1" ht="12.75">
      <c r="A11616" s="1865" t="s">
        <v>8835</v>
      </c>
      <c r="B11616" s="2580" t="s">
        <v>7694</v>
      </c>
      <c r="C11616" s="905">
        <v>10</v>
      </c>
      <c r="D11616" s="1058">
        <f t="shared" si="148"/>
        <v>1.73</v>
      </c>
      <c r="E11616" s="2582" t="s">
        <v>8862</v>
      </c>
      <c r="F11616" s="1922">
        <v>124</v>
      </c>
      <c r="G11616" s="2070">
        <f t="shared" si="149"/>
        <v>0.40269749518304426</v>
      </c>
      <c r="H11616" s="2130">
        <v>120</v>
      </c>
    </row>
    <row r="11617" spans="1:8" s="888" customFormat="1" ht="12.75">
      <c r="A11617" s="1865" t="s">
        <v>8835</v>
      </c>
      <c r="B11617" s="2580" t="s">
        <v>8352</v>
      </c>
      <c r="C11617" s="905" t="s">
        <v>8500</v>
      </c>
      <c r="D11617" s="1058">
        <f t="shared" si="148"/>
        <v>2.84</v>
      </c>
      <c r="E11617" s="2582" t="s">
        <v>8858</v>
      </c>
      <c r="F11617" s="1922">
        <f>124+80</f>
        <v>204</v>
      </c>
      <c r="G11617" s="2070">
        <f t="shared" si="149"/>
        <v>0.40140845070422532</v>
      </c>
      <c r="H11617" s="2130">
        <v>120</v>
      </c>
    </row>
    <row r="11618" spans="1:8" s="888" customFormat="1" ht="12.75">
      <c r="A11618" s="1865" t="s">
        <v>8836</v>
      </c>
      <c r="B11618" s="2580" t="s">
        <v>7694</v>
      </c>
      <c r="C11618" s="905">
        <v>10</v>
      </c>
      <c r="D11618" s="1058">
        <f t="shared" si="148"/>
        <v>2.2999999999999998</v>
      </c>
      <c r="E11618" s="2582" t="s">
        <v>8863</v>
      </c>
      <c r="F11618" s="1922">
        <v>165</v>
      </c>
      <c r="G11618" s="2070">
        <f t="shared" si="149"/>
        <v>0.40217391304347822</v>
      </c>
      <c r="H11618" s="2130">
        <v>120</v>
      </c>
    </row>
    <row r="11619" spans="1:8" s="888" customFormat="1" ht="12.75">
      <c r="A11619" s="1865" t="s">
        <v>8836</v>
      </c>
      <c r="B11619" s="2580" t="s">
        <v>8352</v>
      </c>
      <c r="C11619" s="905" t="s">
        <v>8500</v>
      </c>
      <c r="D11619" s="1058">
        <f t="shared" si="148"/>
        <v>3.4099999999999997</v>
      </c>
      <c r="E11619" s="2582" t="s">
        <v>8858</v>
      </c>
      <c r="F11619" s="1922">
        <f>165+80</f>
        <v>245</v>
      </c>
      <c r="G11619" s="2070">
        <f t="shared" si="149"/>
        <v>0.40127077223851415</v>
      </c>
      <c r="H11619" s="2130">
        <v>120</v>
      </c>
    </row>
    <row r="11620" spans="1:8" s="888" customFormat="1" ht="12.75">
      <c r="A11620" s="1865" t="s">
        <v>8837</v>
      </c>
      <c r="B11620" s="2580" t="s">
        <v>7694</v>
      </c>
      <c r="C11620" s="905">
        <v>10</v>
      </c>
      <c r="D11620" s="1058">
        <f t="shared" si="148"/>
        <v>0.88</v>
      </c>
      <c r="E11620" s="2582" t="s">
        <v>8864</v>
      </c>
      <c r="F11620" s="1922">
        <v>63</v>
      </c>
      <c r="G11620" s="2070">
        <f t="shared" si="149"/>
        <v>0.40340909090909088</v>
      </c>
      <c r="H11620" s="2130">
        <v>120</v>
      </c>
    </row>
    <row r="11621" spans="1:8" s="888" customFormat="1" ht="12.75">
      <c r="A11621" s="1865" t="s">
        <v>8837</v>
      </c>
      <c r="B11621" s="2580" t="s">
        <v>8352</v>
      </c>
      <c r="C11621" s="905" t="s">
        <v>8500</v>
      </c>
      <c r="D11621" s="1058">
        <f t="shared" si="148"/>
        <v>1.85</v>
      </c>
      <c r="E11621" s="2582" t="s">
        <v>8858</v>
      </c>
      <c r="F11621" s="1922">
        <f>63+70</f>
        <v>133</v>
      </c>
      <c r="G11621" s="2070">
        <f t="shared" si="149"/>
        <v>0.40090090090090091</v>
      </c>
      <c r="H11621" s="2130">
        <v>120</v>
      </c>
    </row>
    <row r="11622" spans="1:8" s="888" customFormat="1" ht="12.75">
      <c r="A11622" s="1865" t="s">
        <v>8838</v>
      </c>
      <c r="B11622" s="2580" t="s">
        <v>7694</v>
      </c>
      <c r="C11622" s="905">
        <v>10</v>
      </c>
      <c r="D11622" s="1058">
        <f t="shared" si="148"/>
        <v>0.84</v>
      </c>
      <c r="E11622" s="2582" t="s">
        <v>8865</v>
      </c>
      <c r="F11622" s="1922">
        <v>60</v>
      </c>
      <c r="G11622" s="2070">
        <f t="shared" si="149"/>
        <v>0.40476190476190477</v>
      </c>
      <c r="H11622" s="2130">
        <v>120</v>
      </c>
    </row>
    <row r="11623" spans="1:8" s="888" customFormat="1" ht="12.75">
      <c r="A11623" s="1865" t="s">
        <v>8838</v>
      </c>
      <c r="B11623" s="2580" t="s">
        <v>8352</v>
      </c>
      <c r="C11623" s="905" t="s">
        <v>8500</v>
      </c>
      <c r="D11623" s="1058">
        <f t="shared" si="148"/>
        <v>1.81</v>
      </c>
      <c r="E11623" s="2582" t="s">
        <v>8858</v>
      </c>
      <c r="F11623" s="1922">
        <f>60+70</f>
        <v>130</v>
      </c>
      <c r="G11623" s="2070">
        <f t="shared" si="149"/>
        <v>0.4014732965009209</v>
      </c>
      <c r="H11623" s="2130">
        <v>120</v>
      </c>
    </row>
    <row r="11624" spans="1:8" s="888" customFormat="1" ht="12.75">
      <c r="A11624" s="1865" t="s">
        <v>8839</v>
      </c>
      <c r="B11624" s="2580" t="s">
        <v>7694</v>
      </c>
      <c r="C11624" s="905">
        <v>10</v>
      </c>
      <c r="D11624" s="1058">
        <f t="shared" si="148"/>
        <v>2.21</v>
      </c>
      <c r="E11624" s="2582" t="s">
        <v>8864</v>
      </c>
      <c r="F11624" s="1922">
        <v>159</v>
      </c>
      <c r="G11624" s="2070">
        <f t="shared" si="149"/>
        <v>0.40045248868778283</v>
      </c>
      <c r="H11624" s="2130">
        <v>120</v>
      </c>
    </row>
    <row r="11625" spans="1:8" s="888" customFormat="1" ht="12.75">
      <c r="A11625" s="1865" t="s">
        <v>8839</v>
      </c>
      <c r="B11625" s="2580" t="s">
        <v>8352</v>
      </c>
      <c r="C11625" s="905" t="s">
        <v>8500</v>
      </c>
      <c r="D11625" s="1058">
        <f t="shared" si="148"/>
        <v>3.32</v>
      </c>
      <c r="E11625" s="2582" t="s">
        <v>8858</v>
      </c>
      <c r="F11625" s="1922">
        <f>159+80</f>
        <v>239</v>
      </c>
      <c r="G11625" s="2070">
        <f t="shared" si="149"/>
        <v>0.40010040160642568</v>
      </c>
      <c r="H11625" s="2130">
        <v>120</v>
      </c>
    </row>
    <row r="11626" spans="1:8" s="888" customFormat="1" ht="12.75">
      <c r="A11626" s="1865" t="s">
        <v>8840</v>
      </c>
      <c r="B11626" s="2580" t="s">
        <v>7694</v>
      </c>
      <c r="C11626" s="905">
        <v>10</v>
      </c>
      <c r="D11626" s="1058">
        <f t="shared" si="148"/>
        <v>1.42</v>
      </c>
      <c r="E11626" s="2582" t="s">
        <v>8866</v>
      </c>
      <c r="F11626" s="1922">
        <v>102</v>
      </c>
      <c r="G11626" s="2070">
        <f t="shared" si="149"/>
        <v>0.40140845070422532</v>
      </c>
      <c r="H11626" s="2130">
        <v>120</v>
      </c>
    </row>
    <row r="11627" spans="1:8" s="888" customFormat="1" ht="12.75">
      <c r="A11627" s="1865" t="s">
        <v>8840</v>
      </c>
      <c r="B11627" s="2580" t="s">
        <v>8352</v>
      </c>
      <c r="C11627" s="905" t="s">
        <v>8500</v>
      </c>
      <c r="D11627" s="1058">
        <f t="shared" si="148"/>
        <v>2.3899999999999997</v>
      </c>
      <c r="E11627" s="2582" t="s">
        <v>8858</v>
      </c>
      <c r="F11627" s="1922">
        <f>102+70</f>
        <v>172</v>
      </c>
      <c r="G11627" s="2070">
        <f t="shared" si="149"/>
        <v>0.40027894002789394</v>
      </c>
      <c r="H11627" s="2130">
        <v>120</v>
      </c>
    </row>
    <row r="11628" spans="1:8" s="888" customFormat="1" ht="12.75">
      <c r="A11628" s="1865" t="s">
        <v>8841</v>
      </c>
      <c r="B11628" s="2580" t="s">
        <v>7694</v>
      </c>
      <c r="C11628" s="905">
        <v>10</v>
      </c>
      <c r="D11628" s="1058">
        <f t="shared" si="148"/>
        <v>1.23</v>
      </c>
      <c r="E11628" s="2582" t="s">
        <v>8867</v>
      </c>
      <c r="F11628" s="1922">
        <v>88</v>
      </c>
      <c r="G11628" s="2070">
        <f t="shared" si="149"/>
        <v>0.40379403794037944</v>
      </c>
      <c r="H11628" s="2130">
        <v>120</v>
      </c>
    </row>
    <row r="11629" spans="1:8" s="888" customFormat="1" ht="12.75">
      <c r="A11629" s="1865" t="s">
        <v>8841</v>
      </c>
      <c r="B11629" s="2580" t="s">
        <v>8352</v>
      </c>
      <c r="C11629" s="905" t="s">
        <v>8500</v>
      </c>
      <c r="D11629" s="1058">
        <f t="shared" si="148"/>
        <v>2.1999999999999997</v>
      </c>
      <c r="E11629" s="2582" t="s">
        <v>8858</v>
      </c>
      <c r="F11629" s="1922">
        <f>88+70</f>
        <v>158</v>
      </c>
      <c r="G11629" s="2070">
        <f t="shared" si="149"/>
        <v>0.40151515151515144</v>
      </c>
      <c r="H11629" s="2130">
        <v>120</v>
      </c>
    </row>
    <row r="11630" spans="1:8" s="888" customFormat="1" ht="12.75">
      <c r="A11630" s="1865" t="s">
        <v>8842</v>
      </c>
      <c r="B11630" s="2580" t="s">
        <v>7694</v>
      </c>
      <c r="C11630" s="905">
        <v>10</v>
      </c>
      <c r="D11630" s="1058">
        <f t="shared" si="148"/>
        <v>1.23</v>
      </c>
      <c r="E11630" s="2582" t="s">
        <v>8868</v>
      </c>
      <c r="F11630" s="1922">
        <v>88</v>
      </c>
      <c r="G11630" s="2070">
        <f t="shared" si="149"/>
        <v>0.40379403794037944</v>
      </c>
      <c r="H11630" s="2130">
        <v>120</v>
      </c>
    </row>
    <row r="11631" spans="1:8" s="888" customFormat="1" ht="12.75">
      <c r="A11631" s="1865" t="s">
        <v>8842</v>
      </c>
      <c r="B11631" s="2580" t="s">
        <v>8352</v>
      </c>
      <c r="C11631" s="905" t="s">
        <v>8500</v>
      </c>
      <c r="D11631" s="1058">
        <f t="shared" si="148"/>
        <v>2.1999999999999997</v>
      </c>
      <c r="E11631" s="2582" t="s">
        <v>8858</v>
      </c>
      <c r="F11631" s="1922">
        <f>88+70</f>
        <v>158</v>
      </c>
      <c r="G11631" s="2070">
        <f t="shared" si="149"/>
        <v>0.40151515151515144</v>
      </c>
      <c r="H11631" s="2130">
        <v>120</v>
      </c>
    </row>
    <row r="11632" spans="1:8" s="888" customFormat="1" ht="12.75">
      <c r="A11632" s="1865" t="s">
        <v>8830</v>
      </c>
      <c r="B11632" s="2580" t="s">
        <v>7694</v>
      </c>
      <c r="C11632" s="905">
        <v>10</v>
      </c>
      <c r="D11632" s="1058">
        <f t="shared" si="148"/>
        <v>1.17</v>
      </c>
      <c r="E11632" s="2582" t="s">
        <v>8869</v>
      </c>
      <c r="F11632" s="1922">
        <v>84</v>
      </c>
      <c r="G11632" s="2070">
        <f t="shared" si="149"/>
        <v>0.40170940170940173</v>
      </c>
      <c r="H11632" s="2130">
        <v>120</v>
      </c>
    </row>
    <row r="11633" spans="1:8" s="888" customFormat="1" ht="12.75">
      <c r="A11633" s="1865" t="s">
        <v>8830</v>
      </c>
      <c r="B11633" s="2580" t="s">
        <v>8352</v>
      </c>
      <c r="C11633" s="905" t="s">
        <v>8500</v>
      </c>
      <c r="D11633" s="1058">
        <f t="shared" si="148"/>
        <v>2.1399999999999997</v>
      </c>
      <c r="E11633" s="2582" t="s">
        <v>8858</v>
      </c>
      <c r="F11633" s="1922">
        <f>84+70</f>
        <v>154</v>
      </c>
      <c r="G11633" s="2070">
        <f t="shared" si="149"/>
        <v>0.40031152647975066</v>
      </c>
      <c r="H11633" s="2130">
        <v>120</v>
      </c>
    </row>
    <row r="11634" spans="1:8" s="888" customFormat="1" ht="12.75">
      <c r="A11634" s="1865" t="s">
        <v>8843</v>
      </c>
      <c r="B11634" s="2580" t="s">
        <v>7694</v>
      </c>
      <c r="C11634" s="905">
        <v>10</v>
      </c>
      <c r="D11634" s="1058">
        <f t="shared" si="148"/>
        <v>1.23</v>
      </c>
      <c r="E11634" s="2582" t="s">
        <v>8870</v>
      </c>
      <c r="F11634" s="1922">
        <v>88</v>
      </c>
      <c r="G11634" s="2070">
        <f t="shared" si="149"/>
        <v>0.40379403794037944</v>
      </c>
      <c r="H11634" s="2130">
        <v>120</v>
      </c>
    </row>
    <row r="11635" spans="1:8" s="888" customFormat="1" ht="12.75">
      <c r="A11635" s="1865" t="s">
        <v>8843</v>
      </c>
      <c r="B11635" s="2580" t="s">
        <v>8352</v>
      </c>
      <c r="C11635" s="905" t="s">
        <v>8500</v>
      </c>
      <c r="D11635" s="1058">
        <f t="shared" si="148"/>
        <v>2.1999999999999997</v>
      </c>
      <c r="E11635" s="2582" t="s">
        <v>8858</v>
      </c>
      <c r="F11635" s="1922">
        <f>88+70</f>
        <v>158</v>
      </c>
      <c r="G11635" s="2070">
        <f t="shared" si="149"/>
        <v>0.40151515151515144</v>
      </c>
      <c r="H11635" s="2130">
        <v>120</v>
      </c>
    </row>
    <row r="11636" spans="1:8" s="888" customFormat="1" ht="12.75">
      <c r="A11636" s="1865" t="s">
        <v>8844</v>
      </c>
      <c r="B11636" s="2580" t="s">
        <v>7694</v>
      </c>
      <c r="C11636" s="905">
        <v>10</v>
      </c>
      <c r="D11636" s="1058">
        <f t="shared" si="148"/>
        <v>2.0499999999999998</v>
      </c>
      <c r="E11636" s="2582" t="s">
        <v>8871</v>
      </c>
      <c r="F11636" s="1922">
        <v>147</v>
      </c>
      <c r="G11636" s="2070">
        <f t="shared" si="149"/>
        <v>0.40243902439024382</v>
      </c>
      <c r="H11636" s="2130">
        <v>120</v>
      </c>
    </row>
    <row r="11637" spans="1:8" s="888" customFormat="1" ht="12.75">
      <c r="A11637" s="1865" t="s">
        <v>8844</v>
      </c>
      <c r="B11637" s="2580" t="s">
        <v>8352</v>
      </c>
      <c r="C11637" s="905" t="s">
        <v>8500</v>
      </c>
      <c r="D11637" s="1058">
        <f t="shared" si="148"/>
        <v>3.1599999999999997</v>
      </c>
      <c r="E11637" s="2582" t="s">
        <v>8858</v>
      </c>
      <c r="F11637" s="1922">
        <f>147+80</f>
        <v>227</v>
      </c>
      <c r="G11637" s="2070">
        <f t="shared" si="149"/>
        <v>0.40137130801687759</v>
      </c>
      <c r="H11637" s="2130">
        <v>120</v>
      </c>
    </row>
    <row r="11638" spans="1:8" s="888" customFormat="1" ht="12.75">
      <c r="A11638" s="1865" t="s">
        <v>8845</v>
      </c>
      <c r="B11638" s="2580" t="s">
        <v>7694</v>
      </c>
      <c r="C11638" s="905">
        <v>10</v>
      </c>
      <c r="D11638" s="1058">
        <f t="shared" si="148"/>
        <v>4.4399999999999995</v>
      </c>
      <c r="E11638" s="2582" t="s">
        <v>8864</v>
      </c>
      <c r="F11638" s="1922">
        <v>319</v>
      </c>
      <c r="G11638" s="2070">
        <f t="shared" si="149"/>
        <v>0.40127627627627621</v>
      </c>
      <c r="H11638" s="2130">
        <v>120</v>
      </c>
    </row>
    <row r="11639" spans="1:8" s="888" customFormat="1" ht="12.75">
      <c r="A11639" s="1865" t="s">
        <v>8845</v>
      </c>
      <c r="B11639" s="2580" t="s">
        <v>8352</v>
      </c>
      <c r="C11639" s="905" t="s">
        <v>8500</v>
      </c>
      <c r="D11639" s="1058">
        <f t="shared" si="148"/>
        <v>5.6899999999999995</v>
      </c>
      <c r="E11639" s="2582" t="s">
        <v>8858</v>
      </c>
      <c r="F11639" s="1922">
        <f>319+90</f>
        <v>409</v>
      </c>
      <c r="G11639" s="2070">
        <f t="shared" si="149"/>
        <v>0.40099589923842999</v>
      </c>
      <c r="H11639" s="2130">
        <v>120</v>
      </c>
    </row>
    <row r="11640" spans="1:8" s="888" customFormat="1" ht="12.75">
      <c r="A11640" s="1865" t="s">
        <v>8846</v>
      </c>
      <c r="B11640" s="2580" t="s">
        <v>7694</v>
      </c>
      <c r="C11640" s="905">
        <v>10</v>
      </c>
      <c r="D11640" s="1058">
        <f t="shared" ref="D11640:D11665" si="150">ROUNDUP(F11640/0.6/120,2)</f>
        <v>2.44</v>
      </c>
      <c r="E11640" s="2582" t="s">
        <v>8861</v>
      </c>
      <c r="F11640" s="1922">
        <v>175</v>
      </c>
      <c r="G11640" s="2070">
        <f t="shared" ref="G11640:G11665" si="151">(D11640-(F11640/H11640))/D11640</f>
        <v>0.40232240437158473</v>
      </c>
      <c r="H11640" s="2130">
        <v>120</v>
      </c>
    </row>
    <row r="11641" spans="1:8" s="888" customFormat="1" ht="12.75">
      <c r="A11641" s="1865" t="s">
        <v>8846</v>
      </c>
      <c r="B11641" s="2580" t="s">
        <v>8352</v>
      </c>
      <c r="C11641" s="905" t="s">
        <v>8500</v>
      </c>
      <c r="D11641" s="1058">
        <f t="shared" si="150"/>
        <v>3.55</v>
      </c>
      <c r="E11641" s="2582" t="s">
        <v>8858</v>
      </c>
      <c r="F11641" s="1922">
        <f>175+80</f>
        <v>255</v>
      </c>
      <c r="G11641" s="2070">
        <f t="shared" si="151"/>
        <v>0.40140845070422532</v>
      </c>
      <c r="H11641" s="2130">
        <v>120</v>
      </c>
    </row>
    <row r="11642" spans="1:8" s="888" customFormat="1" ht="12.75">
      <c r="A11642" s="1865" t="s">
        <v>8847</v>
      </c>
      <c r="B11642" s="2580" t="s">
        <v>7694</v>
      </c>
      <c r="C11642" s="905">
        <v>10</v>
      </c>
      <c r="D11642" s="1058">
        <f t="shared" si="150"/>
        <v>2.4099999999999997</v>
      </c>
      <c r="E11642" s="2582" t="s">
        <v>8872</v>
      </c>
      <c r="F11642" s="1922">
        <v>173</v>
      </c>
      <c r="G11642" s="2070">
        <f t="shared" si="151"/>
        <v>0.40179806362378967</v>
      </c>
      <c r="H11642" s="2130">
        <v>120</v>
      </c>
    </row>
    <row r="11643" spans="1:8" s="888" customFormat="1" ht="12.75">
      <c r="A11643" s="1865" t="s">
        <v>8847</v>
      </c>
      <c r="B11643" s="2580" t="s">
        <v>8352</v>
      </c>
      <c r="C11643" s="905" t="s">
        <v>8500</v>
      </c>
      <c r="D11643" s="1058">
        <f t="shared" si="150"/>
        <v>3.5199999999999996</v>
      </c>
      <c r="E11643" s="2582" t="s">
        <v>8858</v>
      </c>
      <c r="F11643" s="1922">
        <f>173+80</f>
        <v>253</v>
      </c>
      <c r="G11643" s="2070">
        <f t="shared" si="151"/>
        <v>0.40104166666666657</v>
      </c>
      <c r="H11643" s="2130">
        <v>120</v>
      </c>
    </row>
    <row r="11644" spans="1:8" s="888" customFormat="1" ht="12.75">
      <c r="A11644" s="1865" t="s">
        <v>8848</v>
      </c>
      <c r="B11644" s="2580" t="s">
        <v>7694</v>
      </c>
      <c r="C11644" s="905">
        <v>10</v>
      </c>
      <c r="D11644" s="1058">
        <f t="shared" si="150"/>
        <v>2.84</v>
      </c>
      <c r="E11644" s="2582" t="s">
        <v>8867</v>
      </c>
      <c r="F11644" s="1922">
        <v>204</v>
      </c>
      <c r="G11644" s="2070">
        <f t="shared" si="151"/>
        <v>0.40140845070422532</v>
      </c>
      <c r="H11644" s="2130">
        <v>120</v>
      </c>
    </row>
    <row r="11645" spans="1:8" s="888" customFormat="1" ht="12.75">
      <c r="A11645" s="1865" t="s">
        <v>8848</v>
      </c>
      <c r="B11645" s="2580" t="s">
        <v>8352</v>
      </c>
      <c r="C11645" s="905" t="s">
        <v>8500</v>
      </c>
      <c r="D11645" s="1058">
        <f t="shared" si="150"/>
        <v>3.9499999999999997</v>
      </c>
      <c r="E11645" s="2582" t="s">
        <v>8858</v>
      </c>
      <c r="F11645" s="1922">
        <f>204+80</f>
        <v>284</v>
      </c>
      <c r="G11645" s="2070">
        <f t="shared" si="151"/>
        <v>0.40084388185654002</v>
      </c>
      <c r="H11645" s="2130">
        <v>120</v>
      </c>
    </row>
    <row r="11646" spans="1:8" s="888" customFormat="1" ht="12.75">
      <c r="A11646" s="1865" t="s">
        <v>8849</v>
      </c>
      <c r="B11646" s="2580" t="s">
        <v>7694</v>
      </c>
      <c r="C11646" s="905">
        <v>10</v>
      </c>
      <c r="D11646" s="1058">
        <f t="shared" si="150"/>
        <v>2.4499999999999997</v>
      </c>
      <c r="E11646" s="2582" t="s">
        <v>8873</v>
      </c>
      <c r="F11646" s="1922">
        <v>176</v>
      </c>
      <c r="G11646" s="2070">
        <f t="shared" si="151"/>
        <v>0.40136054421768708</v>
      </c>
      <c r="H11646" s="2130">
        <v>120</v>
      </c>
    </row>
    <row r="11647" spans="1:8" s="888" customFormat="1" ht="12.75">
      <c r="A11647" s="1865" t="s">
        <v>8849</v>
      </c>
      <c r="B11647" s="2580" t="s">
        <v>8352</v>
      </c>
      <c r="C11647" s="905" t="s">
        <v>8500</v>
      </c>
      <c r="D11647" s="1058">
        <f t="shared" si="150"/>
        <v>3.5599999999999996</v>
      </c>
      <c r="E11647" s="2582" t="s">
        <v>8858</v>
      </c>
      <c r="F11647" s="1922">
        <f>176+80</f>
        <v>256</v>
      </c>
      <c r="G11647" s="2070">
        <f t="shared" si="151"/>
        <v>0.40074906367041191</v>
      </c>
      <c r="H11647" s="2130">
        <v>120</v>
      </c>
    </row>
    <row r="11648" spans="1:8" s="888" customFormat="1" ht="12.75">
      <c r="A11648" s="1865" t="s">
        <v>8850</v>
      </c>
      <c r="B11648" s="2580" t="s">
        <v>7694</v>
      </c>
      <c r="C11648" s="905">
        <v>10</v>
      </c>
      <c r="D11648" s="1058">
        <f t="shared" si="150"/>
        <v>4.0599999999999996</v>
      </c>
      <c r="E11648" s="2582" t="s">
        <v>8874</v>
      </c>
      <c r="F11648" s="1922">
        <v>292</v>
      </c>
      <c r="G11648" s="2070">
        <f t="shared" si="151"/>
        <v>0.40065681444991791</v>
      </c>
      <c r="H11648" s="2130">
        <v>120</v>
      </c>
    </row>
    <row r="11649" spans="1:8" s="888" customFormat="1" ht="12.75">
      <c r="A11649" s="1865" t="s">
        <v>8850</v>
      </c>
      <c r="B11649" s="2580" t="s">
        <v>8352</v>
      </c>
      <c r="C11649" s="905" t="s">
        <v>8500</v>
      </c>
      <c r="D11649" s="1058">
        <f t="shared" si="150"/>
        <v>5.31</v>
      </c>
      <c r="E11649" s="2582" t="s">
        <v>8858</v>
      </c>
      <c r="F11649" s="1922">
        <f>292+90</f>
        <v>382</v>
      </c>
      <c r="G11649" s="2070">
        <f t="shared" si="151"/>
        <v>0.40050219711236662</v>
      </c>
      <c r="H11649" s="2130">
        <v>120</v>
      </c>
    </row>
    <row r="11650" spans="1:8" s="888" customFormat="1" ht="12.75">
      <c r="A11650" s="1865" t="s">
        <v>8851</v>
      </c>
      <c r="B11650" s="2580" t="s">
        <v>7694</v>
      </c>
      <c r="C11650" s="905">
        <v>10</v>
      </c>
      <c r="D11650" s="1058">
        <f t="shared" si="150"/>
        <v>1.85</v>
      </c>
      <c r="E11650" s="2582" t="s">
        <v>8875</v>
      </c>
      <c r="F11650" s="1922">
        <v>133</v>
      </c>
      <c r="G11650" s="2070">
        <f t="shared" si="151"/>
        <v>0.40090090090090091</v>
      </c>
      <c r="H11650" s="2130">
        <v>120</v>
      </c>
    </row>
    <row r="11651" spans="1:8" s="888" customFormat="1" ht="12.75">
      <c r="A11651" s="1865" t="s">
        <v>8851</v>
      </c>
      <c r="B11651" s="2580" t="s">
        <v>8352</v>
      </c>
      <c r="C11651" s="905" t="s">
        <v>8500</v>
      </c>
      <c r="D11651" s="1058">
        <f t="shared" si="150"/>
        <v>3.0999999999999996</v>
      </c>
      <c r="E11651" s="2582" t="s">
        <v>8858</v>
      </c>
      <c r="F11651" s="1922">
        <f>133+90</f>
        <v>223</v>
      </c>
      <c r="G11651" s="2070">
        <f t="shared" si="151"/>
        <v>0.40053763440860207</v>
      </c>
      <c r="H11651" s="2130">
        <v>120</v>
      </c>
    </row>
    <row r="11652" spans="1:8" s="888" customFormat="1" ht="12.75">
      <c r="A11652" s="1865" t="s">
        <v>8852</v>
      </c>
      <c r="B11652" s="2580" t="s">
        <v>7694</v>
      </c>
      <c r="C11652" s="905">
        <v>10</v>
      </c>
      <c r="D11652" s="1058">
        <f t="shared" si="150"/>
        <v>1.02</v>
      </c>
      <c r="E11652" s="2582" t="s">
        <v>8869</v>
      </c>
      <c r="F11652" s="1922">
        <v>73</v>
      </c>
      <c r="G11652" s="2070">
        <f t="shared" si="151"/>
        <v>0.40359477124183013</v>
      </c>
      <c r="H11652" s="2130">
        <v>120</v>
      </c>
    </row>
    <row r="11653" spans="1:8" s="888" customFormat="1" ht="12.75">
      <c r="A11653" s="1865" t="s">
        <v>8852</v>
      </c>
      <c r="B11653" s="2580" t="s">
        <v>8352</v>
      </c>
      <c r="C11653" s="905" t="s">
        <v>8500</v>
      </c>
      <c r="D11653" s="1058">
        <f t="shared" si="150"/>
        <v>1.99</v>
      </c>
      <c r="E11653" s="2582" t="s">
        <v>8858</v>
      </c>
      <c r="F11653" s="1922">
        <f>73+70</f>
        <v>143</v>
      </c>
      <c r="G11653" s="2070">
        <f t="shared" si="151"/>
        <v>0.40117252931323283</v>
      </c>
      <c r="H11653" s="2130">
        <v>120</v>
      </c>
    </row>
    <row r="11654" spans="1:8" s="888" customFormat="1" ht="12.75">
      <c r="A11654" s="1865" t="s">
        <v>8853</v>
      </c>
      <c r="B11654" s="2580" t="s">
        <v>7694</v>
      </c>
      <c r="C11654" s="905">
        <v>10</v>
      </c>
      <c r="D11654" s="1058">
        <f t="shared" si="150"/>
        <v>1.1200000000000001</v>
      </c>
      <c r="E11654" s="2582" t="s">
        <v>8872</v>
      </c>
      <c r="F11654" s="1922">
        <v>80</v>
      </c>
      <c r="G11654" s="2070">
        <f t="shared" si="151"/>
        <v>0.40476190476190488</v>
      </c>
      <c r="H11654" s="2130">
        <v>120</v>
      </c>
    </row>
    <row r="11655" spans="1:8" s="888" customFormat="1" ht="12.75">
      <c r="A11655" s="1865" t="s">
        <v>8853</v>
      </c>
      <c r="B11655" s="2580" t="s">
        <v>8352</v>
      </c>
      <c r="C11655" s="905" t="s">
        <v>8500</v>
      </c>
      <c r="D11655" s="1058">
        <f t="shared" si="150"/>
        <v>2.09</v>
      </c>
      <c r="E11655" s="2582" t="s">
        <v>8858</v>
      </c>
      <c r="F11655" s="1922">
        <f>80+70</f>
        <v>150</v>
      </c>
      <c r="G11655" s="2070">
        <f t="shared" si="151"/>
        <v>0.40191387559808606</v>
      </c>
      <c r="H11655" s="2130">
        <v>120</v>
      </c>
    </row>
    <row r="11656" spans="1:8" s="888" customFormat="1" ht="12.75">
      <c r="A11656" s="1865" t="s">
        <v>576</v>
      </c>
      <c r="B11656" s="2580" t="s">
        <v>7694</v>
      </c>
      <c r="C11656" s="905">
        <v>10</v>
      </c>
      <c r="D11656" s="1058">
        <f t="shared" si="150"/>
        <v>1.31</v>
      </c>
      <c r="E11656" s="2582" t="s">
        <v>8876</v>
      </c>
      <c r="F11656" s="1922">
        <v>94</v>
      </c>
      <c r="G11656" s="2070">
        <f t="shared" si="151"/>
        <v>0.40203562340966925</v>
      </c>
      <c r="H11656" s="2130">
        <v>120</v>
      </c>
    </row>
    <row r="11657" spans="1:8" s="888" customFormat="1" ht="12.75">
      <c r="A11657" s="1865" t="s">
        <v>576</v>
      </c>
      <c r="B11657" s="2580" t="s">
        <v>8352</v>
      </c>
      <c r="C11657" s="905" t="s">
        <v>8500</v>
      </c>
      <c r="D11657" s="1058">
        <f t="shared" si="150"/>
        <v>2.2799999999999998</v>
      </c>
      <c r="E11657" s="2582" t="s">
        <v>8858</v>
      </c>
      <c r="F11657" s="1922">
        <f>94+70</f>
        <v>164</v>
      </c>
      <c r="G11657" s="2070">
        <f t="shared" si="151"/>
        <v>0.40058479532163738</v>
      </c>
      <c r="H11657" s="2130">
        <v>120</v>
      </c>
    </row>
    <row r="11658" spans="1:8" s="888" customFormat="1" ht="12.75">
      <c r="A11658" s="1865" t="s">
        <v>8854</v>
      </c>
      <c r="B11658" s="2580" t="s">
        <v>7694</v>
      </c>
      <c r="C11658" s="905">
        <v>10</v>
      </c>
      <c r="D11658" s="1058">
        <f t="shared" si="150"/>
        <v>1.3800000000000001</v>
      </c>
      <c r="E11658" s="2582" t="s">
        <v>8876</v>
      </c>
      <c r="F11658" s="1922">
        <v>99</v>
      </c>
      <c r="G11658" s="2070">
        <f t="shared" si="151"/>
        <v>0.40217391304347833</v>
      </c>
      <c r="H11658" s="2130">
        <v>120</v>
      </c>
    </row>
    <row r="11659" spans="1:8" s="888" customFormat="1" ht="12.75">
      <c r="A11659" s="1865" t="s">
        <v>8854</v>
      </c>
      <c r="B11659" s="2580" t="s">
        <v>8352</v>
      </c>
      <c r="C11659" s="905" t="s">
        <v>8500</v>
      </c>
      <c r="D11659" s="1058">
        <f t="shared" si="150"/>
        <v>2.3499999999999996</v>
      </c>
      <c r="E11659" s="2582" t="s">
        <v>8858</v>
      </c>
      <c r="F11659" s="1922">
        <f>99+70</f>
        <v>169</v>
      </c>
      <c r="G11659" s="2070">
        <f t="shared" si="151"/>
        <v>0.40070921985815589</v>
      </c>
      <c r="H11659" s="2130">
        <v>120</v>
      </c>
    </row>
    <row r="11660" spans="1:8" s="888" customFormat="1" ht="12.75">
      <c r="A11660" s="1865" t="s">
        <v>7993</v>
      </c>
      <c r="B11660" s="2580" t="s">
        <v>7694</v>
      </c>
      <c r="C11660" s="905">
        <v>10</v>
      </c>
      <c r="D11660" s="1058">
        <f t="shared" si="150"/>
        <v>1.42</v>
      </c>
      <c r="E11660" s="2582" t="s">
        <v>8877</v>
      </c>
      <c r="F11660" s="1922">
        <v>102</v>
      </c>
      <c r="G11660" s="2070">
        <f t="shared" si="151"/>
        <v>0.40140845070422532</v>
      </c>
      <c r="H11660" s="2130">
        <v>120</v>
      </c>
    </row>
    <row r="11661" spans="1:8" s="888" customFormat="1" ht="12.75">
      <c r="A11661" s="1865" t="s">
        <v>7993</v>
      </c>
      <c r="B11661" s="2580" t="s">
        <v>8352</v>
      </c>
      <c r="C11661" s="905" t="s">
        <v>8500</v>
      </c>
      <c r="D11661" s="1058">
        <f t="shared" si="150"/>
        <v>2.3899999999999997</v>
      </c>
      <c r="E11661" s="2582" t="s">
        <v>8858</v>
      </c>
      <c r="F11661" s="1922">
        <f>102+70</f>
        <v>172</v>
      </c>
      <c r="G11661" s="2070">
        <f t="shared" si="151"/>
        <v>0.40027894002789394</v>
      </c>
      <c r="H11661" s="2130">
        <v>120</v>
      </c>
    </row>
    <row r="11662" spans="1:8" s="888" customFormat="1" ht="12.75">
      <c r="A11662" s="1865" t="s">
        <v>8855</v>
      </c>
      <c r="B11662" s="2580" t="s">
        <v>7694</v>
      </c>
      <c r="C11662" s="905">
        <v>10</v>
      </c>
      <c r="D11662" s="1058">
        <f t="shared" si="150"/>
        <v>2.69</v>
      </c>
      <c r="E11662" s="2582" t="s">
        <v>8878</v>
      </c>
      <c r="F11662" s="1922">
        <v>193</v>
      </c>
      <c r="G11662" s="2070">
        <f t="shared" si="151"/>
        <v>0.40210656753407681</v>
      </c>
      <c r="H11662" s="2130">
        <v>120</v>
      </c>
    </row>
    <row r="11663" spans="1:8" s="888" customFormat="1" ht="12.75">
      <c r="A11663" s="1865" t="s">
        <v>8855</v>
      </c>
      <c r="B11663" s="2580" t="s">
        <v>8352</v>
      </c>
      <c r="C11663" s="905" t="s">
        <v>8500</v>
      </c>
      <c r="D11663" s="1058">
        <f t="shared" si="150"/>
        <v>3.8</v>
      </c>
      <c r="E11663" s="2582" t="s">
        <v>8858</v>
      </c>
      <c r="F11663" s="1922">
        <f>193+80</f>
        <v>273</v>
      </c>
      <c r="G11663" s="2070">
        <f t="shared" si="151"/>
        <v>0.40131578947368418</v>
      </c>
      <c r="H11663" s="2130">
        <v>120</v>
      </c>
    </row>
    <row r="11664" spans="1:8" s="888" customFormat="1" ht="12.75">
      <c r="A11664" s="1865" t="s">
        <v>8856</v>
      </c>
      <c r="B11664" s="2580" t="s">
        <v>7694</v>
      </c>
      <c r="C11664" s="905">
        <v>10</v>
      </c>
      <c r="D11664" s="1058">
        <f t="shared" si="150"/>
        <v>3.1999999999999997</v>
      </c>
      <c r="E11664" s="2582" t="s">
        <v>8867</v>
      </c>
      <c r="F11664" s="1922">
        <v>230</v>
      </c>
      <c r="G11664" s="2070">
        <f t="shared" si="151"/>
        <v>0.40104166666666657</v>
      </c>
      <c r="H11664" s="2130">
        <v>120</v>
      </c>
    </row>
    <row r="11665" spans="1:8" s="888" customFormat="1" ht="12.75">
      <c r="A11665" s="1865" t="s">
        <v>8856</v>
      </c>
      <c r="B11665" s="2580" t="s">
        <v>8352</v>
      </c>
      <c r="C11665" s="905" t="s">
        <v>8500</v>
      </c>
      <c r="D11665" s="1058">
        <f t="shared" si="150"/>
        <v>4.3099999999999996</v>
      </c>
      <c r="E11665" s="2582" t="s">
        <v>8858</v>
      </c>
      <c r="F11665" s="1922">
        <f>230+80</f>
        <v>310</v>
      </c>
      <c r="G11665" s="2070">
        <f t="shared" si="151"/>
        <v>0.40061871616395972</v>
      </c>
      <c r="H11665" s="2130">
        <v>120</v>
      </c>
    </row>
    <row r="11670" spans="1:8">
      <c r="A11670" s="887" t="s">
        <v>455</v>
      </c>
      <c r="B11670" s="887" t="s">
        <v>128</v>
      </c>
      <c r="C11670" s="887" t="s">
        <v>1186</v>
      </c>
      <c r="D11670" s="887" t="s">
        <v>1652</v>
      </c>
      <c r="E11670" s="887" t="s">
        <v>1653</v>
      </c>
      <c r="F11670" s="1783" t="s">
        <v>1323</v>
      </c>
    </row>
    <row r="11671" spans="1:8">
      <c r="A11671" s="47" t="s">
        <v>157</v>
      </c>
      <c r="B11671" s="260" t="s">
        <v>7694</v>
      </c>
      <c r="C11671" s="905">
        <v>14</v>
      </c>
      <c r="D11671" s="906">
        <v>1</v>
      </c>
      <c r="E11671" s="905">
        <f>D11671*C11671</f>
        <v>14</v>
      </c>
      <c r="F11671" s="891">
        <v>7.64</v>
      </c>
    </row>
    <row r="11672" spans="1:8">
      <c r="A11672" s="47" t="s">
        <v>2611</v>
      </c>
      <c r="B11672" s="260" t="s">
        <v>7694</v>
      </c>
      <c r="C11672" s="905">
        <v>14</v>
      </c>
      <c r="D11672" s="906">
        <v>1</v>
      </c>
      <c r="E11672" s="905">
        <f>D11672*C11672</f>
        <v>14</v>
      </c>
      <c r="F11672" s="891">
        <v>3.89</v>
      </c>
    </row>
    <row r="11673" spans="1:8">
      <c r="A11673" s="47" t="s">
        <v>7080</v>
      </c>
      <c r="B11673" s="260" t="s">
        <v>7694</v>
      </c>
      <c r="C11673" s="905">
        <v>14</v>
      </c>
      <c r="D11673" s="906">
        <v>1</v>
      </c>
      <c r="E11673" s="905">
        <f>D11673*C11673</f>
        <v>14</v>
      </c>
      <c r="F11673" s="891">
        <v>5.56</v>
      </c>
    </row>
    <row r="11674" spans="1:8">
      <c r="A11674" s="47" t="s">
        <v>8879</v>
      </c>
      <c r="B11674" s="260" t="s">
        <v>7694</v>
      </c>
      <c r="C11674" s="905"/>
      <c r="D11674" s="906"/>
      <c r="E11674" s="905">
        <v>15</v>
      </c>
      <c r="F11674" s="891">
        <v>1.89</v>
      </c>
    </row>
    <row r="11675" spans="1:8">
      <c r="A11675" s="47"/>
      <c r="B11675" s="260" t="s">
        <v>1993</v>
      </c>
      <c r="C11675" s="905"/>
      <c r="D11675" s="906"/>
      <c r="E11675" s="894">
        <v>1</v>
      </c>
      <c r="F11675" s="891">
        <v>24</v>
      </c>
    </row>
    <row r="11678" spans="1:8">
      <c r="A11678" s="887" t="s">
        <v>455</v>
      </c>
      <c r="B11678" s="887" t="s">
        <v>52</v>
      </c>
      <c r="C11678" s="887" t="s">
        <v>128</v>
      </c>
      <c r="D11678" s="887" t="s">
        <v>1186</v>
      </c>
      <c r="E11678" s="887" t="s">
        <v>1652</v>
      </c>
      <c r="F11678" s="887" t="s">
        <v>1653</v>
      </c>
      <c r="G11678" s="1783" t="s">
        <v>1323</v>
      </c>
      <c r="H11678" s="1783" t="s">
        <v>2751</v>
      </c>
    </row>
    <row r="11679" spans="1:8">
      <c r="A11679" s="47">
        <v>3846</v>
      </c>
      <c r="B11679" s="1878">
        <v>10</v>
      </c>
      <c r="C11679" s="47" t="s">
        <v>5468</v>
      </c>
      <c r="D11679" s="905">
        <v>50</v>
      </c>
      <c r="E11679" s="906">
        <v>3</v>
      </c>
      <c r="F11679" s="905">
        <f>D11679*E11679</f>
        <v>150</v>
      </c>
      <c r="G11679" s="891">
        <v>0.84</v>
      </c>
      <c r="H11679" s="1879" t="s">
        <v>3416</v>
      </c>
    </row>
    <row r="11682" spans="1:8">
      <c r="A11682" s="2382" t="s">
        <v>8887</v>
      </c>
    </row>
    <row r="11683" spans="1:8" s="1163" customFormat="1" ht="31.5">
      <c r="A11683" s="2152" t="s">
        <v>1369</v>
      </c>
      <c r="B11683" s="2153" t="s">
        <v>377</v>
      </c>
      <c r="C11683" s="2190" t="s">
        <v>322</v>
      </c>
      <c r="D11683" s="649" t="s">
        <v>1734</v>
      </c>
      <c r="E11683" s="2192" t="s">
        <v>5527</v>
      </c>
      <c r="F11683" s="1958" t="s">
        <v>8360</v>
      </c>
      <c r="G11683" s="2037" t="s">
        <v>6080</v>
      </c>
      <c r="H11683" s="317" t="s">
        <v>6081</v>
      </c>
    </row>
    <row r="11684" spans="1:8" s="1165" customFormat="1" ht="15" customHeight="1">
      <c r="A11684" s="2154" t="s">
        <v>8888</v>
      </c>
      <c r="B11684" s="2155">
        <v>10</v>
      </c>
      <c r="C11684" s="2156">
        <v>50</v>
      </c>
      <c r="D11684" s="2194" t="s">
        <v>1812</v>
      </c>
      <c r="E11684" s="2197">
        <f>ROUNDUP(F11684/0.5/120,2)</f>
        <v>1.07</v>
      </c>
      <c r="F11684" s="2280">
        <v>64</v>
      </c>
      <c r="G11684" s="2070">
        <f>(E11684-(F11684/H11684))/E11684</f>
        <v>0.50155763239875395</v>
      </c>
      <c r="H11684" s="317">
        <v>120</v>
      </c>
    </row>
    <row r="11687" spans="1:8" ht="15">
      <c r="A11687" s="1871" t="s">
        <v>8889</v>
      </c>
      <c r="B11687" s="1871"/>
      <c r="C11687" s="1871"/>
      <c r="D11687" s="1871"/>
      <c r="E11687" s="1871"/>
      <c r="F11687" s="1871"/>
    </row>
    <row r="11688" spans="1:8" s="888" customFormat="1" ht="25.5">
      <c r="A11688" s="887" t="s">
        <v>455</v>
      </c>
      <c r="B11688" s="887" t="s">
        <v>128</v>
      </c>
      <c r="C11688" s="887" t="s">
        <v>8351</v>
      </c>
      <c r="D11688" s="1783" t="s">
        <v>1323</v>
      </c>
      <c r="E11688" s="1783" t="s">
        <v>8904</v>
      </c>
      <c r="F11688" s="1958" t="s">
        <v>8360</v>
      </c>
      <c r="G11688" s="2581" t="s">
        <v>6080</v>
      </c>
      <c r="H11688" s="2130" t="s">
        <v>6081</v>
      </c>
    </row>
    <row r="11689" spans="1:8" s="888" customFormat="1" ht="12.75">
      <c r="A11689" s="1865" t="s">
        <v>8254</v>
      </c>
      <c r="B11689" s="2580" t="s">
        <v>7694</v>
      </c>
      <c r="C11689" s="905">
        <v>10</v>
      </c>
      <c r="D11689" s="1058">
        <f>ROUNDUP(F11689/0.6/120,2)</f>
        <v>3.55</v>
      </c>
      <c r="E11689" s="2582" t="s">
        <v>7260</v>
      </c>
      <c r="F11689" s="1922">
        <v>255</v>
      </c>
      <c r="G11689" s="2070">
        <f t="shared" ref="G11689:G11694" si="152">(D11689-(F11689/H11689))/D11689</f>
        <v>0.40140845070422532</v>
      </c>
      <c r="H11689" s="2130">
        <v>120</v>
      </c>
    </row>
    <row r="11690" spans="1:8" s="888" customFormat="1" ht="12.75">
      <c r="A11690" s="1865" t="s">
        <v>8254</v>
      </c>
      <c r="B11690" s="2580" t="s">
        <v>8352</v>
      </c>
      <c r="C11690" s="905" t="s">
        <v>8500</v>
      </c>
      <c r="D11690" s="1058">
        <f>ROUNDUP(F11690/0.6/120,2)</f>
        <v>4.9399999999999995</v>
      </c>
      <c r="E11690" s="2582" t="s">
        <v>2346</v>
      </c>
      <c r="F11690" s="1922">
        <f>255+100</f>
        <v>355</v>
      </c>
      <c r="G11690" s="2070">
        <f t="shared" si="152"/>
        <v>0.4011470985155195</v>
      </c>
      <c r="H11690" s="2130">
        <v>120</v>
      </c>
    </row>
    <row r="11691" spans="1:8" s="888" customFormat="1" ht="12.75">
      <c r="A11691" s="1865" t="s">
        <v>8900</v>
      </c>
      <c r="B11691" s="2580" t="s">
        <v>7694</v>
      </c>
      <c r="C11691" s="983">
        <v>13.7</v>
      </c>
      <c r="D11691" s="1058">
        <f>ROUNDUP(F11691/0.6/120,2)</f>
        <v>4.87</v>
      </c>
      <c r="E11691" s="2582" t="s">
        <v>8902</v>
      </c>
      <c r="F11691" s="1922">
        <v>350</v>
      </c>
      <c r="G11691" s="2070">
        <f t="shared" si="152"/>
        <v>0.40109514031485288</v>
      </c>
      <c r="H11691" s="2130">
        <v>120</v>
      </c>
    </row>
    <row r="11692" spans="1:8" s="888" customFormat="1" ht="12.75">
      <c r="A11692" s="1865" t="s">
        <v>8900</v>
      </c>
      <c r="B11692" s="2580" t="s">
        <v>8352</v>
      </c>
      <c r="C11692" s="905" t="s">
        <v>8901</v>
      </c>
      <c r="D11692" s="1058">
        <f>ROUNDUP(F11692/0.6/120,2)</f>
        <v>5.7299999999999995</v>
      </c>
      <c r="E11692" s="2582" t="s">
        <v>2346</v>
      </c>
      <c r="F11692" s="1922">
        <f>350+62</f>
        <v>412</v>
      </c>
      <c r="G11692" s="2070">
        <f t="shared" si="152"/>
        <v>0.40081442699243747</v>
      </c>
      <c r="H11692" s="2130">
        <v>120</v>
      </c>
    </row>
    <row r="11693" spans="1:8" s="888" customFormat="1" ht="12.75">
      <c r="A11693" s="1865" t="s">
        <v>8903</v>
      </c>
      <c r="B11693" s="2580" t="s">
        <v>7694</v>
      </c>
      <c r="C11693" s="983">
        <v>13.7</v>
      </c>
      <c r="D11693" s="1058">
        <f>ROUNDUP(F11693/0.65/120,2)</f>
        <v>5.77</v>
      </c>
      <c r="E11693" s="2582" t="s">
        <v>8905</v>
      </c>
      <c r="F11693" s="1922">
        <v>450</v>
      </c>
      <c r="G11693" s="2070">
        <f t="shared" si="152"/>
        <v>0.35008665511265158</v>
      </c>
      <c r="H11693" s="2130">
        <v>120</v>
      </c>
    </row>
    <row r="11694" spans="1:8" s="888" customFormat="1" ht="12.75">
      <c r="A11694" s="1865" t="s">
        <v>8903</v>
      </c>
      <c r="B11694" s="2580" t="s">
        <v>8352</v>
      </c>
      <c r="C11694" s="905" t="s">
        <v>8901</v>
      </c>
      <c r="D11694" s="1058">
        <f>ROUNDUP(F11694/0.65/120,2)</f>
        <v>6.5699999999999994</v>
      </c>
      <c r="E11694" s="2582" t="s">
        <v>2346</v>
      </c>
      <c r="F11694" s="1922">
        <f>450+62</f>
        <v>512</v>
      </c>
      <c r="G11694" s="2070">
        <f t="shared" si="152"/>
        <v>0.35058346017250119</v>
      </c>
      <c r="H11694" s="2130">
        <v>120</v>
      </c>
    </row>
    <row r="11695" spans="1:8" s="888" customFormat="1" ht="12.75">
      <c r="A11695" s="2283"/>
      <c r="B11695" s="895"/>
      <c r="C11695" s="1333"/>
      <c r="D11695" s="2586"/>
      <c r="E11695" s="2587"/>
      <c r="F11695" s="2588"/>
      <c r="G11695" s="2070"/>
      <c r="H11695" s="2130"/>
    </row>
    <row r="11696" spans="1:8" s="888" customFormat="1" ht="12.75">
      <c r="A11696" s="2283"/>
      <c r="B11696" s="895"/>
      <c r="C11696" s="1333"/>
      <c r="D11696" s="2586"/>
      <c r="E11696" s="2587"/>
      <c r="F11696" s="2588"/>
      <c r="G11696" s="2070"/>
      <c r="H11696" s="2130"/>
    </row>
    <row r="11697" spans="1:119" s="888" customFormat="1" ht="12.75">
      <c r="A11697" s="2283"/>
      <c r="B11697" s="895"/>
      <c r="C11697" s="1333"/>
      <c r="D11697" s="2586"/>
      <c r="E11697" s="2587"/>
      <c r="F11697" s="2588"/>
      <c r="G11697" s="2070"/>
      <c r="H11697" s="2130"/>
    </row>
    <row r="11700" spans="1:119" ht="15">
      <c r="A11700" s="1871" t="s">
        <v>8890</v>
      </c>
    </row>
    <row r="11701" spans="1:119" s="1163" customFormat="1" ht="26.25" thickBot="1">
      <c r="A11701" s="1350" t="s">
        <v>1369</v>
      </c>
      <c r="B11701" s="1351" t="s">
        <v>377</v>
      </c>
      <c r="C11701" s="1353" t="s">
        <v>1734</v>
      </c>
      <c r="D11701" s="1966" t="s">
        <v>2264</v>
      </c>
      <c r="E11701" s="1966" t="s">
        <v>1181</v>
      </c>
      <c r="F11701" s="1354" t="s">
        <v>5527</v>
      </c>
      <c r="G11701" s="1958" t="s">
        <v>8360</v>
      </c>
      <c r="H11701" s="2581" t="s">
        <v>6080</v>
      </c>
      <c r="I11701" s="2130" t="s">
        <v>6081</v>
      </c>
    </row>
    <row r="11702" spans="1:119" s="59" customFormat="1" ht="15" customHeight="1">
      <c r="A11702" s="1172">
        <v>3846</v>
      </c>
      <c r="B11702" s="1782">
        <v>10</v>
      </c>
      <c r="C11702" s="1172" t="s">
        <v>8892</v>
      </c>
      <c r="D11702" s="1173" t="s">
        <v>8891</v>
      </c>
      <c r="E11702" s="1173" t="s">
        <v>6110</v>
      </c>
      <c r="F11702" s="1061">
        <f t="shared" ref="F11702:F11725" si="153">ROUNDUP(G11702/0.5/120,2)</f>
        <v>1.07</v>
      </c>
      <c r="G11702" s="2488">
        <v>64</v>
      </c>
      <c r="H11702" s="2070">
        <f t="shared" ref="H11702:H11725" si="154">(F11702-(G11702/I11702))/F11702</f>
        <v>0.50155763239875395</v>
      </c>
      <c r="I11702" s="2130">
        <v>120</v>
      </c>
      <c r="J11702" s="1963"/>
      <c r="K11702" s="1963"/>
      <c r="L11702" s="1963"/>
      <c r="M11702" s="1963"/>
      <c r="N11702" s="1963"/>
      <c r="O11702" s="1963"/>
      <c r="P11702" s="1963"/>
      <c r="Q11702" s="1963"/>
      <c r="R11702" s="1963"/>
      <c r="S11702" s="1963"/>
      <c r="T11702" s="1963"/>
      <c r="U11702" s="1963"/>
      <c r="V11702" s="1963"/>
      <c r="W11702" s="1963"/>
      <c r="X11702" s="1963"/>
      <c r="Y11702" s="1963"/>
      <c r="Z11702" s="1963"/>
      <c r="AA11702" s="1963"/>
      <c r="AB11702" s="1963"/>
      <c r="AC11702" s="1963"/>
      <c r="AD11702" s="1963"/>
      <c r="AE11702" s="1963"/>
      <c r="AF11702" s="1963"/>
      <c r="AG11702" s="1963"/>
      <c r="AH11702" s="1963"/>
      <c r="AI11702" s="1963"/>
      <c r="AJ11702" s="1963"/>
      <c r="AK11702" s="1963"/>
      <c r="AL11702" s="1963"/>
      <c r="AM11702" s="1963"/>
      <c r="AN11702" s="1963"/>
      <c r="AO11702" s="1963"/>
      <c r="AP11702" s="1963"/>
      <c r="AQ11702" s="1963"/>
      <c r="AR11702" s="1963"/>
      <c r="AS11702" s="1963"/>
      <c r="AT11702" s="1963"/>
      <c r="AU11702" s="1963"/>
      <c r="AV11702" s="1963"/>
      <c r="AW11702" s="1963"/>
      <c r="AX11702" s="1963"/>
      <c r="AY11702" s="1963"/>
      <c r="AZ11702" s="1963"/>
      <c r="BA11702" s="1963"/>
      <c r="BB11702" s="1963"/>
      <c r="BC11702" s="1963"/>
    </row>
    <row r="11703" spans="1:119" s="59" customFormat="1" ht="15" customHeight="1">
      <c r="A11703" s="1172">
        <v>3846</v>
      </c>
      <c r="B11703" s="1782">
        <v>15</v>
      </c>
      <c r="C11703" s="1172" t="s">
        <v>8892</v>
      </c>
      <c r="D11703" s="1173" t="s">
        <v>8891</v>
      </c>
      <c r="E11703" s="1173" t="s">
        <v>6110</v>
      </c>
      <c r="F11703" s="1061">
        <f t="shared" si="153"/>
        <v>1.17</v>
      </c>
      <c r="G11703" s="2491">
        <v>70</v>
      </c>
      <c r="H11703" s="2070">
        <f t="shared" si="154"/>
        <v>0.50142450142450135</v>
      </c>
      <c r="I11703" s="2130">
        <v>120</v>
      </c>
      <c r="J11703" s="1963"/>
      <c r="K11703" s="1963"/>
      <c r="L11703" s="1963"/>
      <c r="M11703" s="1963"/>
      <c r="N11703" s="1963"/>
      <c r="O11703" s="1963"/>
      <c r="P11703" s="1963"/>
      <c r="Q11703" s="1963"/>
      <c r="R11703" s="1963"/>
      <c r="S11703" s="1963"/>
      <c r="T11703" s="1963"/>
      <c r="U11703" s="1963"/>
      <c r="V11703" s="1963"/>
      <c r="W11703" s="1963"/>
      <c r="X11703" s="1963"/>
      <c r="Y11703" s="1963"/>
      <c r="Z11703" s="1963"/>
      <c r="AA11703" s="1963"/>
      <c r="AB11703" s="1963"/>
      <c r="AC11703" s="1963"/>
      <c r="AD11703" s="1963"/>
      <c r="AE11703" s="1963"/>
      <c r="AF11703" s="1963"/>
      <c r="AG11703" s="1963"/>
      <c r="AH11703" s="1963"/>
      <c r="AI11703" s="1963"/>
      <c r="AJ11703" s="1963"/>
      <c r="AK11703" s="1963"/>
      <c r="AL11703" s="1963"/>
      <c r="AM11703" s="1963"/>
      <c r="AN11703" s="1963"/>
      <c r="AO11703" s="1963"/>
      <c r="AP11703" s="1963"/>
      <c r="AQ11703" s="1963"/>
      <c r="AR11703" s="1963"/>
      <c r="AS11703" s="1963"/>
      <c r="AT11703" s="1963"/>
      <c r="AU11703" s="1963"/>
      <c r="AV11703" s="1963"/>
      <c r="AW11703" s="1963"/>
      <c r="AX11703" s="1963"/>
      <c r="AY11703" s="1963"/>
      <c r="AZ11703" s="1963"/>
      <c r="BA11703" s="1963"/>
      <c r="BB11703" s="1963"/>
      <c r="BC11703" s="1963"/>
    </row>
    <row r="11704" spans="1:119" s="59" customFormat="1" ht="15" customHeight="1">
      <c r="A11704" s="1172">
        <v>3846</v>
      </c>
      <c r="B11704" s="1782">
        <v>20</v>
      </c>
      <c r="C11704" s="1172" t="s">
        <v>8892</v>
      </c>
      <c r="D11704" s="1173" t="s">
        <v>8891</v>
      </c>
      <c r="E11704" s="1173" t="s">
        <v>6110</v>
      </c>
      <c r="F11704" s="1061">
        <f t="shared" si="153"/>
        <v>1.39</v>
      </c>
      <c r="G11704" s="2491">
        <v>83</v>
      </c>
      <c r="H11704" s="2070">
        <f t="shared" si="154"/>
        <v>0.50239808153477217</v>
      </c>
      <c r="I11704" s="2130">
        <v>120</v>
      </c>
      <c r="J11704" s="1963"/>
      <c r="K11704" s="1963"/>
      <c r="L11704" s="1963"/>
      <c r="M11704" s="1963"/>
      <c r="N11704" s="1963"/>
      <c r="O11704" s="1963"/>
      <c r="P11704" s="1963"/>
      <c r="Q11704" s="1963"/>
      <c r="R11704" s="1963"/>
      <c r="S11704" s="1963"/>
      <c r="T11704" s="1963"/>
      <c r="U11704" s="1963"/>
      <c r="V11704" s="1963"/>
      <c r="W11704" s="1963"/>
      <c r="X11704" s="1963"/>
      <c r="Y11704" s="1963"/>
      <c r="Z11704" s="1963"/>
      <c r="AA11704" s="1963"/>
      <c r="AB11704" s="1963"/>
      <c r="AC11704" s="1963"/>
      <c r="AD11704" s="1963"/>
      <c r="AE11704" s="1963"/>
      <c r="AF11704" s="1963"/>
      <c r="AG11704" s="1963"/>
      <c r="AH11704" s="1963"/>
      <c r="AI11704" s="1963"/>
      <c r="AJ11704" s="1963"/>
      <c r="AK11704" s="1963"/>
      <c r="AL11704" s="1963"/>
      <c r="AM11704" s="1963"/>
      <c r="AN11704" s="1963"/>
      <c r="AO11704" s="1963"/>
      <c r="AP11704" s="1963"/>
      <c r="AQ11704" s="1963"/>
      <c r="AR11704" s="1963"/>
      <c r="AS11704" s="1963"/>
      <c r="AT11704" s="1963"/>
      <c r="AU11704" s="1963"/>
      <c r="AV11704" s="1963"/>
      <c r="AW11704" s="1963"/>
      <c r="AX11704" s="1963"/>
      <c r="AY11704" s="1963"/>
      <c r="AZ11704" s="1963"/>
      <c r="BA11704" s="1963"/>
      <c r="BB11704" s="1963"/>
      <c r="BC11704" s="1963"/>
      <c r="BD11704" s="1963"/>
    </row>
    <row r="11705" spans="1:119" s="59" customFormat="1" ht="15" customHeight="1">
      <c r="A11705" s="1172">
        <v>3846</v>
      </c>
      <c r="B11705" s="1782">
        <v>25</v>
      </c>
      <c r="C11705" s="1172" t="s">
        <v>8892</v>
      </c>
      <c r="D11705" s="1173" t="s">
        <v>8891</v>
      </c>
      <c r="E11705" s="1173" t="s">
        <v>6110</v>
      </c>
      <c r="F11705" s="1061">
        <f t="shared" si="153"/>
        <v>1.69</v>
      </c>
      <c r="G11705" s="2491">
        <v>101</v>
      </c>
      <c r="H11705" s="2070">
        <f t="shared" si="154"/>
        <v>0.50197238658777121</v>
      </c>
      <c r="I11705" s="2130">
        <v>120</v>
      </c>
      <c r="J11705" s="1963"/>
      <c r="K11705" s="1963"/>
      <c r="L11705" s="1963"/>
      <c r="M11705" s="1963"/>
      <c r="N11705" s="1963"/>
      <c r="O11705" s="1963"/>
      <c r="P11705" s="1963"/>
      <c r="Q11705" s="1963"/>
      <c r="R11705" s="1963"/>
      <c r="S11705" s="1963"/>
      <c r="T11705" s="1963"/>
      <c r="U11705" s="1963"/>
      <c r="V11705" s="1963"/>
      <c r="W11705" s="1963"/>
      <c r="X11705" s="1963"/>
      <c r="Y11705" s="1963"/>
      <c r="Z11705" s="1963"/>
      <c r="AA11705" s="1963"/>
      <c r="AB11705" s="1963"/>
      <c r="AC11705" s="1963"/>
      <c r="AD11705" s="1963"/>
      <c r="AE11705" s="1963"/>
      <c r="AF11705" s="1963"/>
      <c r="AG11705" s="1963"/>
      <c r="AH11705" s="1963"/>
      <c r="AI11705" s="1963"/>
      <c r="AJ11705" s="1963"/>
      <c r="AK11705" s="1963"/>
      <c r="AL11705" s="1963"/>
      <c r="AM11705" s="1963"/>
      <c r="AN11705" s="1963"/>
      <c r="AO11705" s="1963"/>
      <c r="AP11705" s="1963"/>
      <c r="AQ11705" s="1963"/>
      <c r="AR11705" s="1963"/>
      <c r="AS11705" s="1963"/>
      <c r="AT11705" s="1963"/>
      <c r="AU11705" s="1963"/>
      <c r="AV11705" s="1963"/>
      <c r="AW11705" s="1963"/>
      <c r="AX11705" s="1963"/>
      <c r="AY11705" s="1963"/>
      <c r="AZ11705" s="1963"/>
      <c r="BA11705" s="1963"/>
      <c r="BB11705" s="1963"/>
      <c r="BC11705" s="1963"/>
      <c r="BD11705" s="1963"/>
    </row>
    <row r="11706" spans="1:119" s="59" customFormat="1" ht="15" customHeight="1">
      <c r="A11706" s="1172">
        <v>3846</v>
      </c>
      <c r="B11706" s="1782">
        <v>30</v>
      </c>
      <c r="C11706" s="1172" t="s">
        <v>8892</v>
      </c>
      <c r="D11706" s="1173" t="s">
        <v>8891</v>
      </c>
      <c r="E11706" s="1173" t="s">
        <v>6110</v>
      </c>
      <c r="F11706" s="1061">
        <f t="shared" si="153"/>
        <v>1.95</v>
      </c>
      <c r="G11706" s="2491">
        <v>117</v>
      </c>
      <c r="H11706" s="2070">
        <f t="shared" si="154"/>
        <v>0.5</v>
      </c>
      <c r="I11706" s="2130">
        <v>120</v>
      </c>
      <c r="J11706" s="1963"/>
      <c r="K11706" s="1963"/>
      <c r="L11706" s="1963"/>
      <c r="M11706" s="1963"/>
      <c r="N11706" s="1963"/>
      <c r="O11706" s="1963"/>
      <c r="P11706" s="1963"/>
      <c r="Q11706" s="1963"/>
      <c r="R11706" s="1963"/>
      <c r="S11706" s="1963"/>
      <c r="T11706" s="1963"/>
      <c r="U11706" s="1963"/>
      <c r="V11706" s="1963"/>
      <c r="W11706" s="1963"/>
      <c r="X11706" s="1963"/>
      <c r="Y11706" s="1963"/>
      <c r="Z11706" s="1963"/>
      <c r="AA11706" s="1963"/>
      <c r="AB11706" s="1963"/>
      <c r="AC11706" s="1963"/>
      <c r="AD11706" s="1963"/>
      <c r="AE11706" s="1963"/>
      <c r="AF11706" s="1963"/>
      <c r="AG11706" s="1963"/>
      <c r="AH11706" s="1963"/>
      <c r="AI11706" s="1963"/>
      <c r="AJ11706" s="1963"/>
      <c r="AK11706" s="1963"/>
      <c r="AL11706" s="1963"/>
      <c r="AM11706" s="1963"/>
      <c r="AN11706" s="1963"/>
      <c r="AO11706" s="1963"/>
      <c r="AP11706" s="1963"/>
      <c r="AQ11706" s="1963"/>
      <c r="AR11706" s="1963"/>
      <c r="AS11706" s="1963"/>
      <c r="AT11706" s="1963"/>
      <c r="AU11706" s="1963"/>
      <c r="AV11706" s="1963"/>
      <c r="AW11706" s="1963"/>
      <c r="AX11706" s="1963"/>
      <c r="AY11706" s="1963"/>
      <c r="AZ11706" s="1963"/>
      <c r="BA11706" s="1963"/>
      <c r="BB11706" s="1963"/>
      <c r="BC11706" s="1963"/>
      <c r="BD11706" s="1963"/>
    </row>
    <row r="11707" spans="1:119" s="59" customFormat="1" ht="15" customHeight="1">
      <c r="A11707" s="1172">
        <v>3846</v>
      </c>
      <c r="B11707" s="1782">
        <v>38</v>
      </c>
      <c r="C11707" s="1172" t="s">
        <v>8892</v>
      </c>
      <c r="D11707" s="1173" t="s">
        <v>8891</v>
      </c>
      <c r="E11707" s="1173" t="s">
        <v>6110</v>
      </c>
      <c r="F11707" s="1061">
        <f t="shared" si="153"/>
        <v>2.3199999999999998</v>
      </c>
      <c r="G11707" s="2491">
        <v>139</v>
      </c>
      <c r="H11707" s="2070">
        <f t="shared" si="154"/>
        <v>0.50071839080459757</v>
      </c>
      <c r="I11707" s="2130">
        <v>120</v>
      </c>
      <c r="J11707" s="1963"/>
      <c r="K11707" s="1963"/>
      <c r="L11707" s="1963"/>
      <c r="M11707" s="1963"/>
      <c r="N11707" s="1963"/>
      <c r="O11707" s="1963"/>
      <c r="P11707" s="1963"/>
      <c r="Q11707" s="1963"/>
      <c r="R11707" s="1963"/>
      <c r="S11707" s="1963"/>
      <c r="T11707" s="1963"/>
      <c r="U11707" s="1963"/>
      <c r="V11707" s="1963"/>
      <c r="W11707" s="1963"/>
      <c r="X11707" s="1963"/>
      <c r="Y11707" s="1963"/>
      <c r="Z11707" s="1963"/>
      <c r="AA11707" s="1963"/>
      <c r="AB11707" s="1963"/>
      <c r="AC11707" s="1963"/>
      <c r="AD11707" s="1963"/>
      <c r="AE11707" s="1963"/>
      <c r="AF11707" s="1963"/>
      <c r="AG11707" s="1963"/>
      <c r="AH11707" s="1963"/>
      <c r="AI11707" s="1963"/>
      <c r="AJ11707" s="1963"/>
      <c r="AK11707" s="1963"/>
      <c r="AL11707" s="1963"/>
      <c r="AM11707" s="1963"/>
      <c r="AN11707" s="1963"/>
      <c r="AO11707" s="1963"/>
      <c r="AP11707" s="1963"/>
      <c r="AQ11707" s="1963"/>
      <c r="AR11707" s="1963"/>
      <c r="AS11707" s="1963"/>
      <c r="AT11707" s="1963"/>
      <c r="AU11707" s="1963"/>
      <c r="AV11707" s="1963"/>
      <c r="AW11707" s="1963"/>
      <c r="AX11707" s="1963"/>
      <c r="AY11707" s="1963"/>
      <c r="AZ11707" s="1963"/>
      <c r="BA11707" s="1963"/>
      <c r="BB11707" s="1963"/>
      <c r="BC11707" s="1963"/>
      <c r="BD11707" s="1963"/>
    </row>
    <row r="11708" spans="1:119" s="59" customFormat="1" ht="15" customHeight="1" thickBot="1">
      <c r="A11708" s="1172">
        <v>3846</v>
      </c>
      <c r="B11708" s="1782">
        <v>50</v>
      </c>
      <c r="C11708" s="1172" t="s">
        <v>8892</v>
      </c>
      <c r="D11708" s="1173" t="s">
        <v>8891</v>
      </c>
      <c r="E11708" s="1173" t="s">
        <v>6110</v>
      </c>
      <c r="F11708" s="1061">
        <f t="shared" si="153"/>
        <v>2.92</v>
      </c>
      <c r="G11708" s="2585">
        <v>175</v>
      </c>
      <c r="H11708" s="2070">
        <f t="shared" si="154"/>
        <v>0.50057077625570778</v>
      </c>
      <c r="I11708" s="2130">
        <v>120</v>
      </c>
      <c r="J11708" s="1963"/>
      <c r="K11708" s="1963"/>
      <c r="L11708" s="1963"/>
      <c r="M11708" s="1963"/>
      <c r="N11708" s="1963"/>
      <c r="O11708" s="1963"/>
      <c r="P11708" s="1963"/>
      <c r="Q11708" s="1963"/>
      <c r="R11708" s="1963"/>
      <c r="S11708" s="1963"/>
      <c r="T11708" s="1963"/>
      <c r="U11708" s="1963"/>
      <c r="V11708" s="1963"/>
      <c r="W11708" s="1963"/>
      <c r="X11708" s="1963"/>
      <c r="Y11708" s="1963"/>
      <c r="Z11708" s="1963"/>
      <c r="AA11708" s="1963"/>
      <c r="AB11708" s="1963"/>
      <c r="AC11708" s="1963"/>
      <c r="AD11708" s="1963"/>
      <c r="AE11708" s="1963"/>
      <c r="AF11708" s="1963"/>
      <c r="AG11708" s="1963"/>
      <c r="AH11708" s="1963"/>
      <c r="AI11708" s="1963"/>
      <c r="AJ11708" s="1963"/>
      <c r="AK11708" s="1963"/>
      <c r="AL11708" s="1963"/>
      <c r="AM11708" s="1963"/>
      <c r="AN11708" s="1963"/>
      <c r="AO11708" s="1963"/>
      <c r="AP11708" s="1963"/>
      <c r="AQ11708" s="1963"/>
      <c r="AR11708" s="1963"/>
      <c r="AS11708" s="1963"/>
      <c r="AT11708" s="1963"/>
      <c r="AU11708" s="1963"/>
      <c r="AV11708" s="1963"/>
      <c r="AW11708" s="1963"/>
      <c r="AX11708" s="1963"/>
      <c r="AY11708" s="1963"/>
      <c r="AZ11708" s="1963"/>
      <c r="BA11708" s="1963"/>
      <c r="BB11708" s="1963"/>
      <c r="BC11708" s="1963"/>
      <c r="BD11708" s="1963"/>
    </row>
    <row r="11709" spans="1:119" s="59" customFormat="1" ht="15" customHeight="1">
      <c r="A11709" s="1170" t="s">
        <v>8894</v>
      </c>
      <c r="B11709" s="1187">
        <v>7</v>
      </c>
      <c r="C11709" s="1172" t="s">
        <v>8893</v>
      </c>
      <c r="D11709" s="1967" t="s">
        <v>8898</v>
      </c>
      <c r="E11709" s="1967" t="s">
        <v>8896</v>
      </c>
      <c r="F11709" s="1061">
        <f t="shared" si="153"/>
        <v>0.23</v>
      </c>
      <c r="G11709" s="734">
        <v>13.7</v>
      </c>
      <c r="H11709" s="2070">
        <f t="shared" si="154"/>
        <v>0.50362318840579712</v>
      </c>
      <c r="I11709" s="2130">
        <v>120</v>
      </c>
      <c r="J11709" s="1963"/>
      <c r="K11709" s="1963"/>
      <c r="L11709" s="1963"/>
      <c r="M11709" s="1963"/>
      <c r="N11709" s="1963"/>
      <c r="O11709" s="1963"/>
      <c r="P11709" s="1963"/>
      <c r="Q11709" s="1963"/>
      <c r="R11709" s="1963"/>
      <c r="S11709" s="1963"/>
      <c r="T11709" s="1963"/>
      <c r="U11709" s="1963"/>
      <c r="V11709" s="1963"/>
      <c r="W11709" s="1963"/>
      <c r="X11709" s="1963"/>
      <c r="Y11709" s="1963"/>
      <c r="Z11709" s="1963"/>
      <c r="AA11709" s="1963"/>
      <c r="AB11709" s="1963"/>
      <c r="AC11709" s="1963"/>
      <c r="AD11709" s="1963"/>
      <c r="AE11709" s="1963"/>
      <c r="AF11709" s="1963"/>
      <c r="AG11709" s="1963"/>
      <c r="AH11709" s="1963"/>
      <c r="AI11709" s="1963"/>
      <c r="AJ11709" s="1963"/>
      <c r="AK11709" s="1963"/>
      <c r="AL11709" s="1963"/>
      <c r="AM11709" s="1963"/>
      <c r="AN11709" s="1963"/>
      <c r="AO11709" s="1963"/>
      <c r="AP11709" s="1963"/>
      <c r="AQ11709" s="1963"/>
      <c r="AR11709" s="1963"/>
      <c r="AS11709" s="1963"/>
      <c r="AT11709" s="1963"/>
      <c r="AU11709" s="1963"/>
      <c r="AV11709" s="1963"/>
      <c r="AW11709" s="1963"/>
      <c r="AX11709" s="1963"/>
      <c r="AY11709" s="1963"/>
      <c r="AZ11709" s="1963"/>
      <c r="BA11709" s="1963"/>
      <c r="BB11709" s="1963"/>
      <c r="BC11709" s="1963"/>
      <c r="BD11709" s="1963"/>
      <c r="BE11709" s="1963"/>
      <c r="BF11709" s="1963"/>
      <c r="BG11709" s="1963"/>
      <c r="BH11709" s="1963"/>
      <c r="BI11709" s="1963"/>
      <c r="BJ11709" s="1963"/>
      <c r="BK11709" s="1963"/>
      <c r="BL11709" s="1963"/>
      <c r="BM11709" s="1963"/>
      <c r="BN11709" s="1963"/>
      <c r="BO11709" s="1963"/>
      <c r="BP11709" s="1963"/>
      <c r="BQ11709" s="1963"/>
      <c r="BR11709" s="1963"/>
      <c r="BS11709" s="1963"/>
      <c r="BT11709" s="1963"/>
      <c r="BU11709" s="1963"/>
      <c r="BV11709" s="1963"/>
      <c r="BW11709" s="1963"/>
      <c r="BX11709" s="1963"/>
      <c r="BY11709" s="1963"/>
      <c r="BZ11709" s="1963"/>
      <c r="CA11709" s="1963"/>
      <c r="CB11709" s="1963"/>
      <c r="CC11709" s="1963"/>
      <c r="CD11709" s="1963"/>
      <c r="CE11709" s="1963"/>
      <c r="CF11709" s="1963"/>
      <c r="CG11709" s="1963"/>
      <c r="CH11709" s="1963"/>
      <c r="CI11709" s="1963"/>
      <c r="CJ11709" s="1963"/>
      <c r="CK11709" s="1963"/>
      <c r="CL11709" s="1963"/>
      <c r="CM11709" s="1963"/>
      <c r="CN11709" s="1963"/>
      <c r="CO11709" s="1963"/>
      <c r="CP11709" s="1963"/>
      <c r="CQ11709" s="1963"/>
      <c r="CR11709" s="1963"/>
      <c r="CS11709" s="1963"/>
      <c r="CT11709" s="1963"/>
      <c r="CU11709" s="1963"/>
      <c r="CV11709" s="1963"/>
      <c r="CW11709" s="1963"/>
      <c r="CX11709" s="1963"/>
      <c r="CY11709" s="1963"/>
      <c r="CZ11709" s="1963"/>
      <c r="DA11709" s="1963"/>
      <c r="DB11709" s="1963"/>
      <c r="DC11709" s="1963"/>
      <c r="DD11709" s="1963"/>
      <c r="DE11709" s="1963"/>
      <c r="DF11709" s="1963"/>
      <c r="DG11709" s="1963"/>
      <c r="DH11709" s="1963"/>
      <c r="DI11709" s="1963"/>
      <c r="DJ11709" s="1963"/>
      <c r="DK11709" s="1963"/>
      <c r="DL11709" s="1963"/>
      <c r="DM11709" s="1963"/>
      <c r="DN11709" s="1963"/>
      <c r="DO11709" s="1963"/>
    </row>
    <row r="11710" spans="1:119" s="59" customFormat="1" ht="15" customHeight="1">
      <c r="A11710" s="1170" t="s">
        <v>8894</v>
      </c>
      <c r="B11710" s="1187">
        <v>10</v>
      </c>
      <c r="C11710" s="1172" t="s">
        <v>8893</v>
      </c>
      <c r="D11710" s="1967" t="s">
        <v>8898</v>
      </c>
      <c r="E11710" s="1967" t="s">
        <v>8896</v>
      </c>
      <c r="F11710" s="1061">
        <f t="shared" si="153"/>
        <v>0.29000000000000004</v>
      </c>
      <c r="G11710" s="734">
        <v>16.933333300000001</v>
      </c>
      <c r="H11710" s="2070">
        <f t="shared" si="154"/>
        <v>0.51340996264367822</v>
      </c>
      <c r="I11710" s="2130">
        <v>120</v>
      </c>
      <c r="J11710" s="1963"/>
      <c r="K11710" s="1963"/>
      <c r="L11710" s="1963"/>
      <c r="M11710" s="1963"/>
      <c r="N11710" s="1963"/>
      <c r="O11710" s="1963"/>
      <c r="P11710" s="1963"/>
      <c r="Q11710" s="1963"/>
      <c r="R11710" s="1963"/>
      <c r="S11710" s="1963"/>
      <c r="T11710" s="1963"/>
      <c r="U11710" s="1963"/>
      <c r="V11710" s="1963"/>
      <c r="W11710" s="1963"/>
      <c r="X11710" s="1963"/>
      <c r="Y11710" s="1963"/>
      <c r="Z11710" s="1963"/>
      <c r="AA11710" s="1963"/>
      <c r="AB11710" s="1963"/>
      <c r="AC11710" s="1963"/>
      <c r="AD11710" s="1963"/>
      <c r="AE11710" s="1963"/>
      <c r="AF11710" s="1963"/>
      <c r="AG11710" s="1963"/>
      <c r="AH11710" s="1963"/>
      <c r="AI11710" s="1963"/>
      <c r="AJ11710" s="1963"/>
      <c r="AK11710" s="1963"/>
      <c r="AL11710" s="1963"/>
      <c r="AM11710" s="1963"/>
      <c r="AN11710" s="1963"/>
      <c r="AO11710" s="1963"/>
      <c r="AP11710" s="1963"/>
      <c r="AQ11710" s="1963"/>
      <c r="AR11710" s="1963"/>
      <c r="AS11710" s="1963"/>
      <c r="AT11710" s="1963"/>
      <c r="AU11710" s="1963"/>
      <c r="AV11710" s="1963"/>
      <c r="AW11710" s="1963"/>
      <c r="AX11710" s="1963"/>
      <c r="AY11710" s="1963"/>
      <c r="AZ11710" s="1963"/>
      <c r="BA11710" s="1963"/>
      <c r="BB11710" s="1963"/>
      <c r="BC11710" s="1963"/>
      <c r="BD11710" s="1963"/>
      <c r="BE11710" s="1963"/>
      <c r="BF11710" s="1963"/>
      <c r="BG11710" s="1963"/>
      <c r="BH11710" s="1963"/>
      <c r="BI11710" s="1963"/>
      <c r="BJ11710" s="1963"/>
      <c r="BK11710" s="1963"/>
      <c r="BL11710" s="1963"/>
      <c r="BM11710" s="1963"/>
      <c r="BN11710" s="1963"/>
      <c r="BO11710" s="1963"/>
      <c r="BP11710" s="1963"/>
      <c r="BQ11710" s="1963"/>
      <c r="BR11710" s="1963"/>
      <c r="BS11710" s="1963"/>
      <c r="BT11710" s="1963"/>
      <c r="BU11710" s="1963"/>
      <c r="BV11710" s="1963"/>
      <c r="BW11710" s="1963"/>
      <c r="BX11710" s="1963"/>
      <c r="BY11710" s="1963"/>
      <c r="BZ11710" s="1963"/>
      <c r="CA11710" s="1963"/>
      <c r="CB11710" s="1963"/>
      <c r="CC11710" s="1963"/>
      <c r="CD11710" s="1963"/>
      <c r="CE11710" s="1963"/>
      <c r="CF11710" s="1963"/>
      <c r="CG11710" s="1963"/>
      <c r="CH11710" s="1963"/>
      <c r="CI11710" s="1963"/>
      <c r="CJ11710" s="1963"/>
      <c r="CK11710" s="1963"/>
      <c r="CL11710" s="1963"/>
      <c r="CM11710" s="1963"/>
      <c r="CN11710" s="1963"/>
      <c r="CO11710" s="1963"/>
      <c r="CP11710" s="1963"/>
      <c r="CQ11710" s="1963"/>
      <c r="CR11710" s="1963"/>
      <c r="CS11710" s="1963"/>
      <c r="CT11710" s="1963"/>
      <c r="CU11710" s="1963"/>
      <c r="CV11710" s="1963"/>
      <c r="CW11710" s="1963"/>
      <c r="CX11710" s="1963"/>
      <c r="CY11710" s="1963"/>
      <c r="CZ11710" s="1963"/>
      <c r="DA11710" s="1963"/>
      <c r="DB11710" s="1963"/>
      <c r="DC11710" s="1963"/>
      <c r="DD11710" s="1963"/>
      <c r="DE11710" s="1963"/>
      <c r="DF11710" s="1963"/>
      <c r="DG11710" s="1963"/>
      <c r="DH11710" s="1963"/>
      <c r="DI11710" s="1963"/>
      <c r="DJ11710" s="1963"/>
      <c r="DK11710" s="1963"/>
      <c r="DL11710" s="1963"/>
      <c r="DM11710" s="1963"/>
      <c r="DN11710" s="1963"/>
      <c r="DO11710" s="1963"/>
    </row>
    <row r="11711" spans="1:119" s="59" customFormat="1" ht="15" customHeight="1">
      <c r="A11711" s="1170" t="s">
        <v>8894</v>
      </c>
      <c r="B11711" s="1187">
        <v>13</v>
      </c>
      <c r="C11711" s="1172" t="s">
        <v>8893</v>
      </c>
      <c r="D11711" s="1967" t="s">
        <v>8898</v>
      </c>
      <c r="E11711" s="1967" t="s">
        <v>8896</v>
      </c>
      <c r="F11711" s="1061">
        <f t="shared" si="153"/>
        <v>0.34</v>
      </c>
      <c r="G11711" s="734">
        <v>19.866666599999999</v>
      </c>
      <c r="H11711" s="2070">
        <f t="shared" si="154"/>
        <v>0.51307189705882361</v>
      </c>
      <c r="I11711" s="2130">
        <v>120</v>
      </c>
      <c r="J11711" s="1963"/>
      <c r="K11711" s="1963"/>
      <c r="L11711" s="1963"/>
      <c r="M11711" s="1963"/>
      <c r="N11711" s="1963"/>
      <c r="O11711" s="1963"/>
      <c r="P11711" s="1963"/>
      <c r="Q11711" s="1963"/>
      <c r="R11711" s="1963"/>
      <c r="S11711" s="1963"/>
      <c r="T11711" s="1963"/>
      <c r="U11711" s="1963"/>
      <c r="V11711" s="1963"/>
      <c r="W11711" s="1963"/>
      <c r="X11711" s="1963"/>
      <c r="Y11711" s="1963"/>
      <c r="Z11711" s="1963"/>
      <c r="AA11711" s="1963"/>
      <c r="AB11711" s="1963"/>
      <c r="AC11711" s="1963"/>
      <c r="AD11711" s="1963"/>
      <c r="AE11711" s="1963"/>
      <c r="AF11711" s="1963"/>
      <c r="AG11711" s="1963"/>
      <c r="AH11711" s="1963"/>
      <c r="AI11711" s="1963"/>
      <c r="AJ11711" s="1963"/>
      <c r="AK11711" s="1963"/>
      <c r="AL11711" s="1963"/>
      <c r="AM11711" s="1963"/>
      <c r="AN11711" s="1963"/>
      <c r="AO11711" s="1963"/>
      <c r="AP11711" s="1963"/>
      <c r="AQ11711" s="1963"/>
      <c r="AR11711" s="1963"/>
      <c r="AS11711" s="1963"/>
      <c r="AT11711" s="1963"/>
      <c r="AU11711" s="1963"/>
      <c r="AV11711" s="1963"/>
      <c r="AW11711" s="1963"/>
      <c r="AX11711" s="1963"/>
      <c r="AY11711" s="1963"/>
      <c r="AZ11711" s="1963"/>
      <c r="BA11711" s="1963"/>
      <c r="BB11711" s="1963"/>
      <c r="BC11711" s="1963"/>
      <c r="BD11711" s="1963"/>
      <c r="BE11711" s="1963"/>
      <c r="BF11711" s="1963"/>
      <c r="BG11711" s="1963"/>
      <c r="BH11711" s="1963"/>
      <c r="BI11711" s="1963"/>
      <c r="BJ11711" s="1963"/>
      <c r="BK11711" s="1963"/>
      <c r="BL11711" s="1963"/>
      <c r="BM11711" s="1963"/>
      <c r="BN11711" s="1963"/>
      <c r="BO11711" s="1963"/>
      <c r="BP11711" s="1963"/>
      <c r="BQ11711" s="1963"/>
      <c r="BR11711" s="1963"/>
      <c r="BS11711" s="1963"/>
      <c r="BT11711" s="1963"/>
      <c r="BU11711" s="1963"/>
      <c r="BV11711" s="1963"/>
      <c r="BW11711" s="1963"/>
      <c r="BX11711" s="1963"/>
      <c r="BY11711" s="1963"/>
      <c r="BZ11711" s="1963"/>
      <c r="CA11711" s="1963"/>
      <c r="CB11711" s="1963"/>
      <c r="CC11711" s="1963"/>
      <c r="CD11711" s="1963"/>
      <c r="CE11711" s="1963"/>
      <c r="CF11711" s="1963"/>
      <c r="CG11711" s="1963"/>
      <c r="CH11711" s="1963"/>
      <c r="CI11711" s="1963"/>
      <c r="CJ11711" s="1963"/>
      <c r="CK11711" s="1963"/>
      <c r="CL11711" s="1963"/>
      <c r="CM11711" s="1963"/>
      <c r="CN11711" s="1963"/>
      <c r="CO11711" s="1963"/>
      <c r="CP11711" s="1963"/>
      <c r="CQ11711" s="1963"/>
      <c r="CR11711" s="1963"/>
      <c r="CS11711" s="1963"/>
      <c r="CT11711" s="1963"/>
      <c r="CU11711" s="1963"/>
      <c r="CV11711" s="1963"/>
      <c r="CW11711" s="1963"/>
      <c r="CX11711" s="1963"/>
      <c r="CY11711" s="1963"/>
      <c r="CZ11711" s="1963"/>
      <c r="DA11711" s="1963"/>
      <c r="DB11711" s="1963"/>
      <c r="DC11711" s="1963"/>
      <c r="DD11711" s="1963"/>
      <c r="DE11711" s="1963"/>
      <c r="DF11711" s="1963"/>
      <c r="DG11711" s="1963"/>
      <c r="DH11711" s="1963"/>
      <c r="DI11711" s="1963"/>
      <c r="DJ11711" s="1963"/>
      <c r="DK11711" s="1963"/>
      <c r="DL11711" s="1963"/>
      <c r="DM11711" s="1963"/>
      <c r="DN11711" s="1963"/>
      <c r="DO11711" s="1963"/>
    </row>
    <row r="11712" spans="1:119" s="59" customFormat="1" ht="15" customHeight="1">
      <c r="A11712" s="1170" t="s">
        <v>8894</v>
      </c>
      <c r="B11712" s="1187">
        <v>15</v>
      </c>
      <c r="C11712" s="1172" t="s">
        <v>8893</v>
      </c>
      <c r="D11712" s="1967" t="s">
        <v>8898</v>
      </c>
      <c r="E11712" s="1967" t="s">
        <v>8896</v>
      </c>
      <c r="F11712" s="1061">
        <f t="shared" si="153"/>
        <v>0.37</v>
      </c>
      <c r="G11712" s="734">
        <v>21.766666665999999</v>
      </c>
      <c r="H11712" s="2070">
        <f t="shared" si="154"/>
        <v>0.50975975977477483</v>
      </c>
      <c r="I11712" s="2130">
        <v>120</v>
      </c>
      <c r="J11712" s="1963"/>
      <c r="K11712" s="1963"/>
      <c r="L11712" s="1963"/>
      <c r="M11712" s="1963"/>
      <c r="N11712" s="1963"/>
      <c r="O11712" s="1963"/>
      <c r="P11712" s="1963"/>
      <c r="Q11712" s="1963"/>
      <c r="R11712" s="1963"/>
      <c r="S11712" s="1963"/>
      <c r="T11712" s="1963"/>
      <c r="U11712" s="1963"/>
      <c r="V11712" s="1963"/>
      <c r="W11712" s="1963"/>
      <c r="X11712" s="1963"/>
      <c r="Y11712" s="1963"/>
      <c r="Z11712" s="1963"/>
      <c r="AA11712" s="1963"/>
      <c r="AB11712" s="1963"/>
      <c r="AC11712" s="1963"/>
      <c r="AD11712" s="1963"/>
      <c r="AE11712" s="1963"/>
      <c r="AF11712" s="1963"/>
      <c r="AG11712" s="1963"/>
      <c r="AH11712" s="1963"/>
      <c r="AI11712" s="1963"/>
      <c r="AJ11712" s="1963"/>
      <c r="AK11712" s="1963"/>
      <c r="AL11712" s="1963"/>
      <c r="AM11712" s="1963"/>
      <c r="AN11712" s="1963"/>
      <c r="AO11712" s="1963"/>
      <c r="AP11712" s="1963"/>
      <c r="AQ11712" s="1963"/>
      <c r="AR11712" s="1963"/>
      <c r="AS11712" s="1963"/>
      <c r="AT11712" s="1963"/>
      <c r="AU11712" s="1963"/>
      <c r="AV11712" s="1963"/>
      <c r="AW11712" s="1963"/>
      <c r="AX11712" s="1963"/>
      <c r="AY11712" s="1963"/>
      <c r="AZ11712" s="1963"/>
      <c r="BA11712" s="1963"/>
      <c r="BB11712" s="1963"/>
      <c r="BC11712" s="1963"/>
      <c r="BD11712" s="1963"/>
      <c r="BE11712" s="1963"/>
      <c r="BF11712" s="1963"/>
      <c r="BG11712" s="1963"/>
      <c r="BH11712" s="1963"/>
      <c r="BI11712" s="1963"/>
      <c r="BJ11712" s="1963"/>
      <c r="BK11712" s="1963"/>
      <c r="BL11712" s="1963"/>
      <c r="BM11712" s="1963"/>
      <c r="BN11712" s="1963"/>
      <c r="BO11712" s="1963"/>
      <c r="BP11712" s="1963"/>
      <c r="BQ11712" s="1963"/>
      <c r="BR11712" s="1963"/>
      <c r="BS11712" s="1963"/>
      <c r="BT11712" s="1963"/>
      <c r="BU11712" s="1963"/>
      <c r="BV11712" s="1963"/>
      <c r="BW11712" s="1963"/>
      <c r="BX11712" s="1963"/>
      <c r="BY11712" s="1963"/>
      <c r="BZ11712" s="1963"/>
      <c r="CA11712" s="1963"/>
      <c r="CB11712" s="1963"/>
      <c r="CC11712" s="1963"/>
      <c r="CD11712" s="1963"/>
      <c r="CE11712" s="1963"/>
      <c r="CF11712" s="1963"/>
      <c r="CG11712" s="1963"/>
      <c r="CH11712" s="1963"/>
      <c r="CI11712" s="1963"/>
      <c r="CJ11712" s="1963"/>
      <c r="CK11712" s="1963"/>
      <c r="CL11712" s="1963"/>
      <c r="CM11712" s="1963"/>
      <c r="CN11712" s="1963"/>
      <c r="CO11712" s="1963"/>
      <c r="CP11712" s="1963"/>
      <c r="CQ11712" s="1963"/>
      <c r="CR11712" s="1963"/>
      <c r="CS11712" s="1963"/>
      <c r="CT11712" s="1963"/>
      <c r="CU11712" s="1963"/>
      <c r="CV11712" s="1963"/>
      <c r="CW11712" s="1963"/>
      <c r="CX11712" s="1963"/>
      <c r="CY11712" s="1963"/>
      <c r="CZ11712" s="1963"/>
      <c r="DA11712" s="1963"/>
      <c r="DB11712" s="1963"/>
      <c r="DC11712" s="1963"/>
      <c r="DD11712" s="1963"/>
      <c r="DE11712" s="1963"/>
      <c r="DF11712" s="1963"/>
      <c r="DG11712" s="1963"/>
      <c r="DH11712" s="1963"/>
      <c r="DI11712" s="1963"/>
      <c r="DJ11712" s="1963"/>
      <c r="DK11712" s="1963"/>
      <c r="DL11712" s="1963"/>
      <c r="DM11712" s="1963"/>
      <c r="DN11712" s="1963"/>
      <c r="DO11712" s="1963"/>
    </row>
    <row r="11713" spans="1:119" s="59" customFormat="1" ht="15" customHeight="1">
      <c r="A11713" s="1170" t="s">
        <v>8894</v>
      </c>
      <c r="B11713" s="1187">
        <v>20</v>
      </c>
      <c r="C11713" s="1172" t="s">
        <v>8893</v>
      </c>
      <c r="D11713" s="1967" t="s">
        <v>8898</v>
      </c>
      <c r="E11713" s="1967" t="s">
        <v>8896</v>
      </c>
      <c r="F11713" s="1061">
        <f t="shared" si="153"/>
        <v>0.46</v>
      </c>
      <c r="G11713" s="734">
        <v>27.4</v>
      </c>
      <c r="H11713" s="2070">
        <f t="shared" si="154"/>
        <v>0.50362318840579712</v>
      </c>
      <c r="I11713" s="2130">
        <v>120</v>
      </c>
      <c r="J11713" s="1963"/>
      <c r="K11713" s="1963"/>
      <c r="L11713" s="1963"/>
      <c r="M11713" s="1963"/>
      <c r="N11713" s="1963"/>
      <c r="O11713" s="1963"/>
      <c r="P11713" s="1963"/>
      <c r="Q11713" s="1963"/>
      <c r="R11713" s="1963"/>
      <c r="S11713" s="1963"/>
      <c r="T11713" s="1963"/>
      <c r="U11713" s="1963"/>
      <c r="V11713" s="1963"/>
      <c r="W11713" s="1963"/>
      <c r="X11713" s="1963"/>
      <c r="Y11713" s="1963"/>
      <c r="Z11713" s="1963"/>
      <c r="AA11713" s="1963"/>
      <c r="AB11713" s="1963"/>
      <c r="AC11713" s="1963"/>
      <c r="AD11713" s="1963"/>
      <c r="AE11713" s="1963"/>
      <c r="AF11713" s="1963"/>
      <c r="AG11713" s="1963"/>
      <c r="AH11713" s="1963"/>
      <c r="AI11713" s="1963"/>
      <c r="AJ11713" s="1963"/>
      <c r="AK11713" s="1963"/>
      <c r="AL11713" s="1963"/>
      <c r="AM11713" s="1963"/>
      <c r="AN11713" s="1963"/>
      <c r="AO11713" s="1963"/>
      <c r="AP11713" s="1963"/>
      <c r="AQ11713" s="1963"/>
      <c r="AR11713" s="1963"/>
      <c r="AS11713" s="1963"/>
      <c r="AT11713" s="1963"/>
      <c r="AU11713" s="1963"/>
      <c r="AV11713" s="1963"/>
      <c r="AW11713" s="1963"/>
      <c r="AX11713" s="1963"/>
      <c r="AY11713" s="1963"/>
      <c r="AZ11713" s="1963"/>
      <c r="BA11713" s="1963"/>
      <c r="BB11713" s="1963"/>
      <c r="BC11713" s="1963"/>
      <c r="BD11713" s="1963"/>
      <c r="BE11713" s="1963"/>
      <c r="BF11713" s="1963"/>
      <c r="BG11713" s="1963"/>
      <c r="BH11713" s="1963"/>
      <c r="BI11713" s="1963"/>
      <c r="BJ11713" s="1963"/>
      <c r="BK11713" s="1963"/>
      <c r="BL11713" s="1963"/>
      <c r="BM11713" s="1963"/>
      <c r="BN11713" s="1963"/>
      <c r="BO11713" s="1963"/>
      <c r="BP11713" s="1963"/>
      <c r="BQ11713" s="1963"/>
      <c r="BR11713" s="1963"/>
      <c r="BS11713" s="1963"/>
      <c r="BT11713" s="1963"/>
      <c r="BU11713" s="1963"/>
      <c r="BV11713" s="1963"/>
      <c r="BW11713" s="1963"/>
      <c r="BX11713" s="1963"/>
      <c r="BY11713" s="1963"/>
      <c r="BZ11713" s="1963"/>
      <c r="CA11713" s="1963"/>
      <c r="CB11713" s="1963"/>
      <c r="CC11713" s="1963"/>
      <c r="CD11713" s="1963"/>
      <c r="CE11713" s="1963"/>
      <c r="CF11713" s="1963"/>
      <c r="CG11713" s="1963"/>
      <c r="CH11713" s="1963"/>
      <c r="CI11713" s="1963"/>
      <c r="CJ11713" s="1963"/>
      <c r="CK11713" s="1963"/>
      <c r="CL11713" s="1963"/>
      <c r="CM11713" s="1963"/>
      <c r="CN11713" s="1963"/>
      <c r="CO11713" s="1963"/>
      <c r="CP11713" s="1963"/>
      <c r="CQ11713" s="1963"/>
      <c r="CR11713" s="1963"/>
      <c r="CS11713" s="1963"/>
      <c r="CT11713" s="1963"/>
      <c r="CU11713" s="1963"/>
      <c r="CV11713" s="1963"/>
      <c r="CW11713" s="1963"/>
      <c r="CX11713" s="1963"/>
      <c r="CY11713" s="1963"/>
      <c r="CZ11713" s="1963"/>
      <c r="DA11713" s="1963"/>
      <c r="DB11713" s="1963"/>
      <c r="DC11713" s="1963"/>
      <c r="DD11713" s="1963"/>
      <c r="DE11713" s="1963"/>
      <c r="DF11713" s="1963"/>
      <c r="DG11713" s="1963"/>
      <c r="DH11713" s="1963"/>
      <c r="DI11713" s="1963"/>
      <c r="DJ11713" s="1963"/>
      <c r="DK11713" s="1963"/>
      <c r="DL11713" s="1963"/>
      <c r="DM11713" s="1963"/>
      <c r="DN11713" s="1963"/>
      <c r="DO11713" s="1963"/>
    </row>
    <row r="11714" spans="1:119" s="59" customFormat="1" ht="15" customHeight="1">
      <c r="A11714" s="1170" t="s">
        <v>8894</v>
      </c>
      <c r="B11714" s="1187">
        <v>25</v>
      </c>
      <c r="C11714" s="1172" t="s">
        <v>8893</v>
      </c>
      <c r="D11714" s="1967" t="s">
        <v>8898</v>
      </c>
      <c r="E11714" s="1967" t="s">
        <v>8896</v>
      </c>
      <c r="F11714" s="1061">
        <f t="shared" si="153"/>
        <v>0.56000000000000005</v>
      </c>
      <c r="G11714" s="734">
        <v>33.0666666666</v>
      </c>
      <c r="H11714" s="2070">
        <f t="shared" si="154"/>
        <v>0.5079365079375</v>
      </c>
      <c r="I11714" s="2130">
        <v>120</v>
      </c>
      <c r="J11714" s="1963"/>
      <c r="K11714" s="1963"/>
      <c r="L11714" s="1963"/>
      <c r="M11714" s="1963"/>
      <c r="N11714" s="1963"/>
      <c r="O11714" s="1963"/>
      <c r="P11714" s="1963"/>
      <c r="Q11714" s="1963"/>
      <c r="R11714" s="1963"/>
      <c r="S11714" s="1963"/>
      <c r="T11714" s="1963"/>
      <c r="U11714" s="1963"/>
      <c r="V11714" s="1963"/>
      <c r="W11714" s="1963"/>
      <c r="X11714" s="1963"/>
      <c r="Y11714" s="1963"/>
      <c r="Z11714" s="1963"/>
      <c r="AA11714" s="1963"/>
      <c r="AB11714" s="1963"/>
      <c r="AC11714" s="1963"/>
      <c r="AD11714" s="1963"/>
      <c r="AE11714" s="1963"/>
      <c r="AF11714" s="1963"/>
      <c r="AG11714" s="1963"/>
      <c r="AH11714" s="1963"/>
      <c r="AI11714" s="1963"/>
      <c r="AJ11714" s="1963"/>
      <c r="AK11714" s="1963"/>
      <c r="AL11714" s="1963"/>
      <c r="AM11714" s="1963"/>
      <c r="AN11714" s="1963"/>
      <c r="AO11714" s="1963"/>
      <c r="AP11714" s="1963"/>
      <c r="AQ11714" s="1963"/>
      <c r="AR11714" s="1963"/>
      <c r="AS11714" s="1963"/>
      <c r="AT11714" s="1963"/>
      <c r="AU11714" s="1963"/>
      <c r="AV11714" s="1963"/>
      <c r="AW11714" s="1963"/>
      <c r="AX11714" s="1963"/>
      <c r="AY11714" s="1963"/>
      <c r="AZ11714" s="1963"/>
      <c r="BA11714" s="1963"/>
      <c r="BB11714" s="1963"/>
      <c r="BC11714" s="1963"/>
      <c r="BD11714" s="1963"/>
      <c r="BE11714" s="1963"/>
      <c r="BF11714" s="1963"/>
      <c r="BG11714" s="1963"/>
      <c r="BH11714" s="1963"/>
      <c r="BI11714" s="1963"/>
      <c r="BJ11714" s="1963"/>
      <c r="BK11714" s="1963"/>
      <c r="BL11714" s="1963"/>
      <c r="BM11714" s="1963"/>
      <c r="BN11714" s="1963"/>
      <c r="BO11714" s="1963"/>
      <c r="BP11714" s="1963"/>
      <c r="BQ11714" s="1963"/>
      <c r="BR11714" s="1963"/>
      <c r="BS11714" s="1963"/>
      <c r="BT11714" s="1963"/>
      <c r="BU11714" s="1963"/>
      <c r="BV11714" s="1963"/>
      <c r="BW11714" s="1963"/>
      <c r="BX11714" s="1963"/>
      <c r="BY11714" s="1963"/>
      <c r="BZ11714" s="1963"/>
      <c r="CA11714" s="1963"/>
      <c r="CB11714" s="1963"/>
      <c r="CC11714" s="1963"/>
      <c r="CD11714" s="1963"/>
      <c r="CE11714" s="1963"/>
      <c r="CF11714" s="1963"/>
      <c r="CG11714" s="1963"/>
      <c r="CH11714" s="1963"/>
      <c r="CI11714" s="1963"/>
      <c r="CJ11714" s="1963"/>
      <c r="CK11714" s="1963"/>
      <c r="CL11714" s="1963"/>
      <c r="CM11714" s="1963"/>
      <c r="CN11714" s="1963"/>
      <c r="CO11714" s="1963"/>
      <c r="CP11714" s="1963"/>
      <c r="CQ11714" s="1963"/>
      <c r="CR11714" s="1963"/>
      <c r="CS11714" s="1963"/>
      <c r="CT11714" s="1963"/>
      <c r="CU11714" s="1963"/>
      <c r="CV11714" s="1963"/>
      <c r="CW11714" s="1963"/>
      <c r="CX11714" s="1963"/>
      <c r="CY11714" s="1963"/>
      <c r="CZ11714" s="1963"/>
      <c r="DA11714" s="1963"/>
      <c r="DB11714" s="1963"/>
      <c r="DC11714" s="1963"/>
      <c r="DD11714" s="1963"/>
      <c r="DE11714" s="1963"/>
      <c r="DF11714" s="1963"/>
      <c r="DG11714" s="1963"/>
      <c r="DH11714" s="1963"/>
      <c r="DI11714" s="1963"/>
      <c r="DJ11714" s="1963"/>
      <c r="DK11714" s="1963"/>
      <c r="DL11714" s="1963"/>
      <c r="DM11714" s="1963"/>
      <c r="DN11714" s="1963"/>
      <c r="DO11714" s="1963"/>
    </row>
    <row r="11715" spans="1:119" s="59" customFormat="1" ht="15" customHeight="1">
      <c r="A11715" s="1170" t="s">
        <v>8894</v>
      </c>
      <c r="B11715" s="1187">
        <v>30</v>
      </c>
      <c r="C11715" s="1172" t="s">
        <v>8893</v>
      </c>
      <c r="D11715" s="1967" t="s">
        <v>8898</v>
      </c>
      <c r="E11715" s="1967" t="s">
        <v>8896</v>
      </c>
      <c r="F11715" s="1061">
        <f t="shared" si="153"/>
        <v>0.77</v>
      </c>
      <c r="G11715" s="734">
        <v>46.2</v>
      </c>
      <c r="H11715" s="2070">
        <f t="shared" si="154"/>
        <v>0.5</v>
      </c>
      <c r="I11715" s="2130">
        <v>120</v>
      </c>
      <c r="J11715" s="1963"/>
      <c r="K11715" s="1963"/>
      <c r="L11715" s="1963"/>
      <c r="M11715" s="1963"/>
      <c r="N11715" s="1963"/>
      <c r="O11715" s="1963"/>
      <c r="P11715" s="1963"/>
      <c r="Q11715" s="1963"/>
      <c r="R11715" s="1963"/>
      <c r="S11715" s="1963"/>
      <c r="T11715" s="1963"/>
      <c r="U11715" s="1963"/>
      <c r="V11715" s="1963"/>
      <c r="W11715" s="1963"/>
      <c r="X11715" s="1963"/>
      <c r="Y11715" s="1963"/>
      <c r="Z11715" s="1963"/>
      <c r="AA11715" s="1963"/>
      <c r="AB11715" s="1963"/>
      <c r="AC11715" s="1963"/>
      <c r="AD11715" s="1963"/>
      <c r="AE11715" s="1963"/>
      <c r="AF11715" s="1963"/>
      <c r="AG11715" s="1963"/>
      <c r="AH11715" s="1963"/>
      <c r="AI11715" s="1963"/>
      <c r="AJ11715" s="1963"/>
      <c r="AK11715" s="1963"/>
      <c r="AL11715" s="1963"/>
      <c r="AM11715" s="1963"/>
      <c r="AN11715" s="1963"/>
      <c r="AO11715" s="1963"/>
      <c r="AP11715" s="1963"/>
      <c r="AQ11715" s="1963"/>
      <c r="AR11715" s="1963"/>
      <c r="AS11715" s="1963"/>
      <c r="AT11715" s="1963"/>
      <c r="AU11715" s="1963"/>
      <c r="AV11715" s="1963"/>
      <c r="AW11715" s="1963"/>
      <c r="AX11715" s="1963"/>
      <c r="AY11715" s="1963"/>
      <c r="AZ11715" s="1963"/>
      <c r="BA11715" s="1963"/>
      <c r="BB11715" s="1963"/>
      <c r="BC11715" s="1963"/>
      <c r="BD11715" s="1963"/>
      <c r="BE11715" s="1963"/>
      <c r="BF11715" s="1963"/>
      <c r="BG11715" s="1963"/>
      <c r="BH11715" s="1963"/>
      <c r="BI11715" s="1963"/>
      <c r="BJ11715" s="1963"/>
      <c r="BK11715" s="1963"/>
      <c r="BL11715" s="1963"/>
      <c r="BM11715" s="1963"/>
      <c r="BN11715" s="1963"/>
      <c r="BO11715" s="1963"/>
      <c r="BP11715" s="1963"/>
      <c r="BQ11715" s="1963"/>
      <c r="BR11715" s="1963"/>
      <c r="BS11715" s="1963"/>
      <c r="BT11715" s="1963"/>
      <c r="BU11715" s="1963"/>
      <c r="BV11715" s="1963"/>
      <c r="BW11715" s="1963"/>
      <c r="BX11715" s="1963"/>
      <c r="BY11715" s="1963"/>
      <c r="BZ11715" s="1963"/>
      <c r="CA11715" s="1963"/>
      <c r="CB11715" s="1963"/>
      <c r="CC11715" s="1963"/>
      <c r="CD11715" s="1963"/>
      <c r="CE11715" s="1963"/>
      <c r="CF11715" s="1963"/>
      <c r="CG11715" s="1963"/>
      <c r="CH11715" s="1963"/>
      <c r="CI11715" s="1963"/>
      <c r="CJ11715" s="1963"/>
      <c r="CK11715" s="1963"/>
      <c r="CL11715" s="1963"/>
      <c r="CM11715" s="1963"/>
      <c r="CN11715" s="1963"/>
      <c r="CO11715" s="1963"/>
      <c r="CP11715" s="1963"/>
      <c r="CQ11715" s="1963"/>
      <c r="CR11715" s="1963"/>
      <c r="CS11715" s="1963"/>
      <c r="CT11715" s="1963"/>
      <c r="CU11715" s="1963"/>
      <c r="CV11715" s="1963"/>
      <c r="CW11715" s="1963"/>
      <c r="CX11715" s="1963"/>
      <c r="CY11715" s="1963"/>
      <c r="CZ11715" s="1963"/>
      <c r="DA11715" s="1963"/>
      <c r="DB11715" s="1963"/>
      <c r="DC11715" s="1963"/>
      <c r="DD11715" s="1963"/>
      <c r="DE11715" s="1963"/>
      <c r="DF11715" s="1963"/>
      <c r="DG11715" s="1963"/>
      <c r="DH11715" s="1963"/>
      <c r="DI11715" s="1963"/>
      <c r="DJ11715" s="1963"/>
      <c r="DK11715" s="1963"/>
      <c r="DL11715" s="1963"/>
      <c r="DM11715" s="1963"/>
      <c r="DN11715" s="1963"/>
      <c r="DO11715" s="1963"/>
    </row>
    <row r="11716" spans="1:119" s="59" customFormat="1" ht="15" customHeight="1">
      <c r="A11716" s="1170" t="s">
        <v>8894</v>
      </c>
      <c r="B11716" s="1187">
        <v>35</v>
      </c>
      <c r="C11716" s="1172" t="s">
        <v>8893</v>
      </c>
      <c r="D11716" s="1967" t="s">
        <v>8898</v>
      </c>
      <c r="E11716" s="1967" t="s">
        <v>8896</v>
      </c>
      <c r="F11716" s="1061">
        <f t="shared" si="153"/>
        <v>0.94</v>
      </c>
      <c r="G11716" s="734">
        <v>56.4</v>
      </c>
      <c r="H11716" s="2070">
        <f t="shared" si="154"/>
        <v>0.5</v>
      </c>
      <c r="I11716" s="2130">
        <v>120</v>
      </c>
      <c r="J11716" s="1963"/>
      <c r="K11716" s="1963"/>
      <c r="L11716" s="1963"/>
      <c r="M11716" s="1963"/>
      <c r="N11716" s="1963"/>
      <c r="O11716" s="1963"/>
      <c r="P11716" s="1963"/>
      <c r="Q11716" s="1963"/>
      <c r="R11716" s="1963"/>
      <c r="S11716" s="1963"/>
      <c r="T11716" s="1963"/>
      <c r="U11716" s="1963"/>
      <c r="V11716" s="1963"/>
      <c r="W11716" s="1963"/>
      <c r="X11716" s="1963"/>
      <c r="Y11716" s="1963"/>
      <c r="Z11716" s="1963"/>
      <c r="AA11716" s="1963"/>
      <c r="AB11716" s="1963"/>
      <c r="AC11716" s="1963"/>
      <c r="AD11716" s="1963"/>
      <c r="AE11716" s="1963"/>
      <c r="AF11716" s="1963"/>
      <c r="AG11716" s="1963"/>
      <c r="AH11716" s="1963"/>
      <c r="AI11716" s="1963"/>
      <c r="AJ11716" s="1963"/>
      <c r="AK11716" s="1963"/>
      <c r="AL11716" s="1963"/>
      <c r="AM11716" s="1963"/>
      <c r="AN11716" s="1963"/>
      <c r="AO11716" s="1963"/>
      <c r="AP11716" s="1963"/>
      <c r="AQ11716" s="1963"/>
      <c r="AR11716" s="1963"/>
      <c r="AS11716" s="1963"/>
      <c r="AT11716" s="1963"/>
      <c r="AU11716" s="1963"/>
      <c r="AV11716" s="1963"/>
      <c r="AW11716" s="1963"/>
      <c r="AX11716" s="1963"/>
      <c r="AY11716" s="1963"/>
      <c r="AZ11716" s="1963"/>
      <c r="BA11716" s="1963"/>
      <c r="BB11716" s="1963"/>
      <c r="BC11716" s="1963"/>
      <c r="BD11716" s="1963"/>
      <c r="BE11716" s="1963"/>
      <c r="BF11716" s="1963"/>
      <c r="BG11716" s="1963"/>
      <c r="BH11716" s="1963"/>
      <c r="BI11716" s="1963"/>
      <c r="BJ11716" s="1963"/>
      <c r="BK11716" s="1963"/>
      <c r="BL11716" s="1963"/>
      <c r="BM11716" s="1963"/>
      <c r="BN11716" s="1963"/>
      <c r="BO11716" s="1963"/>
      <c r="BP11716" s="1963"/>
      <c r="BQ11716" s="1963"/>
      <c r="BR11716" s="1963"/>
      <c r="BS11716" s="1963"/>
      <c r="BT11716" s="1963"/>
      <c r="BU11716" s="1963"/>
      <c r="BV11716" s="1963"/>
      <c r="BW11716" s="1963"/>
      <c r="BX11716" s="1963"/>
      <c r="BY11716" s="1963"/>
      <c r="BZ11716" s="1963"/>
      <c r="CA11716" s="1963"/>
      <c r="CB11716" s="1963"/>
      <c r="CC11716" s="1963"/>
      <c r="CD11716" s="1963"/>
      <c r="CE11716" s="1963"/>
      <c r="CF11716" s="1963"/>
      <c r="CG11716" s="1963"/>
      <c r="CH11716" s="1963"/>
      <c r="CI11716" s="1963"/>
      <c r="CJ11716" s="1963"/>
      <c r="CK11716" s="1963"/>
      <c r="CL11716" s="1963"/>
      <c r="CM11716" s="1963"/>
      <c r="CN11716" s="1963"/>
      <c r="CO11716" s="1963"/>
      <c r="CP11716" s="1963"/>
      <c r="CQ11716" s="1963"/>
      <c r="CR11716" s="1963"/>
      <c r="CS11716" s="1963"/>
      <c r="CT11716" s="1963"/>
      <c r="CU11716" s="1963"/>
      <c r="CV11716" s="1963"/>
      <c r="CW11716" s="1963"/>
      <c r="CX11716" s="1963"/>
      <c r="CY11716" s="1963"/>
      <c r="CZ11716" s="1963"/>
      <c r="DA11716" s="1963"/>
      <c r="DB11716" s="1963"/>
      <c r="DC11716" s="1963"/>
      <c r="DD11716" s="1963"/>
      <c r="DE11716" s="1963"/>
      <c r="DF11716" s="1963"/>
      <c r="DG11716" s="1963"/>
      <c r="DH11716" s="1963"/>
      <c r="DI11716" s="1963"/>
      <c r="DJ11716" s="1963"/>
      <c r="DK11716" s="1963"/>
      <c r="DL11716" s="1963"/>
      <c r="DM11716" s="1963"/>
      <c r="DN11716" s="1963"/>
      <c r="DO11716" s="1963"/>
    </row>
    <row r="11717" spans="1:119" s="59" customFormat="1" ht="15" customHeight="1">
      <c r="A11717" s="1170" t="s">
        <v>8895</v>
      </c>
      <c r="B11717" s="1187">
        <v>6</v>
      </c>
      <c r="C11717" s="1172" t="s">
        <v>8893</v>
      </c>
      <c r="D11717" s="1967" t="s">
        <v>8899</v>
      </c>
      <c r="E11717" s="1967" t="s">
        <v>8897</v>
      </c>
      <c r="F11717" s="1061">
        <f t="shared" si="153"/>
        <v>0.33</v>
      </c>
      <c r="G11717" s="771">
        <v>19.7</v>
      </c>
      <c r="H11717" s="2070">
        <f t="shared" si="154"/>
        <v>0.5025252525252526</v>
      </c>
      <c r="I11717" s="2130">
        <v>120</v>
      </c>
      <c r="J11717" s="1963"/>
      <c r="K11717" s="1963"/>
      <c r="L11717" s="1963"/>
      <c r="M11717" s="1963"/>
      <c r="N11717" s="1963"/>
      <c r="O11717" s="1963"/>
      <c r="P11717" s="1963"/>
      <c r="Q11717" s="1963"/>
      <c r="R11717" s="1963"/>
      <c r="S11717" s="1963"/>
      <c r="T11717" s="1963"/>
      <c r="U11717" s="1963"/>
      <c r="V11717" s="1963"/>
      <c r="W11717" s="1963"/>
      <c r="X11717" s="1963"/>
      <c r="Y11717" s="1963"/>
      <c r="Z11717" s="1963"/>
      <c r="AA11717" s="1963"/>
      <c r="AB11717" s="1963"/>
      <c r="AC11717" s="1963"/>
      <c r="AD11717" s="1963"/>
      <c r="AE11717" s="1963"/>
      <c r="AF11717" s="1963"/>
      <c r="AG11717" s="1963"/>
      <c r="AH11717" s="1963"/>
      <c r="AI11717" s="1963"/>
      <c r="AJ11717" s="1963"/>
      <c r="AK11717" s="1963"/>
      <c r="AL11717" s="1963"/>
      <c r="AM11717" s="1963"/>
      <c r="AN11717" s="1963"/>
      <c r="AO11717" s="1963"/>
      <c r="AP11717" s="1963"/>
      <c r="AQ11717" s="1963"/>
      <c r="AR11717" s="1963"/>
      <c r="AS11717" s="1963"/>
      <c r="AT11717" s="1963"/>
      <c r="AU11717" s="1963"/>
      <c r="AV11717" s="1963"/>
      <c r="AW11717" s="1963"/>
      <c r="AX11717" s="1963"/>
      <c r="AY11717" s="1963"/>
      <c r="AZ11717" s="1963"/>
      <c r="BA11717" s="1963"/>
      <c r="BB11717" s="1963"/>
      <c r="BC11717" s="1963"/>
      <c r="BD11717" s="1963"/>
      <c r="BE11717" s="1963"/>
      <c r="BF11717" s="1963"/>
      <c r="BG11717" s="1963"/>
      <c r="BH11717" s="1963"/>
      <c r="BI11717" s="1963"/>
      <c r="BJ11717" s="1963"/>
      <c r="BK11717" s="1963"/>
      <c r="BL11717" s="1963"/>
      <c r="BM11717" s="1963"/>
      <c r="BN11717" s="1963"/>
      <c r="BO11717" s="1963"/>
      <c r="BP11717" s="1963"/>
      <c r="BQ11717" s="1963"/>
      <c r="BR11717" s="1963"/>
      <c r="BS11717" s="1963"/>
      <c r="BT11717" s="1963"/>
      <c r="BU11717" s="1963"/>
      <c r="BV11717" s="1963"/>
      <c r="BW11717" s="1963"/>
      <c r="BX11717" s="1963"/>
      <c r="BY11717" s="1963"/>
      <c r="BZ11717" s="1963"/>
      <c r="CA11717" s="1963"/>
      <c r="CB11717" s="1963"/>
      <c r="CC11717" s="1963"/>
      <c r="CD11717" s="1963"/>
      <c r="CE11717" s="1963"/>
      <c r="CF11717" s="1963"/>
      <c r="CG11717" s="1963"/>
      <c r="CH11717" s="1963"/>
      <c r="CI11717" s="1963"/>
      <c r="CJ11717" s="1963"/>
      <c r="CK11717" s="1963"/>
      <c r="CL11717" s="1963"/>
      <c r="CM11717" s="1963"/>
      <c r="CN11717" s="1963"/>
      <c r="CO11717" s="1963"/>
      <c r="CP11717" s="1963"/>
      <c r="CQ11717" s="1963"/>
      <c r="CR11717" s="1963"/>
      <c r="CS11717" s="1963"/>
      <c r="CT11717" s="1963"/>
      <c r="CU11717" s="1963"/>
      <c r="CV11717" s="1963"/>
      <c r="CW11717" s="1963"/>
      <c r="CX11717" s="1963"/>
      <c r="CY11717" s="1963"/>
      <c r="CZ11717" s="1963"/>
      <c r="DA11717" s="1963"/>
      <c r="DB11717" s="1963"/>
      <c r="DC11717" s="1963"/>
      <c r="DD11717" s="1963"/>
      <c r="DE11717" s="1963"/>
      <c r="DF11717" s="1963"/>
      <c r="DG11717" s="1963"/>
      <c r="DH11717" s="1963"/>
      <c r="DI11717" s="1963"/>
      <c r="DJ11717" s="1963"/>
      <c r="DK11717" s="1963"/>
      <c r="DL11717" s="1963"/>
      <c r="DM11717" s="1963"/>
      <c r="DN11717" s="1963"/>
      <c r="DO11717" s="1963"/>
    </row>
    <row r="11718" spans="1:119" s="59" customFormat="1" ht="15" customHeight="1">
      <c r="A11718" s="1170" t="s">
        <v>8895</v>
      </c>
      <c r="B11718" s="1187">
        <v>9</v>
      </c>
      <c r="C11718" s="1172" t="s">
        <v>8893</v>
      </c>
      <c r="D11718" s="1967" t="s">
        <v>8899</v>
      </c>
      <c r="E11718" s="1967" t="s">
        <v>8897</v>
      </c>
      <c r="F11718" s="1061">
        <f t="shared" si="153"/>
        <v>0.43</v>
      </c>
      <c r="G11718" s="771">
        <v>25.4</v>
      </c>
      <c r="H11718" s="2070">
        <f t="shared" si="154"/>
        <v>0.50775193798449614</v>
      </c>
      <c r="I11718" s="2130">
        <v>120</v>
      </c>
      <c r="J11718" s="1963"/>
      <c r="K11718" s="1963"/>
      <c r="L11718" s="1963"/>
      <c r="M11718" s="1963"/>
      <c r="N11718" s="1963"/>
      <c r="O11718" s="1963"/>
      <c r="P11718" s="1963"/>
      <c r="Q11718" s="1963"/>
      <c r="R11718" s="1963"/>
      <c r="S11718" s="1963"/>
      <c r="T11718" s="1963"/>
      <c r="U11718" s="1963"/>
      <c r="V11718" s="1963"/>
      <c r="W11718" s="1963"/>
      <c r="X11718" s="1963"/>
      <c r="Y11718" s="1963"/>
      <c r="Z11718" s="1963"/>
      <c r="AA11718" s="1963"/>
      <c r="AB11718" s="1963"/>
      <c r="AC11718" s="1963"/>
      <c r="AD11718" s="1963"/>
      <c r="AE11718" s="1963"/>
      <c r="AF11718" s="1963"/>
      <c r="AG11718" s="1963"/>
      <c r="AH11718" s="1963"/>
      <c r="AI11718" s="1963"/>
      <c r="AJ11718" s="1963"/>
      <c r="AK11718" s="1963"/>
      <c r="AL11718" s="1963"/>
      <c r="AM11718" s="1963"/>
      <c r="AN11718" s="1963"/>
      <c r="AO11718" s="1963"/>
      <c r="AP11718" s="1963"/>
      <c r="AQ11718" s="1963"/>
      <c r="AR11718" s="1963"/>
      <c r="AS11718" s="1963"/>
      <c r="AT11718" s="1963"/>
      <c r="AU11718" s="1963"/>
      <c r="AV11718" s="1963"/>
      <c r="AW11718" s="1963"/>
      <c r="AX11718" s="1963"/>
      <c r="AY11718" s="1963"/>
      <c r="AZ11718" s="1963"/>
      <c r="BA11718" s="1963"/>
      <c r="BB11718" s="1963"/>
      <c r="BC11718" s="1963"/>
      <c r="BD11718" s="1963"/>
      <c r="BE11718" s="1963"/>
      <c r="BF11718" s="1963"/>
      <c r="BG11718" s="1963"/>
      <c r="BH11718" s="1963"/>
      <c r="BI11718" s="1963"/>
      <c r="BJ11718" s="1963"/>
      <c r="BK11718" s="1963"/>
      <c r="BL11718" s="1963"/>
      <c r="BM11718" s="1963"/>
      <c r="BN11718" s="1963"/>
      <c r="BO11718" s="1963"/>
      <c r="BP11718" s="1963"/>
      <c r="BQ11718" s="1963"/>
      <c r="BR11718" s="1963"/>
      <c r="BS11718" s="1963"/>
      <c r="BT11718" s="1963"/>
      <c r="BU11718" s="1963"/>
      <c r="BV11718" s="1963"/>
      <c r="BW11718" s="1963"/>
      <c r="BX11718" s="1963"/>
      <c r="BY11718" s="1963"/>
      <c r="BZ11718" s="1963"/>
      <c r="CA11718" s="1963"/>
      <c r="CB11718" s="1963"/>
      <c r="CC11718" s="1963"/>
      <c r="CD11718" s="1963"/>
      <c r="CE11718" s="1963"/>
      <c r="CF11718" s="1963"/>
      <c r="CG11718" s="1963"/>
      <c r="CH11718" s="1963"/>
      <c r="CI11718" s="1963"/>
      <c r="CJ11718" s="1963"/>
      <c r="CK11718" s="1963"/>
      <c r="CL11718" s="1963"/>
      <c r="CM11718" s="1963"/>
      <c r="CN11718" s="1963"/>
      <c r="CO11718" s="1963"/>
      <c r="CP11718" s="1963"/>
      <c r="CQ11718" s="1963"/>
      <c r="CR11718" s="1963"/>
      <c r="CS11718" s="1963"/>
      <c r="CT11718" s="1963"/>
      <c r="CU11718" s="1963"/>
      <c r="CV11718" s="1963"/>
      <c r="CW11718" s="1963"/>
      <c r="CX11718" s="1963"/>
      <c r="CY11718" s="1963"/>
      <c r="CZ11718" s="1963"/>
      <c r="DA11718" s="1963"/>
      <c r="DB11718" s="1963"/>
      <c r="DC11718" s="1963"/>
      <c r="DD11718" s="1963"/>
      <c r="DE11718" s="1963"/>
      <c r="DF11718" s="1963"/>
      <c r="DG11718" s="1963"/>
      <c r="DH11718" s="1963"/>
      <c r="DI11718" s="1963"/>
      <c r="DJ11718" s="1963"/>
      <c r="DK11718" s="1963"/>
      <c r="DL11718" s="1963"/>
      <c r="DM11718" s="1963"/>
      <c r="DN11718" s="1963"/>
      <c r="DO11718" s="1963"/>
    </row>
    <row r="11719" spans="1:119" s="59" customFormat="1" ht="15" customHeight="1">
      <c r="A11719" s="1170" t="s">
        <v>8895</v>
      </c>
      <c r="B11719" s="1187">
        <v>12</v>
      </c>
      <c r="C11719" s="1172" t="s">
        <v>8893</v>
      </c>
      <c r="D11719" s="1967" t="s">
        <v>8899</v>
      </c>
      <c r="E11719" s="1967" t="s">
        <v>8897</v>
      </c>
      <c r="F11719" s="1061">
        <f t="shared" si="153"/>
        <v>0.53</v>
      </c>
      <c r="G11719" s="771">
        <v>31.8</v>
      </c>
      <c r="H11719" s="2070">
        <f t="shared" si="154"/>
        <v>0.5</v>
      </c>
      <c r="I11719" s="2130">
        <v>120</v>
      </c>
      <c r="J11719" s="1963"/>
      <c r="K11719" s="1963"/>
      <c r="L11719" s="1963"/>
      <c r="M11719" s="1963"/>
      <c r="N11719" s="1963"/>
      <c r="O11719" s="1963"/>
      <c r="P11719" s="1963"/>
      <c r="Q11719" s="1963"/>
      <c r="R11719" s="1963"/>
      <c r="S11719" s="1963"/>
      <c r="T11719" s="1963"/>
      <c r="U11719" s="1963"/>
      <c r="V11719" s="1963"/>
      <c r="W11719" s="1963"/>
      <c r="X11719" s="1963"/>
      <c r="Y11719" s="1963"/>
      <c r="Z11719" s="1963"/>
      <c r="AA11719" s="1963"/>
      <c r="AB11719" s="1963"/>
      <c r="AC11719" s="1963"/>
      <c r="AD11719" s="1963"/>
      <c r="AE11719" s="1963"/>
      <c r="AF11719" s="1963"/>
      <c r="AG11719" s="1963"/>
      <c r="AH11719" s="1963"/>
      <c r="AI11719" s="1963"/>
      <c r="AJ11719" s="1963"/>
      <c r="AK11719" s="1963"/>
      <c r="AL11719" s="1963"/>
      <c r="AM11719" s="1963"/>
      <c r="AN11719" s="1963"/>
      <c r="AO11719" s="1963"/>
      <c r="AP11719" s="1963"/>
      <c r="AQ11719" s="1963"/>
      <c r="AR11719" s="1963"/>
      <c r="AS11719" s="1963"/>
      <c r="AT11719" s="1963"/>
      <c r="AU11719" s="1963"/>
      <c r="AV11719" s="1963"/>
      <c r="AW11719" s="1963"/>
      <c r="AX11719" s="1963"/>
      <c r="AY11719" s="1963"/>
      <c r="AZ11719" s="1963"/>
      <c r="BA11719" s="1963"/>
      <c r="BB11719" s="1963"/>
      <c r="BC11719" s="1963"/>
      <c r="BD11719" s="1963"/>
      <c r="BE11719" s="1963"/>
      <c r="BF11719" s="1963"/>
      <c r="BG11719" s="1963"/>
      <c r="BH11719" s="1963"/>
      <c r="BI11719" s="1963"/>
      <c r="BJ11719" s="1963"/>
      <c r="BK11719" s="1963"/>
      <c r="BL11719" s="1963"/>
      <c r="BM11719" s="1963"/>
      <c r="BN11719" s="1963"/>
      <c r="BO11719" s="1963"/>
      <c r="BP11719" s="1963"/>
      <c r="BQ11719" s="1963"/>
      <c r="BR11719" s="1963"/>
      <c r="BS11719" s="1963"/>
      <c r="BT11719" s="1963"/>
      <c r="BU11719" s="1963"/>
      <c r="BV11719" s="1963"/>
      <c r="BW11719" s="1963"/>
      <c r="BX11719" s="1963"/>
      <c r="BY11719" s="1963"/>
      <c r="BZ11719" s="1963"/>
      <c r="CA11719" s="1963"/>
      <c r="CB11719" s="1963"/>
      <c r="CC11719" s="1963"/>
      <c r="CD11719" s="1963"/>
      <c r="CE11719" s="1963"/>
      <c r="CF11719" s="1963"/>
      <c r="CG11719" s="1963"/>
      <c r="CH11719" s="1963"/>
      <c r="CI11719" s="1963"/>
      <c r="CJ11719" s="1963"/>
      <c r="CK11719" s="1963"/>
      <c r="CL11719" s="1963"/>
      <c r="CM11719" s="1963"/>
      <c r="CN11719" s="1963"/>
      <c r="CO11719" s="1963"/>
      <c r="CP11719" s="1963"/>
      <c r="CQ11719" s="1963"/>
      <c r="CR11719" s="1963"/>
      <c r="CS11719" s="1963"/>
      <c r="CT11719" s="1963"/>
      <c r="CU11719" s="1963"/>
      <c r="CV11719" s="1963"/>
      <c r="CW11719" s="1963"/>
      <c r="CX11719" s="1963"/>
      <c r="CY11719" s="1963"/>
      <c r="CZ11719" s="1963"/>
      <c r="DA11719" s="1963"/>
      <c r="DB11719" s="1963"/>
      <c r="DC11719" s="1963"/>
      <c r="DD11719" s="1963"/>
      <c r="DE11719" s="1963"/>
      <c r="DF11719" s="1963"/>
      <c r="DG11719" s="1963"/>
      <c r="DH11719" s="1963"/>
      <c r="DI11719" s="1963"/>
      <c r="DJ11719" s="1963"/>
      <c r="DK11719" s="1963"/>
      <c r="DL11719" s="1963"/>
      <c r="DM11719" s="1963"/>
      <c r="DN11719" s="1963"/>
      <c r="DO11719" s="1963"/>
    </row>
    <row r="11720" spans="1:119" s="59" customFormat="1" ht="15" customHeight="1">
      <c r="A11720" s="1170" t="s">
        <v>8895</v>
      </c>
      <c r="B11720" s="1187">
        <v>15</v>
      </c>
      <c r="C11720" s="1172" t="s">
        <v>8893</v>
      </c>
      <c r="D11720" s="1967" t="s">
        <v>8899</v>
      </c>
      <c r="E11720" s="1967" t="s">
        <v>8897</v>
      </c>
      <c r="F11720" s="1061">
        <f t="shared" si="153"/>
        <v>0.64</v>
      </c>
      <c r="G11720" s="771">
        <v>38.133330000000001</v>
      </c>
      <c r="H11720" s="2070">
        <f t="shared" si="154"/>
        <v>0.50347226562499992</v>
      </c>
      <c r="I11720" s="2130">
        <v>120</v>
      </c>
      <c r="J11720" s="1963"/>
      <c r="K11720" s="1963"/>
      <c r="L11720" s="1963"/>
      <c r="M11720" s="1963"/>
      <c r="N11720" s="1963"/>
      <c r="O11720" s="1963"/>
      <c r="P11720" s="1963"/>
      <c r="Q11720" s="1963"/>
      <c r="R11720" s="1963"/>
      <c r="S11720" s="1963"/>
      <c r="T11720" s="1963"/>
      <c r="U11720" s="1963"/>
      <c r="V11720" s="1963"/>
      <c r="W11720" s="1963"/>
      <c r="X11720" s="1963"/>
      <c r="Y11720" s="1963"/>
      <c r="Z11720" s="1963"/>
      <c r="AA11720" s="1963"/>
      <c r="AB11720" s="1963"/>
      <c r="AC11720" s="1963"/>
      <c r="AD11720" s="1963"/>
      <c r="AE11720" s="1963"/>
      <c r="AF11720" s="1963"/>
      <c r="AG11720" s="1963"/>
      <c r="AH11720" s="1963"/>
      <c r="AI11720" s="1963"/>
      <c r="AJ11720" s="1963"/>
      <c r="AK11720" s="1963"/>
      <c r="AL11720" s="1963"/>
      <c r="AM11720" s="1963"/>
      <c r="AN11720" s="1963"/>
      <c r="AO11720" s="1963"/>
      <c r="AP11720" s="1963"/>
      <c r="AQ11720" s="1963"/>
      <c r="AR11720" s="1963"/>
      <c r="AS11720" s="1963"/>
      <c r="AT11720" s="1963"/>
      <c r="AU11720" s="1963"/>
      <c r="AV11720" s="1963"/>
      <c r="AW11720" s="1963"/>
      <c r="AX11720" s="1963"/>
      <c r="AY11720" s="1963"/>
      <c r="AZ11720" s="1963"/>
      <c r="BA11720" s="1963"/>
      <c r="BB11720" s="1963"/>
      <c r="BC11720" s="1963"/>
      <c r="BD11720" s="1963"/>
      <c r="BE11720" s="1963"/>
      <c r="BF11720" s="1963"/>
      <c r="BG11720" s="1963"/>
      <c r="BH11720" s="1963"/>
      <c r="BI11720" s="1963"/>
      <c r="BJ11720" s="1963"/>
      <c r="BK11720" s="1963"/>
      <c r="BL11720" s="1963"/>
      <c r="BM11720" s="1963"/>
      <c r="BN11720" s="1963"/>
      <c r="BO11720" s="1963"/>
      <c r="BP11720" s="1963"/>
      <c r="BQ11720" s="1963"/>
      <c r="BR11720" s="1963"/>
      <c r="BS11720" s="1963"/>
      <c r="BT11720" s="1963"/>
      <c r="BU11720" s="1963"/>
      <c r="BV11720" s="1963"/>
      <c r="BW11720" s="1963"/>
      <c r="BX11720" s="1963"/>
      <c r="BY11720" s="1963"/>
      <c r="BZ11720" s="1963"/>
      <c r="CA11720" s="1963"/>
      <c r="CB11720" s="1963"/>
      <c r="CC11720" s="1963"/>
      <c r="CD11720" s="1963"/>
      <c r="CE11720" s="1963"/>
      <c r="CF11720" s="1963"/>
      <c r="CG11720" s="1963"/>
      <c r="CH11720" s="1963"/>
      <c r="CI11720" s="1963"/>
      <c r="CJ11720" s="1963"/>
      <c r="CK11720" s="1963"/>
      <c r="CL11720" s="1963"/>
      <c r="CM11720" s="1963"/>
      <c r="CN11720" s="1963"/>
      <c r="CO11720" s="1963"/>
      <c r="CP11720" s="1963"/>
      <c r="CQ11720" s="1963"/>
      <c r="CR11720" s="1963"/>
      <c r="CS11720" s="1963"/>
      <c r="CT11720" s="1963"/>
      <c r="CU11720" s="1963"/>
      <c r="CV11720" s="1963"/>
      <c r="CW11720" s="1963"/>
      <c r="CX11720" s="1963"/>
      <c r="CY11720" s="1963"/>
      <c r="CZ11720" s="1963"/>
      <c r="DA11720" s="1963"/>
      <c r="DB11720" s="1963"/>
      <c r="DC11720" s="1963"/>
      <c r="DD11720" s="1963"/>
      <c r="DE11720" s="1963"/>
      <c r="DF11720" s="1963"/>
      <c r="DG11720" s="1963"/>
      <c r="DH11720" s="1963"/>
      <c r="DI11720" s="1963"/>
      <c r="DJ11720" s="1963"/>
      <c r="DK11720" s="1963"/>
      <c r="DL11720" s="1963"/>
      <c r="DM11720" s="1963"/>
      <c r="DN11720" s="1963"/>
      <c r="DO11720" s="1963"/>
    </row>
    <row r="11721" spans="1:119" s="59" customFormat="1" ht="15" customHeight="1">
      <c r="A11721" s="1170" t="s">
        <v>8895</v>
      </c>
      <c r="B11721" s="1187">
        <v>19</v>
      </c>
      <c r="C11721" s="1172" t="s">
        <v>8893</v>
      </c>
      <c r="D11721" s="1967" t="s">
        <v>8899</v>
      </c>
      <c r="E11721" s="1967" t="s">
        <v>8897</v>
      </c>
      <c r="F11721" s="1061">
        <f t="shared" si="153"/>
        <v>0.75</v>
      </c>
      <c r="G11721" s="771">
        <v>44.866660000000003</v>
      </c>
      <c r="H11721" s="2070">
        <f t="shared" si="154"/>
        <v>0.50148155555555551</v>
      </c>
      <c r="I11721" s="2130">
        <v>120</v>
      </c>
      <c r="J11721" s="1963"/>
      <c r="K11721" s="1963"/>
      <c r="L11721" s="1963"/>
      <c r="M11721" s="1963"/>
      <c r="N11721" s="1963"/>
      <c r="O11721" s="1963"/>
      <c r="P11721" s="1963"/>
      <c r="Q11721" s="1963"/>
      <c r="R11721" s="1963"/>
      <c r="S11721" s="1963"/>
      <c r="T11721" s="1963"/>
      <c r="U11721" s="1963"/>
      <c r="V11721" s="1963"/>
      <c r="W11721" s="1963"/>
      <c r="X11721" s="1963"/>
      <c r="Y11721" s="1963"/>
      <c r="Z11721" s="1963"/>
      <c r="AA11721" s="1963"/>
      <c r="AB11721" s="1963"/>
      <c r="AC11721" s="1963"/>
      <c r="AD11721" s="1963"/>
      <c r="AE11721" s="1963"/>
      <c r="AF11721" s="1963"/>
      <c r="AG11721" s="1963"/>
      <c r="AH11721" s="1963"/>
      <c r="AI11721" s="1963"/>
      <c r="AJ11721" s="1963"/>
      <c r="AK11721" s="1963"/>
      <c r="AL11721" s="1963"/>
      <c r="AM11721" s="1963"/>
      <c r="AN11721" s="1963"/>
      <c r="AO11721" s="1963"/>
      <c r="AP11721" s="1963"/>
      <c r="AQ11721" s="1963"/>
      <c r="AR11721" s="1963"/>
      <c r="AS11721" s="1963"/>
      <c r="AT11721" s="1963"/>
      <c r="AU11721" s="1963"/>
      <c r="AV11721" s="1963"/>
      <c r="AW11721" s="1963"/>
      <c r="AX11721" s="1963"/>
      <c r="AY11721" s="1963"/>
      <c r="AZ11721" s="1963"/>
      <c r="BA11721" s="1963"/>
      <c r="BB11721" s="1963"/>
      <c r="BC11721" s="1963"/>
      <c r="BD11721" s="1963"/>
      <c r="BE11721" s="1963"/>
      <c r="BF11721" s="1963"/>
      <c r="BG11721" s="1963"/>
      <c r="BH11721" s="1963"/>
      <c r="BI11721" s="1963"/>
      <c r="BJ11721" s="1963"/>
      <c r="BK11721" s="1963"/>
      <c r="BL11721" s="1963"/>
      <c r="BM11721" s="1963"/>
      <c r="BN11721" s="1963"/>
      <c r="BO11721" s="1963"/>
      <c r="BP11721" s="1963"/>
      <c r="BQ11721" s="1963"/>
      <c r="BR11721" s="1963"/>
      <c r="BS11721" s="1963"/>
      <c r="BT11721" s="1963"/>
      <c r="BU11721" s="1963"/>
      <c r="BV11721" s="1963"/>
      <c r="BW11721" s="1963"/>
      <c r="BX11721" s="1963"/>
      <c r="BY11721" s="1963"/>
      <c r="BZ11721" s="1963"/>
      <c r="CA11721" s="1963"/>
      <c r="CB11721" s="1963"/>
      <c r="CC11721" s="1963"/>
      <c r="CD11721" s="1963"/>
      <c r="CE11721" s="1963"/>
      <c r="CF11721" s="1963"/>
      <c r="CG11721" s="1963"/>
      <c r="CH11721" s="1963"/>
      <c r="CI11721" s="1963"/>
      <c r="CJ11721" s="1963"/>
      <c r="CK11721" s="1963"/>
      <c r="CL11721" s="1963"/>
      <c r="CM11721" s="1963"/>
      <c r="CN11721" s="1963"/>
      <c r="CO11721" s="1963"/>
      <c r="CP11721" s="1963"/>
      <c r="CQ11721" s="1963"/>
      <c r="CR11721" s="1963"/>
      <c r="CS11721" s="1963"/>
      <c r="CT11721" s="1963"/>
      <c r="CU11721" s="1963"/>
      <c r="CV11721" s="1963"/>
      <c r="CW11721" s="1963"/>
      <c r="CX11721" s="1963"/>
      <c r="CY11721" s="1963"/>
      <c r="CZ11721" s="1963"/>
      <c r="DA11721" s="1963"/>
      <c r="DB11721" s="1963"/>
      <c r="DC11721" s="1963"/>
      <c r="DD11721" s="1963"/>
      <c r="DE11721" s="1963"/>
      <c r="DF11721" s="1963"/>
      <c r="DG11721" s="1963"/>
      <c r="DH11721" s="1963"/>
      <c r="DI11721" s="1963"/>
      <c r="DJ11721" s="1963"/>
      <c r="DK11721" s="1963"/>
      <c r="DL11721" s="1963"/>
      <c r="DM11721" s="1963"/>
      <c r="DN11721" s="1963"/>
      <c r="DO11721" s="1963"/>
    </row>
    <row r="11722" spans="1:119" s="59" customFormat="1" ht="15" customHeight="1">
      <c r="A11722" s="1170" t="s">
        <v>8895</v>
      </c>
      <c r="B11722" s="1187">
        <v>25</v>
      </c>
      <c r="C11722" s="1172" t="s">
        <v>8893</v>
      </c>
      <c r="D11722" s="1967" t="s">
        <v>8899</v>
      </c>
      <c r="E11722" s="1967" t="s">
        <v>8897</v>
      </c>
      <c r="F11722" s="1061">
        <f t="shared" si="153"/>
        <v>0.97</v>
      </c>
      <c r="G11722" s="771">
        <v>57.8</v>
      </c>
      <c r="H11722" s="2070">
        <f t="shared" si="154"/>
        <v>0.50343642611683848</v>
      </c>
      <c r="I11722" s="2130">
        <v>120</v>
      </c>
      <c r="J11722" s="1963"/>
      <c r="K11722" s="1963"/>
      <c r="L11722" s="1963"/>
      <c r="M11722" s="1963"/>
      <c r="N11722" s="1963"/>
      <c r="O11722" s="1963"/>
      <c r="P11722" s="1963"/>
      <c r="Q11722" s="1963"/>
      <c r="R11722" s="1963"/>
      <c r="S11722" s="1963"/>
      <c r="T11722" s="1963"/>
      <c r="U11722" s="1963"/>
      <c r="V11722" s="1963"/>
      <c r="W11722" s="1963"/>
      <c r="X11722" s="1963"/>
      <c r="Y11722" s="1963"/>
      <c r="Z11722" s="1963"/>
      <c r="AA11722" s="1963"/>
      <c r="AB11722" s="1963"/>
      <c r="AC11722" s="1963"/>
      <c r="AD11722" s="1963"/>
      <c r="AE11722" s="1963"/>
      <c r="AF11722" s="1963"/>
      <c r="AG11722" s="1963"/>
      <c r="AH11722" s="1963"/>
      <c r="AI11722" s="1963"/>
      <c r="AJ11722" s="1963"/>
      <c r="AK11722" s="1963"/>
      <c r="AL11722" s="1963"/>
      <c r="AM11722" s="1963"/>
      <c r="AN11722" s="1963"/>
      <c r="AO11722" s="1963"/>
      <c r="AP11722" s="1963"/>
      <c r="AQ11722" s="1963"/>
      <c r="AR11722" s="1963"/>
      <c r="AS11722" s="1963"/>
      <c r="AT11722" s="1963"/>
      <c r="AU11722" s="1963"/>
      <c r="AV11722" s="1963"/>
      <c r="AW11722" s="1963"/>
      <c r="AX11722" s="1963"/>
      <c r="AY11722" s="1963"/>
      <c r="AZ11722" s="1963"/>
      <c r="BA11722" s="1963"/>
      <c r="BB11722" s="1963"/>
      <c r="BC11722" s="1963"/>
      <c r="BD11722" s="1963"/>
      <c r="BE11722" s="1963"/>
      <c r="BF11722" s="1963"/>
      <c r="BG11722" s="1963"/>
      <c r="BH11722" s="1963"/>
      <c r="BI11722" s="1963"/>
      <c r="BJ11722" s="1963"/>
      <c r="BK11722" s="1963"/>
      <c r="BL11722" s="1963"/>
      <c r="BM11722" s="1963"/>
      <c r="BN11722" s="1963"/>
      <c r="BO11722" s="1963"/>
      <c r="BP11722" s="1963"/>
      <c r="BQ11722" s="1963"/>
      <c r="BR11722" s="1963"/>
      <c r="BS11722" s="1963"/>
      <c r="BT11722" s="1963"/>
      <c r="BU11722" s="1963"/>
      <c r="BV11722" s="1963"/>
      <c r="BW11722" s="1963"/>
      <c r="BX11722" s="1963"/>
      <c r="BY11722" s="1963"/>
      <c r="BZ11722" s="1963"/>
      <c r="CA11722" s="1963"/>
      <c r="CB11722" s="1963"/>
      <c r="CC11722" s="1963"/>
      <c r="CD11722" s="1963"/>
      <c r="CE11722" s="1963"/>
      <c r="CF11722" s="1963"/>
      <c r="CG11722" s="1963"/>
      <c r="CH11722" s="1963"/>
      <c r="CI11722" s="1963"/>
      <c r="CJ11722" s="1963"/>
      <c r="CK11722" s="1963"/>
      <c r="CL11722" s="1963"/>
      <c r="CM11722" s="1963"/>
      <c r="CN11722" s="1963"/>
      <c r="CO11722" s="1963"/>
      <c r="CP11722" s="1963"/>
      <c r="CQ11722" s="1963"/>
      <c r="CR11722" s="1963"/>
      <c r="CS11722" s="1963"/>
      <c r="CT11722" s="1963"/>
      <c r="CU11722" s="1963"/>
      <c r="CV11722" s="1963"/>
      <c r="CW11722" s="1963"/>
      <c r="CX11722" s="1963"/>
      <c r="CY11722" s="1963"/>
      <c r="CZ11722" s="1963"/>
      <c r="DA11722" s="1963"/>
      <c r="DB11722" s="1963"/>
      <c r="DC11722" s="1963"/>
      <c r="DD11722" s="1963"/>
      <c r="DE11722" s="1963"/>
      <c r="DF11722" s="1963"/>
      <c r="DG11722" s="1963"/>
      <c r="DH11722" s="1963"/>
      <c r="DI11722" s="1963"/>
      <c r="DJ11722" s="1963"/>
      <c r="DK11722" s="1963"/>
      <c r="DL11722" s="1963"/>
      <c r="DM11722" s="1963"/>
      <c r="DN11722" s="1963"/>
      <c r="DO11722" s="1963"/>
    </row>
    <row r="11723" spans="1:119" s="59" customFormat="1" ht="15" customHeight="1">
      <c r="A11723" s="1170" t="s">
        <v>8895</v>
      </c>
      <c r="B11723" s="1187">
        <v>32</v>
      </c>
      <c r="C11723" s="1172" t="s">
        <v>8893</v>
      </c>
      <c r="D11723" s="1967" t="s">
        <v>8899</v>
      </c>
      <c r="E11723" s="1967" t="s">
        <v>8897</v>
      </c>
      <c r="F11723" s="1061">
        <f t="shared" si="153"/>
        <v>1.27</v>
      </c>
      <c r="G11723" s="771">
        <v>75.833330000000004</v>
      </c>
      <c r="H11723" s="2070">
        <f t="shared" si="154"/>
        <v>0.50240597112860896</v>
      </c>
      <c r="I11723" s="2130">
        <v>120</v>
      </c>
      <c r="J11723" s="1963"/>
      <c r="K11723" s="1963"/>
      <c r="L11723" s="1963"/>
      <c r="M11723" s="1963"/>
      <c r="N11723" s="1963"/>
      <c r="O11723" s="1963"/>
      <c r="P11723" s="1963"/>
      <c r="Q11723" s="1963"/>
      <c r="R11723" s="1963"/>
      <c r="S11723" s="1963"/>
      <c r="T11723" s="1963"/>
      <c r="U11723" s="1963"/>
      <c r="V11723" s="1963"/>
      <c r="W11723" s="1963"/>
      <c r="X11723" s="1963"/>
      <c r="Y11723" s="1963"/>
      <c r="Z11723" s="1963"/>
      <c r="AA11723" s="1963"/>
      <c r="AB11723" s="1963"/>
      <c r="AC11723" s="1963"/>
      <c r="AD11723" s="1963"/>
      <c r="AE11723" s="1963"/>
      <c r="AF11723" s="1963"/>
      <c r="AG11723" s="1963"/>
      <c r="AH11723" s="1963"/>
      <c r="AI11723" s="1963"/>
      <c r="AJ11723" s="1963"/>
      <c r="AK11723" s="1963"/>
      <c r="AL11723" s="1963"/>
      <c r="AM11723" s="1963"/>
      <c r="AN11723" s="1963"/>
      <c r="AO11723" s="1963"/>
      <c r="AP11723" s="1963"/>
      <c r="AQ11723" s="1963"/>
      <c r="AR11723" s="1963"/>
      <c r="AS11723" s="1963"/>
      <c r="AT11723" s="1963"/>
      <c r="AU11723" s="1963"/>
      <c r="AV11723" s="1963"/>
      <c r="AW11723" s="1963"/>
      <c r="AX11723" s="1963"/>
      <c r="AY11723" s="1963"/>
      <c r="AZ11723" s="1963"/>
      <c r="BA11723" s="1963"/>
      <c r="BB11723" s="1963"/>
      <c r="BC11723" s="1963"/>
      <c r="BD11723" s="1963"/>
      <c r="BE11723" s="1963"/>
      <c r="BF11723" s="1963"/>
      <c r="BG11723" s="1963"/>
      <c r="BH11723" s="1963"/>
      <c r="BI11723" s="1963"/>
      <c r="BJ11723" s="1963"/>
      <c r="BK11723" s="1963"/>
      <c r="BL11723" s="1963"/>
      <c r="BM11723" s="1963"/>
      <c r="BN11723" s="1963"/>
      <c r="BO11723" s="1963"/>
      <c r="BP11723" s="1963"/>
      <c r="BQ11723" s="1963"/>
      <c r="BR11723" s="1963"/>
      <c r="BS11723" s="1963"/>
      <c r="BT11723" s="1963"/>
      <c r="BU11723" s="1963"/>
      <c r="BV11723" s="1963"/>
      <c r="BW11723" s="1963"/>
      <c r="BX11723" s="1963"/>
      <c r="BY11723" s="1963"/>
      <c r="BZ11723" s="1963"/>
      <c r="CA11723" s="1963"/>
      <c r="CB11723" s="1963"/>
      <c r="CC11723" s="1963"/>
      <c r="CD11723" s="1963"/>
      <c r="CE11723" s="1963"/>
      <c r="CF11723" s="1963"/>
      <c r="CG11723" s="1963"/>
      <c r="CH11723" s="1963"/>
      <c r="CI11723" s="1963"/>
      <c r="CJ11723" s="1963"/>
      <c r="CK11723" s="1963"/>
      <c r="CL11723" s="1963"/>
      <c r="CM11723" s="1963"/>
      <c r="CN11723" s="1963"/>
      <c r="CO11723" s="1963"/>
      <c r="CP11723" s="1963"/>
      <c r="CQ11723" s="1963"/>
      <c r="CR11723" s="1963"/>
      <c r="CS11723" s="1963"/>
      <c r="CT11723" s="1963"/>
      <c r="CU11723" s="1963"/>
      <c r="CV11723" s="1963"/>
      <c r="CW11723" s="1963"/>
      <c r="CX11723" s="1963"/>
      <c r="CY11723" s="1963"/>
      <c r="CZ11723" s="1963"/>
      <c r="DA11723" s="1963"/>
      <c r="DB11723" s="1963"/>
      <c r="DC11723" s="1963"/>
      <c r="DD11723" s="1963"/>
      <c r="DE11723" s="1963"/>
      <c r="DF11723" s="1963"/>
      <c r="DG11723" s="1963"/>
      <c r="DH11723" s="1963"/>
      <c r="DI11723" s="1963"/>
      <c r="DJ11723" s="1963"/>
      <c r="DK11723" s="1963"/>
      <c r="DL11723" s="1963"/>
      <c r="DM11723" s="1963"/>
      <c r="DN11723" s="1963"/>
      <c r="DO11723" s="1963"/>
    </row>
    <row r="11724" spans="1:119" s="59" customFormat="1" ht="15" customHeight="1">
      <c r="A11724" s="1170" t="s">
        <v>8895</v>
      </c>
      <c r="B11724" s="1187">
        <v>38</v>
      </c>
      <c r="C11724" s="1172" t="s">
        <v>8893</v>
      </c>
      <c r="D11724" s="1967" t="s">
        <v>8899</v>
      </c>
      <c r="E11724" s="1967" t="s">
        <v>8897</v>
      </c>
      <c r="F11724" s="1061">
        <f t="shared" si="153"/>
        <v>1.6</v>
      </c>
      <c r="G11724" s="771">
        <v>95.7</v>
      </c>
      <c r="H11724" s="2070">
        <f t="shared" si="154"/>
        <v>0.50156250000000002</v>
      </c>
      <c r="I11724" s="2130">
        <v>120</v>
      </c>
      <c r="J11724" s="1963"/>
      <c r="K11724" s="1963"/>
      <c r="L11724" s="1963"/>
      <c r="M11724" s="1963"/>
      <c r="N11724" s="1963"/>
      <c r="O11724" s="1963"/>
      <c r="P11724" s="1963"/>
      <c r="Q11724" s="1963"/>
      <c r="R11724" s="1963"/>
      <c r="S11724" s="1963"/>
      <c r="T11724" s="1963"/>
      <c r="U11724" s="1963"/>
      <c r="V11724" s="1963"/>
      <c r="W11724" s="1963"/>
      <c r="X11724" s="1963"/>
      <c r="Y11724" s="1963"/>
      <c r="Z11724" s="1963"/>
      <c r="AA11724" s="1963"/>
      <c r="AB11724" s="1963"/>
      <c r="AC11724" s="1963"/>
      <c r="AD11724" s="1963"/>
      <c r="AE11724" s="1963"/>
      <c r="AF11724" s="1963"/>
      <c r="AG11724" s="1963"/>
      <c r="AH11724" s="1963"/>
      <c r="AI11724" s="1963"/>
      <c r="AJ11724" s="1963"/>
      <c r="AK11724" s="1963"/>
      <c r="AL11724" s="1963"/>
      <c r="AM11724" s="1963"/>
      <c r="AN11724" s="1963"/>
      <c r="AO11724" s="1963"/>
      <c r="AP11724" s="1963"/>
      <c r="AQ11724" s="1963"/>
      <c r="AR11724" s="1963"/>
      <c r="AS11724" s="1963"/>
      <c r="AT11724" s="1963"/>
      <c r="AU11724" s="1963"/>
      <c r="AV11724" s="1963"/>
      <c r="AW11724" s="1963"/>
      <c r="AX11724" s="1963"/>
      <c r="AY11724" s="1963"/>
      <c r="AZ11724" s="1963"/>
      <c r="BA11724" s="1963"/>
      <c r="BB11724" s="1963"/>
      <c r="BC11724" s="1963"/>
      <c r="BD11724" s="1963"/>
      <c r="BE11724" s="1963"/>
      <c r="BF11724" s="1963"/>
      <c r="BG11724" s="1963"/>
      <c r="BH11724" s="1963"/>
      <c r="BI11724" s="1963"/>
      <c r="BJ11724" s="1963"/>
      <c r="BK11724" s="1963"/>
      <c r="BL11724" s="1963"/>
      <c r="BM11724" s="1963"/>
      <c r="BN11724" s="1963"/>
      <c r="BO11724" s="1963"/>
      <c r="BP11724" s="1963"/>
      <c r="BQ11724" s="1963"/>
      <c r="BR11724" s="1963"/>
      <c r="BS11724" s="1963"/>
      <c r="BT11724" s="1963"/>
      <c r="BU11724" s="1963"/>
      <c r="BV11724" s="1963"/>
      <c r="BW11724" s="1963"/>
      <c r="BX11724" s="1963"/>
      <c r="BY11724" s="1963"/>
      <c r="BZ11724" s="1963"/>
      <c r="CA11724" s="1963"/>
      <c r="CB11724" s="1963"/>
      <c r="CC11724" s="1963"/>
      <c r="CD11724" s="1963"/>
      <c r="CE11724" s="1963"/>
      <c r="CF11724" s="1963"/>
      <c r="CG11724" s="1963"/>
      <c r="CH11724" s="1963"/>
      <c r="CI11724" s="1963"/>
      <c r="CJ11724" s="1963"/>
      <c r="CK11724" s="1963"/>
      <c r="CL11724" s="1963"/>
      <c r="CM11724" s="1963"/>
      <c r="CN11724" s="1963"/>
      <c r="CO11724" s="1963"/>
      <c r="CP11724" s="1963"/>
      <c r="CQ11724" s="1963"/>
      <c r="CR11724" s="1963"/>
      <c r="CS11724" s="1963"/>
      <c r="CT11724" s="1963"/>
      <c r="CU11724" s="1963"/>
      <c r="CV11724" s="1963"/>
      <c r="CW11724" s="1963"/>
      <c r="CX11724" s="1963"/>
      <c r="CY11724" s="1963"/>
      <c r="CZ11724" s="1963"/>
      <c r="DA11724" s="1963"/>
      <c r="DB11724" s="1963"/>
      <c r="DC11724" s="1963"/>
      <c r="DD11724" s="1963"/>
      <c r="DE11724" s="1963"/>
      <c r="DF11724" s="1963"/>
      <c r="DG11724" s="1963"/>
      <c r="DH11724" s="1963"/>
      <c r="DI11724" s="1963"/>
      <c r="DJ11724" s="1963"/>
      <c r="DK11724" s="1963"/>
      <c r="DL11724" s="1963"/>
      <c r="DM11724" s="1963"/>
      <c r="DN11724" s="1963"/>
      <c r="DO11724" s="1963"/>
    </row>
    <row r="11725" spans="1:119" s="59" customFormat="1" ht="15" customHeight="1">
      <c r="A11725" s="1170" t="s">
        <v>8895</v>
      </c>
      <c r="B11725" s="1187">
        <v>50</v>
      </c>
      <c r="C11725" s="1172" t="s">
        <v>8893</v>
      </c>
      <c r="D11725" s="1967" t="s">
        <v>8899</v>
      </c>
      <c r="E11725" s="1967" t="s">
        <v>8897</v>
      </c>
      <c r="F11725" s="1061">
        <f t="shared" si="153"/>
        <v>2.3099999999999996</v>
      </c>
      <c r="G11725" s="771">
        <v>138.5</v>
      </c>
      <c r="H11725" s="2070">
        <f t="shared" si="154"/>
        <v>0.50036075036075034</v>
      </c>
      <c r="I11725" s="2130">
        <v>120</v>
      </c>
      <c r="J11725" s="1963"/>
      <c r="K11725" s="1963"/>
      <c r="L11725" s="1963"/>
      <c r="M11725" s="1963"/>
      <c r="N11725" s="1963"/>
      <c r="O11725" s="1963"/>
      <c r="P11725" s="1963"/>
      <c r="Q11725" s="1963"/>
      <c r="R11725" s="1963"/>
      <c r="S11725" s="1963"/>
      <c r="T11725" s="1963"/>
      <c r="U11725" s="1963"/>
      <c r="V11725" s="1963"/>
      <c r="W11725" s="1963"/>
      <c r="X11725" s="1963"/>
      <c r="Y11725" s="1963"/>
      <c r="Z11725" s="1963"/>
      <c r="AA11725" s="1963"/>
      <c r="AB11725" s="1963"/>
      <c r="AC11725" s="1963"/>
      <c r="AD11725" s="1963"/>
      <c r="AE11725" s="1963"/>
      <c r="AF11725" s="1963"/>
      <c r="AG11725" s="1963"/>
      <c r="AH11725" s="1963"/>
      <c r="AI11725" s="1963"/>
      <c r="AJ11725" s="1963"/>
      <c r="AK11725" s="1963"/>
      <c r="AL11725" s="1963"/>
      <c r="AM11725" s="1963"/>
      <c r="AN11725" s="1963"/>
      <c r="AO11725" s="1963"/>
      <c r="AP11725" s="1963"/>
      <c r="AQ11725" s="1963"/>
      <c r="AR11725" s="1963"/>
      <c r="AS11725" s="1963"/>
      <c r="AT11725" s="1963"/>
      <c r="AU11725" s="1963"/>
      <c r="AV11725" s="1963"/>
      <c r="AW11725" s="1963"/>
      <c r="AX11725" s="1963"/>
      <c r="AY11725" s="1963"/>
      <c r="AZ11725" s="1963"/>
      <c r="BA11725" s="1963"/>
      <c r="BB11725" s="1963"/>
      <c r="BC11725" s="1963"/>
      <c r="BD11725" s="1963"/>
      <c r="BE11725" s="1963"/>
      <c r="BF11725" s="1963"/>
      <c r="BG11725" s="1963"/>
      <c r="BH11725" s="1963"/>
      <c r="BI11725" s="1963"/>
      <c r="BJ11725" s="1963"/>
      <c r="BK11725" s="1963"/>
      <c r="BL11725" s="1963"/>
      <c r="BM11725" s="1963"/>
      <c r="BN11725" s="1963"/>
      <c r="BO11725" s="1963"/>
      <c r="BP11725" s="1963"/>
      <c r="BQ11725" s="1963"/>
      <c r="BR11725" s="1963"/>
      <c r="BS11725" s="1963"/>
      <c r="BT11725" s="1963"/>
      <c r="BU11725" s="1963"/>
      <c r="BV11725" s="1963"/>
      <c r="BW11725" s="1963"/>
      <c r="BX11725" s="1963"/>
      <c r="BY11725" s="1963"/>
      <c r="BZ11725" s="1963"/>
      <c r="CA11725" s="1963"/>
      <c r="CB11725" s="1963"/>
      <c r="CC11725" s="1963"/>
      <c r="CD11725" s="1963"/>
      <c r="CE11725" s="1963"/>
      <c r="CF11725" s="1963"/>
      <c r="CG11725" s="1963"/>
      <c r="CH11725" s="1963"/>
      <c r="CI11725" s="1963"/>
      <c r="CJ11725" s="1963"/>
      <c r="CK11725" s="1963"/>
      <c r="CL11725" s="1963"/>
      <c r="CM11725" s="1963"/>
      <c r="CN11725" s="1963"/>
      <c r="CO11725" s="1963"/>
      <c r="CP11725" s="1963"/>
      <c r="CQ11725" s="1963"/>
      <c r="CR11725" s="1963"/>
      <c r="CS11725" s="1963"/>
      <c r="CT11725" s="1963"/>
      <c r="CU11725" s="1963"/>
      <c r="CV11725" s="1963"/>
      <c r="CW11725" s="1963"/>
      <c r="CX11725" s="1963"/>
      <c r="CY11725" s="1963"/>
      <c r="CZ11725" s="1963"/>
      <c r="DA11725" s="1963"/>
      <c r="DB11725" s="1963"/>
      <c r="DC11725" s="1963"/>
      <c r="DD11725" s="1963"/>
      <c r="DE11725" s="1963"/>
      <c r="DF11725" s="1963"/>
      <c r="DG11725" s="1963"/>
      <c r="DH11725" s="1963"/>
      <c r="DI11725" s="1963"/>
      <c r="DJ11725" s="1963"/>
      <c r="DK11725" s="1963"/>
      <c r="DL11725" s="1963"/>
      <c r="DM11725" s="1963"/>
      <c r="DN11725" s="1963"/>
      <c r="DO11725" s="1963"/>
    </row>
    <row r="11728" spans="1:119" ht="14.25">
      <c r="A11728" s="1971" t="s">
        <v>8907</v>
      </c>
    </row>
    <row r="11729" spans="1:7" s="843" customFormat="1" ht="14.25">
      <c r="A11729" s="886" t="s">
        <v>1400</v>
      </c>
      <c r="B11729" s="953" t="s">
        <v>2467</v>
      </c>
      <c r="C11729" s="2318" t="s">
        <v>8906</v>
      </c>
      <c r="D11729" s="939" t="s">
        <v>6080</v>
      </c>
      <c r="E11729" s="940" t="s">
        <v>6081</v>
      </c>
    </row>
    <row r="11730" spans="1:7" s="843" customFormat="1" ht="14.25">
      <c r="A11730" s="954" t="s">
        <v>8908</v>
      </c>
      <c r="B11730" s="957">
        <v>8.1300000000000008</v>
      </c>
      <c r="C11730" s="2170">
        <f>750+30</f>
        <v>780</v>
      </c>
      <c r="D11730" s="2317">
        <f>(B11730-(C11730/E11730))/B11730</f>
        <v>0.20049200492004929</v>
      </c>
      <c r="E11730" s="2000">
        <v>120</v>
      </c>
    </row>
    <row r="11733" spans="1:7" ht="14.25">
      <c r="A11733" s="1971" t="s">
        <v>8909</v>
      </c>
    </row>
    <row r="11734" spans="1:7" s="843" customFormat="1" ht="14.25">
      <c r="A11734" s="886" t="s">
        <v>1400</v>
      </c>
      <c r="B11734" s="886" t="s">
        <v>8912</v>
      </c>
      <c r="C11734" s="886" t="s">
        <v>1053</v>
      </c>
      <c r="D11734" s="953" t="s">
        <v>2467</v>
      </c>
      <c r="E11734" s="2318" t="s">
        <v>8906</v>
      </c>
      <c r="F11734" s="939" t="s">
        <v>6080</v>
      </c>
      <c r="G11734" s="940" t="s">
        <v>6081</v>
      </c>
    </row>
    <row r="11735" spans="1:7" s="843" customFormat="1" ht="14.25">
      <c r="A11735" s="954" t="s">
        <v>8910</v>
      </c>
      <c r="B11735" s="954" t="s">
        <v>8913</v>
      </c>
      <c r="C11735" s="954" t="s">
        <v>8911</v>
      </c>
      <c r="D11735" s="957">
        <v>18.55</v>
      </c>
      <c r="E11735" s="2170">
        <f>1750+30</f>
        <v>1780</v>
      </c>
      <c r="F11735" s="2317">
        <f>(D11735-(E11735/G11735))/D11735</f>
        <v>0.20035938903863432</v>
      </c>
      <c r="G11735" s="2000">
        <v>120</v>
      </c>
    </row>
    <row r="11739" spans="1:7" s="1019" customFormat="1" ht="12.75">
      <c r="A11739" s="1019" t="s">
        <v>8914</v>
      </c>
    </row>
    <row r="11740" spans="1:7" s="2103" customFormat="1" ht="27">
      <c r="A11740" s="887" t="s">
        <v>8763</v>
      </c>
      <c r="B11740" s="1772" t="s">
        <v>5514</v>
      </c>
      <c r="C11740" s="1783" t="s">
        <v>6976</v>
      </c>
      <c r="D11740" s="2318" t="s">
        <v>8146</v>
      </c>
      <c r="E11740" s="2037" t="s">
        <v>6080</v>
      </c>
      <c r="F11740" s="2037" t="s">
        <v>6081</v>
      </c>
    </row>
    <row r="11741" spans="1:7" s="2103" customFormat="1" ht="24" customHeight="1">
      <c r="A11741" s="1197" t="s">
        <v>8915</v>
      </c>
      <c r="B11741" s="1197" t="s">
        <v>6447</v>
      </c>
      <c r="C11741" s="2105">
        <f>ROUNDUP(D11741/0.8/120,2)</f>
        <v>8.129999999999999</v>
      </c>
      <c r="D11741" s="2170">
        <f>750+30</f>
        <v>780</v>
      </c>
      <c r="E11741" s="2083">
        <f>(C11741-(D11741/F11741))/C11741</f>
        <v>0.20049200492004909</v>
      </c>
      <c r="F11741" s="245">
        <v>120</v>
      </c>
    </row>
    <row r="11742" spans="1:7" s="2103" customFormat="1" ht="24" customHeight="1">
      <c r="A11742" s="1197" t="s">
        <v>8916</v>
      </c>
      <c r="B11742" s="1197" t="s">
        <v>6447</v>
      </c>
      <c r="C11742" s="2105"/>
      <c r="D11742" s="2104"/>
      <c r="E11742" s="2083" t="e">
        <f>(C11742-(D11742/F11742))/C11742</f>
        <v>#DIV/0!</v>
      </c>
      <c r="F11742" s="245">
        <v>120</v>
      </c>
    </row>
    <row r="11743" spans="1:7" s="2103" customFormat="1" ht="24" customHeight="1">
      <c r="A11743" s="1197" t="s">
        <v>8917</v>
      </c>
      <c r="B11743" s="1197" t="s">
        <v>6447</v>
      </c>
      <c r="C11743" s="2105"/>
      <c r="D11743" s="2104">
        <f>1070+30</f>
        <v>1100</v>
      </c>
      <c r="E11743" s="2083" t="e">
        <f>(C11743-(D11743/F11743))/C11743</f>
        <v>#DIV/0!</v>
      </c>
      <c r="F11743" s="245">
        <v>120</v>
      </c>
    </row>
    <row r="11744" spans="1:7" s="2103" customFormat="1" ht="24" customHeight="1">
      <c r="A11744" s="1197" t="s">
        <v>8918</v>
      </c>
      <c r="B11744" s="1197" t="s">
        <v>6447</v>
      </c>
      <c r="C11744" s="2105"/>
      <c r="D11744" s="2104">
        <f>1020+30</f>
        <v>1050</v>
      </c>
      <c r="E11744" s="2083" t="e">
        <f>(C11744-(D11744/F11744))/C11744</f>
        <v>#DIV/0!</v>
      </c>
      <c r="F11744" s="245">
        <v>120</v>
      </c>
    </row>
    <row r="11747" spans="1:117" s="1019" customFormat="1" ht="12.75">
      <c r="A11747" s="1019" t="s">
        <v>8919</v>
      </c>
    </row>
    <row r="11748" spans="1:117" s="888" customFormat="1" ht="25.5">
      <c r="A11748" s="887" t="s">
        <v>455</v>
      </c>
      <c r="B11748" s="887" t="s">
        <v>128</v>
      </c>
      <c r="C11748" s="887" t="s">
        <v>8351</v>
      </c>
      <c r="D11748" s="1783" t="s">
        <v>1323</v>
      </c>
      <c r="E11748" s="1783" t="s">
        <v>8921</v>
      </c>
      <c r="F11748" s="1958" t="s">
        <v>8360</v>
      </c>
      <c r="G11748" s="2581" t="s">
        <v>6080</v>
      </c>
      <c r="H11748" s="2130" t="s">
        <v>6081</v>
      </c>
    </row>
    <row r="11749" spans="1:117" s="888" customFormat="1" ht="12.75">
      <c r="A11749" s="1865" t="s">
        <v>8920</v>
      </c>
      <c r="B11749" s="2580" t="s">
        <v>7694</v>
      </c>
      <c r="C11749" s="905">
        <v>10</v>
      </c>
      <c r="D11749" s="1058">
        <f>ROUNDUP(F11749/0.6/120,2)</f>
        <v>2.3699999999999997</v>
      </c>
      <c r="E11749" s="2582" t="s">
        <v>7260</v>
      </c>
      <c r="F11749" s="1922">
        <v>170</v>
      </c>
      <c r="G11749" s="2070">
        <f>(D11749-(F11749/H11749))/D11749</f>
        <v>0.40225035161744011</v>
      </c>
      <c r="H11749" s="2130">
        <v>120</v>
      </c>
    </row>
    <row r="11750" spans="1:117" s="888" customFormat="1" ht="12.75">
      <c r="A11750" s="1865" t="s">
        <v>8920</v>
      </c>
      <c r="B11750" s="2580" t="s">
        <v>8352</v>
      </c>
      <c r="C11750" s="905" t="s">
        <v>8500</v>
      </c>
      <c r="D11750" s="1058">
        <f>ROUNDUP(F11750/0.6/120,2)</f>
        <v>3.8899999999999997</v>
      </c>
      <c r="E11750" s="2582" t="s">
        <v>2346</v>
      </c>
      <c r="F11750" s="1922">
        <f>170+110</f>
        <v>280</v>
      </c>
      <c r="G11750" s="2070">
        <f>(D11750-(F11750/H11750))/D11750</f>
        <v>0.40017137960582683</v>
      </c>
      <c r="H11750" s="2130">
        <v>120</v>
      </c>
    </row>
    <row r="11752" spans="1:117">
      <c r="A11752" t="s">
        <v>8926</v>
      </c>
    </row>
    <row r="11753" spans="1:117" s="1163" customFormat="1" ht="15.75">
      <c r="A11753" s="1166" t="s">
        <v>1369</v>
      </c>
      <c r="B11753" s="1167" t="s">
        <v>2</v>
      </c>
      <c r="C11753" s="1168" t="s">
        <v>1734</v>
      </c>
      <c r="D11753" s="2214" t="s">
        <v>2467</v>
      </c>
      <c r="E11753" s="2215" t="s">
        <v>6808</v>
      </c>
      <c r="F11753" s="2216" t="s">
        <v>6669</v>
      </c>
      <c r="G11753" s="2216" t="s">
        <v>6670</v>
      </c>
    </row>
    <row r="11754" spans="1:117" s="59" customFormat="1" ht="15" customHeight="1">
      <c r="A11754" s="1170" t="s">
        <v>8927</v>
      </c>
      <c r="B11754" s="1171">
        <v>30</v>
      </c>
      <c r="C11754" s="1172" t="s">
        <v>8928</v>
      </c>
      <c r="D11754" s="891">
        <v>0.31</v>
      </c>
      <c r="E11754" s="2217">
        <v>7.3</v>
      </c>
      <c r="F11754" s="2218">
        <f>(((D11754*G11754)-E11754)/(D11754*G11754))</f>
        <v>0.80376344086021501</v>
      </c>
      <c r="G11754" s="2219">
        <v>120</v>
      </c>
      <c r="H11754" s="1963"/>
      <c r="I11754" s="1963"/>
      <c r="J11754" s="1963"/>
      <c r="K11754" s="1963"/>
      <c r="L11754" s="1963"/>
      <c r="M11754" s="1963"/>
      <c r="N11754" s="1963"/>
      <c r="O11754" s="1963"/>
      <c r="P11754" s="1963"/>
      <c r="Q11754" s="1963"/>
      <c r="R11754" s="1963"/>
      <c r="S11754" s="1963"/>
      <c r="T11754" s="1963"/>
      <c r="U11754" s="1963"/>
      <c r="V11754" s="1963"/>
      <c r="W11754" s="1963"/>
      <c r="X11754" s="1963"/>
      <c r="Y11754" s="1963"/>
      <c r="Z11754" s="1963"/>
      <c r="AA11754" s="1963"/>
      <c r="AB11754" s="1963"/>
      <c r="AC11754" s="1963"/>
      <c r="AD11754" s="1963"/>
      <c r="AE11754" s="1963"/>
      <c r="AF11754" s="1963"/>
      <c r="AG11754" s="1963"/>
      <c r="AH11754" s="1963"/>
      <c r="AI11754" s="1963"/>
      <c r="AJ11754" s="1963"/>
      <c r="AK11754" s="1963"/>
      <c r="AL11754" s="1963"/>
      <c r="AM11754" s="1963"/>
      <c r="AN11754" s="1963"/>
      <c r="AO11754" s="1963"/>
      <c r="AP11754" s="1963"/>
      <c r="AQ11754" s="1963"/>
      <c r="AR11754" s="1963"/>
      <c r="AS11754" s="1963"/>
      <c r="AT11754" s="1963"/>
      <c r="AU11754" s="1963"/>
      <c r="AV11754" s="1963"/>
      <c r="AW11754" s="1963"/>
      <c r="AX11754" s="1963"/>
      <c r="AY11754" s="1963"/>
      <c r="AZ11754" s="1963"/>
      <c r="BA11754" s="1963"/>
      <c r="BB11754" s="1963"/>
      <c r="BC11754" s="1963"/>
      <c r="BD11754" s="1963"/>
      <c r="BE11754" s="1963"/>
      <c r="BF11754" s="1963"/>
      <c r="BG11754" s="1963"/>
      <c r="BH11754" s="1963"/>
      <c r="BI11754" s="1963"/>
      <c r="BJ11754" s="1963"/>
      <c r="BK11754" s="1963"/>
      <c r="BL11754" s="1963"/>
      <c r="BM11754" s="1963"/>
      <c r="BN11754" s="1963"/>
      <c r="BO11754" s="1963"/>
      <c r="BP11754" s="1963"/>
      <c r="BQ11754" s="1963"/>
      <c r="BR11754" s="1963"/>
      <c r="BS11754" s="1963"/>
      <c r="BT11754" s="1963"/>
      <c r="BU11754" s="1963"/>
      <c r="BV11754" s="1963"/>
      <c r="BW11754" s="1963"/>
      <c r="BX11754" s="1963"/>
      <c r="BY11754" s="1963"/>
      <c r="BZ11754" s="1963"/>
      <c r="CA11754" s="1963"/>
      <c r="CB11754" s="1963"/>
      <c r="CC11754" s="1963"/>
      <c r="CD11754" s="1963"/>
      <c r="CE11754" s="1963"/>
      <c r="CF11754" s="1963"/>
      <c r="CG11754" s="1963"/>
      <c r="CH11754" s="1963"/>
      <c r="CI11754" s="1963"/>
      <c r="CJ11754" s="1963"/>
      <c r="CK11754" s="1963"/>
      <c r="CL11754" s="1963"/>
      <c r="CM11754" s="1963"/>
      <c r="CN11754" s="1963"/>
      <c r="CO11754" s="1963"/>
      <c r="CP11754" s="1963"/>
      <c r="CQ11754" s="1963"/>
      <c r="CR11754" s="1963"/>
      <c r="CS11754" s="1963"/>
      <c r="CT11754" s="1963"/>
      <c r="CU11754" s="1963"/>
      <c r="CV11754" s="1963"/>
      <c r="CW11754" s="1963"/>
      <c r="CX11754" s="1963"/>
      <c r="CY11754" s="1963"/>
      <c r="CZ11754" s="1963"/>
      <c r="DA11754" s="1963"/>
      <c r="DB11754" s="1963"/>
      <c r="DC11754" s="1963"/>
      <c r="DD11754" s="1963"/>
      <c r="DE11754" s="1963"/>
      <c r="DF11754" s="1963"/>
      <c r="DG11754" s="1963"/>
      <c r="DH11754" s="1963"/>
      <c r="DI11754" s="1963"/>
      <c r="DJ11754" s="1963"/>
      <c r="DK11754" s="1963"/>
      <c r="DL11754" s="1963"/>
      <c r="DM11754" s="1963"/>
    </row>
    <row r="11757" spans="1:117">
      <c r="A11757" s="1166" t="s">
        <v>1369</v>
      </c>
      <c r="B11757" s="887" t="s">
        <v>128</v>
      </c>
      <c r="C11757" s="887" t="s">
        <v>1653</v>
      </c>
      <c r="D11757" s="1783" t="s">
        <v>1323</v>
      </c>
      <c r="E11757" s="1783" t="s">
        <v>2245</v>
      </c>
    </row>
    <row r="11758" spans="1:117">
      <c r="A11758" s="47" t="s">
        <v>8920</v>
      </c>
      <c r="B11758" s="260" t="s">
        <v>7694</v>
      </c>
      <c r="C11758" s="905">
        <v>4</v>
      </c>
      <c r="D11758" s="891">
        <v>2.37</v>
      </c>
      <c r="E11758" s="891">
        <f>D11758*C11758</f>
        <v>9.48</v>
      </c>
    </row>
    <row r="11759" spans="1:117">
      <c r="A11759" s="47"/>
      <c r="B11759" s="260" t="s">
        <v>1993</v>
      </c>
      <c r="C11759" s="894">
        <v>1</v>
      </c>
      <c r="D11759" s="891">
        <v>12</v>
      </c>
      <c r="E11759" s="891">
        <f>D11759*C11759</f>
        <v>12</v>
      </c>
    </row>
    <row r="11763" spans="1:13">
      <c r="A11763" s="1166" t="s">
        <v>1369</v>
      </c>
      <c r="B11763" s="887" t="s">
        <v>128</v>
      </c>
      <c r="C11763" s="887" t="s">
        <v>1653</v>
      </c>
      <c r="D11763" s="1783" t="s">
        <v>1323</v>
      </c>
    </row>
    <row r="11764" spans="1:13">
      <c r="A11764" s="47" t="s">
        <v>8935</v>
      </c>
      <c r="B11764" s="47" t="s">
        <v>8933</v>
      </c>
      <c r="C11764" s="905">
        <v>700</v>
      </c>
      <c r="D11764" s="891">
        <v>3.52</v>
      </c>
    </row>
    <row r="11765" spans="1:13">
      <c r="A11765" s="47" t="s">
        <v>8935</v>
      </c>
      <c r="B11765" s="47" t="s">
        <v>8934</v>
      </c>
      <c r="C11765" s="905">
        <v>130</v>
      </c>
      <c r="D11765" s="891">
        <v>3.52</v>
      </c>
    </row>
    <row r="11767" spans="1:13">
      <c r="A11767" t="s">
        <v>8945</v>
      </c>
    </row>
    <row r="11768" spans="1:13" s="1191" customFormat="1" ht="17.100000000000001" customHeight="1">
      <c r="A11768" s="2779" t="s">
        <v>8946</v>
      </c>
      <c r="B11768" s="2776" t="s">
        <v>6519</v>
      </c>
      <c r="C11768" s="2598" t="s">
        <v>8938</v>
      </c>
      <c r="D11768" s="2598"/>
      <c r="E11768" s="2598"/>
      <c r="F11768" s="2598"/>
      <c r="G11768" s="2780" t="s">
        <v>8939</v>
      </c>
      <c r="H11768" s="2599"/>
      <c r="I11768" s="2599"/>
      <c r="J11768" s="2781" t="s">
        <v>8940</v>
      </c>
      <c r="K11768" s="2781" t="s">
        <v>8941</v>
      </c>
      <c r="L11768" s="2782" t="s">
        <v>8942</v>
      </c>
      <c r="M11768" s="2783" t="s">
        <v>3459</v>
      </c>
    </row>
    <row r="11769" spans="1:13" s="1191" customFormat="1" ht="17.100000000000001" customHeight="1">
      <c r="A11769" s="2779"/>
      <c r="B11769" s="2776"/>
      <c r="C11769" s="2601" t="s">
        <v>8086</v>
      </c>
      <c r="D11769" s="2601" t="s">
        <v>8087</v>
      </c>
      <c r="E11769" s="2601" t="s">
        <v>8088</v>
      </c>
      <c r="F11769" s="2601" t="s">
        <v>8089</v>
      </c>
      <c r="G11769" s="2780"/>
      <c r="H11769" s="2600" t="s">
        <v>8943</v>
      </c>
      <c r="I11769" s="2600" t="s">
        <v>8944</v>
      </c>
      <c r="J11769" s="2781"/>
      <c r="K11769" s="2781"/>
      <c r="L11769" s="2782"/>
      <c r="M11769" s="2783"/>
    </row>
    <row r="11770" spans="1:13" s="2591" customFormat="1" ht="17.100000000000001" customHeight="1">
      <c r="A11770" s="2592" t="s">
        <v>8936</v>
      </c>
      <c r="B11770" s="2593" t="s">
        <v>8937</v>
      </c>
      <c r="C11770" s="2594">
        <v>46.087730999999998</v>
      </c>
      <c r="D11770" s="2594">
        <v>45.184050000000006</v>
      </c>
      <c r="E11770" s="2594">
        <v>41.569326000000011</v>
      </c>
      <c r="F11770" s="2594">
        <v>39.761963999999999</v>
      </c>
      <c r="G11770" s="2595">
        <v>5.2</v>
      </c>
      <c r="H11770" s="2595">
        <v>301.60000000000002</v>
      </c>
      <c r="I11770" s="2595">
        <v>31.2</v>
      </c>
      <c r="J11770" s="2596">
        <v>301.60000000000002</v>
      </c>
      <c r="K11770" s="2596">
        <v>31.2</v>
      </c>
      <c r="L11770" s="2597">
        <v>119.30000000000001</v>
      </c>
      <c r="M11770" s="2595" t="s">
        <v>3460</v>
      </c>
    </row>
    <row r="11775" spans="1:13">
      <c r="A11775" s="1166" t="s">
        <v>1369</v>
      </c>
      <c r="B11775" s="887" t="s">
        <v>128</v>
      </c>
      <c r="C11775" s="887" t="s">
        <v>1653</v>
      </c>
      <c r="D11775" s="1783" t="s">
        <v>1323</v>
      </c>
      <c r="E11775" s="1783" t="s">
        <v>2245</v>
      </c>
    </row>
    <row r="11776" spans="1:13">
      <c r="A11776" s="47" t="s">
        <v>8836</v>
      </c>
      <c r="B11776" s="260" t="s">
        <v>7694</v>
      </c>
      <c r="C11776" s="905">
        <v>40</v>
      </c>
      <c r="D11776" s="891">
        <v>2.2999999999999998</v>
      </c>
      <c r="E11776" s="891">
        <f t="shared" ref="E11776:E11782" si="155">D11776*C11776</f>
        <v>92</v>
      </c>
    </row>
    <row r="11777" spans="1:7">
      <c r="A11777" s="47" t="s">
        <v>8831</v>
      </c>
      <c r="B11777" s="260" t="s">
        <v>7694</v>
      </c>
      <c r="C11777" s="905">
        <v>25</v>
      </c>
      <c r="D11777" s="891">
        <v>0.91</v>
      </c>
      <c r="E11777" s="891">
        <f t="shared" si="155"/>
        <v>22.75</v>
      </c>
    </row>
    <row r="11778" spans="1:7">
      <c r="A11778" s="47" t="s">
        <v>8836</v>
      </c>
      <c r="B11778" s="47" t="s">
        <v>8653</v>
      </c>
      <c r="C11778" s="905">
        <v>40</v>
      </c>
      <c r="D11778" s="891">
        <v>2.2999999999999998</v>
      </c>
      <c r="E11778" s="891">
        <f t="shared" si="155"/>
        <v>92</v>
      </c>
    </row>
    <row r="11779" spans="1:7">
      <c r="A11779" s="47" t="s">
        <v>8831</v>
      </c>
      <c r="B11779" s="47" t="s">
        <v>8653</v>
      </c>
      <c r="C11779" s="905">
        <v>25</v>
      </c>
      <c r="D11779" s="891">
        <v>0.91</v>
      </c>
      <c r="E11779" s="891">
        <f t="shared" si="155"/>
        <v>22.75</v>
      </c>
    </row>
    <row r="11780" spans="1:7">
      <c r="A11780" s="47"/>
      <c r="B11780" s="260" t="s">
        <v>8948</v>
      </c>
      <c r="C11780" s="894">
        <v>1</v>
      </c>
      <c r="D11780" s="891">
        <v>85</v>
      </c>
      <c r="E11780" s="891">
        <f t="shared" si="155"/>
        <v>85</v>
      </c>
    </row>
    <row r="11781" spans="1:7">
      <c r="A11781" s="47"/>
      <c r="B11781" s="260" t="s">
        <v>8949</v>
      </c>
      <c r="C11781" s="894">
        <v>1</v>
      </c>
      <c r="D11781" s="891">
        <v>75</v>
      </c>
      <c r="E11781" s="891">
        <f t="shared" si="155"/>
        <v>75</v>
      </c>
    </row>
    <row r="11782" spans="1:7">
      <c r="A11782" s="47"/>
      <c r="B11782" s="260" t="s">
        <v>1993</v>
      </c>
      <c r="C11782" s="894">
        <v>1</v>
      </c>
      <c r="D11782" s="891">
        <v>12</v>
      </c>
      <c r="E11782" s="891">
        <f t="shared" si="155"/>
        <v>12</v>
      </c>
    </row>
    <row r="11785" spans="1:7">
      <c r="A11785" s="345" t="s">
        <v>8952</v>
      </c>
      <c r="C11785" s="317"/>
      <c r="D11785" s="2037"/>
      <c r="E11785" s="317" t="s">
        <v>8951</v>
      </c>
      <c r="F11785" s="2037" t="s">
        <v>6080</v>
      </c>
      <c r="G11785" s="2037" t="s">
        <v>6081</v>
      </c>
    </row>
    <row r="11786" spans="1:7" ht="27">
      <c r="A11786" s="887" t="s">
        <v>6601</v>
      </c>
      <c r="B11786" s="887" t="s">
        <v>8956</v>
      </c>
      <c r="C11786" s="2030" t="s">
        <v>1323</v>
      </c>
      <c r="D11786" s="2030" t="s">
        <v>3293</v>
      </c>
      <c r="E11786" s="2318" t="s">
        <v>8146</v>
      </c>
      <c r="F11786" s="2257"/>
      <c r="G11786" s="2257"/>
    </row>
    <row r="11787" spans="1:7" ht="25.5">
      <c r="A11787" s="2602" t="s">
        <v>8953</v>
      </c>
      <c r="B11787" s="2602" t="s">
        <v>8955</v>
      </c>
      <c r="C11787" s="950">
        <f>ROUNDUP(E11787/0.8/120,2)</f>
        <v>11.67</v>
      </c>
      <c r="D11787" s="950"/>
      <c r="E11787" s="236">
        <f>720+400</f>
        <v>1120</v>
      </c>
      <c r="F11787" s="2038">
        <f>(((C11787*G11787)-E11787)/(C11787*G11787))</f>
        <v>0.2002285061411026</v>
      </c>
      <c r="G11787" s="245">
        <v>120</v>
      </c>
    </row>
    <row r="11788" spans="1:7" ht="25.5">
      <c r="A11788" s="2602" t="s">
        <v>8954</v>
      </c>
      <c r="B11788" s="2602" t="s">
        <v>8955</v>
      </c>
      <c r="C11788" s="950">
        <f>ROUNDUP(E11788/0.8/120,2)</f>
        <v>7.8199999999999994</v>
      </c>
      <c r="D11788" s="950"/>
      <c r="E11788" s="236">
        <f>720+30</f>
        <v>750</v>
      </c>
      <c r="F11788" s="2258">
        <f>(((C11788*G11788)-E11788)/(C11788*G11788))</f>
        <v>0.20076726342710996</v>
      </c>
      <c r="G11788" s="2259">
        <v>120</v>
      </c>
    </row>
    <row r="11791" spans="1:7">
      <c r="A11791" s="1166" t="s">
        <v>1369</v>
      </c>
      <c r="B11791" s="887" t="s">
        <v>128</v>
      </c>
      <c r="C11791" s="887" t="s">
        <v>1653</v>
      </c>
      <c r="D11791" s="1783" t="s">
        <v>1323</v>
      </c>
      <c r="E11791" s="1783" t="s">
        <v>2245</v>
      </c>
    </row>
    <row r="11792" spans="1:7">
      <c r="A11792" s="47" t="s">
        <v>8711</v>
      </c>
      <c r="B11792" s="47" t="s">
        <v>8958</v>
      </c>
      <c r="C11792" s="905">
        <v>80</v>
      </c>
      <c r="D11792" s="891">
        <v>4.7300000000000004</v>
      </c>
      <c r="E11792" s="891">
        <f t="shared" ref="E11792:E11799" si="156">D11792*C11792</f>
        <v>378.40000000000003</v>
      </c>
    </row>
    <row r="11793" spans="1:5">
      <c r="A11793" s="47" t="s">
        <v>8712</v>
      </c>
      <c r="B11793" s="47" t="s">
        <v>8958</v>
      </c>
      <c r="C11793" s="905">
        <v>80</v>
      </c>
      <c r="D11793" s="891">
        <v>3.44</v>
      </c>
      <c r="E11793" s="891">
        <f t="shared" si="156"/>
        <v>275.2</v>
      </c>
    </row>
    <row r="11794" spans="1:5">
      <c r="A11794" s="47" t="s">
        <v>8711</v>
      </c>
      <c r="B11794" s="47" t="s">
        <v>8959</v>
      </c>
      <c r="C11794" s="905">
        <v>40</v>
      </c>
      <c r="D11794" s="891">
        <v>4.7300000000000004</v>
      </c>
      <c r="E11794" s="891">
        <f t="shared" si="156"/>
        <v>189.20000000000002</v>
      </c>
    </row>
    <row r="11795" spans="1:5">
      <c r="A11795" s="47" t="s">
        <v>8712</v>
      </c>
      <c r="B11795" s="47" t="s">
        <v>8959</v>
      </c>
      <c r="C11795" s="905">
        <v>40</v>
      </c>
      <c r="D11795" s="891">
        <v>3.44</v>
      </c>
      <c r="E11795" s="891">
        <f t="shared" si="156"/>
        <v>137.6</v>
      </c>
    </row>
    <row r="11796" spans="1:5">
      <c r="A11796" s="47" t="s">
        <v>8711</v>
      </c>
      <c r="B11796" s="47" t="s">
        <v>8966</v>
      </c>
      <c r="C11796" s="905">
        <v>40</v>
      </c>
      <c r="D11796" s="891">
        <v>4.7300000000000004</v>
      </c>
      <c r="E11796" s="891">
        <f t="shared" si="156"/>
        <v>189.20000000000002</v>
      </c>
    </row>
    <row r="11797" spans="1:5">
      <c r="A11797" s="47" t="s">
        <v>8712</v>
      </c>
      <c r="B11797" s="47" t="s">
        <v>8966</v>
      </c>
      <c r="C11797" s="905">
        <v>40</v>
      </c>
      <c r="D11797" s="891">
        <v>3.44</v>
      </c>
      <c r="E11797" s="891">
        <f t="shared" si="156"/>
        <v>137.6</v>
      </c>
    </row>
    <row r="11798" spans="1:5">
      <c r="A11798" s="47"/>
      <c r="B11798" s="260" t="s">
        <v>8960</v>
      </c>
      <c r="C11798" s="894">
        <v>3</v>
      </c>
      <c r="D11798" s="891">
        <v>125</v>
      </c>
      <c r="E11798" s="891">
        <f t="shared" si="156"/>
        <v>375</v>
      </c>
    </row>
    <row r="11799" spans="1:5">
      <c r="A11799" s="47"/>
      <c r="B11799" s="260" t="s">
        <v>8961</v>
      </c>
      <c r="C11799" s="894">
        <v>3</v>
      </c>
      <c r="D11799" s="891">
        <v>115</v>
      </c>
      <c r="E11799" s="891">
        <f t="shared" si="156"/>
        <v>345</v>
      </c>
    </row>
    <row r="11800" spans="1:5">
      <c r="A11800" s="47"/>
      <c r="B11800" s="260"/>
      <c r="C11800" s="894"/>
      <c r="D11800" s="1202" t="s">
        <v>8967</v>
      </c>
      <c r="E11800" s="919">
        <f>SUM(E11792:E11799)</f>
        <v>2027.2</v>
      </c>
    </row>
    <row r="11804" spans="1:5">
      <c r="A11804" s="1166" t="s">
        <v>1369</v>
      </c>
      <c r="B11804" s="887" t="s">
        <v>128</v>
      </c>
      <c r="C11804" s="887" t="s">
        <v>1653</v>
      </c>
      <c r="D11804" s="1783" t="s">
        <v>1323</v>
      </c>
      <c r="E11804" s="1783" t="s">
        <v>2245</v>
      </c>
    </row>
    <row r="11805" spans="1:5">
      <c r="A11805" s="47" t="s">
        <v>8711</v>
      </c>
      <c r="B11805" s="47" t="s">
        <v>8958</v>
      </c>
      <c r="C11805" s="905">
        <v>80</v>
      </c>
      <c r="D11805" s="891">
        <v>4.7300000000000004</v>
      </c>
      <c r="E11805" s="891">
        <f t="shared" ref="E11805:E11813" si="157">D11805*C11805</f>
        <v>378.40000000000003</v>
      </c>
    </row>
    <row r="11806" spans="1:5">
      <c r="A11806" s="47" t="s">
        <v>8712</v>
      </c>
      <c r="B11806" s="47" t="s">
        <v>8958</v>
      </c>
      <c r="C11806" s="905">
        <v>80</v>
      </c>
      <c r="D11806" s="891">
        <v>3.44</v>
      </c>
      <c r="E11806" s="891">
        <f t="shared" si="157"/>
        <v>275.2</v>
      </c>
    </row>
    <row r="11807" spans="1:5">
      <c r="A11807" s="47"/>
      <c r="B11807" s="260" t="s">
        <v>8968</v>
      </c>
      <c r="C11807" s="894">
        <v>1</v>
      </c>
      <c r="D11807" s="891">
        <v>190</v>
      </c>
      <c r="E11807" s="891">
        <f t="shared" si="157"/>
        <v>190</v>
      </c>
    </row>
    <row r="11808" spans="1:5">
      <c r="A11808" s="47" t="s">
        <v>8711</v>
      </c>
      <c r="B11808" s="47" t="s">
        <v>8959</v>
      </c>
      <c r="C11808" s="905">
        <v>40</v>
      </c>
      <c r="D11808" s="891">
        <v>4.7300000000000004</v>
      </c>
      <c r="E11808" s="891">
        <f t="shared" si="157"/>
        <v>189.20000000000002</v>
      </c>
    </row>
    <row r="11809" spans="1:7">
      <c r="A11809" s="47" t="s">
        <v>8712</v>
      </c>
      <c r="B11809" s="47" t="s">
        <v>8959</v>
      </c>
      <c r="C11809" s="905">
        <v>40</v>
      </c>
      <c r="D11809" s="891">
        <v>3.44</v>
      </c>
      <c r="E11809" s="891">
        <f t="shared" si="157"/>
        <v>137.6</v>
      </c>
    </row>
    <row r="11810" spans="1:7">
      <c r="A11810" s="47"/>
      <c r="B11810" s="260" t="s">
        <v>8968</v>
      </c>
      <c r="C11810" s="894">
        <v>1</v>
      </c>
      <c r="D11810" s="891">
        <v>160</v>
      </c>
      <c r="E11810" s="891">
        <f t="shared" si="157"/>
        <v>160</v>
      </c>
    </row>
    <row r="11811" spans="1:7">
      <c r="A11811" s="47" t="s">
        <v>8711</v>
      </c>
      <c r="B11811" s="47" t="s">
        <v>8966</v>
      </c>
      <c r="C11811" s="905">
        <v>40</v>
      </c>
      <c r="D11811" s="891">
        <v>4.7300000000000004</v>
      </c>
      <c r="E11811" s="891">
        <f t="shared" si="157"/>
        <v>189.20000000000002</v>
      </c>
    </row>
    <row r="11812" spans="1:7">
      <c r="A11812" s="47" t="s">
        <v>8712</v>
      </c>
      <c r="B11812" s="47" t="s">
        <v>8966</v>
      </c>
      <c r="C11812" s="905">
        <v>40</v>
      </c>
      <c r="D11812" s="891">
        <v>3.44</v>
      </c>
      <c r="E11812" s="891">
        <f t="shared" si="157"/>
        <v>137.6</v>
      </c>
    </row>
    <row r="11813" spans="1:7">
      <c r="A11813" s="47"/>
      <c r="B11813" s="260" t="s">
        <v>8968</v>
      </c>
      <c r="C11813" s="894">
        <v>1</v>
      </c>
      <c r="D11813" s="891">
        <v>160</v>
      </c>
      <c r="E11813" s="891">
        <f t="shared" si="157"/>
        <v>160</v>
      </c>
    </row>
    <row r="11817" spans="1:7">
      <c r="A11817" s="1166" t="s">
        <v>1369</v>
      </c>
      <c r="B11817" s="887" t="s">
        <v>128</v>
      </c>
      <c r="C11817" s="887" t="s">
        <v>1186</v>
      </c>
      <c r="D11817" s="887" t="s">
        <v>1652</v>
      </c>
      <c r="E11817" s="887" t="s">
        <v>1653</v>
      </c>
      <c r="F11817" s="1783" t="s">
        <v>1323</v>
      </c>
    </row>
    <row r="11818" spans="1:7">
      <c r="A11818" s="47">
        <v>1966</v>
      </c>
      <c r="B11818" s="47" t="s">
        <v>8972</v>
      </c>
      <c r="C11818" s="903">
        <v>30</v>
      </c>
      <c r="D11818" s="904">
        <v>1</v>
      </c>
      <c r="E11818" s="905">
        <f>C11818*D11818</f>
        <v>30</v>
      </c>
      <c r="F11818" s="891">
        <v>0.9</v>
      </c>
    </row>
    <row r="11819" spans="1:7">
      <c r="A11819" s="47"/>
      <c r="B11819" s="260" t="s">
        <v>1993</v>
      </c>
      <c r="C11819" s="905"/>
      <c r="D11819" s="906"/>
      <c r="E11819" s="894">
        <v>1</v>
      </c>
      <c r="F11819" s="891">
        <v>12</v>
      </c>
    </row>
    <row r="11821" spans="1:7">
      <c r="A11821" t="s">
        <v>8982</v>
      </c>
    </row>
    <row r="11822" spans="1:7">
      <c r="A11822" s="1166" t="s">
        <v>1369</v>
      </c>
      <c r="B11822" s="887" t="s">
        <v>128</v>
      </c>
      <c r="C11822" s="887" t="s">
        <v>8351</v>
      </c>
      <c r="D11822" s="1783" t="s">
        <v>1323</v>
      </c>
      <c r="E11822" s="2607" t="s">
        <v>8360</v>
      </c>
      <c r="F11822" s="2581" t="s">
        <v>6080</v>
      </c>
      <c r="G11822" s="2130" t="s">
        <v>6081</v>
      </c>
    </row>
    <row r="11823" spans="1:7">
      <c r="A11823" s="1059" t="s">
        <v>8974</v>
      </c>
      <c r="B11823" s="47" t="s">
        <v>7694</v>
      </c>
      <c r="C11823" s="905">
        <v>10</v>
      </c>
      <c r="D11823" s="1058">
        <f t="shared" ref="D11823:D11838" si="158">ROUNDUP(E11823/0.6/120,2)</f>
        <v>3.44</v>
      </c>
      <c r="E11823" s="2608">
        <v>247</v>
      </c>
      <c r="F11823" s="2070">
        <f t="shared" ref="F11823:F11838" si="159">(D11823-(E11823/G11823))/D11823</f>
        <v>0.40164728682170547</v>
      </c>
      <c r="G11823" s="2130">
        <v>120</v>
      </c>
    </row>
    <row r="11824" spans="1:7">
      <c r="A11824" s="1059" t="s">
        <v>8974</v>
      </c>
      <c r="B11824" s="47" t="s">
        <v>8352</v>
      </c>
      <c r="C11824" s="905" t="s">
        <v>8500</v>
      </c>
      <c r="D11824" s="1058">
        <f t="shared" si="158"/>
        <v>4.8199999999999994</v>
      </c>
      <c r="E11824" s="2608">
        <f>247+100</f>
        <v>347</v>
      </c>
      <c r="F11824" s="2070">
        <f t="shared" si="159"/>
        <v>0.40006915629322259</v>
      </c>
      <c r="G11824" s="2130">
        <v>120</v>
      </c>
    </row>
    <row r="11825" spans="1:7">
      <c r="A11825" s="1059" t="s">
        <v>8977</v>
      </c>
      <c r="B11825" s="47" t="s">
        <v>7694</v>
      </c>
      <c r="C11825" s="905">
        <v>10</v>
      </c>
      <c r="D11825" s="1058">
        <f t="shared" si="158"/>
        <v>2.5599999999999996</v>
      </c>
      <c r="E11825" s="2608">
        <v>184</v>
      </c>
      <c r="F11825" s="2070">
        <f t="shared" si="159"/>
        <v>0.40104166666666652</v>
      </c>
      <c r="G11825" s="2130">
        <v>120</v>
      </c>
    </row>
    <row r="11826" spans="1:7">
      <c r="A11826" s="1059" t="s">
        <v>8977</v>
      </c>
      <c r="B11826" s="47" t="s">
        <v>8352</v>
      </c>
      <c r="C11826" s="905" t="s">
        <v>8500</v>
      </c>
      <c r="D11826" s="1058">
        <f t="shared" si="158"/>
        <v>3.9499999999999997</v>
      </c>
      <c r="E11826" s="2608">
        <f>184+100</f>
        <v>284</v>
      </c>
      <c r="F11826" s="2070">
        <f t="shared" si="159"/>
        <v>0.40084388185654002</v>
      </c>
      <c r="G11826" s="2130">
        <v>120</v>
      </c>
    </row>
    <row r="11827" spans="1:7">
      <c r="A11827" s="1059" t="s">
        <v>8978</v>
      </c>
      <c r="B11827" s="47" t="s">
        <v>7694</v>
      </c>
      <c r="C11827" s="905">
        <v>10</v>
      </c>
      <c r="D11827" s="1058">
        <f t="shared" si="158"/>
        <v>2.5599999999999996</v>
      </c>
      <c r="E11827" s="2608">
        <v>184</v>
      </c>
      <c r="F11827" s="2070">
        <f t="shared" si="159"/>
        <v>0.40104166666666652</v>
      </c>
      <c r="G11827" s="2130">
        <v>120</v>
      </c>
    </row>
    <row r="11828" spans="1:7">
      <c r="A11828" s="1059" t="s">
        <v>8978</v>
      </c>
      <c r="B11828" s="47" t="s">
        <v>8352</v>
      </c>
      <c r="C11828" s="905" t="s">
        <v>8500</v>
      </c>
      <c r="D11828" s="1058">
        <f t="shared" si="158"/>
        <v>3.9499999999999997</v>
      </c>
      <c r="E11828" s="2608">
        <f>184+100</f>
        <v>284</v>
      </c>
      <c r="F11828" s="2070">
        <f t="shared" si="159"/>
        <v>0.40084388185654002</v>
      </c>
      <c r="G11828" s="2130">
        <v>120</v>
      </c>
    </row>
    <row r="11829" spans="1:7">
      <c r="A11829" s="1059" t="s">
        <v>8979</v>
      </c>
      <c r="B11829" s="47" t="s">
        <v>7694</v>
      </c>
      <c r="C11829" s="905">
        <v>10</v>
      </c>
      <c r="D11829" s="1058">
        <f t="shared" si="158"/>
        <v>2.7699999999999996</v>
      </c>
      <c r="E11829" s="2608">
        <v>199</v>
      </c>
      <c r="F11829" s="2070">
        <f t="shared" si="159"/>
        <v>0.40132370637785786</v>
      </c>
      <c r="G11829" s="2130">
        <v>120</v>
      </c>
    </row>
    <row r="11830" spans="1:7">
      <c r="A11830" s="1059" t="s">
        <v>8979</v>
      </c>
      <c r="B11830" s="47" t="s">
        <v>8352</v>
      </c>
      <c r="C11830" s="905" t="s">
        <v>8500</v>
      </c>
      <c r="D11830" s="1058">
        <f t="shared" si="158"/>
        <v>4.16</v>
      </c>
      <c r="E11830" s="2608">
        <f>199+100</f>
        <v>299</v>
      </c>
      <c r="F11830" s="2070">
        <f t="shared" si="159"/>
        <v>0.40104166666666669</v>
      </c>
      <c r="G11830" s="2130">
        <v>120</v>
      </c>
    </row>
    <row r="11831" spans="1:7">
      <c r="A11831" s="1059" t="s">
        <v>8980</v>
      </c>
      <c r="B11831" s="47" t="s">
        <v>7694</v>
      </c>
      <c r="C11831" s="905">
        <v>10</v>
      </c>
      <c r="D11831" s="1058">
        <f t="shared" si="158"/>
        <v>1.95</v>
      </c>
      <c r="E11831" s="2608">
        <v>140</v>
      </c>
      <c r="F11831" s="2070">
        <f t="shared" si="159"/>
        <v>0.40170940170940167</v>
      </c>
      <c r="G11831" s="2130">
        <v>120</v>
      </c>
    </row>
    <row r="11832" spans="1:7">
      <c r="A11832" s="1059" t="s">
        <v>8980</v>
      </c>
      <c r="B11832" s="47" t="s">
        <v>8352</v>
      </c>
      <c r="C11832" s="905" t="s">
        <v>8500</v>
      </c>
      <c r="D11832" s="1058">
        <f t="shared" si="158"/>
        <v>3.34</v>
      </c>
      <c r="E11832" s="2608">
        <f>140+100</f>
        <v>240</v>
      </c>
      <c r="F11832" s="2070">
        <f t="shared" si="159"/>
        <v>0.40119760479041916</v>
      </c>
      <c r="G11832" s="2130">
        <v>120</v>
      </c>
    </row>
    <row r="11833" spans="1:7">
      <c r="A11833" s="1059" t="s">
        <v>8981</v>
      </c>
      <c r="B11833" s="47" t="s">
        <v>7694</v>
      </c>
      <c r="C11833" s="905">
        <v>10</v>
      </c>
      <c r="D11833" s="1058">
        <f t="shared" si="158"/>
        <v>2.6199999999999997</v>
      </c>
      <c r="E11833" s="2608">
        <v>188</v>
      </c>
      <c r="F11833" s="2070">
        <f t="shared" si="159"/>
        <v>0.40203562340966914</v>
      </c>
      <c r="G11833" s="2130">
        <v>120</v>
      </c>
    </row>
    <row r="11834" spans="1:7">
      <c r="A11834" s="1059" t="s">
        <v>8981</v>
      </c>
      <c r="B11834" s="47" t="s">
        <v>8352</v>
      </c>
      <c r="C11834" s="905" t="s">
        <v>8500</v>
      </c>
      <c r="D11834" s="1058">
        <f t="shared" si="158"/>
        <v>4</v>
      </c>
      <c r="E11834" s="2608">
        <f>188+100</f>
        <v>288</v>
      </c>
      <c r="F11834" s="2070">
        <f t="shared" si="159"/>
        <v>0.4</v>
      </c>
      <c r="G11834" s="2130">
        <v>120</v>
      </c>
    </row>
    <row r="11835" spans="1:7">
      <c r="A11835" s="1059" t="s">
        <v>8975</v>
      </c>
      <c r="B11835" s="47" t="s">
        <v>7694</v>
      </c>
      <c r="C11835" s="905">
        <v>10</v>
      </c>
      <c r="D11835" s="1058">
        <f t="shared" si="158"/>
        <v>2.59</v>
      </c>
      <c r="E11835" s="2608">
        <v>186</v>
      </c>
      <c r="F11835" s="2070">
        <f t="shared" si="159"/>
        <v>0.40154440154440152</v>
      </c>
      <c r="G11835" s="2130">
        <v>120</v>
      </c>
    </row>
    <row r="11836" spans="1:7">
      <c r="A11836" s="1059" t="s">
        <v>8975</v>
      </c>
      <c r="B11836" s="47" t="s">
        <v>8352</v>
      </c>
      <c r="C11836" s="905" t="s">
        <v>8500</v>
      </c>
      <c r="D11836" s="1058">
        <f t="shared" si="158"/>
        <v>3.98</v>
      </c>
      <c r="E11836" s="2608">
        <f>186+100</f>
        <v>286</v>
      </c>
      <c r="F11836" s="2070">
        <f t="shared" si="159"/>
        <v>0.40117252931323283</v>
      </c>
      <c r="G11836" s="2130">
        <v>120</v>
      </c>
    </row>
    <row r="11837" spans="1:7">
      <c r="A11837" s="1059" t="s">
        <v>8976</v>
      </c>
      <c r="B11837" s="47" t="s">
        <v>7694</v>
      </c>
      <c r="C11837" s="905">
        <v>10</v>
      </c>
      <c r="D11837" s="1058">
        <f t="shared" si="158"/>
        <v>2.4099999999999997</v>
      </c>
      <c r="E11837" s="2608">
        <v>173</v>
      </c>
      <c r="F11837" s="2070">
        <f t="shared" si="159"/>
        <v>0.40179806362378967</v>
      </c>
      <c r="G11837" s="2130">
        <v>120</v>
      </c>
    </row>
    <row r="11838" spans="1:7">
      <c r="A11838" s="1059" t="s">
        <v>8976</v>
      </c>
      <c r="B11838" s="47" t="s">
        <v>8352</v>
      </c>
      <c r="C11838" s="905" t="s">
        <v>8500</v>
      </c>
      <c r="D11838" s="1058">
        <f t="shared" si="158"/>
        <v>3.8</v>
      </c>
      <c r="E11838" s="2608">
        <f>173+100</f>
        <v>273</v>
      </c>
      <c r="F11838" s="2070">
        <f t="shared" si="159"/>
        <v>0.40131578947368418</v>
      </c>
      <c r="G11838" s="2130">
        <v>120</v>
      </c>
    </row>
    <row r="11839" spans="1:7">
      <c r="A11839" s="2606"/>
    </row>
    <row r="11840" spans="1:7">
      <c r="A11840" s="2606"/>
    </row>
    <row r="11841" spans="1:23">
      <c r="A11841" s="776"/>
    </row>
    <row r="11842" spans="1:23" s="7" customFormat="1" ht="15" customHeight="1">
      <c r="A11842" s="1"/>
      <c r="B11842" s="12"/>
      <c r="C11842" s="2603" t="s">
        <v>8969</v>
      </c>
      <c r="D11842" s="15" t="s">
        <v>8957</v>
      </c>
      <c r="E11842" s="20" t="s">
        <v>8252</v>
      </c>
      <c r="F11842" s="26"/>
      <c r="G11842" s="24"/>
      <c r="H11842" s="67"/>
      <c r="I11842" s="68"/>
      <c r="J11842" s="67"/>
      <c r="K11842" s="17" t="s">
        <v>10</v>
      </c>
      <c r="L11842" s="39"/>
      <c r="M11842" s="39"/>
      <c r="N11842" s="39"/>
      <c r="O11842" s="38"/>
      <c r="P11842" s="180" t="e">
        <f>K11842*(VLOOKUP(B11842,'LA BackOrder'!$C$2:$F$6,3,FALSE))</f>
        <v>#VALUE!</v>
      </c>
      <c r="Q11842" s="483"/>
      <c r="R11842" s="704"/>
      <c r="S11842" s="489"/>
      <c r="T11842" s="113">
        <f t="shared" ref="T11842:T11851" si="160">S11842*J11842</f>
        <v>0</v>
      </c>
      <c r="U11842" s="517"/>
      <c r="V11842" s="494">
        <v>120</v>
      </c>
      <c r="W11842" s="2041" t="e">
        <f t="shared" ref="W11842:W11852" si="161">(((K11842*V11842)-S11842)/(K11842*V11842))</f>
        <v>#VALUE!</v>
      </c>
    </row>
    <row r="11843" spans="1:23" s="7" customFormat="1" ht="15.75" customHeight="1">
      <c r="A11843" s="1"/>
      <c r="B11843" s="12" t="s">
        <v>1856</v>
      </c>
      <c r="C11843" s="6"/>
      <c r="D11843" s="15" t="s">
        <v>8957</v>
      </c>
      <c r="E11843" s="95" t="s">
        <v>8711</v>
      </c>
      <c r="F11843" s="26"/>
      <c r="G11843" s="24" t="s">
        <v>8958</v>
      </c>
      <c r="H11843" s="151"/>
      <c r="I11843" s="41"/>
      <c r="J11843" s="67">
        <v>80</v>
      </c>
      <c r="K11843" s="25">
        <v>4.7300000000000004</v>
      </c>
      <c r="L11843" s="46">
        <f t="shared" ref="L11843:L11851" si="162">K11843*J11843</f>
        <v>378.40000000000003</v>
      </c>
      <c r="M11843" s="162" t="s">
        <v>2219</v>
      </c>
      <c r="N11843" s="2453"/>
      <c r="O11843" s="38"/>
      <c r="P11843" s="180">
        <f>K11843*(VLOOKUP(B11843,'LA BackOrder'!$C$2:$F$6,3,FALSE))</f>
        <v>4.1624000000000008</v>
      </c>
      <c r="Q11843" s="483">
        <v>4.16</v>
      </c>
      <c r="R11843" s="704">
        <f t="shared" ref="R11843:R11851" si="163">Q11843*J11843</f>
        <v>332.8</v>
      </c>
      <c r="S11843" s="489">
        <v>340</v>
      </c>
      <c r="T11843" s="113">
        <f t="shared" si="160"/>
        <v>27200</v>
      </c>
      <c r="U11843" s="517"/>
      <c r="V11843" s="494">
        <v>120</v>
      </c>
      <c r="W11843" s="2041">
        <f t="shared" si="161"/>
        <v>0.4009866102889359</v>
      </c>
    </row>
    <row r="11844" spans="1:23" s="7" customFormat="1" ht="15.75" customHeight="1">
      <c r="A11844" s="1"/>
      <c r="B11844" s="12" t="s">
        <v>1856</v>
      </c>
      <c r="C11844" s="6"/>
      <c r="D11844" s="15" t="s">
        <v>8957</v>
      </c>
      <c r="E11844" s="95" t="s">
        <v>8712</v>
      </c>
      <c r="F11844" s="26"/>
      <c r="G11844" s="24" t="s">
        <v>8958</v>
      </c>
      <c r="H11844" s="151"/>
      <c r="I11844" s="41"/>
      <c r="J11844" s="67">
        <v>80</v>
      </c>
      <c r="K11844" s="25">
        <v>3.44</v>
      </c>
      <c r="L11844" s="46">
        <f t="shared" si="162"/>
        <v>275.2</v>
      </c>
      <c r="M11844" s="162" t="s">
        <v>2219</v>
      </c>
      <c r="N11844" s="2453"/>
      <c r="O11844" s="38"/>
      <c r="P11844" s="180">
        <f>K11844*(VLOOKUP(B11844,'LA BackOrder'!$C$2:$F$6,3,FALSE))</f>
        <v>3.0272000000000001</v>
      </c>
      <c r="Q11844" s="483">
        <v>3.03</v>
      </c>
      <c r="R11844" s="704">
        <f t="shared" si="163"/>
        <v>242.39999999999998</v>
      </c>
      <c r="S11844" s="489">
        <v>247</v>
      </c>
      <c r="T11844" s="113">
        <f t="shared" si="160"/>
        <v>19760</v>
      </c>
      <c r="U11844" s="517"/>
      <c r="V11844" s="494">
        <v>120</v>
      </c>
      <c r="W11844" s="2041">
        <f t="shared" si="161"/>
        <v>0.40164728682170542</v>
      </c>
    </row>
    <row r="11845" spans="1:23" s="1" customFormat="1" ht="18" customHeight="1">
      <c r="B11845" s="12" t="s">
        <v>1862</v>
      </c>
      <c r="C11845" s="6"/>
      <c r="D11845" s="15" t="s">
        <v>8957</v>
      </c>
      <c r="E11845" s="95"/>
      <c r="F11845" s="138"/>
      <c r="G11845" s="44" t="s">
        <v>8968</v>
      </c>
      <c r="H11845" s="8"/>
      <c r="I11845" s="41"/>
      <c r="J11845" s="45">
        <v>1</v>
      </c>
      <c r="K11845" s="46">
        <v>190</v>
      </c>
      <c r="L11845" s="46">
        <f t="shared" si="162"/>
        <v>190</v>
      </c>
      <c r="M11845" s="112"/>
      <c r="N11845" s="39"/>
      <c r="O11845" s="38"/>
      <c r="P11845" s="46">
        <f>K11845*(VLOOKUP(B11845,'LA BackOrder'!$C$2:$F$6,3,FALSE))</f>
        <v>190</v>
      </c>
      <c r="Q11845" s="483">
        <v>190</v>
      </c>
      <c r="R11845" s="2552">
        <f t="shared" si="163"/>
        <v>190</v>
      </c>
      <c r="S11845" s="1011">
        <v>18000</v>
      </c>
      <c r="T11845" s="2452">
        <f t="shared" si="160"/>
        <v>18000</v>
      </c>
      <c r="U11845" s="511"/>
      <c r="V11845" s="494">
        <v>120</v>
      </c>
      <c r="W11845" s="2041">
        <f t="shared" si="161"/>
        <v>0.21052631578947367</v>
      </c>
    </row>
    <row r="11846" spans="1:23" s="7" customFormat="1" ht="15.75" customHeight="1">
      <c r="A11846" s="1"/>
      <c r="B11846" s="12" t="s">
        <v>1856</v>
      </c>
      <c r="C11846" s="6"/>
      <c r="D11846" s="15" t="s">
        <v>8957</v>
      </c>
      <c r="E11846" s="95" t="s">
        <v>8711</v>
      </c>
      <c r="F11846" s="26"/>
      <c r="G11846" s="24" t="s">
        <v>8959</v>
      </c>
      <c r="H11846" s="151"/>
      <c r="I11846" s="41"/>
      <c r="J11846" s="67">
        <v>40</v>
      </c>
      <c r="K11846" s="25">
        <v>4.7300000000000004</v>
      </c>
      <c r="L11846" s="46">
        <f t="shared" si="162"/>
        <v>189.20000000000002</v>
      </c>
      <c r="M11846" s="162" t="s">
        <v>2219</v>
      </c>
      <c r="N11846" s="2453"/>
      <c r="O11846" s="38"/>
      <c r="P11846" s="180">
        <f>K11846*(VLOOKUP(B11846,'LA BackOrder'!$C$2:$F$6,3,FALSE))</f>
        <v>4.1624000000000008</v>
      </c>
      <c r="Q11846" s="483">
        <v>4.16</v>
      </c>
      <c r="R11846" s="704">
        <f t="shared" si="163"/>
        <v>166.4</v>
      </c>
      <c r="S11846" s="489">
        <v>340</v>
      </c>
      <c r="T11846" s="113">
        <f t="shared" si="160"/>
        <v>13600</v>
      </c>
      <c r="U11846" s="517"/>
      <c r="V11846" s="494">
        <v>120</v>
      </c>
      <c r="W11846" s="2041">
        <f t="shared" si="161"/>
        <v>0.4009866102889359</v>
      </c>
    </row>
    <row r="11847" spans="1:23" s="7" customFormat="1" ht="15.75" customHeight="1">
      <c r="A11847" s="1"/>
      <c r="B11847" s="12" t="s">
        <v>1856</v>
      </c>
      <c r="C11847" s="6"/>
      <c r="D11847" s="15" t="s">
        <v>8957</v>
      </c>
      <c r="E11847" s="95" t="s">
        <v>8712</v>
      </c>
      <c r="F11847" s="26"/>
      <c r="G11847" s="24" t="s">
        <v>8959</v>
      </c>
      <c r="H11847" s="151"/>
      <c r="I11847" s="41"/>
      <c r="J11847" s="67">
        <v>40</v>
      </c>
      <c r="K11847" s="25">
        <v>3.44</v>
      </c>
      <c r="L11847" s="46">
        <f t="shared" si="162"/>
        <v>137.6</v>
      </c>
      <c r="M11847" s="162" t="s">
        <v>2219</v>
      </c>
      <c r="N11847" s="2453"/>
      <c r="O11847" s="38"/>
      <c r="P11847" s="180">
        <f>K11847*(VLOOKUP(B11847,'LA BackOrder'!$C$2:$F$6,3,FALSE))</f>
        <v>3.0272000000000001</v>
      </c>
      <c r="Q11847" s="483">
        <v>3.03</v>
      </c>
      <c r="R11847" s="704">
        <f t="shared" si="163"/>
        <v>121.19999999999999</v>
      </c>
      <c r="S11847" s="489">
        <v>247</v>
      </c>
      <c r="T11847" s="113">
        <f t="shared" si="160"/>
        <v>9880</v>
      </c>
      <c r="U11847" s="517"/>
      <c r="V11847" s="494">
        <v>120</v>
      </c>
      <c r="W11847" s="2041">
        <f t="shared" si="161"/>
        <v>0.40164728682170542</v>
      </c>
    </row>
    <row r="11848" spans="1:23" s="1" customFormat="1" ht="18" customHeight="1">
      <c r="B11848" s="12" t="s">
        <v>1862</v>
      </c>
      <c r="C11848" s="6"/>
      <c r="D11848" s="15" t="s">
        <v>8957</v>
      </c>
      <c r="E11848" s="95"/>
      <c r="F11848" s="138"/>
      <c r="G11848" s="44" t="s">
        <v>8968</v>
      </c>
      <c r="H11848" s="8"/>
      <c r="I11848" s="41"/>
      <c r="J11848" s="45">
        <v>1</v>
      </c>
      <c r="K11848" s="46">
        <v>160</v>
      </c>
      <c r="L11848" s="46">
        <f t="shared" si="162"/>
        <v>160</v>
      </c>
      <c r="M11848" s="112"/>
      <c r="N11848" s="39"/>
      <c r="O11848" s="38"/>
      <c r="P11848" s="46">
        <f>K11848*(VLOOKUP(B11848,'LA BackOrder'!$C$2:$F$6,3,FALSE))</f>
        <v>160</v>
      </c>
      <c r="Q11848" s="483">
        <v>160</v>
      </c>
      <c r="R11848" s="2552">
        <f t="shared" si="163"/>
        <v>160</v>
      </c>
      <c r="S11848" s="1011">
        <v>15000</v>
      </c>
      <c r="T11848" s="2452">
        <f t="shared" si="160"/>
        <v>15000</v>
      </c>
      <c r="U11848" s="511"/>
      <c r="V11848" s="494">
        <v>120</v>
      </c>
      <c r="W11848" s="2041">
        <f t="shared" si="161"/>
        <v>0.21875</v>
      </c>
    </row>
    <row r="11849" spans="1:23" s="7" customFormat="1" ht="15.75" customHeight="1">
      <c r="A11849" s="1"/>
      <c r="B11849" s="12" t="s">
        <v>1856</v>
      </c>
      <c r="C11849" s="6"/>
      <c r="D11849" s="15" t="s">
        <v>8957</v>
      </c>
      <c r="E11849" s="95" t="s">
        <v>8711</v>
      </c>
      <c r="F11849" s="26"/>
      <c r="G11849" s="24" t="s">
        <v>8966</v>
      </c>
      <c r="H11849" s="151"/>
      <c r="I11849" s="41"/>
      <c r="J11849" s="67">
        <v>40</v>
      </c>
      <c r="K11849" s="25">
        <v>4.7300000000000004</v>
      </c>
      <c r="L11849" s="46">
        <f t="shared" si="162"/>
        <v>189.20000000000002</v>
      </c>
      <c r="M11849" s="162" t="s">
        <v>2219</v>
      </c>
      <c r="N11849" s="2453"/>
      <c r="O11849" s="38"/>
      <c r="P11849" s="180">
        <f>K11849*(VLOOKUP(B11849,'LA BackOrder'!$C$2:$F$6,3,FALSE))</f>
        <v>4.1624000000000008</v>
      </c>
      <c r="Q11849" s="483">
        <v>4.16</v>
      </c>
      <c r="R11849" s="704">
        <f t="shared" si="163"/>
        <v>166.4</v>
      </c>
      <c r="S11849" s="489">
        <v>340</v>
      </c>
      <c r="T11849" s="113">
        <f t="shared" si="160"/>
        <v>13600</v>
      </c>
      <c r="U11849" s="517"/>
      <c r="V11849" s="494">
        <v>120</v>
      </c>
      <c r="W11849" s="2041">
        <f t="shared" si="161"/>
        <v>0.4009866102889359</v>
      </c>
    </row>
    <row r="11850" spans="1:23" s="7" customFormat="1" ht="15.75" customHeight="1">
      <c r="A11850" s="1"/>
      <c r="B11850" s="12" t="s">
        <v>1856</v>
      </c>
      <c r="C11850" s="6"/>
      <c r="D11850" s="15" t="s">
        <v>8957</v>
      </c>
      <c r="E11850" s="95" t="s">
        <v>8712</v>
      </c>
      <c r="F11850" s="26"/>
      <c r="G11850" s="24" t="s">
        <v>8966</v>
      </c>
      <c r="H11850" s="151"/>
      <c r="I11850" s="41"/>
      <c r="J11850" s="67">
        <v>40</v>
      </c>
      <c r="K11850" s="25">
        <v>3.44</v>
      </c>
      <c r="L11850" s="46">
        <f t="shared" si="162"/>
        <v>137.6</v>
      </c>
      <c r="M11850" s="162" t="s">
        <v>2219</v>
      </c>
      <c r="N11850" s="2453"/>
      <c r="O11850" s="38"/>
      <c r="P11850" s="180">
        <f>K11850*(VLOOKUP(B11850,'LA BackOrder'!$C$2:$F$6,3,FALSE))</f>
        <v>3.0272000000000001</v>
      </c>
      <c r="Q11850" s="483">
        <v>3.03</v>
      </c>
      <c r="R11850" s="704">
        <f t="shared" si="163"/>
        <v>121.19999999999999</v>
      </c>
      <c r="S11850" s="489">
        <v>247</v>
      </c>
      <c r="T11850" s="113">
        <f t="shared" si="160"/>
        <v>9880</v>
      </c>
      <c r="U11850" s="517"/>
      <c r="V11850" s="494">
        <v>120</v>
      </c>
      <c r="W11850" s="2041">
        <f t="shared" si="161"/>
        <v>0.40164728682170542</v>
      </c>
    </row>
    <row r="11851" spans="1:23" s="1" customFormat="1" ht="18" customHeight="1">
      <c r="B11851" s="12" t="s">
        <v>1862</v>
      </c>
      <c r="C11851" s="6"/>
      <c r="D11851" s="15" t="s">
        <v>8957</v>
      </c>
      <c r="E11851" s="95"/>
      <c r="F11851" s="138"/>
      <c r="G11851" s="44" t="s">
        <v>8968</v>
      </c>
      <c r="H11851" s="8"/>
      <c r="I11851" s="41"/>
      <c r="J11851" s="45">
        <v>1</v>
      </c>
      <c r="K11851" s="46">
        <v>160</v>
      </c>
      <c r="L11851" s="46">
        <f t="shared" si="162"/>
        <v>160</v>
      </c>
      <c r="M11851" s="112"/>
      <c r="N11851" s="39"/>
      <c r="O11851" s="38"/>
      <c r="P11851" s="46">
        <f>K11851*(VLOOKUP(B11851,'LA BackOrder'!$C$2:$F$6,3,FALSE))</f>
        <v>160</v>
      </c>
      <c r="Q11851" s="483">
        <v>160</v>
      </c>
      <c r="R11851" s="2552">
        <f t="shared" si="163"/>
        <v>160</v>
      </c>
      <c r="S11851" s="1011">
        <v>15000</v>
      </c>
      <c r="T11851" s="2452">
        <f t="shared" si="160"/>
        <v>15000</v>
      </c>
      <c r="U11851" s="511"/>
      <c r="V11851" s="494">
        <v>120</v>
      </c>
      <c r="W11851" s="2041">
        <f t="shared" si="161"/>
        <v>0.21875</v>
      </c>
    </row>
    <row r="11852" spans="1:23" s="314" customFormat="1" ht="15">
      <c r="A11852" s="1"/>
      <c r="B11852" s="313"/>
      <c r="C11852" s="302"/>
      <c r="D11852" s="303" t="s">
        <v>8957</v>
      </c>
      <c r="E11852" s="304"/>
      <c r="F11852" s="305"/>
      <c r="G11852" s="305" t="s">
        <v>1227</v>
      </c>
      <c r="H11852" s="307" t="s">
        <v>1228</v>
      </c>
      <c r="I11852" s="308"/>
      <c r="J11852" s="306"/>
      <c r="K11852" s="315">
        <v>0</v>
      </c>
      <c r="L11852" s="310"/>
      <c r="M11852" s="310"/>
      <c r="N11852" s="310"/>
      <c r="O11852" s="309"/>
      <c r="P11852" s="302"/>
      <c r="Q11852" s="485">
        <v>0</v>
      </c>
      <c r="S11852" s="536">
        <v>0</v>
      </c>
      <c r="T11852" s="322">
        <v>0</v>
      </c>
      <c r="U11852" s="515"/>
      <c r="V11852" s="494">
        <v>120</v>
      </c>
      <c r="W11852" s="2041" t="e">
        <f t="shared" si="161"/>
        <v>#DIV/0!</v>
      </c>
    </row>
    <row r="11853" spans="1:23">
      <c r="A11853" s="776"/>
    </row>
    <row r="11854" spans="1:23">
      <c r="A11854" s="2606"/>
    </row>
    <row r="11855" spans="1:23">
      <c r="A11855" s="2606"/>
    </row>
    <row r="11856" spans="1:23">
      <c r="A11856" s="2606"/>
    </row>
    <row r="11857" spans="1:5">
      <c r="A11857" s="776"/>
    </row>
    <row r="11858" spans="1:5">
      <c r="A11858" s="1166" t="s">
        <v>1369</v>
      </c>
      <c r="B11858" s="887" t="s">
        <v>128</v>
      </c>
      <c r="C11858" s="887" t="s">
        <v>1653</v>
      </c>
      <c r="D11858" s="1783" t="s">
        <v>1323</v>
      </c>
    </row>
    <row r="11859" spans="1:5">
      <c r="A11859" s="47" t="s">
        <v>536</v>
      </c>
      <c r="B11859" s="47" t="s">
        <v>8988</v>
      </c>
      <c r="C11859" s="905">
        <v>100</v>
      </c>
      <c r="D11859" s="891">
        <v>5</v>
      </c>
      <c r="E11859">
        <v>500</v>
      </c>
    </row>
    <row r="11860" spans="1:5">
      <c r="A11860" s="47" t="s">
        <v>536</v>
      </c>
      <c r="B11860" s="47" t="s">
        <v>8987</v>
      </c>
      <c r="C11860" s="905">
        <v>25</v>
      </c>
      <c r="D11860" s="891">
        <v>5</v>
      </c>
      <c r="E11860">
        <v>125</v>
      </c>
    </row>
    <row r="11861" spans="1:5">
      <c r="A11861" s="47" t="s">
        <v>536</v>
      </c>
      <c r="B11861" s="47" t="s">
        <v>2030</v>
      </c>
      <c r="C11861" s="905">
        <v>25</v>
      </c>
      <c r="D11861" s="891">
        <v>5</v>
      </c>
      <c r="E11861">
        <v>125</v>
      </c>
    </row>
    <row r="11862" spans="1:5">
      <c r="A11862" s="47"/>
      <c r="B11862" s="47"/>
      <c r="C11862" s="905"/>
      <c r="D11862" s="891"/>
      <c r="E11862">
        <v>141.9</v>
      </c>
    </row>
    <row r="11863" spans="1:5">
      <c r="A11863" s="47" t="s">
        <v>738</v>
      </c>
      <c r="B11863" s="47" t="s">
        <v>82</v>
      </c>
      <c r="C11863" s="905">
        <v>30</v>
      </c>
      <c r="D11863" s="891">
        <v>4.7300000000000004</v>
      </c>
      <c r="E11863">
        <v>36</v>
      </c>
    </row>
    <row r="11864" spans="1:5">
      <c r="A11864" s="47"/>
      <c r="B11864" s="47" t="s">
        <v>1075</v>
      </c>
      <c r="C11864" s="894">
        <v>3</v>
      </c>
      <c r="D11864" s="891">
        <v>12</v>
      </c>
      <c r="E11864">
        <v>25</v>
      </c>
    </row>
    <row r="11865" spans="1:5">
      <c r="A11865" s="47"/>
      <c r="B11865" s="47" t="s">
        <v>1993</v>
      </c>
      <c r="C11865" s="894">
        <v>1</v>
      </c>
      <c r="D11865" s="891">
        <v>25</v>
      </c>
    </row>
    <row r="11866" spans="1:5">
      <c r="A11866" s="2606"/>
    </row>
    <row r="11867" spans="1:5">
      <c r="A11867" s="2606"/>
    </row>
    <row r="11868" spans="1:5">
      <c r="A11868" s="776"/>
    </row>
    <row r="11869" spans="1:5">
      <c r="A11869" s="1166" t="s">
        <v>1369</v>
      </c>
      <c r="B11869" s="887" t="s">
        <v>128</v>
      </c>
      <c r="C11869" s="887" t="s">
        <v>1653</v>
      </c>
      <c r="D11869" s="1783" t="s">
        <v>1323</v>
      </c>
      <c r="E11869" s="1783" t="s">
        <v>3321</v>
      </c>
    </row>
    <row r="11870" spans="1:5">
      <c r="A11870" s="47" t="s">
        <v>536</v>
      </c>
      <c r="B11870" s="47" t="s">
        <v>8988</v>
      </c>
      <c r="C11870" s="905">
        <v>100</v>
      </c>
      <c r="D11870" s="891"/>
      <c r="E11870" s="891">
        <f t="shared" ref="E11870:E11875" si="164">D11870*C11870</f>
        <v>0</v>
      </c>
    </row>
    <row r="11871" spans="1:5">
      <c r="A11871" s="47" t="s">
        <v>536</v>
      </c>
      <c r="B11871" s="47" t="s">
        <v>8987</v>
      </c>
      <c r="C11871" s="905">
        <v>25</v>
      </c>
      <c r="D11871" s="891">
        <v>5</v>
      </c>
      <c r="E11871" s="891">
        <f t="shared" si="164"/>
        <v>125</v>
      </c>
    </row>
    <row r="11872" spans="1:5">
      <c r="A11872" s="47" t="s">
        <v>536</v>
      </c>
      <c r="B11872" s="47" t="s">
        <v>2030</v>
      </c>
      <c r="C11872" s="905">
        <v>25</v>
      </c>
      <c r="D11872" s="891"/>
      <c r="E11872" s="891">
        <f t="shared" si="164"/>
        <v>0</v>
      </c>
    </row>
    <row r="11873" spans="1:13">
      <c r="A11873" s="47" t="s">
        <v>738</v>
      </c>
      <c r="B11873" s="47" t="s">
        <v>82</v>
      </c>
      <c r="C11873" s="905">
        <v>30</v>
      </c>
      <c r="D11873" s="891">
        <v>4.7300000000000004</v>
      </c>
      <c r="E11873" s="891">
        <f t="shared" si="164"/>
        <v>141.9</v>
      </c>
    </row>
    <row r="11874" spans="1:13">
      <c r="A11874" s="47"/>
      <c r="B11874" s="47" t="s">
        <v>1075</v>
      </c>
      <c r="C11874" s="894">
        <v>3</v>
      </c>
      <c r="D11874" s="891">
        <v>12</v>
      </c>
      <c r="E11874" s="891">
        <f t="shared" si="164"/>
        <v>36</v>
      </c>
    </row>
    <row r="11875" spans="1:13">
      <c r="A11875" s="47"/>
      <c r="B11875" s="47" t="s">
        <v>1993</v>
      </c>
      <c r="C11875" s="894">
        <v>1</v>
      </c>
      <c r="D11875" s="891">
        <v>25</v>
      </c>
      <c r="E11875" s="891">
        <f t="shared" si="164"/>
        <v>25</v>
      </c>
    </row>
    <row r="11876" spans="1:13">
      <c r="A11876" s="2606"/>
    </row>
    <row r="11877" spans="1:13">
      <c r="A11877" s="2606"/>
    </row>
    <row r="11878" spans="1:13">
      <c r="A11878" s="776"/>
    </row>
    <row r="11879" spans="1:13" ht="18.75">
      <c r="A11879" s="776"/>
      <c r="B11879" s="2609" t="s">
        <v>8989</v>
      </c>
    </row>
    <row r="11880" spans="1:13" ht="18.75">
      <c r="A11880" s="2606"/>
      <c r="B11880" s="2609" t="s">
        <v>8990</v>
      </c>
    </row>
    <row r="11881" spans="1:13" ht="18.75">
      <c r="A11881" s="2606"/>
      <c r="B11881" s="2609" t="s">
        <v>8991</v>
      </c>
    </row>
    <row r="11882" spans="1:13" ht="18.75">
      <c r="A11882" s="2606"/>
      <c r="B11882" s="2609" t="s">
        <v>8992</v>
      </c>
    </row>
    <row r="11883" spans="1:13" s="1191" customFormat="1" ht="17.100000000000001" customHeight="1">
      <c r="A11883" s="2779" t="s">
        <v>8946</v>
      </c>
      <c r="B11883" s="2776" t="s">
        <v>6519</v>
      </c>
      <c r="C11883" s="2598" t="s">
        <v>8938</v>
      </c>
      <c r="D11883" s="2598"/>
      <c r="E11883" s="2598"/>
      <c r="F11883" s="2598"/>
      <c r="G11883" s="2780" t="s">
        <v>8939</v>
      </c>
      <c r="H11883" s="2599"/>
      <c r="I11883" s="2599"/>
      <c r="J11883" s="2781" t="s">
        <v>8940</v>
      </c>
      <c r="K11883" s="2781" t="s">
        <v>8941</v>
      </c>
      <c r="L11883" s="2782" t="s">
        <v>8942</v>
      </c>
      <c r="M11883" s="2783" t="s">
        <v>3459</v>
      </c>
    </row>
    <row r="11884" spans="1:13" s="1191" customFormat="1" ht="17.100000000000001" customHeight="1">
      <c r="A11884" s="2779"/>
      <c r="B11884" s="2776"/>
      <c r="C11884" s="2601" t="s">
        <v>8086</v>
      </c>
      <c r="D11884" s="2601" t="s">
        <v>8087</v>
      </c>
      <c r="E11884" s="2601" t="s">
        <v>8088</v>
      </c>
      <c r="F11884" s="2601" t="s">
        <v>8089</v>
      </c>
      <c r="G11884" s="2780"/>
      <c r="H11884" s="2600" t="s">
        <v>8943</v>
      </c>
      <c r="I11884" s="2600" t="s">
        <v>8944</v>
      </c>
      <c r="J11884" s="2781"/>
      <c r="K11884" s="2781"/>
      <c r="L11884" s="2782"/>
      <c r="M11884" s="2783"/>
    </row>
    <row r="11885" spans="1:13">
      <c r="A11885" s="776"/>
    </row>
    <row r="11886" spans="1:13" s="1191" customFormat="1" ht="17.100000000000001" customHeight="1">
      <c r="A11886" s="2779" t="s">
        <v>8995</v>
      </c>
      <c r="B11886" s="2776" t="s">
        <v>6519</v>
      </c>
      <c r="C11886" s="2598" t="s">
        <v>9011</v>
      </c>
      <c r="D11886" s="2598"/>
      <c r="E11886" s="2598"/>
      <c r="F11886" s="2598"/>
      <c r="G11886" s="2776" t="s">
        <v>8939</v>
      </c>
      <c r="H11886" s="2610"/>
      <c r="I11886" s="2610"/>
      <c r="J11886" s="2777" t="s">
        <v>8940</v>
      </c>
      <c r="K11886" s="2777" t="s">
        <v>8941</v>
      </c>
      <c r="L11886" s="2778" t="s">
        <v>8942</v>
      </c>
      <c r="M11886" s="2779" t="s">
        <v>3459</v>
      </c>
    </row>
    <row r="11887" spans="1:13" s="1191" customFormat="1" ht="17.100000000000001" customHeight="1">
      <c r="A11887" s="2779"/>
      <c r="B11887" s="2776"/>
      <c r="C11887" s="2601" t="s">
        <v>8086</v>
      </c>
      <c r="D11887" s="2601" t="s">
        <v>8087</v>
      </c>
      <c r="E11887" s="2601" t="s">
        <v>8088</v>
      </c>
      <c r="F11887" s="2601" t="s">
        <v>8089</v>
      </c>
      <c r="G11887" s="2776"/>
      <c r="H11887" s="2611" t="s">
        <v>8943</v>
      </c>
      <c r="I11887" s="2611" t="s">
        <v>8944</v>
      </c>
      <c r="J11887" s="2777"/>
      <c r="K11887" s="2777"/>
      <c r="L11887" s="2778"/>
      <c r="M11887" s="2779"/>
    </row>
    <row r="11888" spans="1:13" s="1191" customFormat="1" ht="17.100000000000001" customHeight="1">
      <c r="A11888" s="2612" t="s">
        <v>8996</v>
      </c>
      <c r="B11888" s="1217" t="s">
        <v>8997</v>
      </c>
      <c r="C11888" s="2613">
        <v>5.3609400000000003</v>
      </c>
      <c r="D11888" s="2613">
        <v>4.824846</v>
      </c>
      <c r="E11888" s="2613">
        <v>4.4537040000000001</v>
      </c>
      <c r="F11888" s="2613">
        <v>4.3299900000000004</v>
      </c>
      <c r="G11888" s="1217">
        <v>5</v>
      </c>
      <c r="H11888" s="1217">
        <v>35</v>
      </c>
      <c r="I11888" s="1217">
        <v>420</v>
      </c>
      <c r="J11888" s="909">
        <v>5180</v>
      </c>
      <c r="K11888" s="909">
        <v>420</v>
      </c>
      <c r="L11888" s="2614">
        <v>6.6000000000000005</v>
      </c>
      <c r="M11888" s="1217" t="s">
        <v>3460</v>
      </c>
    </row>
    <row r="11889" spans="1:13" s="1191" customFormat="1" ht="17.100000000000001" customHeight="1">
      <c r="A11889" s="2612" t="s">
        <v>8998</v>
      </c>
      <c r="B11889" s="1217" t="s">
        <v>8999</v>
      </c>
      <c r="C11889" s="2613">
        <v>7.4868300000000003</v>
      </c>
      <c r="D11889" s="2613">
        <v>6.7381469999999997</v>
      </c>
      <c r="E11889" s="2613">
        <v>6.2198280000000006</v>
      </c>
      <c r="F11889" s="2613">
        <v>6.0470550000000003</v>
      </c>
      <c r="G11889" s="2615">
        <v>4.7</v>
      </c>
      <c r="H11889" s="2616">
        <v>4239.3999999999996</v>
      </c>
      <c r="I11889" s="2616">
        <v>0</v>
      </c>
      <c r="J11889" s="2617">
        <v>4239.3999999999996</v>
      </c>
      <c r="K11889" s="2617">
        <v>0</v>
      </c>
      <c r="L11889" s="2618">
        <v>8.4</v>
      </c>
      <c r="M11889" s="2619" t="s">
        <v>9000</v>
      </c>
    </row>
    <row r="11890" spans="1:13" s="1191" customFormat="1" ht="17.100000000000001" customHeight="1">
      <c r="A11890" s="2612" t="s">
        <v>9001</v>
      </c>
      <c r="B11890" s="1217" t="s">
        <v>9002</v>
      </c>
      <c r="C11890" s="2613">
        <v>6.0387599999999999</v>
      </c>
      <c r="D11890" s="2613">
        <v>5.4348839999999994</v>
      </c>
      <c r="E11890" s="2613">
        <v>5.0168160000000004</v>
      </c>
      <c r="F11890" s="2613">
        <v>4.8774600000000001</v>
      </c>
      <c r="G11890" s="1217">
        <v>5.2</v>
      </c>
      <c r="H11890" s="1217">
        <v>3889.6</v>
      </c>
      <c r="I11890" s="1217">
        <v>343.2</v>
      </c>
      <c r="J11890" s="909">
        <v>3889.6</v>
      </c>
      <c r="K11890" s="909">
        <v>343.2</v>
      </c>
      <c r="L11890" s="2614">
        <v>7.7</v>
      </c>
      <c r="M11890" s="1217" t="s">
        <v>3460</v>
      </c>
    </row>
    <row r="11891" spans="1:13" s="1191" customFormat="1" ht="17.100000000000001" customHeight="1">
      <c r="A11891" s="2612" t="s">
        <v>9003</v>
      </c>
      <c r="B11891" s="1217" t="s">
        <v>9004</v>
      </c>
      <c r="C11891" s="2613">
        <v>6.4238849999999994</v>
      </c>
      <c r="D11891" s="2613">
        <v>5.7814964999999994</v>
      </c>
      <c r="E11891" s="2613">
        <v>5.3367659999999999</v>
      </c>
      <c r="F11891" s="2613">
        <v>5.1885224999999995</v>
      </c>
      <c r="G11891" s="1217">
        <v>6.1</v>
      </c>
      <c r="H11891" s="1217">
        <v>4965.3999999999996</v>
      </c>
      <c r="I11891" s="1217">
        <v>402.6</v>
      </c>
      <c r="J11891" s="909">
        <v>4965.3999999999996</v>
      </c>
      <c r="K11891" s="909">
        <v>402.6</v>
      </c>
      <c r="L11891" s="2614">
        <v>8.3000000000000007</v>
      </c>
      <c r="M11891" s="1217" t="s">
        <v>3460</v>
      </c>
    </row>
    <row r="11892" spans="1:13" s="1191" customFormat="1" ht="17.100000000000001" customHeight="1">
      <c r="A11892" s="2620" t="s">
        <v>9005</v>
      </c>
      <c r="B11892" s="1217" t="s">
        <v>9006</v>
      </c>
      <c r="C11892" s="2613">
        <v>6.2544300000000002</v>
      </c>
      <c r="D11892" s="2613">
        <v>5.6289869999999995</v>
      </c>
      <c r="E11892" s="2613">
        <v>5.1959879999999998</v>
      </c>
      <c r="F11892" s="2613">
        <v>5.0516550000000002</v>
      </c>
      <c r="G11892" s="2615">
        <v>6.1</v>
      </c>
      <c r="H11892" s="2616">
        <v>4831.2</v>
      </c>
      <c r="I11892" s="2616">
        <v>439.2</v>
      </c>
      <c r="J11892" s="2617">
        <v>4831.2</v>
      </c>
      <c r="K11892" s="2617">
        <v>439.2</v>
      </c>
      <c r="L11892" s="2618">
        <v>7.7</v>
      </c>
      <c r="M11892" s="2619" t="s">
        <v>3460</v>
      </c>
    </row>
    <row r="11893" spans="1:13" s="1191" customFormat="1" ht="17.100000000000001" customHeight="1">
      <c r="A11893" s="2612" t="s">
        <v>9007</v>
      </c>
      <c r="B11893" s="1217" t="s">
        <v>9008</v>
      </c>
      <c r="C11893" s="2540">
        <v>4.1500000000000004</v>
      </c>
      <c r="D11893" s="2540">
        <v>3.1</v>
      </c>
      <c r="E11893" s="2540">
        <v>2.98</v>
      </c>
      <c r="F11893" s="2540">
        <v>2.7</v>
      </c>
      <c r="G11893" s="1217">
        <v>0</v>
      </c>
      <c r="H11893" s="1217">
        <v>40</v>
      </c>
      <c r="I11893" s="1217">
        <v>633</v>
      </c>
      <c r="J11893" s="909">
        <v>3660</v>
      </c>
      <c r="K11893" s="909">
        <v>633</v>
      </c>
      <c r="L11893" s="2614">
        <v>8</v>
      </c>
      <c r="M11893" s="1217" t="s">
        <v>3460</v>
      </c>
    </row>
    <row r="11894" spans="1:13" s="1191" customFormat="1" ht="17.100000000000001" customHeight="1">
      <c r="A11894" s="2612" t="s">
        <v>9009</v>
      </c>
      <c r="B11894" s="1217" t="s">
        <v>9010</v>
      </c>
      <c r="C11894" s="2540">
        <v>4.0999999999999996</v>
      </c>
      <c r="D11894" s="2540">
        <v>2.95</v>
      </c>
      <c r="E11894" s="2540">
        <v>2.85</v>
      </c>
      <c r="F11894" s="2540">
        <v>2.66</v>
      </c>
      <c r="G11894" s="1217">
        <v>0</v>
      </c>
      <c r="H11894" s="1217">
        <v>3660</v>
      </c>
      <c r="I11894" s="1217">
        <v>633</v>
      </c>
      <c r="J11894" s="909">
        <v>3660</v>
      </c>
      <c r="K11894" s="909">
        <v>633</v>
      </c>
      <c r="L11894" s="2614">
        <v>7.5</v>
      </c>
      <c r="M11894" s="1217" t="s">
        <v>3460</v>
      </c>
    </row>
    <row r="11897" spans="1:13">
      <c r="A11897" t="s">
        <v>9012</v>
      </c>
    </row>
    <row r="11898" spans="1:13">
      <c r="A11898" s="1166" t="s">
        <v>1369</v>
      </c>
      <c r="B11898" s="887" t="s">
        <v>128</v>
      </c>
      <c r="C11898" s="887" t="s">
        <v>8351</v>
      </c>
      <c r="D11898" s="1783" t="s">
        <v>1323</v>
      </c>
      <c r="E11898" s="1783" t="s">
        <v>5948</v>
      </c>
      <c r="F11898" s="2607" t="s">
        <v>8360</v>
      </c>
      <c r="G11898" s="2581" t="s">
        <v>6080</v>
      </c>
      <c r="H11898" s="2130" t="s">
        <v>6081</v>
      </c>
    </row>
    <row r="11899" spans="1:13">
      <c r="A11899" s="1059" t="s">
        <v>9013</v>
      </c>
      <c r="B11899" s="47" t="s">
        <v>7694</v>
      </c>
      <c r="C11899" s="905">
        <v>10</v>
      </c>
      <c r="D11899" s="1058">
        <f>ROUNDUP(F11899/0.6/120,2)</f>
        <v>2.5199999999999996</v>
      </c>
      <c r="E11899" s="1058" t="s">
        <v>9014</v>
      </c>
      <c r="F11899" s="2608">
        <v>181</v>
      </c>
      <c r="G11899" s="2070">
        <f>(D11899-(F11899/H11899))/D11899</f>
        <v>0.40145502645502634</v>
      </c>
      <c r="H11899" s="2130">
        <v>120</v>
      </c>
    </row>
    <row r="11900" spans="1:13">
      <c r="A11900" s="1059" t="s">
        <v>9013</v>
      </c>
      <c r="B11900" s="47" t="s">
        <v>8352</v>
      </c>
      <c r="C11900" s="905" t="s">
        <v>8500</v>
      </c>
      <c r="D11900" s="1058">
        <f>ROUNDUP(F11900/0.6/120,2)</f>
        <v>4.3199999999999994</v>
      </c>
      <c r="E11900" s="1058" t="s">
        <v>9015</v>
      </c>
      <c r="F11900" s="2608">
        <f>181+130</f>
        <v>311</v>
      </c>
      <c r="G11900" s="2070">
        <f>(D11900-(F11900/H11900))/D11900</f>
        <v>0.40007716049382702</v>
      </c>
      <c r="H11900" s="2130">
        <v>120</v>
      </c>
    </row>
    <row r="11902" spans="1:13">
      <c r="A11902" s="1166" t="s">
        <v>1369</v>
      </c>
      <c r="B11902" s="887" t="s">
        <v>128</v>
      </c>
      <c r="C11902" s="887" t="s">
        <v>1186</v>
      </c>
      <c r="D11902" s="887" t="s">
        <v>1652</v>
      </c>
      <c r="E11902" s="887" t="s">
        <v>1653</v>
      </c>
      <c r="F11902" s="1783" t="s">
        <v>1323</v>
      </c>
    </row>
    <row r="11903" spans="1:13" s="888" customFormat="1" ht="12.75">
      <c r="A11903" s="889" t="s">
        <v>1003</v>
      </c>
      <c r="B11903" s="260"/>
      <c r="C11903" s="903"/>
      <c r="D11903" s="903"/>
      <c r="E11903" s="903"/>
      <c r="F11903" s="916" t="s">
        <v>10</v>
      </c>
    </row>
    <row r="11904" spans="1:13" s="888" customFormat="1" ht="12.75">
      <c r="A11904" s="47" t="s">
        <v>6894</v>
      </c>
      <c r="B11904" s="260" t="s">
        <v>7694</v>
      </c>
      <c r="C11904" s="905">
        <v>14</v>
      </c>
      <c r="D11904" s="906">
        <v>1</v>
      </c>
      <c r="E11904" s="905">
        <f>D11904*C11904</f>
        <v>14</v>
      </c>
      <c r="F11904" s="891">
        <v>1.5</v>
      </c>
    </row>
    <row r="11905" spans="1:7" s="888" customFormat="1" ht="12.75">
      <c r="A11905" s="47" t="s">
        <v>9018</v>
      </c>
      <c r="B11905" s="260" t="s">
        <v>7694</v>
      </c>
      <c r="C11905" s="905">
        <v>14</v>
      </c>
      <c r="D11905" s="906">
        <v>1</v>
      </c>
      <c r="E11905" s="905">
        <f>D11905*C11905</f>
        <v>14</v>
      </c>
      <c r="F11905" s="891">
        <v>2.39</v>
      </c>
    </row>
    <row r="11906" spans="1:7" s="888" customFormat="1" ht="12.75">
      <c r="A11906" s="47"/>
      <c r="B11906" s="260" t="s">
        <v>1993</v>
      </c>
      <c r="C11906" s="905"/>
      <c r="D11906" s="906"/>
      <c r="E11906" s="894">
        <v>1</v>
      </c>
      <c r="F11906" s="891">
        <v>12</v>
      </c>
    </row>
    <row r="11909" spans="1:7">
      <c r="A11909" s="889" t="s">
        <v>27</v>
      </c>
      <c r="B11909" s="907"/>
      <c r="C11909" s="47"/>
      <c r="D11909" s="903"/>
      <c r="E11909" s="904"/>
      <c r="F11909" s="903"/>
      <c r="G11909" s="52" t="s">
        <v>10</v>
      </c>
    </row>
    <row r="11910" spans="1:7">
      <c r="A11910" s="47" t="s">
        <v>536</v>
      </c>
      <c r="B11910" s="907">
        <v>160</v>
      </c>
      <c r="C11910" s="47" t="s">
        <v>3599</v>
      </c>
      <c r="D11910" s="905">
        <v>50</v>
      </c>
      <c r="E11910" s="906">
        <v>10</v>
      </c>
      <c r="F11910" s="905">
        <f>D11910*E11910</f>
        <v>500</v>
      </c>
      <c r="G11910" s="891">
        <v>5</v>
      </c>
    </row>
    <row r="11911" spans="1:7">
      <c r="A11911" s="47"/>
      <c r="B11911" s="893"/>
      <c r="C11911" s="47" t="s">
        <v>1993</v>
      </c>
      <c r="D11911" s="905"/>
      <c r="E11911" s="906"/>
      <c r="F11911" s="894">
        <v>1</v>
      </c>
      <c r="G11911" s="891">
        <v>25</v>
      </c>
    </row>
    <row r="11913" spans="1:7" ht="16.5">
      <c r="A11913" s="1871" t="s">
        <v>9022</v>
      </c>
      <c r="B11913" s="1871"/>
      <c r="C11913" s="1871"/>
      <c r="D11913" s="1871"/>
      <c r="E11913" s="1871"/>
      <c r="F11913" s="1871"/>
    </row>
    <row r="11914" spans="1:7">
      <c r="A11914" s="887" t="s">
        <v>455</v>
      </c>
      <c r="B11914" s="887" t="s">
        <v>128</v>
      </c>
      <c r="C11914" s="887" t="s">
        <v>9023</v>
      </c>
      <c r="D11914" s="1783" t="s">
        <v>1323</v>
      </c>
      <c r="E11914" s="1958" t="s">
        <v>8360</v>
      </c>
      <c r="F11914" s="2037" t="s">
        <v>6080</v>
      </c>
      <c r="G11914" s="317" t="s">
        <v>6081</v>
      </c>
    </row>
    <row r="11915" spans="1:7">
      <c r="A11915" s="47" t="s">
        <v>8660</v>
      </c>
      <c r="B11915" s="47" t="s">
        <v>7694</v>
      </c>
      <c r="C11915" s="905" t="s">
        <v>9024</v>
      </c>
      <c r="D11915" s="1058">
        <v>2.75</v>
      </c>
      <c r="E11915" s="2280">
        <v>210</v>
      </c>
      <c r="F11915" s="2070">
        <f>(D11915-(E11915/G11915))/D11915</f>
        <v>0.36363636363636365</v>
      </c>
      <c r="G11915" s="317">
        <v>120</v>
      </c>
    </row>
    <row r="11916" spans="1:7">
      <c r="A11916" s="47" t="s">
        <v>8660</v>
      </c>
      <c r="B11916" s="47" t="s">
        <v>7694</v>
      </c>
      <c r="C11916" s="2626" t="s">
        <v>9025</v>
      </c>
      <c r="D11916" s="1058">
        <f>ROUNDUP(E11916/0.6/120,2)</f>
        <v>3.0599999999999996</v>
      </c>
      <c r="E11916" s="2280">
        <v>220</v>
      </c>
      <c r="F11916" s="2070">
        <f>(D11916-(E11916/G11916))/D11916</f>
        <v>0.40087145969498905</v>
      </c>
      <c r="G11916" s="317">
        <v>120</v>
      </c>
    </row>
    <row r="11918" spans="1:7" ht="40.5">
      <c r="A11918" s="2355" t="s">
        <v>9021</v>
      </c>
    </row>
    <row r="11921" spans="1:13">
      <c r="A11921" s="2627" t="s">
        <v>9027</v>
      </c>
    </row>
    <row r="11922" spans="1:13" s="1191" customFormat="1" ht="17.100000000000001" customHeight="1">
      <c r="A11922" s="2779" t="s">
        <v>8995</v>
      </c>
      <c r="B11922" s="2776" t="s">
        <v>6519</v>
      </c>
      <c r="C11922" s="2598" t="s">
        <v>9035</v>
      </c>
      <c r="D11922" s="2598"/>
      <c r="E11922" s="2598"/>
      <c r="F11922" s="2598"/>
      <c r="G11922" s="2776" t="s">
        <v>8939</v>
      </c>
      <c r="H11922" s="2610"/>
      <c r="I11922" s="2610"/>
      <c r="J11922" s="2777" t="s">
        <v>8940</v>
      </c>
      <c r="K11922" s="2777" t="s">
        <v>8941</v>
      </c>
      <c r="L11922" s="2778" t="s">
        <v>8942</v>
      </c>
      <c r="M11922" s="2779" t="s">
        <v>3459</v>
      </c>
    </row>
    <row r="11923" spans="1:13" s="1191" customFormat="1" ht="17.100000000000001" customHeight="1">
      <c r="A11923" s="2779"/>
      <c r="B11923" s="2776"/>
      <c r="C11923" s="2601" t="s">
        <v>8086</v>
      </c>
      <c r="D11923" s="2601" t="s">
        <v>8087</v>
      </c>
      <c r="E11923" s="2601" t="s">
        <v>8088</v>
      </c>
      <c r="F11923" s="2601" t="s">
        <v>8089</v>
      </c>
      <c r="G11923" s="2776"/>
      <c r="H11923" s="2611" t="s">
        <v>8943</v>
      </c>
      <c r="I11923" s="2611" t="s">
        <v>8944</v>
      </c>
      <c r="J11923" s="2777"/>
      <c r="K11923" s="2777"/>
      <c r="L11923" s="2778"/>
      <c r="M11923" s="2779"/>
    </row>
    <row r="11924" spans="1:13" s="2591" customFormat="1" ht="17.100000000000001" customHeight="1">
      <c r="A11924" s="2612" t="s">
        <v>9028</v>
      </c>
      <c r="B11924" s="1217" t="s">
        <v>9029</v>
      </c>
      <c r="C11924" s="2613">
        <v>59.371344000000001</v>
      </c>
      <c r="D11924" s="2613">
        <v>58.2072</v>
      </c>
      <c r="E11924" s="2613">
        <v>53.550623999999999</v>
      </c>
      <c r="F11924" s="2613">
        <v>51.222335999999999</v>
      </c>
      <c r="G11924" s="1217">
        <v>6.1</v>
      </c>
      <c r="H11924" s="1217">
        <v>280.60000000000002</v>
      </c>
      <c r="I11924" s="1217">
        <v>36.6</v>
      </c>
      <c r="J11924" s="909">
        <v>280.60000000000002</v>
      </c>
      <c r="K11924" s="909">
        <v>36.6</v>
      </c>
      <c r="L11924" s="2614">
        <v>155</v>
      </c>
      <c r="M11924" s="1217" t="s">
        <v>3460</v>
      </c>
    </row>
    <row r="11925" spans="1:13" s="2591" customFormat="1" ht="17.100000000000001" customHeight="1">
      <c r="A11925" s="2612" t="s">
        <v>9030</v>
      </c>
      <c r="B11925" s="1217" t="s">
        <v>9031</v>
      </c>
      <c r="C11925" s="2613">
        <v>55.237590000000004</v>
      </c>
      <c r="D11925" s="2613">
        <v>54.154500000000006</v>
      </c>
      <c r="E11925" s="2613">
        <v>49.822140000000005</v>
      </c>
      <c r="F11925" s="2613">
        <v>47.655960000000007</v>
      </c>
      <c r="G11925" s="2615">
        <v>5</v>
      </c>
      <c r="H11925" s="2616">
        <v>230</v>
      </c>
      <c r="I11925" s="2616">
        <v>30</v>
      </c>
      <c r="J11925" s="2617">
        <v>230</v>
      </c>
      <c r="K11925" s="2617">
        <v>30</v>
      </c>
      <c r="L11925" s="2618">
        <v>151.20000000000002</v>
      </c>
      <c r="M11925" s="2619" t="s">
        <v>3460</v>
      </c>
    </row>
    <row r="11926" spans="1:13" s="2591" customFormat="1" ht="17.100000000000001" customHeight="1">
      <c r="A11926" s="2612" t="s">
        <v>9032</v>
      </c>
      <c r="B11926" s="1217" t="s">
        <v>9033</v>
      </c>
      <c r="C11926" s="2613">
        <v>48.045825000000001</v>
      </c>
      <c r="D11926" s="2613">
        <v>47.103749999999998</v>
      </c>
      <c r="E11926" s="2613">
        <v>43.335450000000002</v>
      </c>
      <c r="F11926" s="2613">
        <v>41.451299999999996</v>
      </c>
      <c r="G11926" s="1217">
        <v>5</v>
      </c>
      <c r="H11926" s="1217">
        <v>270</v>
      </c>
      <c r="I11926" s="1217">
        <v>30</v>
      </c>
      <c r="J11926" s="909">
        <v>270</v>
      </c>
      <c r="K11926" s="909">
        <v>30</v>
      </c>
      <c r="L11926" s="2614">
        <v>124.2</v>
      </c>
      <c r="M11926" s="1217" t="s">
        <v>9034</v>
      </c>
    </row>
    <row r="11929" spans="1:13" ht="14.25">
      <c r="A11929" s="1971" t="s">
        <v>9036</v>
      </c>
    </row>
    <row r="11930" spans="1:13" s="843" customFormat="1" ht="14.25">
      <c r="A11930" s="886" t="s">
        <v>1400</v>
      </c>
      <c r="B11930" s="953" t="s">
        <v>2467</v>
      </c>
      <c r="C11930" s="2318" t="s">
        <v>8906</v>
      </c>
      <c r="D11930" s="939" t="s">
        <v>6080</v>
      </c>
      <c r="E11930" s="940" t="s">
        <v>6081</v>
      </c>
    </row>
    <row r="11931" spans="1:13" ht="25.5">
      <c r="A11931" s="2602" t="s">
        <v>9042</v>
      </c>
      <c r="B11931" s="2630">
        <f>ROUNDUP(C11931/0.8/120,2)</f>
        <v>12.61</v>
      </c>
      <c r="C11931" s="236">
        <f>810+400</f>
        <v>1210</v>
      </c>
      <c r="D11931" s="2317">
        <f>(B11931-(C11931/E11931))/B11931</f>
        <v>0.20037007665873638</v>
      </c>
      <c r="E11931" s="2628">
        <v>120</v>
      </c>
    </row>
    <row r="11932" spans="1:13" ht="25.5">
      <c r="A11932" s="2602" t="s">
        <v>9043</v>
      </c>
      <c r="B11932" s="2630">
        <f>ROUNDUP(C11932/0.8/120,2)</f>
        <v>8.75</v>
      </c>
      <c r="C11932" s="236">
        <f>810+30</f>
        <v>840</v>
      </c>
      <c r="D11932" s="2317">
        <f>(B11932-(C11932/E11932))/B11932</f>
        <v>0.2</v>
      </c>
      <c r="E11932" s="2628">
        <v>120</v>
      </c>
    </row>
    <row r="11933" spans="1:13">
      <c r="A11933" s="2602"/>
      <c r="B11933" s="2630"/>
      <c r="C11933" s="236"/>
      <c r="D11933" s="2317"/>
      <c r="E11933" s="2628"/>
    </row>
    <row r="11934" spans="1:13" s="843" customFormat="1" ht="14.25">
      <c r="A11934" s="886" t="s">
        <v>1400</v>
      </c>
      <c r="B11934" s="953" t="s">
        <v>2467</v>
      </c>
      <c r="C11934" s="2318" t="s">
        <v>8906</v>
      </c>
      <c r="D11934" s="939" t="s">
        <v>6080</v>
      </c>
      <c r="E11934" s="940" t="s">
        <v>6081</v>
      </c>
    </row>
    <row r="11935" spans="1:13" s="1331" customFormat="1" ht="13.5" customHeight="1">
      <c r="A11935" s="2629" t="s">
        <v>9037</v>
      </c>
      <c r="B11935" s="2630">
        <f t="shared" ref="B11935:B11946" si="165">ROUNDUP(C11935/0.75/120,2)</f>
        <v>8.34</v>
      </c>
      <c r="C11935" s="594">
        <f>720+30</f>
        <v>750</v>
      </c>
      <c r="D11935" s="2317">
        <f t="shared" ref="D11935:D11944" si="166">(B11935-(C11935/E11935))/B11935</f>
        <v>0.25059952038369304</v>
      </c>
      <c r="E11935" s="2628">
        <v>120</v>
      </c>
    </row>
    <row r="11936" spans="1:13" s="1331" customFormat="1" ht="13.5" customHeight="1">
      <c r="A11936" s="368" t="s">
        <v>2512</v>
      </c>
      <c r="B11936" s="2630">
        <f t="shared" si="165"/>
        <v>11.56</v>
      </c>
      <c r="C11936" s="594">
        <f>1010+30</f>
        <v>1040</v>
      </c>
      <c r="D11936" s="2317">
        <f t="shared" si="166"/>
        <v>0.25028835063437149</v>
      </c>
      <c r="E11936" s="2628">
        <v>120</v>
      </c>
    </row>
    <row r="11937" spans="1:8" s="1331" customFormat="1" ht="13.5" customHeight="1">
      <c r="A11937" s="368" t="s">
        <v>731</v>
      </c>
      <c r="B11937" s="2630">
        <f t="shared" si="165"/>
        <v>9</v>
      </c>
      <c r="C11937" s="594">
        <f>780+30</f>
        <v>810</v>
      </c>
      <c r="D11937" s="2317">
        <f t="shared" si="166"/>
        <v>0.25</v>
      </c>
      <c r="E11937" s="2628">
        <v>120</v>
      </c>
    </row>
    <row r="11938" spans="1:8" s="1331" customFormat="1" ht="13.5" customHeight="1">
      <c r="A11938" s="368" t="s">
        <v>22</v>
      </c>
      <c r="B11938" s="2630">
        <f t="shared" si="165"/>
        <v>5</v>
      </c>
      <c r="C11938" s="594">
        <f>420+30</f>
        <v>450</v>
      </c>
      <c r="D11938" s="2317">
        <f t="shared" si="166"/>
        <v>0.25</v>
      </c>
      <c r="E11938" s="2628">
        <v>120</v>
      </c>
    </row>
    <row r="11939" spans="1:8" s="1331" customFormat="1" ht="13.5" customHeight="1">
      <c r="A11939" s="368" t="s">
        <v>9038</v>
      </c>
      <c r="B11939" s="2630">
        <f t="shared" si="165"/>
        <v>5.89</v>
      </c>
      <c r="C11939" s="594">
        <f>500+30</f>
        <v>530</v>
      </c>
      <c r="D11939" s="2317">
        <f t="shared" si="166"/>
        <v>0.25014148273910575</v>
      </c>
      <c r="E11939" s="2628">
        <v>120</v>
      </c>
    </row>
    <row r="11940" spans="1:8" s="1331" customFormat="1" ht="13.5" customHeight="1">
      <c r="A11940" s="368" t="s">
        <v>9039</v>
      </c>
      <c r="B11940" s="2630">
        <f t="shared" si="165"/>
        <v>10.45</v>
      </c>
      <c r="C11940" s="594">
        <f>910+30</f>
        <v>940</v>
      </c>
      <c r="D11940" s="2317">
        <f t="shared" si="166"/>
        <v>0.25039872408293457</v>
      </c>
      <c r="E11940" s="2628">
        <v>120</v>
      </c>
    </row>
    <row r="11941" spans="1:8" s="1331" customFormat="1" ht="13.5" customHeight="1">
      <c r="A11941" s="368" t="s">
        <v>9040</v>
      </c>
      <c r="B11941" s="2630">
        <f t="shared" si="165"/>
        <v>12.78</v>
      </c>
      <c r="C11941" s="594">
        <f>1120+30</f>
        <v>1150</v>
      </c>
      <c r="D11941" s="2317">
        <f t="shared" si="166"/>
        <v>0.25013041210224302</v>
      </c>
      <c r="E11941" s="2628">
        <v>120</v>
      </c>
    </row>
    <row r="11942" spans="1:8" s="1331" customFormat="1" ht="13.5" customHeight="1">
      <c r="A11942" s="368" t="s">
        <v>9041</v>
      </c>
      <c r="B11942" s="2630">
        <f t="shared" si="165"/>
        <v>6.2299999999999995</v>
      </c>
      <c r="C11942" s="594">
        <f>530+30</f>
        <v>560</v>
      </c>
      <c r="D11942" s="2317">
        <f t="shared" si="166"/>
        <v>0.25093632958801487</v>
      </c>
      <c r="E11942" s="2628">
        <v>120</v>
      </c>
    </row>
    <row r="11943" spans="1:8" s="1331" customFormat="1" ht="13.5" customHeight="1">
      <c r="A11943" s="368" t="s">
        <v>536</v>
      </c>
      <c r="B11943" s="2630">
        <f t="shared" si="165"/>
        <v>5</v>
      </c>
      <c r="C11943" s="594">
        <f>420+30</f>
        <v>450</v>
      </c>
      <c r="D11943" s="2317">
        <f t="shared" si="166"/>
        <v>0.25</v>
      </c>
      <c r="E11943" s="2628">
        <v>120</v>
      </c>
    </row>
    <row r="11944" spans="1:8" s="1331" customFormat="1" ht="13.5" customHeight="1">
      <c r="A11944" s="368" t="s">
        <v>736</v>
      </c>
      <c r="B11944" s="2630">
        <f t="shared" si="165"/>
        <v>4.67</v>
      </c>
      <c r="C11944" s="594">
        <f>390+30</f>
        <v>420</v>
      </c>
      <c r="D11944" s="2317">
        <f t="shared" si="166"/>
        <v>0.25053533190578159</v>
      </c>
      <c r="E11944" s="2628">
        <v>120</v>
      </c>
    </row>
    <row r="11945" spans="1:8" s="843" customFormat="1" ht="14.25">
      <c r="A11945" s="886" t="s">
        <v>1400</v>
      </c>
      <c r="B11945" s="953" t="s">
        <v>2467</v>
      </c>
      <c r="C11945" s="2318" t="s">
        <v>8906</v>
      </c>
      <c r="D11945" s="939" t="s">
        <v>6080</v>
      </c>
      <c r="E11945" s="940" t="s">
        <v>6081</v>
      </c>
    </row>
    <row r="11946" spans="1:8" s="1331" customFormat="1" ht="13.5" customHeight="1">
      <c r="A11946" s="368" t="s">
        <v>9047</v>
      </c>
      <c r="B11946" s="2630">
        <f t="shared" si="165"/>
        <v>9.67</v>
      </c>
      <c r="C11946" s="594">
        <f>840+30</f>
        <v>870</v>
      </c>
      <c r="D11946" s="2317">
        <f>(B11946-(C11946/E11946))/B11946</f>
        <v>0.25025853154084798</v>
      </c>
      <c r="E11946" s="2628">
        <v>120</v>
      </c>
    </row>
    <row r="11948" spans="1:8" ht="15">
      <c r="A11948" s="1871" t="s">
        <v>9044</v>
      </c>
      <c r="B11948" s="1871"/>
      <c r="C11948" s="1871"/>
      <c r="D11948" s="1871"/>
      <c r="E11948" s="1871"/>
      <c r="F11948" s="1871"/>
    </row>
    <row r="11949" spans="1:8" ht="25.5">
      <c r="A11949" s="887" t="s">
        <v>455</v>
      </c>
      <c r="B11949" s="887" t="s">
        <v>128</v>
      </c>
      <c r="C11949" s="887" t="s">
        <v>1053</v>
      </c>
      <c r="D11949" s="1783" t="s">
        <v>1323</v>
      </c>
      <c r="E11949" s="1783" t="s">
        <v>9046</v>
      </c>
      <c r="F11949" s="2548" t="s">
        <v>8537</v>
      </c>
      <c r="G11949" s="2037" t="s">
        <v>6080</v>
      </c>
      <c r="H11949" s="317" t="s">
        <v>6081</v>
      </c>
    </row>
    <row r="11950" spans="1:8" ht="15">
      <c r="A11950" s="47" t="s">
        <v>9045</v>
      </c>
      <c r="B11950" s="47" t="s">
        <v>7694</v>
      </c>
      <c r="C11950" s="905">
        <v>10</v>
      </c>
      <c r="D11950" s="891">
        <f>ROUNDUP(F11950/0.6/120,2)</f>
        <v>1.81</v>
      </c>
      <c r="E11950" s="2464" t="s">
        <v>1521</v>
      </c>
      <c r="F11950" s="2547">
        <v>130</v>
      </c>
      <c r="G11950" s="2070">
        <f>(D11950-(F11950/H11950))/D11950</f>
        <v>0.4014732965009209</v>
      </c>
      <c r="H11950" s="317">
        <v>120</v>
      </c>
    </row>
    <row r="11951" spans="1:8" ht="15">
      <c r="A11951" s="47" t="s">
        <v>9045</v>
      </c>
      <c r="B11951" s="47" t="s">
        <v>8303</v>
      </c>
      <c r="C11951" s="905" t="s">
        <v>8500</v>
      </c>
      <c r="D11951" s="891">
        <f>ROUNDUP(F11951/0.6/120,2)</f>
        <v>2.78</v>
      </c>
      <c r="E11951" s="2464" t="s">
        <v>2346</v>
      </c>
      <c r="F11951" s="2547">
        <f>130+70</f>
        <v>200</v>
      </c>
      <c r="G11951" s="2070">
        <f>(D11951-(F11951/H11951))/D11951</f>
        <v>0.40047961630695439</v>
      </c>
      <c r="H11951" s="317">
        <v>120</v>
      </c>
    </row>
    <row r="11955" spans="1:9">
      <c r="A11955" s="902" t="s">
        <v>105</v>
      </c>
      <c r="B11955" s="902" t="s">
        <v>106</v>
      </c>
      <c r="C11955" s="902" t="s">
        <v>377</v>
      </c>
      <c r="D11955" s="902" t="s">
        <v>53</v>
      </c>
      <c r="E11955" s="887" t="s">
        <v>1186</v>
      </c>
      <c r="F11955" s="887" t="s">
        <v>1652</v>
      </c>
      <c r="G11955" s="887" t="s">
        <v>1653</v>
      </c>
      <c r="H11955" s="1783" t="s">
        <v>1323</v>
      </c>
      <c r="I11955" s="574" t="s">
        <v>6155</v>
      </c>
    </row>
    <row r="11956" spans="1:9" s="1019" customFormat="1" ht="12.75">
      <c r="A11956" s="2639" t="s">
        <v>9056</v>
      </c>
      <c r="B11956" s="909" t="s">
        <v>7293</v>
      </c>
      <c r="C11956" s="1753">
        <v>9</v>
      </c>
      <c r="D11956" s="1753" t="s">
        <v>9049</v>
      </c>
      <c r="E11956" s="1885">
        <v>30</v>
      </c>
      <c r="F11956" s="2632">
        <v>5</v>
      </c>
      <c r="G11956" s="1885">
        <f>E11956*F11956</f>
        <v>150</v>
      </c>
      <c r="H11956" s="1752">
        <v>0.32</v>
      </c>
      <c r="I11956" s="1343" t="s">
        <v>9053</v>
      </c>
    </row>
    <row r="11957" spans="1:9" s="1019" customFormat="1" ht="12.75">
      <c r="A11957" s="2639" t="s">
        <v>9056</v>
      </c>
      <c r="B11957" s="909" t="s">
        <v>7293</v>
      </c>
      <c r="C11957" s="1753">
        <v>9</v>
      </c>
      <c r="D11957" s="1753" t="s">
        <v>9050</v>
      </c>
      <c r="E11957" s="1885">
        <v>30</v>
      </c>
      <c r="F11957" s="2632">
        <v>7</v>
      </c>
      <c r="G11957" s="1885">
        <f>E11957*F11957</f>
        <v>210</v>
      </c>
      <c r="H11957" s="1752">
        <v>0.32</v>
      </c>
      <c r="I11957" s="1343" t="s">
        <v>9054</v>
      </c>
    </row>
    <row r="11958" spans="1:9" s="1019" customFormat="1" ht="12.75">
      <c r="A11958" s="2639" t="s">
        <v>9056</v>
      </c>
      <c r="B11958" s="909" t="s">
        <v>7293</v>
      </c>
      <c r="C11958" s="1753">
        <v>19</v>
      </c>
      <c r="D11958" s="1753" t="s">
        <v>9049</v>
      </c>
      <c r="E11958" s="1885">
        <v>30</v>
      </c>
      <c r="F11958" s="2632">
        <v>3</v>
      </c>
      <c r="G11958" s="1885">
        <f>E11958*F11958</f>
        <v>90</v>
      </c>
      <c r="H11958" s="1752">
        <v>0.49</v>
      </c>
      <c r="I11958" s="1343" t="s">
        <v>9053</v>
      </c>
    </row>
    <row r="11959" spans="1:9" s="1019" customFormat="1" ht="12.75">
      <c r="A11959" s="2639" t="s">
        <v>9056</v>
      </c>
      <c r="B11959" s="909" t="s">
        <v>7293</v>
      </c>
      <c r="C11959" s="1753">
        <v>19</v>
      </c>
      <c r="D11959" s="1753" t="s">
        <v>9050</v>
      </c>
      <c r="E11959" s="1885">
        <v>30</v>
      </c>
      <c r="F11959" s="2632">
        <v>4</v>
      </c>
      <c r="G11959" s="1885">
        <f>E11959*F11959</f>
        <v>120</v>
      </c>
      <c r="H11959" s="1752">
        <v>0.49</v>
      </c>
      <c r="I11959" s="1343" t="s">
        <v>9053</v>
      </c>
    </row>
    <row r="11960" spans="1:9" s="1019" customFormat="1" ht="12.75">
      <c r="A11960" s="2640"/>
      <c r="B11960" s="2633"/>
      <c r="C11960" s="2634"/>
      <c r="D11960" s="2634"/>
      <c r="E11960" s="2635"/>
      <c r="F11960" s="2636"/>
      <c r="G11960" s="2637"/>
      <c r="H11960" s="2638"/>
      <c r="I11960" s="2631"/>
    </row>
    <row r="11961" spans="1:9" s="1019" customFormat="1" ht="12.75">
      <c r="A11961" s="2639" t="s">
        <v>9057</v>
      </c>
      <c r="B11961" s="909" t="s">
        <v>8774</v>
      </c>
      <c r="C11961" s="1638">
        <v>152</v>
      </c>
      <c r="D11961" s="909" t="s">
        <v>9052</v>
      </c>
      <c r="E11961" s="1885">
        <v>58</v>
      </c>
      <c r="F11961" s="2632">
        <v>9</v>
      </c>
      <c r="G11961" s="1885">
        <f>E11961*F11961</f>
        <v>522</v>
      </c>
      <c r="H11961" s="1752">
        <v>4.05</v>
      </c>
      <c r="I11961" s="1343" t="s">
        <v>9055</v>
      </c>
    </row>
    <row r="11962" spans="1:9" s="1019" customFormat="1" ht="12.75">
      <c r="A11962" s="2639" t="s">
        <v>9057</v>
      </c>
      <c r="B11962" s="909" t="s">
        <v>8774</v>
      </c>
      <c r="C11962" s="1638">
        <v>152</v>
      </c>
      <c r="D11962" s="909" t="s">
        <v>2601</v>
      </c>
      <c r="E11962" s="1885">
        <v>58</v>
      </c>
      <c r="F11962" s="2632">
        <v>2</v>
      </c>
      <c r="G11962" s="1885">
        <f>E11962*F11962</f>
        <v>116</v>
      </c>
      <c r="H11962" s="1752">
        <v>4.05</v>
      </c>
      <c r="I11962" s="1343" t="s">
        <v>9053</v>
      </c>
    </row>
    <row r="11967" spans="1:9" s="888" customFormat="1" ht="12.75">
      <c r="A11967" s="902" t="s">
        <v>105</v>
      </c>
      <c r="B11967" s="902" t="s">
        <v>106</v>
      </c>
      <c r="C11967" s="902" t="s">
        <v>53</v>
      </c>
      <c r="D11967" s="887" t="s">
        <v>1186</v>
      </c>
      <c r="E11967" s="887" t="s">
        <v>1652</v>
      </c>
      <c r="F11967" s="887" t="s">
        <v>1653</v>
      </c>
      <c r="G11967" s="1783" t="s">
        <v>1323</v>
      </c>
      <c r="H11967" s="574" t="s">
        <v>6155</v>
      </c>
    </row>
    <row r="11968" spans="1:9" s="888" customFormat="1" ht="12.75">
      <c r="A11968" s="4" t="s">
        <v>9058</v>
      </c>
      <c r="B11968" s="889" t="s">
        <v>1003</v>
      </c>
      <c r="C11968" s="260"/>
      <c r="D11968" s="903"/>
      <c r="E11968" s="903"/>
      <c r="F11968" s="903"/>
      <c r="G11968" s="52" t="s">
        <v>10</v>
      </c>
      <c r="H11968" s="39"/>
    </row>
    <row r="11969" spans="1:8" s="888" customFormat="1" ht="25.5">
      <c r="A11969" s="4" t="s">
        <v>9058</v>
      </c>
      <c r="B11969" s="47" t="s">
        <v>1006</v>
      </c>
      <c r="C11969" s="260" t="s">
        <v>7694</v>
      </c>
      <c r="D11969" s="905">
        <v>14</v>
      </c>
      <c r="E11969" s="911">
        <v>85</v>
      </c>
      <c r="F11969" s="50">
        <f>E11969*D11969</f>
        <v>1190</v>
      </c>
      <c r="G11969" s="891">
        <v>2.92</v>
      </c>
      <c r="H11969" s="239" t="s">
        <v>9062</v>
      </c>
    </row>
    <row r="11970" spans="1:8" s="888" customFormat="1" ht="12.75">
      <c r="A11970" s="710" t="s">
        <v>9058</v>
      </c>
      <c r="B11970" s="1116"/>
      <c r="C11970" s="921" t="s">
        <v>1227</v>
      </c>
      <c r="D11970" s="922" t="s">
        <v>1228</v>
      </c>
      <c r="E11970" s="923"/>
      <c r="F11970" s="924"/>
      <c r="G11970" s="925">
        <v>0</v>
      </c>
      <c r="H11970" s="310"/>
    </row>
    <row r="11971" spans="1:8" s="888" customFormat="1" ht="12.75">
      <c r="A11971" s="902" t="s">
        <v>105</v>
      </c>
      <c r="B11971" s="902" t="s">
        <v>106</v>
      </c>
      <c r="C11971" s="902" t="s">
        <v>53</v>
      </c>
      <c r="D11971" s="887" t="s">
        <v>1186</v>
      </c>
      <c r="E11971" s="887" t="s">
        <v>1652</v>
      </c>
      <c r="F11971" s="887" t="s">
        <v>1653</v>
      </c>
      <c r="G11971" s="1783" t="s">
        <v>1323</v>
      </c>
      <c r="H11971" s="574" t="s">
        <v>6155</v>
      </c>
    </row>
    <row r="11972" spans="1:8" s="888" customFormat="1" ht="12.75">
      <c r="A11972" s="4" t="s">
        <v>9059</v>
      </c>
      <c r="B11972" s="889" t="s">
        <v>1003</v>
      </c>
      <c r="C11972" s="260"/>
      <c r="D11972" s="903"/>
      <c r="E11972" s="903"/>
      <c r="F11972" s="903"/>
      <c r="G11972" s="52" t="s">
        <v>10</v>
      </c>
      <c r="H11972" s="39"/>
    </row>
    <row r="11973" spans="1:8" s="888" customFormat="1" ht="25.5">
      <c r="A11973" s="4" t="s">
        <v>9059</v>
      </c>
      <c r="B11973" s="47" t="s">
        <v>1529</v>
      </c>
      <c r="C11973" s="260" t="s">
        <v>7694</v>
      </c>
      <c r="D11973" s="905">
        <v>14</v>
      </c>
      <c r="E11973" s="911">
        <v>150</v>
      </c>
      <c r="F11973" s="50">
        <f>E11973*D11973</f>
        <v>2100</v>
      </c>
      <c r="G11973" s="891">
        <v>1.81</v>
      </c>
      <c r="H11973" s="239" t="s">
        <v>9063</v>
      </c>
    </row>
    <row r="11974" spans="1:8" s="888" customFormat="1" ht="12.75">
      <c r="A11974" s="710" t="s">
        <v>9059</v>
      </c>
      <c r="B11974" s="1116"/>
      <c r="C11974" s="921" t="s">
        <v>1227</v>
      </c>
      <c r="D11974" s="922" t="s">
        <v>1228</v>
      </c>
      <c r="E11974" s="923"/>
      <c r="F11974" s="924"/>
      <c r="G11974" s="925">
        <v>0</v>
      </c>
      <c r="H11974" s="310"/>
    </row>
    <row r="11975" spans="1:8" s="888" customFormat="1" ht="12.75">
      <c r="A11975" s="902" t="s">
        <v>105</v>
      </c>
      <c r="B11975" s="902" t="s">
        <v>106</v>
      </c>
      <c r="C11975" s="902" t="s">
        <v>53</v>
      </c>
      <c r="D11975" s="887" t="s">
        <v>1186</v>
      </c>
      <c r="E11975" s="887" t="s">
        <v>1652</v>
      </c>
      <c r="F11975" s="887" t="s">
        <v>1653</v>
      </c>
      <c r="G11975" s="1783" t="s">
        <v>1323</v>
      </c>
      <c r="H11975" s="574" t="s">
        <v>6155</v>
      </c>
    </row>
    <row r="11976" spans="1:8" s="888" customFormat="1" ht="12.75">
      <c r="A11976" s="4" t="s">
        <v>9060</v>
      </c>
      <c r="B11976" s="889" t="s">
        <v>1003</v>
      </c>
      <c r="C11976" s="260"/>
      <c r="D11976" s="903"/>
      <c r="E11976" s="903"/>
      <c r="F11976" s="903"/>
      <c r="G11976" s="52" t="s">
        <v>10</v>
      </c>
      <c r="H11976" s="39"/>
    </row>
    <row r="11977" spans="1:8" s="888" customFormat="1" ht="25.5">
      <c r="A11977" s="4" t="s">
        <v>9060</v>
      </c>
      <c r="B11977" s="47" t="s">
        <v>1536</v>
      </c>
      <c r="C11977" s="260" t="s">
        <v>7694</v>
      </c>
      <c r="D11977" s="905">
        <v>14</v>
      </c>
      <c r="E11977" s="911">
        <v>78</v>
      </c>
      <c r="F11977" s="50">
        <f>E11977*D11977</f>
        <v>1092</v>
      </c>
      <c r="G11977" s="891">
        <v>1.05</v>
      </c>
      <c r="H11977" s="239" t="s">
        <v>9064</v>
      </c>
    </row>
    <row r="11978" spans="1:8" s="888" customFormat="1" ht="12.75">
      <c r="A11978" s="4" t="s">
        <v>9060</v>
      </c>
      <c r="B11978" s="47" t="s">
        <v>1536</v>
      </c>
      <c r="C11978" s="260" t="s">
        <v>7694</v>
      </c>
      <c r="D11978" s="905">
        <v>13</v>
      </c>
      <c r="E11978" s="911">
        <v>1</v>
      </c>
      <c r="F11978" s="50">
        <f>E11978*D11978</f>
        <v>13</v>
      </c>
      <c r="G11978" s="891">
        <v>1.05</v>
      </c>
      <c r="H11978" s="1145"/>
    </row>
    <row r="11979" spans="1:8" s="888" customFormat="1" ht="12.75">
      <c r="A11979" s="4" t="s">
        <v>9060</v>
      </c>
      <c r="B11979" s="47" t="s">
        <v>1536</v>
      </c>
      <c r="C11979" s="260" t="s">
        <v>7694</v>
      </c>
      <c r="D11979" s="983">
        <v>12.5</v>
      </c>
      <c r="E11979" s="911">
        <v>1</v>
      </c>
      <c r="F11979" s="982">
        <f>E11979*D11979</f>
        <v>12.5</v>
      </c>
      <c r="G11979" s="891">
        <v>1.05</v>
      </c>
      <c r="H11979" s="1145"/>
    </row>
    <row r="11980" spans="1:8" s="888" customFormat="1" ht="12"/>
    <row r="11981" spans="1:8" s="888" customFormat="1" ht="12"/>
    <row r="11982" spans="1:8" ht="15">
      <c r="A11982" s="1871" t="s">
        <v>9067</v>
      </c>
      <c r="B11982" s="1871"/>
      <c r="C11982" s="1871"/>
      <c r="D11982" s="1871"/>
      <c r="E11982" s="1871"/>
      <c r="F11982" s="1871"/>
    </row>
    <row r="11983" spans="1:8" s="888" customFormat="1" ht="25.5">
      <c r="A11983" s="887" t="s">
        <v>455</v>
      </c>
      <c r="B11983" s="887" t="s">
        <v>128</v>
      </c>
      <c r="C11983" s="887" t="s">
        <v>8351</v>
      </c>
      <c r="D11983" s="1783" t="s">
        <v>1323</v>
      </c>
      <c r="E11983" s="1783" t="s">
        <v>9070</v>
      </c>
      <c r="F11983" s="1958" t="s">
        <v>8360</v>
      </c>
      <c r="G11983" s="2581" t="s">
        <v>6080</v>
      </c>
      <c r="H11983" s="2130" t="s">
        <v>6081</v>
      </c>
    </row>
    <row r="11984" spans="1:8" s="888" customFormat="1" ht="12.75">
      <c r="A11984" s="1865" t="s">
        <v>9068</v>
      </c>
      <c r="B11984" s="2580" t="s">
        <v>7694</v>
      </c>
      <c r="C11984" s="983">
        <v>13.7</v>
      </c>
      <c r="D11984" s="1058">
        <f>ROUNDUP(F11984/0.6/120,2)</f>
        <v>1.48</v>
      </c>
      <c r="E11984" s="2582" t="s">
        <v>9071</v>
      </c>
      <c r="F11984" s="1922">
        <v>106</v>
      </c>
      <c r="G11984" s="2070">
        <f>(D11984-(F11984/H11984))/D11984</f>
        <v>0.40315315315315314</v>
      </c>
      <c r="H11984" s="2130">
        <v>120</v>
      </c>
    </row>
    <row r="11985" spans="1:8" s="888" customFormat="1" ht="12.75">
      <c r="A11985" s="1865" t="s">
        <v>9068</v>
      </c>
      <c r="B11985" s="2580" t="s">
        <v>8352</v>
      </c>
      <c r="C11985" s="905" t="s">
        <v>9069</v>
      </c>
      <c r="D11985" s="1058">
        <f>ROUNDUP(F11985/0.6/120,2)</f>
        <v>2.0999999999999996</v>
      </c>
      <c r="E11985" s="2582" t="s">
        <v>2346</v>
      </c>
      <c r="F11985" s="1922">
        <f>106+45</f>
        <v>151</v>
      </c>
      <c r="G11985" s="2070">
        <f>(D11985-(F11985/H11985))/D11985</f>
        <v>0.4007936507936507</v>
      </c>
      <c r="H11985" s="2130">
        <v>120</v>
      </c>
    </row>
    <row r="11988" spans="1:8">
      <c r="A11988" s="887" t="s">
        <v>455</v>
      </c>
      <c r="B11988" s="887" t="s">
        <v>52</v>
      </c>
      <c r="C11988" s="887" t="s">
        <v>128</v>
      </c>
      <c r="D11988" s="887" t="s">
        <v>1186</v>
      </c>
      <c r="E11988" s="887" t="s">
        <v>1652</v>
      </c>
      <c r="F11988" s="887" t="s">
        <v>1653</v>
      </c>
      <c r="G11988" s="1783" t="s">
        <v>1323</v>
      </c>
      <c r="H11988" s="1783" t="s">
        <v>6155</v>
      </c>
    </row>
    <row r="11989" spans="1:8" ht="25.5">
      <c r="A11989" s="47">
        <v>4156</v>
      </c>
      <c r="B11989" s="260" t="s">
        <v>8739</v>
      </c>
      <c r="C11989" s="47" t="s">
        <v>8754</v>
      </c>
      <c r="D11989" s="905">
        <v>15</v>
      </c>
      <c r="E11989" s="906">
        <v>7</v>
      </c>
      <c r="F11989" s="905">
        <f>D11989*E11989</f>
        <v>105</v>
      </c>
      <c r="G11989" s="891">
        <v>1.91</v>
      </c>
      <c r="H11989" s="239" t="s">
        <v>9073</v>
      </c>
    </row>
    <row r="11990" spans="1:8">
      <c r="A11990" s="47" t="s">
        <v>8836</v>
      </c>
      <c r="B11990" s="260"/>
      <c r="C11990" s="260" t="s">
        <v>7694</v>
      </c>
      <c r="D11990" s="983"/>
      <c r="E11990" s="906"/>
      <c r="F11990" s="905">
        <v>10</v>
      </c>
      <c r="G11990" s="891">
        <v>2.2999999999999998</v>
      </c>
      <c r="H11990" s="39" t="s">
        <v>9074</v>
      </c>
    </row>
    <row r="11991" spans="1:8">
      <c r="A11991" s="47" t="s">
        <v>8831</v>
      </c>
      <c r="B11991" s="260"/>
      <c r="C11991" s="260" t="s">
        <v>7694</v>
      </c>
      <c r="D11991" s="983"/>
      <c r="E11991" s="906"/>
      <c r="F11991" s="905">
        <v>10</v>
      </c>
      <c r="G11991" s="891">
        <v>0.91</v>
      </c>
      <c r="H11991" s="39" t="s">
        <v>9074</v>
      </c>
    </row>
    <row r="11992" spans="1:8">
      <c r="A11992" s="47"/>
      <c r="B11992" s="893"/>
      <c r="C11992" s="260" t="s">
        <v>1993</v>
      </c>
      <c r="D11992" s="905"/>
      <c r="E11992" s="906"/>
      <c r="F11992" s="894">
        <v>1</v>
      </c>
      <c r="G11992" s="891">
        <v>24</v>
      </c>
      <c r="H11992" s="39"/>
    </row>
    <row r="11995" spans="1:8" ht="14.25" thickBot="1">
      <c r="A11995" s="776">
        <v>20251217</v>
      </c>
    </row>
    <row r="11996" spans="1:8">
      <c r="A11996" s="2959" t="s">
        <v>1372</v>
      </c>
      <c r="B11996" s="2959" t="s">
        <v>457</v>
      </c>
      <c r="C11996" s="2959" t="s">
        <v>9077</v>
      </c>
      <c r="D11996" s="2961" t="s">
        <v>6413</v>
      </c>
      <c r="E11996" s="2641" t="s">
        <v>9078</v>
      </c>
    </row>
    <row r="11997" spans="1:8" ht="14.25" thickBot="1">
      <c r="A11997" s="2960"/>
      <c r="B11997" s="2960"/>
      <c r="C11997" s="2960"/>
      <c r="D11997" s="2962"/>
      <c r="E11997" s="2018" t="s">
        <v>9079</v>
      </c>
    </row>
    <row r="11998" spans="1:8" ht="14.25" thickBot="1">
      <c r="A11998" s="2642" t="s">
        <v>9080</v>
      </c>
      <c r="B11998" s="1123" t="s">
        <v>8810</v>
      </c>
      <c r="C11998" s="1124" t="s">
        <v>9081</v>
      </c>
      <c r="D11998" s="2643" t="s">
        <v>9082</v>
      </c>
      <c r="E11998" s="1385" t="s">
        <v>9083</v>
      </c>
    </row>
    <row r="11999" spans="1:8" ht="14.25" thickBot="1">
      <c r="A11999" s="2642" t="s">
        <v>9084</v>
      </c>
      <c r="B11999" s="1123" t="s">
        <v>8810</v>
      </c>
      <c r="C11999" s="1124" t="s">
        <v>9081</v>
      </c>
      <c r="D11999" s="1124" t="s">
        <v>9085</v>
      </c>
      <c r="E11999" s="1123" t="s">
        <v>9086</v>
      </c>
    </row>
    <row r="12000" spans="1:8" ht="14.25" thickBot="1">
      <c r="A12000" s="2642" t="s">
        <v>9087</v>
      </c>
      <c r="B12000" s="1123" t="s">
        <v>8810</v>
      </c>
      <c r="C12000" s="1124" t="s">
        <v>9081</v>
      </c>
      <c r="D12000" s="1124" t="s">
        <v>9088</v>
      </c>
      <c r="E12000" s="1123" t="s">
        <v>9089</v>
      </c>
    </row>
    <row r="12001" spans="1:8" ht="14.25" thickBot="1">
      <c r="A12001" s="2642" t="s">
        <v>9090</v>
      </c>
      <c r="B12001" s="1123" t="s">
        <v>8810</v>
      </c>
      <c r="C12001" s="1124" t="s">
        <v>9081</v>
      </c>
      <c r="D12001" s="1124" t="s">
        <v>9091</v>
      </c>
      <c r="E12001" s="1123" t="s">
        <v>9092</v>
      </c>
    </row>
    <row r="12002" spans="1:8" ht="14.25" thickBot="1">
      <c r="A12002" s="2642" t="s">
        <v>9093</v>
      </c>
      <c r="B12002" s="1123" t="s">
        <v>8810</v>
      </c>
      <c r="C12002" s="1124" t="s">
        <v>9081</v>
      </c>
      <c r="D12002" s="1124" t="s">
        <v>9094</v>
      </c>
      <c r="E12002" s="1123" t="s">
        <v>9095</v>
      </c>
    </row>
    <row r="12003" spans="1:8">
      <c r="A12003" s="2644"/>
    </row>
    <row r="12005" spans="1:8" ht="15">
      <c r="A12005" s="1871" t="s">
        <v>9096</v>
      </c>
      <c r="B12005" s="1871"/>
      <c r="C12005" s="1871"/>
      <c r="D12005" s="1871"/>
      <c r="E12005" s="1871"/>
      <c r="F12005" s="1871"/>
    </row>
    <row r="12006" spans="1:8" s="888" customFormat="1" ht="25.5">
      <c r="A12006" s="887" t="s">
        <v>455</v>
      </c>
      <c r="B12006" s="887" t="s">
        <v>128</v>
      </c>
      <c r="C12006" s="887" t="s">
        <v>8351</v>
      </c>
      <c r="D12006" s="1783" t="s">
        <v>1323</v>
      </c>
      <c r="E12006" s="1783" t="s">
        <v>9099</v>
      </c>
      <c r="F12006" s="1958" t="s">
        <v>8360</v>
      </c>
      <c r="G12006" s="2581" t="s">
        <v>6080</v>
      </c>
      <c r="H12006" s="2130" t="s">
        <v>6081</v>
      </c>
    </row>
    <row r="12007" spans="1:8" s="888" customFormat="1" ht="12.75">
      <c r="A12007" s="1865" t="s">
        <v>9097</v>
      </c>
      <c r="B12007" s="47" t="s">
        <v>7694</v>
      </c>
      <c r="C12007" s="346" t="s">
        <v>9081</v>
      </c>
      <c r="D12007" s="1058">
        <f>ROUNDUP(F12007/0.6/120,2)</f>
        <v>3.6199999999999997</v>
      </c>
      <c r="E12007" s="2582" t="s">
        <v>9098</v>
      </c>
      <c r="F12007" s="1922">
        <v>260</v>
      </c>
      <c r="G12007" s="2070">
        <f>(D12007-(F12007/H12007))/D12007</f>
        <v>0.40147329650092078</v>
      </c>
      <c r="H12007" s="2130">
        <v>120</v>
      </c>
    </row>
    <row r="12012" spans="1:8">
      <c r="A12012" s="887" t="s">
        <v>455</v>
      </c>
      <c r="B12012" s="887" t="s">
        <v>52</v>
      </c>
      <c r="C12012" s="887" t="s">
        <v>128</v>
      </c>
      <c r="D12012" s="887" t="s">
        <v>1186</v>
      </c>
      <c r="E12012" s="887" t="s">
        <v>1652</v>
      </c>
      <c r="F12012" s="887" t="s">
        <v>1653</v>
      </c>
      <c r="G12012" s="1783" t="s">
        <v>1323</v>
      </c>
    </row>
    <row r="12013" spans="1:8">
      <c r="A12013" s="47">
        <v>4141</v>
      </c>
      <c r="B12013" s="260">
        <v>6</v>
      </c>
      <c r="C12013" s="47" t="s">
        <v>48</v>
      </c>
      <c r="D12013" s="905">
        <v>20</v>
      </c>
      <c r="E12013" s="906">
        <v>88</v>
      </c>
      <c r="F12013" s="905">
        <f>D12013*E12013</f>
        <v>1760</v>
      </c>
    </row>
    <row r="12014" spans="1:8">
      <c r="A12014" s="47">
        <v>4141</v>
      </c>
      <c r="B12014" s="260">
        <v>6</v>
      </c>
      <c r="C12014" s="47" t="s">
        <v>9102</v>
      </c>
      <c r="D12014" s="905">
        <v>20</v>
      </c>
      <c r="E12014" s="906">
        <v>60</v>
      </c>
      <c r="F12014" s="905">
        <f>D12014*E12014</f>
        <v>1200</v>
      </c>
    </row>
    <row r="12015" spans="1:8">
      <c r="A12015" s="47">
        <v>4141</v>
      </c>
      <c r="B12015" s="260">
        <v>6</v>
      </c>
      <c r="C12015" s="47" t="s">
        <v>9103</v>
      </c>
      <c r="D12015" s="905">
        <v>20</v>
      </c>
      <c r="E12015" s="906">
        <v>13</v>
      </c>
      <c r="F12015" s="905">
        <f>D12015*E12015</f>
        <v>260</v>
      </c>
    </row>
    <row r="12018" spans="1:8" ht="15">
      <c r="A12018" s="24">
        <v>4156</v>
      </c>
      <c r="B12018" s="44" t="s">
        <v>8739</v>
      </c>
      <c r="C12018" s="24" t="s">
        <v>9076</v>
      </c>
      <c r="D12018" s="8">
        <v>15</v>
      </c>
      <c r="E12018" s="41">
        <v>2</v>
      </c>
      <c r="F12018" s="8">
        <f>D12018*E12018</f>
        <v>30</v>
      </c>
    </row>
    <row r="12024" spans="1:8">
      <c r="A12024" s="887" t="s">
        <v>455</v>
      </c>
      <c r="B12024" s="887" t="s">
        <v>52</v>
      </c>
      <c r="C12024" s="887" t="s">
        <v>128</v>
      </c>
      <c r="D12024" s="887" t="s">
        <v>1186</v>
      </c>
      <c r="E12024" s="887" t="s">
        <v>1652</v>
      </c>
      <c r="F12024" s="887" t="s">
        <v>1653</v>
      </c>
      <c r="G12024" s="1783" t="s">
        <v>1323</v>
      </c>
      <c r="H12024" s="1783" t="s">
        <v>6155</v>
      </c>
    </row>
    <row r="12025" spans="1:8">
      <c r="A12025" s="47">
        <v>4141</v>
      </c>
      <c r="B12025" s="260">
        <v>6</v>
      </c>
      <c r="C12025" s="47" t="s">
        <v>48</v>
      </c>
      <c r="D12025" s="905">
        <v>20</v>
      </c>
      <c r="E12025" s="906">
        <v>88</v>
      </c>
      <c r="F12025" s="905">
        <f>D12025*E12025</f>
        <v>1760</v>
      </c>
      <c r="G12025" s="891">
        <v>1.47</v>
      </c>
      <c r="H12025" s="1338" t="s">
        <v>900</v>
      </c>
    </row>
    <row r="12026" spans="1:8">
      <c r="A12026" s="47">
        <v>4141</v>
      </c>
      <c r="B12026" s="260">
        <v>6</v>
      </c>
      <c r="C12026" s="47" t="s">
        <v>9102</v>
      </c>
      <c r="D12026" s="905">
        <v>20</v>
      </c>
      <c r="E12026" s="906">
        <v>60</v>
      </c>
      <c r="F12026" s="905">
        <f>D12026*E12026</f>
        <v>1200</v>
      </c>
      <c r="G12026" s="891">
        <v>1.47</v>
      </c>
      <c r="H12026" s="1338" t="s">
        <v>9104</v>
      </c>
    </row>
    <row r="12027" spans="1:8">
      <c r="A12027" s="47">
        <v>4141</v>
      </c>
      <c r="B12027" s="260">
        <v>6</v>
      </c>
      <c r="C12027" s="47" t="s">
        <v>9103</v>
      </c>
      <c r="D12027" s="905">
        <v>20</v>
      </c>
      <c r="E12027" s="906">
        <v>13</v>
      </c>
      <c r="F12027" s="905">
        <f>D12027*E12027</f>
        <v>260</v>
      </c>
      <c r="G12027" s="891">
        <v>1.47</v>
      </c>
      <c r="H12027" s="1338" t="s">
        <v>9104</v>
      </c>
    </row>
    <row r="12031" spans="1:8">
      <c r="A12031" s="887" t="s">
        <v>455</v>
      </c>
      <c r="B12031" s="887" t="s">
        <v>128</v>
      </c>
      <c r="C12031" s="887" t="s">
        <v>1653</v>
      </c>
      <c r="D12031" s="1783" t="s">
        <v>1323</v>
      </c>
    </row>
    <row r="12032" spans="1:8">
      <c r="A12032" s="47" t="s">
        <v>9040</v>
      </c>
      <c r="B12032" s="47" t="s">
        <v>9110</v>
      </c>
      <c r="C12032" s="905">
        <v>20</v>
      </c>
      <c r="D12032" s="891">
        <v>12.78</v>
      </c>
    </row>
    <row r="12033" spans="1:8">
      <c r="A12033" s="47" t="s">
        <v>9039</v>
      </c>
      <c r="B12033" s="47" t="s">
        <v>9110</v>
      </c>
      <c r="C12033" s="905">
        <v>20</v>
      </c>
      <c r="D12033" s="891">
        <v>10.45</v>
      </c>
    </row>
    <row r="12034" spans="1:8">
      <c r="A12034" s="47"/>
      <c r="B12034" s="260" t="s">
        <v>75</v>
      </c>
      <c r="C12034" s="894">
        <v>2</v>
      </c>
      <c r="D12034" s="891">
        <v>15</v>
      </c>
    </row>
    <row r="12035" spans="1:8">
      <c r="A12035" s="47"/>
      <c r="B12035" s="260" t="s">
        <v>1993</v>
      </c>
      <c r="C12035" s="894">
        <v>1</v>
      </c>
      <c r="D12035" s="891">
        <v>25</v>
      </c>
    </row>
    <row r="12039" spans="1:8">
      <c r="A12039" s="887" t="s">
        <v>455</v>
      </c>
      <c r="B12039" s="887" t="s">
        <v>52</v>
      </c>
      <c r="C12039" s="887" t="s">
        <v>128</v>
      </c>
      <c r="D12039" s="887" t="s">
        <v>1186</v>
      </c>
      <c r="E12039" s="887" t="s">
        <v>1652</v>
      </c>
      <c r="F12039" s="887" t="s">
        <v>1653</v>
      </c>
      <c r="G12039" s="1783" t="s">
        <v>1323</v>
      </c>
      <c r="H12039" s="1783" t="s">
        <v>9112</v>
      </c>
    </row>
    <row r="12040" spans="1:8">
      <c r="A12040" s="47">
        <v>4141</v>
      </c>
      <c r="B12040" s="260">
        <v>6</v>
      </c>
      <c r="C12040" s="47" t="s">
        <v>48</v>
      </c>
      <c r="D12040" s="905">
        <v>20</v>
      </c>
      <c r="E12040" s="906">
        <v>87</v>
      </c>
      <c r="F12040" s="905">
        <f>D12040*E12040</f>
        <v>1740</v>
      </c>
      <c r="G12040" s="891">
        <v>1.47</v>
      </c>
      <c r="H12040" s="1338" t="s">
        <v>900</v>
      </c>
    </row>
    <row r="12041" spans="1:8">
      <c r="A12041" s="47">
        <v>4141</v>
      </c>
      <c r="B12041" s="260">
        <v>6</v>
      </c>
      <c r="C12041" s="47" t="s">
        <v>9102</v>
      </c>
      <c r="D12041" s="905">
        <v>20</v>
      </c>
      <c r="E12041" s="906">
        <v>59</v>
      </c>
      <c r="F12041" s="905">
        <f>D12041*E12041</f>
        <v>1180</v>
      </c>
      <c r="G12041" s="891">
        <v>1.47</v>
      </c>
      <c r="H12041" s="1338" t="s">
        <v>9113</v>
      </c>
    </row>
    <row r="12042" spans="1:8">
      <c r="A12042" s="47">
        <v>4141</v>
      </c>
      <c r="B12042" s="260">
        <v>6</v>
      </c>
      <c r="C12042" s="47" t="s">
        <v>9103</v>
      </c>
      <c r="D12042" s="905">
        <v>20</v>
      </c>
      <c r="E12042" s="906">
        <v>12</v>
      </c>
      <c r="F12042" s="905">
        <f>D12042*E12042</f>
        <v>240</v>
      </c>
      <c r="G12042" s="891">
        <v>1.47</v>
      </c>
      <c r="H12042" s="1338" t="s">
        <v>9113</v>
      </c>
    </row>
    <row r="12043" spans="1:8">
      <c r="A12043" s="889"/>
      <c r="B12043" s="260"/>
      <c r="C12043" s="260"/>
      <c r="D12043" s="903"/>
      <c r="E12043" s="903"/>
      <c r="F12043" s="903"/>
      <c r="G12043" s="52"/>
      <c r="H12043" s="39"/>
    </row>
    <row r="12044" spans="1:8">
      <c r="A12044" s="47">
        <v>4141</v>
      </c>
      <c r="B12044" s="260">
        <v>6</v>
      </c>
      <c r="C12044" s="47" t="s">
        <v>48</v>
      </c>
      <c r="D12044" s="905">
        <v>20</v>
      </c>
      <c r="E12044" s="906">
        <v>1</v>
      </c>
      <c r="F12044" s="905">
        <f>D12044*E12044</f>
        <v>20</v>
      </c>
      <c r="G12044" s="891">
        <v>1.47</v>
      </c>
      <c r="H12044" s="2651" t="s">
        <v>9114</v>
      </c>
    </row>
    <row r="12045" spans="1:8">
      <c r="A12045" s="47">
        <v>4141</v>
      </c>
      <c r="B12045" s="260">
        <v>6</v>
      </c>
      <c r="C12045" s="47" t="s">
        <v>9102</v>
      </c>
      <c r="D12045" s="905">
        <v>20</v>
      </c>
      <c r="E12045" s="906">
        <v>1</v>
      </c>
      <c r="F12045" s="905">
        <f>D12045*E12045</f>
        <v>20</v>
      </c>
      <c r="G12045" s="891">
        <v>1.47</v>
      </c>
      <c r="H12045" s="2651" t="s">
        <v>9114</v>
      </c>
    </row>
    <row r="12046" spans="1:8">
      <c r="A12046" s="47">
        <v>4141</v>
      </c>
      <c r="B12046" s="260">
        <v>6</v>
      </c>
      <c r="C12046" s="47" t="s">
        <v>9103</v>
      </c>
      <c r="D12046" s="905">
        <v>20</v>
      </c>
      <c r="E12046" s="906">
        <v>1</v>
      </c>
      <c r="F12046" s="905">
        <f>D12046*E12046</f>
        <v>20</v>
      </c>
      <c r="G12046" s="891">
        <v>1.47</v>
      </c>
      <c r="H12046" s="2651" t="s">
        <v>9114</v>
      </c>
    </row>
    <row r="12053" spans="1:8">
      <c r="A12053" s="887" t="s">
        <v>455</v>
      </c>
      <c r="B12053" s="887" t="s">
        <v>128</v>
      </c>
      <c r="C12053" s="887" t="s">
        <v>1186</v>
      </c>
      <c r="D12053" s="887" t="s">
        <v>1652</v>
      </c>
      <c r="E12053" s="887" t="s">
        <v>1653</v>
      </c>
      <c r="F12053" s="1783" t="s">
        <v>1323</v>
      </c>
    </row>
    <row r="12054" spans="1:8">
      <c r="A12054" s="47" t="s">
        <v>8900</v>
      </c>
      <c r="B12054" s="260" t="s">
        <v>7694</v>
      </c>
      <c r="C12054" s="983">
        <v>13.7</v>
      </c>
      <c r="D12054" s="906">
        <v>4</v>
      </c>
      <c r="E12054" s="983">
        <f>D12054*C12054</f>
        <v>54.8</v>
      </c>
      <c r="F12054" s="891">
        <v>4.87</v>
      </c>
    </row>
    <row r="12055" spans="1:8">
      <c r="A12055" s="47"/>
      <c r="B12055" s="260" t="s">
        <v>1993</v>
      </c>
      <c r="C12055" s="905"/>
      <c r="D12055" s="906"/>
      <c r="E12055" s="894">
        <v>1</v>
      </c>
      <c r="F12055" s="891">
        <v>12</v>
      </c>
    </row>
    <row r="12058" spans="1:8">
      <c r="A12058" t="s">
        <v>9121</v>
      </c>
    </row>
    <row r="12059" spans="1:8" s="888" customFormat="1" ht="25.5">
      <c r="A12059" s="1166" t="s">
        <v>1369</v>
      </c>
      <c r="B12059" s="1184" t="s">
        <v>377</v>
      </c>
      <c r="C12059" s="1167" t="s">
        <v>2</v>
      </c>
      <c r="D12059" s="1168" t="s">
        <v>1734</v>
      </c>
      <c r="E12059" s="1169" t="s">
        <v>5527</v>
      </c>
      <c r="F12059" s="2183" t="s">
        <v>6673</v>
      </c>
      <c r="G12059" s="2184" t="s">
        <v>6669</v>
      </c>
      <c r="H12059" s="2184" t="s">
        <v>6670</v>
      </c>
    </row>
    <row r="12060" spans="1:8" s="888" customFormat="1" ht="12.75">
      <c r="A12060" s="1170" t="s">
        <v>8149</v>
      </c>
      <c r="B12060" s="1187" t="s">
        <v>25</v>
      </c>
      <c r="C12060" s="2435">
        <v>50</v>
      </c>
      <c r="D12060" s="1172" t="s">
        <v>1812</v>
      </c>
      <c r="E12060" s="1061">
        <v>1</v>
      </c>
      <c r="F12060" s="2200">
        <v>72</v>
      </c>
      <c r="G12060" s="2186">
        <f>(((E12060*H12060)-F12060)/(E12060*H12060))</f>
        <v>0.4</v>
      </c>
      <c r="H12060" s="2187">
        <v>120</v>
      </c>
    </row>
    <row r="12061" spans="1:8" ht="40.5">
      <c r="A12061" s="2355" t="s">
        <v>8150</v>
      </c>
    </row>
    <row r="12065" spans="1:8" ht="15">
      <c r="A12065" s="1871" t="s">
        <v>9129</v>
      </c>
      <c r="B12065" s="1871"/>
      <c r="C12065" s="1871"/>
      <c r="D12065" s="1871"/>
      <c r="E12065" s="1871"/>
      <c r="F12065" s="1871"/>
    </row>
    <row r="12066" spans="1:8" s="888" customFormat="1" ht="25.5">
      <c r="A12066" s="887" t="s">
        <v>455</v>
      </c>
      <c r="B12066" s="887" t="s">
        <v>128</v>
      </c>
      <c r="C12066" s="887" t="s">
        <v>8351</v>
      </c>
      <c r="D12066" s="1783" t="s">
        <v>1323</v>
      </c>
      <c r="E12066" s="1783" t="s">
        <v>9131</v>
      </c>
      <c r="F12066" s="1958" t="s">
        <v>8360</v>
      </c>
      <c r="G12066" s="2581" t="s">
        <v>6080</v>
      </c>
      <c r="H12066" s="2130" t="s">
        <v>6081</v>
      </c>
    </row>
    <row r="12067" spans="1:8" s="888" customFormat="1" ht="12.75">
      <c r="A12067" s="1865" t="s">
        <v>8903</v>
      </c>
      <c r="B12067" s="2580" t="s">
        <v>7694</v>
      </c>
      <c r="C12067" s="983">
        <v>13.7</v>
      </c>
      <c r="D12067" s="1058">
        <f>ROUNDUP(F12067/0.65/120,2)</f>
        <v>5.77</v>
      </c>
      <c r="E12067" s="2582" t="s">
        <v>9132</v>
      </c>
      <c r="F12067" s="1922">
        <v>450</v>
      </c>
      <c r="G12067" s="2070">
        <f>(D12067-(F12067/H12067))/D12067</f>
        <v>0.35008665511265158</v>
      </c>
      <c r="H12067" s="2130">
        <v>120</v>
      </c>
    </row>
    <row r="12068" spans="1:8" s="888" customFormat="1" ht="12.75">
      <c r="A12068" s="1865" t="s">
        <v>8903</v>
      </c>
      <c r="B12068" s="2580" t="s">
        <v>8352</v>
      </c>
      <c r="C12068" s="905" t="s">
        <v>8901</v>
      </c>
      <c r="D12068" s="1058">
        <f>ROUNDUP(F12068/0.65/120,2)</f>
        <v>6.5699999999999994</v>
      </c>
      <c r="E12068" s="2582" t="s">
        <v>2346</v>
      </c>
      <c r="F12068" s="1922">
        <f>450+62</f>
        <v>512</v>
      </c>
      <c r="G12068" s="2070">
        <f>(D12068-(F12068/H12068))/D12068</f>
        <v>0.35058346017250119</v>
      </c>
      <c r="H12068" s="2130">
        <v>120</v>
      </c>
    </row>
    <row r="12069" spans="1:8" s="888" customFormat="1" ht="12.75">
      <c r="A12069" s="1865" t="s">
        <v>9130</v>
      </c>
      <c r="B12069" s="2580" t="s">
        <v>7694</v>
      </c>
      <c r="C12069" s="905">
        <v>10</v>
      </c>
      <c r="D12069" s="1058">
        <f>ROUNDUP(F12069/0.65/120,2)</f>
        <v>4.8</v>
      </c>
      <c r="E12069" s="2582" t="s">
        <v>5299</v>
      </c>
      <c r="F12069" s="1922">
        <v>374</v>
      </c>
      <c r="G12069" s="2070">
        <f>(D12069-(F12069/H12069))/D12069</f>
        <v>0.35069444444444442</v>
      </c>
      <c r="H12069" s="2130">
        <v>120</v>
      </c>
    </row>
    <row r="12070" spans="1:8" s="888" customFormat="1" ht="12.75">
      <c r="A12070" s="1865" t="s">
        <v>9130</v>
      </c>
      <c r="B12070" s="2580" t="s">
        <v>8352</v>
      </c>
      <c r="C12070" s="905" t="s">
        <v>8500</v>
      </c>
      <c r="D12070" s="1058">
        <f>ROUNDUP(F12070/0.65/120,2)</f>
        <v>6.21</v>
      </c>
      <c r="E12070" s="2582" t="s">
        <v>2346</v>
      </c>
      <c r="F12070" s="1922">
        <f>374+110</f>
        <v>484</v>
      </c>
      <c r="G12070" s="2070">
        <f>(D12070-(F12070/H12070))/D12070</f>
        <v>0.35050993022007515</v>
      </c>
      <c r="H12070" s="2130">
        <v>120</v>
      </c>
    </row>
    <row r="12073" spans="1:8" ht="13.5" customHeight="1">
      <c r="A12073" s="2382" t="s">
        <v>9137</v>
      </c>
    </row>
    <row r="12074" spans="1:8" ht="13.5" customHeight="1">
      <c r="A12074" s="902" t="s">
        <v>1603</v>
      </c>
      <c r="B12074" s="902" t="s">
        <v>8006</v>
      </c>
      <c r="C12074" s="1772" t="s">
        <v>7856</v>
      </c>
      <c r="D12074" s="1772" t="s">
        <v>1403</v>
      </c>
      <c r="E12074" s="2037" t="s">
        <v>6613</v>
      </c>
      <c r="F12074" s="2037" t="s">
        <v>6929</v>
      </c>
      <c r="G12074" s="2037" t="s">
        <v>6081</v>
      </c>
    </row>
    <row r="12075" spans="1:8" ht="15">
      <c r="A12075" s="909" t="s">
        <v>9138</v>
      </c>
      <c r="B12075" s="1209" t="s">
        <v>9140</v>
      </c>
      <c r="C12075" s="1245">
        <f>ROUNDUP(E12075/0.8/120,2)</f>
        <v>35.419999999999995</v>
      </c>
      <c r="D12075" s="2774" t="s">
        <v>9141</v>
      </c>
      <c r="E12075" s="2664">
        <v>3400</v>
      </c>
      <c r="F12075" s="1965">
        <f>(C12075-(E12075/G12075))/C12075</f>
        <v>0.20007528703180869</v>
      </c>
      <c r="G12075">
        <v>120</v>
      </c>
      <c r="H12075" s="317"/>
    </row>
    <row r="12076" spans="1:8" ht="13.5" customHeight="1">
      <c r="A12076" s="909" t="s">
        <v>9138</v>
      </c>
      <c r="B12076" s="1209" t="s">
        <v>9139</v>
      </c>
      <c r="C12076" s="1245">
        <f>ROUNDUP(E12076/0.8/120,2)</f>
        <v>21.880000000000003</v>
      </c>
      <c r="D12076" s="2775"/>
      <c r="E12076" s="2253">
        <v>2100</v>
      </c>
      <c r="F12076" s="1965">
        <f>(C12076-(E12076/G12076))/C12076</f>
        <v>0.20018281535649005</v>
      </c>
      <c r="G12076">
        <v>120</v>
      </c>
      <c r="H12076" s="2335"/>
    </row>
    <row r="12077" spans="1:8">
      <c r="A12077" t="s">
        <v>9142</v>
      </c>
    </row>
    <row r="12080" spans="1:8" ht="15">
      <c r="A12080" s="1871" t="s">
        <v>9144</v>
      </c>
      <c r="B12080" s="1871"/>
      <c r="C12080" s="1871"/>
      <c r="D12080" s="1871"/>
      <c r="E12080" s="1871"/>
      <c r="F12080" s="1871"/>
    </row>
    <row r="12081" spans="1:8" s="888" customFormat="1" ht="25.5">
      <c r="A12081" s="887" t="s">
        <v>455</v>
      </c>
      <c r="B12081" s="887" t="s">
        <v>128</v>
      </c>
      <c r="C12081" s="887" t="s">
        <v>8351</v>
      </c>
      <c r="D12081" s="1783" t="s">
        <v>1323</v>
      </c>
      <c r="E12081" s="1783" t="s">
        <v>9145</v>
      </c>
      <c r="F12081" s="1958" t="s">
        <v>8360</v>
      </c>
      <c r="G12081" s="2581" t="s">
        <v>6080</v>
      </c>
      <c r="H12081" s="2130" t="s">
        <v>6081</v>
      </c>
    </row>
    <row r="12082" spans="1:8" s="888" customFormat="1" ht="12.75">
      <c r="A12082" s="1865" t="s">
        <v>8849</v>
      </c>
      <c r="B12082" s="2580" t="s">
        <v>7694</v>
      </c>
      <c r="C12082" s="905">
        <v>10</v>
      </c>
      <c r="D12082" s="1058">
        <f>ROUNDUP(F12082/0.6/120,2)</f>
        <v>2.73</v>
      </c>
      <c r="E12082" s="2582" t="s">
        <v>8028</v>
      </c>
      <c r="F12082" s="1922">
        <v>196</v>
      </c>
      <c r="G12082" s="2070">
        <f>(D12082-(F12082/H12082))/D12082</f>
        <v>0.40170940170940173</v>
      </c>
      <c r="H12082" s="2130">
        <v>120</v>
      </c>
    </row>
    <row r="12083" spans="1:8" s="888" customFormat="1" ht="12.75">
      <c r="A12083" s="1865" t="s">
        <v>8849</v>
      </c>
      <c r="B12083" s="2580" t="s">
        <v>8352</v>
      </c>
      <c r="C12083" s="905" t="s">
        <v>8500</v>
      </c>
      <c r="D12083" s="1058">
        <f>ROUNDUP(F12083/0.6/120,2)</f>
        <v>3.84</v>
      </c>
      <c r="E12083" s="2582" t="s">
        <v>2346</v>
      </c>
      <c r="F12083" s="1922">
        <f>196+80</f>
        <v>276</v>
      </c>
      <c r="G12083" s="2070">
        <f>(D12083-(F12083/H12083))/D12083</f>
        <v>0.40104166666666669</v>
      </c>
      <c r="H12083" s="2130">
        <v>120</v>
      </c>
    </row>
    <row r="12084" spans="1:8" s="888" customFormat="1" ht="12.75">
      <c r="A12084" s="1865" t="s">
        <v>9146</v>
      </c>
      <c r="B12084" s="2580" t="s">
        <v>7694</v>
      </c>
      <c r="C12084" s="905">
        <v>10</v>
      </c>
      <c r="D12084" s="1058">
        <f>ROUNDUP(F12084/0.6/120,2)</f>
        <v>3.19</v>
      </c>
      <c r="E12084" s="2582" t="s">
        <v>7578</v>
      </c>
      <c r="F12084" s="1922">
        <v>229</v>
      </c>
      <c r="G12084" s="2070">
        <f>(D12084-(F12084/H12084))/D12084</f>
        <v>0.40177638453500519</v>
      </c>
      <c r="H12084" s="2130">
        <v>120</v>
      </c>
    </row>
    <row r="12085" spans="1:8" s="888" customFormat="1" ht="12.75">
      <c r="A12085" s="1865" t="s">
        <v>9146</v>
      </c>
      <c r="B12085" s="2580" t="s">
        <v>8352</v>
      </c>
      <c r="C12085" s="905" t="s">
        <v>8500</v>
      </c>
      <c r="D12085" s="1058">
        <f>ROUNDUP(F12085/0.6/120,2)</f>
        <v>4.4399999999999995</v>
      </c>
      <c r="E12085" s="2582" t="s">
        <v>2346</v>
      </c>
      <c r="F12085" s="1922">
        <f>229+90</f>
        <v>319</v>
      </c>
      <c r="G12085" s="2070">
        <f>(D12085-(F12085/H12085))/D12085</f>
        <v>0.40127627627627621</v>
      </c>
      <c r="H12085" s="2130">
        <v>120</v>
      </c>
    </row>
    <row r="12088" spans="1:8" ht="13.5" customHeight="1">
      <c r="A12088" s="895" t="s">
        <v>9147</v>
      </c>
    </row>
    <row r="12089" spans="1:8" ht="14.25" customHeight="1">
      <c r="A12089" s="902" t="s">
        <v>1603</v>
      </c>
      <c r="B12089" s="902" t="s">
        <v>8006</v>
      </c>
      <c r="C12089" s="1772" t="s">
        <v>7856</v>
      </c>
      <c r="D12089" s="1772" t="s">
        <v>1403</v>
      </c>
      <c r="E12089" s="2037" t="s">
        <v>6613</v>
      </c>
      <c r="F12089" s="2037" t="s">
        <v>6929</v>
      </c>
      <c r="G12089" s="2037" t="s">
        <v>6081</v>
      </c>
    </row>
    <row r="12090" spans="1:8" ht="13.5" customHeight="1">
      <c r="A12090" s="909" t="s">
        <v>8761</v>
      </c>
      <c r="B12090" s="1209" t="s">
        <v>8005</v>
      </c>
      <c r="C12090" s="1245">
        <f>ROUNDUP(E12090/0.75/120,2)</f>
        <v>28.67</v>
      </c>
      <c r="D12090" s="1245" t="s">
        <v>7857</v>
      </c>
      <c r="E12090" s="2253">
        <f>2280+300</f>
        <v>2580</v>
      </c>
      <c r="F12090" s="1965">
        <f>(C12090-(E12090/G12090))/C12090</f>
        <v>0.25008719916288807</v>
      </c>
      <c r="G12090">
        <v>120</v>
      </c>
      <c r="H12090" s="317"/>
    </row>
    <row r="12091" spans="1:8" ht="13.5" customHeight="1">
      <c r="A12091" s="909" t="s">
        <v>8761</v>
      </c>
      <c r="B12091" s="1209" t="s">
        <v>8004</v>
      </c>
      <c r="C12091" s="1245">
        <f>ROUNDUP(E12091/0.75/120,2)</f>
        <v>25.34</v>
      </c>
      <c r="D12091" s="1245"/>
      <c r="E12091" s="2253">
        <v>2280</v>
      </c>
      <c r="F12091" s="1965">
        <f>(C12091-(E12091/G12091))/C12091</f>
        <v>0.25019731649565902</v>
      </c>
      <c r="G12091">
        <v>120</v>
      </c>
      <c r="H12091" s="2335"/>
    </row>
    <row r="12095" spans="1:8">
      <c r="A12095" s="902" t="s">
        <v>1603</v>
      </c>
      <c r="B12095" s="887" t="s">
        <v>128</v>
      </c>
      <c r="C12095" s="887" t="s">
        <v>1186</v>
      </c>
      <c r="D12095" s="887" t="s">
        <v>1652</v>
      </c>
      <c r="E12095" s="887" t="s">
        <v>1653</v>
      </c>
      <c r="F12095" s="1783" t="s">
        <v>1323</v>
      </c>
    </row>
    <row r="12096" spans="1:8">
      <c r="A12096" s="47" t="s">
        <v>8903</v>
      </c>
      <c r="B12096" s="260" t="s">
        <v>7694</v>
      </c>
      <c r="C12096" s="983">
        <v>13.7</v>
      </c>
      <c r="D12096" s="906">
        <v>3</v>
      </c>
      <c r="E12096" s="983">
        <f>D12096*C12096</f>
        <v>41.099999999999994</v>
      </c>
      <c r="F12096" s="891">
        <v>5.77</v>
      </c>
    </row>
    <row r="12097" spans="1:7">
      <c r="A12097" s="47" t="s">
        <v>8903</v>
      </c>
      <c r="B12097" s="260" t="s">
        <v>8653</v>
      </c>
      <c r="C12097" s="983">
        <v>13.7</v>
      </c>
      <c r="D12097" s="906">
        <v>3</v>
      </c>
      <c r="E12097" s="983">
        <f>D12097*C12097</f>
        <v>41.099999999999994</v>
      </c>
      <c r="F12097" s="891">
        <v>5.77</v>
      </c>
    </row>
    <row r="12098" spans="1:7">
      <c r="A12098" s="47"/>
      <c r="B12098" s="260" t="s">
        <v>3334</v>
      </c>
      <c r="C12098" s="905"/>
      <c r="D12098" s="906"/>
      <c r="E12098" s="894">
        <v>1</v>
      </c>
      <c r="F12098" s="891">
        <v>160</v>
      </c>
    </row>
    <row r="12099" spans="1:7">
      <c r="A12099" s="47" t="s">
        <v>9130</v>
      </c>
      <c r="B12099" s="260" t="s">
        <v>7694</v>
      </c>
      <c r="C12099" s="983"/>
      <c r="D12099" s="906"/>
      <c r="E12099" s="905">
        <v>40</v>
      </c>
      <c r="F12099" s="891">
        <v>4.8</v>
      </c>
    </row>
    <row r="12100" spans="1:7">
      <c r="A12100" s="47" t="s">
        <v>9130</v>
      </c>
      <c r="B12100" s="260" t="s">
        <v>8653</v>
      </c>
      <c r="C12100" s="983"/>
      <c r="D12100" s="906"/>
      <c r="E12100" s="905">
        <v>40</v>
      </c>
      <c r="F12100" s="891">
        <v>4.8</v>
      </c>
    </row>
    <row r="12101" spans="1:7">
      <c r="A12101" s="47"/>
      <c r="B12101" s="260" t="s">
        <v>3334</v>
      </c>
      <c r="C12101" s="905"/>
      <c r="D12101" s="906"/>
      <c r="E12101" s="894">
        <v>1</v>
      </c>
      <c r="F12101" s="891">
        <v>115</v>
      </c>
    </row>
    <row r="12102" spans="1:7">
      <c r="A12102" s="47"/>
      <c r="B12102" s="260" t="s">
        <v>1993</v>
      </c>
      <c r="C12102" s="905"/>
      <c r="D12102" s="906"/>
      <c r="E12102" s="894">
        <v>1</v>
      </c>
      <c r="F12102" s="891">
        <v>24</v>
      </c>
    </row>
    <row r="12105" spans="1:7" ht="15">
      <c r="A12105" s="1871" t="s">
        <v>9150</v>
      </c>
      <c r="B12105" s="1871"/>
      <c r="C12105" s="1871"/>
      <c r="D12105" s="1871"/>
      <c r="E12105" s="1871"/>
      <c r="F12105" s="1871"/>
    </row>
    <row r="12106" spans="1:7">
      <c r="A12106" s="887" t="s">
        <v>455</v>
      </c>
      <c r="B12106" s="887" t="s">
        <v>128</v>
      </c>
      <c r="C12106" s="887" t="s">
        <v>1053</v>
      </c>
      <c r="D12106" s="1783" t="s">
        <v>1323</v>
      </c>
      <c r="E12106" s="2548" t="s">
        <v>8537</v>
      </c>
      <c r="F12106" s="2037" t="s">
        <v>6080</v>
      </c>
      <c r="G12106" s="317" t="s">
        <v>6081</v>
      </c>
    </row>
    <row r="12107" spans="1:7" ht="15">
      <c r="A12107" s="47" t="s">
        <v>9151</v>
      </c>
      <c r="B12107" s="47" t="s">
        <v>6322</v>
      </c>
      <c r="C12107" s="905" t="s">
        <v>8691</v>
      </c>
      <c r="D12107" s="891">
        <f>ROUNDUP(E12107/0.6/120,2)</f>
        <v>2.92</v>
      </c>
      <c r="E12107" s="7">
        <v>210</v>
      </c>
      <c r="F12107" s="2070">
        <f>(D12107-(E12107/G12107))/D12107</f>
        <v>0.40068493150684931</v>
      </c>
      <c r="G12107" s="317">
        <v>120</v>
      </c>
    </row>
    <row r="12110" spans="1:7">
      <c r="A12110" s="902" t="s">
        <v>1603</v>
      </c>
      <c r="B12110" s="887" t="s">
        <v>128</v>
      </c>
      <c r="C12110" s="887" t="s">
        <v>1186</v>
      </c>
      <c r="D12110" s="887" t="s">
        <v>1652</v>
      </c>
      <c r="E12110" s="887" t="s">
        <v>1653</v>
      </c>
      <c r="F12110" s="1783" t="s">
        <v>1323</v>
      </c>
    </row>
    <row r="12111" spans="1:7">
      <c r="A12111" s="47" t="s">
        <v>1220</v>
      </c>
      <c r="B12111" s="47" t="s">
        <v>17</v>
      </c>
      <c r="C12111" s="905">
        <v>50</v>
      </c>
      <c r="D12111" s="906">
        <v>1</v>
      </c>
      <c r="E12111" s="905">
        <f>C12111*D12111</f>
        <v>50</v>
      </c>
      <c r="F12111" s="891">
        <v>0.44</v>
      </c>
    </row>
    <row r="12112" spans="1:7">
      <c r="A12112" s="47"/>
      <c r="B12112" s="260" t="s">
        <v>1993</v>
      </c>
      <c r="C12112" s="905"/>
      <c r="D12112" s="906"/>
      <c r="E12112" s="894">
        <v>1</v>
      </c>
      <c r="F12112" s="891">
        <v>12</v>
      </c>
    </row>
    <row r="12115" spans="1:8">
      <c r="A12115" s="902" t="s">
        <v>1603</v>
      </c>
      <c r="B12115" s="887" t="s">
        <v>128</v>
      </c>
      <c r="C12115" s="887" t="s">
        <v>1186</v>
      </c>
      <c r="D12115" s="887" t="s">
        <v>1652</v>
      </c>
      <c r="E12115" s="887" t="s">
        <v>1653</v>
      </c>
      <c r="F12115" s="1783" t="s">
        <v>1323</v>
      </c>
    </row>
    <row r="12116" spans="1:8">
      <c r="A12116" s="47" t="s">
        <v>9154</v>
      </c>
      <c r="B12116" s="47" t="s">
        <v>167</v>
      </c>
      <c r="C12116" s="905">
        <v>14</v>
      </c>
      <c r="D12116" s="906">
        <v>1</v>
      </c>
      <c r="E12116" s="905">
        <f>C12116*D12116</f>
        <v>14</v>
      </c>
      <c r="F12116" s="891">
        <v>1.67</v>
      </c>
    </row>
    <row r="12117" spans="1:8">
      <c r="A12117" s="47"/>
      <c r="B12117" s="260" t="s">
        <v>1993</v>
      </c>
      <c r="C12117" s="905"/>
      <c r="D12117" s="906"/>
      <c r="E12117" s="894">
        <v>1</v>
      </c>
      <c r="F12117" s="891">
        <v>12</v>
      </c>
    </row>
    <row r="12119" spans="1:8" ht="15">
      <c r="A12119" s="1871" t="s">
        <v>9176</v>
      </c>
      <c r="B12119" s="1871"/>
      <c r="C12119" s="1871"/>
      <c r="D12119" s="1871"/>
      <c r="E12119" s="1871"/>
      <c r="F12119" s="1871"/>
    </row>
    <row r="12120" spans="1:8" s="888" customFormat="1" ht="25.5">
      <c r="A12120" s="887" t="s">
        <v>455</v>
      </c>
      <c r="B12120" s="887" t="s">
        <v>128</v>
      </c>
      <c r="C12120" s="887" t="s">
        <v>8351</v>
      </c>
      <c r="D12120" s="1783" t="s">
        <v>1323</v>
      </c>
      <c r="E12120" s="1783" t="s">
        <v>9177</v>
      </c>
      <c r="F12120" s="1958" t="s">
        <v>8360</v>
      </c>
      <c r="G12120" s="2581" t="s">
        <v>6080</v>
      </c>
      <c r="H12120" s="2130" t="s">
        <v>6081</v>
      </c>
    </row>
    <row r="12121" spans="1:8" s="888" customFormat="1" ht="12.75">
      <c r="A12121" s="1865" t="s">
        <v>9178</v>
      </c>
      <c r="B12121" s="2580" t="s">
        <v>9179</v>
      </c>
      <c r="C12121" s="905">
        <v>10</v>
      </c>
      <c r="D12121" s="1058">
        <f>ROUNDUP(F12121/0.6/120,2)</f>
        <v>4.42</v>
      </c>
      <c r="E12121" s="2582" t="s">
        <v>5299</v>
      </c>
      <c r="F12121" s="1922">
        <v>318</v>
      </c>
      <c r="G12121" s="2070">
        <f t="shared" ref="G12121" si="167">(D12121-(F12121/H12121))/D12121</f>
        <v>0.40045248868778283</v>
      </c>
      <c r="H12121" s="2130">
        <v>120</v>
      </c>
    </row>
    <row r="12123" spans="1:8" ht="15">
      <c r="A12123" s="1871" t="s">
        <v>9163</v>
      </c>
      <c r="B12123" s="1871"/>
      <c r="C12123" s="1871"/>
      <c r="D12123" s="1871"/>
      <c r="E12123" s="1871"/>
      <c r="F12123" s="1871"/>
    </row>
    <row r="12124" spans="1:8">
      <c r="A12124" s="887" t="s">
        <v>455</v>
      </c>
      <c r="B12124" s="887" t="s">
        <v>128</v>
      </c>
      <c r="C12124" s="887" t="s">
        <v>1053</v>
      </c>
      <c r="D12124" s="1783" t="s">
        <v>1323</v>
      </c>
      <c r="E12124" s="2548" t="s">
        <v>8537</v>
      </c>
      <c r="F12124" s="2037" t="s">
        <v>6080</v>
      </c>
      <c r="G12124" s="317" t="s">
        <v>6081</v>
      </c>
    </row>
    <row r="12125" spans="1:8" ht="15">
      <c r="A12125" s="47" t="s">
        <v>9164</v>
      </c>
      <c r="B12125" s="47" t="s">
        <v>6322</v>
      </c>
      <c r="C12125" s="905" t="s">
        <v>8691</v>
      </c>
      <c r="D12125" s="891">
        <f>ROUNDUP(E12125/0.6/120,2)</f>
        <v>3.13</v>
      </c>
      <c r="E12125" s="7">
        <v>225</v>
      </c>
      <c r="F12125" s="2070">
        <f>(D12125-(E12125/G12125))/D12125</f>
        <v>0.40095846645367411</v>
      </c>
      <c r="G12125" s="317">
        <v>120</v>
      </c>
    </row>
    <row r="12126" spans="1:8" ht="15">
      <c r="A12126" s="47" t="s">
        <v>9175</v>
      </c>
      <c r="B12126" s="47" t="s">
        <v>6322</v>
      </c>
      <c r="C12126" s="905" t="s">
        <v>8691</v>
      </c>
      <c r="D12126" s="891">
        <f>ROUNDUP(E12126/0.6/120,2)</f>
        <v>3.38</v>
      </c>
      <c r="E12126" s="7">
        <v>243</v>
      </c>
      <c r="F12126" s="2070">
        <f>(D12126-(E12126/G12126))/D12126</f>
        <v>0.40088757396449703</v>
      </c>
      <c r="G12126" s="317">
        <v>120</v>
      </c>
    </row>
    <row r="12128" spans="1:8" s="888" customFormat="1" ht="12.75">
      <c r="A12128" s="887" t="s">
        <v>455</v>
      </c>
      <c r="B12128" s="887" t="s">
        <v>128</v>
      </c>
      <c r="C12128" s="887" t="s">
        <v>54</v>
      </c>
      <c r="D12128" s="1783" t="s">
        <v>1323</v>
      </c>
    </row>
    <row r="12129" spans="1:8" s="888" customFormat="1" ht="12.75">
      <c r="A12129" s="47" t="s">
        <v>9183</v>
      </c>
      <c r="B12129" s="260" t="s">
        <v>9179</v>
      </c>
      <c r="C12129" s="905">
        <v>15</v>
      </c>
      <c r="D12129" s="891">
        <v>4.42</v>
      </c>
    </row>
    <row r="12130" spans="1:8" s="888" customFormat="1" ht="12.75">
      <c r="A12130" s="47"/>
      <c r="B12130" s="260" t="s">
        <v>1993</v>
      </c>
      <c r="C12130" s="894">
        <v>1</v>
      </c>
      <c r="D12130" s="891">
        <v>12</v>
      </c>
    </row>
    <row r="12133" spans="1:8" ht="15">
      <c r="A12133" s="1871" t="s">
        <v>9184</v>
      </c>
      <c r="B12133" s="1871"/>
      <c r="C12133" s="1871"/>
      <c r="D12133" s="1871"/>
      <c r="E12133" s="1871"/>
      <c r="F12133" s="1871"/>
    </row>
    <row r="12134" spans="1:8" s="888" customFormat="1" ht="25.5">
      <c r="A12134" s="887" t="s">
        <v>455</v>
      </c>
      <c r="B12134" s="887" t="s">
        <v>128</v>
      </c>
      <c r="C12134" s="887" t="s">
        <v>8351</v>
      </c>
      <c r="D12134" s="1783" t="s">
        <v>1323</v>
      </c>
      <c r="E12134" s="1783" t="s">
        <v>9145</v>
      </c>
      <c r="F12134" s="1958" t="s">
        <v>8360</v>
      </c>
      <c r="G12134" s="2581" t="s">
        <v>6080</v>
      </c>
      <c r="H12134" s="2130" t="s">
        <v>6081</v>
      </c>
    </row>
    <row r="12135" spans="1:8" s="888" customFormat="1" ht="12.75">
      <c r="A12135" s="1865" t="s">
        <v>9185</v>
      </c>
      <c r="B12135" s="2580" t="s">
        <v>7694</v>
      </c>
      <c r="C12135" s="905">
        <v>10</v>
      </c>
      <c r="D12135" s="1058">
        <f>ROUNDUP(F12135/0.6/120,2)</f>
        <v>1.1599999999999999</v>
      </c>
      <c r="E12135" s="2582" t="s">
        <v>8028</v>
      </c>
      <c r="F12135" s="1922">
        <v>83</v>
      </c>
      <c r="G12135" s="2070">
        <f>(D12135-(F12135/H12135))/D12135</f>
        <v>0.40373563218390801</v>
      </c>
      <c r="H12135" s="2130">
        <v>120</v>
      </c>
    </row>
    <row r="12136" spans="1:8" s="888" customFormat="1" ht="12.75">
      <c r="A12136" s="1865" t="s">
        <v>9185</v>
      </c>
      <c r="B12136" s="2580" t="s">
        <v>8352</v>
      </c>
      <c r="C12136" s="905" t="s">
        <v>8500</v>
      </c>
      <c r="D12136" s="1058">
        <f>ROUNDUP(F12136/0.6/120,2)</f>
        <v>2.2699999999999996</v>
      </c>
      <c r="E12136" s="2582" t="s">
        <v>2346</v>
      </c>
      <c r="F12136" s="1922">
        <f>83+80</f>
        <v>163</v>
      </c>
      <c r="G12136" s="2070">
        <f>(D12136-(F12136/H12136))/D12136</f>
        <v>0.40161527165932437</v>
      </c>
      <c r="H12136" s="2130">
        <v>120</v>
      </c>
    </row>
    <row r="12139" spans="1:8">
      <c r="A12139" s="887" t="s">
        <v>455</v>
      </c>
      <c r="B12139" s="887" t="s">
        <v>9195</v>
      </c>
      <c r="C12139" s="887" t="s">
        <v>128</v>
      </c>
      <c r="D12139" s="887" t="s">
        <v>1186</v>
      </c>
      <c r="E12139" s="887" t="s">
        <v>1652</v>
      </c>
      <c r="F12139" s="887" t="s">
        <v>1653</v>
      </c>
      <c r="G12139" s="1783" t="s">
        <v>1323</v>
      </c>
    </row>
    <row r="12140" spans="1:8">
      <c r="A12140" s="47" t="s">
        <v>8774</v>
      </c>
      <c r="B12140" s="907">
        <v>152</v>
      </c>
      <c r="C12140" s="47" t="s">
        <v>9169</v>
      </c>
      <c r="D12140" s="905">
        <v>58</v>
      </c>
      <c r="E12140" s="906">
        <v>9</v>
      </c>
      <c r="F12140" s="905">
        <f t="shared" ref="F12140" si="168">D12140*E12140</f>
        <v>522</v>
      </c>
      <c r="G12140" s="891">
        <v>4.3</v>
      </c>
    </row>
    <row r="12143" spans="1:8">
      <c r="A12143" t="s">
        <v>9196</v>
      </c>
    </row>
    <row r="12144" spans="1:8" ht="25.5">
      <c r="A12144" s="1350" t="s">
        <v>1369</v>
      </c>
      <c r="B12144" s="1351" t="s">
        <v>377</v>
      </c>
      <c r="C12144" s="1353" t="s">
        <v>1734</v>
      </c>
      <c r="D12144" s="1354" t="s">
        <v>5527</v>
      </c>
      <c r="E12144" s="2460" t="s">
        <v>8360</v>
      </c>
      <c r="F12144" s="2037" t="s">
        <v>6080</v>
      </c>
      <c r="G12144" s="317" t="s">
        <v>6081</v>
      </c>
    </row>
    <row r="12145" spans="1:54" s="59" customFormat="1" ht="15" customHeight="1">
      <c r="A12145" s="1172" t="s">
        <v>7071</v>
      </c>
      <c r="B12145" s="1782">
        <v>9</v>
      </c>
      <c r="C12145" s="1172" t="s">
        <v>7072</v>
      </c>
      <c r="D12145" s="1061">
        <v>0.23</v>
      </c>
      <c r="E12145" s="2670">
        <v>13.433332999999999</v>
      </c>
      <c r="F12145" s="2186">
        <f>(((D12145*G12145)-E12145)/(D12145*G12145))</f>
        <v>0.51328503623188415</v>
      </c>
      <c r="G12145" s="2187">
        <v>120</v>
      </c>
      <c r="H12145" s="1963"/>
      <c r="I12145" s="1963"/>
      <c r="J12145" s="1963"/>
      <c r="K12145" s="1963"/>
      <c r="L12145" s="1963"/>
      <c r="M12145" s="1963"/>
      <c r="N12145" s="1963"/>
      <c r="O12145" s="1963"/>
      <c r="P12145" s="1963"/>
      <c r="Q12145" s="1963"/>
      <c r="R12145" s="1963"/>
      <c r="S12145" s="1963"/>
      <c r="T12145" s="1963"/>
      <c r="U12145" s="1963"/>
      <c r="V12145" s="1963"/>
      <c r="W12145" s="1963"/>
      <c r="X12145" s="1963"/>
      <c r="Y12145" s="1963"/>
      <c r="Z12145" s="1963"/>
      <c r="AA12145" s="1963"/>
      <c r="AB12145" s="1963"/>
      <c r="AC12145" s="1963"/>
      <c r="AD12145" s="1963"/>
      <c r="AE12145" s="1963"/>
      <c r="AF12145" s="1963"/>
      <c r="AG12145" s="1963"/>
      <c r="AH12145" s="1963"/>
      <c r="AI12145" s="1963"/>
      <c r="AJ12145" s="1963"/>
      <c r="AK12145" s="1963"/>
      <c r="AL12145" s="1963"/>
      <c r="AM12145" s="1963"/>
      <c r="AN12145" s="1963"/>
      <c r="AO12145" s="1963"/>
      <c r="AP12145" s="1963"/>
      <c r="AQ12145" s="1963"/>
      <c r="AR12145" s="1963"/>
      <c r="AS12145" s="1963"/>
      <c r="AT12145" s="1963"/>
      <c r="AU12145" s="1963"/>
      <c r="AV12145" s="1963"/>
      <c r="AW12145" s="1963"/>
      <c r="AX12145" s="1963"/>
      <c r="AY12145" s="1963"/>
      <c r="AZ12145" s="1963"/>
      <c r="BA12145" s="1963"/>
      <c r="BB12145" s="1963"/>
    </row>
    <row r="12148" spans="1:54" ht="15">
      <c r="A12148" s="1871" t="s">
        <v>9197</v>
      </c>
      <c r="B12148" s="1871"/>
      <c r="C12148" s="1871"/>
      <c r="D12148" s="1871"/>
      <c r="E12148" s="1871"/>
      <c r="F12148" s="1871"/>
    </row>
    <row r="12149" spans="1:54" s="888" customFormat="1" ht="25.5">
      <c r="A12149" s="887" t="s">
        <v>455</v>
      </c>
      <c r="B12149" s="887" t="s">
        <v>128</v>
      </c>
      <c r="C12149" s="887" t="s">
        <v>8351</v>
      </c>
      <c r="D12149" s="1783" t="s">
        <v>1323</v>
      </c>
      <c r="E12149" s="1783" t="s">
        <v>9200</v>
      </c>
      <c r="F12149" s="1958" t="s">
        <v>8360</v>
      </c>
      <c r="G12149" s="2581" t="s">
        <v>6080</v>
      </c>
      <c r="H12149" s="2130" t="s">
        <v>6081</v>
      </c>
    </row>
    <row r="12150" spans="1:54" s="888" customFormat="1" ht="12.75">
      <c r="A12150" s="1865" t="s">
        <v>9198</v>
      </c>
      <c r="B12150" s="47" t="s">
        <v>7694</v>
      </c>
      <c r="C12150" s="905">
        <v>10</v>
      </c>
      <c r="D12150" s="1058">
        <f>ROUNDUP(F12150/0.6/120,2)</f>
        <v>5.0999999999999996</v>
      </c>
      <c r="E12150" s="2582" t="s">
        <v>7260</v>
      </c>
      <c r="F12150" s="1922">
        <v>367</v>
      </c>
      <c r="G12150" s="2070">
        <f>(D12150-(F12150/H12150))/D12150</f>
        <v>0.40032679738562094</v>
      </c>
      <c r="H12150" s="2130">
        <v>120</v>
      </c>
    </row>
    <row r="12151" spans="1:54" s="888" customFormat="1" ht="12.75">
      <c r="A12151" s="1865" t="s">
        <v>9198</v>
      </c>
      <c r="B12151" s="47" t="s">
        <v>8352</v>
      </c>
      <c r="C12151" s="905" t="s">
        <v>8500</v>
      </c>
      <c r="D12151" s="1058">
        <f>ROUNDUP(F12151/0.6/120,2)</f>
        <v>6.49</v>
      </c>
      <c r="E12151" s="2582" t="s">
        <v>2346</v>
      </c>
      <c r="F12151" s="1922">
        <f>367+100</f>
        <v>467</v>
      </c>
      <c r="G12151" s="2070">
        <f>(D12151-(F12151/H12151))/D12151</f>
        <v>0.40035952747817155</v>
      </c>
      <c r="H12151" s="2130">
        <v>120</v>
      </c>
    </row>
    <row r="12152" spans="1:54" s="888" customFormat="1" ht="12.75">
      <c r="A12152" s="1865" t="s">
        <v>9199</v>
      </c>
      <c r="B12152" s="47" t="s">
        <v>7694</v>
      </c>
      <c r="C12152" s="905">
        <v>10</v>
      </c>
      <c r="D12152" s="1058">
        <f>ROUNDUP(F12152/0.6/120,2)</f>
        <v>3.9899999999999998</v>
      </c>
      <c r="E12152" s="2582" t="s">
        <v>7263</v>
      </c>
      <c r="F12152" s="1922">
        <v>287</v>
      </c>
      <c r="G12152" s="2070">
        <f>(D12152-(F12152/H12152))/D12152</f>
        <v>0.40058479532163743</v>
      </c>
      <c r="H12152" s="2130">
        <v>120</v>
      </c>
    </row>
    <row r="12153" spans="1:54" s="888" customFormat="1" ht="12.75">
      <c r="A12153" s="1865" t="s">
        <v>9199</v>
      </c>
      <c r="B12153" s="47" t="s">
        <v>8352</v>
      </c>
      <c r="C12153" s="905" t="s">
        <v>8500</v>
      </c>
      <c r="D12153" s="1058">
        <f>ROUNDUP(F12153/0.6/120,2)</f>
        <v>5.38</v>
      </c>
      <c r="E12153" s="2582" t="s">
        <v>2346</v>
      </c>
      <c r="F12153" s="1922">
        <f>287+100</f>
        <v>387</v>
      </c>
      <c r="G12153" s="2070">
        <f>(D12153-(F12153/H12153))/D12153</f>
        <v>0.40055762081784385</v>
      </c>
      <c r="H12153" s="2130">
        <v>120</v>
      </c>
    </row>
    <row r="12156" spans="1:54">
      <c r="A12156" s="887" t="s">
        <v>455</v>
      </c>
      <c r="B12156" s="887" t="s">
        <v>52</v>
      </c>
      <c r="C12156" s="887" t="s">
        <v>128</v>
      </c>
      <c r="D12156" s="887" t="s">
        <v>1186</v>
      </c>
      <c r="E12156" s="887" t="s">
        <v>1652</v>
      </c>
      <c r="F12156" s="887" t="s">
        <v>1653</v>
      </c>
      <c r="G12156" s="1783" t="s">
        <v>1323</v>
      </c>
      <c r="H12156" s="1783" t="s">
        <v>3321</v>
      </c>
    </row>
    <row r="12157" spans="1:54">
      <c r="A12157" s="47">
        <v>4141</v>
      </c>
      <c r="B12157" s="260">
        <v>6</v>
      </c>
      <c r="C12157" s="47" t="s">
        <v>9202</v>
      </c>
      <c r="D12157" s="905">
        <v>20</v>
      </c>
      <c r="E12157" s="906">
        <v>3</v>
      </c>
      <c r="F12157" s="905">
        <f>D12157*E12157</f>
        <v>60</v>
      </c>
      <c r="G12157" s="891">
        <v>1.47</v>
      </c>
    </row>
    <row r="12158" spans="1:54">
      <c r="A12158" s="47">
        <v>4141</v>
      </c>
      <c r="B12158" s="260">
        <v>6</v>
      </c>
      <c r="C12158" s="47" t="s">
        <v>9203</v>
      </c>
      <c r="D12158" s="905">
        <v>20</v>
      </c>
      <c r="E12158" s="906">
        <v>3</v>
      </c>
      <c r="F12158" s="905">
        <f>D12158*E12158</f>
        <v>60</v>
      </c>
      <c r="G12158" s="891">
        <v>1.47</v>
      </c>
    </row>
    <row r="12159" spans="1:54">
      <c r="A12159" s="47"/>
      <c r="B12159" s="893"/>
      <c r="C12159" s="260" t="s">
        <v>1993</v>
      </c>
      <c r="D12159" s="905"/>
      <c r="E12159" s="906"/>
      <c r="F12159" s="894">
        <v>1</v>
      </c>
      <c r="G12159" s="891">
        <v>12</v>
      </c>
    </row>
    <row r="12162" spans="1:8" ht="15">
      <c r="A12162" s="1871" t="s">
        <v>9206</v>
      </c>
      <c r="B12162" s="1871"/>
      <c r="C12162" s="1871"/>
      <c r="D12162" s="1871"/>
      <c r="E12162" s="1871"/>
      <c r="F12162" s="1871"/>
    </row>
    <row r="12163" spans="1:8" s="888" customFormat="1" ht="25.5">
      <c r="A12163" s="887" t="s">
        <v>455</v>
      </c>
      <c r="B12163" s="887" t="s">
        <v>128</v>
      </c>
      <c r="C12163" s="887" t="s">
        <v>8351</v>
      </c>
      <c r="D12163" s="1783" t="s">
        <v>1323</v>
      </c>
      <c r="E12163" s="1783" t="s">
        <v>9221</v>
      </c>
      <c r="F12163" s="1958" t="s">
        <v>8360</v>
      </c>
      <c r="G12163" s="2581" t="s">
        <v>6080</v>
      </c>
      <c r="H12163" s="2130" t="s">
        <v>6081</v>
      </c>
    </row>
    <row r="12164" spans="1:8" s="888" customFormat="1" ht="12.75">
      <c r="A12164" s="1865" t="s">
        <v>9213</v>
      </c>
      <c r="B12164" s="47" t="s">
        <v>7694</v>
      </c>
      <c r="C12164" s="905">
        <v>10</v>
      </c>
      <c r="D12164" s="1058">
        <f t="shared" ref="D12164:D12171" si="169">ROUNDUP(F12164/0.6/120,2)</f>
        <v>2.3499999999999996</v>
      </c>
      <c r="E12164" s="2582" t="s">
        <v>9207</v>
      </c>
      <c r="F12164" s="1922">
        <v>169</v>
      </c>
      <c r="G12164" s="2070">
        <f t="shared" ref="G12164:G12171" si="170">(D12164-(F12164/H12164))/D12164</f>
        <v>0.40070921985815589</v>
      </c>
      <c r="H12164" s="2130">
        <v>120</v>
      </c>
    </row>
    <row r="12165" spans="1:8" s="888" customFormat="1" ht="12.75">
      <c r="A12165" s="1865" t="s">
        <v>9214</v>
      </c>
      <c r="B12165" s="47" t="s">
        <v>7694</v>
      </c>
      <c r="C12165" s="905">
        <v>10</v>
      </c>
      <c r="D12165" s="1058">
        <f t="shared" si="169"/>
        <v>2.7399999999999998</v>
      </c>
      <c r="E12165" s="2582" t="s">
        <v>9208</v>
      </c>
      <c r="F12165" s="1922">
        <v>197</v>
      </c>
      <c r="G12165" s="2070">
        <f t="shared" si="170"/>
        <v>0.4008515815085158</v>
      </c>
      <c r="H12165" s="2130">
        <v>120</v>
      </c>
    </row>
    <row r="12166" spans="1:8" s="888" customFormat="1" ht="12.75">
      <c r="A12166" s="1865" t="s">
        <v>9215</v>
      </c>
      <c r="B12166" s="47" t="s">
        <v>7694</v>
      </c>
      <c r="C12166" s="905">
        <v>10</v>
      </c>
      <c r="D12166" s="1058">
        <f t="shared" si="169"/>
        <v>2.4099999999999997</v>
      </c>
      <c r="E12166" s="2582" t="s">
        <v>9208</v>
      </c>
      <c r="F12166" s="1922">
        <v>173</v>
      </c>
      <c r="G12166" s="2070">
        <f t="shared" si="170"/>
        <v>0.40179806362378967</v>
      </c>
      <c r="H12166" s="2130">
        <v>120</v>
      </c>
    </row>
    <row r="12167" spans="1:8" s="888" customFormat="1" ht="12.75">
      <c r="A12167" s="1865" t="s">
        <v>9216</v>
      </c>
      <c r="B12167" s="47" t="s">
        <v>7694</v>
      </c>
      <c r="C12167" s="905">
        <v>10</v>
      </c>
      <c r="D12167" s="1058">
        <f t="shared" si="169"/>
        <v>2.3899999999999997</v>
      </c>
      <c r="E12167" s="2582" t="s">
        <v>8026</v>
      </c>
      <c r="F12167" s="1922">
        <v>172</v>
      </c>
      <c r="G12167" s="2070">
        <f t="shared" si="170"/>
        <v>0.40027894002789394</v>
      </c>
      <c r="H12167" s="2130">
        <v>120</v>
      </c>
    </row>
    <row r="12168" spans="1:8" s="888" customFormat="1" ht="12.75">
      <c r="A12168" s="1865" t="s">
        <v>9217</v>
      </c>
      <c r="B12168" s="47" t="s">
        <v>7694</v>
      </c>
      <c r="C12168" s="905">
        <v>10</v>
      </c>
      <c r="D12168" s="1058">
        <f t="shared" si="169"/>
        <v>2.48</v>
      </c>
      <c r="E12168" s="2582" t="s">
        <v>9209</v>
      </c>
      <c r="F12168" s="1922">
        <v>178</v>
      </c>
      <c r="G12168" s="2070">
        <f t="shared" si="170"/>
        <v>0.4018817204301075</v>
      </c>
      <c r="H12168" s="2130">
        <v>120</v>
      </c>
    </row>
    <row r="12169" spans="1:8" s="888" customFormat="1" ht="12.75">
      <c r="A12169" s="1865" t="s">
        <v>9218</v>
      </c>
      <c r="B12169" s="47" t="s">
        <v>7694</v>
      </c>
      <c r="C12169" s="905">
        <v>10</v>
      </c>
      <c r="D12169" s="1058">
        <f t="shared" si="169"/>
        <v>1.64</v>
      </c>
      <c r="E12169" s="2582" t="s">
        <v>9210</v>
      </c>
      <c r="F12169" s="1922">
        <v>118</v>
      </c>
      <c r="G12169" s="2070">
        <f t="shared" si="170"/>
        <v>0.40040650406504064</v>
      </c>
      <c r="H12169" s="2130">
        <v>120</v>
      </c>
    </row>
    <row r="12170" spans="1:8" s="888" customFormat="1" ht="12.75">
      <c r="A12170" s="1865" t="s">
        <v>9219</v>
      </c>
      <c r="B12170" s="47" t="s">
        <v>7694</v>
      </c>
      <c r="C12170" s="905">
        <v>10</v>
      </c>
      <c r="D12170" s="1058">
        <f t="shared" si="169"/>
        <v>2.42</v>
      </c>
      <c r="E12170" s="2582" t="s">
        <v>9211</v>
      </c>
      <c r="F12170" s="1922">
        <v>174</v>
      </c>
      <c r="G12170" s="2070">
        <f t="shared" si="170"/>
        <v>0.40082644628099173</v>
      </c>
      <c r="H12170" s="2130">
        <v>120</v>
      </c>
    </row>
    <row r="12171" spans="1:8" s="888" customFormat="1" ht="12.75">
      <c r="A12171" s="1865" t="s">
        <v>9220</v>
      </c>
      <c r="B12171" s="47" t="s">
        <v>7694</v>
      </c>
      <c r="C12171" s="905">
        <v>10</v>
      </c>
      <c r="D12171" s="1058">
        <f t="shared" si="169"/>
        <v>1.48</v>
      </c>
      <c r="E12171" s="2582" t="s">
        <v>9212</v>
      </c>
      <c r="F12171" s="1922">
        <v>106</v>
      </c>
      <c r="G12171" s="2070">
        <f t="shared" si="170"/>
        <v>0.40315315315315314</v>
      </c>
      <c r="H12171" s="2130">
        <v>120</v>
      </c>
    </row>
    <row r="12174" spans="1:8" ht="13.5" customHeight="1">
      <c r="A12174" s="895" t="s">
        <v>9222</v>
      </c>
    </row>
    <row r="12175" spans="1:8" ht="14.25" customHeight="1">
      <c r="A12175" s="902" t="s">
        <v>1603</v>
      </c>
      <c r="B12175" s="902" t="s">
        <v>8006</v>
      </c>
      <c r="C12175" s="1772" t="s">
        <v>7856</v>
      </c>
      <c r="D12175" s="1772" t="s">
        <v>1403</v>
      </c>
      <c r="E12175" s="2037" t="s">
        <v>6613</v>
      </c>
      <c r="F12175" s="2037" t="s">
        <v>6929</v>
      </c>
      <c r="G12175" s="2037" t="s">
        <v>6081</v>
      </c>
    </row>
    <row r="12176" spans="1:8" ht="13.5" customHeight="1">
      <c r="A12176" s="909" t="s">
        <v>9223</v>
      </c>
      <c r="B12176" s="1209" t="s">
        <v>8005</v>
      </c>
      <c r="C12176" s="1245">
        <f>ROUNDUP(E12176/0.75/120,2)</f>
        <v>23.12</v>
      </c>
      <c r="D12176" s="1245" t="s">
        <v>7857</v>
      </c>
      <c r="E12176" s="2253">
        <f>1780+300</f>
        <v>2080</v>
      </c>
      <c r="F12176" s="1965">
        <f>(C12176-(E12176/G12176))/C12176</f>
        <v>0.25028835063437149</v>
      </c>
      <c r="G12176">
        <v>120</v>
      </c>
      <c r="H12176" s="317"/>
    </row>
    <row r="12177" spans="1:8" ht="13.5" customHeight="1">
      <c r="A12177" s="909" t="s">
        <v>9223</v>
      </c>
      <c r="B12177" s="1209" t="s">
        <v>8004</v>
      </c>
      <c r="C12177" s="1245">
        <f>ROUNDUP(E12177/0.75/120,2)</f>
        <v>19.78</v>
      </c>
      <c r="D12177" s="1245"/>
      <c r="E12177" s="2253">
        <v>1780</v>
      </c>
      <c r="F12177" s="1965">
        <f>(C12177-(E12177/G12177))/C12177</f>
        <v>0.25008426019548369</v>
      </c>
      <c r="G12177">
        <v>120</v>
      </c>
      <c r="H12177" s="2335"/>
    </row>
    <row r="12178" spans="1:8" ht="13.5" customHeight="1">
      <c r="A12178" s="909" t="s">
        <v>9224</v>
      </c>
      <c r="B12178" s="1209" t="s">
        <v>8005</v>
      </c>
      <c r="C12178" s="1245">
        <f>ROUNDUP(E12178/0.75/120,2)</f>
        <v>27.23</v>
      </c>
      <c r="D12178" s="1245" t="s">
        <v>7857</v>
      </c>
      <c r="E12178" s="2253">
        <f>2150+300</f>
        <v>2450</v>
      </c>
      <c r="F12178" s="1965">
        <f>(C12178-(E12178/G12178))/C12178</f>
        <v>0.25021422450728359</v>
      </c>
      <c r="G12178">
        <v>120</v>
      </c>
      <c r="H12178" s="317"/>
    </row>
    <row r="12179" spans="1:8" ht="13.5" customHeight="1">
      <c r="A12179" s="909" t="s">
        <v>9225</v>
      </c>
      <c r="B12179" s="1209" t="s">
        <v>8004</v>
      </c>
      <c r="C12179" s="1245">
        <f>ROUNDUP(E12179/0.75/120,2)</f>
        <v>23.89</v>
      </c>
      <c r="D12179" s="1245"/>
      <c r="E12179" s="2253">
        <v>2150</v>
      </c>
      <c r="F12179" s="1965">
        <f>(C12179-(E12179/G12179))/C12179</f>
        <v>0.25003488209850699</v>
      </c>
      <c r="G12179">
        <v>120</v>
      </c>
      <c r="H12179" s="2335"/>
    </row>
    <row r="12183" spans="1:8">
      <c r="A12183" s="902" t="s">
        <v>1603</v>
      </c>
      <c r="B12183" s="887" t="s">
        <v>52</v>
      </c>
      <c r="C12183" s="887" t="s">
        <v>53</v>
      </c>
      <c r="D12183" s="887" t="s">
        <v>54</v>
      </c>
      <c r="E12183" s="967" t="s">
        <v>9231</v>
      </c>
    </row>
    <row r="12184" spans="1:8">
      <c r="A12184" s="47" t="s">
        <v>8711</v>
      </c>
      <c r="B12184" s="48" t="s">
        <v>9229</v>
      </c>
      <c r="C12184" s="47" t="s">
        <v>8958</v>
      </c>
      <c r="D12184" s="905">
        <v>581</v>
      </c>
      <c r="E12184" s="1059">
        <f>340+120</f>
        <v>460</v>
      </c>
    </row>
    <row r="12185" spans="1:8">
      <c r="A12185" s="47" t="s">
        <v>8711</v>
      </c>
      <c r="B12185" s="48" t="s">
        <v>9229</v>
      </c>
      <c r="C12185" s="47" t="s">
        <v>8966</v>
      </c>
      <c r="D12185" s="905">
        <v>201</v>
      </c>
      <c r="E12185" s="1059">
        <f>340+120</f>
        <v>460</v>
      </c>
    </row>
    <row r="12186" spans="1:8">
      <c r="A12186" s="47" t="s">
        <v>8711</v>
      </c>
      <c r="B12186" s="48" t="s">
        <v>9229</v>
      </c>
      <c r="C12186" s="47" t="s">
        <v>8959</v>
      </c>
      <c r="D12186" s="905">
        <v>311</v>
      </c>
      <c r="E12186" s="1059">
        <f>340+120</f>
        <v>460</v>
      </c>
    </row>
    <row r="12187" spans="1:8">
      <c r="A12187" s="47" t="s">
        <v>8712</v>
      </c>
      <c r="B12187" s="48" t="s">
        <v>9230</v>
      </c>
      <c r="C12187" s="47" t="s">
        <v>8958</v>
      </c>
      <c r="D12187" s="905">
        <v>640</v>
      </c>
      <c r="E12187" s="1059">
        <f>247+110</f>
        <v>357</v>
      </c>
    </row>
    <row r="12188" spans="1:8">
      <c r="A12188" s="47" t="s">
        <v>8712</v>
      </c>
      <c r="B12188" s="48" t="s">
        <v>9230</v>
      </c>
      <c r="C12188" s="47" t="s">
        <v>8966</v>
      </c>
      <c r="D12188" s="905">
        <v>174</v>
      </c>
      <c r="E12188" s="1059">
        <f>247+110</f>
        <v>357</v>
      </c>
    </row>
    <row r="12189" spans="1:8">
      <c r="A12189" s="47" t="s">
        <v>8712</v>
      </c>
      <c r="B12189" s="48" t="s">
        <v>9230</v>
      </c>
      <c r="C12189" s="47" t="s">
        <v>8959</v>
      </c>
      <c r="D12189" s="905">
        <v>384</v>
      </c>
      <c r="E12189" s="1059">
        <f>247+110</f>
        <v>357</v>
      </c>
    </row>
    <row r="12193" spans="1:7" s="843" customFormat="1" ht="14.25">
      <c r="A12193" s="886" t="s">
        <v>1400</v>
      </c>
      <c r="B12193" s="953" t="s">
        <v>2467</v>
      </c>
      <c r="C12193" s="2318" t="s">
        <v>9232</v>
      </c>
      <c r="D12193" s="939" t="s">
        <v>6080</v>
      </c>
      <c r="E12193" s="940" t="s">
        <v>6081</v>
      </c>
    </row>
    <row r="12194" spans="1:7" s="1331" customFormat="1" ht="13.5" customHeight="1">
      <c r="A12194" s="368" t="s">
        <v>536</v>
      </c>
      <c r="B12194" s="2630">
        <v>5.28</v>
      </c>
      <c r="C12194" s="594">
        <v>440</v>
      </c>
      <c r="D12194" s="2317">
        <f t="shared" ref="D12194" si="171">(B12194-(C12194/E12194))/B12194</f>
        <v>0.30555555555555564</v>
      </c>
      <c r="E12194" s="2628">
        <v>120</v>
      </c>
    </row>
    <row r="12198" spans="1:7" s="888" customFormat="1" ht="12.75">
      <c r="A12198" s="886" t="s">
        <v>1400</v>
      </c>
      <c r="B12198" s="886" t="s">
        <v>53</v>
      </c>
      <c r="C12198" s="887" t="s">
        <v>1186</v>
      </c>
      <c r="D12198" s="887" t="s">
        <v>1652</v>
      </c>
      <c r="E12198" s="887" t="s">
        <v>1653</v>
      </c>
      <c r="F12198" s="1783" t="s">
        <v>1323</v>
      </c>
    </row>
    <row r="12199" spans="1:7" s="888" customFormat="1" ht="12.75">
      <c r="A12199" s="47" t="s">
        <v>7080</v>
      </c>
      <c r="B12199" s="260" t="s">
        <v>7694</v>
      </c>
      <c r="C12199" s="905">
        <v>14</v>
      </c>
      <c r="D12199" s="906">
        <v>7</v>
      </c>
      <c r="E12199" s="905">
        <f>D12199*C12199</f>
        <v>98</v>
      </c>
      <c r="F12199" s="891">
        <v>5.56</v>
      </c>
    </row>
    <row r="12200" spans="1:7" s="888" customFormat="1" ht="12.75">
      <c r="A12200" s="47"/>
      <c r="B12200" s="260" t="s">
        <v>1993</v>
      </c>
      <c r="C12200" s="905"/>
      <c r="D12200" s="906"/>
      <c r="E12200" s="894">
        <v>1</v>
      </c>
      <c r="F12200" s="891">
        <v>12</v>
      </c>
    </row>
    <row r="12201" spans="1:7" s="888" customFormat="1" ht="12"/>
    <row r="12202" spans="1:7" s="888" customFormat="1" ht="12"/>
    <row r="12203" spans="1:7" ht="15">
      <c r="A12203" s="1871" t="s">
        <v>9234</v>
      </c>
      <c r="B12203" s="1871"/>
      <c r="C12203" s="1871"/>
      <c r="D12203" s="1871"/>
      <c r="E12203" s="1871"/>
      <c r="F12203" s="1871"/>
    </row>
    <row r="12204" spans="1:7">
      <c r="A12204" s="887" t="s">
        <v>455</v>
      </c>
      <c r="B12204" s="887" t="s">
        <v>128</v>
      </c>
      <c r="C12204" s="887" t="s">
        <v>1053</v>
      </c>
      <c r="D12204" s="1783" t="s">
        <v>1323</v>
      </c>
      <c r="E12204" s="2548" t="s">
        <v>8537</v>
      </c>
      <c r="F12204" s="2037" t="s">
        <v>6080</v>
      </c>
      <c r="G12204" s="317" t="s">
        <v>6081</v>
      </c>
    </row>
    <row r="12205" spans="1:7" ht="15">
      <c r="A12205" s="47" t="s">
        <v>9239</v>
      </c>
      <c r="B12205" s="47" t="s">
        <v>7694</v>
      </c>
      <c r="C12205" s="905" t="s">
        <v>8691</v>
      </c>
      <c r="D12205" s="891">
        <f>ROUNDUP(E12205/0.6/120,2)</f>
        <v>3.6199999999999997</v>
      </c>
      <c r="E12205" s="7">
        <v>260</v>
      </c>
      <c r="F12205" s="2070">
        <f>(D12205-(E12205/G12205))/D12205</f>
        <v>0.40147329650092078</v>
      </c>
      <c r="G12205" s="317">
        <v>120</v>
      </c>
    </row>
    <row r="12208" spans="1:7" ht="15">
      <c r="A12208" s="1871" t="s">
        <v>9237</v>
      </c>
      <c r="B12208" s="1871"/>
      <c r="C12208" s="1871"/>
      <c r="D12208" s="1871"/>
      <c r="E12208" s="1871"/>
      <c r="F12208" s="1871"/>
    </row>
    <row r="12209" spans="1:8" s="888" customFormat="1" ht="12.75">
      <c r="A12209" s="887" t="s">
        <v>455</v>
      </c>
      <c r="B12209" s="887" t="s">
        <v>128</v>
      </c>
      <c r="C12209" s="887" t="s">
        <v>8351</v>
      </c>
      <c r="D12209" s="1783" t="s">
        <v>1323</v>
      </c>
      <c r="E12209" s="1783"/>
      <c r="F12209" s="1958" t="s">
        <v>8360</v>
      </c>
      <c r="G12209" s="2581" t="s">
        <v>6080</v>
      </c>
      <c r="H12209" s="2130" t="s">
        <v>6081</v>
      </c>
    </row>
    <row r="12210" spans="1:8" s="888" customFormat="1" ht="12.75">
      <c r="A12210" s="1865" t="s">
        <v>9215</v>
      </c>
      <c r="B12210" s="47" t="s">
        <v>7694</v>
      </c>
      <c r="C12210" s="905">
        <v>10</v>
      </c>
      <c r="D12210" s="1058">
        <f t="shared" ref="D12210" si="172">ROUNDUP(F12210/0.6/120,2)</f>
        <v>2.4099999999999997</v>
      </c>
      <c r="E12210" s="2582"/>
      <c r="F12210" s="1922">
        <v>173</v>
      </c>
      <c r="G12210" s="2070">
        <f t="shared" ref="G12210" si="173">(D12210-(F12210/H12210))/D12210</f>
        <v>0.40179806362378967</v>
      </c>
      <c r="H12210" s="2130">
        <v>120</v>
      </c>
    </row>
    <row r="12211" spans="1:8" s="888" customFormat="1" ht="12.75">
      <c r="A12211" s="1865" t="s">
        <v>9215</v>
      </c>
      <c r="B12211" s="47" t="s">
        <v>8352</v>
      </c>
      <c r="C12211" s="905" t="s">
        <v>8500</v>
      </c>
      <c r="D12211" s="1058">
        <f>ROUNDUP(F12211/0.6/120,2)</f>
        <v>3.8</v>
      </c>
      <c r="E12211" s="2582"/>
      <c r="F12211" s="1922">
        <f>173+100</f>
        <v>273</v>
      </c>
      <c r="G12211" s="2070">
        <f>(D12211-(F12211/H12211))/D12211</f>
        <v>0.40131578947368418</v>
      </c>
      <c r="H12211" s="2130">
        <v>120</v>
      </c>
    </row>
    <row r="12212" spans="1:8" s="888" customFormat="1" ht="12.75">
      <c r="A12212" s="1865" t="s">
        <v>9238</v>
      </c>
      <c r="B12212" s="47" t="s">
        <v>7694</v>
      </c>
      <c r="C12212" s="905">
        <v>10</v>
      </c>
      <c r="D12212" s="1058">
        <f t="shared" ref="D12212" si="174">ROUNDUP(F12212/0.6/120,2)</f>
        <v>2</v>
      </c>
      <c r="E12212" s="2582"/>
      <c r="F12212" s="1922">
        <v>144</v>
      </c>
      <c r="G12212" s="2070">
        <f t="shared" ref="G12212" si="175">(D12212-(F12212/H12212))/D12212</f>
        <v>0.4</v>
      </c>
      <c r="H12212" s="2130">
        <v>120</v>
      </c>
    </row>
    <row r="12213" spans="1:8" s="888" customFormat="1" ht="12.75">
      <c r="A12213" s="1865" t="s">
        <v>9238</v>
      </c>
      <c r="B12213" s="47" t="s">
        <v>8352</v>
      </c>
      <c r="C12213" s="905" t="s">
        <v>8500</v>
      </c>
      <c r="D12213" s="1058">
        <f>ROUNDUP(F12213/0.6/120,2)</f>
        <v>3.25</v>
      </c>
      <c r="E12213" s="2582"/>
      <c r="F12213" s="1922">
        <f>144+90</f>
        <v>234</v>
      </c>
      <c r="G12213" s="2070">
        <f>(D12213-(F12213/H12213))/D12213</f>
        <v>0.4</v>
      </c>
      <c r="H12213" s="2130">
        <v>120</v>
      </c>
    </row>
    <row r="12214" spans="1:8" s="888" customFormat="1" ht="12.75">
      <c r="A12214" s="1865"/>
      <c r="B12214" s="47"/>
      <c r="C12214" s="905"/>
      <c r="D12214" s="1058"/>
      <c r="E12214" s="2582"/>
      <c r="F12214" s="1922"/>
      <c r="G12214" s="2070"/>
      <c r="H12214" s="2130"/>
    </row>
    <row r="12215" spans="1:8" s="888" customFormat="1" ht="12.75">
      <c r="A12215" s="1865"/>
      <c r="B12215" s="47"/>
      <c r="C12215" s="905"/>
      <c r="D12215" s="1058"/>
      <c r="E12215" s="2582"/>
      <c r="F12215" s="1922"/>
      <c r="G12215" s="2070"/>
      <c r="H12215" s="2130"/>
    </row>
    <row r="12221" spans="1:8" s="888" customFormat="1" ht="12.75">
      <c r="A12221" s="902" t="s">
        <v>106</v>
      </c>
      <c r="B12221" s="902" t="s">
        <v>52</v>
      </c>
      <c r="C12221" s="902" t="s">
        <v>53</v>
      </c>
      <c r="D12221" s="887" t="s">
        <v>1186</v>
      </c>
      <c r="E12221" s="887" t="s">
        <v>1652</v>
      </c>
      <c r="F12221" s="887" t="s">
        <v>1653</v>
      </c>
      <c r="G12221" s="887" t="s">
        <v>5574</v>
      </c>
    </row>
    <row r="12222" spans="1:8" s="888" customFormat="1" ht="12.75">
      <c r="A12222" s="47">
        <v>5291</v>
      </c>
      <c r="B12222" s="48">
        <v>6</v>
      </c>
      <c r="C12222" s="47" t="s">
        <v>499</v>
      </c>
      <c r="D12222" s="50">
        <v>50</v>
      </c>
      <c r="E12222" s="911">
        <v>6</v>
      </c>
      <c r="F12222" s="50">
        <f>D12222*E12222</f>
        <v>300</v>
      </c>
      <c r="G12222" s="891">
        <v>0.62</v>
      </c>
    </row>
    <row r="12226" spans="1:8" ht="15">
      <c r="A12226" s="1871" t="s">
        <v>9243</v>
      </c>
      <c r="B12226" s="1871"/>
      <c r="C12226" s="1871"/>
      <c r="D12226" s="1871"/>
      <c r="E12226" s="1871"/>
      <c r="F12226" s="1871"/>
    </row>
    <row r="12227" spans="1:8" s="888" customFormat="1" ht="25.5">
      <c r="A12227" s="887" t="s">
        <v>455</v>
      </c>
      <c r="B12227" s="887" t="s">
        <v>128</v>
      </c>
      <c r="C12227" s="887" t="s">
        <v>8351</v>
      </c>
      <c r="D12227" s="1783" t="s">
        <v>1323</v>
      </c>
      <c r="E12227" s="1783" t="s">
        <v>9247</v>
      </c>
      <c r="F12227" s="1958" t="s">
        <v>8360</v>
      </c>
      <c r="G12227" s="2581" t="s">
        <v>6080</v>
      </c>
      <c r="H12227" s="2130" t="s">
        <v>6081</v>
      </c>
    </row>
    <row r="12228" spans="1:8" s="888" customFormat="1" ht="12.75">
      <c r="A12228" s="1865" t="s">
        <v>9244</v>
      </c>
      <c r="B12228" s="47" t="s">
        <v>7694</v>
      </c>
      <c r="C12228" s="905">
        <v>10</v>
      </c>
      <c r="D12228" s="1058">
        <f t="shared" ref="D12228" si="176">ROUNDUP(F12228/0.6/120,2)</f>
        <v>1.1200000000000001</v>
      </c>
      <c r="E12228" s="2582" t="s">
        <v>9248</v>
      </c>
      <c r="F12228" s="1922">
        <v>80</v>
      </c>
      <c r="G12228" s="2070">
        <f t="shared" ref="G12228" si="177">(D12228-(F12228/H12228))/D12228</f>
        <v>0.40476190476190488</v>
      </c>
      <c r="H12228" s="2130">
        <v>120</v>
      </c>
    </row>
    <row r="12229" spans="1:8" s="888" customFormat="1" ht="12.75">
      <c r="A12229" s="1865" t="s">
        <v>9244</v>
      </c>
      <c r="B12229" s="47" t="s">
        <v>8352</v>
      </c>
      <c r="C12229" s="905" t="s">
        <v>8500</v>
      </c>
      <c r="D12229" s="1058">
        <f>ROUNDUP(F12229/0.6/120,2)</f>
        <v>2.23</v>
      </c>
      <c r="E12229" s="2582" t="s">
        <v>9249</v>
      </c>
      <c r="F12229" s="1922">
        <f>80+80</f>
        <v>160</v>
      </c>
      <c r="G12229" s="2070">
        <f>(D12229-(F12229/H12229))/D12229</f>
        <v>0.40209267563527656</v>
      </c>
      <c r="H12229" s="2130">
        <v>120</v>
      </c>
    </row>
    <row r="12230" spans="1:8" s="888" customFormat="1" ht="12.75">
      <c r="A12230" s="1865" t="s">
        <v>9245</v>
      </c>
      <c r="B12230" s="47" t="s">
        <v>7694</v>
      </c>
      <c r="C12230" s="905">
        <v>10</v>
      </c>
      <c r="D12230" s="1058">
        <f t="shared" ref="D12230" si="178">ROUNDUP(F12230/0.6/120,2)</f>
        <v>1.32</v>
      </c>
      <c r="E12230" s="2582" t="s">
        <v>9250</v>
      </c>
      <c r="F12230" s="1922">
        <v>95</v>
      </c>
      <c r="G12230" s="2070">
        <f t="shared" ref="G12230" si="179">(D12230-(F12230/H12230))/D12230</f>
        <v>0.4002525252525253</v>
      </c>
      <c r="H12230" s="2130">
        <v>120</v>
      </c>
    </row>
    <row r="12231" spans="1:8" s="888" customFormat="1" ht="12.75">
      <c r="A12231" s="1865" t="s">
        <v>9245</v>
      </c>
      <c r="B12231" s="47" t="s">
        <v>8352</v>
      </c>
      <c r="C12231" s="905" t="s">
        <v>8500</v>
      </c>
      <c r="D12231" s="1058">
        <f>ROUNDUP(F12231/0.6/120,2)</f>
        <v>2.44</v>
      </c>
      <c r="E12231" s="2582" t="s">
        <v>9249</v>
      </c>
      <c r="F12231" s="1922">
        <f>95+80</f>
        <v>175</v>
      </c>
      <c r="G12231" s="2070">
        <f>(D12231-(F12231/H12231))/D12231</f>
        <v>0.40232240437158473</v>
      </c>
      <c r="H12231" s="2130">
        <v>120</v>
      </c>
    </row>
    <row r="12232" spans="1:8" s="888" customFormat="1" ht="12.75">
      <c r="A12232" s="1865" t="s">
        <v>9246</v>
      </c>
      <c r="B12232" s="47" t="s">
        <v>7694</v>
      </c>
      <c r="C12232" s="905">
        <v>10</v>
      </c>
      <c r="D12232" s="1058">
        <f t="shared" ref="D12232" si="180">ROUNDUP(F12232/0.6/120,2)</f>
        <v>1.1599999999999999</v>
      </c>
      <c r="E12232" s="2582" t="s">
        <v>9251</v>
      </c>
      <c r="F12232" s="1922">
        <v>83</v>
      </c>
      <c r="G12232" s="2070">
        <f t="shared" ref="G12232" si="181">(D12232-(F12232/H12232))/D12232</f>
        <v>0.40373563218390801</v>
      </c>
      <c r="H12232" s="2130">
        <v>120</v>
      </c>
    </row>
    <row r="12233" spans="1:8" s="888" customFormat="1" ht="12.75">
      <c r="A12233" s="1865" t="s">
        <v>9246</v>
      </c>
      <c r="B12233" s="47" t="s">
        <v>8352</v>
      </c>
      <c r="C12233" s="905" t="s">
        <v>8500</v>
      </c>
      <c r="D12233" s="1058">
        <f>ROUNDUP(F12233/0.6/120,2)</f>
        <v>2.2699999999999996</v>
      </c>
      <c r="E12233" s="2582" t="s">
        <v>9249</v>
      </c>
      <c r="F12233" s="1922">
        <f>83+80</f>
        <v>163</v>
      </c>
      <c r="G12233" s="2070">
        <f>(D12233-(F12233/H12233))/D12233</f>
        <v>0.40161527165932437</v>
      </c>
      <c r="H12233" s="2130">
        <v>120</v>
      </c>
    </row>
    <row r="12236" spans="1:8" ht="15">
      <c r="A12236" s="1871" t="s">
        <v>9252</v>
      </c>
      <c r="B12236" s="1871"/>
      <c r="C12236" s="1871"/>
      <c r="D12236" s="1871"/>
      <c r="E12236" s="1871"/>
      <c r="F12236" s="1871"/>
    </row>
    <row r="12237" spans="1:8" s="888" customFormat="1" ht="25.5">
      <c r="A12237" s="887" t="s">
        <v>455</v>
      </c>
      <c r="B12237" s="887" t="s">
        <v>128</v>
      </c>
      <c r="C12237" s="887" t="s">
        <v>8351</v>
      </c>
      <c r="D12237" s="1783" t="s">
        <v>1323</v>
      </c>
      <c r="E12237" s="1783" t="s">
        <v>9247</v>
      </c>
      <c r="F12237" s="1958" t="s">
        <v>8360</v>
      </c>
      <c r="G12237" s="2581" t="s">
        <v>6080</v>
      </c>
      <c r="H12237" s="2130" t="s">
        <v>6081</v>
      </c>
    </row>
    <row r="12238" spans="1:8" s="888" customFormat="1" ht="12.75">
      <c r="A12238" s="1865" t="s">
        <v>9253</v>
      </c>
      <c r="B12238" s="47" t="s">
        <v>7694</v>
      </c>
      <c r="C12238" s="905">
        <v>10</v>
      </c>
      <c r="D12238" s="1058">
        <f t="shared" ref="D12238" si="182">ROUNDUP(F12238/0.6/120,2)</f>
        <v>2.2799999999999998</v>
      </c>
      <c r="E12238" s="2582" t="s">
        <v>9254</v>
      </c>
      <c r="F12238" s="1922">
        <v>164</v>
      </c>
      <c r="G12238" s="2070">
        <f t="shared" ref="G12238" si="183">(D12238-(F12238/H12238))/D12238</f>
        <v>0.40058479532163738</v>
      </c>
      <c r="H12238" s="2130">
        <v>120</v>
      </c>
    </row>
    <row r="12239" spans="1:8" s="888" customFormat="1" ht="12.75">
      <c r="A12239" s="1865" t="s">
        <v>9253</v>
      </c>
      <c r="B12239" s="47" t="s">
        <v>8352</v>
      </c>
      <c r="C12239" s="905" t="s">
        <v>8500</v>
      </c>
      <c r="D12239" s="1058">
        <f>ROUNDUP(F12239/0.6/120,2)</f>
        <v>3.53</v>
      </c>
      <c r="E12239" s="2582" t="s">
        <v>9249</v>
      </c>
      <c r="F12239" s="1922">
        <f>164+90</f>
        <v>254</v>
      </c>
      <c r="G12239" s="2070">
        <f>(D12239-(F12239/H12239))/D12239</f>
        <v>0.40037771482530687</v>
      </c>
      <c r="H12239" s="2130">
        <v>120</v>
      </c>
    </row>
  </sheetData>
  <mergeCells count="514">
    <mergeCell ref="L11883:L11884"/>
    <mergeCell ref="M11883:M11884"/>
    <mergeCell ref="B9993:D9993"/>
    <mergeCell ref="C10277:E10277"/>
    <mergeCell ref="B10089:D10089"/>
    <mergeCell ref="C10274:E10274"/>
    <mergeCell ref="C10275:E10275"/>
    <mergeCell ref="C10276:E10276"/>
    <mergeCell ref="E10758:E10761"/>
    <mergeCell ref="B10310:B10311"/>
    <mergeCell ref="C10310:G10310"/>
    <mergeCell ref="H10310:H10311"/>
    <mergeCell ref="B10619:B10623"/>
    <mergeCell ref="I10310:I10311"/>
    <mergeCell ref="J10310:J10311"/>
    <mergeCell ref="K10310:K10311"/>
    <mergeCell ref="K11883:K11884"/>
    <mergeCell ref="C9524:G9524"/>
    <mergeCell ref="B11290:B11291"/>
    <mergeCell ref="G11290:G11291"/>
    <mergeCell ref="H11290:H11291"/>
    <mergeCell ref="I11290:I11291"/>
    <mergeCell ref="C11290:F11290"/>
    <mergeCell ref="C11196:C11197"/>
    <mergeCell ref="C11199:C11200"/>
    <mergeCell ref="D11196:D11197"/>
    <mergeCell ref="D11199:D11200"/>
    <mergeCell ref="A11996:A11997"/>
    <mergeCell ref="B11996:B11997"/>
    <mergeCell ref="C11996:C11997"/>
    <mergeCell ref="D11996:D11997"/>
    <mergeCell ref="A10310:A10311"/>
    <mergeCell ref="A11290:A11291"/>
    <mergeCell ref="B10000:D10000"/>
    <mergeCell ref="B9986:D9986"/>
    <mergeCell ref="B9792:D9792"/>
    <mergeCell ref="A11922:A11923"/>
    <mergeCell ref="B11922:B11923"/>
    <mergeCell ref="A8795:A8796"/>
    <mergeCell ref="B8795:F8795"/>
    <mergeCell ref="G8795:G8796"/>
    <mergeCell ref="J8735:J8736"/>
    <mergeCell ref="H8795:H8796"/>
    <mergeCell ref="I8795:I8796"/>
    <mergeCell ref="A8735:A8736"/>
    <mergeCell ref="B8735:B8736"/>
    <mergeCell ref="C8735:G8735"/>
    <mergeCell ref="K8735:K8736"/>
    <mergeCell ref="B6594:E6596"/>
    <mergeCell ref="F6594:G6596"/>
    <mergeCell ref="H6594:J6596"/>
    <mergeCell ref="K6594:L6594"/>
    <mergeCell ref="B6597:B6599"/>
    <mergeCell ref="C6597:C6599"/>
    <mergeCell ref="D6597:D6599"/>
    <mergeCell ref="A6651:B6651"/>
    <mergeCell ref="D6651:E6651"/>
    <mergeCell ref="J6597:K6597"/>
    <mergeCell ref="J8349:J8350"/>
    <mergeCell ref="K8349:K8350"/>
    <mergeCell ref="A7609:B7609"/>
    <mergeCell ref="H8735:H8736"/>
    <mergeCell ref="I8735:I8736"/>
    <mergeCell ref="H8349:H8350"/>
    <mergeCell ref="I8349:I8350"/>
    <mergeCell ref="A8527:A8528"/>
    <mergeCell ref="B8527:D8527"/>
    <mergeCell ref="C8349:G8349"/>
    <mergeCell ref="A8349:A8350"/>
    <mergeCell ref="B8349:B8350"/>
    <mergeCell ref="M6594:N6596"/>
    <mergeCell ref="K6595:L6595"/>
    <mergeCell ref="K6596:L6596"/>
    <mergeCell ref="E6600:F6600"/>
    <mergeCell ref="G6600:H6600"/>
    <mergeCell ref="J6600:K6600"/>
    <mergeCell ref="L6600:M6600"/>
    <mergeCell ref="N6597:N6599"/>
    <mergeCell ref="E6598:F6598"/>
    <mergeCell ref="J6598:K6598"/>
    <mergeCell ref="E6599:F6599"/>
    <mergeCell ref="J6599:K6599"/>
    <mergeCell ref="E6597:F6597"/>
    <mergeCell ref="G6597:H6599"/>
    <mergeCell ref="I6597:I6599"/>
    <mergeCell ref="L6597:M6599"/>
    <mergeCell ref="B6454:B6455"/>
    <mergeCell ref="C6454:C6455"/>
    <mergeCell ref="D6454:D6455"/>
    <mergeCell ref="E6454:E6455"/>
    <mergeCell ref="F6367:F6368"/>
    <mergeCell ref="A6369:A6370"/>
    <mergeCell ref="B6369:B6370"/>
    <mergeCell ref="C6369:C6370"/>
    <mergeCell ref="D6369:D6370"/>
    <mergeCell ref="E6369:E6370"/>
    <mergeCell ref="F6369:F6370"/>
    <mergeCell ref="F6454:F6455"/>
    <mergeCell ref="E6381:E6386"/>
    <mergeCell ref="F6359:F6360"/>
    <mergeCell ref="I5165:I5166"/>
    <mergeCell ref="B5166:C5166"/>
    <mergeCell ref="E6006:E6008"/>
    <mergeCell ref="A6356:A6358"/>
    <mergeCell ref="B6356:B6358"/>
    <mergeCell ref="C6356:C6358"/>
    <mergeCell ref="E6356:E6358"/>
    <mergeCell ref="A5165:A5166"/>
    <mergeCell ref="B5165:C5165"/>
    <mergeCell ref="D5165:D5166"/>
    <mergeCell ref="F5165:F5166"/>
    <mergeCell ref="G5165:G5166"/>
    <mergeCell ref="H5165:H5166"/>
    <mergeCell ref="B6359:B6360"/>
    <mergeCell ref="C6359:C6360"/>
    <mergeCell ref="D6359:D6360"/>
    <mergeCell ref="F5163:F5164"/>
    <mergeCell ref="G5163:G5164"/>
    <mergeCell ref="H5163:H5164"/>
    <mergeCell ref="B5164:C5164"/>
    <mergeCell ref="A5161:A5162"/>
    <mergeCell ref="B5161:C5161"/>
    <mergeCell ref="D5161:D5162"/>
    <mergeCell ref="F5161:F5162"/>
    <mergeCell ref="G5161:G5162"/>
    <mergeCell ref="H5161:H5162"/>
    <mergeCell ref="B5162:C5162"/>
    <mergeCell ref="B5163:C5163"/>
    <mergeCell ref="D5163:D5164"/>
    <mergeCell ref="F5159:F5160"/>
    <mergeCell ref="G5159:G5160"/>
    <mergeCell ref="H5159:H5160"/>
    <mergeCell ref="B5160:C5160"/>
    <mergeCell ref="A5157:A5158"/>
    <mergeCell ref="B5157:C5157"/>
    <mergeCell ref="D5157:D5158"/>
    <mergeCell ref="F5157:F5158"/>
    <mergeCell ref="G5157:G5158"/>
    <mergeCell ref="H5157:H5158"/>
    <mergeCell ref="B5158:C5158"/>
    <mergeCell ref="B5159:C5159"/>
    <mergeCell ref="D5159:D5160"/>
    <mergeCell ref="F5155:F5156"/>
    <mergeCell ref="G5155:G5156"/>
    <mergeCell ref="H5155:H5156"/>
    <mergeCell ref="B5156:C5156"/>
    <mergeCell ref="A5153:A5154"/>
    <mergeCell ref="B5153:C5153"/>
    <mergeCell ref="D5153:D5154"/>
    <mergeCell ref="F5153:F5154"/>
    <mergeCell ref="G5153:G5154"/>
    <mergeCell ref="H5153:H5154"/>
    <mergeCell ref="B5154:C5154"/>
    <mergeCell ref="B5155:C5155"/>
    <mergeCell ref="D5155:D5156"/>
    <mergeCell ref="F5151:F5152"/>
    <mergeCell ref="G5151:G5152"/>
    <mergeCell ref="H5151:H5152"/>
    <mergeCell ref="B5152:C5152"/>
    <mergeCell ref="A5149:A5150"/>
    <mergeCell ref="B5149:C5149"/>
    <mergeCell ref="D5149:D5150"/>
    <mergeCell ref="F5149:F5150"/>
    <mergeCell ref="G5149:G5150"/>
    <mergeCell ref="H5149:H5150"/>
    <mergeCell ref="B5150:C5150"/>
    <mergeCell ref="A5151:A5152"/>
    <mergeCell ref="B5151:C5151"/>
    <mergeCell ref="D5151:D5152"/>
    <mergeCell ref="F5147:F5148"/>
    <mergeCell ref="G5147:G5148"/>
    <mergeCell ref="H5147:H5148"/>
    <mergeCell ref="B5148:C5148"/>
    <mergeCell ref="A5145:A5146"/>
    <mergeCell ref="B5145:C5145"/>
    <mergeCell ref="D5145:D5146"/>
    <mergeCell ref="F5145:F5146"/>
    <mergeCell ref="G5145:G5146"/>
    <mergeCell ref="H5145:H5146"/>
    <mergeCell ref="B5146:C5146"/>
    <mergeCell ref="A5147:A5148"/>
    <mergeCell ref="B5147:C5147"/>
    <mergeCell ref="D5147:D5148"/>
    <mergeCell ref="F5143:F5144"/>
    <mergeCell ref="G5143:G5144"/>
    <mergeCell ref="H5143:H5144"/>
    <mergeCell ref="B5144:C5144"/>
    <mergeCell ref="A5141:A5142"/>
    <mergeCell ref="B5141:C5141"/>
    <mergeCell ref="D5141:D5142"/>
    <mergeCell ref="F5141:F5142"/>
    <mergeCell ref="G5141:G5142"/>
    <mergeCell ref="H5141:H5142"/>
    <mergeCell ref="B5142:C5142"/>
    <mergeCell ref="B5143:C5143"/>
    <mergeCell ref="D5143:D5144"/>
    <mergeCell ref="F5139:F5140"/>
    <mergeCell ref="G5139:G5140"/>
    <mergeCell ref="H5139:H5140"/>
    <mergeCell ref="B5140:C5140"/>
    <mergeCell ref="A5137:A5138"/>
    <mergeCell ref="B5137:C5137"/>
    <mergeCell ref="D5137:D5138"/>
    <mergeCell ref="F5137:F5138"/>
    <mergeCell ref="G5137:G5138"/>
    <mergeCell ref="H5137:H5138"/>
    <mergeCell ref="B5138:C5138"/>
    <mergeCell ref="B5139:C5139"/>
    <mergeCell ref="D5139:D5140"/>
    <mergeCell ref="F5135:F5136"/>
    <mergeCell ref="G5135:G5136"/>
    <mergeCell ref="H5135:H5136"/>
    <mergeCell ref="B5136:C5136"/>
    <mergeCell ref="A5133:A5134"/>
    <mergeCell ref="B5133:C5133"/>
    <mergeCell ref="D5133:D5134"/>
    <mergeCell ref="F5133:F5134"/>
    <mergeCell ref="G5133:G5134"/>
    <mergeCell ref="H5133:H5134"/>
    <mergeCell ref="B5134:C5134"/>
    <mergeCell ref="B5135:C5135"/>
    <mergeCell ref="D5135:D5136"/>
    <mergeCell ref="I5123:I5124"/>
    <mergeCell ref="A5125:A5126"/>
    <mergeCell ref="B5125:C5125"/>
    <mergeCell ref="D5125:D5126"/>
    <mergeCell ref="F5125:F5126"/>
    <mergeCell ref="G5125:G5126"/>
    <mergeCell ref="H5125:H5126"/>
    <mergeCell ref="B5126:C5126"/>
    <mergeCell ref="A5131:A5132"/>
    <mergeCell ref="B5131:C5131"/>
    <mergeCell ref="D5131:D5132"/>
    <mergeCell ref="F5131:F5132"/>
    <mergeCell ref="G5131:G5132"/>
    <mergeCell ref="H5131:H5132"/>
    <mergeCell ref="B5132:C5132"/>
    <mergeCell ref="A5129:A5130"/>
    <mergeCell ref="B5129:C5129"/>
    <mergeCell ref="D5129:D5130"/>
    <mergeCell ref="F5129:F5130"/>
    <mergeCell ref="G5129:G5130"/>
    <mergeCell ref="H5129:H5130"/>
    <mergeCell ref="B5130:C5130"/>
    <mergeCell ref="A5123:A5124"/>
    <mergeCell ref="B5123:C5124"/>
    <mergeCell ref="F5123:F5124"/>
    <mergeCell ref="G5123:G5124"/>
    <mergeCell ref="H5123:H5124"/>
    <mergeCell ref="A5127:A5128"/>
    <mergeCell ref="B5127:C5127"/>
    <mergeCell ref="D5127:D5128"/>
    <mergeCell ref="F5127:F5128"/>
    <mergeCell ref="G5127:G5128"/>
    <mergeCell ref="H5127:H5128"/>
    <mergeCell ref="B5128:C5128"/>
    <mergeCell ref="D5123:D5124"/>
    <mergeCell ref="E5123:E5124"/>
    <mergeCell ref="F5116:F5117"/>
    <mergeCell ref="H5116:H5117"/>
    <mergeCell ref="I5112:I5113"/>
    <mergeCell ref="J5112:J5113"/>
    <mergeCell ref="C5113:D5113"/>
    <mergeCell ref="B5114:B5115"/>
    <mergeCell ref="C5114:D5114"/>
    <mergeCell ref="E5114:E5115"/>
    <mergeCell ref="F5114:F5115"/>
    <mergeCell ref="H5114:H5115"/>
    <mergeCell ref="I5114:I5115"/>
    <mergeCell ref="J5114:J5115"/>
    <mergeCell ref="I5116:I5117"/>
    <mergeCell ref="J5116:J5117"/>
    <mergeCell ref="C5117:D5117"/>
    <mergeCell ref="E5112:E5113"/>
    <mergeCell ref="F5112:F5113"/>
    <mergeCell ref="H5112:H5113"/>
    <mergeCell ref="B5112:B5113"/>
    <mergeCell ref="C5112:D5112"/>
    <mergeCell ref="C5115:D5115"/>
    <mergeCell ref="B5116:B5117"/>
    <mergeCell ref="C5116:D5116"/>
    <mergeCell ref="E5116:E5117"/>
    <mergeCell ref="I5108:I5109"/>
    <mergeCell ref="J5108:J5109"/>
    <mergeCell ref="C5109:D5109"/>
    <mergeCell ref="B5110:B5111"/>
    <mergeCell ref="C5110:D5110"/>
    <mergeCell ref="E5110:E5111"/>
    <mergeCell ref="F5110:F5111"/>
    <mergeCell ref="H5110:H5111"/>
    <mergeCell ref="I5110:I5111"/>
    <mergeCell ref="J5110:J5111"/>
    <mergeCell ref="F5108:F5109"/>
    <mergeCell ref="H5108:H5109"/>
    <mergeCell ref="C5111:D5111"/>
    <mergeCell ref="B5108:B5109"/>
    <mergeCell ref="C5108:D5108"/>
    <mergeCell ref="E5108:E5109"/>
    <mergeCell ref="I5104:I5105"/>
    <mergeCell ref="J5104:J5105"/>
    <mergeCell ref="C5105:D5105"/>
    <mergeCell ref="B5106:B5107"/>
    <mergeCell ref="C5106:D5106"/>
    <mergeCell ref="E5106:E5107"/>
    <mergeCell ref="F5106:F5107"/>
    <mergeCell ref="H5106:H5107"/>
    <mergeCell ref="I5106:I5107"/>
    <mergeCell ref="J5106:J5107"/>
    <mergeCell ref="F5104:F5105"/>
    <mergeCell ref="H5104:H5105"/>
    <mergeCell ref="C5107:D5107"/>
    <mergeCell ref="I5100:I5101"/>
    <mergeCell ref="J5100:J5101"/>
    <mergeCell ref="C5101:D5101"/>
    <mergeCell ref="B5102:B5103"/>
    <mergeCell ref="C5102:D5102"/>
    <mergeCell ref="E5102:E5103"/>
    <mergeCell ref="F5102:F5103"/>
    <mergeCell ref="H5102:H5103"/>
    <mergeCell ref="I5102:I5103"/>
    <mergeCell ref="J5102:J5103"/>
    <mergeCell ref="H5094:H5095"/>
    <mergeCell ref="I5094:I5095"/>
    <mergeCell ref="J5094:J5095"/>
    <mergeCell ref="C5099:D5099"/>
    <mergeCell ref="B5100:B5101"/>
    <mergeCell ref="C5100:D5100"/>
    <mergeCell ref="E5100:E5101"/>
    <mergeCell ref="F5100:F5101"/>
    <mergeCell ref="H5100:H5101"/>
    <mergeCell ref="I5096:I5097"/>
    <mergeCell ref="J5096:J5097"/>
    <mergeCell ref="C5097:D5097"/>
    <mergeCell ref="B5098:B5099"/>
    <mergeCell ref="C5098:D5098"/>
    <mergeCell ref="E5098:E5099"/>
    <mergeCell ref="F5098:F5099"/>
    <mergeCell ref="H5098:H5099"/>
    <mergeCell ref="I5098:I5099"/>
    <mergeCell ref="J5098:J5099"/>
    <mergeCell ref="B5096:B5097"/>
    <mergeCell ref="C5096:D5096"/>
    <mergeCell ref="E5096:E5097"/>
    <mergeCell ref="F5096:F5097"/>
    <mergeCell ref="H5096:H5097"/>
    <mergeCell ref="C5092:D5092"/>
    <mergeCell ref="E5092:E5093"/>
    <mergeCell ref="F5092:F5093"/>
    <mergeCell ref="H5092:H5093"/>
    <mergeCell ref="I5088:I5089"/>
    <mergeCell ref="J5088:J5089"/>
    <mergeCell ref="C5089:D5089"/>
    <mergeCell ref="B5090:B5091"/>
    <mergeCell ref="C5090:D5090"/>
    <mergeCell ref="E5090:E5091"/>
    <mergeCell ref="F5090:F5091"/>
    <mergeCell ref="H5090:H5091"/>
    <mergeCell ref="I5090:I5091"/>
    <mergeCell ref="J5090:J5091"/>
    <mergeCell ref="I5092:I5093"/>
    <mergeCell ref="J5092:J5093"/>
    <mergeCell ref="C5093:D5093"/>
    <mergeCell ref="E5088:E5089"/>
    <mergeCell ref="F5088:F5089"/>
    <mergeCell ref="H5088:H5089"/>
    <mergeCell ref="I5084:I5085"/>
    <mergeCell ref="J5084:J5085"/>
    <mergeCell ref="C5085:D5085"/>
    <mergeCell ref="B5086:B5087"/>
    <mergeCell ref="C5086:D5086"/>
    <mergeCell ref="E5086:E5087"/>
    <mergeCell ref="F5086:F5087"/>
    <mergeCell ref="H5086:H5087"/>
    <mergeCell ref="I5086:I5087"/>
    <mergeCell ref="J5086:J5087"/>
    <mergeCell ref="B5084:B5085"/>
    <mergeCell ref="H5084:H5085"/>
    <mergeCell ref="F5084:F5085"/>
    <mergeCell ref="G4053:G4054"/>
    <mergeCell ref="A4291:A4292"/>
    <mergeCell ref="B4291:B4292"/>
    <mergeCell ref="C4291:C4292"/>
    <mergeCell ref="D4291:D4292"/>
    <mergeCell ref="G3105:G3107"/>
    <mergeCell ref="A3521:A3522"/>
    <mergeCell ref="B3521:B3522"/>
    <mergeCell ref="C3521:C3522"/>
    <mergeCell ref="D3521:D3522"/>
    <mergeCell ref="A4053:A4054"/>
    <mergeCell ref="B4053:B4054"/>
    <mergeCell ref="C4053:C4054"/>
    <mergeCell ref="D4053:D4054"/>
    <mergeCell ref="E4053:E4054"/>
    <mergeCell ref="F4053:F4054"/>
    <mergeCell ref="C3105:C3107"/>
    <mergeCell ref="E3105:E3107"/>
    <mergeCell ref="F3105:F3107"/>
    <mergeCell ref="F659:F665"/>
    <mergeCell ref="A722:C722"/>
    <mergeCell ref="A726:C726"/>
    <mergeCell ref="A2058:C2058"/>
    <mergeCell ref="D2093:D2095"/>
    <mergeCell ref="E2093:E2095"/>
    <mergeCell ref="F5094:F5095"/>
    <mergeCell ref="A737:C737"/>
    <mergeCell ref="D1090:D1096"/>
    <mergeCell ref="F1245:F1247"/>
    <mergeCell ref="F1257:F1258"/>
    <mergeCell ref="A1957:C1957"/>
    <mergeCell ref="A2017:C2017"/>
    <mergeCell ref="E3521:E3522"/>
    <mergeCell ref="A2292:C2292"/>
    <mergeCell ref="A3105:A3107"/>
    <mergeCell ref="B3105:B3107"/>
    <mergeCell ref="C5095:D5095"/>
    <mergeCell ref="B5094:B5095"/>
    <mergeCell ref="C5094:D5094"/>
    <mergeCell ref="E5094:E5095"/>
    <mergeCell ref="D2096:D2097"/>
    <mergeCell ref="E2096:E2097"/>
    <mergeCell ref="A2241:C2241"/>
    <mergeCell ref="B20:C20"/>
    <mergeCell ref="C175:C180"/>
    <mergeCell ref="A520:E520"/>
    <mergeCell ref="C10271:E10271"/>
    <mergeCell ref="C10272:E10272"/>
    <mergeCell ref="C10273:E10273"/>
    <mergeCell ref="A5135:A5136"/>
    <mergeCell ref="A5139:A5140"/>
    <mergeCell ref="A5143:A5144"/>
    <mergeCell ref="A5155:A5156"/>
    <mergeCell ref="A5159:A5160"/>
    <mergeCell ref="A5163:A5164"/>
    <mergeCell ref="A6359:A6360"/>
    <mergeCell ref="E6359:E6360"/>
    <mergeCell ref="A6361:A6365"/>
    <mergeCell ref="B6361:B6365"/>
    <mergeCell ref="C6361:C6365"/>
    <mergeCell ref="E6361:E6365"/>
    <mergeCell ref="A6367:A6368"/>
    <mergeCell ref="B6367:B6368"/>
    <mergeCell ref="C6367:C6368"/>
    <mergeCell ref="D6367:D6368"/>
    <mergeCell ref="E6367:E6368"/>
    <mergeCell ref="A6454:A6455"/>
    <mergeCell ref="A4961:B4961"/>
    <mergeCell ref="A5047:A5048"/>
    <mergeCell ref="A5078:A5079"/>
    <mergeCell ref="C5084:D5084"/>
    <mergeCell ref="E5084:E5085"/>
    <mergeCell ref="C5103:D5103"/>
    <mergeCell ref="B5104:B5105"/>
    <mergeCell ref="C5104:D5104"/>
    <mergeCell ref="E5104:E5105"/>
    <mergeCell ref="C5081:D5081"/>
    <mergeCell ref="C5078:D5079"/>
    <mergeCell ref="E5078:E5079"/>
    <mergeCell ref="B5078:B5079"/>
    <mergeCell ref="A4968:B4968"/>
    <mergeCell ref="A4982:B4982"/>
    <mergeCell ref="A4994:B4994"/>
    <mergeCell ref="A5017:B5017"/>
    <mergeCell ref="A5043:A5044"/>
    <mergeCell ref="A5045:A5046"/>
    <mergeCell ref="C5087:D5087"/>
    <mergeCell ref="B5088:B5089"/>
    <mergeCell ref="C5088:D5088"/>
    <mergeCell ref="C5091:D5091"/>
    <mergeCell ref="B5092:B5093"/>
    <mergeCell ref="K5078:K5079"/>
    <mergeCell ref="B5080:B5081"/>
    <mergeCell ref="C5080:D5080"/>
    <mergeCell ref="E5080:E5081"/>
    <mergeCell ref="F5080:F5081"/>
    <mergeCell ref="H5080:H5081"/>
    <mergeCell ref="C5083:D5083"/>
    <mergeCell ref="F5078:F5079"/>
    <mergeCell ref="I5080:I5081"/>
    <mergeCell ref="B5082:B5083"/>
    <mergeCell ref="C5082:D5082"/>
    <mergeCell ref="E5082:E5083"/>
    <mergeCell ref="F5082:F5083"/>
    <mergeCell ref="H5082:H5083"/>
    <mergeCell ref="I5082:I5083"/>
    <mergeCell ref="J5082:J5083"/>
    <mergeCell ref="G5078:G5079"/>
    <mergeCell ref="J5080:J5081"/>
    <mergeCell ref="H5078:H5079"/>
    <mergeCell ref="I5078:I5079"/>
    <mergeCell ref="J5078:J5079"/>
    <mergeCell ref="D12075:D12076"/>
    <mergeCell ref="G11922:G11923"/>
    <mergeCell ref="J11922:J11923"/>
    <mergeCell ref="K11922:K11923"/>
    <mergeCell ref="L11922:L11923"/>
    <mergeCell ref="M11922:M11923"/>
    <mergeCell ref="A11768:A11769"/>
    <mergeCell ref="B11768:B11769"/>
    <mergeCell ref="G11768:G11769"/>
    <mergeCell ref="J11768:J11769"/>
    <mergeCell ref="K11768:K11769"/>
    <mergeCell ref="L11768:L11769"/>
    <mergeCell ref="M11768:M11769"/>
    <mergeCell ref="A11886:A11887"/>
    <mergeCell ref="B11886:B11887"/>
    <mergeCell ref="G11886:G11887"/>
    <mergeCell ref="J11886:J11887"/>
    <mergeCell ref="K11886:K11887"/>
    <mergeCell ref="L11886:L11887"/>
    <mergeCell ref="M11886:M11887"/>
    <mergeCell ref="A11883:A11884"/>
    <mergeCell ref="B11883:B11884"/>
    <mergeCell ref="G11883:G11884"/>
    <mergeCell ref="J11883:J11884"/>
  </mergeCells>
  <phoneticPr fontId="2"/>
  <conditionalFormatting sqref="C6588:C6589">
    <cfRule type="cellIs" dxfId="44" priority="55" operator="equal">
      <formula>""</formula>
    </cfRule>
  </conditionalFormatting>
  <conditionalFormatting sqref="C6592">
    <cfRule type="cellIs" dxfId="43" priority="54" operator="equal">
      <formula>""</formula>
    </cfRule>
  </conditionalFormatting>
  <conditionalFormatting sqref="A8529:A8535">
    <cfRule type="expression" dxfId="42" priority="46">
      <formula>IF($AH8529="NEW",TRUE,FALSE)</formula>
    </cfRule>
  </conditionalFormatting>
  <conditionalFormatting sqref="A8536:A8541 A8620:B8623">
    <cfRule type="expression" dxfId="41" priority="45">
      <formula>IF($AG8536="NEW",TRUE,FALSE)</formula>
    </cfRule>
  </conditionalFormatting>
  <conditionalFormatting sqref="A8543 A8544:B8545 A8550:B8551">
    <cfRule type="expression" dxfId="40" priority="99">
      <formula>IF($AE8543="NEW",TRUE,FALSE)</formula>
    </cfRule>
  </conditionalFormatting>
  <conditionalFormatting sqref="A11770">
    <cfRule type="expression" dxfId="39" priority="40">
      <formula>IF($T11770="NEW",TRUE,FALSE)</formula>
    </cfRule>
  </conditionalFormatting>
  <conditionalFormatting sqref="A11888">
    <cfRule type="expression" dxfId="38" priority="39">
      <formula>IF($T11888="NEW",TRUE,FALSE)</formula>
    </cfRule>
  </conditionalFormatting>
  <conditionalFormatting sqref="A11889">
    <cfRule type="expression" dxfId="37" priority="38">
      <formula>IF($T11889="NEW",TRUE,FALSE)</formula>
    </cfRule>
  </conditionalFormatting>
  <conditionalFormatting sqref="A11890">
    <cfRule type="expression" dxfId="36" priority="37">
      <formula>IF($T11890="NEW",TRUE,FALSE)</formula>
    </cfRule>
  </conditionalFormatting>
  <conditionalFormatting sqref="A11891">
    <cfRule type="expression" dxfId="35" priority="36">
      <formula>IF($T11891="NEW",TRUE,FALSE)</formula>
    </cfRule>
  </conditionalFormatting>
  <conditionalFormatting sqref="A11892">
    <cfRule type="expression" dxfId="34" priority="35">
      <formula>IF($T11892="NEW",TRUE,FALSE)</formula>
    </cfRule>
  </conditionalFormatting>
  <conditionalFormatting sqref="A11893">
    <cfRule type="expression" dxfId="33" priority="34">
      <formula>IF($T11893="NEW",TRUE,FALSE)</formula>
    </cfRule>
  </conditionalFormatting>
  <conditionalFormatting sqref="A11894">
    <cfRule type="expression" dxfId="32" priority="33">
      <formula>IF($T11894="NEW",TRUE,FALSE)</formula>
    </cfRule>
  </conditionalFormatting>
  <conditionalFormatting sqref="A11926">
    <cfRule type="expression" dxfId="31" priority="32">
      <formula>IF($T11926="NEW",TRUE,FALSE)</formula>
    </cfRule>
  </conditionalFormatting>
  <conditionalFormatting sqref="B11935:C11935 B11938:C11939">
    <cfRule type="cellIs" dxfId="30" priority="31" operator="equal">
      <formula>0</formula>
    </cfRule>
  </conditionalFormatting>
  <conditionalFormatting sqref="C11936">
    <cfRule type="cellIs" dxfId="29" priority="30" operator="equal">
      <formula>0</formula>
    </cfRule>
  </conditionalFormatting>
  <conditionalFormatting sqref="C11937">
    <cfRule type="cellIs" dxfId="28" priority="29" operator="equal">
      <formula>0</formula>
    </cfRule>
  </conditionalFormatting>
  <conditionalFormatting sqref="C11940">
    <cfRule type="cellIs" dxfId="27" priority="27" operator="equal">
      <formula>0</formula>
    </cfRule>
  </conditionalFormatting>
  <conditionalFormatting sqref="C11941">
    <cfRule type="cellIs" dxfId="26" priority="26" operator="equal">
      <formula>0</formula>
    </cfRule>
  </conditionalFormatting>
  <conditionalFormatting sqref="C11942">
    <cfRule type="cellIs" dxfId="25" priority="25" operator="equal">
      <formula>0</formula>
    </cfRule>
  </conditionalFormatting>
  <conditionalFormatting sqref="C11943">
    <cfRule type="cellIs" dxfId="24" priority="24" operator="equal">
      <formula>0</formula>
    </cfRule>
  </conditionalFormatting>
  <conditionalFormatting sqref="C11944 C11946">
    <cfRule type="cellIs" dxfId="23" priority="23" operator="equal">
      <formula>0</formula>
    </cfRule>
  </conditionalFormatting>
  <conditionalFormatting sqref="B11936">
    <cfRule type="cellIs" dxfId="22" priority="22" operator="equal">
      <formula>0</formula>
    </cfRule>
  </conditionalFormatting>
  <conditionalFormatting sqref="B11937">
    <cfRule type="cellIs" dxfId="21" priority="21" operator="equal">
      <formula>0</formula>
    </cfRule>
  </conditionalFormatting>
  <conditionalFormatting sqref="B11940">
    <cfRule type="cellIs" dxfId="20" priority="20" operator="equal">
      <formula>0</formula>
    </cfRule>
  </conditionalFormatting>
  <conditionalFormatting sqref="B11941">
    <cfRule type="cellIs" dxfId="19" priority="19" operator="equal">
      <formula>0</formula>
    </cfRule>
  </conditionalFormatting>
  <conditionalFormatting sqref="B11942">
    <cfRule type="cellIs" dxfId="18" priority="18" operator="equal">
      <formula>0</formula>
    </cfRule>
  </conditionalFormatting>
  <conditionalFormatting sqref="B11943">
    <cfRule type="cellIs" dxfId="17" priority="17" operator="equal">
      <formula>0</formula>
    </cfRule>
  </conditionalFormatting>
  <conditionalFormatting sqref="B11944 B11946">
    <cfRule type="cellIs" dxfId="16" priority="16" operator="equal">
      <formula>0</formula>
    </cfRule>
  </conditionalFormatting>
  <conditionalFormatting sqref="B11931:B11933">
    <cfRule type="cellIs" dxfId="15" priority="15" operator="equal">
      <formula>0</formula>
    </cfRule>
  </conditionalFormatting>
  <conditionalFormatting sqref="C12194">
    <cfRule type="cellIs" dxfId="14" priority="7" operator="equal">
      <formula>0</formula>
    </cfRule>
  </conditionalFormatting>
  <conditionalFormatting sqref="B12194">
    <cfRule type="cellIs" dxfId="13" priority="1" operator="equal">
      <formula>0</formula>
    </cfRule>
  </conditionalFormatting>
  <pageMargins left="0.7" right="0.7" top="0.75" bottom="0.75" header="0.3" footer="0.3"/>
  <pageSetup paperSize="9" scale="19" orientation="portrait" r:id="rId1"/>
  <rowBreaks count="1" manualBreakCount="1">
    <brk id="8532" max="19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96"/>
  <sheetViews>
    <sheetView topLeftCell="A69" workbookViewId="0">
      <selection activeCell="A93" sqref="A93:G96"/>
    </sheetView>
  </sheetViews>
  <sheetFormatPr defaultRowHeight="14.25"/>
  <cols>
    <col min="1" max="1" width="14.25" bestFit="1" customWidth="1"/>
    <col min="2" max="2" width="16.125" style="422" customWidth="1"/>
    <col min="3" max="3" width="21" customWidth="1"/>
    <col min="4" max="4" width="25.625" customWidth="1"/>
    <col min="5" max="5" width="41.75" customWidth="1"/>
    <col min="6" max="6" width="35" bestFit="1" customWidth="1"/>
    <col min="7" max="7" width="36.75" customWidth="1"/>
    <col min="10" max="10" width="16.75" customWidth="1"/>
    <col min="11" max="11" width="12.875" bestFit="1" customWidth="1"/>
    <col min="12" max="12" width="14.75" bestFit="1" customWidth="1"/>
  </cols>
  <sheetData>
    <row r="1" spans="1:6">
      <c r="A1" s="423" t="s">
        <v>1698</v>
      </c>
      <c r="B1" s="103" t="s">
        <v>107</v>
      </c>
      <c r="C1" s="103" t="s">
        <v>1700</v>
      </c>
      <c r="D1" s="423" t="s">
        <v>1702</v>
      </c>
      <c r="E1" s="423" t="s">
        <v>1623</v>
      </c>
      <c r="F1" s="423" t="s">
        <v>1704</v>
      </c>
    </row>
    <row r="2" spans="1:6">
      <c r="A2" s="424" t="s">
        <v>1686</v>
      </c>
      <c r="B2" s="425">
        <v>10</v>
      </c>
      <c r="C2" s="103" t="s">
        <v>1701</v>
      </c>
      <c r="D2" s="103">
        <v>0.36</v>
      </c>
      <c r="E2" s="423" t="s">
        <v>1703</v>
      </c>
      <c r="F2" s="423" t="s">
        <v>1703</v>
      </c>
    </row>
    <row r="3" spans="1:6">
      <c r="A3" s="424" t="s">
        <v>1687</v>
      </c>
      <c r="B3" s="425">
        <v>9</v>
      </c>
      <c r="C3" s="103" t="s">
        <v>1701</v>
      </c>
      <c r="D3" s="103">
        <v>0.37</v>
      </c>
      <c r="E3" s="423" t="s">
        <v>1703</v>
      </c>
      <c r="F3" s="423" t="s">
        <v>1703</v>
      </c>
    </row>
    <row r="4" spans="1:6">
      <c r="A4" s="424" t="s">
        <v>1688</v>
      </c>
      <c r="B4" s="425" t="s">
        <v>1699</v>
      </c>
      <c r="C4" s="103" t="s">
        <v>1701</v>
      </c>
      <c r="D4" s="103">
        <v>0.55000000000000004</v>
      </c>
      <c r="E4" s="423" t="s">
        <v>1703</v>
      </c>
      <c r="F4" s="423" t="s">
        <v>1703</v>
      </c>
    </row>
    <row r="5" spans="1:6">
      <c r="A5" s="424" t="s">
        <v>1689</v>
      </c>
      <c r="B5" s="425">
        <v>10</v>
      </c>
      <c r="C5" s="103" t="s">
        <v>1701</v>
      </c>
      <c r="D5" s="103">
        <v>0.88</v>
      </c>
      <c r="E5" s="423" t="s">
        <v>1703</v>
      </c>
      <c r="F5" s="423" t="s">
        <v>1703</v>
      </c>
    </row>
    <row r="6" spans="1:6">
      <c r="A6" s="424" t="s">
        <v>1690</v>
      </c>
      <c r="B6" s="425">
        <v>9</v>
      </c>
      <c r="C6" s="103" t="s">
        <v>1701</v>
      </c>
      <c r="D6" s="103">
        <v>0.82000000000000006</v>
      </c>
      <c r="E6" s="423" t="s">
        <v>1703</v>
      </c>
      <c r="F6" s="423" t="s">
        <v>1703</v>
      </c>
    </row>
    <row r="7" spans="1:6">
      <c r="A7" s="424" t="s">
        <v>1691</v>
      </c>
      <c r="B7" s="425">
        <v>10</v>
      </c>
      <c r="C7" s="103" t="s">
        <v>1701</v>
      </c>
      <c r="D7" s="103">
        <v>0.88</v>
      </c>
      <c r="E7" s="423" t="s">
        <v>1703</v>
      </c>
      <c r="F7" s="423" t="s">
        <v>1703</v>
      </c>
    </row>
    <row r="8" spans="1:6">
      <c r="A8" s="424" t="s">
        <v>1692</v>
      </c>
      <c r="B8" s="425">
        <v>10</v>
      </c>
      <c r="C8" s="103" t="s">
        <v>1701</v>
      </c>
      <c r="D8" s="103">
        <v>0.86</v>
      </c>
      <c r="E8" s="423" t="s">
        <v>1703</v>
      </c>
      <c r="F8" s="423" t="s">
        <v>1703</v>
      </c>
    </row>
    <row r="9" spans="1:6">
      <c r="A9" s="424" t="s">
        <v>1693</v>
      </c>
      <c r="B9" s="425">
        <v>10</v>
      </c>
      <c r="C9" s="103" t="s">
        <v>1701</v>
      </c>
      <c r="D9" s="103">
        <v>0.99</v>
      </c>
      <c r="E9" s="423" t="s">
        <v>1703</v>
      </c>
      <c r="F9" s="423" t="s">
        <v>1703</v>
      </c>
    </row>
    <row r="10" spans="1:6">
      <c r="A10" s="424" t="s">
        <v>1694</v>
      </c>
      <c r="B10" s="425">
        <v>10</v>
      </c>
      <c r="C10" s="103" t="s">
        <v>1701</v>
      </c>
      <c r="D10" s="103">
        <v>0.86</v>
      </c>
      <c r="E10" s="423" t="s">
        <v>1703</v>
      </c>
      <c r="F10" s="423" t="s">
        <v>1703</v>
      </c>
    </row>
    <row r="11" spans="1:6">
      <c r="A11" s="424" t="s">
        <v>1695</v>
      </c>
      <c r="B11" s="425">
        <v>10</v>
      </c>
      <c r="C11" s="103" t="s">
        <v>1701</v>
      </c>
      <c r="D11" s="103">
        <v>1.06</v>
      </c>
      <c r="E11" s="423" t="s">
        <v>1703</v>
      </c>
      <c r="F11" s="423" t="s">
        <v>1703</v>
      </c>
    </row>
    <row r="12" spans="1:6">
      <c r="A12" s="424" t="s">
        <v>1696</v>
      </c>
      <c r="B12" s="425">
        <v>9</v>
      </c>
      <c r="C12" s="103" t="s">
        <v>1701</v>
      </c>
      <c r="D12" s="103">
        <v>0.38</v>
      </c>
      <c r="E12" s="423" t="s">
        <v>1703</v>
      </c>
      <c r="F12" s="423" t="s">
        <v>1703</v>
      </c>
    </row>
    <row r="13" spans="1:6">
      <c r="A13" s="424" t="s">
        <v>1697</v>
      </c>
      <c r="B13" s="425" t="s">
        <v>1699</v>
      </c>
      <c r="C13" s="103" t="s">
        <v>1701</v>
      </c>
      <c r="D13" s="103">
        <v>0.5</v>
      </c>
      <c r="E13" s="423" t="s">
        <v>1703</v>
      </c>
      <c r="F13" s="423" t="s">
        <v>1703</v>
      </c>
    </row>
    <row r="16" spans="1:6" ht="15.75">
      <c r="A16" s="385" t="s">
        <v>1068</v>
      </c>
      <c r="B16" s="386" t="s">
        <v>1517</v>
      </c>
      <c r="C16" s="387" t="s">
        <v>1514</v>
      </c>
      <c r="D16" s="387" t="s">
        <v>1623</v>
      </c>
      <c r="E16" s="382" t="s">
        <v>1624</v>
      </c>
    </row>
    <row r="20" spans="1:22">
      <c r="A20" s="824" t="s">
        <v>2468</v>
      </c>
      <c r="B20" s="835" t="s">
        <v>2469</v>
      </c>
      <c r="C20" s="2787" t="s">
        <v>2470</v>
      </c>
      <c r="D20" s="2788"/>
      <c r="E20" s="834">
        <v>8</v>
      </c>
      <c r="F20" s="834" t="s">
        <v>2471</v>
      </c>
      <c r="G20" s="824" t="s">
        <v>1405</v>
      </c>
      <c r="H20" s="834">
        <v>8</v>
      </c>
      <c r="I20" s="833" t="s">
        <v>2472</v>
      </c>
      <c r="J20" s="832">
        <v>61.12</v>
      </c>
      <c r="K20" s="825"/>
      <c r="L20" s="365"/>
    </row>
    <row r="23" spans="1:22" s="1" customFormat="1" ht="15">
      <c r="B23" s="28"/>
      <c r="C23" s="6" t="s">
        <v>2837</v>
      </c>
      <c r="D23" s="15" t="s">
        <v>11</v>
      </c>
      <c r="E23" s="20" t="s">
        <v>79</v>
      </c>
      <c r="F23" s="150"/>
      <c r="G23" s="24"/>
      <c r="H23" s="151"/>
      <c r="I23" s="152"/>
      <c r="J23" s="151"/>
      <c r="K23" s="153" t="s">
        <v>10</v>
      </c>
      <c r="L23" s="39"/>
      <c r="M23" s="39"/>
      <c r="N23" s="39"/>
      <c r="O23" s="38"/>
      <c r="P23" s="15"/>
      <c r="Q23" s="483"/>
      <c r="R23" s="496"/>
      <c r="S23" s="113"/>
      <c r="T23" s="499"/>
      <c r="U23" s="494">
        <v>90</v>
      </c>
    </row>
    <row r="24" spans="1:22" s="1" customFormat="1" ht="15.75">
      <c r="B24" s="12" t="s">
        <v>1858</v>
      </c>
      <c r="C24" s="6" t="s">
        <v>2837</v>
      </c>
      <c r="D24" s="15" t="s">
        <v>11</v>
      </c>
      <c r="E24" s="56" t="s">
        <v>2872</v>
      </c>
      <c r="F24" s="150">
        <v>152</v>
      </c>
      <c r="G24" s="24" t="s">
        <v>859</v>
      </c>
      <c r="H24" s="67">
        <v>58</v>
      </c>
      <c r="I24" s="68">
        <v>12</v>
      </c>
      <c r="J24" s="67">
        <v>696</v>
      </c>
      <c r="K24" s="46">
        <v>3.89</v>
      </c>
      <c r="L24" s="46">
        <v>2707.44</v>
      </c>
      <c r="M24" s="162" t="s">
        <v>2219</v>
      </c>
      <c r="N24" s="239">
        <v>44854</v>
      </c>
      <c r="O24" s="38"/>
      <c r="P24" s="46">
        <v>3.6566000000000001</v>
      </c>
      <c r="Q24" s="483">
        <v>3.66</v>
      </c>
      <c r="R24" s="532">
        <v>220</v>
      </c>
      <c r="S24" s="567">
        <v>153120</v>
      </c>
      <c r="T24" s="499"/>
      <c r="U24" s="494">
        <v>90</v>
      </c>
      <c r="V24" s="704">
        <v>2547.36</v>
      </c>
    </row>
    <row r="25" spans="1:22" s="1" customFormat="1" ht="15.75">
      <c r="B25" s="12" t="s">
        <v>1858</v>
      </c>
      <c r="C25" s="6" t="s">
        <v>2837</v>
      </c>
      <c r="D25" s="15" t="s">
        <v>11</v>
      </c>
      <c r="E25" s="56" t="s">
        <v>2872</v>
      </c>
      <c r="F25" s="150">
        <v>152</v>
      </c>
      <c r="G25" s="24" t="s">
        <v>859</v>
      </c>
      <c r="H25" s="67">
        <v>67</v>
      </c>
      <c r="I25" s="68">
        <v>1</v>
      </c>
      <c r="J25" s="67">
        <v>67</v>
      </c>
      <c r="K25" s="46">
        <v>3.89</v>
      </c>
      <c r="L25" s="46">
        <v>260.63</v>
      </c>
      <c r="M25" s="162" t="s">
        <v>2219</v>
      </c>
      <c r="N25" s="239">
        <v>44854</v>
      </c>
      <c r="O25" s="38"/>
      <c r="P25" s="46">
        <v>3.6566000000000001</v>
      </c>
      <c r="Q25" s="483">
        <v>3.66</v>
      </c>
      <c r="R25" s="532">
        <v>220</v>
      </c>
      <c r="S25" s="567">
        <v>14740</v>
      </c>
      <c r="T25" s="499"/>
      <c r="U25" s="494">
        <v>90</v>
      </c>
      <c r="V25" s="704">
        <v>245.22</v>
      </c>
    </row>
    <row r="26" spans="1:22" s="1" customFormat="1" ht="15.75">
      <c r="B26" s="12" t="s">
        <v>1858</v>
      </c>
      <c r="C26" s="6" t="s">
        <v>2837</v>
      </c>
      <c r="D26" s="15" t="s">
        <v>11</v>
      </c>
      <c r="E26" s="56" t="s">
        <v>2872</v>
      </c>
      <c r="F26" s="150">
        <v>152</v>
      </c>
      <c r="G26" s="24" t="s">
        <v>859</v>
      </c>
      <c r="H26" s="67">
        <v>68</v>
      </c>
      <c r="I26" s="68">
        <v>7</v>
      </c>
      <c r="J26" s="67">
        <v>476</v>
      </c>
      <c r="K26" s="46">
        <v>3.89</v>
      </c>
      <c r="L26" s="46">
        <v>1851.64</v>
      </c>
      <c r="M26" s="162" t="s">
        <v>2219</v>
      </c>
      <c r="N26" s="239">
        <v>44854</v>
      </c>
      <c r="O26" s="38"/>
      <c r="P26" s="46">
        <v>3.6566000000000001</v>
      </c>
      <c r="Q26" s="483">
        <v>3.66</v>
      </c>
      <c r="R26" s="532">
        <v>220</v>
      </c>
      <c r="S26" s="567">
        <v>104720</v>
      </c>
      <c r="T26" s="499"/>
      <c r="U26" s="494">
        <v>90</v>
      </c>
      <c r="V26" s="704">
        <v>1742.16</v>
      </c>
    </row>
    <row r="27" spans="1:22" s="7" customFormat="1" ht="18" customHeight="1">
      <c r="B27" s="12"/>
      <c r="C27" s="6" t="s">
        <v>3137</v>
      </c>
      <c r="D27" s="15" t="s">
        <v>2451</v>
      </c>
      <c r="E27" s="20" t="s">
        <v>79</v>
      </c>
      <c r="F27" s="150"/>
      <c r="G27" s="24"/>
      <c r="H27" s="151"/>
      <c r="I27" s="152"/>
      <c r="J27" s="151"/>
      <c r="K27" s="34" t="s">
        <v>10</v>
      </c>
      <c r="L27" s="39"/>
      <c r="M27" s="39"/>
      <c r="N27" s="39"/>
      <c r="O27" s="38"/>
      <c r="P27" s="15"/>
      <c r="Q27" s="483"/>
      <c r="R27" s="489"/>
      <c r="S27" s="113"/>
      <c r="T27" s="506"/>
      <c r="U27" s="494">
        <v>120</v>
      </c>
    </row>
    <row r="28" spans="1:22" s="7" customFormat="1" ht="15" customHeight="1">
      <c r="B28" s="12" t="s">
        <v>1858</v>
      </c>
      <c r="C28" s="6" t="s">
        <v>3137</v>
      </c>
      <c r="D28" s="15" t="s">
        <v>2451</v>
      </c>
      <c r="E28" s="56">
        <v>2440</v>
      </c>
      <c r="F28" s="150">
        <v>140</v>
      </c>
      <c r="G28" s="24" t="s">
        <v>3139</v>
      </c>
      <c r="H28" s="8">
        <v>58</v>
      </c>
      <c r="I28" s="41">
        <v>5</v>
      </c>
      <c r="J28" s="67">
        <v>290</v>
      </c>
      <c r="K28" s="46">
        <v>4.7300000000000004</v>
      </c>
      <c r="L28" s="46">
        <v>1371.7</v>
      </c>
      <c r="M28" s="162" t="s">
        <v>2219</v>
      </c>
      <c r="N28" s="39"/>
      <c r="O28" s="38"/>
      <c r="P28" s="46">
        <v>3.86</v>
      </c>
      <c r="Q28" s="483">
        <v>3.86</v>
      </c>
      <c r="R28" s="489">
        <v>280</v>
      </c>
      <c r="S28" s="567">
        <v>81200</v>
      </c>
      <c r="T28" s="882"/>
      <c r="U28" s="494">
        <v>120</v>
      </c>
      <c r="V28" s="704">
        <v>1119.3999999999999</v>
      </c>
    </row>
    <row r="29" spans="1:22" s="7" customFormat="1" ht="18" customHeight="1">
      <c r="B29" s="12"/>
      <c r="C29" s="6" t="s">
        <v>3205</v>
      </c>
      <c r="D29" s="15" t="s">
        <v>3066</v>
      </c>
      <c r="E29" s="20" t="s">
        <v>3053</v>
      </c>
      <c r="F29" s="24"/>
      <c r="G29" s="44"/>
      <c r="H29" s="151"/>
      <c r="I29" s="151"/>
      <c r="J29" s="151"/>
      <c r="K29" s="153" t="s">
        <v>10</v>
      </c>
      <c r="L29" s="39"/>
      <c r="M29" s="39"/>
      <c r="N29" s="39"/>
      <c r="O29" s="38"/>
      <c r="P29" s="6"/>
      <c r="Q29" s="411"/>
      <c r="R29" s="489"/>
      <c r="S29" s="113"/>
      <c r="T29" s="501"/>
      <c r="U29" s="494">
        <v>120</v>
      </c>
    </row>
    <row r="30" spans="1:22" s="7" customFormat="1" ht="15.95" customHeight="1">
      <c r="B30" s="12" t="s">
        <v>1858</v>
      </c>
      <c r="C30" s="6" t="s">
        <v>3205</v>
      </c>
      <c r="D30" s="15" t="s">
        <v>3066</v>
      </c>
      <c r="E30" s="56" t="s">
        <v>3033</v>
      </c>
      <c r="F30" s="155" t="s">
        <v>3034</v>
      </c>
      <c r="G30" s="44" t="s">
        <v>3054</v>
      </c>
      <c r="H30" s="19">
        <v>43.5</v>
      </c>
      <c r="I30" s="68">
        <v>1</v>
      </c>
      <c r="J30" s="19">
        <v>43.5</v>
      </c>
      <c r="K30" s="1007">
        <v>9.9</v>
      </c>
      <c r="L30" s="46">
        <v>430.65000000000003</v>
      </c>
      <c r="M30" s="162" t="s">
        <v>2219</v>
      </c>
      <c r="N30" s="39"/>
      <c r="O30" s="38"/>
      <c r="P30" s="180">
        <v>9.3059999999999992</v>
      </c>
      <c r="Q30" s="483">
        <v>9.31</v>
      </c>
      <c r="R30" s="489">
        <v>950</v>
      </c>
      <c r="S30" s="113">
        <v>41325</v>
      </c>
      <c r="T30" s="1021"/>
      <c r="U30" s="494">
        <v>120</v>
      </c>
      <c r="V30" s="704">
        <v>404.98500000000001</v>
      </c>
    </row>
    <row r="31" spans="1:22" s="7" customFormat="1" ht="15.95" customHeight="1">
      <c r="B31" s="12" t="s">
        <v>1858</v>
      </c>
      <c r="C31" s="6" t="s">
        <v>3205</v>
      </c>
      <c r="D31" s="15" t="s">
        <v>3066</v>
      </c>
      <c r="E31" s="56" t="s">
        <v>3033</v>
      </c>
      <c r="F31" s="155" t="s">
        <v>3034</v>
      </c>
      <c r="G31" s="44" t="s">
        <v>3054</v>
      </c>
      <c r="H31" s="19">
        <v>44.5</v>
      </c>
      <c r="I31" s="68">
        <v>1</v>
      </c>
      <c r="J31" s="19">
        <v>44.5</v>
      </c>
      <c r="K31" s="1007">
        <v>9.9</v>
      </c>
      <c r="L31" s="46">
        <v>440.55</v>
      </c>
      <c r="M31" s="162" t="s">
        <v>2219</v>
      </c>
      <c r="N31" s="39"/>
      <c r="O31" s="38"/>
      <c r="P31" s="180">
        <v>9.3059999999999992</v>
      </c>
      <c r="Q31" s="483">
        <v>9.31</v>
      </c>
      <c r="R31" s="489">
        <v>950</v>
      </c>
      <c r="S31" s="113">
        <v>42275</v>
      </c>
      <c r="T31" s="1021"/>
      <c r="U31" s="494">
        <v>120</v>
      </c>
      <c r="V31" s="704">
        <v>414.29500000000002</v>
      </c>
    </row>
    <row r="32" spans="1:22" s="7" customFormat="1" ht="15.95" customHeight="1">
      <c r="B32" s="12" t="s">
        <v>1858</v>
      </c>
      <c r="C32" s="6" t="s">
        <v>3205</v>
      </c>
      <c r="D32" s="15" t="s">
        <v>3066</v>
      </c>
      <c r="E32" s="56" t="s">
        <v>3033</v>
      </c>
      <c r="F32" s="155" t="s">
        <v>3034</v>
      </c>
      <c r="G32" s="44" t="s">
        <v>3054</v>
      </c>
      <c r="H32" s="19">
        <v>45</v>
      </c>
      <c r="I32" s="68">
        <v>2</v>
      </c>
      <c r="J32" s="19">
        <v>90</v>
      </c>
      <c r="K32" s="1007">
        <v>9.9</v>
      </c>
      <c r="L32" s="46">
        <v>891</v>
      </c>
      <c r="M32" s="162" t="s">
        <v>2219</v>
      </c>
      <c r="N32" s="39"/>
      <c r="O32" s="38"/>
      <c r="P32" s="180">
        <v>9.3059999999999992</v>
      </c>
      <c r="Q32" s="483">
        <v>9.31</v>
      </c>
      <c r="R32" s="489">
        <v>950</v>
      </c>
      <c r="S32" s="113">
        <v>85500</v>
      </c>
      <c r="T32" s="1021"/>
      <c r="U32" s="494">
        <v>120</v>
      </c>
      <c r="V32" s="704">
        <v>837.90000000000009</v>
      </c>
    </row>
    <row r="33" spans="2:22" s="7" customFormat="1" ht="15.95" customHeight="1">
      <c r="B33" s="12" t="s">
        <v>1858</v>
      </c>
      <c r="C33" s="6" t="s">
        <v>3205</v>
      </c>
      <c r="D33" s="15" t="s">
        <v>3066</v>
      </c>
      <c r="E33" s="56" t="s">
        <v>3033</v>
      </c>
      <c r="F33" s="155" t="s">
        <v>3034</v>
      </c>
      <c r="G33" s="44" t="s">
        <v>3054</v>
      </c>
      <c r="H33" s="19">
        <v>47</v>
      </c>
      <c r="I33" s="68">
        <v>1</v>
      </c>
      <c r="J33" s="19">
        <v>47</v>
      </c>
      <c r="K33" s="1007">
        <v>9.9</v>
      </c>
      <c r="L33" s="46">
        <v>465.3</v>
      </c>
      <c r="M33" s="162" t="s">
        <v>2219</v>
      </c>
      <c r="N33" s="39"/>
      <c r="O33" s="38"/>
      <c r="P33" s="180">
        <v>9.3059999999999992</v>
      </c>
      <c r="Q33" s="483">
        <v>9.31</v>
      </c>
      <c r="R33" s="489">
        <v>950</v>
      </c>
      <c r="S33" s="113">
        <v>44650</v>
      </c>
      <c r="T33" s="1021"/>
      <c r="U33" s="494">
        <v>120</v>
      </c>
      <c r="V33" s="704">
        <v>437.57000000000005</v>
      </c>
    </row>
    <row r="34" spans="2:22" s="1" customFormat="1" ht="18" customHeight="1">
      <c r="B34" s="28"/>
      <c r="C34" s="6" t="s">
        <v>3304</v>
      </c>
      <c r="D34" s="15" t="s">
        <v>169</v>
      </c>
      <c r="E34" s="20" t="s">
        <v>3305</v>
      </c>
      <c r="F34" s="150"/>
      <c r="G34" s="24"/>
      <c r="H34" s="151"/>
      <c r="I34" s="152"/>
      <c r="J34" s="151"/>
      <c r="K34" s="153" t="s">
        <v>10</v>
      </c>
      <c r="L34" s="39"/>
      <c r="M34" s="39"/>
      <c r="N34" s="39"/>
      <c r="O34" s="38"/>
      <c r="P34" s="15"/>
      <c r="Q34" s="483"/>
      <c r="R34" s="1247" t="s">
        <v>3316</v>
      </c>
      <c r="S34" s="113"/>
      <c r="T34" s="499" t="s">
        <v>3317</v>
      </c>
      <c r="U34" s="494">
        <v>120</v>
      </c>
    </row>
    <row r="35" spans="2:22" s="1" customFormat="1" ht="18" customHeight="1">
      <c r="B35" s="12" t="s">
        <v>1858</v>
      </c>
      <c r="C35" s="6" t="s">
        <v>3304</v>
      </c>
      <c r="D35" s="15" t="s">
        <v>169</v>
      </c>
      <c r="E35" s="1253" t="s">
        <v>3306</v>
      </c>
      <c r="F35" s="150"/>
      <c r="G35" s="1207" t="s">
        <v>3307</v>
      </c>
      <c r="H35" s="67"/>
      <c r="I35" s="68"/>
      <c r="J35" s="67">
        <v>12</v>
      </c>
      <c r="K35" s="703">
        <v>23.32</v>
      </c>
      <c r="L35" s="46">
        <v>279.84000000000003</v>
      </c>
      <c r="M35" s="162" t="s">
        <v>2219</v>
      </c>
      <c r="N35" s="1208"/>
      <c r="O35" s="38"/>
      <c r="P35" s="46">
        <v>19.1008</v>
      </c>
      <c r="Q35" s="483">
        <v>19.100000000000001</v>
      </c>
      <c r="R35" s="532">
        <v>2200</v>
      </c>
      <c r="S35" s="567">
        <v>26400</v>
      </c>
      <c r="T35" s="499">
        <v>1950</v>
      </c>
      <c r="U35" s="494">
        <v>120</v>
      </c>
      <c r="V35" s="704">
        <v>229.20000000000002</v>
      </c>
    </row>
    <row r="36" spans="2:22" s="1" customFormat="1" ht="18" customHeight="1">
      <c r="B36" s="12" t="s">
        <v>1858</v>
      </c>
      <c r="C36" s="6" t="s">
        <v>3304</v>
      </c>
      <c r="D36" s="15" t="s">
        <v>169</v>
      </c>
      <c r="E36" s="1253" t="s">
        <v>3308</v>
      </c>
      <c r="F36" s="150"/>
      <c r="G36" s="1207" t="s">
        <v>3309</v>
      </c>
      <c r="H36" s="67"/>
      <c r="I36" s="68"/>
      <c r="J36" s="67">
        <v>12</v>
      </c>
      <c r="K36" s="703">
        <v>22.38</v>
      </c>
      <c r="L36" s="46">
        <v>268.56</v>
      </c>
      <c r="M36" s="162" t="s">
        <v>2219</v>
      </c>
      <c r="N36" s="1208"/>
      <c r="O36" s="38"/>
      <c r="P36" s="46">
        <v>18.217199999999998</v>
      </c>
      <c r="Q36" s="483">
        <v>18.22</v>
      </c>
      <c r="R36" s="532">
        <v>2100</v>
      </c>
      <c r="S36" s="567">
        <v>25200</v>
      </c>
      <c r="T36" s="499">
        <v>1860</v>
      </c>
      <c r="U36" s="494">
        <v>120</v>
      </c>
      <c r="V36" s="704">
        <v>218.64</v>
      </c>
    </row>
    <row r="37" spans="2:22" s="1" customFormat="1" ht="18" customHeight="1">
      <c r="B37" s="12" t="s">
        <v>1858</v>
      </c>
      <c r="C37" s="6" t="s">
        <v>3304</v>
      </c>
      <c r="D37" s="15" t="s">
        <v>169</v>
      </c>
      <c r="E37" s="1253" t="s">
        <v>3310</v>
      </c>
      <c r="F37" s="150"/>
      <c r="G37" s="1207" t="s">
        <v>3309</v>
      </c>
      <c r="H37" s="67"/>
      <c r="I37" s="68"/>
      <c r="J37" s="67">
        <v>9</v>
      </c>
      <c r="K37" s="703">
        <v>22.8</v>
      </c>
      <c r="L37" s="46">
        <v>205.20000000000002</v>
      </c>
      <c r="M37" s="162" t="s">
        <v>2219</v>
      </c>
      <c r="N37" s="1208"/>
      <c r="O37" s="38"/>
      <c r="P37" s="46">
        <v>18.611999999999998</v>
      </c>
      <c r="Q37" s="483">
        <v>18.61</v>
      </c>
      <c r="R37" s="532">
        <v>2170</v>
      </c>
      <c r="S37" s="567">
        <v>19530</v>
      </c>
      <c r="T37" s="499">
        <v>1900</v>
      </c>
      <c r="U37" s="494">
        <v>120</v>
      </c>
      <c r="V37" s="704">
        <v>167.49</v>
      </c>
    </row>
    <row r="38" spans="2:22" s="1" customFormat="1" ht="18" customHeight="1">
      <c r="B38" s="12" t="s">
        <v>1858</v>
      </c>
      <c r="C38" s="6" t="s">
        <v>3304</v>
      </c>
      <c r="D38" s="15" t="s">
        <v>169</v>
      </c>
      <c r="E38" s="1253" t="s">
        <v>3311</v>
      </c>
      <c r="F38" s="150"/>
      <c r="G38" s="1207" t="s">
        <v>3312</v>
      </c>
      <c r="H38" s="67"/>
      <c r="I38" s="68"/>
      <c r="J38" s="67">
        <v>12</v>
      </c>
      <c r="K38" s="703">
        <v>18.630000000000003</v>
      </c>
      <c r="L38" s="46">
        <v>223.56000000000003</v>
      </c>
      <c r="M38" s="162" t="s">
        <v>2219</v>
      </c>
      <c r="N38" s="1208"/>
      <c r="O38" s="38"/>
      <c r="P38" s="46">
        <v>14.6922</v>
      </c>
      <c r="Q38" s="483">
        <v>14.69</v>
      </c>
      <c r="R38" s="532">
        <v>1680</v>
      </c>
      <c r="S38" s="567">
        <v>20160</v>
      </c>
      <c r="T38" s="499">
        <v>1500</v>
      </c>
      <c r="U38" s="494">
        <v>120</v>
      </c>
      <c r="V38" s="704">
        <v>176.28</v>
      </c>
    </row>
    <row r="39" spans="2:22" s="1" customFormat="1" ht="18" customHeight="1">
      <c r="B39" s="12" t="s">
        <v>1858</v>
      </c>
      <c r="C39" s="6" t="s">
        <v>3304</v>
      </c>
      <c r="D39" s="15" t="s">
        <v>169</v>
      </c>
      <c r="E39" s="1253" t="s">
        <v>3313</v>
      </c>
      <c r="F39" s="150"/>
      <c r="G39" s="1207" t="s">
        <v>3314</v>
      </c>
      <c r="H39" s="67"/>
      <c r="I39" s="68"/>
      <c r="J39" s="67">
        <v>10</v>
      </c>
      <c r="K39" s="703">
        <v>21.55</v>
      </c>
      <c r="L39" s="46">
        <v>215.5</v>
      </c>
      <c r="M39" s="162" t="s">
        <v>2219</v>
      </c>
      <c r="N39" s="1208"/>
      <c r="O39" s="38"/>
      <c r="P39" s="46">
        <v>17.437000000000001</v>
      </c>
      <c r="Q39" s="483">
        <v>17.440000000000001</v>
      </c>
      <c r="R39" s="532">
        <v>1980</v>
      </c>
      <c r="S39" s="567">
        <v>19800</v>
      </c>
      <c r="T39" s="499">
        <v>1780</v>
      </c>
      <c r="U39" s="494">
        <v>120</v>
      </c>
      <c r="V39" s="704">
        <v>174.4</v>
      </c>
    </row>
    <row r="40" spans="2:22" s="1" customFormat="1" ht="18" customHeight="1">
      <c r="B40" s="12" t="s">
        <v>1858</v>
      </c>
      <c r="C40" s="6" t="s">
        <v>3304</v>
      </c>
      <c r="D40" s="15" t="s">
        <v>169</v>
      </c>
      <c r="E40" s="1253" t="s">
        <v>3315</v>
      </c>
      <c r="F40" s="150"/>
      <c r="G40" s="1207" t="s">
        <v>3309</v>
      </c>
      <c r="H40" s="67"/>
      <c r="I40" s="68"/>
      <c r="J40" s="67">
        <v>10</v>
      </c>
      <c r="K40" s="703">
        <v>21.75</v>
      </c>
      <c r="L40" s="46">
        <v>217.5</v>
      </c>
      <c r="M40" s="162" t="s">
        <v>2219</v>
      </c>
      <c r="N40" s="1208"/>
      <c r="O40" s="38"/>
      <c r="P40" s="46">
        <v>17.625</v>
      </c>
      <c r="Q40" s="483">
        <v>17.63</v>
      </c>
      <c r="R40" s="532">
        <v>2000</v>
      </c>
      <c r="S40" s="567">
        <v>20000</v>
      </c>
      <c r="T40" s="499">
        <v>1800</v>
      </c>
      <c r="U40" s="494">
        <v>120</v>
      </c>
      <c r="V40" s="704">
        <v>176.29999999999998</v>
      </c>
    </row>
    <row r="41" spans="2:22" s="7" customFormat="1" ht="15">
      <c r="B41" s="12"/>
      <c r="C41" s="6" t="s">
        <v>3427</v>
      </c>
      <c r="D41" s="15" t="s">
        <v>1171</v>
      </c>
      <c r="E41" s="20" t="s">
        <v>3322</v>
      </c>
      <c r="F41" s="44"/>
      <c r="G41" s="44"/>
      <c r="H41" s="151"/>
      <c r="I41" s="151"/>
      <c r="J41" s="151"/>
      <c r="K41" s="34" t="s">
        <v>1027</v>
      </c>
      <c r="L41" s="39"/>
      <c r="M41" s="39"/>
      <c r="N41" s="39"/>
      <c r="O41" s="38"/>
      <c r="P41" s="6"/>
      <c r="Q41" s="524"/>
      <c r="R41" s="489"/>
      <c r="S41" s="113"/>
      <c r="T41" s="501"/>
      <c r="U41" s="494">
        <v>120</v>
      </c>
    </row>
    <row r="42" spans="2:22" s="7" customFormat="1" ht="15" customHeight="1">
      <c r="B42" s="12" t="s">
        <v>1856</v>
      </c>
      <c r="C42" s="6" t="s">
        <v>3427</v>
      </c>
      <c r="D42" s="15" t="s">
        <v>1171</v>
      </c>
      <c r="E42" s="1271" t="s">
        <v>3421</v>
      </c>
      <c r="F42" s="44" t="s">
        <v>1413</v>
      </c>
      <c r="G42" s="267" t="s">
        <v>3422</v>
      </c>
      <c r="H42" s="261"/>
      <c r="I42" s="261"/>
      <c r="J42" s="664">
        <v>3</v>
      </c>
      <c r="K42" s="46">
        <v>2.67</v>
      </c>
      <c r="L42" s="46">
        <v>8.01</v>
      </c>
      <c r="M42" s="162" t="s">
        <v>2219</v>
      </c>
      <c r="N42" s="239">
        <v>44874</v>
      </c>
      <c r="O42" s="38"/>
      <c r="P42" s="46">
        <v>2.3496000000000001</v>
      </c>
      <c r="Q42" s="483">
        <v>2.35</v>
      </c>
      <c r="R42" s="532">
        <v>144.19999999999999</v>
      </c>
      <c r="S42" s="567">
        <v>432.59999999999997</v>
      </c>
      <c r="T42" s="507"/>
      <c r="U42" s="494">
        <v>120</v>
      </c>
      <c r="V42" s="704">
        <v>7.0500000000000007</v>
      </c>
    </row>
    <row r="43" spans="2:22" s="7" customFormat="1" ht="15">
      <c r="B43" s="12"/>
      <c r="C43" s="6" t="s">
        <v>3427</v>
      </c>
      <c r="D43" s="15" t="s">
        <v>1171</v>
      </c>
      <c r="E43" s="20" t="s">
        <v>3323</v>
      </c>
      <c r="F43" s="44"/>
      <c r="G43" s="44"/>
      <c r="H43" s="151"/>
      <c r="I43" s="151"/>
      <c r="J43" s="151"/>
      <c r="K43" s="34" t="s">
        <v>1027</v>
      </c>
      <c r="L43" s="39"/>
      <c r="M43" s="39"/>
      <c r="N43" s="39"/>
      <c r="O43" s="38"/>
      <c r="P43" s="6"/>
      <c r="Q43" s="524"/>
      <c r="R43" s="489"/>
      <c r="S43" s="113"/>
      <c r="T43" s="501"/>
      <c r="U43" s="494">
        <v>120</v>
      </c>
    </row>
    <row r="44" spans="2:22" s="7" customFormat="1" ht="15" customHeight="1">
      <c r="B44" s="12" t="s">
        <v>1856</v>
      </c>
      <c r="C44" s="6" t="s">
        <v>3427</v>
      </c>
      <c r="D44" s="15" t="s">
        <v>1171</v>
      </c>
      <c r="E44" s="1271" t="s">
        <v>3324</v>
      </c>
      <c r="F44" s="44" t="s">
        <v>1413</v>
      </c>
      <c r="G44" s="267" t="s">
        <v>3325</v>
      </c>
      <c r="H44" s="261"/>
      <c r="I44" s="261"/>
      <c r="J44" s="664">
        <v>2</v>
      </c>
      <c r="K44" s="46">
        <v>2.4</v>
      </c>
      <c r="L44" s="46">
        <v>4.8</v>
      </c>
      <c r="M44" s="162" t="s">
        <v>2219</v>
      </c>
      <c r="N44" s="239">
        <v>44874</v>
      </c>
      <c r="O44" s="38"/>
      <c r="P44" s="46">
        <v>2.1120000000000001</v>
      </c>
      <c r="Q44" s="483">
        <v>2.11</v>
      </c>
      <c r="R44" s="489">
        <v>129.19999999999999</v>
      </c>
      <c r="S44" s="567">
        <v>258.39999999999998</v>
      </c>
      <c r="T44" s="507"/>
      <c r="U44" s="494">
        <v>120</v>
      </c>
      <c r="V44" s="704">
        <v>4.22</v>
      </c>
    </row>
    <row r="45" spans="2:22" s="7" customFormat="1" ht="15" customHeight="1">
      <c r="B45" s="12" t="s">
        <v>1856</v>
      </c>
      <c r="C45" s="6" t="s">
        <v>3427</v>
      </c>
      <c r="D45" s="15" t="s">
        <v>1171</v>
      </c>
      <c r="E45" s="1271" t="s">
        <v>3324</v>
      </c>
      <c r="F45" s="44" t="s">
        <v>1413</v>
      </c>
      <c r="G45" s="267" t="s">
        <v>3326</v>
      </c>
      <c r="H45" s="261"/>
      <c r="I45" s="261"/>
      <c r="J45" s="664">
        <v>2</v>
      </c>
      <c r="K45" s="46">
        <v>2.4</v>
      </c>
      <c r="L45" s="46">
        <v>4.8</v>
      </c>
      <c r="M45" s="162" t="s">
        <v>2219</v>
      </c>
      <c r="N45" s="239">
        <v>44874</v>
      </c>
      <c r="O45" s="38"/>
      <c r="P45" s="46">
        <v>2.1120000000000001</v>
      </c>
      <c r="Q45" s="483">
        <v>2.11</v>
      </c>
      <c r="R45" s="489">
        <v>129.19999999999999</v>
      </c>
      <c r="S45" s="567">
        <v>258.39999999999998</v>
      </c>
      <c r="T45" s="507"/>
      <c r="U45" s="494">
        <v>120</v>
      </c>
      <c r="V45" s="704">
        <v>4.22</v>
      </c>
    </row>
    <row r="46" spans="2:22" s="7" customFormat="1" ht="15" customHeight="1">
      <c r="B46" s="12" t="s">
        <v>1862</v>
      </c>
      <c r="C46" s="6" t="s">
        <v>3427</v>
      </c>
      <c r="D46" s="15" t="s">
        <v>1171</v>
      </c>
      <c r="E46" s="56"/>
      <c r="F46" s="138"/>
      <c r="G46" s="44" t="s">
        <v>2014</v>
      </c>
      <c r="H46" s="8"/>
      <c r="I46" s="41"/>
      <c r="J46" s="45">
        <v>3</v>
      </c>
      <c r="K46" s="46">
        <v>7</v>
      </c>
      <c r="L46" s="46">
        <v>21</v>
      </c>
      <c r="M46" s="162" t="s">
        <v>2219</v>
      </c>
      <c r="N46" s="239">
        <v>44874</v>
      </c>
      <c r="O46" s="38"/>
      <c r="P46" s="46">
        <v>7</v>
      </c>
      <c r="Q46" s="483">
        <v>21</v>
      </c>
      <c r="R46" s="489">
        <v>500</v>
      </c>
      <c r="S46" s="567">
        <v>1500</v>
      </c>
      <c r="T46" s="501"/>
      <c r="U46" s="494">
        <v>120</v>
      </c>
      <c r="V46" s="704">
        <v>28</v>
      </c>
    </row>
    <row r="47" spans="2:22" s="7" customFormat="1" ht="15.95" customHeight="1">
      <c r="B47" s="12"/>
      <c r="C47" s="6" t="s">
        <v>3427</v>
      </c>
      <c r="D47" s="15" t="s">
        <v>1171</v>
      </c>
      <c r="E47" s="24"/>
      <c r="F47" s="138"/>
      <c r="G47" s="44" t="s">
        <v>1993</v>
      </c>
      <c r="H47" s="8"/>
      <c r="I47" s="41"/>
      <c r="J47" s="45">
        <v>1</v>
      </c>
      <c r="K47" s="46">
        <v>12</v>
      </c>
      <c r="L47" s="46">
        <v>12</v>
      </c>
      <c r="M47" s="39"/>
      <c r="N47" s="39"/>
      <c r="O47" s="38"/>
      <c r="P47" s="6"/>
      <c r="Q47" s="483">
        <v>12</v>
      </c>
      <c r="R47" s="490">
        <v>1100</v>
      </c>
      <c r="S47" s="1176">
        <v>1100</v>
      </c>
      <c r="T47" s="501"/>
      <c r="U47" s="494">
        <v>120</v>
      </c>
      <c r="V47" s="704">
        <v>12</v>
      </c>
    </row>
    <row r="48" spans="2:22" s="314" customFormat="1" ht="15.6" customHeight="1">
      <c r="B48" s="313"/>
      <c r="C48" s="302" t="s">
        <v>3427</v>
      </c>
      <c r="D48" s="303" t="s">
        <v>1171</v>
      </c>
      <c r="E48" s="304"/>
      <c r="F48" s="305"/>
      <c r="G48" s="305" t="s">
        <v>1227</v>
      </c>
      <c r="H48" s="307" t="s">
        <v>1228</v>
      </c>
      <c r="I48" s="308"/>
      <c r="J48" s="306"/>
      <c r="K48" s="315">
        <v>0</v>
      </c>
      <c r="L48" s="310"/>
      <c r="M48" s="310"/>
      <c r="N48" s="310"/>
      <c r="O48" s="309"/>
      <c r="P48" s="302"/>
      <c r="Q48" s="485">
        <v>0</v>
      </c>
      <c r="R48" s="535">
        <v>0</v>
      </c>
      <c r="S48" s="322">
        <v>0</v>
      </c>
      <c r="T48" s="515"/>
      <c r="U48" s="494">
        <v>120</v>
      </c>
    </row>
    <row r="49" spans="2:22" s="7" customFormat="1" ht="15">
      <c r="B49" s="12"/>
      <c r="C49" s="6" t="s">
        <v>3328</v>
      </c>
      <c r="D49" s="15" t="s">
        <v>3329</v>
      </c>
      <c r="E49" s="20" t="s">
        <v>3327</v>
      </c>
      <c r="F49" s="26"/>
      <c r="G49" s="24"/>
      <c r="H49" s="67"/>
      <c r="I49" s="68"/>
      <c r="J49" s="67"/>
      <c r="K49" s="17" t="s">
        <v>134</v>
      </c>
      <c r="L49" s="39"/>
      <c r="M49" s="39"/>
      <c r="N49" s="39"/>
      <c r="O49" s="38"/>
      <c r="P49" s="6" t="s">
        <v>23</v>
      </c>
      <c r="Q49" s="481"/>
      <c r="R49" s="489"/>
      <c r="S49" s="113"/>
      <c r="T49" s="500"/>
      <c r="U49" s="494">
        <v>120</v>
      </c>
    </row>
    <row r="50" spans="2:22" s="7" customFormat="1" ht="24">
      <c r="B50" s="12" t="s">
        <v>1856</v>
      </c>
      <c r="C50" s="6" t="s">
        <v>3328</v>
      </c>
      <c r="D50" s="15" t="s">
        <v>3329</v>
      </c>
      <c r="E50" s="56" t="s">
        <v>3330</v>
      </c>
      <c r="F50" s="26"/>
      <c r="G50" s="24" t="s">
        <v>3331</v>
      </c>
      <c r="H50" s="151"/>
      <c r="I50" s="152"/>
      <c r="J50" s="67">
        <v>30</v>
      </c>
      <c r="K50" s="46">
        <v>0.91</v>
      </c>
      <c r="L50" s="46">
        <v>27.3</v>
      </c>
      <c r="M50" s="162" t="s">
        <v>2219</v>
      </c>
      <c r="N50" s="1208" t="s">
        <v>3375</v>
      </c>
      <c r="O50" s="38"/>
      <c r="P50" s="46">
        <v>0.80080000000000007</v>
      </c>
      <c r="Q50" s="482">
        <v>0.8</v>
      </c>
      <c r="R50" s="489">
        <v>49</v>
      </c>
      <c r="S50" s="567">
        <v>1470</v>
      </c>
      <c r="T50" s="500"/>
      <c r="U50" s="494">
        <v>120</v>
      </c>
      <c r="V50" s="704">
        <v>24</v>
      </c>
    </row>
    <row r="51" spans="2:22" s="7" customFormat="1" ht="24">
      <c r="B51" s="12" t="s">
        <v>1856</v>
      </c>
      <c r="C51" s="6" t="s">
        <v>3328</v>
      </c>
      <c r="D51" s="15" t="s">
        <v>3329</v>
      </c>
      <c r="E51" s="56" t="s">
        <v>3330</v>
      </c>
      <c r="F51" s="26"/>
      <c r="G51" s="24" t="s">
        <v>3332</v>
      </c>
      <c r="H51" s="151"/>
      <c r="I51" s="152"/>
      <c r="J51" s="67">
        <v>30</v>
      </c>
      <c r="K51" s="46">
        <v>0.91</v>
      </c>
      <c r="L51" s="46">
        <v>27.3</v>
      </c>
      <c r="M51" s="162" t="s">
        <v>2219</v>
      </c>
      <c r="N51" s="1208" t="s">
        <v>3375</v>
      </c>
      <c r="O51" s="38"/>
      <c r="P51" s="46">
        <v>0.80080000000000007</v>
      </c>
      <c r="Q51" s="482">
        <v>0.8</v>
      </c>
      <c r="R51" s="489">
        <v>49</v>
      </c>
      <c r="S51" s="567">
        <v>1470</v>
      </c>
      <c r="T51" s="500"/>
      <c r="U51" s="494">
        <v>120</v>
      </c>
      <c r="V51" s="704">
        <v>24</v>
      </c>
    </row>
    <row r="52" spans="2:22" s="7" customFormat="1" ht="24">
      <c r="B52" s="12" t="s">
        <v>1856</v>
      </c>
      <c r="C52" s="6" t="s">
        <v>3328</v>
      </c>
      <c r="D52" s="15" t="s">
        <v>3329</v>
      </c>
      <c r="E52" s="56" t="s">
        <v>3330</v>
      </c>
      <c r="F52" s="26"/>
      <c r="G52" s="24" t="s">
        <v>3333</v>
      </c>
      <c r="H52" s="151"/>
      <c r="I52" s="152"/>
      <c r="J52" s="67">
        <v>30</v>
      </c>
      <c r="K52" s="46">
        <v>0.91</v>
      </c>
      <c r="L52" s="46">
        <v>27.3</v>
      </c>
      <c r="M52" s="162" t="s">
        <v>2219</v>
      </c>
      <c r="N52" s="1208" t="s">
        <v>3375</v>
      </c>
      <c r="O52" s="38"/>
      <c r="P52" s="46">
        <v>0.80080000000000007</v>
      </c>
      <c r="Q52" s="482">
        <v>0.8</v>
      </c>
      <c r="R52" s="489">
        <v>49</v>
      </c>
      <c r="S52" s="567">
        <v>1470</v>
      </c>
      <c r="T52" s="500"/>
      <c r="U52" s="494">
        <v>120</v>
      </c>
      <c r="V52" s="704">
        <v>24</v>
      </c>
    </row>
    <row r="53" spans="2:22" s="7" customFormat="1" ht="15.95" customHeight="1">
      <c r="B53" s="12" t="s">
        <v>1862</v>
      </c>
      <c r="C53" s="6" t="s">
        <v>3328</v>
      </c>
      <c r="D53" s="15" t="s">
        <v>3329</v>
      </c>
      <c r="E53" s="24"/>
      <c r="F53" s="138"/>
      <c r="G53" s="44" t="s">
        <v>3334</v>
      </c>
      <c r="H53" s="8"/>
      <c r="I53" s="41"/>
      <c r="J53" s="45">
        <v>3</v>
      </c>
      <c r="K53" s="46">
        <v>75</v>
      </c>
      <c r="L53" s="46">
        <v>225</v>
      </c>
      <c r="M53" s="39"/>
      <c r="N53" s="39"/>
      <c r="O53" s="38"/>
      <c r="P53" s="46">
        <v>75</v>
      </c>
      <c r="Q53" s="483">
        <v>75</v>
      </c>
      <c r="R53" s="489">
        <v>7000</v>
      </c>
      <c r="S53" s="567">
        <v>21000</v>
      </c>
      <c r="T53" s="501"/>
      <c r="U53" s="494">
        <v>120</v>
      </c>
      <c r="V53" s="704">
        <v>225</v>
      </c>
    </row>
    <row r="54" spans="2:22" s="7" customFormat="1" ht="15.95" customHeight="1">
      <c r="B54" s="12"/>
      <c r="C54" s="6" t="s">
        <v>3328</v>
      </c>
      <c r="D54" s="15" t="s">
        <v>3329</v>
      </c>
      <c r="E54" s="24"/>
      <c r="F54" s="138"/>
      <c r="G54" s="44" t="s">
        <v>1993</v>
      </c>
      <c r="H54" s="8"/>
      <c r="I54" s="41"/>
      <c r="J54" s="45">
        <v>1</v>
      </c>
      <c r="K54" s="46">
        <v>12</v>
      </c>
      <c r="L54" s="46">
        <v>12</v>
      </c>
      <c r="M54" s="39"/>
      <c r="N54" s="39"/>
      <c r="O54" s="38"/>
      <c r="P54" s="6"/>
      <c r="Q54" s="483">
        <v>12</v>
      </c>
      <c r="R54" s="490">
        <v>900</v>
      </c>
      <c r="S54" s="1176">
        <v>900</v>
      </c>
      <c r="T54" s="501"/>
      <c r="U54" s="494">
        <v>120</v>
      </c>
      <c r="V54" s="704">
        <v>12</v>
      </c>
    </row>
    <row r="55" spans="2:22" s="314" customFormat="1" ht="15.6" customHeight="1">
      <c r="B55" s="313"/>
      <c r="C55" s="302" t="s">
        <v>3328</v>
      </c>
      <c r="D55" s="303" t="s">
        <v>3329</v>
      </c>
      <c r="E55" s="304"/>
      <c r="F55" s="305"/>
      <c r="G55" s="305" t="s">
        <v>1227</v>
      </c>
      <c r="H55" s="307" t="s">
        <v>1228</v>
      </c>
      <c r="I55" s="308"/>
      <c r="J55" s="306"/>
      <c r="K55" s="315">
        <v>0</v>
      </c>
      <c r="L55" s="310"/>
      <c r="M55" s="310"/>
      <c r="N55" s="310"/>
      <c r="O55" s="309"/>
      <c r="P55" s="302"/>
      <c r="Q55" s="485">
        <v>0</v>
      </c>
      <c r="R55" s="535">
        <v>0</v>
      </c>
      <c r="S55" s="322">
        <v>0</v>
      </c>
      <c r="T55" s="515"/>
      <c r="U55" s="494">
        <v>120</v>
      </c>
    </row>
    <row r="56" spans="2:22" s="7" customFormat="1" ht="15">
      <c r="B56" s="12"/>
      <c r="C56" s="6" t="s">
        <v>3353</v>
      </c>
      <c r="D56" s="15" t="s">
        <v>3026</v>
      </c>
      <c r="E56" s="20" t="s">
        <v>408</v>
      </c>
      <c r="F56" s="26"/>
      <c r="G56" s="24"/>
      <c r="H56" s="67"/>
      <c r="I56" s="68"/>
      <c r="J56" s="67"/>
      <c r="K56" s="10" t="s">
        <v>10</v>
      </c>
      <c r="L56" s="39"/>
      <c r="M56" s="39"/>
      <c r="N56" s="39"/>
      <c r="O56" s="38"/>
      <c r="P56" s="6" t="s">
        <v>3</v>
      </c>
      <c r="Q56" s="481"/>
      <c r="R56" s="489"/>
      <c r="S56" s="113"/>
      <c r="T56" s="500"/>
      <c r="U56" s="494">
        <v>120</v>
      </c>
    </row>
    <row r="57" spans="2:22" s="7" customFormat="1" ht="15" customHeight="1">
      <c r="B57" s="12" t="s">
        <v>1856</v>
      </c>
      <c r="C57" s="6" t="s">
        <v>3353</v>
      </c>
      <c r="D57" s="15" t="s">
        <v>3026</v>
      </c>
      <c r="E57" s="56" t="s">
        <v>1219</v>
      </c>
      <c r="F57" s="26"/>
      <c r="G57" s="24" t="s">
        <v>17</v>
      </c>
      <c r="H57" s="67">
        <v>50</v>
      </c>
      <c r="I57" s="68">
        <v>20</v>
      </c>
      <c r="J57" s="8">
        <v>1000</v>
      </c>
      <c r="K57" s="25">
        <v>0.3</v>
      </c>
      <c r="L57" s="46">
        <v>300</v>
      </c>
      <c r="M57" s="162" t="s">
        <v>2219</v>
      </c>
      <c r="N57" s="239">
        <v>44867</v>
      </c>
      <c r="O57" s="38"/>
      <c r="P57" s="46">
        <v>0.26400000000000001</v>
      </c>
      <c r="Q57" s="482">
        <v>0.26</v>
      </c>
      <c r="R57" s="489">
        <v>16.2</v>
      </c>
      <c r="S57" s="113">
        <v>16200</v>
      </c>
      <c r="T57" s="1140"/>
      <c r="U57" s="494">
        <v>120</v>
      </c>
      <c r="V57" s="704">
        <v>260</v>
      </c>
    </row>
    <row r="58" spans="2:22" s="7" customFormat="1" ht="15.95" customHeight="1">
      <c r="B58" s="12"/>
      <c r="C58" s="6" t="s">
        <v>3353</v>
      </c>
      <c r="D58" s="15" t="s">
        <v>3026</v>
      </c>
      <c r="E58" s="24"/>
      <c r="F58" s="138"/>
      <c r="G58" s="44" t="s">
        <v>1993</v>
      </c>
      <c r="H58" s="8"/>
      <c r="I58" s="41"/>
      <c r="J58" s="45">
        <v>1</v>
      </c>
      <c r="K58" s="46">
        <v>12</v>
      </c>
      <c r="L58" s="46">
        <v>12</v>
      </c>
      <c r="M58" s="39"/>
      <c r="N58" s="39"/>
      <c r="O58" s="38"/>
      <c r="P58" s="6"/>
      <c r="Q58" s="483">
        <v>12</v>
      </c>
      <c r="R58" s="490">
        <v>1100</v>
      </c>
      <c r="S58" s="1176">
        <v>1100</v>
      </c>
      <c r="T58" s="501"/>
      <c r="U58" s="494">
        <v>120</v>
      </c>
      <c r="V58" s="704">
        <v>12</v>
      </c>
    </row>
    <row r="59" spans="2:22" s="314" customFormat="1" ht="15.6" customHeight="1">
      <c r="B59" s="313"/>
      <c r="C59" s="302" t="s">
        <v>3353</v>
      </c>
      <c r="D59" s="303" t="s">
        <v>3026</v>
      </c>
      <c r="E59" s="304"/>
      <c r="F59" s="305"/>
      <c r="G59" s="305" t="s">
        <v>1227</v>
      </c>
      <c r="H59" s="307" t="s">
        <v>1243</v>
      </c>
      <c r="I59" s="308"/>
      <c r="J59" s="306"/>
      <c r="K59" s="329" t="s">
        <v>855</v>
      </c>
      <c r="L59" s="329"/>
      <c r="M59" s="310"/>
      <c r="N59" s="310"/>
      <c r="O59" s="309"/>
      <c r="P59" s="685"/>
      <c r="Q59" s="686" t="s">
        <v>855</v>
      </c>
      <c r="R59" s="718" t="s">
        <v>855</v>
      </c>
      <c r="S59" s="719" t="s">
        <v>855</v>
      </c>
      <c r="T59" s="688"/>
      <c r="U59" s="494">
        <v>120</v>
      </c>
      <c r="V59" s="929" t="s">
        <v>855</v>
      </c>
    </row>
    <row r="60" spans="2:22" s="7" customFormat="1" ht="18" customHeight="1">
      <c r="B60" s="12"/>
      <c r="C60" s="6" t="s">
        <v>3356</v>
      </c>
      <c r="D60" s="15" t="s">
        <v>11</v>
      </c>
      <c r="E60" s="20" t="s">
        <v>27</v>
      </c>
      <c r="F60" s="150"/>
      <c r="G60" s="24"/>
      <c r="H60" s="151"/>
      <c r="I60" s="152"/>
      <c r="J60" s="151"/>
      <c r="K60" s="34" t="s">
        <v>10</v>
      </c>
      <c r="L60" s="39"/>
      <c r="M60" s="39"/>
      <c r="N60" s="39"/>
      <c r="O60" s="38"/>
      <c r="P60" s="15"/>
      <c r="Q60" s="483"/>
      <c r="R60" s="489"/>
      <c r="S60" s="113"/>
      <c r="T60" s="506"/>
      <c r="U60" s="494">
        <v>120</v>
      </c>
    </row>
    <row r="61" spans="2:22" s="7" customFormat="1" ht="18" customHeight="1">
      <c r="B61" s="12" t="s">
        <v>1858</v>
      </c>
      <c r="C61" s="6" t="s">
        <v>3354</v>
      </c>
      <c r="D61" s="15" t="s">
        <v>11</v>
      </c>
      <c r="E61" s="56" t="s">
        <v>536</v>
      </c>
      <c r="F61" s="150">
        <v>160</v>
      </c>
      <c r="G61" s="873" t="s">
        <v>859</v>
      </c>
      <c r="H61" s="67">
        <v>50</v>
      </c>
      <c r="I61" s="68">
        <v>2</v>
      </c>
      <c r="J61" s="8">
        <v>100</v>
      </c>
      <c r="K61" s="25">
        <v>5</v>
      </c>
      <c r="L61" s="46">
        <v>500</v>
      </c>
      <c r="M61" s="162" t="s">
        <v>2218</v>
      </c>
      <c r="N61" s="1208">
        <v>44866</v>
      </c>
      <c r="O61" s="38"/>
      <c r="P61" s="46">
        <v>4.6999999999999993</v>
      </c>
      <c r="Q61" s="483">
        <v>4.7</v>
      </c>
      <c r="R61" s="532">
        <v>375</v>
      </c>
      <c r="S61" s="567">
        <v>37500</v>
      </c>
      <c r="T61" s="501"/>
      <c r="U61" s="494">
        <v>120</v>
      </c>
      <c r="V61" s="704">
        <v>470</v>
      </c>
    </row>
    <row r="62" spans="2:22" s="7" customFormat="1" ht="18" customHeight="1">
      <c r="B62" s="12" t="s">
        <v>1858</v>
      </c>
      <c r="C62" s="6" t="s">
        <v>3354</v>
      </c>
      <c r="D62" s="15" t="s">
        <v>11</v>
      </c>
      <c r="E62" s="56" t="s">
        <v>536</v>
      </c>
      <c r="F62" s="150">
        <v>160</v>
      </c>
      <c r="G62" s="873" t="s">
        <v>3358</v>
      </c>
      <c r="H62" s="67">
        <v>50</v>
      </c>
      <c r="I62" s="68">
        <v>1</v>
      </c>
      <c r="J62" s="8">
        <v>50</v>
      </c>
      <c r="K62" s="25">
        <v>5</v>
      </c>
      <c r="L62" s="46">
        <v>250</v>
      </c>
      <c r="M62" s="162" t="s">
        <v>2218</v>
      </c>
      <c r="N62" s="1208">
        <v>44866</v>
      </c>
      <c r="O62" s="38"/>
      <c r="P62" s="46">
        <v>4.6999999999999993</v>
      </c>
      <c r="Q62" s="483">
        <v>4.7</v>
      </c>
      <c r="R62" s="532">
        <v>375</v>
      </c>
      <c r="S62" s="567">
        <v>18750</v>
      </c>
      <c r="T62" s="501"/>
      <c r="U62" s="494">
        <v>120</v>
      </c>
      <c r="V62" s="704">
        <v>235</v>
      </c>
    </row>
    <row r="63" spans="2:22" s="1" customFormat="1" ht="15.75">
      <c r="B63" s="12" t="s">
        <v>1858</v>
      </c>
      <c r="C63" s="6" t="s">
        <v>3354</v>
      </c>
      <c r="D63" s="15" t="s">
        <v>11</v>
      </c>
      <c r="E63" s="56">
        <v>2440</v>
      </c>
      <c r="F63" s="150">
        <v>140</v>
      </c>
      <c r="G63" s="24" t="s">
        <v>3361</v>
      </c>
      <c r="H63" s="67">
        <v>58</v>
      </c>
      <c r="I63" s="68">
        <v>2</v>
      </c>
      <c r="J63" s="67">
        <v>116</v>
      </c>
      <c r="K63" s="46">
        <v>3.89</v>
      </c>
      <c r="L63" s="46">
        <v>451.24</v>
      </c>
      <c r="M63" s="162" t="s">
        <v>2219</v>
      </c>
      <c r="N63" s="1208">
        <v>44866</v>
      </c>
      <c r="O63" s="38"/>
      <c r="P63" s="46">
        <v>3.6566000000000001</v>
      </c>
      <c r="Q63" s="483">
        <v>3.66</v>
      </c>
      <c r="R63" s="532">
        <v>295</v>
      </c>
      <c r="S63" s="567">
        <v>34220</v>
      </c>
      <c r="T63" s="499"/>
      <c r="U63" s="494">
        <v>120</v>
      </c>
      <c r="V63" s="704">
        <v>424.56</v>
      </c>
    </row>
    <row r="64" spans="2:22" s="1" customFormat="1" ht="15.75">
      <c r="B64" s="12" t="s">
        <v>1858</v>
      </c>
      <c r="C64" s="6" t="s">
        <v>3354</v>
      </c>
      <c r="D64" s="15" t="s">
        <v>11</v>
      </c>
      <c r="E64" s="56">
        <v>2440</v>
      </c>
      <c r="F64" s="150">
        <v>140</v>
      </c>
      <c r="G64" s="24" t="s">
        <v>3363</v>
      </c>
      <c r="H64" s="67">
        <v>58</v>
      </c>
      <c r="I64" s="68">
        <v>1</v>
      </c>
      <c r="J64" s="67">
        <v>58</v>
      </c>
      <c r="K64" s="46">
        <v>3.89</v>
      </c>
      <c r="L64" s="46">
        <v>225.62</v>
      </c>
      <c r="M64" s="162" t="s">
        <v>2219</v>
      </c>
      <c r="N64" s="1208">
        <v>44866</v>
      </c>
      <c r="O64" s="38"/>
      <c r="P64" s="46">
        <v>3.6566000000000001</v>
      </c>
      <c r="Q64" s="483">
        <v>3.66</v>
      </c>
      <c r="R64" s="532">
        <v>295</v>
      </c>
      <c r="S64" s="567">
        <v>17110</v>
      </c>
      <c r="T64" s="499"/>
      <c r="U64" s="494">
        <v>120</v>
      </c>
      <c r="V64" s="704">
        <v>212.28</v>
      </c>
    </row>
    <row r="65" spans="2:22" s="1" customFormat="1" ht="15.75">
      <c r="B65" s="12" t="s">
        <v>1858</v>
      </c>
      <c r="C65" s="6" t="s">
        <v>3354</v>
      </c>
      <c r="D65" s="15" t="s">
        <v>11</v>
      </c>
      <c r="E65" s="56">
        <v>2440</v>
      </c>
      <c r="F65" s="150">
        <v>140</v>
      </c>
      <c r="G65" s="24" t="s">
        <v>1547</v>
      </c>
      <c r="H65" s="67">
        <v>58</v>
      </c>
      <c r="I65" s="68">
        <v>2</v>
      </c>
      <c r="J65" s="67">
        <v>116</v>
      </c>
      <c r="K65" s="46">
        <v>3.89</v>
      </c>
      <c r="L65" s="46">
        <v>451.24</v>
      </c>
      <c r="M65" s="162" t="s">
        <v>2219</v>
      </c>
      <c r="N65" s="1208">
        <v>44866</v>
      </c>
      <c r="O65" s="38"/>
      <c r="P65" s="46">
        <v>3.6566000000000001</v>
      </c>
      <c r="Q65" s="483">
        <v>3.66</v>
      </c>
      <c r="R65" s="532">
        <v>295</v>
      </c>
      <c r="S65" s="567">
        <v>34220</v>
      </c>
      <c r="T65" s="499"/>
      <c r="U65" s="494">
        <v>120</v>
      </c>
      <c r="V65" s="704">
        <v>424.56</v>
      </c>
    </row>
    <row r="66" spans="2:22" s="1" customFormat="1" ht="15.75">
      <c r="B66" s="12" t="s">
        <v>1858</v>
      </c>
      <c r="C66" s="6" t="s">
        <v>3354</v>
      </c>
      <c r="D66" s="15" t="s">
        <v>11</v>
      </c>
      <c r="E66" s="56">
        <v>2440</v>
      </c>
      <c r="F66" s="150">
        <v>140</v>
      </c>
      <c r="G66" s="24" t="s">
        <v>2010</v>
      </c>
      <c r="H66" s="67">
        <v>58</v>
      </c>
      <c r="I66" s="68">
        <v>5</v>
      </c>
      <c r="J66" s="67">
        <v>290</v>
      </c>
      <c r="K66" s="46">
        <v>3.89</v>
      </c>
      <c r="L66" s="46">
        <v>1128.1000000000001</v>
      </c>
      <c r="M66" s="162" t="s">
        <v>2219</v>
      </c>
      <c r="N66" s="1208">
        <v>44866</v>
      </c>
      <c r="O66" s="38"/>
      <c r="P66" s="46">
        <v>3.6566000000000001</v>
      </c>
      <c r="Q66" s="483">
        <v>3.66</v>
      </c>
      <c r="R66" s="532">
        <v>295</v>
      </c>
      <c r="S66" s="567">
        <v>85550</v>
      </c>
      <c r="T66" s="499"/>
      <c r="U66" s="494">
        <v>120</v>
      </c>
      <c r="V66" s="704">
        <v>1061.4000000000001</v>
      </c>
    </row>
    <row r="67" spans="2:22" s="1" customFormat="1" ht="15.75">
      <c r="B67" s="12" t="s">
        <v>1858</v>
      </c>
      <c r="C67" s="6" t="s">
        <v>3354</v>
      </c>
      <c r="D67" s="15" t="s">
        <v>11</v>
      </c>
      <c r="E67" s="56">
        <v>2440</v>
      </c>
      <c r="F67" s="150">
        <v>140</v>
      </c>
      <c r="G67" s="24" t="s">
        <v>733</v>
      </c>
      <c r="H67" s="67">
        <v>58</v>
      </c>
      <c r="I67" s="68">
        <v>3</v>
      </c>
      <c r="J67" s="67">
        <v>174</v>
      </c>
      <c r="K67" s="46">
        <v>3.89</v>
      </c>
      <c r="L67" s="46">
        <v>676.86</v>
      </c>
      <c r="M67" s="162" t="s">
        <v>2219</v>
      </c>
      <c r="N67" s="1208">
        <v>44866</v>
      </c>
      <c r="O67" s="38"/>
      <c r="P67" s="46">
        <v>3.6566000000000001</v>
      </c>
      <c r="Q67" s="483">
        <v>3.66</v>
      </c>
      <c r="R67" s="532">
        <v>295</v>
      </c>
      <c r="S67" s="567">
        <v>51330</v>
      </c>
      <c r="T67" s="499"/>
      <c r="U67" s="494">
        <v>120</v>
      </c>
      <c r="V67" s="704">
        <v>636.84</v>
      </c>
    </row>
    <row r="68" spans="2:22" s="1" customFormat="1" ht="15.75">
      <c r="B68" s="12" t="s">
        <v>1858</v>
      </c>
      <c r="C68" s="6" t="s">
        <v>3354</v>
      </c>
      <c r="D68" s="15" t="s">
        <v>11</v>
      </c>
      <c r="E68" s="56">
        <v>2440</v>
      </c>
      <c r="F68" s="150">
        <v>140</v>
      </c>
      <c r="G68" s="24" t="s">
        <v>3367</v>
      </c>
      <c r="H68" s="67">
        <v>58</v>
      </c>
      <c r="I68" s="68">
        <v>1</v>
      </c>
      <c r="J68" s="67">
        <v>58</v>
      </c>
      <c r="K68" s="46">
        <v>3.89</v>
      </c>
      <c r="L68" s="46">
        <v>225.62</v>
      </c>
      <c r="M68" s="162" t="s">
        <v>2219</v>
      </c>
      <c r="N68" s="1208">
        <v>44866</v>
      </c>
      <c r="O68" s="38"/>
      <c r="P68" s="46">
        <v>3.6566000000000001</v>
      </c>
      <c r="Q68" s="483">
        <v>3.66</v>
      </c>
      <c r="R68" s="532">
        <v>295</v>
      </c>
      <c r="S68" s="567">
        <v>17110</v>
      </c>
      <c r="T68" s="499"/>
      <c r="U68" s="494">
        <v>120</v>
      </c>
      <c r="V68" s="704">
        <v>212.28</v>
      </c>
    </row>
    <row r="69" spans="2:22" s="1" customFormat="1" ht="15.75">
      <c r="B69" s="12" t="s">
        <v>1858</v>
      </c>
      <c r="C69" s="6" t="s">
        <v>3354</v>
      </c>
      <c r="D69" s="15" t="s">
        <v>11</v>
      </c>
      <c r="E69" s="56">
        <v>2440</v>
      </c>
      <c r="F69" s="150">
        <v>140</v>
      </c>
      <c r="G69" s="24" t="s">
        <v>3369</v>
      </c>
      <c r="H69" s="67">
        <v>58</v>
      </c>
      <c r="I69" s="68">
        <v>4</v>
      </c>
      <c r="J69" s="67">
        <v>232</v>
      </c>
      <c r="K69" s="46">
        <v>3.89</v>
      </c>
      <c r="L69" s="46">
        <v>902.48</v>
      </c>
      <c r="M69" s="162" t="s">
        <v>2219</v>
      </c>
      <c r="N69" s="1208">
        <v>44866</v>
      </c>
      <c r="O69" s="38"/>
      <c r="P69" s="46">
        <v>3.6566000000000001</v>
      </c>
      <c r="Q69" s="483">
        <v>3.66</v>
      </c>
      <c r="R69" s="532">
        <v>295</v>
      </c>
      <c r="S69" s="567">
        <v>68440</v>
      </c>
      <c r="T69" s="499"/>
      <c r="U69" s="494">
        <v>120</v>
      </c>
      <c r="V69" s="704">
        <v>849.12</v>
      </c>
    </row>
    <row r="70" spans="2:22" s="1" customFormat="1" ht="15.75">
      <c r="B70" s="12" t="s">
        <v>1858</v>
      </c>
      <c r="C70" s="6" t="s">
        <v>3354</v>
      </c>
      <c r="D70" s="15" t="s">
        <v>11</v>
      </c>
      <c r="E70" s="56">
        <v>2440</v>
      </c>
      <c r="F70" s="150">
        <v>140</v>
      </c>
      <c r="G70" s="24" t="s">
        <v>3371</v>
      </c>
      <c r="H70" s="67">
        <v>58</v>
      </c>
      <c r="I70" s="68">
        <v>5</v>
      </c>
      <c r="J70" s="67">
        <v>290</v>
      </c>
      <c r="K70" s="46">
        <v>3.89</v>
      </c>
      <c r="L70" s="46">
        <v>1128.1000000000001</v>
      </c>
      <c r="M70" s="162" t="s">
        <v>2219</v>
      </c>
      <c r="N70" s="1208">
        <v>44866</v>
      </c>
      <c r="O70" s="38"/>
      <c r="P70" s="46">
        <v>3.6566000000000001</v>
      </c>
      <c r="Q70" s="483">
        <v>3.66</v>
      </c>
      <c r="R70" s="532">
        <v>295</v>
      </c>
      <c r="S70" s="567">
        <v>85550</v>
      </c>
      <c r="T70" s="499"/>
      <c r="U70" s="494">
        <v>120</v>
      </c>
      <c r="V70" s="704">
        <v>1061.4000000000001</v>
      </c>
    </row>
    <row r="71" spans="2:22" s="1" customFormat="1" ht="15.75">
      <c r="B71" s="12" t="s">
        <v>1858</v>
      </c>
      <c r="C71" s="6" t="s">
        <v>3354</v>
      </c>
      <c r="D71" s="15" t="s">
        <v>11</v>
      </c>
      <c r="E71" s="56">
        <v>2440</v>
      </c>
      <c r="F71" s="150">
        <v>140</v>
      </c>
      <c r="G71" s="24" t="s">
        <v>2008</v>
      </c>
      <c r="H71" s="67">
        <v>58</v>
      </c>
      <c r="I71" s="68">
        <v>3</v>
      </c>
      <c r="J71" s="67">
        <v>174</v>
      </c>
      <c r="K71" s="46">
        <v>3.89</v>
      </c>
      <c r="L71" s="46">
        <v>676.86</v>
      </c>
      <c r="M71" s="162" t="s">
        <v>2219</v>
      </c>
      <c r="N71" s="1208">
        <v>44866</v>
      </c>
      <c r="O71" s="38"/>
      <c r="P71" s="46">
        <v>3.6566000000000001</v>
      </c>
      <c r="Q71" s="483">
        <v>3.66</v>
      </c>
      <c r="R71" s="532">
        <v>295</v>
      </c>
      <c r="S71" s="567">
        <v>51330</v>
      </c>
      <c r="T71" s="499"/>
      <c r="U71" s="494">
        <v>120</v>
      </c>
      <c r="V71" s="704">
        <v>636.84</v>
      </c>
    </row>
    <row r="72" spans="2:22" s="1" customFormat="1" ht="15.75">
      <c r="B72" s="12" t="s">
        <v>1858</v>
      </c>
      <c r="C72" s="6" t="s">
        <v>3354</v>
      </c>
      <c r="D72" s="15" t="s">
        <v>11</v>
      </c>
      <c r="E72" s="56">
        <v>2440</v>
      </c>
      <c r="F72" s="150">
        <v>140</v>
      </c>
      <c r="G72" s="24" t="s">
        <v>3374</v>
      </c>
      <c r="H72" s="67">
        <v>58</v>
      </c>
      <c r="I72" s="68">
        <v>1</v>
      </c>
      <c r="J72" s="67">
        <v>58</v>
      </c>
      <c r="K72" s="46">
        <v>3.89</v>
      </c>
      <c r="L72" s="46">
        <v>225.62</v>
      </c>
      <c r="M72" s="162" t="s">
        <v>2219</v>
      </c>
      <c r="N72" s="1208">
        <v>44866</v>
      </c>
      <c r="O72" s="38"/>
      <c r="P72" s="46">
        <v>3.6566000000000001</v>
      </c>
      <c r="Q72" s="483">
        <v>3.66</v>
      </c>
      <c r="R72" s="532">
        <v>295</v>
      </c>
      <c r="S72" s="567">
        <v>17110</v>
      </c>
      <c r="T72" s="499"/>
      <c r="U72" s="494">
        <v>120</v>
      </c>
      <c r="V72" s="704">
        <v>212.28</v>
      </c>
    </row>
    <row r="73" spans="2:22" s="1" customFormat="1" ht="15">
      <c r="B73" s="28"/>
      <c r="C73" s="6" t="s">
        <v>3354</v>
      </c>
      <c r="D73" s="15" t="s">
        <v>11</v>
      </c>
      <c r="E73" s="56"/>
      <c r="F73" s="160"/>
      <c r="G73" s="228" t="s">
        <v>481</v>
      </c>
      <c r="H73" s="214"/>
      <c r="I73" s="215"/>
      <c r="J73" s="43">
        <v>1</v>
      </c>
      <c r="K73" s="229">
        <v>20</v>
      </c>
      <c r="L73" s="417" t="s">
        <v>1676</v>
      </c>
      <c r="M73" s="417"/>
      <c r="N73" s="39"/>
      <c r="O73" s="38"/>
      <c r="P73" s="216"/>
      <c r="Q73" s="525">
        <v>0</v>
      </c>
      <c r="R73" s="532">
        <v>1800</v>
      </c>
      <c r="S73" s="113">
        <v>1800</v>
      </c>
      <c r="T73" s="499"/>
      <c r="U73" s="494">
        <v>120</v>
      </c>
      <c r="V73" s="704">
        <v>0</v>
      </c>
    </row>
    <row r="74" spans="2:22" s="1" customFormat="1" ht="15" customHeight="1">
      <c r="B74" s="28"/>
      <c r="C74" s="6" t="s">
        <v>3426</v>
      </c>
      <c r="D74" s="15" t="s">
        <v>3005</v>
      </c>
      <c r="E74" s="20" t="s">
        <v>1639</v>
      </c>
      <c r="F74" s="26"/>
      <c r="G74" s="24"/>
      <c r="H74" s="16"/>
      <c r="I74" s="68"/>
      <c r="J74" s="67"/>
      <c r="K74" s="153" t="s">
        <v>10</v>
      </c>
      <c r="L74" s="39"/>
      <c r="M74" s="39"/>
      <c r="N74" s="39"/>
      <c r="O74" s="38"/>
      <c r="P74" s="6" t="s">
        <v>23</v>
      </c>
      <c r="Q74" s="481"/>
      <c r="R74" s="489"/>
      <c r="S74" s="113"/>
      <c r="T74" s="500"/>
      <c r="U74" s="494">
        <v>120</v>
      </c>
    </row>
    <row r="75" spans="2:22" s="1" customFormat="1" ht="15.75">
      <c r="B75" s="28" t="s">
        <v>1856</v>
      </c>
      <c r="C75" s="6" t="s">
        <v>3426</v>
      </c>
      <c r="D75" s="15" t="s">
        <v>3005</v>
      </c>
      <c r="E75" s="56" t="s">
        <v>1264</v>
      </c>
      <c r="F75" s="26" t="s">
        <v>19</v>
      </c>
      <c r="G75" s="24" t="s">
        <v>2998</v>
      </c>
      <c r="H75" s="67">
        <v>20</v>
      </c>
      <c r="I75" s="68">
        <v>4</v>
      </c>
      <c r="J75" s="67">
        <v>80</v>
      </c>
      <c r="K75" s="25">
        <v>1.71</v>
      </c>
      <c r="L75" s="46">
        <v>136.80000000000001</v>
      </c>
      <c r="M75" s="162" t="s">
        <v>2219</v>
      </c>
      <c r="N75" s="239">
        <v>44867</v>
      </c>
      <c r="O75" s="38"/>
      <c r="P75" s="25">
        <v>1.5047999999999999</v>
      </c>
      <c r="Q75" s="483">
        <v>1.5</v>
      </c>
      <c r="R75" s="489">
        <v>83</v>
      </c>
      <c r="S75" s="567">
        <v>6640</v>
      </c>
      <c r="T75" s="1139"/>
      <c r="U75" s="494">
        <v>120</v>
      </c>
      <c r="V75" s="704">
        <v>120</v>
      </c>
    </row>
    <row r="76" spans="2:22" s="7" customFormat="1" ht="17.25" customHeight="1">
      <c r="B76" s="12"/>
      <c r="C76" s="6" t="s">
        <v>3426</v>
      </c>
      <c r="D76" s="15" t="s">
        <v>3005</v>
      </c>
      <c r="E76" s="238"/>
      <c r="F76" s="44"/>
      <c r="G76" s="44" t="s">
        <v>1993</v>
      </c>
      <c r="H76" s="8"/>
      <c r="I76" s="152" ph="1"/>
      <c r="J76" s="45">
        <v>1</v>
      </c>
      <c r="K76" s="46">
        <v>12</v>
      </c>
      <c r="L76" s="46">
        <v>12</v>
      </c>
      <c r="M76" s="112"/>
      <c r="N76" s="39"/>
      <c r="O76" s="38"/>
      <c r="P76" s="6"/>
      <c r="Q76" s="483">
        <v>12</v>
      </c>
      <c r="R76" s="490">
        <v>550</v>
      </c>
      <c r="S76" s="1270">
        <v>550</v>
      </c>
      <c r="T76" s="501"/>
      <c r="U76" s="494">
        <v>120</v>
      </c>
      <c r="V76" s="704">
        <v>12</v>
      </c>
    </row>
    <row r="77" spans="2:22" s="314" customFormat="1" ht="15">
      <c r="B77" s="313"/>
      <c r="C77" s="302" t="s">
        <v>3426</v>
      </c>
      <c r="D77" s="303" t="s">
        <v>3005</v>
      </c>
      <c r="E77" s="304"/>
      <c r="F77" s="305"/>
      <c r="G77" s="305" t="s">
        <v>1227</v>
      </c>
      <c r="H77" s="307" t="s">
        <v>1228</v>
      </c>
      <c r="I77" s="308"/>
      <c r="J77" s="306"/>
      <c r="K77" s="315">
        <v>0</v>
      </c>
      <c r="L77" s="310"/>
      <c r="M77" s="310"/>
      <c r="N77" s="310"/>
      <c r="O77" s="309"/>
      <c r="P77" s="302"/>
      <c r="Q77" s="485">
        <v>0</v>
      </c>
      <c r="R77" s="535">
        <v>0</v>
      </c>
      <c r="S77" s="322">
        <v>0</v>
      </c>
      <c r="T77" s="515"/>
      <c r="U77" s="494">
        <v>120</v>
      </c>
    </row>
    <row r="78" spans="2:22" s="7" customFormat="1" ht="15" customHeight="1">
      <c r="B78" s="12"/>
      <c r="C78" s="6" t="s">
        <v>3428</v>
      </c>
      <c r="D78" s="15" t="s">
        <v>958</v>
      </c>
      <c r="E78" s="20" t="s">
        <v>628</v>
      </c>
      <c r="F78" s="26"/>
      <c r="G78" s="24"/>
      <c r="H78" s="67"/>
      <c r="I78" s="68"/>
      <c r="J78" s="67"/>
      <c r="K78" s="17" t="s">
        <v>134</v>
      </c>
      <c r="L78" s="39"/>
      <c r="M78" s="39"/>
      <c r="N78" s="39"/>
      <c r="O78" s="38"/>
      <c r="P78" s="179" t="s">
        <v>23</v>
      </c>
      <c r="Q78" s="438" t="s">
        <v>959</v>
      </c>
      <c r="R78" s="489"/>
      <c r="S78" s="113"/>
      <c r="T78" s="510"/>
      <c r="U78" s="494">
        <v>120</v>
      </c>
      <c r="V78" s="704"/>
    </row>
    <row r="79" spans="2:22" s="7" customFormat="1" ht="18" customHeight="1">
      <c r="B79" s="12" t="s">
        <v>1856</v>
      </c>
      <c r="C79" s="6" t="s">
        <v>3428</v>
      </c>
      <c r="D79" s="15" t="s">
        <v>958</v>
      </c>
      <c r="E79" s="56">
        <v>5291</v>
      </c>
      <c r="F79" s="26">
        <v>8</v>
      </c>
      <c r="G79" s="24" t="s">
        <v>499</v>
      </c>
      <c r="H79" s="67">
        <v>50</v>
      </c>
      <c r="I79" s="68">
        <v>6</v>
      </c>
      <c r="J79" s="67">
        <v>300</v>
      </c>
      <c r="K79" s="46">
        <v>0.74</v>
      </c>
      <c r="L79" s="46">
        <v>222</v>
      </c>
      <c r="M79" s="162" t="s">
        <v>2219</v>
      </c>
      <c r="N79" s="239">
        <v>44867</v>
      </c>
      <c r="O79" s="38"/>
      <c r="P79" s="180">
        <v>0.43</v>
      </c>
      <c r="Q79" s="180">
        <v>0.43</v>
      </c>
      <c r="R79" s="489">
        <v>26</v>
      </c>
      <c r="S79" s="113">
        <v>7800</v>
      </c>
      <c r="T79" s="867"/>
      <c r="U79" s="494">
        <v>120</v>
      </c>
      <c r="V79" s="704">
        <v>129</v>
      </c>
    </row>
    <row r="80" spans="2:22" s="1" customFormat="1" ht="15.95" customHeight="1">
      <c r="B80" s="28"/>
      <c r="C80" s="6" t="s">
        <v>3428</v>
      </c>
      <c r="D80" s="15" t="s">
        <v>958</v>
      </c>
      <c r="E80" s="24"/>
      <c r="F80" s="138"/>
      <c r="G80" s="44" t="s">
        <v>1993</v>
      </c>
      <c r="H80" s="8"/>
      <c r="I80" s="41"/>
      <c r="J80" s="45">
        <v>1</v>
      </c>
      <c r="K80" s="46">
        <v>0</v>
      </c>
      <c r="L80" s="46">
        <v>0</v>
      </c>
      <c r="M80" s="112"/>
      <c r="N80" s="39"/>
      <c r="O80" s="38"/>
      <c r="P80" s="179"/>
      <c r="Q80" s="180">
        <v>12</v>
      </c>
      <c r="R80" s="1272">
        <v>850</v>
      </c>
      <c r="S80" s="1273">
        <v>850</v>
      </c>
      <c r="T80" s="511"/>
      <c r="U80" s="494">
        <v>120</v>
      </c>
      <c r="V80" s="180">
        <v>12</v>
      </c>
    </row>
    <row r="83" spans="1:21" ht="15">
      <c r="A83" s="422"/>
      <c r="B83" s="179" t="s">
        <v>3437</v>
      </c>
    </row>
    <row r="84" spans="1:21">
      <c r="A84" s="422"/>
      <c r="B84"/>
    </row>
    <row r="85" spans="1:21">
      <c r="A85" s="422"/>
      <c r="B85"/>
    </row>
    <row r="86" spans="1:21">
      <c r="A86" s="422"/>
      <c r="B86" t="s">
        <v>3613</v>
      </c>
    </row>
    <row r="87" spans="1:21" s="1" customFormat="1" ht="15">
      <c r="A87" s="28"/>
      <c r="B87" s="6" t="s">
        <v>3102</v>
      </c>
      <c r="C87" s="15" t="s">
        <v>1178</v>
      </c>
      <c r="D87" s="20" t="s">
        <v>2996</v>
      </c>
      <c r="E87" s="150"/>
      <c r="F87" s="24"/>
      <c r="G87" s="151"/>
      <c r="H87" s="152"/>
      <c r="I87" s="151"/>
      <c r="J87" s="153" t="s">
        <v>10</v>
      </c>
      <c r="K87" s="39"/>
      <c r="L87" s="39"/>
      <c r="M87" s="39"/>
      <c r="N87" s="38"/>
      <c r="O87" s="15"/>
      <c r="P87" s="483"/>
      <c r="Q87" s="496"/>
      <c r="R87" s="113"/>
      <c r="S87" s="499"/>
      <c r="T87" s="494">
        <v>120</v>
      </c>
    </row>
    <row r="88" spans="1:21" s="1" customFormat="1" ht="24.75">
      <c r="A88" s="12" t="s">
        <v>1858</v>
      </c>
      <c r="B88" s="6" t="s">
        <v>3102</v>
      </c>
      <c r="C88" s="15" t="s">
        <v>1178</v>
      </c>
      <c r="D88" s="56" t="s">
        <v>2989</v>
      </c>
      <c r="E88" s="150">
        <v>148</v>
      </c>
      <c r="F88" s="24" t="s">
        <v>3001</v>
      </c>
      <c r="G88" s="67"/>
      <c r="H88" s="68"/>
      <c r="I88" s="19">
        <v>594.5</v>
      </c>
      <c r="J88" s="46">
        <v>17.579999999999998</v>
      </c>
      <c r="K88" s="46">
        <f>J88*I88</f>
        <v>10451.31</v>
      </c>
      <c r="L88" s="162" t="s">
        <v>2219</v>
      </c>
      <c r="M88" s="239" t="s">
        <v>3105</v>
      </c>
      <c r="N88" s="38"/>
      <c r="O88" s="46" t="e">
        <f>J88*(VLOOKUP(A88,$C$2:$F$6,3,FALSE))</f>
        <v>#N/A</v>
      </c>
      <c r="P88" s="483">
        <v>16.53</v>
      </c>
      <c r="Q88" s="532">
        <f>1720+10</f>
        <v>1730</v>
      </c>
      <c r="R88" s="567">
        <f>Q88*I88</f>
        <v>1028485</v>
      </c>
      <c r="S88" s="499"/>
      <c r="T88" s="494">
        <v>120</v>
      </c>
      <c r="U88" s="704">
        <f>P88*I88</f>
        <v>9827.0850000000009</v>
      </c>
    </row>
    <row r="89" spans="1:21" s="1" customFormat="1" ht="24.75">
      <c r="A89" s="12" t="s">
        <v>1858</v>
      </c>
      <c r="B89" s="6" t="s">
        <v>3102</v>
      </c>
      <c r="C89" s="15" t="s">
        <v>1178</v>
      </c>
      <c r="D89" s="56" t="s">
        <v>2989</v>
      </c>
      <c r="E89" s="150">
        <v>148</v>
      </c>
      <c r="F89" s="24" t="s">
        <v>2997</v>
      </c>
      <c r="G89" s="67"/>
      <c r="H89" s="68"/>
      <c r="I89" s="19">
        <v>317.7</v>
      </c>
      <c r="J89" s="46">
        <v>17.579999999999998</v>
      </c>
      <c r="K89" s="46">
        <f>J89*I89</f>
        <v>5585.1659999999993</v>
      </c>
      <c r="L89" s="162" t="s">
        <v>2219</v>
      </c>
      <c r="M89" s="239" t="s">
        <v>3106</v>
      </c>
      <c r="N89" s="38"/>
      <c r="O89" s="46" t="e">
        <f>J89*(VLOOKUP(A89,$C$2:$F$6,3,FALSE))</f>
        <v>#N/A</v>
      </c>
      <c r="P89" s="483">
        <v>16.53</v>
      </c>
      <c r="Q89" s="532">
        <f>1720+10</f>
        <v>1730</v>
      </c>
      <c r="R89" s="567">
        <f>Q89*I89</f>
        <v>549621</v>
      </c>
      <c r="S89" s="499"/>
      <c r="T89" s="494">
        <v>120</v>
      </c>
      <c r="U89" s="704">
        <f>P89*I89</f>
        <v>5251.5810000000001</v>
      </c>
    </row>
    <row r="90" spans="1:21" s="1" customFormat="1" ht="24.75">
      <c r="A90" s="12" t="s">
        <v>1858</v>
      </c>
      <c r="B90" s="6" t="s">
        <v>3102</v>
      </c>
      <c r="C90" s="15" t="s">
        <v>1178</v>
      </c>
      <c r="D90" s="56" t="s">
        <v>2989</v>
      </c>
      <c r="E90" s="150">
        <v>148</v>
      </c>
      <c r="F90" s="24" t="s">
        <v>3000</v>
      </c>
      <c r="G90" s="67"/>
      <c r="H90" s="68"/>
      <c r="I90" s="19">
        <v>317.89999999999998</v>
      </c>
      <c r="J90" s="46">
        <v>17.579999999999998</v>
      </c>
      <c r="K90" s="46">
        <f>J90*I90</f>
        <v>5588.6819999999989</v>
      </c>
      <c r="L90" s="162" t="s">
        <v>2219</v>
      </c>
      <c r="M90" s="239" t="s">
        <v>3106</v>
      </c>
      <c r="N90" s="38"/>
      <c r="O90" s="46" t="e">
        <f>J90*(VLOOKUP(A90,$C$2:$F$6,3,FALSE))</f>
        <v>#N/A</v>
      </c>
      <c r="P90" s="483">
        <v>16.53</v>
      </c>
      <c r="Q90" s="532">
        <f>1720+10</f>
        <v>1730</v>
      </c>
      <c r="R90" s="567">
        <f>Q90*I90</f>
        <v>549967</v>
      </c>
      <c r="S90" s="499"/>
      <c r="T90" s="494">
        <v>120</v>
      </c>
      <c r="U90" s="704">
        <f>P90*I90</f>
        <v>5254.8869999999997</v>
      </c>
    </row>
    <row r="91" spans="1:21" s="314" customFormat="1" ht="15.6" customHeight="1">
      <c r="A91" s="313"/>
      <c r="B91" s="302" t="s">
        <v>3102</v>
      </c>
      <c r="C91" s="303" t="s">
        <v>1178</v>
      </c>
      <c r="D91" s="304"/>
      <c r="E91" s="305"/>
      <c r="F91" s="305" t="s">
        <v>1227</v>
      </c>
      <c r="G91" s="307" t="s">
        <v>1228</v>
      </c>
      <c r="H91" s="308"/>
      <c r="I91" s="306"/>
      <c r="J91" s="315">
        <v>0</v>
      </c>
      <c r="K91" s="310"/>
      <c r="L91" s="310"/>
      <c r="M91" s="1082"/>
      <c r="N91" s="309"/>
      <c r="O91" s="302"/>
      <c r="P91" s="485">
        <v>0</v>
      </c>
      <c r="Q91" s="535">
        <v>0</v>
      </c>
      <c r="R91" s="322">
        <v>0</v>
      </c>
      <c r="S91" s="515"/>
      <c r="T91" s="494">
        <v>120</v>
      </c>
    </row>
    <row r="92" spans="1:21">
      <c r="A92" s="422"/>
      <c r="B92"/>
    </row>
    <row r="93" spans="1:21" s="1331" customFormat="1" ht="12.75">
      <c r="A93" s="1339"/>
      <c r="B93" s="1341" t="s">
        <v>2695</v>
      </c>
      <c r="C93" s="1341" t="s">
        <v>3614</v>
      </c>
      <c r="D93" s="1341" t="s">
        <v>3615</v>
      </c>
      <c r="E93" s="1340" t="s">
        <v>3617</v>
      </c>
      <c r="F93" s="1341" t="s">
        <v>3616</v>
      </c>
      <c r="G93" s="1341" t="s">
        <v>3618</v>
      </c>
    </row>
    <row r="94" spans="1:21" s="1331" customFormat="1" ht="12.75">
      <c r="A94" s="1342" t="s">
        <v>3619</v>
      </c>
      <c r="B94" s="1343">
        <f>SUM(K88:K91)</f>
        <v>21625.157999999996</v>
      </c>
      <c r="C94" s="1344">
        <f>B94*130</f>
        <v>2811270.5399999996</v>
      </c>
      <c r="D94" s="1344">
        <f>SUM(R88:R90)</f>
        <v>2128073</v>
      </c>
      <c r="E94" s="1344">
        <f>(C94-D94)</f>
        <v>683197.53999999957</v>
      </c>
      <c r="F94" s="1345">
        <f>B94*0.06</f>
        <v>1297.5094799999997</v>
      </c>
      <c r="G94" s="1346">
        <f>(E94-(F94*130))</f>
        <v>514521.30759999959</v>
      </c>
    </row>
    <row r="95" spans="1:21" ht="13.5">
      <c r="A95" s="1342" t="s">
        <v>3620</v>
      </c>
      <c r="B95" s="1343">
        <f>16.57*(I88+I89+I90)</f>
        <v>20382.756999999998</v>
      </c>
      <c r="C95" s="1344">
        <f>B95*130</f>
        <v>2649758.4099999997</v>
      </c>
      <c r="D95" s="1344">
        <f>SUM(R88:R90)</f>
        <v>2128073</v>
      </c>
      <c r="E95" s="1344">
        <f>(C95-D95)</f>
        <v>521685.40999999968</v>
      </c>
      <c r="F95" s="1345">
        <f>B95*0.06</f>
        <v>1222.9654199999998</v>
      </c>
      <c r="G95" s="1346">
        <f>(E95-(F95*130))</f>
        <v>362699.9053999997</v>
      </c>
    </row>
    <row r="96" spans="1:21" ht="13.5">
      <c r="A96" s="1367" t="s">
        <v>3633</v>
      </c>
      <c r="B96" s="1343">
        <f>15.82*(I88+I89+I90)</f>
        <v>19460.182000000001</v>
      </c>
      <c r="C96" s="1344">
        <f>B96*130</f>
        <v>2529823.66</v>
      </c>
      <c r="D96" s="1344">
        <v>2029665</v>
      </c>
      <c r="E96" s="1344">
        <f>(C96-D96)</f>
        <v>500158.66000000015</v>
      </c>
      <c r="F96" s="1345">
        <f>B96*0.06</f>
        <v>1167.6109200000001</v>
      </c>
      <c r="G96" s="1346">
        <f>(E96-(F96*130))</f>
        <v>348369.24040000013</v>
      </c>
    </row>
  </sheetData>
  <mergeCells count="1">
    <mergeCell ref="C20:D20"/>
  </mergeCells>
  <phoneticPr fontId="2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E43E-5A36-45F3-8CDD-7E7B2DE48656}"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0:J353"/>
  <sheetViews>
    <sheetView topLeftCell="A297" workbookViewId="0">
      <selection activeCell="B307" sqref="B307"/>
    </sheetView>
  </sheetViews>
  <sheetFormatPr defaultRowHeight="13.5"/>
  <cols>
    <col min="1" max="1" width="16.75" customWidth="1"/>
    <col min="2" max="2" width="20.875" customWidth="1"/>
    <col min="3" max="3" width="14.875" customWidth="1"/>
    <col min="4" max="4" width="22.625" bestFit="1" customWidth="1"/>
    <col min="5" max="5" width="21.75" bestFit="1" customWidth="1"/>
    <col min="6" max="6" width="11.875" bestFit="1" customWidth="1"/>
    <col min="7" max="7" width="15.625" customWidth="1"/>
    <col min="8" max="8" width="11.875" bestFit="1" customWidth="1"/>
    <col min="9" max="9" width="20" customWidth="1"/>
  </cols>
  <sheetData>
    <row r="10" spans="1:5">
      <c r="A10" s="47" t="s">
        <v>42</v>
      </c>
      <c r="B10" s="48" t="s">
        <v>52</v>
      </c>
      <c r="C10" s="47" t="s">
        <v>53</v>
      </c>
      <c r="D10" s="49" t="s">
        <v>54</v>
      </c>
      <c r="E10" s="52" t="s">
        <v>10</v>
      </c>
    </row>
    <row r="11" spans="1:5">
      <c r="A11" s="47" t="s">
        <v>32</v>
      </c>
      <c r="B11" s="48" t="s">
        <v>33</v>
      </c>
      <c r="C11" s="47" t="s">
        <v>34</v>
      </c>
      <c r="D11" s="50">
        <v>5</v>
      </c>
      <c r="E11" s="51">
        <v>3.34</v>
      </c>
    </row>
    <row r="12" spans="1:5">
      <c r="A12" s="47" t="s">
        <v>32</v>
      </c>
      <c r="B12" s="48" t="s">
        <v>33</v>
      </c>
      <c r="C12" s="47" t="s">
        <v>35</v>
      </c>
      <c r="D12" s="50">
        <v>5</v>
      </c>
      <c r="E12" s="51">
        <v>3.34</v>
      </c>
    </row>
    <row r="13" spans="1:5">
      <c r="A13" s="47" t="s">
        <v>36</v>
      </c>
      <c r="B13" s="48"/>
      <c r="C13" s="47"/>
      <c r="D13" s="50"/>
      <c r="E13" s="53" t="s">
        <v>10</v>
      </c>
    </row>
    <row r="14" spans="1:5">
      <c r="A14" s="47" t="s">
        <v>38</v>
      </c>
      <c r="B14" s="48" t="s">
        <v>37</v>
      </c>
      <c r="C14" s="47" t="s">
        <v>39</v>
      </c>
      <c r="D14" s="50">
        <v>5</v>
      </c>
      <c r="E14" s="51">
        <v>4.74</v>
      </c>
    </row>
    <row r="15" spans="1:5">
      <c r="A15" s="47" t="s">
        <v>38</v>
      </c>
      <c r="B15" s="48" t="s">
        <v>37</v>
      </c>
      <c r="C15" s="47" t="s">
        <v>40</v>
      </c>
      <c r="D15" s="50">
        <v>5</v>
      </c>
      <c r="E15" s="51">
        <v>4.74</v>
      </c>
    </row>
    <row r="16" spans="1:5">
      <c r="A16" s="47" t="s">
        <v>38</v>
      </c>
      <c r="B16" s="48" t="s">
        <v>41</v>
      </c>
      <c r="C16" s="47" t="s">
        <v>39</v>
      </c>
      <c r="D16" s="50">
        <v>5</v>
      </c>
      <c r="E16" s="51">
        <v>6.2</v>
      </c>
    </row>
    <row r="17" spans="1:10">
      <c r="A17" s="47" t="s">
        <v>38</v>
      </c>
      <c r="B17" s="48" t="s">
        <v>41</v>
      </c>
      <c r="C17" s="47" t="s">
        <v>40</v>
      </c>
      <c r="D17" s="50">
        <v>5</v>
      </c>
      <c r="E17" s="51">
        <v>6.2</v>
      </c>
    </row>
    <row r="18" spans="1:10">
      <c r="A18" s="47" t="s">
        <v>43</v>
      </c>
      <c r="B18" s="48"/>
      <c r="C18" s="47"/>
      <c r="D18" s="50"/>
      <c r="E18" s="53" t="s">
        <v>10</v>
      </c>
    </row>
    <row r="19" spans="1:10">
      <c r="A19" s="47">
        <v>4182</v>
      </c>
      <c r="B19" s="48">
        <v>22</v>
      </c>
      <c r="C19" s="47" t="s">
        <v>44</v>
      </c>
      <c r="D19" s="50">
        <v>5</v>
      </c>
      <c r="E19" s="51">
        <v>2.08</v>
      </c>
    </row>
    <row r="20" spans="1:10">
      <c r="A20" s="47">
        <v>4182</v>
      </c>
      <c r="B20" s="48">
        <v>22</v>
      </c>
      <c r="C20" s="47" t="s">
        <v>45</v>
      </c>
      <c r="D20" s="50">
        <v>5</v>
      </c>
      <c r="E20" s="51">
        <v>2.08</v>
      </c>
    </row>
    <row r="21" spans="1:10">
      <c r="A21" s="47">
        <v>4182</v>
      </c>
      <c r="B21" s="48">
        <v>22</v>
      </c>
      <c r="C21" s="47" t="s">
        <v>46</v>
      </c>
      <c r="D21" s="50">
        <v>5</v>
      </c>
      <c r="E21" s="51">
        <v>2.08</v>
      </c>
    </row>
    <row r="22" spans="1:10">
      <c r="A22" s="47" t="s">
        <v>47</v>
      </c>
      <c r="B22" s="48"/>
      <c r="C22" s="47"/>
      <c r="D22" s="50"/>
      <c r="E22" s="53" t="s">
        <v>10</v>
      </c>
    </row>
    <row r="23" spans="1:10">
      <c r="A23" s="47">
        <v>3336</v>
      </c>
      <c r="B23" s="48">
        <v>30</v>
      </c>
      <c r="C23" s="47" t="s">
        <v>48</v>
      </c>
      <c r="D23" s="50">
        <v>5</v>
      </c>
      <c r="E23" s="51">
        <v>2.36</v>
      </c>
    </row>
    <row r="24" spans="1:10">
      <c r="A24" s="47" t="s">
        <v>49</v>
      </c>
      <c r="B24" s="48"/>
      <c r="C24" s="47"/>
      <c r="D24" s="50"/>
      <c r="E24" s="53" t="s">
        <v>10</v>
      </c>
    </row>
    <row r="25" spans="1:10">
      <c r="A25" s="47" t="s">
        <v>50</v>
      </c>
      <c r="B25" s="48">
        <v>30</v>
      </c>
      <c r="C25" s="47" t="s">
        <v>51</v>
      </c>
      <c r="D25" s="50">
        <v>5</v>
      </c>
      <c r="E25" s="51">
        <v>4.54</v>
      </c>
    </row>
    <row r="28" spans="1:10" ht="14.25" thickBot="1"/>
    <row r="29" spans="1:10" ht="14.25">
      <c r="A29" s="57" t="s">
        <v>64</v>
      </c>
      <c r="B29" s="57" t="s">
        <v>65</v>
      </c>
      <c r="C29" s="57" t="s">
        <v>66</v>
      </c>
      <c r="D29" s="57" t="s">
        <v>67</v>
      </c>
      <c r="E29" s="57" t="s">
        <v>68</v>
      </c>
      <c r="F29" s="57" t="s">
        <v>69</v>
      </c>
      <c r="G29" s="57" t="s">
        <v>70</v>
      </c>
      <c r="H29" s="57" t="s">
        <v>71</v>
      </c>
      <c r="I29" s="57" t="s">
        <v>72</v>
      </c>
      <c r="J29" s="58" t="s">
        <v>73</v>
      </c>
    </row>
    <row r="30" spans="1:10" ht="14.25" thickBot="1"/>
    <row r="31" spans="1:10" ht="14.25">
      <c r="A31" s="5" t="s">
        <v>0</v>
      </c>
      <c r="B31" s="5"/>
      <c r="C31" s="5" t="s">
        <v>53</v>
      </c>
      <c r="D31" s="2981" t="s">
        <v>1</v>
      </c>
      <c r="E31" s="2982"/>
      <c r="F31" s="2983"/>
      <c r="G31" s="5" t="s">
        <v>63</v>
      </c>
    </row>
    <row r="32" spans="1:10" ht="15">
      <c r="A32" s="24" t="s">
        <v>57</v>
      </c>
      <c r="B32" s="24"/>
      <c r="C32" s="24" t="s">
        <v>58</v>
      </c>
      <c r="D32" s="54">
        <v>13.7</v>
      </c>
      <c r="E32" s="37">
        <v>2</v>
      </c>
      <c r="F32" s="59">
        <v>24376</v>
      </c>
      <c r="G32" s="60">
        <v>74</v>
      </c>
    </row>
    <row r="33" spans="1:7" ht="15">
      <c r="A33" s="24" t="s">
        <v>57</v>
      </c>
      <c r="B33" s="24"/>
      <c r="C33" s="24" t="s">
        <v>59</v>
      </c>
      <c r="D33" s="54">
        <v>13.7</v>
      </c>
      <c r="E33" s="37">
        <v>2</v>
      </c>
      <c r="F33" s="59">
        <v>24376</v>
      </c>
      <c r="G33" s="60">
        <v>74</v>
      </c>
    </row>
    <row r="34" spans="1:7" ht="15">
      <c r="A34" s="24" t="s">
        <v>60</v>
      </c>
      <c r="B34" s="24"/>
      <c r="C34" s="24" t="s">
        <v>58</v>
      </c>
      <c r="D34" s="54">
        <v>13.7</v>
      </c>
      <c r="E34" s="37">
        <v>2</v>
      </c>
      <c r="F34" s="59">
        <v>24198</v>
      </c>
      <c r="G34" s="60">
        <v>128</v>
      </c>
    </row>
    <row r="35" spans="1:7" ht="15">
      <c r="A35" s="24" t="s">
        <v>60</v>
      </c>
      <c r="B35" s="24"/>
      <c r="C35" s="24" t="s">
        <v>59</v>
      </c>
      <c r="D35" s="54">
        <v>13.7</v>
      </c>
      <c r="E35" s="37">
        <v>2</v>
      </c>
      <c r="F35" s="59">
        <v>24198</v>
      </c>
      <c r="G35" s="60">
        <v>128</v>
      </c>
    </row>
    <row r="36" spans="1:7" ht="15">
      <c r="A36" s="56"/>
      <c r="B36" s="56"/>
      <c r="C36" s="24" t="s">
        <v>61</v>
      </c>
      <c r="D36" s="2984" t="s">
        <v>74</v>
      </c>
      <c r="E36" s="2985"/>
      <c r="F36" s="2986"/>
      <c r="G36" s="25"/>
    </row>
    <row r="38" spans="1:7" ht="15">
      <c r="A38" s="85" t="s">
        <v>81</v>
      </c>
    </row>
    <row r="39" spans="1:7" s="7" customFormat="1" ht="15">
      <c r="A39" s="33" t="s">
        <v>105</v>
      </c>
      <c r="B39" s="24" t="s">
        <v>106</v>
      </c>
      <c r="C39" s="26" t="s">
        <v>107</v>
      </c>
      <c r="D39" s="24" t="s">
        <v>108</v>
      </c>
      <c r="E39" s="32" t="s">
        <v>54</v>
      </c>
      <c r="F39" s="17" t="s">
        <v>109</v>
      </c>
    </row>
    <row r="40" spans="1:7" s="7" customFormat="1" ht="18" customHeight="1">
      <c r="A40" s="33" t="s">
        <v>98</v>
      </c>
      <c r="B40" s="24">
        <v>4063</v>
      </c>
      <c r="C40" s="26">
        <v>15</v>
      </c>
      <c r="D40" s="24" t="s">
        <v>99</v>
      </c>
      <c r="E40" s="81">
        <v>30</v>
      </c>
      <c r="F40" s="82">
        <v>0.9</v>
      </c>
    </row>
    <row r="41" spans="1:7" s="7" customFormat="1" ht="18" customHeight="1">
      <c r="A41" s="33" t="s">
        <v>98</v>
      </c>
      <c r="B41" s="24">
        <v>4063</v>
      </c>
      <c r="C41" s="26">
        <v>15</v>
      </c>
      <c r="D41" s="24" t="s">
        <v>100</v>
      </c>
      <c r="E41" s="81">
        <v>30</v>
      </c>
      <c r="F41" s="82">
        <v>0.9</v>
      </c>
    </row>
    <row r="42" spans="1:7" s="7" customFormat="1" ht="18" customHeight="1">
      <c r="A42" s="33" t="s">
        <v>98</v>
      </c>
      <c r="B42" s="24">
        <v>4063</v>
      </c>
      <c r="C42" s="26">
        <v>15</v>
      </c>
      <c r="D42" s="24" t="s">
        <v>101</v>
      </c>
      <c r="E42" s="81">
        <v>30</v>
      </c>
      <c r="F42" s="82">
        <v>0.9</v>
      </c>
    </row>
    <row r="43" spans="1:7" s="7" customFormat="1" ht="18" customHeight="1">
      <c r="A43" s="33" t="s">
        <v>98</v>
      </c>
      <c r="B43" s="24">
        <v>4063</v>
      </c>
      <c r="C43" s="26">
        <v>15</v>
      </c>
      <c r="D43" s="24" t="s">
        <v>102</v>
      </c>
      <c r="E43" s="81">
        <v>30</v>
      </c>
      <c r="F43" s="82">
        <v>0.9</v>
      </c>
    </row>
    <row r="44" spans="1:7" s="7" customFormat="1" ht="18" customHeight="1">
      <c r="A44" s="33" t="s">
        <v>98</v>
      </c>
      <c r="B44" s="24">
        <v>4067</v>
      </c>
      <c r="C44" s="26">
        <v>15</v>
      </c>
      <c r="D44" s="24" t="s">
        <v>103</v>
      </c>
      <c r="E44" s="81">
        <v>30</v>
      </c>
      <c r="F44" s="82">
        <v>0.9</v>
      </c>
    </row>
    <row r="45" spans="1:7" s="7" customFormat="1" ht="18" customHeight="1">
      <c r="A45" s="33" t="s">
        <v>98</v>
      </c>
      <c r="B45" s="24">
        <v>4067</v>
      </c>
      <c r="C45" s="26">
        <v>15</v>
      </c>
      <c r="D45" s="24" t="s">
        <v>104</v>
      </c>
      <c r="E45" s="81">
        <v>30</v>
      </c>
      <c r="F45" s="82">
        <v>0.9</v>
      </c>
    </row>
    <row r="46" spans="1:7" s="1" customFormat="1" ht="15">
      <c r="A46" s="33" t="s">
        <v>98</v>
      </c>
      <c r="B46" s="73"/>
      <c r="C46" s="83"/>
      <c r="D46" s="55" t="s">
        <v>31</v>
      </c>
      <c r="E46" s="84"/>
      <c r="F46" s="82">
        <v>12</v>
      </c>
    </row>
    <row r="50" spans="1:5" s="7" customFormat="1" ht="15">
      <c r="A50" s="33" t="s">
        <v>105</v>
      </c>
      <c r="B50" s="24" t="s">
        <v>106</v>
      </c>
      <c r="C50" s="24" t="s">
        <v>111</v>
      </c>
      <c r="D50" s="32" t="s">
        <v>54</v>
      </c>
      <c r="E50" s="17" t="s">
        <v>112</v>
      </c>
    </row>
    <row r="51" spans="1:5" s="7" customFormat="1" ht="15">
      <c r="A51" s="33" t="s">
        <v>97</v>
      </c>
      <c r="B51" s="24" t="s">
        <v>57</v>
      </c>
      <c r="C51" s="24" t="s">
        <v>59</v>
      </c>
      <c r="D51" s="86" t="s">
        <v>110</v>
      </c>
      <c r="E51" s="82">
        <v>1.24</v>
      </c>
    </row>
    <row r="52" spans="1:5" s="7" customFormat="1" ht="15">
      <c r="A52" s="33" t="s">
        <v>97</v>
      </c>
      <c r="B52" s="56"/>
      <c r="C52" s="24" t="s">
        <v>61</v>
      </c>
      <c r="D52" s="87">
        <v>1</v>
      </c>
      <c r="E52" s="82">
        <v>100</v>
      </c>
    </row>
    <row r="54" spans="1:5" ht="15.75">
      <c r="A54" s="89" t="s">
        <v>105</v>
      </c>
      <c r="B54" s="89" t="s">
        <v>119</v>
      </c>
      <c r="C54" s="90" t="s">
        <v>106</v>
      </c>
      <c r="D54" s="90" t="s">
        <v>111</v>
      </c>
      <c r="E54" s="91" t="s">
        <v>54</v>
      </c>
    </row>
    <row r="55" spans="1:5" ht="14.25">
      <c r="A55" s="92" t="s">
        <v>113</v>
      </c>
      <c r="B55" s="55" t="s">
        <v>88</v>
      </c>
      <c r="C55" s="55">
        <v>2440</v>
      </c>
      <c r="D55" s="55" t="s">
        <v>114</v>
      </c>
      <c r="E55" s="81">
        <v>15</v>
      </c>
    </row>
    <row r="56" spans="1:5" ht="14.25">
      <c r="A56" s="92" t="s">
        <v>113</v>
      </c>
      <c r="B56" s="55" t="s">
        <v>88</v>
      </c>
      <c r="C56" s="55">
        <v>2440</v>
      </c>
      <c r="D56" s="55" t="s">
        <v>115</v>
      </c>
      <c r="E56" s="81">
        <v>10</v>
      </c>
    </row>
    <row r="57" spans="1:5" ht="14.25">
      <c r="A57" s="92" t="s">
        <v>113</v>
      </c>
      <c r="B57" s="55" t="s">
        <v>88</v>
      </c>
      <c r="C57" s="55">
        <v>2440</v>
      </c>
      <c r="D57" s="55" t="s">
        <v>116</v>
      </c>
      <c r="E57" s="81">
        <v>15</v>
      </c>
    </row>
    <row r="58" spans="1:5" ht="14.25">
      <c r="A58" s="92" t="s">
        <v>113</v>
      </c>
      <c r="B58" s="55" t="s">
        <v>88</v>
      </c>
      <c r="C58" s="55">
        <v>2440</v>
      </c>
      <c r="D58" s="55" t="s">
        <v>117</v>
      </c>
      <c r="E58" s="81">
        <v>10</v>
      </c>
    </row>
    <row r="59" spans="1:5" ht="14.25">
      <c r="A59" s="92" t="s">
        <v>113</v>
      </c>
      <c r="B59" s="55" t="s">
        <v>88</v>
      </c>
      <c r="C59" s="55">
        <v>2440</v>
      </c>
      <c r="D59" s="55" t="s">
        <v>118</v>
      </c>
      <c r="E59" s="81">
        <v>15</v>
      </c>
    </row>
    <row r="62" spans="1:5" s="1" customFormat="1" ht="18" customHeight="1">
      <c r="A62" s="89" t="s">
        <v>105</v>
      </c>
      <c r="B62" s="90" t="s">
        <v>106</v>
      </c>
      <c r="C62" s="90" t="s">
        <v>111</v>
      </c>
      <c r="D62" s="91" t="s">
        <v>54</v>
      </c>
      <c r="E62" s="93" t="s">
        <v>112</v>
      </c>
    </row>
    <row r="63" spans="1:5" s="1" customFormat="1" ht="18" customHeight="1">
      <c r="A63" s="65" t="s">
        <v>113</v>
      </c>
      <c r="B63" s="88">
        <v>2440</v>
      </c>
      <c r="C63" s="55" t="s">
        <v>114</v>
      </c>
      <c r="D63" s="66">
        <v>15</v>
      </c>
      <c r="E63" s="40">
        <v>3.1</v>
      </c>
    </row>
    <row r="64" spans="1:5" s="1" customFormat="1" ht="18" customHeight="1">
      <c r="A64" s="65" t="s">
        <v>113</v>
      </c>
      <c r="B64" s="88">
        <v>2440</v>
      </c>
      <c r="C64" s="55" t="s">
        <v>115</v>
      </c>
      <c r="D64" s="66">
        <v>10</v>
      </c>
      <c r="E64" s="40">
        <v>3.1</v>
      </c>
    </row>
    <row r="65" spans="1:5" s="1" customFormat="1" ht="18" customHeight="1">
      <c r="A65" s="65" t="s">
        <v>113</v>
      </c>
      <c r="B65" s="88">
        <v>2440</v>
      </c>
      <c r="C65" s="55" t="s">
        <v>116</v>
      </c>
      <c r="D65" s="66">
        <v>15</v>
      </c>
      <c r="E65" s="40">
        <v>3.1</v>
      </c>
    </row>
    <row r="66" spans="1:5" s="1" customFormat="1" ht="18" customHeight="1">
      <c r="A66" s="65" t="s">
        <v>113</v>
      </c>
      <c r="B66" s="88">
        <v>2440</v>
      </c>
      <c r="C66" s="55" t="s">
        <v>117</v>
      </c>
      <c r="D66" s="66">
        <v>10</v>
      </c>
      <c r="E66" s="40">
        <v>3.1</v>
      </c>
    </row>
    <row r="67" spans="1:5" s="1" customFormat="1" ht="18" customHeight="1">
      <c r="A67" s="65" t="s">
        <v>113</v>
      </c>
      <c r="B67" s="88">
        <v>2440</v>
      </c>
      <c r="C67" s="55" t="s">
        <v>118</v>
      </c>
      <c r="D67" s="66">
        <v>15</v>
      </c>
      <c r="E67" s="40">
        <v>3.1</v>
      </c>
    </row>
    <row r="68" spans="1:5" s="1" customFormat="1" ht="14.25">
      <c r="A68" s="65" t="s">
        <v>113</v>
      </c>
      <c r="B68" s="73"/>
      <c r="C68" s="55" t="s">
        <v>75</v>
      </c>
      <c r="D68" s="35" t="s">
        <v>120</v>
      </c>
      <c r="E68" s="40">
        <v>60</v>
      </c>
    </row>
    <row r="69" spans="1:5" s="1" customFormat="1" ht="14.25">
      <c r="A69" s="65" t="s">
        <v>113</v>
      </c>
      <c r="B69" s="73"/>
      <c r="C69" s="55" t="s">
        <v>31</v>
      </c>
      <c r="D69" s="35" t="s">
        <v>86</v>
      </c>
      <c r="E69" s="40">
        <v>12</v>
      </c>
    </row>
    <row r="74" spans="1:5" ht="15.75">
      <c r="A74" s="90" t="s">
        <v>106</v>
      </c>
      <c r="B74" s="90" t="s">
        <v>111</v>
      </c>
      <c r="C74" s="91" t="s">
        <v>54</v>
      </c>
      <c r="D74" s="93" t="s">
        <v>112</v>
      </c>
    </row>
    <row r="75" spans="1:5" ht="15">
      <c r="A75" s="24" t="s">
        <v>165</v>
      </c>
      <c r="B75" s="24" t="s">
        <v>78</v>
      </c>
      <c r="C75" s="54">
        <v>54.8</v>
      </c>
      <c r="D75" s="40">
        <v>2.4</v>
      </c>
    </row>
    <row r="76" spans="1:5" ht="14.25">
      <c r="A76" s="55"/>
      <c r="B76" s="55" t="s">
        <v>31</v>
      </c>
      <c r="C76" s="35" t="s">
        <v>86</v>
      </c>
      <c r="D76" s="40">
        <v>12</v>
      </c>
    </row>
    <row r="78" spans="1:5" ht="15.75">
      <c r="A78" s="90" t="s">
        <v>106</v>
      </c>
      <c r="B78" s="90" t="s">
        <v>111</v>
      </c>
      <c r="C78" s="91" t="s">
        <v>54</v>
      </c>
      <c r="D78" s="93" t="s">
        <v>112</v>
      </c>
    </row>
    <row r="79" spans="1:5" ht="15">
      <c r="A79" s="24" t="s">
        <v>142</v>
      </c>
      <c r="B79" s="24" t="s">
        <v>143</v>
      </c>
      <c r="C79" s="54">
        <v>27.4</v>
      </c>
      <c r="D79" s="40">
        <v>2.0699999999999998</v>
      </c>
    </row>
    <row r="80" spans="1:5" ht="15">
      <c r="A80" s="24" t="s">
        <v>142</v>
      </c>
      <c r="B80" s="24" t="s">
        <v>144</v>
      </c>
      <c r="C80" s="54">
        <v>27.4</v>
      </c>
      <c r="D80" s="40">
        <v>2.0699999999999998</v>
      </c>
    </row>
    <row r="81" spans="1:8" ht="14.25">
      <c r="A81" s="55"/>
      <c r="B81" s="55" t="s">
        <v>145</v>
      </c>
      <c r="C81" s="35" t="s">
        <v>146</v>
      </c>
      <c r="D81" s="40">
        <v>200</v>
      </c>
    </row>
    <row r="82" spans="1:8" ht="14.25">
      <c r="A82" s="55"/>
      <c r="B82" s="55"/>
      <c r="C82" s="35"/>
      <c r="D82" s="40"/>
    </row>
    <row r="83" spans="1:8" ht="14.25">
      <c r="A83" s="55"/>
      <c r="B83" s="55"/>
      <c r="C83" s="35"/>
      <c r="D83" s="40"/>
    </row>
    <row r="84" spans="1:8" ht="14.25">
      <c r="A84" s="55"/>
      <c r="B84" s="55"/>
      <c r="C84" s="35"/>
      <c r="D84" s="40"/>
    </row>
    <row r="85" spans="1:8" ht="14.25">
      <c r="A85" s="55"/>
      <c r="B85" s="55"/>
      <c r="C85" s="35"/>
      <c r="D85" s="40"/>
    </row>
    <row r="86" spans="1:8" ht="14.25">
      <c r="A86" s="55"/>
      <c r="B86" s="55"/>
      <c r="C86" s="35"/>
      <c r="D86" s="40"/>
    </row>
    <row r="87" spans="1:8" ht="15">
      <c r="A87" s="15"/>
      <c r="B87" s="20" t="s">
        <v>141</v>
      </c>
      <c r="C87" s="26"/>
      <c r="D87" s="24"/>
      <c r="E87" s="67"/>
      <c r="F87" s="67"/>
      <c r="G87" s="68"/>
      <c r="H87" s="70" t="s">
        <v>134</v>
      </c>
    </row>
    <row r="88" spans="1:8" ht="15">
      <c r="A88" s="15" t="s">
        <v>28</v>
      </c>
      <c r="B88" s="95" t="s">
        <v>142</v>
      </c>
      <c r="C88" s="26"/>
      <c r="D88" s="24" t="s">
        <v>143</v>
      </c>
      <c r="E88" s="54">
        <f>F88*G88</f>
        <v>27.4</v>
      </c>
      <c r="F88" s="54">
        <v>13.7</v>
      </c>
      <c r="G88" s="64">
        <v>2</v>
      </c>
      <c r="H88" s="25">
        <v>2.0699999999999998</v>
      </c>
    </row>
    <row r="89" spans="1:8" ht="15">
      <c r="A89" s="15" t="s">
        <v>28</v>
      </c>
      <c r="B89" s="95" t="s">
        <v>142</v>
      </c>
      <c r="C89" s="26"/>
      <c r="D89" s="24" t="s">
        <v>144</v>
      </c>
      <c r="E89" s="54">
        <f>F89*G89</f>
        <v>27.4</v>
      </c>
      <c r="F89" s="54">
        <v>13.7</v>
      </c>
      <c r="G89" s="64">
        <v>2</v>
      </c>
      <c r="H89" s="25">
        <v>2.0699999999999998</v>
      </c>
    </row>
    <row r="90" spans="1:8" ht="15">
      <c r="A90" s="15" t="s">
        <v>28</v>
      </c>
      <c r="B90" s="95"/>
      <c r="C90" s="26"/>
      <c r="D90" s="24" t="s">
        <v>145</v>
      </c>
      <c r="E90" s="54"/>
      <c r="F90" s="102" t="s">
        <v>146</v>
      </c>
      <c r="G90" s="64"/>
      <c r="H90" s="25">
        <v>200</v>
      </c>
    </row>
    <row r="94" spans="1:8" ht="15">
      <c r="A94" s="95" t="s">
        <v>91</v>
      </c>
      <c r="B94" s="26"/>
      <c r="C94" s="24" t="s">
        <v>78</v>
      </c>
      <c r="D94" s="69">
        <v>54.8</v>
      </c>
      <c r="E94" s="54">
        <v>13.7</v>
      </c>
      <c r="F94" s="37">
        <v>4</v>
      </c>
      <c r="G94" s="25">
        <v>2.4</v>
      </c>
    </row>
    <row r="95" spans="1:8" ht="14.25">
      <c r="A95" s="55"/>
      <c r="B95" s="74"/>
      <c r="C95" s="55" t="s">
        <v>31</v>
      </c>
      <c r="D95" s="35"/>
      <c r="E95" s="35" t="s">
        <v>86</v>
      </c>
      <c r="F95" s="37"/>
      <c r="G95" s="40">
        <v>12</v>
      </c>
    </row>
    <row r="97" spans="1:7" ht="15">
      <c r="A97" s="20" t="s">
        <v>55</v>
      </c>
      <c r="B97" s="26"/>
      <c r="C97" s="24"/>
      <c r="D97" s="67"/>
      <c r="E97" s="67"/>
      <c r="F97" s="68"/>
      <c r="G97" s="17" t="s">
        <v>9</v>
      </c>
    </row>
    <row r="98" spans="1:7" ht="15">
      <c r="A98" s="95" t="s">
        <v>90</v>
      </c>
      <c r="B98" s="26"/>
      <c r="C98" s="24" t="s">
        <v>149</v>
      </c>
      <c r="D98" s="35">
        <f>E98*F98</f>
        <v>14</v>
      </c>
      <c r="E98" s="54">
        <v>14</v>
      </c>
      <c r="F98" s="37">
        <v>1</v>
      </c>
      <c r="G98" s="25">
        <v>1.65</v>
      </c>
    </row>
    <row r="99" spans="1:7" ht="15">
      <c r="A99" s="95" t="s">
        <v>84</v>
      </c>
      <c r="B99" s="26"/>
      <c r="C99" s="24" t="s">
        <v>89</v>
      </c>
      <c r="D99" s="69">
        <f>E99*F99</f>
        <v>13.7</v>
      </c>
      <c r="E99" s="54">
        <v>13.7</v>
      </c>
      <c r="F99" s="37">
        <v>1</v>
      </c>
      <c r="G99" s="25">
        <v>2.4</v>
      </c>
    </row>
    <row r="100" spans="1:7" ht="14.25">
      <c r="A100" s="55"/>
      <c r="B100" s="74"/>
      <c r="C100" s="55" t="s">
        <v>31</v>
      </c>
      <c r="D100" s="35"/>
      <c r="E100" s="35" t="s">
        <v>86</v>
      </c>
      <c r="F100" s="37"/>
      <c r="G100" s="40">
        <v>12</v>
      </c>
    </row>
    <row r="103" spans="1:7" ht="15.75">
      <c r="A103" s="90" t="s">
        <v>106</v>
      </c>
      <c r="B103" s="90" t="s">
        <v>111</v>
      </c>
      <c r="C103" s="91" t="s">
        <v>54</v>
      </c>
      <c r="D103" s="93" t="s">
        <v>112</v>
      </c>
    </row>
    <row r="104" spans="1:7" ht="15">
      <c r="A104" s="24" t="s">
        <v>91</v>
      </c>
      <c r="B104" s="24" t="s">
        <v>78</v>
      </c>
      <c r="C104" s="54" t="s">
        <v>168</v>
      </c>
      <c r="D104" s="40">
        <v>2.4</v>
      </c>
    </row>
    <row r="105" spans="1:7" ht="14.25">
      <c r="A105" s="55"/>
      <c r="B105" s="55" t="s">
        <v>31</v>
      </c>
      <c r="C105" s="35" t="s">
        <v>86</v>
      </c>
      <c r="D105" s="40">
        <v>12</v>
      </c>
    </row>
    <row r="108" spans="1:7" ht="15">
      <c r="A108" s="20" t="s">
        <v>55</v>
      </c>
      <c r="B108" s="26"/>
      <c r="C108" s="24"/>
      <c r="D108" s="67"/>
      <c r="E108" s="67"/>
      <c r="F108" s="68"/>
      <c r="G108" s="17" t="s">
        <v>9</v>
      </c>
    </row>
    <row r="109" spans="1:7" ht="15">
      <c r="A109" s="95" t="s">
        <v>91</v>
      </c>
      <c r="B109" s="26"/>
      <c r="C109" s="24" t="s">
        <v>78</v>
      </c>
      <c r="D109" s="69">
        <f>E109*F109</f>
        <v>109.6</v>
      </c>
      <c r="E109" s="54">
        <v>13.7</v>
      </c>
      <c r="F109" s="37">
        <v>8</v>
      </c>
      <c r="G109" s="25">
        <v>2.4</v>
      </c>
    </row>
    <row r="110" spans="1:7" ht="14.25">
      <c r="A110" s="55"/>
      <c r="B110" s="74"/>
      <c r="C110" s="55" t="s">
        <v>31</v>
      </c>
      <c r="D110" s="35"/>
      <c r="E110" s="35" t="s">
        <v>86</v>
      </c>
      <c r="F110" s="37"/>
      <c r="G110" s="40">
        <v>12</v>
      </c>
    </row>
    <row r="119" spans="1:9">
      <c r="A119" s="123" t="s">
        <v>263</v>
      </c>
      <c r="B119" s="124" t="s">
        <v>264</v>
      </c>
      <c r="C119" s="125" t="s">
        <v>265</v>
      </c>
      <c r="D119" s="126" t="s">
        <v>266</v>
      </c>
    </row>
    <row r="120" spans="1:9" ht="14.25">
      <c r="A120" s="127">
        <v>14552</v>
      </c>
      <c r="B120" s="128">
        <v>5</v>
      </c>
      <c r="C120" s="129">
        <v>30</v>
      </c>
      <c r="D120" s="130">
        <v>23.5</v>
      </c>
      <c r="E120" s="132" t="s">
        <v>267</v>
      </c>
      <c r="F120" s="132" t="s">
        <v>268</v>
      </c>
      <c r="G120" s="133" t="s">
        <v>269</v>
      </c>
      <c r="H120" s="132"/>
      <c r="I120" s="134">
        <v>23.5</v>
      </c>
    </row>
    <row r="121" spans="1:9" ht="14.25">
      <c r="A121" s="127">
        <v>14552</v>
      </c>
      <c r="B121" s="128">
        <v>7</v>
      </c>
      <c r="C121" s="129">
        <v>30</v>
      </c>
      <c r="D121" s="130">
        <v>24.5</v>
      </c>
      <c r="E121" s="132" t="s">
        <v>267</v>
      </c>
      <c r="F121" s="132" t="s">
        <v>270</v>
      </c>
      <c r="G121" s="133" t="s">
        <v>269</v>
      </c>
      <c r="H121" s="132"/>
      <c r="I121" s="134">
        <v>24.5</v>
      </c>
    </row>
    <row r="122" spans="1:9" ht="14.25">
      <c r="A122" s="127">
        <v>14552</v>
      </c>
      <c r="B122" s="128">
        <v>10</v>
      </c>
      <c r="C122" s="129">
        <v>30</v>
      </c>
      <c r="D122" s="131">
        <v>27</v>
      </c>
      <c r="E122" s="132" t="s">
        <v>267</v>
      </c>
      <c r="F122" s="132" t="s">
        <v>271</v>
      </c>
      <c r="G122" s="133" t="s">
        <v>269</v>
      </c>
      <c r="H122" s="132"/>
      <c r="I122" s="134">
        <v>27</v>
      </c>
    </row>
    <row r="123" spans="1:9" ht="14.25">
      <c r="A123" s="127">
        <v>14552</v>
      </c>
      <c r="B123" s="128">
        <v>12</v>
      </c>
      <c r="C123" s="129">
        <v>30</v>
      </c>
      <c r="D123" s="130">
        <v>29.5</v>
      </c>
      <c r="E123" s="132" t="s">
        <v>267</v>
      </c>
      <c r="F123" s="132" t="s">
        <v>272</v>
      </c>
      <c r="G123" s="133" t="s">
        <v>269</v>
      </c>
      <c r="H123" s="132"/>
      <c r="I123" s="134">
        <v>29.5</v>
      </c>
    </row>
    <row r="124" spans="1:9" ht="14.25">
      <c r="A124" s="127">
        <v>14552</v>
      </c>
      <c r="B124" s="128">
        <v>15</v>
      </c>
      <c r="C124" s="129">
        <v>30</v>
      </c>
      <c r="D124" s="131">
        <v>33</v>
      </c>
      <c r="E124" s="132" t="s">
        <v>267</v>
      </c>
      <c r="F124" s="132" t="s">
        <v>273</v>
      </c>
      <c r="G124" s="133" t="s">
        <v>269</v>
      </c>
      <c r="H124" s="132"/>
      <c r="I124" s="134">
        <v>33</v>
      </c>
    </row>
    <row r="125" spans="1:9" ht="14.25">
      <c r="A125" s="127">
        <v>14552</v>
      </c>
      <c r="B125" s="128">
        <v>18</v>
      </c>
      <c r="C125" s="129">
        <v>30</v>
      </c>
      <c r="D125" s="131">
        <v>40</v>
      </c>
      <c r="E125" s="132" t="s">
        <v>267</v>
      </c>
      <c r="F125" s="132" t="s">
        <v>274</v>
      </c>
      <c r="G125" s="133" t="s">
        <v>269</v>
      </c>
      <c r="H125" s="132"/>
      <c r="I125" s="134">
        <v>40</v>
      </c>
    </row>
    <row r="126" spans="1:9" ht="14.25">
      <c r="A126" s="127">
        <v>14552</v>
      </c>
      <c r="B126" s="128">
        <v>25</v>
      </c>
      <c r="C126" s="129">
        <v>30</v>
      </c>
      <c r="D126" s="131">
        <v>48</v>
      </c>
      <c r="E126" s="132" t="s">
        <v>267</v>
      </c>
      <c r="F126" s="132" t="s">
        <v>275</v>
      </c>
      <c r="G126" s="133" t="s">
        <v>269</v>
      </c>
      <c r="H126" s="132"/>
      <c r="I126" s="134">
        <v>48</v>
      </c>
    </row>
    <row r="127" spans="1:9" ht="14.25">
      <c r="A127" s="127">
        <v>14552</v>
      </c>
      <c r="B127" s="128">
        <v>30</v>
      </c>
      <c r="C127" s="129">
        <v>30</v>
      </c>
      <c r="D127" s="131">
        <v>63</v>
      </c>
      <c r="E127" s="132" t="s">
        <v>267</v>
      </c>
      <c r="F127" s="132" t="s">
        <v>276</v>
      </c>
      <c r="G127" s="133" t="s">
        <v>269</v>
      </c>
      <c r="H127" s="132"/>
      <c r="I127" s="134">
        <v>63</v>
      </c>
    </row>
    <row r="128" spans="1:9" ht="14.25">
      <c r="A128" s="127">
        <v>14552</v>
      </c>
      <c r="B128" s="128">
        <v>38</v>
      </c>
      <c r="C128" s="129">
        <v>30</v>
      </c>
      <c r="D128" s="130">
        <v>70.5</v>
      </c>
      <c r="E128" s="132" t="s">
        <v>267</v>
      </c>
      <c r="F128" s="132" t="s">
        <v>277</v>
      </c>
      <c r="G128" s="133" t="s">
        <v>269</v>
      </c>
      <c r="H128" s="132"/>
      <c r="I128" s="134">
        <v>70.5</v>
      </c>
    </row>
    <row r="129" spans="1:9" ht="14.25">
      <c r="A129" s="127">
        <v>14552</v>
      </c>
      <c r="B129" s="128">
        <v>50</v>
      </c>
      <c r="C129" s="129">
        <v>30</v>
      </c>
      <c r="D129" s="131">
        <v>101</v>
      </c>
      <c r="E129" s="132" t="s">
        <v>267</v>
      </c>
      <c r="F129" s="132" t="s">
        <v>278</v>
      </c>
      <c r="G129" s="133" t="s">
        <v>269</v>
      </c>
      <c r="H129" s="132"/>
      <c r="I129" s="134">
        <v>101</v>
      </c>
    </row>
    <row r="130" spans="1:9" ht="14.25">
      <c r="A130" s="127">
        <v>14552</v>
      </c>
      <c r="B130" s="128">
        <v>75</v>
      </c>
      <c r="C130" s="129">
        <v>30</v>
      </c>
      <c r="D130" s="131">
        <v>162</v>
      </c>
      <c r="E130" s="132" t="s">
        <v>267</v>
      </c>
      <c r="F130" s="132" t="s">
        <v>279</v>
      </c>
      <c r="G130" s="133" t="s">
        <v>269</v>
      </c>
      <c r="H130" s="132"/>
      <c r="I130" s="134">
        <v>162</v>
      </c>
    </row>
    <row r="133" spans="1:9">
      <c r="A133" t="s">
        <v>7841</v>
      </c>
    </row>
    <row r="134" spans="1:9" ht="15">
      <c r="A134" s="24">
        <v>2440</v>
      </c>
      <c r="B134" s="24" t="s">
        <v>6303</v>
      </c>
      <c r="C134" s="67">
        <v>58</v>
      </c>
      <c r="D134" s="39">
        <v>45190</v>
      </c>
      <c r="E134" s="46">
        <v>3.34</v>
      </c>
      <c r="F134" s="39">
        <v>44169</v>
      </c>
      <c r="G134" s="39"/>
    </row>
    <row r="135" spans="1:9" ht="15">
      <c r="A135" s="24">
        <v>2440</v>
      </c>
      <c r="B135" s="24" t="s">
        <v>3363</v>
      </c>
      <c r="C135" s="67">
        <v>58</v>
      </c>
      <c r="D135" s="39">
        <v>44867</v>
      </c>
      <c r="E135" s="46">
        <v>3.34</v>
      </c>
      <c r="F135" s="39">
        <v>44169</v>
      </c>
      <c r="G135" s="39"/>
      <c r="I135" t="s">
        <v>7842</v>
      </c>
    </row>
    <row r="136" spans="1:9" ht="15">
      <c r="A136" s="24">
        <v>2440</v>
      </c>
      <c r="B136" s="164" t="s">
        <v>733</v>
      </c>
      <c r="C136" s="67">
        <v>174</v>
      </c>
      <c r="D136" s="39">
        <v>44547</v>
      </c>
      <c r="E136" s="46">
        <v>3.34</v>
      </c>
      <c r="F136" s="39">
        <v>44169</v>
      </c>
      <c r="G136" s="39"/>
      <c r="I136" s="24" t="s">
        <v>733</v>
      </c>
    </row>
    <row r="137" spans="1:9" ht="15">
      <c r="A137" s="24">
        <v>2440</v>
      </c>
      <c r="B137" s="164" t="s">
        <v>733</v>
      </c>
      <c r="C137" s="67">
        <v>174</v>
      </c>
      <c r="D137" s="39">
        <v>44867</v>
      </c>
      <c r="E137" s="46">
        <v>3.34</v>
      </c>
      <c r="F137" s="39">
        <v>44169</v>
      </c>
      <c r="G137" s="39"/>
      <c r="I137" s="24" t="s">
        <v>7608</v>
      </c>
    </row>
    <row r="138" spans="1:9" ht="15">
      <c r="A138" s="24">
        <v>2440</v>
      </c>
      <c r="B138" s="164" t="s">
        <v>733</v>
      </c>
      <c r="C138" s="67">
        <v>232</v>
      </c>
      <c r="D138" s="39">
        <v>44916</v>
      </c>
      <c r="E138" s="46">
        <v>3.34</v>
      </c>
      <c r="F138" s="39">
        <v>44169</v>
      </c>
      <c r="G138" s="39"/>
      <c r="I138" s="24" t="s">
        <v>5663</v>
      </c>
    </row>
    <row r="139" spans="1:9" ht="15">
      <c r="A139" s="24">
        <v>2440</v>
      </c>
      <c r="B139" s="164" t="s">
        <v>733</v>
      </c>
      <c r="C139" s="67">
        <v>174</v>
      </c>
      <c r="D139" s="39">
        <v>44938</v>
      </c>
      <c r="E139" s="46">
        <v>3.34</v>
      </c>
      <c r="F139" s="39">
        <v>44211</v>
      </c>
      <c r="G139" s="39"/>
      <c r="I139" s="24" t="s">
        <v>7609</v>
      </c>
    </row>
    <row r="140" spans="1:9" ht="15">
      <c r="A140" s="24">
        <v>2440</v>
      </c>
      <c r="B140" s="164" t="s">
        <v>733</v>
      </c>
      <c r="C140" s="67">
        <v>66</v>
      </c>
      <c r="D140" s="39">
        <v>44938</v>
      </c>
      <c r="E140" s="46">
        <v>3.34</v>
      </c>
      <c r="F140" s="39">
        <v>44211</v>
      </c>
      <c r="G140" s="39"/>
      <c r="I140" s="24" t="s">
        <v>5670</v>
      </c>
    </row>
    <row r="141" spans="1:9" ht="15">
      <c r="A141" s="24">
        <v>2440</v>
      </c>
      <c r="B141" s="164" t="s">
        <v>733</v>
      </c>
      <c r="C141" s="67">
        <v>290</v>
      </c>
      <c r="D141" s="39">
        <v>44957</v>
      </c>
      <c r="E141" s="46">
        <v>3.34</v>
      </c>
      <c r="F141" s="39">
        <v>44211</v>
      </c>
      <c r="G141" s="39"/>
      <c r="I141" s="24" t="s">
        <v>5668</v>
      </c>
    </row>
    <row r="142" spans="1:9" ht="15">
      <c r="A142" s="24">
        <v>2440</v>
      </c>
      <c r="B142" s="164" t="s">
        <v>733</v>
      </c>
      <c r="C142" s="67">
        <v>174</v>
      </c>
      <c r="D142" s="39">
        <v>45126</v>
      </c>
      <c r="E142" s="46">
        <v>3.34</v>
      </c>
      <c r="F142" s="39">
        <v>44211</v>
      </c>
      <c r="G142" s="39"/>
      <c r="I142" s="24" t="s">
        <v>2010</v>
      </c>
    </row>
    <row r="143" spans="1:9" ht="15">
      <c r="A143" s="24">
        <v>2440</v>
      </c>
      <c r="B143" s="164" t="s">
        <v>733</v>
      </c>
      <c r="C143" s="67">
        <v>406</v>
      </c>
      <c r="D143" s="39">
        <v>45271</v>
      </c>
      <c r="E143" s="46">
        <v>3.34</v>
      </c>
      <c r="F143" s="39">
        <v>44211</v>
      </c>
      <c r="G143" s="39"/>
      <c r="I143" s="24" t="s">
        <v>6761</v>
      </c>
    </row>
    <row r="144" spans="1:9" ht="15">
      <c r="A144" s="2354">
        <v>2440</v>
      </c>
      <c r="B144" s="164" t="s">
        <v>733</v>
      </c>
      <c r="C144" s="67">
        <v>290</v>
      </c>
      <c r="D144" s="239">
        <v>45537</v>
      </c>
      <c r="E144" s="46">
        <v>3.34</v>
      </c>
      <c r="F144" s="39">
        <v>44211</v>
      </c>
      <c r="G144" s="39"/>
      <c r="I144" s="24" t="s">
        <v>3367</v>
      </c>
    </row>
    <row r="145" spans="1:9" ht="15">
      <c r="A145" s="24">
        <v>2440</v>
      </c>
      <c r="B145" s="164" t="s">
        <v>7608</v>
      </c>
      <c r="C145" s="67">
        <v>58</v>
      </c>
      <c r="D145" s="39">
        <v>45555</v>
      </c>
      <c r="E145" s="46">
        <v>3.34</v>
      </c>
      <c r="F145" s="39">
        <v>44211</v>
      </c>
      <c r="G145" s="39"/>
      <c r="I145" s="24" t="s">
        <v>6764</v>
      </c>
    </row>
    <row r="146" spans="1:9" ht="15">
      <c r="A146" s="24">
        <v>2440</v>
      </c>
      <c r="B146" s="164" t="s">
        <v>2602</v>
      </c>
      <c r="C146" s="67">
        <v>116</v>
      </c>
      <c r="D146" s="39">
        <v>44655</v>
      </c>
      <c r="E146" s="46">
        <v>3.34</v>
      </c>
      <c r="F146" s="39">
        <v>44263</v>
      </c>
      <c r="G146" s="39"/>
      <c r="I146" s="24" t="s">
        <v>5664</v>
      </c>
    </row>
    <row r="147" spans="1:9" ht="15">
      <c r="A147" s="24">
        <v>2440</v>
      </c>
      <c r="B147" s="164" t="s">
        <v>5663</v>
      </c>
      <c r="C147" s="67">
        <v>174</v>
      </c>
      <c r="D147" s="39">
        <v>45022</v>
      </c>
      <c r="E147" s="46">
        <v>3.34</v>
      </c>
      <c r="F147" s="39">
        <v>44263</v>
      </c>
      <c r="G147" s="39"/>
      <c r="I147" s="24" t="s">
        <v>1007</v>
      </c>
    </row>
    <row r="148" spans="1:9" ht="15">
      <c r="A148" s="24">
        <v>2440</v>
      </c>
      <c r="B148" s="164" t="s">
        <v>7609</v>
      </c>
      <c r="C148" s="67">
        <v>58</v>
      </c>
      <c r="D148" s="39">
        <v>45555</v>
      </c>
      <c r="E148" s="46">
        <v>3.34</v>
      </c>
      <c r="F148" s="39">
        <v>44312</v>
      </c>
      <c r="G148" s="39"/>
      <c r="I148" s="24" t="s">
        <v>2279</v>
      </c>
    </row>
    <row r="149" spans="1:9" ht="15">
      <c r="A149" s="24">
        <v>2440</v>
      </c>
      <c r="B149" s="164" t="s">
        <v>5670</v>
      </c>
      <c r="C149" s="67">
        <v>58</v>
      </c>
      <c r="D149" s="39">
        <v>45022</v>
      </c>
      <c r="E149" s="46">
        <v>3.34</v>
      </c>
      <c r="F149" s="39">
        <v>44312</v>
      </c>
      <c r="G149" s="39"/>
      <c r="I149" s="24" t="s">
        <v>7610</v>
      </c>
    </row>
    <row r="150" spans="1:9" ht="15">
      <c r="A150" s="24">
        <v>2440</v>
      </c>
      <c r="B150" s="164" t="s">
        <v>5668</v>
      </c>
      <c r="C150" s="67">
        <v>116</v>
      </c>
      <c r="D150" s="39">
        <v>45022</v>
      </c>
      <c r="E150" s="46">
        <v>3.34</v>
      </c>
      <c r="F150" s="39">
        <v>44312</v>
      </c>
      <c r="G150" s="39"/>
      <c r="I150" s="24" t="s">
        <v>1299</v>
      </c>
    </row>
    <row r="151" spans="1:9" ht="15">
      <c r="A151" s="24">
        <v>2440</v>
      </c>
      <c r="B151" s="164" t="s">
        <v>5668</v>
      </c>
      <c r="C151" s="67">
        <v>58</v>
      </c>
      <c r="D151" s="39">
        <v>45076</v>
      </c>
      <c r="E151" s="46">
        <v>3.34</v>
      </c>
      <c r="F151" s="39">
        <v>44343</v>
      </c>
      <c r="G151" s="39"/>
      <c r="I151" s="24" t="s">
        <v>6767</v>
      </c>
    </row>
    <row r="152" spans="1:9" ht="15">
      <c r="A152" s="24">
        <v>2440</v>
      </c>
      <c r="B152" s="164" t="s">
        <v>2010</v>
      </c>
      <c r="C152" s="67">
        <v>58</v>
      </c>
      <c r="D152" s="39">
        <v>44498</v>
      </c>
      <c r="E152" s="46">
        <v>3.34</v>
      </c>
      <c r="F152" s="39">
        <v>44361</v>
      </c>
      <c r="G152" s="39"/>
      <c r="I152" s="24" t="s">
        <v>859</v>
      </c>
    </row>
    <row r="153" spans="1:9" ht="15">
      <c r="A153" s="24">
        <v>2440</v>
      </c>
      <c r="B153" s="164" t="s">
        <v>2010</v>
      </c>
      <c r="C153" s="67">
        <v>290</v>
      </c>
      <c r="D153" s="39">
        <v>44867</v>
      </c>
      <c r="E153" s="46">
        <v>3.34</v>
      </c>
      <c r="F153" s="39">
        <v>44361</v>
      </c>
      <c r="G153" s="39"/>
      <c r="I153" s="24" t="s">
        <v>6769</v>
      </c>
    </row>
    <row r="154" spans="1:9" ht="15">
      <c r="A154" s="24">
        <v>2440</v>
      </c>
      <c r="B154" s="164" t="s">
        <v>2010</v>
      </c>
      <c r="C154" s="67">
        <v>174</v>
      </c>
      <c r="D154" s="39">
        <v>45190</v>
      </c>
      <c r="E154" s="46">
        <v>3.34</v>
      </c>
      <c r="F154" s="46">
        <v>1937.1999999999998</v>
      </c>
      <c r="G154" s="112"/>
      <c r="I154" s="24" t="s">
        <v>5666</v>
      </c>
    </row>
    <row r="155" spans="1:9" ht="15">
      <c r="A155" s="24">
        <v>2440</v>
      </c>
      <c r="B155" s="24" t="s">
        <v>1548</v>
      </c>
      <c r="C155" s="67">
        <v>116</v>
      </c>
      <c r="D155" s="213">
        <v>44312</v>
      </c>
      <c r="E155" s="46">
        <v>3.34</v>
      </c>
      <c r="F155" s="46">
        <v>581.16</v>
      </c>
      <c r="G155" s="112"/>
      <c r="I155" s="24" t="s">
        <v>6770</v>
      </c>
    </row>
    <row r="156" spans="1:9" ht="15">
      <c r="A156" s="24">
        <v>2440</v>
      </c>
      <c r="B156" s="24" t="s">
        <v>621</v>
      </c>
      <c r="C156" s="67">
        <v>116</v>
      </c>
      <c r="D156" s="213">
        <v>44211</v>
      </c>
      <c r="E156" s="46">
        <v>3.34</v>
      </c>
      <c r="F156" s="46">
        <v>1162.32</v>
      </c>
      <c r="G156" s="112"/>
      <c r="I156" s="24" t="s">
        <v>6768</v>
      </c>
    </row>
    <row r="157" spans="1:9" ht="15">
      <c r="A157" s="24">
        <v>2440</v>
      </c>
      <c r="B157" s="164" t="s">
        <v>6761</v>
      </c>
      <c r="C157" s="67">
        <v>58</v>
      </c>
      <c r="D157" s="39">
        <v>45373</v>
      </c>
      <c r="E157" s="46">
        <v>3.34</v>
      </c>
      <c r="F157" s="46">
        <v>193.72</v>
      </c>
      <c r="G157" s="112"/>
      <c r="I157" s="24" t="s">
        <v>6302</v>
      </c>
    </row>
    <row r="158" spans="1:9" ht="15">
      <c r="A158" s="24">
        <v>2440</v>
      </c>
      <c r="B158" s="164" t="s">
        <v>620</v>
      </c>
      <c r="C158" s="67">
        <v>870</v>
      </c>
      <c r="D158" s="39">
        <v>45190</v>
      </c>
      <c r="E158" s="46">
        <v>3.34</v>
      </c>
      <c r="F158" s="46">
        <v>193.72</v>
      </c>
      <c r="G158" s="112"/>
      <c r="I158" s="24" t="s">
        <v>7614</v>
      </c>
    </row>
    <row r="159" spans="1:9" ht="15">
      <c r="A159" s="24">
        <v>2440</v>
      </c>
      <c r="B159" s="164" t="s">
        <v>3371</v>
      </c>
      <c r="C159" s="67">
        <v>290</v>
      </c>
      <c r="D159" s="39">
        <v>44867</v>
      </c>
      <c r="E159" s="46">
        <v>3.34</v>
      </c>
      <c r="F159" s="46">
        <v>193.72</v>
      </c>
      <c r="G159" s="112"/>
      <c r="I159" s="24" t="s">
        <v>1547</v>
      </c>
    </row>
    <row r="160" spans="1:9" ht="15">
      <c r="A160" s="24">
        <v>2440</v>
      </c>
      <c r="B160" s="24" t="s">
        <v>3374</v>
      </c>
      <c r="C160" s="67">
        <v>58</v>
      </c>
      <c r="D160" s="39">
        <v>44867</v>
      </c>
      <c r="E160" s="46">
        <v>3.34</v>
      </c>
      <c r="F160" s="46">
        <v>1937.1999999999998</v>
      </c>
      <c r="G160" s="112"/>
      <c r="I160" s="24" t="s">
        <v>1298</v>
      </c>
    </row>
    <row r="161" spans="1:9" ht="15">
      <c r="A161" s="24">
        <v>2440</v>
      </c>
      <c r="B161" s="164" t="s">
        <v>3367</v>
      </c>
      <c r="C161" s="67">
        <v>58</v>
      </c>
      <c r="D161" s="39">
        <v>44867</v>
      </c>
      <c r="E161" s="46">
        <v>3.34</v>
      </c>
      <c r="F161" s="46">
        <v>193.72</v>
      </c>
      <c r="G161" s="112"/>
      <c r="I161" s="24" t="s">
        <v>6772</v>
      </c>
    </row>
    <row r="162" spans="1:9" ht="15">
      <c r="A162" s="24">
        <v>2440</v>
      </c>
      <c r="B162" s="164" t="s">
        <v>3367</v>
      </c>
      <c r="C162" s="67">
        <v>58</v>
      </c>
      <c r="D162" s="39">
        <v>45555</v>
      </c>
      <c r="E162" s="46">
        <v>3.34</v>
      </c>
      <c r="F162" s="46">
        <v>1937.1999999999998</v>
      </c>
      <c r="G162" s="112"/>
      <c r="I162" s="24" t="s">
        <v>7605</v>
      </c>
    </row>
    <row r="163" spans="1:9" ht="15">
      <c r="A163" s="24">
        <v>2440</v>
      </c>
      <c r="B163" s="164" t="s">
        <v>5669</v>
      </c>
      <c r="C163" s="67">
        <v>58</v>
      </c>
      <c r="D163" s="39">
        <v>45022</v>
      </c>
      <c r="E163" s="46">
        <v>3.34</v>
      </c>
      <c r="F163" s="46">
        <v>387.44</v>
      </c>
      <c r="G163" s="112"/>
      <c r="I163" s="24" t="s">
        <v>7612</v>
      </c>
    </row>
    <row r="164" spans="1:9" ht="15">
      <c r="A164" s="24">
        <v>2440</v>
      </c>
      <c r="B164" s="164" t="s">
        <v>1286</v>
      </c>
      <c r="C164" s="19">
        <v>174</v>
      </c>
      <c r="D164" s="213">
        <v>44169</v>
      </c>
      <c r="E164" s="46">
        <v>3.34</v>
      </c>
      <c r="F164" s="46">
        <v>3874.3999999999996</v>
      </c>
      <c r="G164" s="112"/>
      <c r="I164" s="24" t="s">
        <v>7611</v>
      </c>
    </row>
    <row r="165" spans="1:9" ht="15.75">
      <c r="A165" s="24">
        <v>2440</v>
      </c>
      <c r="B165" s="164" t="s">
        <v>1286</v>
      </c>
      <c r="C165" s="19">
        <v>38</v>
      </c>
      <c r="D165" s="213">
        <v>44169</v>
      </c>
      <c r="E165" s="46">
        <v>3.34</v>
      </c>
      <c r="F165" s="46">
        <v>581.16</v>
      </c>
      <c r="G165" s="162" t="s">
        <v>2219</v>
      </c>
      <c r="I165" s="24" t="s">
        <v>30</v>
      </c>
    </row>
    <row r="166" spans="1:9" ht="15.75">
      <c r="A166" s="24">
        <v>2440</v>
      </c>
      <c r="B166" s="164" t="s">
        <v>1286</v>
      </c>
      <c r="C166" s="19">
        <v>12.5</v>
      </c>
      <c r="D166" s="213">
        <v>44169</v>
      </c>
      <c r="E166" s="46">
        <v>3.34</v>
      </c>
      <c r="F166" s="46">
        <v>681.36</v>
      </c>
      <c r="G166" s="162" t="s">
        <v>2219</v>
      </c>
    </row>
    <row r="167" spans="1:9" ht="15.75">
      <c r="A167" s="24">
        <v>2440</v>
      </c>
      <c r="B167" s="164" t="s">
        <v>1286</v>
      </c>
      <c r="C167" s="19">
        <v>9</v>
      </c>
      <c r="D167" s="213">
        <v>44169</v>
      </c>
      <c r="E167" s="46">
        <v>3.34</v>
      </c>
      <c r="F167" s="46">
        <v>2130.92</v>
      </c>
      <c r="G167" s="162" t="s">
        <v>2219</v>
      </c>
    </row>
    <row r="168" spans="1:9" ht="15.75">
      <c r="A168" s="24">
        <v>2440</v>
      </c>
      <c r="B168" s="164" t="s">
        <v>1286</v>
      </c>
      <c r="C168" s="19">
        <v>8.5</v>
      </c>
      <c r="D168" s="213">
        <v>44169</v>
      </c>
      <c r="E168" s="46">
        <v>3.34</v>
      </c>
      <c r="F168" s="46">
        <v>193.72</v>
      </c>
      <c r="G168" s="162" t="s">
        <v>2219</v>
      </c>
    </row>
    <row r="169" spans="1:9" ht="15.75">
      <c r="A169" s="24">
        <v>2440</v>
      </c>
      <c r="B169" s="164" t="s">
        <v>6764</v>
      </c>
      <c r="C169" s="67">
        <v>58</v>
      </c>
      <c r="D169" s="39">
        <v>45373</v>
      </c>
      <c r="E169" s="46">
        <v>3.34</v>
      </c>
      <c r="F169" s="46">
        <v>968.59999999999991</v>
      </c>
      <c r="G169" s="162" t="s">
        <v>2219</v>
      </c>
    </row>
    <row r="170" spans="1:9" ht="15.75">
      <c r="A170" s="24">
        <v>2440</v>
      </c>
      <c r="B170" s="164" t="s">
        <v>5664</v>
      </c>
      <c r="C170" s="67">
        <v>58</v>
      </c>
      <c r="D170" s="39">
        <v>45022</v>
      </c>
      <c r="E170" s="46">
        <v>3.34</v>
      </c>
      <c r="F170" s="46">
        <v>581.16</v>
      </c>
      <c r="G170" s="162" t="s">
        <v>2219</v>
      </c>
    </row>
    <row r="171" spans="1:9" ht="15.75">
      <c r="A171" s="24">
        <v>2440</v>
      </c>
      <c r="B171" s="164" t="s">
        <v>1938</v>
      </c>
      <c r="C171" s="67">
        <v>58</v>
      </c>
      <c r="D171" s="39">
        <v>44453</v>
      </c>
      <c r="E171" s="46">
        <v>3.34</v>
      </c>
      <c r="F171" s="46">
        <v>3874.3999999999996</v>
      </c>
      <c r="G171" s="162" t="s">
        <v>2219</v>
      </c>
    </row>
    <row r="172" spans="1:9" ht="15.75">
      <c r="A172" s="24">
        <v>2440</v>
      </c>
      <c r="B172" s="164" t="s">
        <v>1007</v>
      </c>
      <c r="C172" s="67">
        <v>174</v>
      </c>
      <c r="D172" s="213">
        <v>44211</v>
      </c>
      <c r="E172" s="46">
        <v>3.34</v>
      </c>
      <c r="F172" s="46">
        <v>387.44</v>
      </c>
      <c r="G172" s="162" t="s">
        <v>2219</v>
      </c>
    </row>
    <row r="173" spans="1:9" ht="15.75">
      <c r="A173" s="24">
        <v>2440</v>
      </c>
      <c r="B173" s="164" t="s">
        <v>1007</v>
      </c>
      <c r="C173" s="67">
        <v>58</v>
      </c>
      <c r="D173" s="39">
        <v>45022</v>
      </c>
      <c r="E173" s="46">
        <v>3.34</v>
      </c>
      <c r="F173" s="46">
        <v>581.16</v>
      </c>
      <c r="G173" s="162" t="s">
        <v>2219</v>
      </c>
    </row>
    <row r="174" spans="1:9" ht="15.75">
      <c r="A174" s="24">
        <v>2440</v>
      </c>
      <c r="B174" s="164" t="s">
        <v>1007</v>
      </c>
      <c r="C174" s="67">
        <v>116</v>
      </c>
      <c r="D174" s="39">
        <v>45373</v>
      </c>
      <c r="E174" s="46">
        <v>3.34</v>
      </c>
      <c r="F174" s="46">
        <v>1162.32</v>
      </c>
      <c r="G174" s="162" t="s">
        <v>2219</v>
      </c>
    </row>
    <row r="175" spans="1:9" ht="15.75">
      <c r="A175" s="24">
        <v>2440</v>
      </c>
      <c r="B175" s="164" t="s">
        <v>2279</v>
      </c>
      <c r="C175" s="67">
        <v>58</v>
      </c>
      <c r="D175" s="39">
        <v>44589</v>
      </c>
      <c r="E175" s="46">
        <v>3.34</v>
      </c>
      <c r="F175" s="46">
        <v>387.44</v>
      </c>
      <c r="G175" s="162" t="s">
        <v>2219</v>
      </c>
    </row>
    <row r="176" spans="1:9" ht="15.75">
      <c r="A176" s="24">
        <v>2440</v>
      </c>
      <c r="B176" s="164" t="s">
        <v>2279</v>
      </c>
      <c r="C176" s="67">
        <v>174</v>
      </c>
      <c r="D176" s="39">
        <v>45373</v>
      </c>
      <c r="E176" s="46">
        <v>3.34</v>
      </c>
      <c r="F176" s="46">
        <v>3874.3999999999996</v>
      </c>
      <c r="G176" s="162" t="s">
        <v>2219</v>
      </c>
    </row>
    <row r="177" spans="1:7" ht="15.75">
      <c r="A177" s="24">
        <v>2440</v>
      </c>
      <c r="B177" s="164" t="s">
        <v>7610</v>
      </c>
      <c r="C177" s="67">
        <v>174</v>
      </c>
      <c r="D177" s="39">
        <v>45555</v>
      </c>
      <c r="E177" s="46">
        <v>3.34</v>
      </c>
      <c r="F177" s="46">
        <v>387.44</v>
      </c>
      <c r="G177" s="162" t="s">
        <v>2219</v>
      </c>
    </row>
    <row r="178" spans="1:7" ht="15.75">
      <c r="A178" s="24">
        <v>2440</v>
      </c>
      <c r="B178" s="164" t="s">
        <v>1299</v>
      </c>
      <c r="C178" s="67">
        <v>57</v>
      </c>
      <c r="D178" s="213">
        <v>44211</v>
      </c>
      <c r="E178" s="46">
        <v>3.34</v>
      </c>
      <c r="F178" s="46">
        <v>387.44</v>
      </c>
      <c r="G178" s="162" t="s">
        <v>2219</v>
      </c>
    </row>
    <row r="179" spans="1:7" ht="15.75">
      <c r="A179" s="24">
        <v>2440</v>
      </c>
      <c r="B179" s="164" t="s">
        <v>1299</v>
      </c>
      <c r="C179" s="67">
        <v>116</v>
      </c>
      <c r="D179" s="213">
        <v>44211</v>
      </c>
      <c r="E179" s="46">
        <v>3.89</v>
      </c>
      <c r="F179" s="46">
        <v>4512.4000000000005</v>
      </c>
      <c r="G179" s="162" t="s">
        <v>2219</v>
      </c>
    </row>
    <row r="180" spans="1:7" ht="15.75">
      <c r="A180" s="24">
        <v>2440</v>
      </c>
      <c r="B180" s="164" t="s">
        <v>1299</v>
      </c>
      <c r="C180" s="67">
        <v>116</v>
      </c>
      <c r="D180" s="39">
        <v>45373</v>
      </c>
      <c r="E180" s="46">
        <v>3.89</v>
      </c>
      <c r="F180" s="46">
        <v>1322.6000000000001</v>
      </c>
      <c r="G180" s="162" t="s">
        <v>2219</v>
      </c>
    </row>
    <row r="181" spans="1:7" ht="15.75">
      <c r="A181" s="24">
        <v>2440</v>
      </c>
      <c r="B181" s="164" t="s">
        <v>1299</v>
      </c>
      <c r="C181" s="67">
        <v>61</v>
      </c>
      <c r="D181" s="39">
        <v>45373</v>
      </c>
      <c r="E181" s="46">
        <v>3.89</v>
      </c>
      <c r="F181" s="46">
        <v>3158.6800000000003</v>
      </c>
      <c r="G181" s="162" t="s">
        <v>2219</v>
      </c>
    </row>
    <row r="182" spans="1:7" ht="15.75">
      <c r="A182" s="24">
        <v>2440</v>
      </c>
      <c r="B182" s="164" t="s">
        <v>6767</v>
      </c>
      <c r="C182" s="67">
        <v>174</v>
      </c>
      <c r="D182" s="39">
        <v>45373</v>
      </c>
      <c r="E182" s="46">
        <v>3.89</v>
      </c>
      <c r="F182" s="46">
        <v>4512.4000000000005</v>
      </c>
      <c r="G182" s="162" t="s">
        <v>2219</v>
      </c>
    </row>
    <row r="183" spans="1:7" ht="15.75">
      <c r="A183" s="24">
        <v>2440</v>
      </c>
      <c r="B183" s="164" t="s">
        <v>2008</v>
      </c>
      <c r="C183" s="67">
        <v>58</v>
      </c>
      <c r="D183" s="39">
        <v>44469</v>
      </c>
      <c r="E183" s="46">
        <v>3.89</v>
      </c>
      <c r="F183" s="46">
        <v>3158.6800000000003</v>
      </c>
      <c r="G183" s="162" t="s">
        <v>2219</v>
      </c>
    </row>
    <row r="184" spans="1:7" ht="15.75">
      <c r="A184" s="24">
        <v>2440</v>
      </c>
      <c r="B184" s="164" t="s">
        <v>2008</v>
      </c>
      <c r="C184" s="67">
        <v>174</v>
      </c>
      <c r="D184" s="39">
        <v>44655</v>
      </c>
      <c r="E184" s="46">
        <v>3.89</v>
      </c>
      <c r="F184" s="46">
        <v>233.4</v>
      </c>
      <c r="G184" s="162" t="s">
        <v>2219</v>
      </c>
    </row>
    <row r="185" spans="1:7" ht="15.75">
      <c r="A185" s="24">
        <v>2440</v>
      </c>
      <c r="B185" s="164" t="s">
        <v>2008</v>
      </c>
      <c r="C185" s="67">
        <v>174</v>
      </c>
      <c r="D185" s="39">
        <v>44867</v>
      </c>
      <c r="E185" s="46">
        <v>3.89</v>
      </c>
      <c r="F185" s="46">
        <v>474.58000000000004</v>
      </c>
      <c r="G185" s="162" t="s">
        <v>2219</v>
      </c>
    </row>
    <row r="186" spans="1:7" ht="15.75">
      <c r="A186" s="24">
        <v>2440</v>
      </c>
      <c r="B186" s="164" t="s">
        <v>859</v>
      </c>
      <c r="C186" s="67">
        <v>1160</v>
      </c>
      <c r="D186" s="39">
        <v>44637</v>
      </c>
      <c r="E186" s="46">
        <v>3.89</v>
      </c>
      <c r="F186" s="46">
        <v>793.56000000000006</v>
      </c>
      <c r="G186" s="162" t="s">
        <v>2219</v>
      </c>
    </row>
    <row r="187" spans="1:7" ht="15.75">
      <c r="A187" s="24">
        <v>2440</v>
      </c>
      <c r="B187" s="164" t="s">
        <v>859</v>
      </c>
      <c r="C187" s="67">
        <v>348</v>
      </c>
      <c r="D187" s="39">
        <v>44655</v>
      </c>
      <c r="E187" s="46">
        <v>3.89</v>
      </c>
      <c r="F187" s="46">
        <v>2707.44</v>
      </c>
      <c r="G187" s="162" t="s">
        <v>2219</v>
      </c>
    </row>
    <row r="188" spans="1:7" ht="15.75">
      <c r="A188" s="24">
        <v>2440</v>
      </c>
      <c r="B188" s="164" t="s">
        <v>859</v>
      </c>
      <c r="C188" s="67">
        <v>1160</v>
      </c>
      <c r="D188" s="39">
        <v>44676</v>
      </c>
      <c r="E188" s="46">
        <v>3.89</v>
      </c>
      <c r="F188" s="46">
        <v>260.63</v>
      </c>
      <c r="G188" s="162" t="s">
        <v>2219</v>
      </c>
    </row>
    <row r="189" spans="1:7" ht="15.75">
      <c r="A189" s="24">
        <v>2440</v>
      </c>
      <c r="B189" s="164" t="s">
        <v>859</v>
      </c>
      <c r="C189" s="67">
        <v>1160</v>
      </c>
      <c r="D189" s="39">
        <v>44708</v>
      </c>
      <c r="E189" s="46">
        <v>3.89</v>
      </c>
      <c r="F189" s="46">
        <v>1851.64</v>
      </c>
      <c r="G189" s="162" t="s">
        <v>2219</v>
      </c>
    </row>
    <row r="190" spans="1:7" ht="15.75">
      <c r="A190" s="24">
        <v>2440</v>
      </c>
      <c r="B190" s="164" t="s">
        <v>859</v>
      </c>
      <c r="C190" s="67">
        <v>340</v>
      </c>
      <c r="D190" s="39">
        <v>44732</v>
      </c>
      <c r="E190" s="46">
        <v>3.89</v>
      </c>
      <c r="F190" s="46">
        <v>2933.06</v>
      </c>
      <c r="G190" s="162" t="s">
        <v>2219</v>
      </c>
    </row>
    <row r="191" spans="1:7" ht="15.75">
      <c r="A191" s="24">
        <v>2440</v>
      </c>
      <c r="B191" s="164" t="s">
        <v>859</v>
      </c>
      <c r="C191" s="67">
        <v>812</v>
      </c>
      <c r="D191" s="39">
        <v>44732</v>
      </c>
      <c r="E191" s="46">
        <v>3.89</v>
      </c>
      <c r="F191" s="46">
        <v>1797.18</v>
      </c>
      <c r="G191" s="162" t="s">
        <v>2219</v>
      </c>
    </row>
    <row r="192" spans="1:7" ht="15.75">
      <c r="A192" s="24" t="s">
        <v>3067</v>
      </c>
      <c r="B192" s="164" t="s">
        <v>859</v>
      </c>
      <c r="C192" s="67">
        <v>1160</v>
      </c>
      <c r="D192" s="39">
        <v>44781</v>
      </c>
      <c r="E192" s="46">
        <v>3.89</v>
      </c>
      <c r="F192" s="46">
        <v>451.24</v>
      </c>
      <c r="G192" s="162" t="s">
        <v>2219</v>
      </c>
    </row>
    <row r="193" spans="1:7" ht="15.75">
      <c r="A193" s="24" t="s">
        <v>3080</v>
      </c>
      <c r="B193" s="164" t="s">
        <v>859</v>
      </c>
      <c r="C193" s="67">
        <v>812</v>
      </c>
      <c r="D193" s="39">
        <v>44824</v>
      </c>
      <c r="E193" s="46">
        <v>3.89</v>
      </c>
      <c r="F193" s="46">
        <v>225.62</v>
      </c>
      <c r="G193" s="162" t="s">
        <v>2219</v>
      </c>
    </row>
    <row r="194" spans="1:7" ht="15.75">
      <c r="A194" s="24" t="s">
        <v>3080</v>
      </c>
      <c r="B194" s="164" t="s">
        <v>859</v>
      </c>
      <c r="C194" s="67">
        <v>60</v>
      </c>
      <c r="D194" s="39">
        <v>44824</v>
      </c>
      <c r="E194" s="46">
        <v>3.89</v>
      </c>
      <c r="F194" s="46">
        <v>451.24</v>
      </c>
      <c r="G194" s="162" t="s">
        <v>2219</v>
      </c>
    </row>
    <row r="195" spans="1:7" ht="15.75">
      <c r="A195" s="24" t="s">
        <v>3080</v>
      </c>
      <c r="B195" s="164" t="s">
        <v>859</v>
      </c>
      <c r="C195" s="67">
        <v>122</v>
      </c>
      <c r="D195" s="39">
        <v>44824</v>
      </c>
      <c r="E195" s="46">
        <v>3.89</v>
      </c>
      <c r="F195" s="46">
        <v>1128.1000000000001</v>
      </c>
      <c r="G195" s="162" t="s">
        <v>2219</v>
      </c>
    </row>
    <row r="196" spans="1:7" ht="15.75">
      <c r="A196" s="24" t="s">
        <v>3080</v>
      </c>
      <c r="B196" s="164" t="s">
        <v>859</v>
      </c>
      <c r="C196" s="67">
        <v>204</v>
      </c>
      <c r="D196" s="39">
        <v>44824</v>
      </c>
      <c r="E196" s="46">
        <v>3.89</v>
      </c>
      <c r="F196" s="46">
        <v>676.86</v>
      </c>
      <c r="G196" s="162" t="s">
        <v>2219</v>
      </c>
    </row>
    <row r="197" spans="1:7" ht="15.75">
      <c r="A197" s="24" t="s">
        <v>3080</v>
      </c>
      <c r="B197" s="164" t="s">
        <v>859</v>
      </c>
      <c r="C197" s="67">
        <v>696</v>
      </c>
      <c r="D197" s="39">
        <v>44867</v>
      </c>
      <c r="E197" s="46">
        <v>3.89</v>
      </c>
      <c r="F197" s="46">
        <v>225.62</v>
      </c>
      <c r="G197" s="162" t="s">
        <v>2219</v>
      </c>
    </row>
    <row r="198" spans="1:7" ht="15.75">
      <c r="A198" s="24" t="s">
        <v>3080</v>
      </c>
      <c r="B198" s="164" t="s">
        <v>859</v>
      </c>
      <c r="C198" s="67">
        <v>67</v>
      </c>
      <c r="D198" s="39">
        <v>44867</v>
      </c>
      <c r="E198" s="46">
        <v>3.89</v>
      </c>
      <c r="F198" s="46">
        <v>902.48</v>
      </c>
      <c r="G198" s="162" t="s">
        <v>2219</v>
      </c>
    </row>
    <row r="199" spans="1:7" ht="15.75">
      <c r="A199" s="24" t="s">
        <v>3080</v>
      </c>
      <c r="B199" s="164" t="s">
        <v>859</v>
      </c>
      <c r="C199" s="67">
        <v>476</v>
      </c>
      <c r="D199" s="39">
        <v>44867</v>
      </c>
      <c r="E199" s="46">
        <v>3.89</v>
      </c>
      <c r="F199" s="46">
        <v>1128.1000000000001</v>
      </c>
      <c r="G199" s="162" t="s">
        <v>2219</v>
      </c>
    </row>
    <row r="200" spans="1:7" ht="15.75">
      <c r="A200" s="24" t="s">
        <v>3080</v>
      </c>
      <c r="B200" s="164" t="s">
        <v>859</v>
      </c>
      <c r="C200" s="67">
        <v>754</v>
      </c>
      <c r="D200" s="39">
        <v>44900</v>
      </c>
      <c r="E200" s="46">
        <v>3.89</v>
      </c>
      <c r="F200" s="46">
        <v>676.86</v>
      </c>
      <c r="G200" s="162" t="s">
        <v>2219</v>
      </c>
    </row>
    <row r="201" spans="1:7" ht="15.75">
      <c r="A201" s="24" t="s">
        <v>3080</v>
      </c>
      <c r="B201" s="164" t="s">
        <v>859</v>
      </c>
      <c r="C201" s="67">
        <v>462</v>
      </c>
      <c r="D201" s="39">
        <v>44900</v>
      </c>
      <c r="E201" s="46">
        <v>3.89</v>
      </c>
      <c r="F201" s="46">
        <v>225.62</v>
      </c>
      <c r="G201" s="162" t="s">
        <v>2219</v>
      </c>
    </row>
    <row r="202" spans="1:7" ht="15.75">
      <c r="A202" s="24">
        <v>2440</v>
      </c>
      <c r="B202" s="164" t="s">
        <v>859</v>
      </c>
      <c r="C202" s="67">
        <v>348</v>
      </c>
      <c r="D202" s="39">
        <v>44931</v>
      </c>
      <c r="E202" s="46">
        <v>3.89</v>
      </c>
      <c r="F202" s="46">
        <v>1353.72</v>
      </c>
      <c r="G202" s="162" t="s">
        <v>2219</v>
      </c>
    </row>
    <row r="203" spans="1:7" ht="15.75">
      <c r="A203" s="24">
        <v>2440</v>
      </c>
      <c r="B203" s="164" t="s">
        <v>859</v>
      </c>
      <c r="C203" s="67">
        <v>816</v>
      </c>
      <c r="D203" s="39">
        <v>44931</v>
      </c>
      <c r="E203" s="46">
        <v>3.89</v>
      </c>
      <c r="F203" s="46">
        <v>3174.2400000000002</v>
      </c>
      <c r="G203" s="162" t="s">
        <v>2219</v>
      </c>
    </row>
    <row r="204" spans="1:7" ht="15.75">
      <c r="A204" s="24" t="s">
        <v>3067</v>
      </c>
      <c r="B204" s="164" t="s">
        <v>859</v>
      </c>
      <c r="C204" s="67">
        <v>928</v>
      </c>
      <c r="D204" s="39">
        <v>44965</v>
      </c>
      <c r="E204" s="46">
        <v>3.89</v>
      </c>
      <c r="F204" s="46">
        <v>3609.92</v>
      </c>
      <c r="G204" s="162" t="s">
        <v>2219</v>
      </c>
    </row>
    <row r="205" spans="1:7" ht="15.75">
      <c r="A205" s="24" t="s">
        <v>3067</v>
      </c>
      <c r="B205" s="164" t="s">
        <v>859</v>
      </c>
      <c r="C205" s="67">
        <v>130</v>
      </c>
      <c r="D205" s="39">
        <v>44965</v>
      </c>
      <c r="E205" s="46">
        <v>3.89</v>
      </c>
      <c r="F205" s="46">
        <v>505.7</v>
      </c>
      <c r="G205" s="162" t="s">
        <v>2219</v>
      </c>
    </row>
    <row r="206" spans="1:7" ht="15.75">
      <c r="A206" s="24" t="s">
        <v>3067</v>
      </c>
      <c r="B206" s="164" t="s">
        <v>859</v>
      </c>
      <c r="C206" s="67">
        <v>136</v>
      </c>
      <c r="D206" s="39">
        <v>44965</v>
      </c>
      <c r="E206" s="46">
        <v>3.89</v>
      </c>
      <c r="F206" s="46">
        <v>529.04</v>
      </c>
      <c r="G206" s="162" t="s">
        <v>2219</v>
      </c>
    </row>
    <row r="207" spans="1:7" ht="15.75">
      <c r="A207" s="24" t="s">
        <v>3067</v>
      </c>
      <c r="B207" s="164" t="s">
        <v>859</v>
      </c>
      <c r="C207" s="67">
        <v>870</v>
      </c>
      <c r="D207" s="39">
        <v>44992</v>
      </c>
      <c r="E207" s="46">
        <v>3.89</v>
      </c>
      <c r="F207" s="46">
        <v>3384.3</v>
      </c>
      <c r="G207" s="162" t="s">
        <v>2219</v>
      </c>
    </row>
    <row r="208" spans="1:7" ht="15.75">
      <c r="A208" s="24" t="s">
        <v>3067</v>
      </c>
      <c r="B208" s="164" t="s">
        <v>859</v>
      </c>
      <c r="C208" s="67">
        <v>198</v>
      </c>
      <c r="D208" s="39">
        <v>44992</v>
      </c>
      <c r="E208" s="46">
        <v>3.89</v>
      </c>
      <c r="F208" s="46">
        <v>770.22</v>
      </c>
      <c r="G208" s="162" t="s">
        <v>2219</v>
      </c>
    </row>
    <row r="209" spans="1:7" ht="15.75">
      <c r="A209" s="24" t="s">
        <v>3067</v>
      </c>
      <c r="B209" s="164" t="s">
        <v>859</v>
      </c>
      <c r="C209" s="67">
        <v>136</v>
      </c>
      <c r="D209" s="39">
        <v>44992</v>
      </c>
      <c r="E209" s="46">
        <v>3.89</v>
      </c>
      <c r="F209" s="46">
        <v>529.04</v>
      </c>
      <c r="G209" s="162" t="s">
        <v>2219</v>
      </c>
    </row>
    <row r="210" spans="1:7" ht="15.75">
      <c r="A210" s="24" t="s">
        <v>3067</v>
      </c>
      <c r="B210" s="164" t="s">
        <v>859</v>
      </c>
      <c r="C210" s="67">
        <v>870</v>
      </c>
      <c r="D210" s="39">
        <v>45022</v>
      </c>
      <c r="E210" s="46">
        <v>3.89</v>
      </c>
      <c r="F210" s="46">
        <v>3384.3</v>
      </c>
      <c r="G210" s="162" t="s">
        <v>2219</v>
      </c>
    </row>
    <row r="211" spans="1:7" ht="15.75">
      <c r="A211" s="24" t="s">
        <v>3067</v>
      </c>
      <c r="B211" s="164" t="s">
        <v>859</v>
      </c>
      <c r="C211" s="67">
        <v>198</v>
      </c>
      <c r="D211" s="39">
        <v>45022</v>
      </c>
      <c r="E211" s="46">
        <v>3.89</v>
      </c>
      <c r="F211" s="46">
        <v>770.22</v>
      </c>
      <c r="G211" s="162" t="s">
        <v>2219</v>
      </c>
    </row>
    <row r="212" spans="1:7" ht="15.75">
      <c r="A212" s="24" t="s">
        <v>3067</v>
      </c>
      <c r="B212" s="164" t="s">
        <v>859</v>
      </c>
      <c r="C212" s="67">
        <v>136</v>
      </c>
      <c r="D212" s="39">
        <v>45022</v>
      </c>
      <c r="E212" s="46">
        <v>3.89</v>
      </c>
      <c r="F212" s="46">
        <v>529.04</v>
      </c>
      <c r="G212" s="162" t="s">
        <v>2219</v>
      </c>
    </row>
    <row r="213" spans="1:7" ht="15.75">
      <c r="A213" s="24" t="s">
        <v>3067</v>
      </c>
      <c r="B213" s="164" t="s">
        <v>859</v>
      </c>
      <c r="C213" s="67">
        <v>57</v>
      </c>
      <c r="D213" s="39">
        <v>45048</v>
      </c>
      <c r="E213" s="46">
        <v>3.89</v>
      </c>
      <c r="F213" s="46">
        <v>221.73000000000002</v>
      </c>
      <c r="G213" s="162" t="s">
        <v>2219</v>
      </c>
    </row>
    <row r="214" spans="1:7" ht="15.75">
      <c r="A214" s="24" t="s">
        <v>3067</v>
      </c>
      <c r="B214" s="164" t="s">
        <v>859</v>
      </c>
      <c r="C214" s="67">
        <v>870</v>
      </c>
      <c r="D214" s="39">
        <v>45048</v>
      </c>
      <c r="E214" s="46">
        <v>3.89</v>
      </c>
      <c r="F214" s="46">
        <v>3384.3</v>
      </c>
      <c r="G214" s="162" t="s">
        <v>2219</v>
      </c>
    </row>
    <row r="215" spans="1:7" ht="15.75">
      <c r="A215" s="24" t="s">
        <v>3067</v>
      </c>
      <c r="B215" s="164" t="s">
        <v>859</v>
      </c>
      <c r="C215" s="67">
        <v>64</v>
      </c>
      <c r="D215" s="39">
        <v>45048</v>
      </c>
      <c r="E215" s="46">
        <v>3.89</v>
      </c>
      <c r="F215" s="46">
        <v>248.96</v>
      </c>
      <c r="G215" s="162" t="s">
        <v>2219</v>
      </c>
    </row>
    <row r="216" spans="1:7" ht="15.75">
      <c r="A216" s="24" t="s">
        <v>3067</v>
      </c>
      <c r="B216" s="164" t="s">
        <v>859</v>
      </c>
      <c r="C216" s="67">
        <v>67</v>
      </c>
      <c r="D216" s="39">
        <v>45048</v>
      </c>
      <c r="E216" s="46">
        <v>3.89</v>
      </c>
      <c r="F216" s="46">
        <v>260.63</v>
      </c>
      <c r="G216" s="162" t="s">
        <v>2219</v>
      </c>
    </row>
    <row r="217" spans="1:7" ht="15.75">
      <c r="A217" s="24" t="s">
        <v>3067</v>
      </c>
      <c r="B217" s="164" t="s">
        <v>859</v>
      </c>
      <c r="C217" s="67">
        <v>136</v>
      </c>
      <c r="D217" s="39">
        <v>45048</v>
      </c>
      <c r="E217" s="46">
        <v>3.89</v>
      </c>
      <c r="F217" s="46">
        <v>529.04</v>
      </c>
      <c r="G217" s="162" t="s">
        <v>2219</v>
      </c>
    </row>
    <row r="218" spans="1:7" ht="15.75">
      <c r="A218" s="24" t="s">
        <v>3067</v>
      </c>
      <c r="B218" s="164" t="s">
        <v>859</v>
      </c>
      <c r="C218" s="67">
        <v>870</v>
      </c>
      <c r="D218" s="39">
        <v>45076</v>
      </c>
      <c r="E218" s="46">
        <v>3.89</v>
      </c>
      <c r="F218" s="46">
        <v>3384.3</v>
      </c>
      <c r="G218" s="162" t="s">
        <v>2219</v>
      </c>
    </row>
    <row r="219" spans="1:7" ht="15.75">
      <c r="A219" s="24" t="s">
        <v>3067</v>
      </c>
      <c r="B219" s="164" t="s">
        <v>859</v>
      </c>
      <c r="C219" s="67">
        <v>60</v>
      </c>
      <c r="D219" s="39">
        <v>45076</v>
      </c>
      <c r="E219" s="46">
        <v>3.89</v>
      </c>
      <c r="F219" s="46">
        <v>233.4</v>
      </c>
      <c r="G219" s="162" t="s">
        <v>2219</v>
      </c>
    </row>
    <row r="220" spans="1:7" ht="15.75">
      <c r="A220" s="24" t="s">
        <v>3067</v>
      </c>
      <c r="B220" s="164" t="s">
        <v>859</v>
      </c>
      <c r="C220" s="67">
        <v>61</v>
      </c>
      <c r="D220" s="39">
        <v>45076</v>
      </c>
      <c r="E220" s="46">
        <v>3.89</v>
      </c>
      <c r="F220" s="46">
        <v>237.29000000000002</v>
      </c>
      <c r="G220" s="162" t="s">
        <v>2219</v>
      </c>
    </row>
    <row r="221" spans="1:7" ht="15.75">
      <c r="A221" s="24" t="s">
        <v>3067</v>
      </c>
      <c r="B221" s="164" t="s">
        <v>859</v>
      </c>
      <c r="C221" s="67">
        <v>204</v>
      </c>
      <c r="D221" s="39">
        <v>45076</v>
      </c>
      <c r="E221" s="46">
        <v>3.89</v>
      </c>
      <c r="F221" s="46">
        <v>793.56000000000006</v>
      </c>
      <c r="G221" s="162" t="s">
        <v>2219</v>
      </c>
    </row>
    <row r="222" spans="1:7" ht="15.75">
      <c r="A222" s="24">
        <v>2440</v>
      </c>
      <c r="B222" s="164" t="s">
        <v>859</v>
      </c>
      <c r="C222" s="67">
        <v>232</v>
      </c>
      <c r="D222" s="39">
        <v>44916</v>
      </c>
      <c r="E222" s="46">
        <v>3.89</v>
      </c>
      <c r="F222" s="46">
        <v>902.48</v>
      </c>
      <c r="G222" s="162" t="s">
        <v>2219</v>
      </c>
    </row>
    <row r="223" spans="1:7" ht="15.75">
      <c r="A223" s="24">
        <v>2440</v>
      </c>
      <c r="B223" s="164" t="s">
        <v>859</v>
      </c>
      <c r="C223" s="67">
        <v>232</v>
      </c>
      <c r="D223" s="39">
        <v>44957</v>
      </c>
      <c r="E223" s="46">
        <v>3.89</v>
      </c>
      <c r="F223" s="46">
        <v>902.48</v>
      </c>
      <c r="G223" s="162" t="s">
        <v>2219</v>
      </c>
    </row>
    <row r="224" spans="1:7" ht="15.75">
      <c r="A224" s="24">
        <v>2440</v>
      </c>
      <c r="B224" s="164" t="s">
        <v>859</v>
      </c>
      <c r="C224" s="67">
        <v>116</v>
      </c>
      <c r="D224" s="39">
        <v>44957</v>
      </c>
      <c r="E224" s="46">
        <v>3.89</v>
      </c>
      <c r="F224" s="46">
        <v>676.86</v>
      </c>
      <c r="G224" s="162" t="s">
        <v>2219</v>
      </c>
    </row>
    <row r="225" spans="1:7" ht="15.75">
      <c r="A225" s="24">
        <v>2440</v>
      </c>
      <c r="B225" s="164" t="s">
        <v>859</v>
      </c>
      <c r="C225" s="67">
        <v>290</v>
      </c>
      <c r="D225" s="39">
        <v>45022</v>
      </c>
      <c r="E225" s="46">
        <v>3.89</v>
      </c>
      <c r="F225" s="46">
        <v>256.74</v>
      </c>
      <c r="G225" s="162" t="s">
        <v>2219</v>
      </c>
    </row>
    <row r="226" spans="1:7" ht="15.75">
      <c r="A226" s="24" t="s">
        <v>3067</v>
      </c>
      <c r="B226" s="164" t="s">
        <v>859</v>
      </c>
      <c r="C226" s="67">
        <v>870</v>
      </c>
      <c r="D226" s="39">
        <v>45134</v>
      </c>
      <c r="E226" s="46">
        <v>3.89</v>
      </c>
      <c r="F226" s="46">
        <v>902.48</v>
      </c>
      <c r="G226" s="162" t="s">
        <v>2219</v>
      </c>
    </row>
    <row r="227" spans="1:7" ht="15.75">
      <c r="A227" s="24" t="s">
        <v>3067</v>
      </c>
      <c r="B227" s="164" t="s">
        <v>859</v>
      </c>
      <c r="C227" s="67">
        <v>340</v>
      </c>
      <c r="D227" s="39">
        <v>45134</v>
      </c>
      <c r="E227" s="46">
        <v>3.89</v>
      </c>
      <c r="F227" s="46">
        <v>1128.1000000000001</v>
      </c>
      <c r="G227" s="162" t="s">
        <v>2219</v>
      </c>
    </row>
    <row r="228" spans="1:7" ht="15.75">
      <c r="A228" s="24" t="s">
        <v>3067</v>
      </c>
      <c r="B228" s="164" t="s">
        <v>859</v>
      </c>
      <c r="C228" s="67">
        <v>870</v>
      </c>
      <c r="D228" s="39">
        <v>45163</v>
      </c>
      <c r="E228" s="46">
        <v>3.89</v>
      </c>
      <c r="F228" s="46">
        <v>451.24</v>
      </c>
      <c r="G228" s="162" t="s">
        <v>2219</v>
      </c>
    </row>
    <row r="229" spans="1:7" ht="15.75">
      <c r="A229" s="24" t="s">
        <v>3067</v>
      </c>
      <c r="B229" s="164" t="s">
        <v>859</v>
      </c>
      <c r="C229" s="67">
        <v>340</v>
      </c>
      <c r="D229" s="39">
        <v>45163</v>
      </c>
      <c r="E229" s="46">
        <v>3.89</v>
      </c>
      <c r="F229" s="46">
        <v>676.86</v>
      </c>
      <c r="G229" s="162" t="s">
        <v>2219</v>
      </c>
    </row>
    <row r="230" spans="1:7" ht="15.75">
      <c r="A230" s="24" t="s">
        <v>3067</v>
      </c>
      <c r="B230" s="164" t="s">
        <v>859</v>
      </c>
      <c r="C230" s="67">
        <v>870</v>
      </c>
      <c r="D230" s="39">
        <v>45231</v>
      </c>
      <c r="E230" s="46">
        <v>3.89</v>
      </c>
      <c r="F230" s="46">
        <v>676.86</v>
      </c>
      <c r="G230" s="162" t="s">
        <v>2219</v>
      </c>
    </row>
    <row r="231" spans="1:7" ht="15.75">
      <c r="A231" s="24" t="s">
        <v>3067</v>
      </c>
      <c r="B231" s="164" t="s">
        <v>859</v>
      </c>
      <c r="C231" s="67">
        <v>63</v>
      </c>
      <c r="D231" s="39">
        <v>45231</v>
      </c>
      <c r="E231" s="46">
        <v>3.89</v>
      </c>
      <c r="F231" s="46">
        <v>676.86</v>
      </c>
      <c r="G231" s="162" t="s">
        <v>2219</v>
      </c>
    </row>
    <row r="232" spans="1:7" ht="15.75">
      <c r="A232" s="24" t="s">
        <v>3067</v>
      </c>
      <c r="B232" s="164" t="s">
        <v>859</v>
      </c>
      <c r="C232" s="67">
        <v>67</v>
      </c>
      <c r="D232" s="39">
        <v>45231</v>
      </c>
      <c r="E232" s="46">
        <v>3.89</v>
      </c>
      <c r="F232" s="46">
        <v>225.62</v>
      </c>
      <c r="G232" s="162" t="s">
        <v>2219</v>
      </c>
    </row>
    <row r="233" spans="1:7" ht="15.75">
      <c r="A233" s="24" t="s">
        <v>3067</v>
      </c>
      <c r="B233" s="164" t="s">
        <v>859</v>
      </c>
      <c r="C233" s="67">
        <v>204</v>
      </c>
      <c r="D233" s="39">
        <v>45231</v>
      </c>
      <c r="E233" s="46">
        <v>3.89</v>
      </c>
      <c r="F233" s="46">
        <v>225.62</v>
      </c>
      <c r="G233" s="162" t="s">
        <v>2219</v>
      </c>
    </row>
    <row r="234" spans="1:7" ht="15.75">
      <c r="A234" s="24" t="s">
        <v>3067</v>
      </c>
      <c r="B234" s="164" t="s">
        <v>859</v>
      </c>
      <c r="C234" s="67">
        <v>204</v>
      </c>
      <c r="D234" s="39">
        <v>45264</v>
      </c>
      <c r="E234" s="46">
        <v>3.89</v>
      </c>
      <c r="F234" s="46">
        <v>1128.1000000000001</v>
      </c>
      <c r="G234" s="162" t="s">
        <v>2219</v>
      </c>
    </row>
    <row r="235" spans="1:7" ht="15.75">
      <c r="A235" s="24" t="s">
        <v>3067</v>
      </c>
      <c r="B235" s="164" t="s">
        <v>859</v>
      </c>
      <c r="C235" s="67">
        <v>67</v>
      </c>
      <c r="D235" s="39">
        <v>45264</v>
      </c>
      <c r="E235" s="46">
        <v>3.89</v>
      </c>
      <c r="F235" s="46">
        <v>451.24</v>
      </c>
      <c r="G235" s="162" t="s">
        <v>2219</v>
      </c>
    </row>
    <row r="236" spans="1:7" ht="15.75">
      <c r="A236" s="24" t="s">
        <v>3067</v>
      </c>
      <c r="B236" s="164" t="s">
        <v>859</v>
      </c>
      <c r="C236" s="67">
        <v>928</v>
      </c>
      <c r="D236" s="39">
        <v>45264</v>
      </c>
      <c r="E236" s="46">
        <v>3.89</v>
      </c>
      <c r="F236" s="46">
        <v>225.62</v>
      </c>
      <c r="G236" s="162" t="s">
        <v>2219</v>
      </c>
    </row>
    <row r="237" spans="1:7" ht="15.75">
      <c r="A237" s="24" t="s">
        <v>3067</v>
      </c>
      <c r="B237" s="164" t="s">
        <v>859</v>
      </c>
      <c r="C237" s="67">
        <v>928</v>
      </c>
      <c r="D237" s="39">
        <v>45306</v>
      </c>
      <c r="E237" s="46">
        <v>3.89</v>
      </c>
      <c r="F237" s="46">
        <v>225.62</v>
      </c>
      <c r="G237" s="162" t="s">
        <v>2219</v>
      </c>
    </row>
    <row r="238" spans="1:7" ht="15.75">
      <c r="A238" s="24" t="s">
        <v>3067</v>
      </c>
      <c r="B238" s="164" t="s">
        <v>859</v>
      </c>
      <c r="C238" s="67">
        <v>132</v>
      </c>
      <c r="D238" s="39">
        <v>45306</v>
      </c>
      <c r="E238" s="46">
        <v>3.89</v>
      </c>
      <c r="F238" s="46">
        <v>1128.1000000000001</v>
      </c>
      <c r="G238" s="162" t="s">
        <v>2219</v>
      </c>
    </row>
    <row r="239" spans="1:7" ht="15.75">
      <c r="A239" s="24" t="s">
        <v>3067</v>
      </c>
      <c r="B239" s="164" t="s">
        <v>859</v>
      </c>
      <c r="C239" s="67">
        <v>67</v>
      </c>
      <c r="D239" s="39">
        <v>45306</v>
      </c>
      <c r="E239" s="46">
        <v>3.89</v>
      </c>
      <c r="F239" s="46">
        <v>225.62</v>
      </c>
      <c r="G239" s="162" t="s">
        <v>2219</v>
      </c>
    </row>
    <row r="240" spans="1:7" ht="15.75">
      <c r="A240" s="24" t="s">
        <v>3067</v>
      </c>
      <c r="B240" s="164" t="s">
        <v>859</v>
      </c>
      <c r="C240" s="67">
        <v>68</v>
      </c>
      <c r="D240" s="39">
        <v>45306</v>
      </c>
      <c r="E240" s="46">
        <v>3.89</v>
      </c>
      <c r="F240" s="46">
        <v>3384.3</v>
      </c>
      <c r="G240" s="162" t="s">
        <v>2219</v>
      </c>
    </row>
    <row r="241" spans="1:7" ht="15.75">
      <c r="A241" s="24" t="s">
        <v>3067</v>
      </c>
      <c r="B241" s="164" t="s">
        <v>859</v>
      </c>
      <c r="C241" s="67">
        <v>870</v>
      </c>
      <c r="D241" s="39">
        <v>45335</v>
      </c>
      <c r="E241" s="46">
        <v>3.89</v>
      </c>
      <c r="F241" s="46">
        <v>1322.6000000000001</v>
      </c>
      <c r="G241" s="162" t="s">
        <v>2219</v>
      </c>
    </row>
    <row r="242" spans="1:7" ht="15.75">
      <c r="A242" s="24" t="s">
        <v>3067</v>
      </c>
      <c r="B242" s="164" t="s">
        <v>859</v>
      </c>
      <c r="C242" s="67">
        <v>68</v>
      </c>
      <c r="D242" s="39">
        <v>45335</v>
      </c>
      <c r="E242" s="46">
        <v>3.89</v>
      </c>
      <c r="F242" s="46">
        <v>3384.3</v>
      </c>
      <c r="G242" s="162" t="s">
        <v>2219</v>
      </c>
    </row>
    <row r="243" spans="1:7" ht="15.75">
      <c r="A243" s="24" t="s">
        <v>3067</v>
      </c>
      <c r="B243" s="164" t="s">
        <v>859</v>
      </c>
      <c r="C243" s="67">
        <v>70</v>
      </c>
      <c r="D243" s="39">
        <v>45335</v>
      </c>
      <c r="E243" s="46">
        <v>3.89</v>
      </c>
      <c r="F243" s="46">
        <v>1322.6000000000001</v>
      </c>
      <c r="G243" s="162" t="s">
        <v>2219</v>
      </c>
    </row>
    <row r="244" spans="1:7" ht="15.75">
      <c r="A244" s="24" t="s">
        <v>3067</v>
      </c>
      <c r="B244" s="164" t="s">
        <v>859</v>
      </c>
      <c r="C244" s="67">
        <v>142</v>
      </c>
      <c r="D244" s="39">
        <v>45335</v>
      </c>
      <c r="E244" s="46">
        <v>3.89</v>
      </c>
      <c r="F244" s="46">
        <v>3384.3</v>
      </c>
      <c r="G244" s="162" t="s">
        <v>2219</v>
      </c>
    </row>
    <row r="245" spans="1:7" ht="15.75">
      <c r="A245" s="24">
        <v>2440</v>
      </c>
      <c r="B245" s="164" t="s">
        <v>859</v>
      </c>
      <c r="C245" s="67">
        <v>174</v>
      </c>
      <c r="D245" s="39">
        <v>45271</v>
      </c>
      <c r="E245" s="46">
        <v>3.89</v>
      </c>
      <c r="F245" s="46">
        <v>245.07000000000002</v>
      </c>
      <c r="G245" s="162" t="s">
        <v>2219</v>
      </c>
    </row>
    <row r="246" spans="1:7" ht="15.75">
      <c r="A246" s="56" t="s">
        <v>7615</v>
      </c>
      <c r="B246" s="164" t="s">
        <v>859</v>
      </c>
      <c r="C246" s="67">
        <v>1740</v>
      </c>
      <c r="D246" s="239" t="s">
        <v>7620</v>
      </c>
      <c r="E246" s="46">
        <v>3.89</v>
      </c>
      <c r="F246" s="46">
        <v>260.63</v>
      </c>
      <c r="G246" s="162" t="s">
        <v>2219</v>
      </c>
    </row>
    <row r="247" spans="1:7" ht="15.75">
      <c r="A247" s="24">
        <v>2440</v>
      </c>
      <c r="B247" s="164" t="s">
        <v>862</v>
      </c>
      <c r="C247" s="67">
        <v>174</v>
      </c>
      <c r="D247" s="213">
        <v>44263</v>
      </c>
      <c r="E247" s="46">
        <v>3.89</v>
      </c>
      <c r="F247" s="46">
        <v>793.56000000000006</v>
      </c>
      <c r="G247" s="162" t="s">
        <v>2219</v>
      </c>
    </row>
    <row r="248" spans="1:7" ht="15.75">
      <c r="A248" s="24">
        <v>2440</v>
      </c>
      <c r="B248" s="164" t="s">
        <v>862</v>
      </c>
      <c r="C248" s="67">
        <v>408</v>
      </c>
      <c r="D248" s="213">
        <v>44263</v>
      </c>
      <c r="E248" s="46">
        <v>3.89</v>
      </c>
      <c r="F248" s="46">
        <v>793.56000000000006</v>
      </c>
      <c r="G248" s="162" t="s">
        <v>2219</v>
      </c>
    </row>
    <row r="249" spans="1:7" ht="15.75">
      <c r="A249" s="24">
        <v>2440</v>
      </c>
      <c r="B249" s="164" t="s">
        <v>862</v>
      </c>
      <c r="C249" s="67">
        <v>580</v>
      </c>
      <c r="D249" s="213">
        <v>44312</v>
      </c>
      <c r="E249" s="46">
        <v>3.89</v>
      </c>
      <c r="F249" s="46">
        <v>260.63</v>
      </c>
      <c r="G249" s="162" t="s">
        <v>2219</v>
      </c>
    </row>
    <row r="250" spans="1:7" ht="15.75">
      <c r="A250" s="24">
        <v>2440</v>
      </c>
      <c r="B250" s="164" t="s">
        <v>862</v>
      </c>
      <c r="C250" s="67">
        <v>696</v>
      </c>
      <c r="D250" s="213">
        <v>44343</v>
      </c>
      <c r="E250" s="46">
        <v>3.89</v>
      </c>
      <c r="F250" s="46">
        <v>3609.92</v>
      </c>
      <c r="G250" s="162" t="s">
        <v>2219</v>
      </c>
    </row>
    <row r="251" spans="1:7" ht="15.75">
      <c r="A251" s="24">
        <v>2440</v>
      </c>
      <c r="B251" s="164" t="s">
        <v>862</v>
      </c>
      <c r="C251" s="67">
        <v>348</v>
      </c>
      <c r="D251" s="213">
        <v>44361</v>
      </c>
      <c r="E251" s="46">
        <v>3.89</v>
      </c>
      <c r="F251" s="46">
        <v>3609.92</v>
      </c>
      <c r="G251" s="162" t="s">
        <v>2219</v>
      </c>
    </row>
    <row r="252" spans="1:7" ht="15.75">
      <c r="A252" s="24">
        <v>2440</v>
      </c>
      <c r="B252" s="164" t="s">
        <v>862</v>
      </c>
      <c r="C252" s="67">
        <v>580</v>
      </c>
      <c r="D252" s="39">
        <v>44438</v>
      </c>
      <c r="E252" s="46">
        <v>3.89</v>
      </c>
      <c r="F252" s="46">
        <v>513.48</v>
      </c>
      <c r="G252" s="162" t="s">
        <v>2219</v>
      </c>
    </row>
    <row r="253" spans="1:7" ht="15.75">
      <c r="A253" s="24">
        <v>2440</v>
      </c>
      <c r="B253" s="164" t="s">
        <v>862</v>
      </c>
      <c r="C253" s="67">
        <v>580</v>
      </c>
      <c r="D253" s="39">
        <v>44469</v>
      </c>
      <c r="E253" s="46">
        <v>3.89</v>
      </c>
      <c r="F253" s="46">
        <v>260.63</v>
      </c>
      <c r="G253" s="162" t="s">
        <v>2219</v>
      </c>
    </row>
    <row r="254" spans="1:7" ht="15.75">
      <c r="A254" s="24">
        <v>2440</v>
      </c>
      <c r="B254" s="164" t="s">
        <v>862</v>
      </c>
      <c r="C254" s="67">
        <v>580</v>
      </c>
      <c r="D254" s="39">
        <v>44498</v>
      </c>
      <c r="E254" s="46">
        <v>3.89</v>
      </c>
      <c r="F254" s="46">
        <v>264.52</v>
      </c>
      <c r="G254" s="162" t="s">
        <v>2219</v>
      </c>
    </row>
    <row r="255" spans="1:7" ht="15.75">
      <c r="A255" s="24">
        <v>2440</v>
      </c>
      <c r="B255" s="164" t="s">
        <v>862</v>
      </c>
      <c r="C255" s="67">
        <v>1160</v>
      </c>
      <c r="D255" s="39">
        <v>44519</v>
      </c>
      <c r="E255" s="46">
        <v>3.89</v>
      </c>
      <c r="F255" s="46">
        <v>3384.3</v>
      </c>
      <c r="G255" s="162" t="s">
        <v>2219</v>
      </c>
    </row>
    <row r="256" spans="1:7" ht="15.75">
      <c r="A256" s="24">
        <v>2440</v>
      </c>
      <c r="B256" s="164" t="s">
        <v>862</v>
      </c>
      <c r="C256" s="67">
        <v>204</v>
      </c>
      <c r="D256" s="39">
        <v>44547</v>
      </c>
      <c r="E256" s="46">
        <v>3.89</v>
      </c>
      <c r="F256" s="46">
        <v>264.52</v>
      </c>
      <c r="G256" s="162" t="s">
        <v>2219</v>
      </c>
    </row>
    <row r="257" spans="1:7" ht="15.75">
      <c r="A257" s="24">
        <v>2440</v>
      </c>
      <c r="B257" s="164" t="s">
        <v>862</v>
      </c>
      <c r="C257" s="67">
        <v>638</v>
      </c>
      <c r="D257" s="39">
        <v>44589</v>
      </c>
      <c r="E257" s="46">
        <v>3.89</v>
      </c>
      <c r="F257" s="46">
        <v>272.3</v>
      </c>
      <c r="G257" s="162" t="s">
        <v>2219</v>
      </c>
    </row>
    <row r="258" spans="1:7" ht="15.75">
      <c r="A258" s="24">
        <v>2440</v>
      </c>
      <c r="B258" s="164" t="s">
        <v>6769</v>
      </c>
      <c r="C258" s="67">
        <v>406</v>
      </c>
      <c r="D258" s="39">
        <v>45373</v>
      </c>
      <c r="E258" s="46">
        <v>3.89</v>
      </c>
      <c r="F258" s="46">
        <v>552.38</v>
      </c>
      <c r="G258" s="162" t="s">
        <v>2219</v>
      </c>
    </row>
    <row r="259" spans="1:7" ht="15.75">
      <c r="A259" s="24">
        <v>2440</v>
      </c>
      <c r="B259" s="164" t="s">
        <v>5666</v>
      </c>
      <c r="C259" s="67">
        <v>290</v>
      </c>
      <c r="D259" s="39">
        <v>45022</v>
      </c>
      <c r="E259" s="46">
        <v>3.89</v>
      </c>
      <c r="F259" s="46">
        <v>676.86</v>
      </c>
      <c r="G259" s="162" t="s">
        <v>2219</v>
      </c>
    </row>
    <row r="260" spans="1:7" ht="15.75">
      <c r="A260" s="24">
        <v>2440</v>
      </c>
      <c r="B260" s="24" t="s">
        <v>3361</v>
      </c>
      <c r="C260" s="67">
        <v>116</v>
      </c>
      <c r="D260" s="39">
        <v>44867</v>
      </c>
      <c r="E260" s="46">
        <v>3.89</v>
      </c>
      <c r="F260" s="46">
        <v>451.24</v>
      </c>
      <c r="G260" s="162" t="s">
        <v>2219</v>
      </c>
    </row>
    <row r="261" spans="1:7" ht="15.75">
      <c r="A261" s="24">
        <v>2440</v>
      </c>
      <c r="B261" s="164" t="s">
        <v>6770</v>
      </c>
      <c r="C261" s="67">
        <v>58</v>
      </c>
      <c r="D261" s="39">
        <v>45373</v>
      </c>
      <c r="E261" s="46">
        <v>3.89</v>
      </c>
      <c r="F261" s="46">
        <v>676.86</v>
      </c>
      <c r="G261" s="162" t="s">
        <v>2219</v>
      </c>
    </row>
    <row r="262" spans="1:7" ht="15.75">
      <c r="A262" s="24">
        <v>2440</v>
      </c>
      <c r="B262" s="164" t="s">
        <v>6768</v>
      </c>
      <c r="C262" s="67">
        <v>58</v>
      </c>
      <c r="D262" s="39">
        <v>45373</v>
      </c>
      <c r="E262" s="46">
        <v>3.89</v>
      </c>
      <c r="F262" s="46">
        <v>676.86</v>
      </c>
      <c r="G262" s="162" t="s">
        <v>2219</v>
      </c>
    </row>
    <row r="263" spans="1:7" ht="15.75">
      <c r="A263" s="24">
        <v>2440</v>
      </c>
      <c r="B263" s="24" t="s">
        <v>3369</v>
      </c>
      <c r="C263" s="67">
        <v>232</v>
      </c>
      <c r="D263" s="39">
        <v>44867</v>
      </c>
      <c r="E263" s="46">
        <v>3.89</v>
      </c>
      <c r="F263" s="46">
        <v>2030.5800000000002</v>
      </c>
      <c r="G263" s="162" t="s">
        <v>2219</v>
      </c>
    </row>
    <row r="264" spans="1:7" ht="15.75">
      <c r="A264" s="24">
        <v>2440</v>
      </c>
      <c r="B264" s="164" t="s">
        <v>6302</v>
      </c>
      <c r="C264" s="67">
        <v>174</v>
      </c>
      <c r="D264" s="39">
        <v>45190</v>
      </c>
      <c r="E264" s="46">
        <v>3.89</v>
      </c>
      <c r="F264" s="46">
        <v>3384.3</v>
      </c>
      <c r="G264" s="162" t="s">
        <v>2219</v>
      </c>
    </row>
    <row r="265" spans="1:7" ht="15.75">
      <c r="A265" s="24">
        <v>2440</v>
      </c>
      <c r="B265" s="164" t="s">
        <v>7614</v>
      </c>
      <c r="C265" s="67">
        <v>174</v>
      </c>
      <c r="D265" s="39">
        <v>45555</v>
      </c>
      <c r="E265" s="46">
        <v>3.89</v>
      </c>
      <c r="F265" s="46">
        <v>676.86</v>
      </c>
      <c r="G265" s="162" t="s">
        <v>2219</v>
      </c>
    </row>
    <row r="266" spans="1:7" ht="15.75">
      <c r="A266" s="24">
        <v>2440</v>
      </c>
      <c r="B266" s="24" t="s">
        <v>1300</v>
      </c>
      <c r="C266" s="67">
        <v>28</v>
      </c>
      <c r="D266" s="213">
        <v>44211</v>
      </c>
      <c r="E266" s="46">
        <v>3.89</v>
      </c>
      <c r="F266" s="46">
        <v>225.62</v>
      </c>
      <c r="G266" s="162" t="s">
        <v>2219</v>
      </c>
    </row>
    <row r="267" spans="1:7" ht="15.75">
      <c r="A267" s="24">
        <v>2440</v>
      </c>
      <c r="B267" s="24" t="s">
        <v>1300</v>
      </c>
      <c r="C267" s="67">
        <v>29</v>
      </c>
      <c r="D267" s="213">
        <v>44211</v>
      </c>
      <c r="E267" s="46">
        <v>3.89</v>
      </c>
      <c r="F267" s="46">
        <v>1579.3400000000001</v>
      </c>
      <c r="G267" s="162" t="s">
        <v>2219</v>
      </c>
    </row>
    <row r="268" spans="1:7" ht="15.75">
      <c r="A268" s="24">
        <v>2440</v>
      </c>
      <c r="B268" s="164" t="s">
        <v>1547</v>
      </c>
      <c r="C268" s="67">
        <v>58</v>
      </c>
      <c r="D268" s="213">
        <v>44312</v>
      </c>
      <c r="E268" s="46">
        <v>3.89</v>
      </c>
      <c r="F268" s="46">
        <v>676.86</v>
      </c>
      <c r="G268" s="162" t="s">
        <v>2219</v>
      </c>
    </row>
    <row r="269" spans="1:7" ht="15.75">
      <c r="A269" s="24">
        <v>2440</v>
      </c>
      <c r="B269" s="164" t="s">
        <v>1547</v>
      </c>
      <c r="C269" s="67">
        <v>58</v>
      </c>
      <c r="D269" s="213">
        <v>44361</v>
      </c>
      <c r="E269" s="46">
        <v>3.89</v>
      </c>
      <c r="F269" s="46">
        <v>1579.3400000000001</v>
      </c>
      <c r="G269" s="162" t="s">
        <v>2219</v>
      </c>
    </row>
    <row r="270" spans="1:7" ht="15.75">
      <c r="A270" s="24">
        <v>2440</v>
      </c>
      <c r="B270" s="164" t="s">
        <v>1547</v>
      </c>
      <c r="C270" s="67">
        <v>290</v>
      </c>
      <c r="D270" s="39">
        <v>44609</v>
      </c>
      <c r="E270" s="46">
        <v>3.89</v>
      </c>
      <c r="F270" s="46">
        <v>225.62</v>
      </c>
      <c r="G270" s="162" t="s">
        <v>2219</v>
      </c>
    </row>
    <row r="271" spans="1:7" ht="15.75">
      <c r="A271" s="24">
        <v>2440</v>
      </c>
      <c r="B271" s="164" t="s">
        <v>1547</v>
      </c>
      <c r="C271" s="67">
        <v>116</v>
      </c>
      <c r="D271" s="39">
        <v>44676</v>
      </c>
      <c r="E271" s="46">
        <v>3.89</v>
      </c>
      <c r="F271" s="46">
        <v>451.24</v>
      </c>
      <c r="G271" s="162" t="s">
        <v>2219</v>
      </c>
    </row>
    <row r="272" spans="1:7" ht="15.75">
      <c r="A272" s="24">
        <v>2440</v>
      </c>
      <c r="B272" s="164" t="s">
        <v>1547</v>
      </c>
      <c r="C272" s="67">
        <v>116</v>
      </c>
      <c r="D272" s="39">
        <v>44867</v>
      </c>
      <c r="E272" s="46">
        <v>3.89</v>
      </c>
      <c r="F272" s="46">
        <v>1804.96</v>
      </c>
      <c r="G272" s="162" t="s">
        <v>2219</v>
      </c>
    </row>
    <row r="273" spans="1:7" ht="15.75">
      <c r="A273" s="24">
        <v>2440</v>
      </c>
      <c r="B273" s="164" t="s">
        <v>1547</v>
      </c>
      <c r="C273" s="67">
        <v>174</v>
      </c>
      <c r="D273" s="39">
        <v>45190</v>
      </c>
      <c r="E273" s="46">
        <v>3.89</v>
      </c>
      <c r="F273" s="46">
        <v>225.62</v>
      </c>
      <c r="G273" s="162" t="s">
        <v>2219</v>
      </c>
    </row>
    <row r="274" spans="1:7" ht="15.75">
      <c r="A274" s="24">
        <v>2440</v>
      </c>
      <c r="B274" s="164" t="s">
        <v>6771</v>
      </c>
      <c r="C274" s="67">
        <v>232</v>
      </c>
      <c r="D274" s="39">
        <v>45373</v>
      </c>
      <c r="E274" s="46">
        <v>3.89</v>
      </c>
      <c r="F274" s="46">
        <v>451.24</v>
      </c>
      <c r="G274" s="162" t="s">
        <v>2219</v>
      </c>
    </row>
    <row r="275" spans="1:7" ht="15.75">
      <c r="A275" s="2354">
        <v>2440</v>
      </c>
      <c r="B275" s="164" t="s">
        <v>7613</v>
      </c>
      <c r="C275" s="67">
        <v>116</v>
      </c>
      <c r="D275" s="239">
        <v>45548</v>
      </c>
      <c r="E275" s="46">
        <v>3.89</v>
      </c>
      <c r="F275" s="46">
        <v>237.29000000000002</v>
      </c>
      <c r="G275" s="162" t="s">
        <v>2219</v>
      </c>
    </row>
    <row r="276" spans="1:7" ht="15.75">
      <c r="A276" s="24">
        <v>2440</v>
      </c>
      <c r="B276" s="164" t="s">
        <v>1298</v>
      </c>
      <c r="C276" s="67">
        <v>116</v>
      </c>
      <c r="D276" s="213">
        <v>44211</v>
      </c>
      <c r="E276" s="46">
        <v>3.89</v>
      </c>
      <c r="F276" s="46">
        <v>676.86</v>
      </c>
      <c r="G276" s="162" t="s">
        <v>2219</v>
      </c>
    </row>
    <row r="277" spans="1:7" ht="15.75">
      <c r="A277" s="24">
        <v>2440</v>
      </c>
      <c r="B277" s="164" t="s">
        <v>1298</v>
      </c>
      <c r="C277" s="67">
        <v>522</v>
      </c>
      <c r="D277" s="39">
        <v>45190</v>
      </c>
      <c r="E277" s="46">
        <v>3.89</v>
      </c>
      <c r="F277" s="46">
        <v>676.86</v>
      </c>
      <c r="G277" s="162" t="s">
        <v>2219</v>
      </c>
    </row>
    <row r="278" spans="1:7" ht="15.75">
      <c r="A278" s="24">
        <v>2440</v>
      </c>
      <c r="B278" s="164" t="s">
        <v>6763</v>
      </c>
      <c r="C278" s="67">
        <v>464</v>
      </c>
      <c r="D278" s="39">
        <v>45373</v>
      </c>
      <c r="E278" s="46">
        <v>3.89</v>
      </c>
      <c r="F278" s="46">
        <v>225.62</v>
      </c>
      <c r="G278" s="162" t="s">
        <v>2219</v>
      </c>
    </row>
    <row r="279" spans="1:7" ht="15.75">
      <c r="A279" s="24">
        <v>2440</v>
      </c>
      <c r="B279" s="164" t="s">
        <v>6772</v>
      </c>
      <c r="C279" s="67">
        <v>116</v>
      </c>
      <c r="D279" s="39">
        <v>45373</v>
      </c>
      <c r="E279" s="46">
        <v>3.89</v>
      </c>
      <c r="F279" s="46">
        <v>1579.3400000000001</v>
      </c>
      <c r="G279" s="162" t="s">
        <v>2219</v>
      </c>
    </row>
    <row r="280" spans="1:7" ht="15.75">
      <c r="A280" s="24">
        <v>2440</v>
      </c>
      <c r="B280" s="164" t="s">
        <v>7605</v>
      </c>
      <c r="C280" s="67">
        <v>232</v>
      </c>
      <c r="D280" s="39">
        <v>45555</v>
      </c>
      <c r="E280" s="46">
        <v>3.89</v>
      </c>
      <c r="F280" s="46">
        <v>225.62</v>
      </c>
      <c r="G280" s="162" t="s">
        <v>2219</v>
      </c>
    </row>
    <row r="281" spans="1:7" ht="15.75">
      <c r="A281" s="24">
        <v>2440</v>
      </c>
      <c r="B281" s="164" t="s">
        <v>1922</v>
      </c>
      <c r="C281" s="67">
        <v>174</v>
      </c>
      <c r="D281" s="39">
        <v>44438</v>
      </c>
      <c r="E281" s="46">
        <v>3.89</v>
      </c>
      <c r="F281" s="46">
        <v>902.48</v>
      </c>
      <c r="G281" s="162" t="s">
        <v>2219</v>
      </c>
    </row>
    <row r="282" spans="1:7" ht="15.75">
      <c r="A282" s="24">
        <v>2440</v>
      </c>
      <c r="B282" s="164" t="s">
        <v>1922</v>
      </c>
      <c r="C282" s="67">
        <v>58</v>
      </c>
      <c r="D282" s="39">
        <v>44469</v>
      </c>
      <c r="E282" s="46">
        <v>3.89</v>
      </c>
      <c r="F282" s="46">
        <v>451.24</v>
      </c>
      <c r="G282" s="162" t="s">
        <v>2219</v>
      </c>
    </row>
    <row r="283" spans="1:7" ht="15.75">
      <c r="A283" s="24">
        <v>2440</v>
      </c>
      <c r="B283" s="164" t="s">
        <v>1922</v>
      </c>
      <c r="C283" s="67">
        <v>174</v>
      </c>
      <c r="D283" s="39">
        <v>44609</v>
      </c>
      <c r="E283" s="46">
        <v>3.89</v>
      </c>
      <c r="F283" s="46">
        <v>902.48</v>
      </c>
      <c r="G283" s="162" t="s">
        <v>2219</v>
      </c>
    </row>
    <row r="284" spans="1:7" ht="15.75">
      <c r="A284" s="24">
        <v>2440</v>
      </c>
      <c r="B284" s="164" t="s">
        <v>1922</v>
      </c>
      <c r="C284" s="67">
        <v>116</v>
      </c>
      <c r="D284" s="39">
        <v>44676</v>
      </c>
      <c r="E284" s="46">
        <v>3.89</v>
      </c>
      <c r="F284" s="46">
        <v>676.86</v>
      </c>
      <c r="G284" s="162" t="s">
        <v>2219</v>
      </c>
    </row>
    <row r="285" spans="1:7" ht="15.75">
      <c r="A285" s="24">
        <v>2440</v>
      </c>
      <c r="B285" s="164" t="s">
        <v>1922</v>
      </c>
      <c r="C285" s="67">
        <v>174</v>
      </c>
      <c r="D285" s="39">
        <v>44992</v>
      </c>
      <c r="E285" s="46">
        <v>3.89</v>
      </c>
      <c r="F285" s="46">
        <v>225.62</v>
      </c>
      <c r="G285" s="162" t="s">
        <v>2219</v>
      </c>
    </row>
    <row r="286" spans="1:7" ht="15.75">
      <c r="A286" s="24">
        <v>2440</v>
      </c>
      <c r="B286" s="164" t="s">
        <v>7612</v>
      </c>
      <c r="C286" s="67">
        <v>116</v>
      </c>
      <c r="D286" s="39">
        <v>45555</v>
      </c>
      <c r="E286" s="46">
        <v>3.89</v>
      </c>
      <c r="F286" s="46">
        <v>225.62</v>
      </c>
      <c r="G286" s="162" t="s">
        <v>2219</v>
      </c>
    </row>
    <row r="287" spans="1:7" ht="15.75">
      <c r="A287" s="24">
        <v>2440</v>
      </c>
      <c r="B287" s="164" t="s">
        <v>7611</v>
      </c>
      <c r="C287" s="67">
        <v>58</v>
      </c>
      <c r="D287" s="39">
        <v>45555</v>
      </c>
      <c r="E287" s="46">
        <v>3.89</v>
      </c>
      <c r="F287" s="46">
        <v>225.62</v>
      </c>
      <c r="G287" s="162" t="s">
        <v>2219</v>
      </c>
    </row>
    <row r="288" spans="1:7" ht="15.75">
      <c r="A288" s="24">
        <v>2440</v>
      </c>
      <c r="B288" s="164" t="s">
        <v>30</v>
      </c>
      <c r="C288" s="67">
        <v>174</v>
      </c>
      <c r="D288" s="39">
        <v>45022</v>
      </c>
      <c r="E288" s="46">
        <v>3.89</v>
      </c>
      <c r="F288" s="46">
        <v>676.86</v>
      </c>
      <c r="G288" s="162" t="s">
        <v>2219</v>
      </c>
    </row>
    <row r="289" spans="1:9" ht="15.75">
      <c r="A289" s="24">
        <v>2440</v>
      </c>
      <c r="B289" s="164" t="s">
        <v>30</v>
      </c>
      <c r="C289" s="67">
        <v>116</v>
      </c>
      <c r="D289" s="39">
        <v>45190</v>
      </c>
      <c r="E289" s="46">
        <v>3.89</v>
      </c>
      <c r="F289" s="46">
        <v>225.62</v>
      </c>
      <c r="G289" s="162" t="s">
        <v>2219</v>
      </c>
    </row>
    <row r="290" spans="1:9" ht="15.75">
      <c r="A290" s="24">
        <v>2440</v>
      </c>
      <c r="B290" s="164" t="s">
        <v>30</v>
      </c>
      <c r="C290" s="67">
        <v>406</v>
      </c>
      <c r="D290" s="39">
        <v>45373</v>
      </c>
      <c r="E290" s="46">
        <v>3.89</v>
      </c>
      <c r="F290" s="46">
        <v>451.24</v>
      </c>
      <c r="G290" s="162" t="s">
        <v>2219</v>
      </c>
    </row>
    <row r="291" spans="1:9" ht="15.75">
      <c r="A291" s="24">
        <v>2440</v>
      </c>
      <c r="B291" s="164" t="s">
        <v>30</v>
      </c>
      <c r="C291" s="67">
        <v>174</v>
      </c>
      <c r="D291" s="39">
        <v>45555</v>
      </c>
      <c r="E291" s="46">
        <v>3.89</v>
      </c>
      <c r="F291" s="46">
        <v>6768.6</v>
      </c>
      <c r="G291" s="162" t="s">
        <v>2219</v>
      </c>
    </row>
    <row r="292" spans="1:9" ht="15.75">
      <c r="A292" s="24">
        <v>2440</v>
      </c>
      <c r="B292" s="164" t="s">
        <v>114</v>
      </c>
      <c r="C292" s="67">
        <v>348</v>
      </c>
      <c r="D292" s="39">
        <v>44453</v>
      </c>
      <c r="E292" s="46">
        <v>3.89</v>
      </c>
      <c r="F292" s="46">
        <v>451.24</v>
      </c>
      <c r="G292" s="162" t="s">
        <v>2219</v>
      </c>
    </row>
    <row r="293" spans="1:9" ht="15.75">
      <c r="A293" s="24">
        <v>2440</v>
      </c>
      <c r="B293" s="164" t="s">
        <v>114</v>
      </c>
      <c r="C293" s="67">
        <v>116</v>
      </c>
      <c r="D293" s="39">
        <v>44519</v>
      </c>
      <c r="E293" s="46">
        <v>3.89</v>
      </c>
      <c r="F293" s="46">
        <v>676.86</v>
      </c>
      <c r="G293" s="162" t="s">
        <v>2219</v>
      </c>
    </row>
    <row r="294" spans="1:9" ht="15.75">
      <c r="A294" s="24">
        <v>2440</v>
      </c>
      <c r="B294" s="164" t="s">
        <v>114</v>
      </c>
      <c r="C294" s="67">
        <v>116</v>
      </c>
      <c r="D294" s="39">
        <v>44655</v>
      </c>
      <c r="E294" s="46">
        <v>3.89</v>
      </c>
      <c r="F294" s="46">
        <v>1128.1000000000001</v>
      </c>
      <c r="G294" s="162" t="s">
        <v>2219</v>
      </c>
    </row>
    <row r="298" spans="1:9">
      <c r="A298" t="s">
        <v>7843</v>
      </c>
    </row>
    <row r="299" spans="1:9" ht="15.75">
      <c r="A299" s="24">
        <v>2440</v>
      </c>
      <c r="B299" s="164" t="s">
        <v>6554</v>
      </c>
      <c r="C299" s="8">
        <v>30</v>
      </c>
      <c r="D299" s="39">
        <v>45296</v>
      </c>
      <c r="E299" s="46">
        <v>4.38</v>
      </c>
      <c r="F299" s="46">
        <v>131.4</v>
      </c>
      <c r="G299" s="162" t="s">
        <v>2219</v>
      </c>
    </row>
    <row r="300" spans="1:9" ht="15.75">
      <c r="A300" s="24">
        <v>2440</v>
      </c>
      <c r="B300" s="164" t="s">
        <v>5566</v>
      </c>
      <c r="C300" s="67">
        <v>174</v>
      </c>
      <c r="D300" s="39">
        <v>44988</v>
      </c>
      <c r="E300" s="46">
        <v>4.7300000000000004</v>
      </c>
      <c r="F300" s="46">
        <v>823.0200000000001</v>
      </c>
      <c r="G300" s="162" t="s">
        <v>2219</v>
      </c>
    </row>
    <row r="301" spans="1:9" ht="15.75">
      <c r="A301" s="24">
        <v>2440</v>
      </c>
      <c r="B301" s="164" t="s">
        <v>5566</v>
      </c>
      <c r="C301" s="67">
        <v>174</v>
      </c>
      <c r="D301" s="39">
        <v>45042</v>
      </c>
      <c r="E301" s="46">
        <v>4.88</v>
      </c>
      <c r="F301" s="46">
        <v>849.12</v>
      </c>
      <c r="G301" s="162" t="s">
        <v>2219</v>
      </c>
    </row>
    <row r="302" spans="1:9" ht="15.75">
      <c r="A302" s="24">
        <v>2440</v>
      </c>
      <c r="B302" s="164" t="s">
        <v>3138</v>
      </c>
      <c r="C302" s="67">
        <v>174</v>
      </c>
      <c r="D302" s="39">
        <v>44865</v>
      </c>
      <c r="E302" s="46">
        <v>4.7300000000000004</v>
      </c>
      <c r="F302" s="46">
        <v>823.0200000000001</v>
      </c>
      <c r="G302" s="162" t="s">
        <v>2219</v>
      </c>
    </row>
    <row r="303" spans="1:9" ht="15.75">
      <c r="A303" s="24">
        <v>2440</v>
      </c>
      <c r="B303" s="164" t="s">
        <v>3138</v>
      </c>
      <c r="C303" s="67">
        <v>57</v>
      </c>
      <c r="D303" s="39">
        <v>44865</v>
      </c>
      <c r="E303" s="46">
        <v>4.7300000000000004</v>
      </c>
      <c r="F303" s="46">
        <v>269.61</v>
      </c>
      <c r="G303" s="162" t="s">
        <v>2219</v>
      </c>
    </row>
    <row r="304" spans="1:9" ht="15.75">
      <c r="A304" s="24">
        <v>2440</v>
      </c>
      <c r="B304" s="164" t="s">
        <v>3138</v>
      </c>
      <c r="C304" s="67">
        <v>58</v>
      </c>
      <c r="D304" s="39">
        <v>44865</v>
      </c>
      <c r="E304" s="46">
        <v>4.7300000000000004</v>
      </c>
      <c r="F304" s="46">
        <v>274.34000000000003</v>
      </c>
      <c r="G304" s="162" t="s">
        <v>2219</v>
      </c>
      <c r="I304" t="s">
        <v>7844</v>
      </c>
    </row>
    <row r="305" spans="1:9" ht="15.75">
      <c r="A305" s="24">
        <v>2440</v>
      </c>
      <c r="B305" s="164" t="s">
        <v>3138</v>
      </c>
      <c r="C305" s="67">
        <v>1</v>
      </c>
      <c r="D305" s="1086" t="s">
        <v>1422</v>
      </c>
      <c r="E305" s="46">
        <v>4.7300000000000004</v>
      </c>
      <c r="F305" s="46"/>
      <c r="G305" s="162" t="s">
        <v>2219</v>
      </c>
      <c r="I305" s="24" t="s">
        <v>6554</v>
      </c>
    </row>
    <row r="306" spans="1:9" ht="15.75">
      <c r="A306" s="24">
        <v>2440</v>
      </c>
      <c r="B306" s="164" t="s">
        <v>6553</v>
      </c>
      <c r="C306" s="8">
        <v>30</v>
      </c>
      <c r="D306" s="39">
        <v>45296</v>
      </c>
      <c r="E306" s="46">
        <v>4.38</v>
      </c>
      <c r="F306" s="46">
        <v>131.4</v>
      </c>
      <c r="G306" s="162" t="s">
        <v>2219</v>
      </c>
      <c r="I306" s="24" t="s">
        <v>5566</v>
      </c>
    </row>
    <row r="307" spans="1:9" ht="15.75">
      <c r="A307" s="24">
        <v>2440</v>
      </c>
      <c r="B307" s="164" t="s">
        <v>6921</v>
      </c>
      <c r="C307" s="8">
        <v>348</v>
      </c>
      <c r="D307" s="39">
        <v>45483</v>
      </c>
      <c r="E307" s="46">
        <v>4.88</v>
      </c>
      <c r="F307" s="46">
        <v>1698.24</v>
      </c>
      <c r="G307" s="162" t="s">
        <v>2219</v>
      </c>
      <c r="I307" s="24" t="s">
        <v>6553</v>
      </c>
    </row>
    <row r="308" spans="1:9" ht="15.75">
      <c r="A308" s="24">
        <v>2440</v>
      </c>
      <c r="B308" s="164" t="s">
        <v>6782</v>
      </c>
      <c r="C308" s="8">
        <v>40</v>
      </c>
      <c r="D308" s="39">
        <v>45372</v>
      </c>
      <c r="E308" s="46">
        <v>4.38</v>
      </c>
      <c r="F308" s="46">
        <v>175.2</v>
      </c>
      <c r="G308" s="162" t="s">
        <v>2219</v>
      </c>
      <c r="I308" s="24" t="s">
        <v>6782</v>
      </c>
    </row>
    <row r="309" spans="1:9" ht="15.75">
      <c r="A309" s="24">
        <v>2440</v>
      </c>
      <c r="B309" s="164" t="s">
        <v>6642</v>
      </c>
      <c r="C309" s="8">
        <v>20</v>
      </c>
      <c r="D309" s="39">
        <v>45348</v>
      </c>
      <c r="E309" s="46">
        <v>4.38</v>
      </c>
      <c r="F309" s="46">
        <v>87.6</v>
      </c>
      <c r="G309" s="162" t="s">
        <v>2219</v>
      </c>
      <c r="I309" s="24" t="s">
        <v>6642</v>
      </c>
    </row>
    <row r="310" spans="1:9" ht="15.75">
      <c r="A310" s="24">
        <v>2440</v>
      </c>
      <c r="B310" s="164" t="s">
        <v>6922</v>
      </c>
      <c r="C310" s="67">
        <v>104</v>
      </c>
      <c r="D310" s="39">
        <v>45483</v>
      </c>
      <c r="E310" s="46">
        <v>4.88</v>
      </c>
      <c r="F310" s="46">
        <v>507.52</v>
      </c>
      <c r="G310" s="162" t="s">
        <v>2219</v>
      </c>
      <c r="I310" s="24" t="s">
        <v>6640</v>
      </c>
    </row>
    <row r="311" spans="1:9" ht="15.75">
      <c r="A311" s="24">
        <v>2440</v>
      </c>
      <c r="B311" s="164" t="s">
        <v>6922</v>
      </c>
      <c r="C311" s="67">
        <v>57</v>
      </c>
      <c r="D311" s="39">
        <v>45483</v>
      </c>
      <c r="E311" s="46">
        <v>4.88</v>
      </c>
      <c r="F311" s="46">
        <v>278.15999999999997</v>
      </c>
      <c r="G311" s="162" t="s">
        <v>2219</v>
      </c>
      <c r="I311" s="24" t="s">
        <v>6781</v>
      </c>
    </row>
    <row r="312" spans="1:9" ht="15.75">
      <c r="A312" s="24">
        <v>2440</v>
      </c>
      <c r="B312" s="164" t="s">
        <v>6922</v>
      </c>
      <c r="C312" s="67">
        <v>870</v>
      </c>
      <c r="D312" s="39">
        <v>45483</v>
      </c>
      <c r="E312" s="46">
        <v>4.88</v>
      </c>
      <c r="F312" s="46">
        <v>4245.5999999999995</v>
      </c>
      <c r="G312" s="162" t="s">
        <v>2219</v>
      </c>
      <c r="I312" s="24" t="s">
        <v>3139</v>
      </c>
    </row>
    <row r="313" spans="1:9" ht="15.75">
      <c r="A313" s="24">
        <v>2440</v>
      </c>
      <c r="B313" s="164" t="s">
        <v>6922</v>
      </c>
      <c r="C313" s="67">
        <v>696</v>
      </c>
      <c r="D313" s="39">
        <v>45483</v>
      </c>
      <c r="E313" s="46">
        <v>4.88</v>
      </c>
      <c r="F313" s="46">
        <v>3396.48</v>
      </c>
      <c r="G313" s="162" t="s">
        <v>2219</v>
      </c>
      <c r="I313" s="24" t="s">
        <v>30</v>
      </c>
    </row>
    <row r="314" spans="1:9" ht="15.75">
      <c r="A314" s="24">
        <v>2440</v>
      </c>
      <c r="B314" s="164" t="s">
        <v>6922</v>
      </c>
      <c r="C314" s="67">
        <v>55</v>
      </c>
      <c r="D314" s="39">
        <v>45483</v>
      </c>
      <c r="E314" s="46">
        <v>4.88</v>
      </c>
      <c r="F314" s="46">
        <v>268.39999999999998</v>
      </c>
      <c r="G314" s="162" t="s">
        <v>2219</v>
      </c>
    </row>
    <row r="315" spans="1:9" ht="15.75">
      <c r="A315" s="24">
        <v>2440</v>
      </c>
      <c r="B315" s="164" t="s">
        <v>6922</v>
      </c>
      <c r="C315" s="67">
        <v>16</v>
      </c>
      <c r="D315" s="39">
        <v>45483</v>
      </c>
      <c r="E315" s="46">
        <v>4.88</v>
      </c>
      <c r="F315" s="46">
        <v>78.08</v>
      </c>
      <c r="G315" s="162" t="s">
        <v>2219</v>
      </c>
    </row>
    <row r="316" spans="1:9" ht="15.75">
      <c r="A316" s="24">
        <v>2440</v>
      </c>
      <c r="B316" s="164" t="s">
        <v>6922</v>
      </c>
      <c r="C316" s="67">
        <v>45</v>
      </c>
      <c r="D316" s="39">
        <v>45483</v>
      </c>
      <c r="E316" s="46">
        <v>4.88</v>
      </c>
      <c r="F316" s="46">
        <v>219.6</v>
      </c>
      <c r="G316" s="162" t="s">
        <v>2219</v>
      </c>
    </row>
    <row r="317" spans="1:9" ht="15.75">
      <c r="A317" s="24">
        <v>2440</v>
      </c>
      <c r="B317" s="164" t="s">
        <v>6922</v>
      </c>
      <c r="C317" s="67">
        <v>27</v>
      </c>
      <c r="D317" s="39">
        <v>45483</v>
      </c>
      <c r="E317" s="46">
        <v>4.88</v>
      </c>
      <c r="F317" s="46">
        <v>131.76</v>
      </c>
      <c r="G317" s="162" t="s">
        <v>2219</v>
      </c>
    </row>
    <row r="318" spans="1:9" ht="15.75">
      <c r="A318" s="24">
        <v>2440</v>
      </c>
      <c r="B318" s="164" t="s">
        <v>6640</v>
      </c>
      <c r="C318" s="8">
        <v>16</v>
      </c>
      <c r="D318" s="39">
        <v>45344</v>
      </c>
      <c r="E318" s="46">
        <v>4.38</v>
      </c>
      <c r="F318" s="46">
        <v>70.08</v>
      </c>
      <c r="G318" s="162" t="s">
        <v>2219</v>
      </c>
    </row>
    <row r="319" spans="1:9" ht="15.75">
      <c r="A319" s="24">
        <v>2440</v>
      </c>
      <c r="B319" s="164" t="s">
        <v>6781</v>
      </c>
      <c r="C319" s="8">
        <v>40</v>
      </c>
      <c r="D319" s="39">
        <v>45372</v>
      </c>
      <c r="E319" s="46">
        <v>4.38</v>
      </c>
      <c r="F319" s="46">
        <v>175.2</v>
      </c>
      <c r="G319" s="162" t="s">
        <v>2219</v>
      </c>
    </row>
    <row r="320" spans="1:9" ht="15.75">
      <c r="A320" s="24">
        <v>2440</v>
      </c>
      <c r="B320" s="164" t="s">
        <v>6781</v>
      </c>
      <c r="C320" s="67">
        <v>48</v>
      </c>
      <c r="D320" s="39">
        <v>45524</v>
      </c>
      <c r="E320" s="46">
        <v>4.38</v>
      </c>
      <c r="F320" s="46">
        <v>210.24</v>
      </c>
      <c r="G320" s="162" t="s">
        <v>2219</v>
      </c>
    </row>
    <row r="321" spans="1:7" ht="15.75">
      <c r="A321" s="24">
        <v>2440</v>
      </c>
      <c r="B321" s="164" t="s">
        <v>6781</v>
      </c>
      <c r="C321" s="67">
        <v>50</v>
      </c>
      <c r="D321" s="39">
        <v>45524</v>
      </c>
      <c r="E321" s="46">
        <v>4.38</v>
      </c>
      <c r="F321" s="46">
        <v>219</v>
      </c>
      <c r="G321" s="162" t="s">
        <v>2219</v>
      </c>
    </row>
    <row r="322" spans="1:7" ht="15.75">
      <c r="A322" s="24">
        <v>2440</v>
      </c>
      <c r="B322" s="164" t="s">
        <v>6781</v>
      </c>
      <c r="C322" s="67">
        <v>51</v>
      </c>
      <c r="D322" s="39">
        <v>45524</v>
      </c>
      <c r="E322" s="46">
        <v>4.38</v>
      </c>
      <c r="F322" s="46">
        <v>223.38</v>
      </c>
      <c r="G322" s="162" t="s">
        <v>2219</v>
      </c>
    </row>
    <row r="323" spans="1:7" ht="15.75">
      <c r="A323" s="24">
        <v>2440</v>
      </c>
      <c r="B323" s="164" t="s">
        <v>6781</v>
      </c>
      <c r="C323" s="67">
        <v>52</v>
      </c>
      <c r="D323" s="39">
        <v>45524</v>
      </c>
      <c r="E323" s="46">
        <v>4.38</v>
      </c>
      <c r="F323" s="46">
        <v>227.76</v>
      </c>
      <c r="G323" s="162" t="s">
        <v>2219</v>
      </c>
    </row>
    <row r="324" spans="1:7" ht="15">
      <c r="A324" s="24">
        <v>2440</v>
      </c>
      <c r="B324" s="24" t="s">
        <v>2127</v>
      </c>
      <c r="C324" s="67">
        <v>116</v>
      </c>
      <c r="D324" s="39">
        <v>44516</v>
      </c>
      <c r="E324" s="25">
        <v>4.46</v>
      </c>
      <c r="F324" s="46">
        <v>517.36</v>
      </c>
      <c r="G324" s="112"/>
    </row>
    <row r="325" spans="1:7" ht="15">
      <c r="A325" s="24">
        <v>2440</v>
      </c>
      <c r="B325" s="24" t="s">
        <v>2127</v>
      </c>
      <c r="C325" s="67">
        <v>9</v>
      </c>
      <c r="D325" s="39">
        <v>44516</v>
      </c>
      <c r="E325" s="25">
        <v>4.46</v>
      </c>
      <c r="F325" s="46">
        <v>40.14</v>
      </c>
      <c r="G325" s="112"/>
    </row>
    <row r="326" spans="1:7" ht="15.75">
      <c r="A326" s="24">
        <v>2440</v>
      </c>
      <c r="B326" s="24" t="s">
        <v>3407</v>
      </c>
      <c r="C326" s="67">
        <v>174</v>
      </c>
      <c r="D326" s="39">
        <v>44865</v>
      </c>
      <c r="E326" s="46">
        <v>4.7300000000000004</v>
      </c>
      <c r="F326" s="46">
        <v>823.0200000000001</v>
      </c>
      <c r="G326" s="162" t="s">
        <v>2219</v>
      </c>
    </row>
    <row r="327" spans="1:7" ht="15.75">
      <c r="A327" s="24">
        <v>2440</v>
      </c>
      <c r="B327" s="164" t="s">
        <v>3139</v>
      </c>
      <c r="C327" s="67">
        <v>290</v>
      </c>
      <c r="D327" s="39">
        <v>44865</v>
      </c>
      <c r="E327" s="46">
        <v>4.7300000000000004</v>
      </c>
      <c r="F327" s="46">
        <v>1371.7</v>
      </c>
      <c r="G327" s="162" t="s">
        <v>2219</v>
      </c>
    </row>
    <row r="328" spans="1:7" ht="15.75">
      <c r="A328" s="24">
        <v>2440</v>
      </c>
      <c r="B328" s="164" t="s">
        <v>3139</v>
      </c>
      <c r="C328" s="67">
        <v>61</v>
      </c>
      <c r="D328" s="39">
        <v>44865</v>
      </c>
      <c r="E328" s="46">
        <v>4.7300000000000004</v>
      </c>
      <c r="F328" s="46">
        <v>288.53000000000003</v>
      </c>
      <c r="G328" s="162" t="s">
        <v>2219</v>
      </c>
    </row>
    <row r="329" spans="1:7" ht="15.75">
      <c r="A329" s="24">
        <v>2440</v>
      </c>
      <c r="B329" s="164" t="s">
        <v>3139</v>
      </c>
      <c r="C329" s="67">
        <v>57</v>
      </c>
      <c r="D329" s="39">
        <v>44865</v>
      </c>
      <c r="E329" s="46">
        <v>4.7300000000000004</v>
      </c>
      <c r="F329" s="46">
        <v>269.61</v>
      </c>
      <c r="G329" s="162" t="s">
        <v>2219</v>
      </c>
    </row>
    <row r="330" spans="1:7" ht="15.75">
      <c r="A330" s="24">
        <v>2440</v>
      </c>
      <c r="B330" s="164" t="s">
        <v>3139</v>
      </c>
      <c r="C330" s="67">
        <v>1</v>
      </c>
      <c r="D330" s="1086" t="s">
        <v>1422</v>
      </c>
      <c r="E330" s="46">
        <v>4.7300000000000004</v>
      </c>
      <c r="F330" s="46"/>
      <c r="G330" s="162" t="s">
        <v>2219</v>
      </c>
    </row>
    <row r="331" spans="1:7" ht="15.75">
      <c r="A331" s="24">
        <v>2440</v>
      </c>
      <c r="B331" s="164" t="s">
        <v>3139</v>
      </c>
      <c r="C331" s="67">
        <v>232</v>
      </c>
      <c r="D331" s="39">
        <v>44886</v>
      </c>
      <c r="E331" s="46">
        <v>4.7300000000000004</v>
      </c>
      <c r="F331" s="46">
        <v>1097.3600000000001</v>
      </c>
      <c r="G331" s="162" t="s">
        <v>2219</v>
      </c>
    </row>
    <row r="332" spans="1:7" ht="15.75">
      <c r="A332" s="24">
        <v>2440</v>
      </c>
      <c r="B332" s="164" t="s">
        <v>3139</v>
      </c>
      <c r="C332" s="67">
        <v>57</v>
      </c>
      <c r="D332" s="39">
        <v>44886</v>
      </c>
      <c r="E332" s="46">
        <v>4.7300000000000004</v>
      </c>
      <c r="F332" s="46">
        <v>269.61</v>
      </c>
      <c r="G332" s="162" t="s">
        <v>2219</v>
      </c>
    </row>
    <row r="333" spans="1:7" ht="15.75">
      <c r="A333" s="24">
        <v>2440</v>
      </c>
      <c r="B333" s="164" t="s">
        <v>3139</v>
      </c>
      <c r="C333" s="67">
        <v>1</v>
      </c>
      <c r="D333" s="1086" t="s">
        <v>1422</v>
      </c>
      <c r="E333" s="46">
        <v>4.7300000000000004</v>
      </c>
      <c r="F333" s="46"/>
      <c r="G333" s="162" t="s">
        <v>2219</v>
      </c>
    </row>
    <row r="334" spans="1:7" ht="15.75">
      <c r="A334" s="24">
        <v>2440</v>
      </c>
      <c r="B334" s="24" t="s">
        <v>5977</v>
      </c>
      <c r="C334" s="8">
        <v>20</v>
      </c>
      <c r="D334" s="39">
        <v>45070</v>
      </c>
      <c r="E334" s="46">
        <v>4.38</v>
      </c>
      <c r="F334" s="46">
        <v>87.6</v>
      </c>
      <c r="G334" s="162" t="s">
        <v>2219</v>
      </c>
    </row>
    <row r="335" spans="1:7" ht="15.75">
      <c r="A335" s="24">
        <v>2440</v>
      </c>
      <c r="B335" s="164" t="s">
        <v>30</v>
      </c>
      <c r="C335" s="67">
        <v>232</v>
      </c>
      <c r="D335" s="39">
        <v>45217</v>
      </c>
      <c r="E335" s="46">
        <v>4.88</v>
      </c>
      <c r="F335" s="46">
        <v>1132.1600000000001</v>
      </c>
      <c r="G335" s="162" t="s">
        <v>2219</v>
      </c>
    </row>
    <row r="336" spans="1:7" ht="15.75">
      <c r="A336" s="24">
        <v>2440</v>
      </c>
      <c r="B336" s="164" t="s">
        <v>5998</v>
      </c>
      <c r="C336" s="8">
        <v>30</v>
      </c>
      <c r="D336" s="39">
        <v>45296</v>
      </c>
      <c r="E336" s="46">
        <v>4.38</v>
      </c>
      <c r="F336" s="46">
        <v>131.4</v>
      </c>
      <c r="G336" s="162" t="s">
        <v>2219</v>
      </c>
    </row>
    <row r="337" spans="1:7" ht="15.75">
      <c r="A337" s="24">
        <v>2440</v>
      </c>
      <c r="B337" s="164" t="s">
        <v>30</v>
      </c>
      <c r="C337" s="67">
        <v>406</v>
      </c>
      <c r="D337" s="39">
        <v>45420</v>
      </c>
      <c r="E337" s="46">
        <v>4.88</v>
      </c>
      <c r="F337" s="46">
        <v>1981.28</v>
      </c>
      <c r="G337" s="162" t="s">
        <v>2219</v>
      </c>
    </row>
    <row r="338" spans="1:7" ht="15.75">
      <c r="A338" s="24">
        <v>2440</v>
      </c>
      <c r="B338" s="164" t="s">
        <v>30</v>
      </c>
      <c r="C338" s="67">
        <v>1624</v>
      </c>
      <c r="D338" s="39">
        <v>45483</v>
      </c>
      <c r="E338" s="46">
        <v>4.88</v>
      </c>
      <c r="F338" s="46">
        <v>7925.12</v>
      </c>
      <c r="G338" s="162" t="s">
        <v>2219</v>
      </c>
    </row>
    <row r="339" spans="1:7" ht="15.75">
      <c r="A339" s="24">
        <v>2440</v>
      </c>
      <c r="B339" s="164" t="s">
        <v>30</v>
      </c>
      <c r="C339" s="67">
        <v>116</v>
      </c>
      <c r="D339" s="39">
        <v>45483</v>
      </c>
      <c r="E339" s="46">
        <v>4.88</v>
      </c>
      <c r="F339" s="46">
        <v>566.08000000000004</v>
      </c>
      <c r="G339" s="162" t="s">
        <v>2219</v>
      </c>
    </row>
    <row r="340" spans="1:7" ht="15.75">
      <c r="A340" s="24">
        <v>2440</v>
      </c>
      <c r="B340" s="164" t="s">
        <v>114</v>
      </c>
      <c r="C340" s="67">
        <v>348</v>
      </c>
      <c r="D340" s="39">
        <v>44865</v>
      </c>
      <c r="E340" s="46">
        <v>4.7300000000000004</v>
      </c>
      <c r="F340" s="46">
        <v>1646.0400000000002</v>
      </c>
      <c r="G340" s="162" t="s">
        <v>2219</v>
      </c>
    </row>
    <row r="341" spans="1:7" ht="15.75">
      <c r="A341" s="24">
        <v>2440</v>
      </c>
      <c r="B341" s="164" t="s">
        <v>114</v>
      </c>
      <c r="C341" s="67">
        <v>57</v>
      </c>
      <c r="D341" s="39">
        <v>44865</v>
      </c>
      <c r="E341" s="46">
        <v>4.7300000000000004</v>
      </c>
      <c r="F341" s="46">
        <v>269.61</v>
      </c>
      <c r="G341" s="162" t="s">
        <v>2219</v>
      </c>
    </row>
    <row r="342" spans="1:7" ht="15.75">
      <c r="A342" s="24">
        <v>2440</v>
      </c>
      <c r="B342" s="164" t="s">
        <v>114</v>
      </c>
      <c r="C342" s="67">
        <v>1</v>
      </c>
      <c r="D342" s="1086" t="s">
        <v>1422</v>
      </c>
      <c r="E342" s="46">
        <v>4.7300000000000004</v>
      </c>
      <c r="F342" s="46"/>
      <c r="G342" s="162" t="s">
        <v>2219</v>
      </c>
    </row>
    <row r="343" spans="1:7" ht="15.75">
      <c r="A343" s="24">
        <v>2440</v>
      </c>
      <c r="B343" s="164" t="s">
        <v>114</v>
      </c>
      <c r="C343" s="67">
        <v>174</v>
      </c>
      <c r="D343" s="39">
        <v>44988</v>
      </c>
      <c r="E343" s="46">
        <v>4.7300000000000004</v>
      </c>
      <c r="F343" s="46">
        <v>823.0200000000001</v>
      </c>
      <c r="G343" s="162" t="s">
        <v>2219</v>
      </c>
    </row>
    <row r="344" spans="1:7" ht="15.75">
      <c r="A344" s="24">
        <v>2440</v>
      </c>
      <c r="B344" s="164" t="s">
        <v>114</v>
      </c>
      <c r="C344" s="67">
        <v>174</v>
      </c>
      <c r="D344" s="39">
        <v>45042</v>
      </c>
      <c r="E344" s="46">
        <v>4.88</v>
      </c>
      <c r="F344" s="46">
        <v>849.12</v>
      </c>
      <c r="G344" s="162" t="s">
        <v>2219</v>
      </c>
    </row>
    <row r="345" spans="1:7" ht="15.75">
      <c r="A345" s="24">
        <v>2440</v>
      </c>
      <c r="B345" s="47" t="s">
        <v>3449</v>
      </c>
      <c r="C345" s="67">
        <v>30</v>
      </c>
      <c r="D345" s="39">
        <v>44874</v>
      </c>
      <c r="E345" s="46">
        <v>3.89</v>
      </c>
      <c r="F345" s="46">
        <v>116.7</v>
      </c>
      <c r="G345" s="162" t="s">
        <v>2219</v>
      </c>
    </row>
    <row r="346" spans="1:7" ht="15.75">
      <c r="A346" s="24">
        <v>2440</v>
      </c>
      <c r="B346" s="47" t="s">
        <v>3450</v>
      </c>
      <c r="C346" s="67">
        <v>30</v>
      </c>
      <c r="D346" s="39">
        <v>44874</v>
      </c>
      <c r="E346" s="46">
        <v>3.89</v>
      </c>
      <c r="F346" s="46">
        <v>116.7</v>
      </c>
      <c r="G346" s="162" t="s">
        <v>2219</v>
      </c>
    </row>
    <row r="347" spans="1:7" ht="15.75">
      <c r="A347" s="24">
        <v>2440</v>
      </c>
      <c r="B347" s="47" t="s">
        <v>3448</v>
      </c>
      <c r="C347" s="67">
        <v>30</v>
      </c>
      <c r="D347" s="39">
        <v>44874</v>
      </c>
      <c r="E347" s="46">
        <v>3.89</v>
      </c>
      <c r="F347" s="46">
        <v>116.7</v>
      </c>
      <c r="G347" s="162" t="s">
        <v>2219</v>
      </c>
    </row>
    <row r="348" spans="1:7" ht="15.75">
      <c r="A348" s="24" t="s">
        <v>3067</v>
      </c>
      <c r="B348" s="24" t="s">
        <v>6827</v>
      </c>
      <c r="C348" s="67">
        <v>50</v>
      </c>
      <c r="D348" s="39">
        <v>45420</v>
      </c>
      <c r="E348" s="46">
        <v>4.88</v>
      </c>
      <c r="F348" s="46">
        <v>244</v>
      </c>
      <c r="G348" s="162" t="s">
        <v>2219</v>
      </c>
    </row>
    <row r="349" spans="1:7" ht="15.75">
      <c r="A349" s="24" t="s">
        <v>3067</v>
      </c>
      <c r="B349" s="24" t="s">
        <v>6827</v>
      </c>
      <c r="C349" s="67">
        <v>53</v>
      </c>
      <c r="D349" s="39">
        <v>45420</v>
      </c>
      <c r="E349" s="46">
        <v>4.88</v>
      </c>
      <c r="F349" s="46">
        <v>258.64</v>
      </c>
      <c r="G349" s="162" t="s">
        <v>2219</v>
      </c>
    </row>
    <row r="350" spans="1:7" ht="15.75">
      <c r="A350" s="24" t="s">
        <v>3067</v>
      </c>
      <c r="B350" s="24" t="s">
        <v>6827</v>
      </c>
      <c r="C350" s="67">
        <v>162</v>
      </c>
      <c r="D350" s="39">
        <v>45420</v>
      </c>
      <c r="E350" s="46">
        <v>4.88</v>
      </c>
      <c r="F350" s="46">
        <v>790.56</v>
      </c>
      <c r="G350" s="162" t="s">
        <v>2219</v>
      </c>
    </row>
    <row r="351" spans="1:7" ht="15.75">
      <c r="A351" s="24" t="s">
        <v>3067</v>
      </c>
      <c r="B351" s="24" t="s">
        <v>6827</v>
      </c>
      <c r="C351" s="67">
        <v>165</v>
      </c>
      <c r="D351" s="39">
        <v>45420</v>
      </c>
      <c r="E351" s="46">
        <v>4.88</v>
      </c>
      <c r="F351" s="46">
        <v>805.19999999999993</v>
      </c>
      <c r="G351" s="162" t="s">
        <v>2219</v>
      </c>
    </row>
    <row r="352" spans="1:7" ht="15.75">
      <c r="A352" s="24" t="s">
        <v>3067</v>
      </c>
      <c r="B352" s="24" t="s">
        <v>6827</v>
      </c>
      <c r="C352" s="67">
        <v>56</v>
      </c>
      <c r="D352" s="39">
        <v>45420</v>
      </c>
      <c r="E352" s="46">
        <v>4.88</v>
      </c>
      <c r="F352" s="46">
        <v>273.27999999999997</v>
      </c>
      <c r="G352" s="162" t="s">
        <v>2219</v>
      </c>
    </row>
    <row r="353" spans="1:7" ht="15.75">
      <c r="A353" s="24" t="s">
        <v>3067</v>
      </c>
      <c r="B353" s="24" t="s">
        <v>6827</v>
      </c>
      <c r="C353" s="67">
        <v>1450</v>
      </c>
      <c r="D353" s="39">
        <v>45420</v>
      </c>
      <c r="E353" s="46">
        <v>4.88</v>
      </c>
      <c r="F353" s="46">
        <v>7076</v>
      </c>
      <c r="G353" s="162" t="s">
        <v>2219</v>
      </c>
    </row>
  </sheetData>
  <autoFilter ref="A298:G298" xr:uid="{00000000-0001-0000-0700-000000000000}">
    <sortState xmlns:xlrd2="http://schemas.microsoft.com/office/spreadsheetml/2017/richdata2" ref="A299:G353">
      <sortCondition ref="B298"/>
    </sortState>
  </autoFilter>
  <mergeCells count="2">
    <mergeCell ref="D31:F31"/>
    <mergeCell ref="D36:F36"/>
  </mergeCells>
  <phoneticPr fontId="2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966-9026-42DD-9A4E-04C1B60E3801}"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9886-5D33-4915-95C7-4A89F9B290A7}"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1:AH63"/>
  <sheetViews>
    <sheetView showGridLines="0" view="pageBreakPreview" zoomScaleNormal="100" zoomScaleSheetLayoutView="100" workbookViewId="0">
      <selection activeCell="W30" sqref="W30:X31"/>
    </sheetView>
  </sheetViews>
  <sheetFormatPr defaultColWidth="3.25" defaultRowHeight="12"/>
  <cols>
    <col min="1" max="1" width="3.25" style="1392"/>
    <col min="2" max="2" width="6.25" style="1399" customWidth="1"/>
    <col min="3" max="20" width="3.25" style="1392"/>
    <col min="21" max="22" width="6.375" style="1392" customWidth="1"/>
    <col min="23" max="28" width="4.875" style="1392" customWidth="1"/>
    <col min="29" max="32" width="3.25" style="1392"/>
    <col min="33" max="34" width="4.875" style="1392" customWidth="1"/>
    <col min="35" max="37" width="3.25" style="1392"/>
    <col min="38" max="38" width="3.75" style="1392" bestFit="1" customWidth="1"/>
    <col min="39" max="16384" width="3.25" style="1392"/>
  </cols>
  <sheetData>
    <row r="1" spans="3:34">
      <c r="C1" s="3029" t="s">
        <v>3791</v>
      </c>
      <c r="D1" s="3030"/>
      <c r="E1" s="3030"/>
      <c r="F1" s="3031"/>
      <c r="G1" s="3028"/>
      <c r="H1" s="3028"/>
      <c r="I1" s="3028"/>
      <c r="J1" s="3028"/>
      <c r="K1" s="3028"/>
      <c r="L1" s="3028"/>
      <c r="M1" s="3028"/>
    </row>
    <row r="2" spans="3:34">
      <c r="C2" s="3029" t="s">
        <v>3792</v>
      </c>
      <c r="D2" s="3030"/>
      <c r="E2" s="3030"/>
      <c r="F2" s="3031"/>
      <c r="G2" s="3028"/>
      <c r="H2" s="3028"/>
      <c r="I2" s="3028"/>
      <c r="J2" s="3028"/>
      <c r="K2" s="3028"/>
      <c r="L2" s="3028"/>
      <c r="M2" s="3028"/>
    </row>
    <row r="4" spans="3:34" ht="18.75" customHeight="1">
      <c r="C4" s="3110" t="s">
        <v>3777</v>
      </c>
      <c r="D4" s="3111"/>
      <c r="E4" s="3111"/>
      <c r="F4" s="3111"/>
      <c r="G4" s="3111"/>
      <c r="H4" s="3111"/>
      <c r="I4" s="3111"/>
      <c r="J4" s="3111"/>
      <c r="K4" s="3111"/>
      <c r="L4" s="3111"/>
      <c r="M4" s="3111"/>
      <c r="N4" s="3111"/>
      <c r="O4" s="3111"/>
      <c r="P4" s="3111"/>
      <c r="Q4" s="3111"/>
      <c r="R4" s="3111"/>
      <c r="S4" s="3111"/>
      <c r="T4" s="3111"/>
      <c r="U4" s="3113" t="s">
        <v>3745</v>
      </c>
      <c r="V4" s="3113"/>
      <c r="W4" s="3113"/>
      <c r="X4" s="3113"/>
      <c r="Y4" s="3113"/>
      <c r="Z4" s="3113"/>
      <c r="AA4" s="3113"/>
      <c r="AB4" s="3113"/>
      <c r="AC4" s="3113"/>
      <c r="AD4" s="3113"/>
      <c r="AE4" s="3113"/>
      <c r="AF4" s="3113"/>
      <c r="AG4" s="3113"/>
      <c r="AH4" s="3113"/>
    </row>
    <row r="5" spans="3:34" ht="18.75" customHeight="1">
      <c r="C5" s="3111"/>
      <c r="D5" s="3111"/>
      <c r="E5" s="3111"/>
      <c r="F5" s="3111"/>
      <c r="G5" s="3111"/>
      <c r="H5" s="3111"/>
      <c r="I5" s="3111"/>
      <c r="J5" s="3111"/>
      <c r="K5" s="3111"/>
      <c r="L5" s="3111"/>
      <c r="M5" s="3111"/>
      <c r="N5" s="3111"/>
      <c r="O5" s="3111"/>
      <c r="P5" s="3111"/>
      <c r="Q5" s="3111"/>
      <c r="R5" s="3111"/>
      <c r="S5" s="3111"/>
      <c r="T5" s="3111"/>
      <c r="U5" s="3113"/>
      <c r="V5" s="3113"/>
      <c r="W5" s="3113"/>
      <c r="X5" s="3113"/>
      <c r="Y5" s="3113"/>
      <c r="Z5" s="3113"/>
      <c r="AA5" s="3113"/>
      <c r="AB5" s="3113"/>
      <c r="AC5" s="3113"/>
      <c r="AD5" s="3113"/>
      <c r="AE5" s="3113"/>
      <c r="AF5" s="3113"/>
      <c r="AG5" s="3113"/>
      <c r="AH5" s="3113"/>
    </row>
    <row r="6" spans="3:34" ht="18.75">
      <c r="C6" s="3111"/>
      <c r="D6" s="3111"/>
      <c r="E6" s="3111"/>
      <c r="F6" s="3111"/>
      <c r="G6" s="3111"/>
      <c r="H6" s="3111"/>
      <c r="I6" s="3111"/>
      <c r="J6" s="3111"/>
      <c r="K6" s="3111"/>
      <c r="L6" s="3111"/>
      <c r="M6" s="3111"/>
      <c r="N6" s="3111"/>
      <c r="O6" s="3111"/>
      <c r="P6" s="3111"/>
      <c r="Q6" s="3111"/>
      <c r="R6" s="3111"/>
      <c r="S6" s="3111"/>
      <c r="T6" s="3111"/>
      <c r="U6" s="3114" t="s">
        <v>3746</v>
      </c>
      <c r="V6" s="3114"/>
      <c r="W6" s="3114">
        <v>12345</v>
      </c>
      <c r="X6" s="3114"/>
      <c r="Y6" s="3114"/>
      <c r="Z6" s="3114"/>
      <c r="AA6" s="3114"/>
      <c r="AB6" s="3114"/>
      <c r="AC6" s="3114"/>
      <c r="AD6" s="3114"/>
      <c r="AE6" s="3114"/>
      <c r="AF6" s="3114"/>
      <c r="AG6" s="3114"/>
      <c r="AH6" s="3114"/>
    </row>
    <row r="7" spans="3:34" ht="18.75" customHeight="1">
      <c r="C7" s="3112"/>
      <c r="D7" s="3112"/>
      <c r="E7" s="3112"/>
      <c r="F7" s="3112"/>
      <c r="G7" s="3112"/>
      <c r="H7" s="3112"/>
      <c r="I7" s="3112"/>
      <c r="J7" s="3112"/>
      <c r="K7" s="3112"/>
      <c r="L7" s="3112"/>
      <c r="M7" s="3112"/>
      <c r="N7" s="3112"/>
      <c r="O7" s="3112"/>
      <c r="P7" s="3112"/>
      <c r="Q7" s="3112"/>
      <c r="R7" s="3112"/>
      <c r="S7" s="3112"/>
      <c r="T7" s="3112"/>
      <c r="U7" s="3115" t="s">
        <v>3747</v>
      </c>
      <c r="V7" s="3115"/>
      <c r="W7" s="1405"/>
      <c r="X7" s="3115" t="s">
        <v>3778</v>
      </c>
      <c r="Y7" s="3115"/>
      <c r="Z7" s="1405"/>
      <c r="AA7" s="1405" t="s">
        <v>3779</v>
      </c>
      <c r="AB7" s="1401"/>
      <c r="AC7" s="1401"/>
      <c r="AD7" s="3116" t="s">
        <v>3748</v>
      </c>
      <c r="AE7" s="3116"/>
      <c r="AF7" s="3116"/>
      <c r="AG7" s="3116"/>
      <c r="AH7" s="3116"/>
    </row>
    <row r="8" spans="3:34" ht="18.75" customHeight="1">
      <c r="C8" s="3092" t="s">
        <v>3749</v>
      </c>
      <c r="D8" s="3093"/>
      <c r="E8" s="3093"/>
      <c r="F8" s="3093"/>
      <c r="G8" s="3124"/>
      <c r="H8" s="3125"/>
      <c r="I8" s="3125"/>
      <c r="J8" s="3125"/>
      <c r="K8" s="3125"/>
      <c r="L8" s="3125"/>
      <c r="M8" s="3125"/>
      <c r="N8" s="3125"/>
      <c r="O8" s="3125"/>
      <c r="P8" s="3125"/>
      <c r="Q8" s="3125"/>
      <c r="R8" s="3125"/>
      <c r="S8" s="3125"/>
      <c r="T8" s="3126"/>
      <c r="U8" s="3071" t="s">
        <v>3750</v>
      </c>
      <c r="V8" s="3072"/>
      <c r="W8" s="3072"/>
      <c r="X8" s="3072"/>
      <c r="Y8" s="3072"/>
      <c r="Z8" s="3072"/>
      <c r="AA8" s="3127" t="s">
        <v>3751</v>
      </c>
      <c r="AB8" s="3072"/>
      <c r="AC8" s="3072"/>
      <c r="AD8" s="3072"/>
      <c r="AE8" s="3072"/>
      <c r="AF8" s="3072"/>
      <c r="AG8" s="3072"/>
      <c r="AH8" s="3073"/>
    </row>
    <row r="9" spans="3:34" ht="18.75" customHeight="1">
      <c r="C9" s="3094"/>
      <c r="D9" s="3095"/>
      <c r="E9" s="3095"/>
      <c r="F9" s="3095"/>
      <c r="G9" s="3074"/>
      <c r="H9" s="3075"/>
      <c r="I9" s="3075"/>
      <c r="J9" s="3075"/>
      <c r="K9" s="3075"/>
      <c r="L9" s="3075"/>
      <c r="M9" s="3075"/>
      <c r="N9" s="3075"/>
      <c r="O9" s="3075"/>
      <c r="P9" s="3075"/>
      <c r="Q9" s="3075"/>
      <c r="R9" s="3075"/>
      <c r="S9" s="3075"/>
      <c r="T9" s="3076"/>
      <c r="U9" s="3128" t="s">
        <v>3781</v>
      </c>
      <c r="V9" s="3120"/>
      <c r="W9" s="3120"/>
      <c r="X9" s="3120"/>
      <c r="Y9" s="3120"/>
      <c r="Z9" s="3120"/>
      <c r="AA9" s="3119" t="s">
        <v>3780</v>
      </c>
      <c r="AB9" s="3120"/>
      <c r="AC9" s="3120"/>
      <c r="AD9" s="3120"/>
      <c r="AE9" s="3120"/>
      <c r="AF9" s="3120"/>
      <c r="AG9" s="3120"/>
      <c r="AH9" s="3121"/>
    </row>
    <row r="10" spans="3:34" ht="18.75" customHeight="1">
      <c r="C10" s="3094"/>
      <c r="D10" s="3095"/>
      <c r="E10" s="3095"/>
      <c r="F10" s="3095"/>
      <c r="G10" s="3074"/>
      <c r="H10" s="3075"/>
      <c r="I10" s="3075"/>
      <c r="J10" s="3075"/>
      <c r="K10" s="3075"/>
      <c r="L10" s="3075"/>
      <c r="M10" s="3075"/>
      <c r="N10" s="3075"/>
      <c r="O10" s="3075"/>
      <c r="P10" s="3075"/>
      <c r="Q10" s="3075"/>
      <c r="R10" s="3075"/>
      <c r="S10" s="3075"/>
      <c r="T10" s="3076"/>
      <c r="U10" s="3117" t="s">
        <v>3752</v>
      </c>
      <c r="V10" s="3118"/>
      <c r="W10" s="3118"/>
      <c r="X10" s="3118"/>
      <c r="Y10" s="3118"/>
      <c r="Z10" s="3118"/>
      <c r="AA10" s="3133" t="s">
        <v>3753</v>
      </c>
      <c r="AB10" s="3118"/>
      <c r="AC10" s="3118"/>
      <c r="AD10" s="3118"/>
      <c r="AE10" s="3118"/>
      <c r="AF10" s="3118"/>
      <c r="AG10" s="3118"/>
      <c r="AH10" s="3134"/>
    </row>
    <row r="11" spans="3:34" ht="18.75" customHeight="1">
      <c r="C11" s="3094"/>
      <c r="D11" s="3095"/>
      <c r="E11" s="3095"/>
      <c r="F11" s="3095"/>
      <c r="G11" s="3074"/>
      <c r="H11" s="3075"/>
      <c r="I11" s="3075"/>
      <c r="J11" s="3075"/>
      <c r="K11" s="3075"/>
      <c r="L11" s="3075"/>
      <c r="M11" s="3075"/>
      <c r="N11" s="3075"/>
      <c r="O11" s="3075"/>
      <c r="P11" s="3075"/>
      <c r="Q11" s="3075"/>
      <c r="R11" s="3075"/>
      <c r="S11" s="3075"/>
      <c r="T11" s="3076"/>
      <c r="U11" s="3129" t="s">
        <v>3781</v>
      </c>
      <c r="V11" s="3130"/>
      <c r="W11" s="3130"/>
      <c r="X11" s="3130"/>
      <c r="Y11" s="3130"/>
      <c r="Z11" s="3130"/>
      <c r="AA11" s="3131" t="s">
        <v>3780</v>
      </c>
      <c r="AB11" s="3130"/>
      <c r="AC11" s="3130"/>
      <c r="AD11" s="3130"/>
      <c r="AE11" s="3130"/>
      <c r="AF11" s="3130"/>
      <c r="AG11" s="3130"/>
      <c r="AH11" s="3132"/>
    </row>
    <row r="12" spans="3:34" ht="18.75" customHeight="1">
      <c r="C12" s="3094"/>
      <c r="D12" s="3095"/>
      <c r="E12" s="3095"/>
      <c r="F12" s="3095"/>
      <c r="G12" s="3074"/>
      <c r="H12" s="3075"/>
      <c r="I12" s="3075"/>
      <c r="J12" s="3075"/>
      <c r="K12" s="3075"/>
      <c r="L12" s="3075"/>
      <c r="M12" s="3075"/>
      <c r="N12" s="3075"/>
      <c r="O12" s="3075"/>
      <c r="P12" s="3075"/>
      <c r="Q12" s="3075"/>
      <c r="R12" s="3075"/>
      <c r="S12" s="3075"/>
      <c r="T12" s="3076"/>
      <c r="U12" s="3071" t="s">
        <v>3754</v>
      </c>
      <c r="V12" s="3072"/>
      <c r="W12" s="3072"/>
      <c r="X12" s="3072"/>
      <c r="Y12" s="3072"/>
      <c r="Z12" s="3072"/>
      <c r="AA12" s="3072"/>
      <c r="AB12" s="3072"/>
      <c r="AC12" s="3072"/>
      <c r="AD12" s="3072"/>
      <c r="AE12" s="3072"/>
      <c r="AF12" s="3072"/>
      <c r="AG12" s="3072"/>
      <c r="AH12" s="3073"/>
    </row>
    <row r="13" spans="3:34" ht="18.75" customHeight="1">
      <c r="C13" s="3122"/>
      <c r="D13" s="3123"/>
      <c r="E13" s="3123"/>
      <c r="F13" s="3123"/>
      <c r="G13" s="3079"/>
      <c r="H13" s="3080"/>
      <c r="I13" s="3080"/>
      <c r="J13" s="3080"/>
      <c r="K13" s="3080"/>
      <c r="L13" s="3080"/>
      <c r="M13" s="3080"/>
      <c r="N13" s="3080"/>
      <c r="O13" s="3080"/>
      <c r="P13" s="3080"/>
      <c r="Q13" s="3080"/>
      <c r="R13" s="3080"/>
      <c r="S13" s="3080"/>
      <c r="T13" s="3088"/>
      <c r="U13" s="3117" t="s">
        <v>3755</v>
      </c>
      <c r="V13" s="3118"/>
      <c r="W13" s="3119" t="s">
        <v>3789</v>
      </c>
      <c r="X13" s="3120"/>
      <c r="Y13" s="3120"/>
      <c r="Z13" s="3120"/>
      <c r="AA13" s="3120"/>
      <c r="AB13" s="3120"/>
      <c r="AC13" s="3120"/>
      <c r="AD13" s="3120"/>
      <c r="AE13" s="3120"/>
      <c r="AF13" s="3120"/>
      <c r="AG13" s="3120"/>
      <c r="AH13" s="3121"/>
    </row>
    <row r="14" spans="3:34" ht="18.75" customHeight="1">
      <c r="C14" s="3092" t="s">
        <v>3756</v>
      </c>
      <c r="D14" s="3093"/>
      <c r="E14" s="3093"/>
      <c r="F14" s="3093"/>
      <c r="G14" s="3124"/>
      <c r="H14" s="3125"/>
      <c r="I14" s="3125"/>
      <c r="J14" s="3125"/>
      <c r="K14" s="3125"/>
      <c r="L14" s="3125"/>
      <c r="M14" s="3125"/>
      <c r="N14" s="3125"/>
      <c r="O14" s="3125"/>
      <c r="P14" s="3125"/>
      <c r="Q14" s="3125"/>
      <c r="R14" s="3125"/>
      <c r="S14" s="3125"/>
      <c r="T14" s="3126"/>
      <c r="U14" s="3117" t="s">
        <v>3757</v>
      </c>
      <c r="V14" s="3118"/>
      <c r="W14" s="3119" t="s">
        <v>3782</v>
      </c>
      <c r="X14" s="3120"/>
      <c r="Y14" s="3120"/>
      <c r="Z14" s="3120"/>
      <c r="AA14" s="3120"/>
      <c r="AB14" s="3120"/>
      <c r="AC14" s="3120"/>
      <c r="AD14" s="3120"/>
      <c r="AE14" s="3120"/>
      <c r="AF14" s="3120"/>
      <c r="AG14" s="3120"/>
      <c r="AH14" s="3121"/>
    </row>
    <row r="15" spans="3:34" ht="18.75" customHeight="1">
      <c r="C15" s="3094"/>
      <c r="D15" s="3095"/>
      <c r="E15" s="3095"/>
      <c r="F15" s="3095"/>
      <c r="G15" s="3074"/>
      <c r="H15" s="3075"/>
      <c r="I15" s="3075"/>
      <c r="J15" s="3075"/>
      <c r="K15" s="3075"/>
      <c r="L15" s="3075"/>
      <c r="M15" s="3075"/>
      <c r="N15" s="3075"/>
      <c r="O15" s="3075"/>
      <c r="P15" s="3075"/>
      <c r="Q15" s="3075"/>
      <c r="R15" s="3075"/>
      <c r="S15" s="3075"/>
      <c r="T15" s="3076"/>
      <c r="U15" s="3140" t="s">
        <v>3787</v>
      </c>
      <c r="V15" s="3141"/>
      <c r="W15" s="3135" t="s">
        <v>3788</v>
      </c>
      <c r="X15" s="3136"/>
      <c r="Y15" s="3136"/>
      <c r="Z15" s="3136"/>
      <c r="AA15" s="3136"/>
      <c r="AB15" s="3136"/>
      <c r="AC15" s="3136"/>
      <c r="AD15" s="3136"/>
      <c r="AE15" s="3136"/>
      <c r="AF15" s="3136"/>
      <c r="AG15" s="3136"/>
      <c r="AH15" s="3137"/>
    </row>
    <row r="16" spans="3:34" ht="18.75" customHeight="1">
      <c r="C16" s="3094"/>
      <c r="D16" s="3095"/>
      <c r="E16" s="3095"/>
      <c r="F16" s="3095"/>
      <c r="G16" s="3074"/>
      <c r="H16" s="3075"/>
      <c r="I16" s="3075"/>
      <c r="J16" s="3075"/>
      <c r="K16" s="3075"/>
      <c r="L16" s="3075"/>
      <c r="M16" s="3075"/>
      <c r="N16" s="3075"/>
      <c r="O16" s="3075"/>
      <c r="P16" s="3075"/>
      <c r="Q16" s="3075"/>
      <c r="R16" s="3075"/>
      <c r="S16" s="3075"/>
      <c r="T16" s="3076"/>
      <c r="U16" s="3117" t="s">
        <v>3758</v>
      </c>
      <c r="V16" s="3118"/>
      <c r="W16" s="3119" t="s">
        <v>3783</v>
      </c>
      <c r="X16" s="3120"/>
      <c r="Y16" s="3120"/>
      <c r="Z16" s="3120"/>
      <c r="AA16" s="3120"/>
      <c r="AB16" s="3120"/>
      <c r="AC16" s="3120"/>
      <c r="AD16" s="3120"/>
      <c r="AE16" s="3120"/>
      <c r="AF16" s="3120"/>
      <c r="AG16" s="3120"/>
      <c r="AH16" s="3121"/>
    </row>
    <row r="17" spans="2:34" ht="18.75" customHeight="1">
      <c r="C17" s="3094"/>
      <c r="D17" s="3095"/>
      <c r="E17" s="3095"/>
      <c r="F17" s="3095"/>
      <c r="G17" s="3074"/>
      <c r="H17" s="3075"/>
      <c r="I17" s="3075"/>
      <c r="J17" s="3075"/>
      <c r="K17" s="3075"/>
      <c r="L17" s="3075"/>
      <c r="M17" s="3075"/>
      <c r="N17" s="3075"/>
      <c r="O17" s="3075"/>
      <c r="P17" s="3075"/>
      <c r="Q17" s="3075"/>
      <c r="R17" s="3075"/>
      <c r="S17" s="3075"/>
      <c r="T17" s="3076"/>
      <c r="U17" s="3077" t="s">
        <v>3759</v>
      </c>
      <c r="V17" s="3078"/>
      <c r="W17" s="3079" t="s">
        <v>3784</v>
      </c>
      <c r="X17" s="3080"/>
      <c r="Y17" s="3080"/>
      <c r="Z17" s="3080"/>
      <c r="AA17" s="3138" t="s">
        <v>3785</v>
      </c>
      <c r="AB17" s="3139"/>
      <c r="AC17" s="3139"/>
      <c r="AD17" s="3079" t="s">
        <v>3786</v>
      </c>
      <c r="AE17" s="3080"/>
      <c r="AF17" s="3080"/>
      <c r="AG17" s="3080"/>
      <c r="AH17" s="3088"/>
    </row>
    <row r="18" spans="2:34" ht="18.75" customHeight="1">
      <c r="C18" s="3094"/>
      <c r="D18" s="3095"/>
      <c r="E18" s="3095"/>
      <c r="F18" s="3095"/>
      <c r="G18" s="3074"/>
      <c r="H18" s="3075"/>
      <c r="I18" s="3075"/>
      <c r="J18" s="3075"/>
      <c r="K18" s="3075"/>
      <c r="L18" s="3075"/>
      <c r="M18" s="3075"/>
      <c r="N18" s="3075"/>
      <c r="O18" s="3075"/>
      <c r="P18" s="3075"/>
      <c r="Q18" s="3075"/>
      <c r="R18" s="3075"/>
      <c r="S18" s="3075"/>
      <c r="T18" s="3076"/>
      <c r="U18" s="3071" t="s">
        <v>3760</v>
      </c>
      <c r="V18" s="3072"/>
      <c r="W18" s="3072"/>
      <c r="X18" s="3072"/>
      <c r="Y18" s="3072"/>
      <c r="Z18" s="3072"/>
      <c r="AA18" s="3072"/>
      <c r="AB18" s="3072"/>
      <c r="AC18" s="3072"/>
      <c r="AD18" s="3072"/>
      <c r="AE18" s="3072"/>
      <c r="AF18" s="3072"/>
      <c r="AG18" s="3072"/>
      <c r="AH18" s="3073"/>
    </row>
    <row r="19" spans="2:34" ht="18.75" customHeight="1">
      <c r="C19" s="3094"/>
      <c r="D19" s="3095"/>
      <c r="E19" s="3095"/>
      <c r="F19" s="3095"/>
      <c r="G19" s="3096"/>
      <c r="H19" s="3097"/>
      <c r="I19" s="3097"/>
      <c r="J19" s="3097"/>
      <c r="K19" s="3097"/>
      <c r="L19" s="3080"/>
      <c r="M19" s="3080"/>
      <c r="N19" s="3080"/>
      <c r="O19" s="3080"/>
      <c r="P19" s="3080"/>
      <c r="Q19" s="3080"/>
      <c r="R19" s="3080"/>
      <c r="S19" s="3080"/>
      <c r="T19" s="3088"/>
      <c r="U19" s="1421" t="s">
        <v>3797</v>
      </c>
      <c r="V19" s="1402"/>
      <c r="W19" s="1404" t="s">
        <v>3790</v>
      </c>
      <c r="X19" s="1404"/>
      <c r="Y19" s="1404"/>
      <c r="Z19" s="1404"/>
      <c r="AA19" s="1402"/>
      <c r="AB19" s="1402"/>
      <c r="AC19" s="1402"/>
      <c r="AD19" s="1402"/>
      <c r="AE19" s="1402"/>
      <c r="AF19" s="1402"/>
      <c r="AG19" s="1402"/>
      <c r="AH19" s="1403"/>
    </row>
    <row r="20" spans="2:34" ht="18.75" customHeight="1">
      <c r="C20" s="3071" t="s">
        <v>3761</v>
      </c>
      <c r="D20" s="3072"/>
      <c r="E20" s="3072"/>
      <c r="F20" s="3072"/>
      <c r="G20" s="3072"/>
      <c r="H20" s="3072"/>
      <c r="I20" s="3072"/>
      <c r="J20" s="3072"/>
      <c r="K20" s="3073"/>
      <c r="L20" s="1393" t="s">
        <v>3762</v>
      </c>
      <c r="M20" s="1393"/>
      <c r="N20" s="1393"/>
      <c r="O20" s="1393"/>
      <c r="P20" s="1393"/>
      <c r="Q20" s="1393"/>
      <c r="R20" s="1393"/>
      <c r="S20" s="1393"/>
      <c r="T20" s="1394"/>
      <c r="U20" s="3071" t="s">
        <v>3763</v>
      </c>
      <c r="V20" s="3072"/>
      <c r="W20" s="3072"/>
      <c r="X20" s="3072"/>
      <c r="Y20" s="3072"/>
      <c r="Z20" s="1395"/>
      <c r="AA20" s="1396" t="s">
        <v>3796</v>
      </c>
      <c r="AB20" s="1393"/>
      <c r="AC20" s="1393"/>
      <c r="AD20" s="1393"/>
      <c r="AE20" s="1393"/>
      <c r="AF20" s="1393"/>
      <c r="AG20" s="1393"/>
      <c r="AH20" s="1394"/>
    </row>
    <row r="21" spans="2:34" ht="18.75" customHeight="1">
      <c r="C21" s="1421" t="s">
        <v>3797</v>
      </c>
      <c r="D21" s="1402"/>
      <c r="E21" s="1402"/>
      <c r="F21" s="1402"/>
      <c r="G21" s="1402"/>
      <c r="H21" s="1402"/>
      <c r="I21" s="1402"/>
      <c r="J21" s="1402"/>
      <c r="K21" s="1403"/>
      <c r="L21" s="3087"/>
      <c r="M21" s="3080"/>
      <c r="N21" s="3080"/>
      <c r="O21" s="3080"/>
      <c r="P21" s="3080"/>
      <c r="Q21" s="3080"/>
      <c r="R21" s="3080"/>
      <c r="S21" s="3080"/>
      <c r="T21" s="3088"/>
      <c r="U21" s="3089"/>
      <c r="V21" s="3090"/>
      <c r="W21" s="3090"/>
      <c r="X21" s="3090"/>
      <c r="Y21" s="3090"/>
      <c r="Z21" s="3091"/>
      <c r="AA21" s="1408" t="s">
        <v>3798</v>
      </c>
      <c r="AB21" s="1404"/>
      <c r="AH21" s="1409"/>
    </row>
    <row r="22" spans="2:34" ht="18.75" customHeight="1">
      <c r="C22" s="3071" t="s">
        <v>3764</v>
      </c>
      <c r="D22" s="3072"/>
      <c r="E22" s="3072"/>
      <c r="F22" s="3072"/>
      <c r="G22" s="3072"/>
      <c r="H22" s="3072"/>
      <c r="I22" s="3072"/>
      <c r="J22" s="3072"/>
      <c r="K22" s="3073"/>
      <c r="L22" s="1397" t="s">
        <v>3765</v>
      </c>
      <c r="M22" s="1397"/>
      <c r="N22" s="1397"/>
      <c r="O22" s="1397"/>
      <c r="P22" s="1397"/>
      <c r="Q22" s="1397"/>
      <c r="R22" s="1397"/>
      <c r="S22" s="1397"/>
      <c r="T22" s="1398"/>
      <c r="U22" s="3071" t="s">
        <v>3766</v>
      </c>
      <c r="V22" s="3072"/>
      <c r="W22" s="3072"/>
      <c r="X22" s="3072"/>
      <c r="Y22" s="3072"/>
      <c r="Z22" s="1395"/>
      <c r="AA22" s="1410"/>
      <c r="AB22" s="1405"/>
      <c r="AC22" s="1405"/>
      <c r="AD22" s="1405"/>
      <c r="AE22" s="1405"/>
      <c r="AF22" s="1405"/>
      <c r="AG22" s="1405"/>
      <c r="AH22" s="1411"/>
    </row>
    <row r="23" spans="2:34" ht="18.75" customHeight="1" thickBot="1">
      <c r="C23" s="3081"/>
      <c r="D23" s="3082"/>
      <c r="E23" s="3082"/>
      <c r="F23" s="3082"/>
      <c r="G23" s="3082"/>
      <c r="H23" s="3082"/>
      <c r="I23" s="3082"/>
      <c r="J23" s="3082"/>
      <c r="K23" s="3083"/>
      <c r="L23" s="3081"/>
      <c r="M23" s="3082"/>
      <c r="N23" s="3082"/>
      <c r="O23" s="3082"/>
      <c r="P23" s="3082"/>
      <c r="Q23" s="3082"/>
      <c r="R23" s="3082"/>
      <c r="S23" s="3082"/>
      <c r="T23" s="3083"/>
      <c r="U23" s="3081"/>
      <c r="V23" s="3082"/>
      <c r="W23" s="3082"/>
      <c r="X23" s="3082"/>
      <c r="Y23" s="3082"/>
      <c r="Z23" s="3083"/>
      <c r="AA23" s="1407" t="s">
        <v>3767</v>
      </c>
      <c r="AB23" s="1407"/>
      <c r="AC23" s="3041"/>
      <c r="AD23" s="3042"/>
      <c r="AE23" s="3042"/>
      <c r="AF23" s="3042"/>
      <c r="AG23" s="3042"/>
      <c r="AH23" s="3043"/>
    </row>
    <row r="24" spans="2:34" ht="18.75" customHeight="1" thickTop="1">
      <c r="C24" s="3101" t="s">
        <v>3800</v>
      </c>
      <c r="D24" s="3032" t="s">
        <v>3771</v>
      </c>
      <c r="E24" s="3033"/>
      <c r="F24" s="3033"/>
      <c r="G24" s="3034"/>
      <c r="H24" s="3107" t="s">
        <v>3794</v>
      </c>
      <c r="I24" s="3108"/>
      <c r="J24" s="3108"/>
      <c r="K24" s="3108"/>
      <c r="L24" s="3108"/>
      <c r="M24" s="3108"/>
      <c r="N24" s="3108"/>
      <c r="O24" s="3108"/>
      <c r="P24" s="3108"/>
      <c r="Q24" s="3108"/>
      <c r="R24" s="3108"/>
      <c r="S24" s="3108"/>
      <c r="T24" s="3108"/>
      <c r="U24" s="3108"/>
      <c r="V24" s="3109"/>
      <c r="W24" s="3104" t="s">
        <v>3768</v>
      </c>
      <c r="X24" s="3105"/>
      <c r="Y24" s="3105"/>
      <c r="Z24" s="3105"/>
      <c r="AA24" s="3105"/>
      <c r="AB24" s="3106"/>
      <c r="AC24" s="3032" t="s">
        <v>3769</v>
      </c>
      <c r="AD24" s="3033"/>
      <c r="AE24" s="3034"/>
      <c r="AF24" s="3032" t="s">
        <v>3770</v>
      </c>
      <c r="AG24" s="3033"/>
      <c r="AH24" s="3034"/>
    </row>
    <row r="25" spans="2:34" ht="18.75" customHeight="1" thickBot="1">
      <c r="C25" s="3102"/>
      <c r="D25" s="3035"/>
      <c r="E25" s="3036"/>
      <c r="F25" s="3036"/>
      <c r="G25" s="3037"/>
      <c r="H25" s="1418" t="s">
        <v>52</v>
      </c>
      <c r="I25" s="1406"/>
      <c r="J25" s="1406"/>
      <c r="K25" s="1419"/>
      <c r="L25" s="1412" t="s">
        <v>53</v>
      </c>
      <c r="M25" s="1406"/>
      <c r="N25" s="1406"/>
      <c r="O25" s="1406"/>
      <c r="P25" s="1406"/>
      <c r="Q25" s="1406"/>
      <c r="R25" s="1406"/>
      <c r="S25" s="1406"/>
      <c r="T25" s="1406"/>
      <c r="U25" s="3046" t="s">
        <v>2213</v>
      </c>
      <c r="V25" s="3047"/>
      <c r="W25" s="3056" t="s">
        <v>3772</v>
      </c>
      <c r="X25" s="3055"/>
      <c r="Y25" s="3053" t="s">
        <v>3773</v>
      </c>
      <c r="Z25" s="3055"/>
      <c r="AA25" s="3053" t="s">
        <v>3774</v>
      </c>
      <c r="AB25" s="3054"/>
      <c r="AC25" s="3035"/>
      <c r="AD25" s="3036"/>
      <c r="AE25" s="3037"/>
      <c r="AF25" s="3035"/>
      <c r="AG25" s="3036"/>
      <c r="AH25" s="3037"/>
    </row>
    <row r="26" spans="2:34" ht="18.75" customHeight="1" thickTop="1">
      <c r="B26" s="2987">
        <v>2065</v>
      </c>
      <c r="C26" s="3103">
        <v>1</v>
      </c>
      <c r="D26" s="3098" t="str">
        <f>IFERROR(IF(VLOOKUP(B26,'LA BackOrder'!A:C,3,FALSE)="","",VLOOKUP(B26,'LA BackOrder'!A:C,3,FALSE)),"")</f>
        <v/>
      </c>
      <c r="E26" s="3099"/>
      <c r="F26" s="3099"/>
      <c r="G26" s="3100"/>
      <c r="H26" s="3084" t="str">
        <f>IF(IFERROR(IF(VLOOKUP(B26,'LA BackOrder'!A:E,5,FALSE)="",VLOOKUP(B26,'LA BackOrder'!A:G,7,FALSE),IF(VLOOKUP(B26,'LA BackOrder'!A:E,5,FALSE)=0,"",VLOOKUP(B26,'LA BackOrder'!A:E,5,FALSE))),"")=0,"",IFERROR(IF(VLOOKUP(B26,'LA BackOrder'!A:E,5,FALSE)="",VLOOKUP(B26,'LA BackOrder'!A:G,7,FALSE),IF(VLOOKUP(B26,'LA BackOrder'!A:E,5,FALSE)=0,"",VLOOKUP(B26,'LA BackOrder'!A:E,5,FALSE))),""))</f>
        <v/>
      </c>
      <c r="I26" s="3085"/>
      <c r="J26" s="3085"/>
      <c r="K26" s="3085"/>
      <c r="L26" s="3085"/>
      <c r="M26" s="3085"/>
      <c r="N26" s="3085"/>
      <c r="O26" s="3085"/>
      <c r="P26" s="3085"/>
      <c r="Q26" s="3085"/>
      <c r="R26" s="3085"/>
      <c r="S26" s="3085"/>
      <c r="T26" s="3085"/>
      <c r="U26" s="3085"/>
      <c r="V26" s="3086"/>
      <c r="W26" s="3025" t="str">
        <f>IFERROR(IF(VLOOKUP(B26,'LA BackOrder'!A:H,8,FALSE)=0,"",VLOOKUP(B26,'LA BackOrder'!A:H,8,FALSE)),"")</f>
        <v/>
      </c>
      <c r="X26" s="3026"/>
      <c r="Y26" s="3023" t="str">
        <f>IFERROR(IF(VLOOKUP(B26,'LA BackOrder'!A:I,9,FALSE)=0,"",VLOOKUP(B26,'LA BackOrder'!A:I,9,FALSE)),"")</f>
        <v/>
      </c>
      <c r="Z26" s="3024"/>
      <c r="AA26" s="3021" t="str">
        <f>IFERROR(IF(AND(H27="",ISNUMBER(VLOOKUP(B26,'LA BackOrder'!A:J,10,FALSE))),VLOOKUP(B26,'LA BackOrder'!A:J,10,FALSE)&amp;" set",IF(VLOOKUP(B26,'LA BackOrder'!A:J,10,FALSE)=0,"",VLOOKUP(B26,'LA BackOrder'!A:J,10,FALSE))),"")</f>
        <v/>
      </c>
      <c r="AB26" s="3022"/>
      <c r="AC26" s="3018" t="str">
        <f>IFERROR(IF(VLOOKUP(B26,'LA BackOrder'!A:K,11,FALSE)=0,"",VLOOKUP(B26,'LA BackOrder'!A:K,11,FALSE)),"")</f>
        <v/>
      </c>
      <c r="AD26" s="3019"/>
      <c r="AE26" s="3020"/>
      <c r="AF26" s="3018" t="str">
        <f t="array" ref="AF26">IFERROR(IF(AA26="","",_xlfn.CONCAT(IFERROR(MID(AA26,_xlfn.SEQUENCE(LEN(AA26)),1)*1,""))*AC26),"")</f>
        <v/>
      </c>
      <c r="AG26" s="3019"/>
      <c r="AH26" s="3020"/>
    </row>
    <row r="27" spans="2:34" ht="18.75" customHeight="1">
      <c r="B27" s="2987"/>
      <c r="C27" s="3003"/>
      <c r="D27" s="3014"/>
      <c r="E27" s="3015"/>
      <c r="F27" s="3015"/>
      <c r="G27" s="3016"/>
      <c r="H27" s="2999" t="str">
        <f>IFERROR(IF(VLOOKUP(B26,'LA BackOrder'!A:F,6,FALSE)="","",IF(VLOOKUP(B26,'LA BackOrder'!A:F,6,FALSE)=0,"",VLOOKUP(B26,'LA BackOrder'!A:F,6,FALSE))),"")</f>
        <v/>
      </c>
      <c r="I27" s="3000"/>
      <c r="J27" s="3000"/>
      <c r="K27" s="1413" t="s">
        <v>3793</v>
      </c>
      <c r="L27" s="3001" t="str">
        <f>IFERROR(IF(VLOOKUP(B26,'LA BackOrder'!A:E,5,FALSE)="","",IF(VLOOKUP(B26,'LA BackOrder'!A:G,7,FALSE)=0,"",VLOOKUP(B26,'LA BackOrder'!A:G,7,FALSE))),"")</f>
        <v/>
      </c>
      <c r="M27" s="3000"/>
      <c r="N27" s="3000"/>
      <c r="O27" s="3000"/>
      <c r="P27" s="3000"/>
      <c r="Q27" s="3000"/>
      <c r="R27" s="3000"/>
      <c r="S27" s="3000"/>
      <c r="T27" s="3002"/>
      <c r="U27" s="1417" t="str">
        <f>IFERROR(IF(VLOOKUP(B26,'LA BackOrder'!A:M,13,FALSE)=0,"",(VLOOKUP(B26,'LA BackOrder'!A:M,13,FALSE))),"")</f>
        <v/>
      </c>
      <c r="V27" s="1416"/>
      <c r="W27" s="2988"/>
      <c r="X27" s="2989"/>
      <c r="Y27" s="2997"/>
      <c r="Z27" s="2998"/>
      <c r="AA27" s="3010"/>
      <c r="AB27" s="3011"/>
      <c r="AC27" s="2994"/>
      <c r="AD27" s="2995"/>
      <c r="AE27" s="2996"/>
      <c r="AF27" s="2994"/>
      <c r="AG27" s="2995"/>
      <c r="AH27" s="2996"/>
    </row>
    <row r="28" spans="2:34" ht="18.75" customHeight="1">
      <c r="B28" s="2987">
        <v>2066</v>
      </c>
      <c r="C28" s="3003">
        <f>IF(B28="","",C26+1)</f>
        <v>2</v>
      </c>
      <c r="D28" s="3014" t="str">
        <f>IFERROR(IF(VLOOKUP(B28,'LA BackOrder'!A:C,3,FALSE)="","",VLOOKUP(B28,'LA BackOrder'!A:C,3,FALSE)),"")</f>
        <v/>
      </c>
      <c r="E28" s="3015"/>
      <c r="F28" s="3015"/>
      <c r="G28" s="3016"/>
      <c r="H28" s="2999" t="str">
        <f>IF(IFERROR(IF(VLOOKUP(B28,'LA BackOrder'!A:E,5,FALSE)="",VLOOKUP(B28,'LA BackOrder'!A:G,7,FALSE),IF(VLOOKUP(B28,'LA BackOrder'!A:E,5,FALSE)=0,"",VLOOKUP(B28,'LA BackOrder'!A:E,5,FALSE))),"")=0,"",IFERROR(IF(VLOOKUP(B28,'LA BackOrder'!A:E,5,FALSE)="",VLOOKUP(B28,'LA BackOrder'!A:G,7,FALSE),IF(VLOOKUP(B28,'LA BackOrder'!A:E,5,FALSE)=0,"",VLOOKUP(B28,'LA BackOrder'!A:E,5,FALSE))),""))</f>
        <v/>
      </c>
      <c r="I28" s="3000"/>
      <c r="J28" s="3000"/>
      <c r="K28" s="3000"/>
      <c r="L28" s="3000"/>
      <c r="M28" s="3000"/>
      <c r="N28" s="3000"/>
      <c r="O28" s="3000"/>
      <c r="P28" s="3000"/>
      <c r="Q28" s="3000"/>
      <c r="R28" s="3000"/>
      <c r="S28" s="3000"/>
      <c r="T28" s="3000"/>
      <c r="U28" s="3000"/>
      <c r="V28" s="3005"/>
      <c r="W28" s="2988" t="str">
        <f>IFERROR(IF(VLOOKUP(B28,'LA BackOrder'!A:H,8,FALSE)=0,"",VLOOKUP(B28,'LA BackOrder'!A:H,8,FALSE)),"")</f>
        <v/>
      </c>
      <c r="X28" s="2989"/>
      <c r="Y28" s="2997" t="str">
        <f>IFERROR(IF(VLOOKUP(B28,'LA BackOrder'!A:I,9,FALSE)=0,"",VLOOKUP(B28,'LA BackOrder'!A:I,9,FALSE)),"")</f>
        <v/>
      </c>
      <c r="Z28" s="2998"/>
      <c r="AA28" s="3010" t="str">
        <f>IFERROR(IF(AND(H29="",ISNUMBER(VLOOKUP(B28,'LA BackOrder'!A:J,10,FALSE))),VLOOKUP(B28,'LA BackOrder'!A:J,10,FALSE)&amp;" set",IF(VLOOKUP(B28,'LA BackOrder'!A:J,10,FALSE)=0,"",VLOOKUP(B28,'LA BackOrder'!A:J,10,FALSE))),"")</f>
        <v/>
      </c>
      <c r="AB28" s="3011"/>
      <c r="AC28" s="2994" t="str">
        <f>IFERROR(IF(VLOOKUP(B28,'LA BackOrder'!A:K,11,FALSE)=0,"",VLOOKUP(B28,'LA BackOrder'!A:K,11,FALSE)),"")</f>
        <v/>
      </c>
      <c r="AD28" s="2995"/>
      <c r="AE28" s="2996"/>
      <c r="AF28" s="2994" t="str">
        <f t="array" ref="AF28">IFERROR(IF(AA28="","",_xlfn.CONCAT(IFERROR(MID(AA28,_xlfn.SEQUENCE(LEN(AA28)),1)*1,""))*AC28),"")</f>
        <v/>
      </c>
      <c r="AG28" s="2995"/>
      <c r="AH28" s="2996"/>
    </row>
    <row r="29" spans="2:34" ht="18.75" customHeight="1">
      <c r="B29" s="2987"/>
      <c r="C29" s="3003"/>
      <c r="D29" s="3014"/>
      <c r="E29" s="3015"/>
      <c r="F29" s="3015"/>
      <c r="G29" s="3016"/>
      <c r="H29" s="2999" t="str">
        <f>IFERROR(IF(VLOOKUP(B28,'LA BackOrder'!A:F,6,FALSE)="","",IF(VLOOKUP(B28,'LA BackOrder'!A:F,6,FALSE)=0,"",VLOOKUP(B28,'LA BackOrder'!A:F,6,FALSE))),"")</f>
        <v/>
      </c>
      <c r="I29" s="3000"/>
      <c r="J29" s="3000"/>
      <c r="K29" s="1413" t="s">
        <v>3793</v>
      </c>
      <c r="L29" s="3001" t="str">
        <f>IFERROR(IF(VLOOKUP(B28,'LA BackOrder'!A:E,5,FALSE)="","",IF(VLOOKUP(B28,'LA BackOrder'!A:G,7,FALSE)=0,"",VLOOKUP(B28,'LA BackOrder'!A:G,7,FALSE))),"")</f>
        <v/>
      </c>
      <c r="M29" s="3000"/>
      <c r="N29" s="3000"/>
      <c r="O29" s="3000"/>
      <c r="P29" s="3000"/>
      <c r="Q29" s="3000"/>
      <c r="R29" s="3000"/>
      <c r="S29" s="3000"/>
      <c r="T29" s="3002"/>
      <c r="U29" s="1417" t="str">
        <f>IFERROR(IF(VLOOKUP(B28,'LA BackOrder'!A:M,13,FALSE)=0,"",(VLOOKUP(B28,'LA BackOrder'!A:M,13,FALSE))),"")</f>
        <v/>
      </c>
      <c r="V29" s="1416"/>
      <c r="W29" s="2988"/>
      <c r="X29" s="2989"/>
      <c r="Y29" s="2997"/>
      <c r="Z29" s="2998"/>
      <c r="AA29" s="3010"/>
      <c r="AB29" s="3011"/>
      <c r="AC29" s="2994"/>
      <c r="AD29" s="2995"/>
      <c r="AE29" s="2996"/>
      <c r="AF29" s="2994"/>
      <c r="AG29" s="2995"/>
      <c r="AH29" s="2996"/>
    </row>
    <row r="30" spans="2:34" ht="18.75" customHeight="1">
      <c r="B30" s="2987">
        <v>2067</v>
      </c>
      <c r="C30" s="3003">
        <f>IF(B30="","",C28+1)</f>
        <v>3</v>
      </c>
      <c r="D30" s="3014" t="str">
        <f>IFERROR(IF(VLOOKUP(B30,'LA BackOrder'!A:C,3,FALSE)="","",VLOOKUP(B30,'LA BackOrder'!A:C,3,FALSE)),"")</f>
        <v/>
      </c>
      <c r="E30" s="3015"/>
      <c r="F30" s="3015"/>
      <c r="G30" s="3016"/>
      <c r="H30" s="2999" t="str">
        <f>IF(IFERROR(IF(VLOOKUP(B30,'LA BackOrder'!A:E,5,FALSE)="",VLOOKUP(B30,'LA BackOrder'!A:G,7,FALSE),IF(VLOOKUP(B30,'LA BackOrder'!A:E,5,FALSE)=0,"",VLOOKUP(B30,'LA BackOrder'!A:E,5,FALSE))),"")=0,"",IFERROR(IF(VLOOKUP(B30,'LA BackOrder'!A:E,5,FALSE)="",VLOOKUP(B30,'LA BackOrder'!A:G,7,FALSE),IF(VLOOKUP(B30,'LA BackOrder'!A:E,5,FALSE)=0,"",VLOOKUP(B30,'LA BackOrder'!A:E,5,FALSE))),""))</f>
        <v/>
      </c>
      <c r="I30" s="3000"/>
      <c r="J30" s="3000"/>
      <c r="K30" s="3000"/>
      <c r="L30" s="3000"/>
      <c r="M30" s="3000"/>
      <c r="N30" s="3000"/>
      <c r="O30" s="3000"/>
      <c r="P30" s="3000"/>
      <c r="Q30" s="3000"/>
      <c r="R30" s="3000"/>
      <c r="S30" s="3000"/>
      <c r="T30" s="3000"/>
      <c r="U30" s="3000"/>
      <c r="V30" s="3005"/>
      <c r="W30" s="2988" t="str">
        <f>IFERROR(IF(VLOOKUP(B30,'LA BackOrder'!A:H,8,FALSE)=0,"",VLOOKUP(B30,'LA BackOrder'!A:H,8,FALSE)),"")</f>
        <v/>
      </c>
      <c r="X30" s="2989"/>
      <c r="Y30" s="2997" t="str">
        <f>IFERROR(IF(VLOOKUP(B30,'LA BackOrder'!A:I,9,FALSE)=0,"",VLOOKUP(B30,'LA BackOrder'!A:I,9,FALSE)),"")</f>
        <v/>
      </c>
      <c r="Z30" s="2998"/>
      <c r="AA30" s="3010" t="str">
        <f>IFERROR(IF(AND(H31="",ISNUMBER(VLOOKUP(B30,'LA BackOrder'!A:J,10,FALSE))),VLOOKUP(B30,'LA BackOrder'!A:J,10,FALSE)&amp;" set",IF(VLOOKUP(B30,'LA BackOrder'!A:J,10,FALSE)=0,"",VLOOKUP(B30,'LA BackOrder'!A:J,10,FALSE))),"")</f>
        <v/>
      </c>
      <c r="AB30" s="3011"/>
      <c r="AC30" s="2994" t="str">
        <f>IFERROR(IF(VLOOKUP(B30,'LA BackOrder'!A:K,11,FALSE)=0,"",VLOOKUP(B30,'LA BackOrder'!A:K,11,FALSE)),"")</f>
        <v/>
      </c>
      <c r="AD30" s="2995"/>
      <c r="AE30" s="2996"/>
      <c r="AF30" s="2994" t="str">
        <f t="array" ref="AF30">IFERROR(IF(AA30="","",_xlfn.CONCAT(IFERROR(MID(AA30,_xlfn.SEQUENCE(LEN(AA30)),1)*1,""))*AC30),"")</f>
        <v/>
      </c>
      <c r="AG30" s="2995"/>
      <c r="AH30" s="2996"/>
    </row>
    <row r="31" spans="2:34" ht="18.75" customHeight="1">
      <c r="B31" s="2987"/>
      <c r="C31" s="3003"/>
      <c r="D31" s="3014"/>
      <c r="E31" s="3015"/>
      <c r="F31" s="3015"/>
      <c r="G31" s="3016"/>
      <c r="H31" s="2999" t="str">
        <f>IFERROR(IF(VLOOKUP(B30,'LA BackOrder'!A:F,6,FALSE)="","",IF(VLOOKUP(B30,'LA BackOrder'!A:F,6,FALSE)=0,"",VLOOKUP(B30,'LA BackOrder'!A:F,6,FALSE))),"")</f>
        <v/>
      </c>
      <c r="I31" s="3000"/>
      <c r="J31" s="3000"/>
      <c r="K31" s="1413" t="s">
        <v>3793</v>
      </c>
      <c r="L31" s="3001" t="str">
        <f>IFERROR(IF(VLOOKUP(B30,'LA BackOrder'!A:E,5,FALSE)="","",IF(VLOOKUP(B30,'LA BackOrder'!A:G,7,FALSE)=0,"",VLOOKUP(B30,'LA BackOrder'!A:G,7,FALSE))),"")</f>
        <v/>
      </c>
      <c r="M31" s="3000"/>
      <c r="N31" s="3000"/>
      <c r="O31" s="3000"/>
      <c r="P31" s="3000"/>
      <c r="Q31" s="3000"/>
      <c r="R31" s="3000"/>
      <c r="S31" s="3000"/>
      <c r="T31" s="3002"/>
      <c r="U31" s="1417" t="str">
        <f>IFERROR(IF(VLOOKUP(B30,'LA BackOrder'!A:M,13,FALSE)=0,"",(VLOOKUP(B30,'LA BackOrder'!A:M,13,FALSE))),"")</f>
        <v/>
      </c>
      <c r="V31" s="1416"/>
      <c r="W31" s="2988"/>
      <c r="X31" s="2989"/>
      <c r="Y31" s="2997"/>
      <c r="Z31" s="2998"/>
      <c r="AA31" s="3010"/>
      <c r="AB31" s="3011"/>
      <c r="AC31" s="2994"/>
      <c r="AD31" s="2995"/>
      <c r="AE31" s="2996"/>
      <c r="AF31" s="2994"/>
      <c r="AG31" s="2995"/>
      <c r="AH31" s="2996"/>
    </row>
    <row r="32" spans="2:34" ht="18.75" customHeight="1">
      <c r="B32" s="2987"/>
      <c r="C32" s="3003" t="str">
        <f>IF(B32="","",C30+1)</f>
        <v/>
      </c>
      <c r="D32" s="3014" t="str">
        <f>IFERROR(IF(VLOOKUP(B32,'LA BackOrder'!A:C,3,FALSE)="","",VLOOKUP(B32,'LA BackOrder'!A:C,3,FALSE)),"")</f>
        <v/>
      </c>
      <c r="E32" s="3015"/>
      <c r="F32" s="3015"/>
      <c r="G32" s="3016"/>
      <c r="H32" s="2999" t="str">
        <f>IF(IFERROR(IF(VLOOKUP(B32,'LA BackOrder'!A:E,5,FALSE)="",VLOOKUP(B32,'LA BackOrder'!A:G,7,FALSE),IF(VLOOKUP(B32,'LA BackOrder'!A:E,5,FALSE)=0,"",VLOOKUP(B32,'LA BackOrder'!A:E,5,FALSE))),"")=0,"",IFERROR(IF(VLOOKUP(B32,'LA BackOrder'!A:E,5,FALSE)="",VLOOKUP(B32,'LA BackOrder'!A:G,7,FALSE),IF(VLOOKUP(B32,'LA BackOrder'!A:E,5,FALSE)=0,"",VLOOKUP(B32,'LA BackOrder'!A:E,5,FALSE))),""))</f>
        <v/>
      </c>
      <c r="I32" s="3000"/>
      <c r="J32" s="3000"/>
      <c r="K32" s="3000"/>
      <c r="L32" s="3000"/>
      <c r="M32" s="3000"/>
      <c r="N32" s="3000"/>
      <c r="O32" s="3000"/>
      <c r="P32" s="3000"/>
      <c r="Q32" s="3000"/>
      <c r="R32" s="3000"/>
      <c r="S32" s="3000"/>
      <c r="T32" s="3000"/>
      <c r="U32" s="3000"/>
      <c r="V32" s="3005"/>
      <c r="W32" s="2988" t="str">
        <f>IFERROR(IF(VLOOKUP(B32,'LA BackOrder'!A:H,8,FALSE)=0,"",VLOOKUP(B32,'LA BackOrder'!A:H,8,FALSE)),"")</f>
        <v/>
      </c>
      <c r="X32" s="2989"/>
      <c r="Y32" s="2997" t="str">
        <f>IFERROR(IF(VLOOKUP(B32,'LA BackOrder'!A:I,9,FALSE)=0,"",VLOOKUP(B32,'LA BackOrder'!A:I,9,FALSE)),"")</f>
        <v/>
      </c>
      <c r="Z32" s="2998"/>
      <c r="AA32" s="3010" t="str">
        <f>IFERROR(IF(AND(H33="",ISNUMBER(VLOOKUP(B32,'LA BackOrder'!A:J,10,FALSE))),VLOOKUP(B32,'LA BackOrder'!A:J,10,FALSE)&amp;" set",IF(VLOOKUP(B32,'LA BackOrder'!A:J,10,FALSE)=0,"",VLOOKUP(B32,'LA BackOrder'!A:J,10,FALSE))),"")</f>
        <v/>
      </c>
      <c r="AB32" s="3011"/>
      <c r="AC32" s="2994" t="str">
        <f>IFERROR(IF(VLOOKUP(B32,'LA BackOrder'!A:K,11,FALSE)=0,"",VLOOKUP(B32,'LA BackOrder'!A:K,11,FALSE)),"")</f>
        <v/>
      </c>
      <c r="AD32" s="2995"/>
      <c r="AE32" s="2996"/>
      <c r="AF32" s="2994" t="str">
        <f t="array" ref="AF32">IFERROR(IF(AA32="","",_xlfn.CONCAT(IFERROR(MID(AA32,_xlfn.SEQUENCE(LEN(AA32)),1)*1,""))*AC32),"")</f>
        <v/>
      </c>
      <c r="AG32" s="2995"/>
      <c r="AH32" s="2996"/>
    </row>
    <row r="33" spans="2:34" ht="18.75" customHeight="1">
      <c r="B33" s="2987"/>
      <c r="C33" s="3003"/>
      <c r="D33" s="3014"/>
      <c r="E33" s="3015"/>
      <c r="F33" s="3015"/>
      <c r="G33" s="3016"/>
      <c r="H33" s="2999" t="str">
        <f>IFERROR(IF(VLOOKUP(B32,'LA BackOrder'!A:F,6,FALSE)="","",IF(VLOOKUP(B32,'LA BackOrder'!A:F,6,FALSE)=0,"",VLOOKUP(B32,'LA BackOrder'!A:F,6,FALSE))),"")</f>
        <v/>
      </c>
      <c r="I33" s="3000"/>
      <c r="J33" s="3000"/>
      <c r="K33" s="1413" t="s">
        <v>3793</v>
      </c>
      <c r="L33" s="3001" t="str">
        <f>IFERROR(IF(VLOOKUP(B32,'LA BackOrder'!A:E,5,FALSE)="","",IF(VLOOKUP(B32,'LA BackOrder'!A:G,7,FALSE)=0,"",VLOOKUP(B32,'LA BackOrder'!A:G,7,FALSE))),"")</f>
        <v/>
      </c>
      <c r="M33" s="3000"/>
      <c r="N33" s="3000"/>
      <c r="O33" s="3000"/>
      <c r="P33" s="3000"/>
      <c r="Q33" s="3000"/>
      <c r="R33" s="3000"/>
      <c r="S33" s="3000"/>
      <c r="T33" s="3002"/>
      <c r="U33" s="1417" t="str">
        <f>IFERROR(IF(VLOOKUP(B32,'LA BackOrder'!A:M,13,FALSE)=0,"",(VLOOKUP(B32,'LA BackOrder'!A:M,13,FALSE))),"")</f>
        <v/>
      </c>
      <c r="V33" s="1416"/>
      <c r="W33" s="2988"/>
      <c r="X33" s="2989"/>
      <c r="Y33" s="2997"/>
      <c r="Z33" s="2998"/>
      <c r="AA33" s="3010"/>
      <c r="AB33" s="3011"/>
      <c r="AC33" s="2994"/>
      <c r="AD33" s="2995"/>
      <c r="AE33" s="2996"/>
      <c r="AF33" s="2994"/>
      <c r="AG33" s="2995"/>
      <c r="AH33" s="2996"/>
    </row>
    <row r="34" spans="2:34" ht="18.75" customHeight="1">
      <c r="B34" s="2987"/>
      <c r="C34" s="3003" t="str">
        <f>IF(B34="","",C32+1)</f>
        <v/>
      </c>
      <c r="D34" s="3014" t="str">
        <f>IFERROR(IF(VLOOKUP(B34,'LA BackOrder'!A:C,3,FALSE)="","",VLOOKUP(B34,'LA BackOrder'!A:C,3,FALSE)),"")</f>
        <v/>
      </c>
      <c r="E34" s="3015"/>
      <c r="F34" s="3015"/>
      <c r="G34" s="3016"/>
      <c r="H34" s="2999" t="str">
        <f>IF(IFERROR(IF(VLOOKUP(B34,'LA BackOrder'!A:E,5,FALSE)="",VLOOKUP(B34,'LA BackOrder'!A:G,7,FALSE),IF(VLOOKUP(B34,'LA BackOrder'!A:E,5,FALSE)=0,"",VLOOKUP(B34,'LA BackOrder'!A:E,5,FALSE))),"")=0,"",IFERROR(IF(VLOOKUP(B34,'LA BackOrder'!A:E,5,FALSE)="",VLOOKUP(B34,'LA BackOrder'!A:G,7,FALSE),IF(VLOOKUP(B34,'LA BackOrder'!A:E,5,FALSE)=0,"",VLOOKUP(B34,'LA BackOrder'!A:E,5,FALSE))),""))</f>
        <v/>
      </c>
      <c r="I34" s="3000"/>
      <c r="J34" s="3000"/>
      <c r="K34" s="3000"/>
      <c r="L34" s="3000"/>
      <c r="M34" s="3000"/>
      <c r="N34" s="3000"/>
      <c r="O34" s="3000"/>
      <c r="P34" s="3000"/>
      <c r="Q34" s="3000"/>
      <c r="R34" s="3000"/>
      <c r="S34" s="3000"/>
      <c r="T34" s="3000"/>
      <c r="U34" s="3000"/>
      <c r="V34" s="3005"/>
      <c r="W34" s="2988" t="str">
        <f>IFERROR(IF(VLOOKUP(B34,'LA BackOrder'!A:H,8,FALSE)=0,"",VLOOKUP(B34,'LA BackOrder'!A:H,8,FALSE)),"")</f>
        <v/>
      </c>
      <c r="X34" s="2989"/>
      <c r="Y34" s="2997" t="str">
        <f>IFERROR(IF(VLOOKUP(B34,'LA BackOrder'!A:I,9,FALSE)=0,"",VLOOKUP(B34,'LA BackOrder'!A:I,9,FALSE)),"")</f>
        <v/>
      </c>
      <c r="Z34" s="2998"/>
      <c r="AA34" s="3010" t="str">
        <f>IFERROR(IF(AND(H35="",ISNUMBER(VLOOKUP(B34,'LA BackOrder'!A:J,10,FALSE))),VLOOKUP(B34,'LA BackOrder'!A:J,10,FALSE)&amp;" set",IF(VLOOKUP(B34,'LA BackOrder'!A:J,10,FALSE)=0,"",VLOOKUP(B34,'LA BackOrder'!A:J,10,FALSE))),"")</f>
        <v/>
      </c>
      <c r="AB34" s="3011"/>
      <c r="AC34" s="2994" t="str">
        <f>IFERROR(IF(VLOOKUP(B34,'LA BackOrder'!A:K,11,FALSE)=0,"",VLOOKUP(B34,'LA BackOrder'!A:K,11,FALSE)),"")</f>
        <v/>
      </c>
      <c r="AD34" s="2995"/>
      <c r="AE34" s="2996"/>
      <c r="AF34" s="2994" t="str">
        <f t="array" ref="AF34">IFERROR(IF(AA34="","",_xlfn.CONCAT(IFERROR(MID(AA34,_xlfn.SEQUENCE(LEN(AA34)),1)*1,""))*AC34),"")</f>
        <v/>
      </c>
      <c r="AG34" s="2995"/>
      <c r="AH34" s="2996"/>
    </row>
    <row r="35" spans="2:34" ht="18.75" customHeight="1">
      <c r="B35" s="2987"/>
      <c r="C35" s="3003"/>
      <c r="D35" s="3014"/>
      <c r="E35" s="3015"/>
      <c r="F35" s="3015"/>
      <c r="G35" s="3016"/>
      <c r="H35" s="2999" t="str">
        <f>IFERROR(IF(VLOOKUP(B34,'LA BackOrder'!A:F,6,FALSE)="","",IF(VLOOKUP(B34,'LA BackOrder'!A:F,6,FALSE)=0,"",VLOOKUP(B34,'LA BackOrder'!A:F,6,FALSE))),"")</f>
        <v/>
      </c>
      <c r="I35" s="3000"/>
      <c r="J35" s="3000"/>
      <c r="K35" s="1413" t="s">
        <v>3793</v>
      </c>
      <c r="L35" s="3001" t="str">
        <f>IFERROR(IF(VLOOKUP(B34,'LA BackOrder'!A:E,5,FALSE)="","",IF(VLOOKUP(B34,'LA BackOrder'!A:G,7,FALSE)=0,"",VLOOKUP(B34,'LA BackOrder'!A:G,7,FALSE))),"")</f>
        <v/>
      </c>
      <c r="M35" s="3000"/>
      <c r="N35" s="3000"/>
      <c r="O35" s="3000"/>
      <c r="P35" s="3000"/>
      <c r="Q35" s="3000"/>
      <c r="R35" s="3000"/>
      <c r="S35" s="3000"/>
      <c r="T35" s="3002"/>
      <c r="U35" s="1417" t="str">
        <f>IFERROR(IF(VLOOKUP(B34,'LA BackOrder'!A:M,13,FALSE)=0,"",(VLOOKUP(B34,'LA BackOrder'!A:M,13,FALSE))),"")</f>
        <v/>
      </c>
      <c r="V35" s="1416"/>
      <c r="W35" s="2988"/>
      <c r="X35" s="2989"/>
      <c r="Y35" s="2997"/>
      <c r="Z35" s="2998"/>
      <c r="AA35" s="3010"/>
      <c r="AB35" s="3011"/>
      <c r="AC35" s="2994"/>
      <c r="AD35" s="2995"/>
      <c r="AE35" s="2996"/>
      <c r="AF35" s="2994"/>
      <c r="AG35" s="2995"/>
      <c r="AH35" s="2996"/>
    </row>
    <row r="36" spans="2:34" ht="18.75" customHeight="1">
      <c r="B36" s="2987"/>
      <c r="C36" s="3003" t="str">
        <f>IF(B36="","",C34+1)</f>
        <v/>
      </c>
      <c r="D36" s="3014" t="str">
        <f>IFERROR(IF(VLOOKUP(B36,'LA BackOrder'!A:C,3,FALSE)="","",VLOOKUP(B36,'LA BackOrder'!A:C,3,FALSE)),"")</f>
        <v/>
      </c>
      <c r="E36" s="3015"/>
      <c r="F36" s="3015"/>
      <c r="G36" s="3016"/>
      <c r="H36" s="2999" t="str">
        <f>IF(IFERROR(IF(VLOOKUP(B36,'LA BackOrder'!A:E,5,FALSE)="",VLOOKUP(B36,'LA BackOrder'!A:G,7,FALSE),IF(VLOOKUP(B36,'LA BackOrder'!A:E,5,FALSE)=0,"",VLOOKUP(B36,'LA BackOrder'!A:E,5,FALSE))),"")=0,"",IFERROR(IF(VLOOKUP(B36,'LA BackOrder'!A:E,5,FALSE)="",VLOOKUP(B36,'LA BackOrder'!A:G,7,FALSE),IF(VLOOKUP(B36,'LA BackOrder'!A:E,5,FALSE)=0,"",VLOOKUP(B36,'LA BackOrder'!A:E,5,FALSE))),""))</f>
        <v/>
      </c>
      <c r="I36" s="3000"/>
      <c r="J36" s="3000"/>
      <c r="K36" s="3000"/>
      <c r="L36" s="3000"/>
      <c r="M36" s="3000"/>
      <c r="N36" s="3000"/>
      <c r="O36" s="3000"/>
      <c r="P36" s="3000"/>
      <c r="Q36" s="3000"/>
      <c r="R36" s="3000"/>
      <c r="S36" s="3000"/>
      <c r="T36" s="3000"/>
      <c r="U36" s="3000"/>
      <c r="V36" s="3005"/>
      <c r="W36" s="2988" t="str">
        <f>IFERROR(IF(VLOOKUP(B36,'LA BackOrder'!A:H,8,FALSE)=0,"",VLOOKUP(B36,'LA BackOrder'!A:H,8,FALSE)),"")</f>
        <v/>
      </c>
      <c r="X36" s="2989"/>
      <c r="Y36" s="2997" t="str">
        <f>IFERROR(IF(VLOOKUP(B36,'LA BackOrder'!A:I,9,FALSE)=0,"",VLOOKUP(B36,'LA BackOrder'!A:I,9,FALSE)),"")</f>
        <v/>
      </c>
      <c r="Z36" s="2998"/>
      <c r="AA36" s="3010" t="str">
        <f>IFERROR(IF(AND(H37="",ISNUMBER(VLOOKUP(B36,'LA BackOrder'!A:J,10,FALSE))),VLOOKUP(B36,'LA BackOrder'!A:J,10,FALSE)&amp;" set",IF(VLOOKUP(B36,'LA BackOrder'!A:J,10,FALSE)=0,"",VLOOKUP(B36,'LA BackOrder'!A:J,10,FALSE))),"")</f>
        <v/>
      </c>
      <c r="AB36" s="3011"/>
      <c r="AC36" s="2994" t="str">
        <f>IFERROR(IF(VLOOKUP(B36,'LA BackOrder'!A:K,11,FALSE)=0,"",VLOOKUP(B36,'LA BackOrder'!A:K,11,FALSE)),"")</f>
        <v/>
      </c>
      <c r="AD36" s="2995"/>
      <c r="AE36" s="2996"/>
      <c r="AF36" s="2994" t="str">
        <f t="array" ref="AF36">IFERROR(IF(AA36="","",_xlfn.CONCAT(IFERROR(MID(AA36,_xlfn.SEQUENCE(LEN(AA36)),1)*1,""))*AC36),"")</f>
        <v/>
      </c>
      <c r="AG36" s="2995"/>
      <c r="AH36" s="2996"/>
    </row>
    <row r="37" spans="2:34" ht="18.75" customHeight="1">
      <c r="B37" s="2987"/>
      <c r="C37" s="3003"/>
      <c r="D37" s="3014"/>
      <c r="E37" s="3015"/>
      <c r="F37" s="3015"/>
      <c r="G37" s="3016"/>
      <c r="H37" s="2999" t="str">
        <f>IFERROR(IF(VLOOKUP(B36,'LA BackOrder'!A:F,6,FALSE)="","",IF(VLOOKUP(B36,'LA BackOrder'!A:F,6,FALSE)=0,"",VLOOKUP(B36,'LA BackOrder'!A:F,6,FALSE))),"")</f>
        <v/>
      </c>
      <c r="I37" s="3000"/>
      <c r="J37" s="3000"/>
      <c r="K37" s="1413" t="s">
        <v>3793</v>
      </c>
      <c r="L37" s="3001" t="str">
        <f>IFERROR(IF(VLOOKUP(B36,'LA BackOrder'!A:E,5,FALSE)="","",IF(VLOOKUP(B36,'LA BackOrder'!A:G,7,FALSE)=0,"",VLOOKUP(B36,'LA BackOrder'!A:G,7,FALSE))),"")</f>
        <v/>
      </c>
      <c r="M37" s="3000"/>
      <c r="N37" s="3000"/>
      <c r="O37" s="3000"/>
      <c r="P37" s="3000"/>
      <c r="Q37" s="3000"/>
      <c r="R37" s="3000"/>
      <c r="S37" s="3000"/>
      <c r="T37" s="3002"/>
      <c r="U37" s="1417" t="str">
        <f>IFERROR(IF(VLOOKUP(B36,'LA BackOrder'!A:M,13,FALSE)=0,"",(VLOOKUP(B36,'LA BackOrder'!A:M,13,FALSE))),"")</f>
        <v/>
      </c>
      <c r="V37" s="1416"/>
      <c r="W37" s="2988"/>
      <c r="X37" s="2989"/>
      <c r="Y37" s="2997"/>
      <c r="Z37" s="2998"/>
      <c r="AA37" s="3010"/>
      <c r="AB37" s="3011"/>
      <c r="AC37" s="2994"/>
      <c r="AD37" s="2995"/>
      <c r="AE37" s="2996"/>
      <c r="AF37" s="2994"/>
      <c r="AG37" s="2995"/>
      <c r="AH37" s="2996"/>
    </row>
    <row r="38" spans="2:34" ht="18.75" customHeight="1">
      <c r="B38" s="2987"/>
      <c r="C38" s="3003" t="str">
        <f>IF(B38="","",C36+1)</f>
        <v/>
      </c>
      <c r="D38" s="3014" t="str">
        <f>IFERROR(IF(VLOOKUP(B38,'LA BackOrder'!A:C,3,FALSE)="","",VLOOKUP(B38,'LA BackOrder'!A:C,3,FALSE)),"")</f>
        <v/>
      </c>
      <c r="E38" s="3015"/>
      <c r="F38" s="3015"/>
      <c r="G38" s="3016"/>
      <c r="H38" s="2999" t="str">
        <f>IF(IFERROR(IF(VLOOKUP(B38,'LA BackOrder'!A:E,5,FALSE)="",VLOOKUP(B38,'LA BackOrder'!A:G,7,FALSE),IF(VLOOKUP(B38,'LA BackOrder'!A:E,5,FALSE)=0,"",VLOOKUP(B38,'LA BackOrder'!A:E,5,FALSE))),"")=0,"",IFERROR(IF(VLOOKUP(B38,'LA BackOrder'!A:E,5,FALSE)="",VLOOKUP(B38,'LA BackOrder'!A:G,7,FALSE),IF(VLOOKUP(B38,'LA BackOrder'!A:E,5,FALSE)=0,"",VLOOKUP(B38,'LA BackOrder'!A:E,5,FALSE))),""))</f>
        <v/>
      </c>
      <c r="I38" s="3000"/>
      <c r="J38" s="3000"/>
      <c r="K38" s="3000"/>
      <c r="L38" s="3000"/>
      <c r="M38" s="3000"/>
      <c r="N38" s="3000"/>
      <c r="O38" s="3000"/>
      <c r="P38" s="3000"/>
      <c r="Q38" s="3000"/>
      <c r="R38" s="3000"/>
      <c r="S38" s="3000"/>
      <c r="T38" s="3000"/>
      <c r="U38" s="3000"/>
      <c r="V38" s="3005"/>
      <c r="W38" s="2988" t="str">
        <f>IFERROR(IF(VLOOKUP(B38,'LA BackOrder'!A:H,8,FALSE)=0,"",VLOOKUP(B38,'LA BackOrder'!A:H,8,FALSE)),"")</f>
        <v/>
      </c>
      <c r="X38" s="2989"/>
      <c r="Y38" s="2997" t="str">
        <f>IFERROR(IF(VLOOKUP(B38,'LA BackOrder'!A:I,9,FALSE)=0,"",VLOOKUP(B38,'LA BackOrder'!A:I,9,FALSE)),"")</f>
        <v/>
      </c>
      <c r="Z38" s="2998"/>
      <c r="AA38" s="3010" t="str">
        <f>IFERROR(IF(AND(H39="",ISNUMBER(VLOOKUP(B38,'LA BackOrder'!A:J,10,FALSE))),VLOOKUP(B38,'LA BackOrder'!A:J,10,FALSE)&amp;" set",IF(VLOOKUP(B38,'LA BackOrder'!A:J,10,FALSE)=0,"",VLOOKUP(B38,'LA BackOrder'!A:J,10,FALSE))),"")</f>
        <v/>
      </c>
      <c r="AB38" s="3011"/>
      <c r="AC38" s="2994" t="str">
        <f>IFERROR(IF(VLOOKUP(B38,'LA BackOrder'!A:K,11,FALSE)=0,"",VLOOKUP(B38,'LA BackOrder'!A:K,11,FALSE)),"")</f>
        <v/>
      </c>
      <c r="AD38" s="2995"/>
      <c r="AE38" s="2996"/>
      <c r="AF38" s="2994" t="str">
        <f t="array" ref="AF38">IFERROR(IF(AA38="","",_xlfn.CONCAT(IFERROR(MID(AA38,_xlfn.SEQUENCE(LEN(AA38)),1)*1,""))*AC38),"")</f>
        <v/>
      </c>
      <c r="AG38" s="2995"/>
      <c r="AH38" s="2996"/>
    </row>
    <row r="39" spans="2:34" ht="18.75" customHeight="1">
      <c r="B39" s="2987"/>
      <c r="C39" s="3003"/>
      <c r="D39" s="3014"/>
      <c r="E39" s="3015"/>
      <c r="F39" s="3015"/>
      <c r="G39" s="3016"/>
      <c r="H39" s="2999" t="str">
        <f>IFERROR(IF(VLOOKUP(B38,'LA BackOrder'!A:F,6,FALSE)="","",IF(VLOOKUP(B38,'LA BackOrder'!A:F,6,FALSE)=0,"",VLOOKUP(B38,'LA BackOrder'!A:F,6,FALSE))),"")</f>
        <v/>
      </c>
      <c r="I39" s="3000"/>
      <c r="J39" s="3000"/>
      <c r="K39" s="1413" t="s">
        <v>3793</v>
      </c>
      <c r="L39" s="3001" t="str">
        <f>IFERROR(IF(VLOOKUP(B38,'LA BackOrder'!A:E,5,FALSE)="","",IF(VLOOKUP(B38,'LA BackOrder'!A:G,7,FALSE)=0,"",VLOOKUP(B38,'LA BackOrder'!A:G,7,FALSE))),"")</f>
        <v/>
      </c>
      <c r="M39" s="3000"/>
      <c r="N39" s="3000"/>
      <c r="O39" s="3000"/>
      <c r="P39" s="3000"/>
      <c r="Q39" s="3000"/>
      <c r="R39" s="3000"/>
      <c r="S39" s="3000"/>
      <c r="T39" s="3002"/>
      <c r="U39" s="1417" t="str">
        <f>IFERROR(IF(VLOOKUP(B38,'LA BackOrder'!A:M,13,FALSE)=0,"",(VLOOKUP(B38,'LA BackOrder'!A:M,13,FALSE))),"")</f>
        <v/>
      </c>
      <c r="V39" s="1416"/>
      <c r="W39" s="2988"/>
      <c r="X39" s="2989"/>
      <c r="Y39" s="2997"/>
      <c r="Z39" s="2998"/>
      <c r="AA39" s="3010"/>
      <c r="AB39" s="3011"/>
      <c r="AC39" s="2994"/>
      <c r="AD39" s="2995"/>
      <c r="AE39" s="2996"/>
      <c r="AF39" s="2994"/>
      <c r="AG39" s="2995"/>
      <c r="AH39" s="2996"/>
    </row>
    <row r="40" spans="2:34" ht="18.75" customHeight="1">
      <c r="B40" s="2987"/>
      <c r="C40" s="3003" t="str">
        <f>IF(B40="","",C38+1)</f>
        <v/>
      </c>
      <c r="D40" s="3014" t="str">
        <f>IFERROR(IF(VLOOKUP(B40,'LA BackOrder'!A:C,3,FALSE)="","",VLOOKUP(B40,'LA BackOrder'!A:C,3,FALSE)),"")</f>
        <v/>
      </c>
      <c r="E40" s="3015"/>
      <c r="F40" s="3015"/>
      <c r="G40" s="3016"/>
      <c r="H40" s="2999" t="str">
        <f>IF(IFERROR(IF(VLOOKUP(B40,'LA BackOrder'!A:E,5,FALSE)="",VLOOKUP(B40,'LA BackOrder'!A:G,7,FALSE),IF(VLOOKUP(B40,'LA BackOrder'!A:E,5,FALSE)=0,"",VLOOKUP(B40,'LA BackOrder'!A:E,5,FALSE))),"")=0,"",IFERROR(IF(VLOOKUP(B40,'LA BackOrder'!A:E,5,FALSE)="",VLOOKUP(B40,'LA BackOrder'!A:G,7,FALSE),IF(VLOOKUP(B40,'LA BackOrder'!A:E,5,FALSE)=0,"",VLOOKUP(B40,'LA BackOrder'!A:E,5,FALSE))),""))</f>
        <v/>
      </c>
      <c r="I40" s="3000"/>
      <c r="J40" s="3000"/>
      <c r="K40" s="3000"/>
      <c r="L40" s="3000"/>
      <c r="M40" s="3000"/>
      <c r="N40" s="3000"/>
      <c r="O40" s="3000"/>
      <c r="P40" s="3000"/>
      <c r="Q40" s="3000"/>
      <c r="R40" s="3000"/>
      <c r="S40" s="3000"/>
      <c r="T40" s="3000"/>
      <c r="U40" s="3000"/>
      <c r="V40" s="3005"/>
      <c r="W40" s="2988" t="str">
        <f>IFERROR(IF(VLOOKUP(B40,'LA BackOrder'!A:H,8,FALSE)=0,"",VLOOKUP(B40,'LA BackOrder'!A:H,8,FALSE)),"")</f>
        <v/>
      </c>
      <c r="X40" s="2989"/>
      <c r="Y40" s="2997" t="str">
        <f>IFERROR(IF(VLOOKUP(B40,'LA BackOrder'!A:I,9,FALSE)=0,"",VLOOKUP(B40,'LA BackOrder'!A:I,9,FALSE)),"")</f>
        <v/>
      </c>
      <c r="Z40" s="2998"/>
      <c r="AA40" s="3010" t="str">
        <f>IFERROR(IF(AND(H41="",ISNUMBER(VLOOKUP(B40,'LA BackOrder'!A:J,10,FALSE))),VLOOKUP(B40,'LA BackOrder'!A:J,10,FALSE)&amp;" set",IF(VLOOKUP(B40,'LA BackOrder'!A:J,10,FALSE)=0,"",VLOOKUP(B40,'LA BackOrder'!A:J,10,FALSE))),"")</f>
        <v/>
      </c>
      <c r="AB40" s="3011"/>
      <c r="AC40" s="2994" t="str">
        <f>IFERROR(IF(VLOOKUP(B40,'LA BackOrder'!A:K,11,FALSE)=0,"",VLOOKUP(B40,'LA BackOrder'!A:K,11,FALSE)),"")</f>
        <v/>
      </c>
      <c r="AD40" s="2995"/>
      <c r="AE40" s="2996"/>
      <c r="AF40" s="2994" t="str">
        <f t="array" ref="AF40">IFERROR(IF(AA40="","",_xlfn.CONCAT(IFERROR(MID(AA40,_xlfn.SEQUENCE(LEN(AA40)),1)*1,""))*AC40),"")</f>
        <v/>
      </c>
      <c r="AG40" s="2995"/>
      <c r="AH40" s="2996"/>
    </row>
    <row r="41" spans="2:34" ht="18.75" customHeight="1">
      <c r="B41" s="2987"/>
      <c r="C41" s="3003"/>
      <c r="D41" s="3014"/>
      <c r="E41" s="3015"/>
      <c r="F41" s="3015"/>
      <c r="G41" s="3016"/>
      <c r="H41" s="2999" t="str">
        <f>IFERROR(IF(VLOOKUP(B40,'LA BackOrder'!A:F,6,FALSE)="","",IF(VLOOKUP(B40,'LA BackOrder'!A:F,6,FALSE)=0,"",VLOOKUP(B40,'LA BackOrder'!A:F,6,FALSE))),"")</f>
        <v/>
      </c>
      <c r="I41" s="3000"/>
      <c r="J41" s="3000"/>
      <c r="K41" s="1413" t="s">
        <v>3793</v>
      </c>
      <c r="L41" s="3001" t="str">
        <f>IFERROR(IF(VLOOKUP(B40,'LA BackOrder'!A:E,5,FALSE)="","",IF(VLOOKUP(B40,'LA BackOrder'!A:G,7,FALSE)=0,"",VLOOKUP(B40,'LA BackOrder'!A:G,7,FALSE))),"")</f>
        <v/>
      </c>
      <c r="M41" s="3000"/>
      <c r="N41" s="3000"/>
      <c r="O41" s="3000"/>
      <c r="P41" s="3000"/>
      <c r="Q41" s="3000"/>
      <c r="R41" s="3000"/>
      <c r="S41" s="3000"/>
      <c r="T41" s="3002"/>
      <c r="U41" s="1417" t="str">
        <f>IFERROR(IF(VLOOKUP(B40,'LA BackOrder'!A:M,13,FALSE)=0,"",(VLOOKUP(B40,'LA BackOrder'!A:M,13,FALSE))),"")</f>
        <v/>
      </c>
      <c r="V41" s="1416"/>
      <c r="W41" s="2988"/>
      <c r="X41" s="2989"/>
      <c r="Y41" s="2997"/>
      <c r="Z41" s="2998"/>
      <c r="AA41" s="3010"/>
      <c r="AB41" s="3011"/>
      <c r="AC41" s="2994"/>
      <c r="AD41" s="2995"/>
      <c r="AE41" s="2996"/>
      <c r="AF41" s="2994"/>
      <c r="AG41" s="2995"/>
      <c r="AH41" s="2996"/>
    </row>
    <row r="42" spans="2:34" ht="18.75" customHeight="1">
      <c r="B42" s="2987"/>
      <c r="C42" s="3003" t="str">
        <f>IF(B42="","",C40+1)</f>
        <v/>
      </c>
      <c r="D42" s="3014" t="str">
        <f>IFERROR(IF(VLOOKUP(B42,'LA BackOrder'!A:C,3,FALSE)="","",VLOOKUP(B42,'LA BackOrder'!A:C,3,FALSE)),"")</f>
        <v/>
      </c>
      <c r="E42" s="3015"/>
      <c r="F42" s="3015"/>
      <c r="G42" s="3016"/>
      <c r="H42" s="2999" t="str">
        <f>IF(IFERROR(IF(VLOOKUP(B42,'LA BackOrder'!A:E,5,FALSE)="",VLOOKUP(B42,'LA BackOrder'!A:G,7,FALSE),IF(VLOOKUP(B42,'LA BackOrder'!A:E,5,FALSE)=0,"",VLOOKUP(B42,'LA BackOrder'!A:E,5,FALSE))),"")=0,"",IFERROR(IF(VLOOKUP(B42,'LA BackOrder'!A:E,5,FALSE)="",VLOOKUP(B42,'LA BackOrder'!A:G,7,FALSE),IF(VLOOKUP(B42,'LA BackOrder'!A:E,5,FALSE)=0,"",VLOOKUP(B42,'LA BackOrder'!A:E,5,FALSE))),""))</f>
        <v/>
      </c>
      <c r="I42" s="3000"/>
      <c r="J42" s="3000"/>
      <c r="K42" s="3000"/>
      <c r="L42" s="3000"/>
      <c r="M42" s="3000"/>
      <c r="N42" s="3000"/>
      <c r="O42" s="3000"/>
      <c r="P42" s="3000"/>
      <c r="Q42" s="3000"/>
      <c r="R42" s="3000"/>
      <c r="S42" s="3000"/>
      <c r="T42" s="3000"/>
      <c r="U42" s="3000"/>
      <c r="V42" s="3005"/>
      <c r="W42" s="2988" t="str">
        <f>IFERROR(IF(VLOOKUP(B42,'LA BackOrder'!A:H,8,FALSE)=0,"",VLOOKUP(B42,'LA BackOrder'!A:H,8,FALSE)),"")</f>
        <v/>
      </c>
      <c r="X42" s="2989"/>
      <c r="Y42" s="2997" t="str">
        <f>IFERROR(IF(VLOOKUP(B42,'LA BackOrder'!A:I,9,FALSE)=0,"",VLOOKUP(B42,'LA BackOrder'!A:I,9,FALSE)),"")</f>
        <v/>
      </c>
      <c r="Z42" s="2998"/>
      <c r="AA42" s="3010" t="str">
        <f>IFERROR(IF(AND(H43="",ISNUMBER(VLOOKUP(B42,'LA BackOrder'!A:J,10,FALSE))),VLOOKUP(B42,'LA BackOrder'!A:J,10,FALSE)&amp;" set",IF(VLOOKUP(B42,'LA BackOrder'!A:J,10,FALSE)=0,"",VLOOKUP(B42,'LA BackOrder'!A:J,10,FALSE))),"")</f>
        <v/>
      </c>
      <c r="AB42" s="3011"/>
      <c r="AC42" s="2994" t="str">
        <f>IFERROR(IF(VLOOKUP(B42,'LA BackOrder'!A:K,11,FALSE)=0,"",VLOOKUP(B42,'LA BackOrder'!A:K,11,FALSE)),"")</f>
        <v/>
      </c>
      <c r="AD42" s="2995"/>
      <c r="AE42" s="2996"/>
      <c r="AF42" s="2994" t="str">
        <f t="array" ref="AF42">IFERROR(IF(AA42="","",_xlfn.CONCAT(IFERROR(MID(AA42,_xlfn.SEQUENCE(LEN(AA42)),1)*1,""))*AC42),"")</f>
        <v/>
      </c>
      <c r="AG42" s="2995"/>
      <c r="AH42" s="2996"/>
    </row>
    <row r="43" spans="2:34" ht="18.75" customHeight="1">
      <c r="B43" s="2987"/>
      <c r="C43" s="3003"/>
      <c r="D43" s="3014"/>
      <c r="E43" s="3015"/>
      <c r="F43" s="3015"/>
      <c r="G43" s="3016"/>
      <c r="H43" s="2999" t="str">
        <f>IFERROR(IF(VLOOKUP(B42,'LA BackOrder'!A:F,6,FALSE)="","",IF(VLOOKUP(B42,'LA BackOrder'!A:F,6,FALSE)=0,"",VLOOKUP(B42,'LA BackOrder'!A:F,6,FALSE))),"")</f>
        <v/>
      </c>
      <c r="I43" s="3000"/>
      <c r="J43" s="3000"/>
      <c r="K43" s="1413" t="s">
        <v>3793</v>
      </c>
      <c r="L43" s="3001" t="str">
        <f>IFERROR(IF(VLOOKUP(B42,'LA BackOrder'!A:E,5,FALSE)="","",IF(VLOOKUP(B42,'LA BackOrder'!A:G,7,FALSE)=0,"",VLOOKUP(B42,'LA BackOrder'!A:G,7,FALSE))),"")</f>
        <v/>
      </c>
      <c r="M43" s="3000"/>
      <c r="N43" s="3000"/>
      <c r="O43" s="3000"/>
      <c r="P43" s="3000"/>
      <c r="Q43" s="3000"/>
      <c r="R43" s="3000"/>
      <c r="S43" s="3000"/>
      <c r="T43" s="3002"/>
      <c r="U43" s="1417" t="str">
        <f>IFERROR(IF(VLOOKUP(B42,'LA BackOrder'!A:M,13,FALSE)=0,"",(VLOOKUP(B42,'LA BackOrder'!A:M,13,FALSE))),"")</f>
        <v/>
      </c>
      <c r="V43" s="1416"/>
      <c r="W43" s="2988"/>
      <c r="X43" s="2989"/>
      <c r="Y43" s="2997"/>
      <c r="Z43" s="2998"/>
      <c r="AA43" s="3010"/>
      <c r="AB43" s="3011"/>
      <c r="AC43" s="2994"/>
      <c r="AD43" s="2995"/>
      <c r="AE43" s="2996"/>
      <c r="AF43" s="2994"/>
      <c r="AG43" s="2995"/>
      <c r="AH43" s="2996"/>
    </row>
    <row r="44" spans="2:34" ht="18.75" customHeight="1">
      <c r="B44" s="2987"/>
      <c r="C44" s="3003" t="str">
        <f>IF(B44="","",C42+1)</f>
        <v/>
      </c>
      <c r="D44" s="3014" t="str">
        <f>IFERROR(IF(VLOOKUP(B44,'LA BackOrder'!A:C,3,FALSE)="","",VLOOKUP(B44,'LA BackOrder'!A:C,3,FALSE)),"")</f>
        <v/>
      </c>
      <c r="E44" s="3015"/>
      <c r="F44" s="3015"/>
      <c r="G44" s="3016"/>
      <c r="H44" s="2999" t="str">
        <f>IF(IFERROR(IF(VLOOKUP(B44,'LA BackOrder'!A:E,5,FALSE)="",VLOOKUP(B44,'LA BackOrder'!A:G,7,FALSE),IF(VLOOKUP(B44,'LA BackOrder'!A:E,5,FALSE)=0,"",VLOOKUP(B44,'LA BackOrder'!A:E,5,FALSE))),"")=0,"",IFERROR(IF(VLOOKUP(B44,'LA BackOrder'!A:E,5,FALSE)="",VLOOKUP(B44,'LA BackOrder'!A:G,7,FALSE),IF(VLOOKUP(B44,'LA BackOrder'!A:E,5,FALSE)=0,"",VLOOKUP(B44,'LA BackOrder'!A:E,5,FALSE))),""))</f>
        <v/>
      </c>
      <c r="I44" s="3000"/>
      <c r="J44" s="3000"/>
      <c r="K44" s="3000"/>
      <c r="L44" s="3000"/>
      <c r="M44" s="3000"/>
      <c r="N44" s="3000"/>
      <c r="O44" s="3000"/>
      <c r="P44" s="3000"/>
      <c r="Q44" s="3000"/>
      <c r="R44" s="3000"/>
      <c r="S44" s="3000"/>
      <c r="T44" s="3000"/>
      <c r="U44" s="3000"/>
      <c r="V44" s="3005"/>
      <c r="W44" s="2988" t="str">
        <f>IFERROR(IF(VLOOKUP(B44,'LA BackOrder'!A:H,8,FALSE)=0,"",VLOOKUP(B44,'LA BackOrder'!A:H,8,FALSE)),"")</f>
        <v/>
      </c>
      <c r="X44" s="2989"/>
      <c r="Y44" s="2997" t="str">
        <f>IFERROR(IF(VLOOKUP(B44,'LA BackOrder'!A:I,9,FALSE)=0,"",VLOOKUP(B44,'LA BackOrder'!A:I,9,FALSE)),"")</f>
        <v/>
      </c>
      <c r="Z44" s="2998"/>
      <c r="AA44" s="3010" t="str">
        <f>IFERROR(IF(AND(H45="",ISNUMBER(VLOOKUP(B44,'LA BackOrder'!A:J,10,FALSE))),VLOOKUP(B44,'LA BackOrder'!A:J,10,FALSE)&amp;" set",IF(VLOOKUP(B44,'LA BackOrder'!A:J,10,FALSE)=0,"",VLOOKUP(B44,'LA BackOrder'!A:J,10,FALSE))),"")</f>
        <v/>
      </c>
      <c r="AB44" s="3011"/>
      <c r="AC44" s="2994" t="str">
        <f>IFERROR(IF(VLOOKUP(B44,'LA BackOrder'!A:K,11,FALSE)=0,"",VLOOKUP(B44,'LA BackOrder'!A:K,11,FALSE)),"")</f>
        <v/>
      </c>
      <c r="AD44" s="2995"/>
      <c r="AE44" s="2996"/>
      <c r="AF44" s="2994" t="str">
        <f t="array" ref="AF44">IFERROR(IF(AA44="","",_xlfn.CONCAT(IFERROR(MID(AA44,_xlfn.SEQUENCE(LEN(AA44)),1)*1,""))*AC44),"")</f>
        <v/>
      </c>
      <c r="AG44" s="2995"/>
      <c r="AH44" s="2996"/>
    </row>
    <row r="45" spans="2:34" ht="18.75" customHeight="1">
      <c r="B45" s="2987"/>
      <c r="C45" s="3003"/>
      <c r="D45" s="3014"/>
      <c r="E45" s="3015"/>
      <c r="F45" s="3015"/>
      <c r="G45" s="3016"/>
      <c r="H45" s="2999" t="str">
        <f>IFERROR(IF(VLOOKUP(B44,'LA BackOrder'!A:F,6,FALSE)="","",IF(VLOOKUP(B44,'LA BackOrder'!A:F,6,FALSE)=0,"",VLOOKUP(B44,'LA BackOrder'!A:F,6,FALSE))),"")</f>
        <v/>
      </c>
      <c r="I45" s="3000"/>
      <c r="J45" s="3000"/>
      <c r="K45" s="1413" t="s">
        <v>3793</v>
      </c>
      <c r="L45" s="3001" t="str">
        <f>IFERROR(IF(VLOOKUP(B44,'LA BackOrder'!A:E,5,FALSE)="","",IF(VLOOKUP(B44,'LA BackOrder'!A:G,7,FALSE)=0,"",VLOOKUP(B44,'LA BackOrder'!A:G,7,FALSE))),"")</f>
        <v/>
      </c>
      <c r="M45" s="3000"/>
      <c r="N45" s="3000"/>
      <c r="O45" s="3000"/>
      <c r="P45" s="3000"/>
      <c r="Q45" s="3000"/>
      <c r="R45" s="3000"/>
      <c r="S45" s="3000"/>
      <c r="T45" s="3002"/>
      <c r="U45" s="1417" t="str">
        <f>IFERROR(IF(VLOOKUP(B44,'LA BackOrder'!A:M,13,FALSE)=0,"",(VLOOKUP(B44,'LA BackOrder'!A:M,13,FALSE))),"")</f>
        <v/>
      </c>
      <c r="V45" s="1416"/>
      <c r="W45" s="2988"/>
      <c r="X45" s="2989"/>
      <c r="Y45" s="2997"/>
      <c r="Z45" s="2998"/>
      <c r="AA45" s="3010"/>
      <c r="AB45" s="3011"/>
      <c r="AC45" s="2994"/>
      <c r="AD45" s="2995"/>
      <c r="AE45" s="2996"/>
      <c r="AF45" s="2994"/>
      <c r="AG45" s="2995"/>
      <c r="AH45" s="2996"/>
    </row>
    <row r="46" spans="2:34" ht="18.75" customHeight="1">
      <c r="B46" s="2987"/>
      <c r="C46" s="3003" t="str">
        <f>IF(B46="","",C44+1)</f>
        <v/>
      </c>
      <c r="D46" s="3014" t="str">
        <f>IFERROR(IF(VLOOKUP(B46,'LA BackOrder'!A:C,3,FALSE)="","",VLOOKUP(B46,'LA BackOrder'!A:C,3,FALSE)),"")</f>
        <v/>
      </c>
      <c r="E46" s="3015"/>
      <c r="F46" s="3015"/>
      <c r="G46" s="3016"/>
      <c r="H46" s="2999" t="str">
        <f>IF(IFERROR(IF(VLOOKUP(B46,'LA BackOrder'!A:E,5,FALSE)="",VLOOKUP(B46,'LA BackOrder'!A:G,7,FALSE),IF(VLOOKUP(B46,'LA BackOrder'!A:E,5,FALSE)=0,"",VLOOKUP(B46,'LA BackOrder'!A:E,5,FALSE))),"")=0,"",IFERROR(IF(VLOOKUP(B46,'LA BackOrder'!A:E,5,FALSE)="",VLOOKUP(B46,'LA BackOrder'!A:G,7,FALSE),IF(VLOOKUP(B46,'LA BackOrder'!A:E,5,FALSE)=0,"",VLOOKUP(B46,'LA BackOrder'!A:E,5,FALSE))),""))</f>
        <v/>
      </c>
      <c r="I46" s="3000"/>
      <c r="J46" s="3000"/>
      <c r="K46" s="3000"/>
      <c r="L46" s="3000"/>
      <c r="M46" s="3000"/>
      <c r="N46" s="3000"/>
      <c r="O46" s="3000"/>
      <c r="P46" s="3000"/>
      <c r="Q46" s="3000"/>
      <c r="R46" s="3000"/>
      <c r="S46" s="3000"/>
      <c r="T46" s="3000"/>
      <c r="U46" s="3000"/>
      <c r="V46" s="3005"/>
      <c r="W46" s="2988" t="str">
        <f>IFERROR(IF(VLOOKUP(B46,'LA BackOrder'!A:H,8,FALSE)=0,"",VLOOKUP(B46,'LA BackOrder'!A:H,8,FALSE)),"")</f>
        <v/>
      </c>
      <c r="X46" s="2989"/>
      <c r="Y46" s="2997" t="str">
        <f>IFERROR(IF(VLOOKUP(B46,'LA BackOrder'!A:I,9,FALSE)=0,"",VLOOKUP(B46,'LA BackOrder'!A:I,9,FALSE)),"")</f>
        <v/>
      </c>
      <c r="Z46" s="2998"/>
      <c r="AA46" s="3010" t="str">
        <f>IFERROR(IF(AND(H47="",ISNUMBER(VLOOKUP(B46,'LA BackOrder'!A:J,10,FALSE))),VLOOKUP(B46,'LA BackOrder'!A:J,10,FALSE)&amp;" set",IF(VLOOKUP(B46,'LA BackOrder'!A:J,10,FALSE)=0,"",VLOOKUP(B46,'LA BackOrder'!A:J,10,FALSE))),"")</f>
        <v/>
      </c>
      <c r="AB46" s="3011"/>
      <c r="AC46" s="2994" t="str">
        <f>IFERROR(IF(VLOOKUP(B46,'LA BackOrder'!A:K,11,FALSE)=0,"",VLOOKUP(B46,'LA BackOrder'!A:K,11,FALSE)),"")</f>
        <v/>
      </c>
      <c r="AD46" s="2995"/>
      <c r="AE46" s="2996"/>
      <c r="AF46" s="2994" t="str">
        <f t="array" ref="AF46">IFERROR(IF(AA46="","",_xlfn.CONCAT(IFERROR(MID(AA46,_xlfn.SEQUENCE(LEN(AA46)),1)*1,""))*AC46),"")</f>
        <v/>
      </c>
      <c r="AG46" s="2995"/>
      <c r="AH46" s="2996"/>
    </row>
    <row r="47" spans="2:34" ht="18.75" customHeight="1">
      <c r="B47" s="2987"/>
      <c r="C47" s="3003"/>
      <c r="D47" s="3014"/>
      <c r="E47" s="3015"/>
      <c r="F47" s="3015"/>
      <c r="G47" s="3016"/>
      <c r="H47" s="2999" t="str">
        <f>IFERROR(IF(VLOOKUP(B46,'LA BackOrder'!A:F,6,FALSE)="","",IF(VLOOKUP(B46,'LA BackOrder'!A:F,6,FALSE)=0,"",VLOOKUP(B46,'LA BackOrder'!A:F,6,FALSE))),"")</f>
        <v/>
      </c>
      <c r="I47" s="3000"/>
      <c r="J47" s="3000"/>
      <c r="K47" s="1413" t="s">
        <v>3793</v>
      </c>
      <c r="L47" s="3001" t="str">
        <f>IFERROR(IF(VLOOKUP(B46,'LA BackOrder'!A:E,5,FALSE)="","",IF(VLOOKUP(B46,'LA BackOrder'!A:G,7,FALSE)=0,"",VLOOKUP(B46,'LA BackOrder'!A:G,7,FALSE))),"")</f>
        <v/>
      </c>
      <c r="M47" s="3000"/>
      <c r="N47" s="3000"/>
      <c r="O47" s="3000"/>
      <c r="P47" s="3000"/>
      <c r="Q47" s="3000"/>
      <c r="R47" s="3000"/>
      <c r="S47" s="3000"/>
      <c r="T47" s="3002"/>
      <c r="U47" s="1417" t="str">
        <f>IFERROR(IF(VLOOKUP(B46,'LA BackOrder'!A:M,13,FALSE)=0,"",(VLOOKUP(B46,'LA BackOrder'!A:M,13,FALSE))),"")</f>
        <v/>
      </c>
      <c r="V47" s="1416"/>
      <c r="W47" s="2988"/>
      <c r="X47" s="2989"/>
      <c r="Y47" s="2997"/>
      <c r="Z47" s="2998"/>
      <c r="AA47" s="3010"/>
      <c r="AB47" s="3011"/>
      <c r="AC47" s="2994"/>
      <c r="AD47" s="2995"/>
      <c r="AE47" s="2996"/>
      <c r="AF47" s="2994"/>
      <c r="AG47" s="2995"/>
      <c r="AH47" s="2996"/>
    </row>
    <row r="48" spans="2:34" ht="18.75" customHeight="1">
      <c r="B48" s="2987"/>
      <c r="C48" s="3003" t="str">
        <f>IF(B48="","",C46+1)</f>
        <v/>
      </c>
      <c r="D48" s="3014" t="str">
        <f>IFERROR(IF(VLOOKUP(B48,'LA BackOrder'!A:C,3,FALSE)="","",VLOOKUP(B48,'LA BackOrder'!A:C,3,FALSE)),"")</f>
        <v/>
      </c>
      <c r="E48" s="3015"/>
      <c r="F48" s="3015"/>
      <c r="G48" s="3016"/>
      <c r="H48" s="2999" t="str">
        <f>IF(IFERROR(IF(VLOOKUP(B48,'LA BackOrder'!A:E,5,FALSE)="",VLOOKUP(B48,'LA BackOrder'!A:G,7,FALSE),IF(VLOOKUP(B48,'LA BackOrder'!A:E,5,FALSE)=0,"",VLOOKUP(B48,'LA BackOrder'!A:E,5,FALSE))),"")=0,"",IFERROR(IF(VLOOKUP(B48,'LA BackOrder'!A:E,5,FALSE)="",VLOOKUP(B48,'LA BackOrder'!A:G,7,FALSE),IF(VLOOKUP(B48,'LA BackOrder'!A:E,5,FALSE)=0,"",VLOOKUP(B48,'LA BackOrder'!A:E,5,FALSE))),""))</f>
        <v/>
      </c>
      <c r="I48" s="3000"/>
      <c r="J48" s="3000"/>
      <c r="K48" s="3000"/>
      <c r="L48" s="3000"/>
      <c r="M48" s="3000"/>
      <c r="N48" s="3000"/>
      <c r="O48" s="3000"/>
      <c r="P48" s="3000"/>
      <c r="Q48" s="3000"/>
      <c r="R48" s="3000"/>
      <c r="S48" s="3000"/>
      <c r="T48" s="3000"/>
      <c r="U48" s="3000"/>
      <c r="V48" s="3005"/>
      <c r="W48" s="2988" t="str">
        <f>IFERROR(IF(VLOOKUP(B48,'LA BackOrder'!A:H,8,FALSE)=0,"",VLOOKUP(B48,'LA BackOrder'!A:H,8,FALSE)),"")</f>
        <v/>
      </c>
      <c r="X48" s="2989"/>
      <c r="Y48" s="2997" t="str">
        <f>IFERROR(IF(VLOOKUP(B48,'LA BackOrder'!A:I,9,FALSE)=0,"",VLOOKUP(B48,'LA BackOrder'!A:I,9,FALSE)),"")</f>
        <v/>
      </c>
      <c r="Z48" s="2998"/>
      <c r="AA48" s="3010" t="str">
        <f>IFERROR(IF(AND(H49="",ISNUMBER(VLOOKUP(B48,'LA BackOrder'!A:J,10,FALSE))),VLOOKUP(B48,'LA BackOrder'!A:J,10,FALSE)&amp;" set",IF(VLOOKUP(B48,'LA BackOrder'!A:J,10,FALSE)=0,"",VLOOKUP(B48,'LA BackOrder'!A:J,10,FALSE))),"")</f>
        <v/>
      </c>
      <c r="AB48" s="3011"/>
      <c r="AC48" s="2994" t="str">
        <f>IFERROR(IF(VLOOKUP(B48,'LA BackOrder'!A:K,11,FALSE)=0,"",VLOOKUP(B48,'LA BackOrder'!A:K,11,FALSE)),"")</f>
        <v/>
      </c>
      <c r="AD48" s="2995"/>
      <c r="AE48" s="2996"/>
      <c r="AF48" s="2994" t="str">
        <f t="array" ref="AF48">IFERROR(IF(AA48="","",_xlfn.CONCAT(IFERROR(MID(AA48,_xlfn.SEQUENCE(LEN(AA48)),1)*1,""))*AC48),"")</f>
        <v/>
      </c>
      <c r="AG48" s="2995"/>
      <c r="AH48" s="2996"/>
    </row>
    <row r="49" spans="2:34" ht="18.75" customHeight="1">
      <c r="B49" s="2987"/>
      <c r="C49" s="3003"/>
      <c r="D49" s="3014"/>
      <c r="E49" s="3015"/>
      <c r="F49" s="3015"/>
      <c r="G49" s="3016"/>
      <c r="H49" s="2999" t="str">
        <f>IFERROR(IF(VLOOKUP(B48,'LA BackOrder'!A:F,6,FALSE)="","",IF(VLOOKUP(B48,'LA BackOrder'!A:F,6,FALSE)=0,"",VLOOKUP(B48,'LA BackOrder'!A:F,6,FALSE))),"")</f>
        <v/>
      </c>
      <c r="I49" s="3000"/>
      <c r="J49" s="3000"/>
      <c r="K49" s="1413" t="s">
        <v>3793</v>
      </c>
      <c r="L49" s="3001" t="str">
        <f>IFERROR(IF(VLOOKUP(B48,'LA BackOrder'!A:E,5,FALSE)="","",IF(VLOOKUP(B48,'LA BackOrder'!A:G,7,FALSE)=0,"",VLOOKUP(B48,'LA BackOrder'!A:G,7,FALSE))),"")</f>
        <v/>
      </c>
      <c r="M49" s="3000"/>
      <c r="N49" s="3000"/>
      <c r="O49" s="3000"/>
      <c r="P49" s="3000"/>
      <c r="Q49" s="3000"/>
      <c r="R49" s="3000"/>
      <c r="S49" s="3000"/>
      <c r="T49" s="3002"/>
      <c r="U49" s="1417" t="str">
        <f>IFERROR(IF(VLOOKUP(B48,'LA BackOrder'!A:M,13,FALSE)=0,"",(VLOOKUP(B48,'LA BackOrder'!A:M,13,FALSE))),"")</f>
        <v/>
      </c>
      <c r="V49" s="1416"/>
      <c r="W49" s="2988"/>
      <c r="X49" s="2989"/>
      <c r="Y49" s="2997"/>
      <c r="Z49" s="2998"/>
      <c r="AA49" s="3010"/>
      <c r="AB49" s="3011"/>
      <c r="AC49" s="2994"/>
      <c r="AD49" s="2995"/>
      <c r="AE49" s="2996"/>
      <c r="AF49" s="2994"/>
      <c r="AG49" s="2995"/>
      <c r="AH49" s="2996"/>
    </row>
    <row r="50" spans="2:34" ht="18.75" customHeight="1">
      <c r="B50" s="2987"/>
      <c r="C50" s="3003" t="str">
        <f>IF(B50="","",C48+1)</f>
        <v/>
      </c>
      <c r="D50" s="3014" t="str">
        <f>IFERROR(IF(VLOOKUP(B50,'LA BackOrder'!A:C,3,FALSE)="","",VLOOKUP(B50,'LA BackOrder'!A:C,3,FALSE)),"")</f>
        <v/>
      </c>
      <c r="E50" s="3015"/>
      <c r="F50" s="3015"/>
      <c r="G50" s="3016"/>
      <c r="H50" s="2999" t="str">
        <f>IF(IFERROR(IF(VLOOKUP(B50,'LA BackOrder'!A:E,5,FALSE)="",VLOOKUP(B50,'LA BackOrder'!A:G,7,FALSE),IF(VLOOKUP(B50,'LA BackOrder'!A:E,5,FALSE)=0,"",VLOOKUP(B50,'LA BackOrder'!A:E,5,FALSE))),"")=0,"",IFERROR(IF(VLOOKUP(B50,'LA BackOrder'!A:E,5,FALSE)="",VLOOKUP(B50,'LA BackOrder'!A:G,7,FALSE),IF(VLOOKUP(B50,'LA BackOrder'!A:E,5,FALSE)=0,"",VLOOKUP(B50,'LA BackOrder'!A:E,5,FALSE))),""))</f>
        <v/>
      </c>
      <c r="I50" s="3000"/>
      <c r="J50" s="3000"/>
      <c r="K50" s="3000"/>
      <c r="L50" s="3000"/>
      <c r="M50" s="3000"/>
      <c r="N50" s="3000"/>
      <c r="O50" s="3000"/>
      <c r="P50" s="3000"/>
      <c r="Q50" s="3000"/>
      <c r="R50" s="3000"/>
      <c r="S50" s="3000"/>
      <c r="T50" s="3000"/>
      <c r="U50" s="3000"/>
      <c r="V50" s="3005"/>
      <c r="W50" s="2988" t="str">
        <f>IFERROR(IF(VLOOKUP(B50,'LA BackOrder'!A:H,8,FALSE)=0,"",VLOOKUP(B50,'LA BackOrder'!A:H,8,FALSE)),"")</f>
        <v/>
      </c>
      <c r="X50" s="2989"/>
      <c r="Y50" s="2997" t="str">
        <f>IFERROR(IF(VLOOKUP(B50,'LA BackOrder'!A:I,9,FALSE)=0,"",VLOOKUP(B50,'LA BackOrder'!A:I,9,FALSE)),"")</f>
        <v/>
      </c>
      <c r="Z50" s="2998"/>
      <c r="AA50" s="3010" t="str">
        <f>IFERROR(IF(AND(H51="",ISNUMBER(VLOOKUP(B50,'LA BackOrder'!A:J,10,FALSE))),VLOOKUP(B50,'LA BackOrder'!A:J,10,FALSE)&amp;" set",IF(VLOOKUP(B50,'LA BackOrder'!A:J,10,FALSE)=0,"",VLOOKUP(B50,'LA BackOrder'!A:J,10,FALSE))),"")</f>
        <v/>
      </c>
      <c r="AB50" s="3011"/>
      <c r="AC50" s="2994" t="str">
        <f>IFERROR(IF(VLOOKUP(B50,'LA BackOrder'!A:K,11,FALSE)=0,"",VLOOKUP(B50,'LA BackOrder'!A:K,11,FALSE)),"")</f>
        <v/>
      </c>
      <c r="AD50" s="2995"/>
      <c r="AE50" s="2996"/>
      <c r="AF50" s="2994" t="str">
        <f t="array" ref="AF50">IFERROR(IF(AA50="","",_xlfn.CONCAT(IFERROR(MID(AA50,_xlfn.SEQUENCE(LEN(AA50)),1)*1,""))*AC50),"")</f>
        <v/>
      </c>
      <c r="AG50" s="2995"/>
      <c r="AH50" s="2996"/>
    </row>
    <row r="51" spans="2:34" ht="18.75" customHeight="1">
      <c r="B51" s="2987"/>
      <c r="C51" s="3003"/>
      <c r="D51" s="3014"/>
      <c r="E51" s="3015"/>
      <c r="F51" s="3015"/>
      <c r="G51" s="3016"/>
      <c r="H51" s="2999" t="str">
        <f>IFERROR(IF(VLOOKUP(B50,'LA BackOrder'!A:F,6,FALSE)="","",IF(VLOOKUP(B50,'LA BackOrder'!A:F,6,FALSE)=0,"",VLOOKUP(B50,'LA BackOrder'!A:F,6,FALSE))),"")</f>
        <v/>
      </c>
      <c r="I51" s="3000"/>
      <c r="J51" s="3000"/>
      <c r="K51" s="1413" t="s">
        <v>3793</v>
      </c>
      <c r="L51" s="3001" t="str">
        <f>IFERROR(IF(VLOOKUP(B50,'LA BackOrder'!A:E,5,FALSE)="","",IF(VLOOKUP(B50,'LA BackOrder'!A:G,7,FALSE)=0,"",VLOOKUP(B50,'LA BackOrder'!A:G,7,FALSE))),"")</f>
        <v/>
      </c>
      <c r="M51" s="3000"/>
      <c r="N51" s="3000"/>
      <c r="O51" s="3000"/>
      <c r="P51" s="3000"/>
      <c r="Q51" s="3000"/>
      <c r="R51" s="3000"/>
      <c r="S51" s="3000"/>
      <c r="T51" s="3002"/>
      <c r="U51" s="1417" t="str">
        <f>IFERROR(IF(VLOOKUP(B50,'LA BackOrder'!A:M,13,FALSE)=0,"",(VLOOKUP(B50,'LA BackOrder'!A:M,13,FALSE))),"")</f>
        <v/>
      </c>
      <c r="V51" s="1416"/>
      <c r="W51" s="2988"/>
      <c r="X51" s="2989"/>
      <c r="Y51" s="2997"/>
      <c r="Z51" s="2998"/>
      <c r="AA51" s="3010"/>
      <c r="AB51" s="3011"/>
      <c r="AC51" s="2994"/>
      <c r="AD51" s="2995"/>
      <c r="AE51" s="2996"/>
      <c r="AF51" s="2994"/>
      <c r="AG51" s="2995"/>
      <c r="AH51" s="2996"/>
    </row>
    <row r="52" spans="2:34" ht="18.75" customHeight="1">
      <c r="B52" s="2987"/>
      <c r="C52" s="3003" t="str">
        <f>IF(B52="","",C50+1)</f>
        <v/>
      </c>
      <c r="D52" s="3014" t="str">
        <f>IFERROR(IF(VLOOKUP(B52,'LA BackOrder'!A:C,3,FALSE)="","",VLOOKUP(B52,'LA BackOrder'!A:C,3,FALSE)),"")</f>
        <v/>
      </c>
      <c r="E52" s="3015"/>
      <c r="F52" s="3015"/>
      <c r="G52" s="3016"/>
      <c r="H52" s="2999" t="str">
        <f>IF(IFERROR(IF(VLOOKUP(B52,'LA BackOrder'!A:E,5,FALSE)="",VLOOKUP(B52,'LA BackOrder'!A:G,7,FALSE),IF(VLOOKUP(B52,'LA BackOrder'!A:E,5,FALSE)=0,"",VLOOKUP(B52,'LA BackOrder'!A:E,5,FALSE))),"")=0,"",IFERROR(IF(VLOOKUP(B52,'LA BackOrder'!A:E,5,FALSE)="",VLOOKUP(B52,'LA BackOrder'!A:G,7,FALSE),IF(VLOOKUP(B52,'LA BackOrder'!A:E,5,FALSE)=0,"",VLOOKUP(B52,'LA BackOrder'!A:E,5,FALSE))),""))</f>
        <v/>
      </c>
      <c r="I52" s="3000"/>
      <c r="J52" s="3000"/>
      <c r="K52" s="3000"/>
      <c r="L52" s="3000"/>
      <c r="M52" s="3000"/>
      <c r="N52" s="3000"/>
      <c r="O52" s="3000"/>
      <c r="P52" s="3000"/>
      <c r="Q52" s="3000"/>
      <c r="R52" s="3000"/>
      <c r="S52" s="3000"/>
      <c r="T52" s="3000"/>
      <c r="U52" s="3000"/>
      <c r="V52" s="3005"/>
      <c r="W52" s="2988" t="str">
        <f>IFERROR(IF(VLOOKUP(B52,'LA BackOrder'!A:H,8,FALSE)=0,"",VLOOKUP(B52,'LA BackOrder'!A:H,8,FALSE)),"")</f>
        <v/>
      </c>
      <c r="X52" s="2989"/>
      <c r="Y52" s="2997" t="str">
        <f>IFERROR(IF(VLOOKUP(B52,'LA BackOrder'!A:I,9,FALSE)=0,"",VLOOKUP(B52,'LA BackOrder'!A:I,9,FALSE)),"")</f>
        <v/>
      </c>
      <c r="Z52" s="2998"/>
      <c r="AA52" s="3010" t="str">
        <f>IFERROR(IF(AND(H53="",ISNUMBER(VLOOKUP(B52,'LA BackOrder'!A:J,10,FALSE))),VLOOKUP(B52,'LA BackOrder'!A:J,10,FALSE)&amp;" set",IF(VLOOKUP(B52,'LA BackOrder'!A:J,10,FALSE)=0,"",VLOOKUP(B52,'LA BackOrder'!A:J,10,FALSE))),"")</f>
        <v/>
      </c>
      <c r="AB52" s="3011"/>
      <c r="AC52" s="2994" t="str">
        <f>IFERROR(IF(VLOOKUP(B52,'LA BackOrder'!A:K,11,FALSE)=0,"",VLOOKUP(B52,'LA BackOrder'!A:K,11,FALSE)),"")</f>
        <v/>
      </c>
      <c r="AD52" s="2995"/>
      <c r="AE52" s="2996"/>
      <c r="AF52" s="2994" t="str">
        <f t="array" ref="AF52">IFERROR(IF(AA52="","",_xlfn.CONCAT(IFERROR(MID(AA52,_xlfn.SEQUENCE(LEN(AA52)),1)*1,""))*AC52),"")</f>
        <v/>
      </c>
      <c r="AG52" s="2995"/>
      <c r="AH52" s="2996"/>
    </row>
    <row r="53" spans="2:34" ht="18.75" customHeight="1">
      <c r="B53" s="2987"/>
      <c r="C53" s="3003"/>
      <c r="D53" s="3068"/>
      <c r="E53" s="3069"/>
      <c r="F53" s="3069"/>
      <c r="G53" s="3070"/>
      <c r="H53" s="2992" t="str">
        <f>IFERROR(IF(VLOOKUP(B52,'LA BackOrder'!A:F,6,FALSE)="","",IF(VLOOKUP(B52,'LA BackOrder'!A:F,6,FALSE)=0,"",VLOOKUP(B52,'LA BackOrder'!A:F,6,FALSE))),"")</f>
        <v/>
      </c>
      <c r="I53" s="2993"/>
      <c r="J53" s="2993"/>
      <c r="K53" s="1414" t="s">
        <v>3793</v>
      </c>
      <c r="L53" s="3051" t="str">
        <f>IFERROR(IF(VLOOKUP(B52,'LA BackOrder'!A:E,5,FALSE)="","",IF(VLOOKUP(B52,'LA BackOrder'!A:G,7,FALSE)=0,"",VLOOKUP(B52,'LA BackOrder'!A:G,7,FALSE))),"")</f>
        <v/>
      </c>
      <c r="M53" s="2993"/>
      <c r="N53" s="2993"/>
      <c r="O53" s="2993"/>
      <c r="P53" s="2993"/>
      <c r="Q53" s="2993"/>
      <c r="R53" s="2993"/>
      <c r="S53" s="2993"/>
      <c r="T53" s="3052"/>
      <c r="U53" s="1402" t="str">
        <f>IFERROR(IF(VLOOKUP(B52,'LA BackOrder'!A:M,13,FALSE)=0,"",(VLOOKUP(B52,'LA BackOrder'!A:M,13,FALSE))),"")</f>
        <v/>
      </c>
      <c r="V53" s="1403"/>
      <c r="W53" s="2990"/>
      <c r="X53" s="2991"/>
      <c r="Y53" s="3064"/>
      <c r="Z53" s="3065"/>
      <c r="AA53" s="3066"/>
      <c r="AB53" s="3067"/>
      <c r="AC53" s="3007"/>
      <c r="AD53" s="3008"/>
      <c r="AE53" s="3009"/>
      <c r="AF53" s="3007"/>
      <c r="AG53" s="3008"/>
      <c r="AH53" s="3009"/>
    </row>
    <row r="54" spans="2:34" ht="18.75" customHeight="1">
      <c r="C54" s="1400"/>
      <c r="D54" s="1400"/>
      <c r="E54" s="1400"/>
      <c r="F54" s="1400"/>
      <c r="G54" s="3006"/>
      <c r="H54" s="3006"/>
      <c r="I54" s="3017"/>
      <c r="J54" s="3017"/>
      <c r="K54" s="1400"/>
      <c r="L54" s="1400"/>
      <c r="M54" s="1400"/>
      <c r="N54" s="1400"/>
      <c r="O54" s="1400"/>
      <c r="P54" s="1400"/>
      <c r="Q54" s="1400"/>
      <c r="R54" s="1400"/>
      <c r="S54" s="1400"/>
      <c r="T54" s="1400"/>
      <c r="U54" s="1400"/>
      <c r="V54" s="1400"/>
      <c r="W54" s="3006"/>
      <c r="X54" s="3006"/>
      <c r="Y54" s="3006"/>
      <c r="Z54" s="3006"/>
      <c r="AA54" s="3017"/>
      <c r="AB54" s="3061"/>
      <c r="AC54" s="3062" t="s">
        <v>3775</v>
      </c>
      <c r="AD54" s="3063"/>
      <c r="AE54" s="3063"/>
      <c r="AF54" s="3048">
        <f>SUM(AF26:AH53)</f>
        <v>0</v>
      </c>
      <c r="AG54" s="3049"/>
      <c r="AH54" s="3050"/>
    </row>
    <row r="55" spans="2:34" ht="18.75" customHeight="1" thickBot="1">
      <c r="C55" s="1392" t="s">
        <v>3799</v>
      </c>
      <c r="AC55" s="3044" t="s">
        <v>3795</v>
      </c>
      <c r="AD55" s="3045"/>
      <c r="AE55" s="3045"/>
      <c r="AF55" s="3058"/>
      <c r="AG55" s="3059"/>
      <c r="AH55" s="3060"/>
    </row>
    <row r="56" spans="2:34" ht="18.75" customHeight="1" thickBot="1">
      <c r="C56" s="1392" t="s">
        <v>3801</v>
      </c>
      <c r="N56" s="1392" t="s">
        <v>3806</v>
      </c>
      <c r="AC56" s="3012" t="s">
        <v>3776</v>
      </c>
      <c r="AD56" s="3013"/>
      <c r="AE56" s="3013"/>
      <c r="AF56" s="3038">
        <f>SUM(AF54:AH55)</f>
        <v>0</v>
      </c>
      <c r="AG56" s="3039"/>
      <c r="AH56" s="3040"/>
    </row>
    <row r="57" spans="2:34" ht="18.75" customHeight="1">
      <c r="C57" s="1415" t="s">
        <v>3802</v>
      </c>
      <c r="N57" s="3004" t="s">
        <v>3807</v>
      </c>
      <c r="O57" s="3004"/>
      <c r="P57" s="3004"/>
      <c r="Q57" s="3004"/>
      <c r="R57" s="3004"/>
      <c r="S57" s="3004"/>
      <c r="T57" s="3004"/>
      <c r="U57" s="3004"/>
      <c r="V57" s="3004"/>
    </row>
    <row r="58" spans="2:34" ht="18.75" customHeight="1">
      <c r="C58" s="1392" t="s">
        <v>3803</v>
      </c>
      <c r="N58" s="3004" t="s">
        <v>3808</v>
      </c>
      <c r="O58" s="3004"/>
      <c r="P58" s="3004"/>
      <c r="Q58" s="2987"/>
      <c r="R58" s="2987"/>
      <c r="S58" s="2987"/>
      <c r="T58" s="2987"/>
    </row>
    <row r="59" spans="2:34" ht="18.75" customHeight="1">
      <c r="C59" s="1392" t="s">
        <v>3804</v>
      </c>
      <c r="Y59" s="1415" t="s">
        <v>3809</v>
      </c>
      <c r="Z59" s="1415"/>
      <c r="AA59" s="1415"/>
      <c r="AB59" s="1415"/>
      <c r="AC59" s="1415"/>
      <c r="AD59" s="1415"/>
      <c r="AE59" s="1415"/>
      <c r="AF59" s="1415"/>
      <c r="AG59" s="1415"/>
      <c r="AH59" s="1415"/>
    </row>
    <row r="60" spans="2:34" ht="18.75" customHeight="1">
      <c r="C60" s="1392" t="s">
        <v>3805</v>
      </c>
      <c r="Y60" s="2987"/>
      <c r="Z60" s="2987"/>
      <c r="AA60" s="2987"/>
      <c r="AB60" s="2987"/>
      <c r="AC60" s="2987"/>
      <c r="AD60" s="2987"/>
      <c r="AE60" s="2987"/>
      <c r="AF60" s="2987"/>
      <c r="AG60" s="2987"/>
      <c r="AH60" s="2987"/>
    </row>
    <row r="61" spans="2:34" ht="18.75" customHeight="1">
      <c r="Y61" s="2987"/>
      <c r="Z61" s="2987"/>
      <c r="AA61" s="2987"/>
      <c r="AB61" s="2987"/>
      <c r="AC61" s="2987"/>
      <c r="AD61" s="2987"/>
      <c r="AE61" s="2987"/>
      <c r="AF61" s="2987"/>
      <c r="AG61" s="2987"/>
      <c r="AH61" s="2987"/>
    </row>
    <row r="62" spans="2:34" ht="18.75" customHeight="1" thickBot="1">
      <c r="Y62" s="3057"/>
      <c r="Z62" s="3057"/>
      <c r="AA62" s="3057"/>
      <c r="AB62" s="3057"/>
      <c r="AC62" s="3057"/>
      <c r="AD62" s="3057"/>
      <c r="AE62" s="3057"/>
      <c r="AF62" s="3057"/>
      <c r="AG62" s="3057"/>
      <c r="AH62" s="3057"/>
    </row>
    <row r="63" spans="2:34" ht="18.75" customHeight="1">
      <c r="Y63" s="3027" t="s">
        <v>3810</v>
      </c>
      <c r="Z63" s="3027"/>
      <c r="AA63" s="3027"/>
      <c r="AB63" s="3027"/>
      <c r="AC63" s="3027"/>
      <c r="AD63" s="3027"/>
      <c r="AE63" s="3027"/>
      <c r="AF63" s="3027"/>
      <c r="AG63" s="3027"/>
      <c r="AH63" s="3027"/>
    </row>
  </sheetData>
  <mergeCells count="238">
    <mergeCell ref="C30:C31"/>
    <mergeCell ref="C32:C33"/>
    <mergeCell ref="D36:G37"/>
    <mergeCell ref="D38:G39"/>
    <mergeCell ref="D40:G41"/>
    <mergeCell ref="D42:G43"/>
    <mergeCell ref="AC42:AE43"/>
    <mergeCell ref="AF42:AH43"/>
    <mergeCell ref="H43:J43"/>
    <mergeCell ref="L43:T43"/>
    <mergeCell ref="W42:X43"/>
    <mergeCell ref="Y42:Z43"/>
    <mergeCell ref="D28:G29"/>
    <mergeCell ref="D30:G31"/>
    <mergeCell ref="D32:G33"/>
    <mergeCell ref="D34:G35"/>
    <mergeCell ref="AC44:AE45"/>
    <mergeCell ref="AF44:AH45"/>
    <mergeCell ref="H45:J45"/>
    <mergeCell ref="L45:T45"/>
    <mergeCell ref="W44:X45"/>
    <mergeCell ref="Y44:Z45"/>
    <mergeCell ref="AF32:AH33"/>
    <mergeCell ref="AF38:AH39"/>
    <mergeCell ref="W34:X35"/>
    <mergeCell ref="Y34:Z35"/>
    <mergeCell ref="W32:X33"/>
    <mergeCell ref="W38:X39"/>
    <mergeCell ref="W36:X37"/>
    <mergeCell ref="Y36:Z37"/>
    <mergeCell ref="Y38:Z39"/>
    <mergeCell ref="AA38:AB39"/>
    <mergeCell ref="U10:Z10"/>
    <mergeCell ref="AA10:AH10"/>
    <mergeCell ref="W15:AH15"/>
    <mergeCell ref="G16:T16"/>
    <mergeCell ref="U16:V16"/>
    <mergeCell ref="W16:AH16"/>
    <mergeCell ref="AA17:AC17"/>
    <mergeCell ref="AD17:AH17"/>
    <mergeCell ref="G18:T18"/>
    <mergeCell ref="U18:AH18"/>
    <mergeCell ref="G14:T14"/>
    <mergeCell ref="U14:V14"/>
    <mergeCell ref="W14:AH14"/>
    <mergeCell ref="G15:T15"/>
    <mergeCell ref="U15:V15"/>
    <mergeCell ref="C4:T7"/>
    <mergeCell ref="U4:AH5"/>
    <mergeCell ref="U6:V6"/>
    <mergeCell ref="W6:AH6"/>
    <mergeCell ref="U7:V7"/>
    <mergeCell ref="X7:Y7"/>
    <mergeCell ref="AD7:AF7"/>
    <mergeCell ref="AG7:AH7"/>
    <mergeCell ref="U13:V13"/>
    <mergeCell ref="W13:AH13"/>
    <mergeCell ref="C8:F13"/>
    <mergeCell ref="G8:T8"/>
    <mergeCell ref="U8:Z8"/>
    <mergeCell ref="AA8:AH8"/>
    <mergeCell ref="G9:T9"/>
    <mergeCell ref="U9:Z9"/>
    <mergeCell ref="AA9:AH9"/>
    <mergeCell ref="G10:T10"/>
    <mergeCell ref="G11:T11"/>
    <mergeCell ref="U11:Z11"/>
    <mergeCell ref="AA11:AH11"/>
    <mergeCell ref="G12:T12"/>
    <mergeCell ref="U12:AH12"/>
    <mergeCell ref="G13:T13"/>
    <mergeCell ref="C20:K20"/>
    <mergeCell ref="U20:Y20"/>
    <mergeCell ref="G17:T17"/>
    <mergeCell ref="U17:V17"/>
    <mergeCell ref="W17:Z17"/>
    <mergeCell ref="C22:K22"/>
    <mergeCell ref="U22:Y22"/>
    <mergeCell ref="C23:K23"/>
    <mergeCell ref="H26:V26"/>
    <mergeCell ref="U23:Z23"/>
    <mergeCell ref="L21:T21"/>
    <mergeCell ref="U21:Z21"/>
    <mergeCell ref="L23:T23"/>
    <mergeCell ref="C14:F19"/>
    <mergeCell ref="G19:T19"/>
    <mergeCell ref="D26:G27"/>
    <mergeCell ref="D24:G25"/>
    <mergeCell ref="C24:C25"/>
    <mergeCell ref="C26:C27"/>
    <mergeCell ref="W24:AB24"/>
    <mergeCell ref="H24:V24"/>
    <mergeCell ref="C28:C29"/>
    <mergeCell ref="D52:G53"/>
    <mergeCell ref="H52:V52"/>
    <mergeCell ref="AC32:AE33"/>
    <mergeCell ref="AA36:AB37"/>
    <mergeCell ref="AC36:AE37"/>
    <mergeCell ref="W46:X47"/>
    <mergeCell ref="Y46:Z47"/>
    <mergeCell ref="AA46:AB47"/>
    <mergeCell ref="H47:J47"/>
    <mergeCell ref="L47:T47"/>
    <mergeCell ref="C46:C47"/>
    <mergeCell ref="D46:G47"/>
    <mergeCell ref="H49:J49"/>
    <mergeCell ref="L49:T49"/>
    <mergeCell ref="C34:C35"/>
    <mergeCell ref="C36:C37"/>
    <mergeCell ref="C38:C39"/>
    <mergeCell ref="C40:C41"/>
    <mergeCell ref="C42:C43"/>
    <mergeCell ref="H34:V34"/>
    <mergeCell ref="Y28:Z29"/>
    <mergeCell ref="AA42:AB43"/>
    <mergeCell ref="H42:V42"/>
    <mergeCell ref="Y60:AH62"/>
    <mergeCell ref="AC46:AE47"/>
    <mergeCell ref="AF46:AH47"/>
    <mergeCell ref="AC48:AE49"/>
    <mergeCell ref="AF48:AH49"/>
    <mergeCell ref="AF55:AH55"/>
    <mergeCell ref="AC52:AE53"/>
    <mergeCell ref="Y48:Z49"/>
    <mergeCell ref="AA48:AB49"/>
    <mergeCell ref="AA50:AB51"/>
    <mergeCell ref="AC50:AE51"/>
    <mergeCell ref="AF50:AH51"/>
    <mergeCell ref="W54:Z54"/>
    <mergeCell ref="AA54:AB54"/>
    <mergeCell ref="AC54:AE54"/>
    <mergeCell ref="Y52:Z53"/>
    <mergeCell ref="AA52:AB53"/>
    <mergeCell ref="Y63:AH63"/>
    <mergeCell ref="G2:M2"/>
    <mergeCell ref="G1:M1"/>
    <mergeCell ref="C1:F1"/>
    <mergeCell ref="C2:F2"/>
    <mergeCell ref="AF24:AH25"/>
    <mergeCell ref="AC24:AE25"/>
    <mergeCell ref="AF56:AH56"/>
    <mergeCell ref="AC23:AH23"/>
    <mergeCell ref="AC55:AE55"/>
    <mergeCell ref="U25:V25"/>
    <mergeCell ref="AF54:AH54"/>
    <mergeCell ref="L29:T29"/>
    <mergeCell ref="L53:T53"/>
    <mergeCell ref="L35:T35"/>
    <mergeCell ref="AA25:AB25"/>
    <mergeCell ref="Y25:Z25"/>
    <mergeCell ref="W25:X25"/>
    <mergeCell ref="H36:V36"/>
    <mergeCell ref="AA44:AB45"/>
    <mergeCell ref="Y32:Z33"/>
    <mergeCell ref="AA32:AB33"/>
    <mergeCell ref="AA34:AB35"/>
    <mergeCell ref="AC34:AE35"/>
    <mergeCell ref="B32:B33"/>
    <mergeCell ref="L33:T33"/>
    <mergeCell ref="L39:T39"/>
    <mergeCell ref="C44:C45"/>
    <mergeCell ref="D44:G45"/>
    <mergeCell ref="H44:V44"/>
    <mergeCell ref="H32:V32"/>
    <mergeCell ref="B34:B35"/>
    <mergeCell ref="H35:J35"/>
    <mergeCell ref="H33:J33"/>
    <mergeCell ref="B38:B39"/>
    <mergeCell ref="H39:J39"/>
    <mergeCell ref="B36:B37"/>
    <mergeCell ref="H38:V38"/>
    <mergeCell ref="H37:J37"/>
    <mergeCell ref="L37:T37"/>
    <mergeCell ref="B28:B29"/>
    <mergeCell ref="W28:X29"/>
    <mergeCell ref="AA28:AB29"/>
    <mergeCell ref="AC28:AE29"/>
    <mergeCell ref="AF28:AH29"/>
    <mergeCell ref="B26:B27"/>
    <mergeCell ref="H27:J27"/>
    <mergeCell ref="L27:T27"/>
    <mergeCell ref="AF30:AH31"/>
    <mergeCell ref="AF26:AH27"/>
    <mergeCell ref="AC26:AE27"/>
    <mergeCell ref="AA26:AB27"/>
    <mergeCell ref="Y26:Z27"/>
    <mergeCell ref="W26:X27"/>
    <mergeCell ref="W30:X31"/>
    <mergeCell ref="L31:T31"/>
    <mergeCell ref="Y30:Z31"/>
    <mergeCell ref="AA30:AB31"/>
    <mergeCell ref="AC30:AE31"/>
    <mergeCell ref="H31:J31"/>
    <mergeCell ref="H29:J29"/>
    <mergeCell ref="B30:B31"/>
    <mergeCell ref="H28:V28"/>
    <mergeCell ref="H30:V30"/>
    <mergeCell ref="N58:P58"/>
    <mergeCell ref="Q58:T58"/>
    <mergeCell ref="Y50:Z51"/>
    <mergeCell ref="H40:V40"/>
    <mergeCell ref="N57:P57"/>
    <mergeCell ref="Q57:V57"/>
    <mergeCell ref="G54:H54"/>
    <mergeCell ref="AF52:AH53"/>
    <mergeCell ref="AA40:AB41"/>
    <mergeCell ref="AC40:AE41"/>
    <mergeCell ref="AF40:AH41"/>
    <mergeCell ref="AC56:AE56"/>
    <mergeCell ref="D48:G49"/>
    <mergeCell ref="H48:V48"/>
    <mergeCell ref="H51:J51"/>
    <mergeCell ref="L51:T51"/>
    <mergeCell ref="H50:V50"/>
    <mergeCell ref="D50:G51"/>
    <mergeCell ref="W50:X51"/>
    <mergeCell ref="H46:V46"/>
    <mergeCell ref="W48:X49"/>
    <mergeCell ref="I54:J54"/>
    <mergeCell ref="B52:B53"/>
    <mergeCell ref="W52:X53"/>
    <mergeCell ref="H53:J53"/>
    <mergeCell ref="B40:B41"/>
    <mergeCell ref="B48:B49"/>
    <mergeCell ref="W40:X41"/>
    <mergeCell ref="AF36:AH37"/>
    <mergeCell ref="AF34:AH35"/>
    <mergeCell ref="Y40:Z41"/>
    <mergeCell ref="H41:J41"/>
    <mergeCell ref="L41:T41"/>
    <mergeCell ref="B42:B43"/>
    <mergeCell ref="B44:B45"/>
    <mergeCell ref="B46:B47"/>
    <mergeCell ref="C48:C49"/>
    <mergeCell ref="C52:C53"/>
    <mergeCell ref="B50:B51"/>
    <mergeCell ref="C50:C51"/>
    <mergeCell ref="AC38:AE39"/>
  </mergeCells>
  <phoneticPr fontId="2"/>
  <conditionalFormatting sqref="G21">
    <cfRule type="notContainsBlanks" dxfId="12" priority="13" stopIfTrue="1">
      <formula>LEN(TRIM(G21))&gt;0</formula>
    </cfRule>
    <cfRule type="expression" dxfId="11" priority="14" stopIfTrue="1">
      <formula>$C$21="Other"</formula>
    </cfRule>
    <cfRule type="expression" dxfId="10" priority="15" stopIfTrue="1">
      <formula>$C$21="AIR"</formula>
    </cfRule>
    <cfRule type="expression" dxfId="9" priority="17" stopIfTrue="1">
      <formula>$C$21="Vessel"</formula>
    </cfRule>
  </conditionalFormatting>
  <conditionalFormatting sqref="C21:F21">
    <cfRule type="expression" dxfId="8" priority="16" stopIfTrue="1">
      <formula>$C$21="(SELECT)"</formula>
    </cfRule>
  </conditionalFormatting>
  <conditionalFormatting sqref="L21:Z21">
    <cfRule type="containsBlanks" dxfId="7" priority="12" stopIfTrue="1">
      <formula>LEN(TRIM(L21))=0</formula>
    </cfRule>
  </conditionalFormatting>
  <conditionalFormatting sqref="U19:V19">
    <cfRule type="expression" dxfId="6" priority="11" stopIfTrue="1">
      <formula>$U$19="(SELECT)"</formula>
    </cfRule>
  </conditionalFormatting>
  <conditionalFormatting sqref="AG7:AH7">
    <cfRule type="containsBlanks" dxfId="5" priority="10" stopIfTrue="1">
      <formula>LEN(TRIM(AG7))=0</formula>
    </cfRule>
  </conditionalFormatting>
  <conditionalFormatting sqref="C23:Z23">
    <cfRule type="containsBlanks" dxfId="4" priority="9" stopIfTrue="1">
      <formula>LEN(TRIM(C23))=0</formula>
    </cfRule>
  </conditionalFormatting>
  <conditionalFormatting sqref="AC23:AH23">
    <cfRule type="containsBlanks" dxfId="3" priority="8" stopIfTrue="1">
      <formula>LEN(TRIM(AC23))=0</formula>
    </cfRule>
  </conditionalFormatting>
  <conditionalFormatting sqref="G8:T13">
    <cfRule type="expression" dxfId="2" priority="7" stopIfTrue="1">
      <formula>$G$8=""</formula>
    </cfRule>
  </conditionalFormatting>
  <conditionalFormatting sqref="G14:T19">
    <cfRule type="expression" dxfId="1" priority="6" stopIfTrue="1">
      <formula>$G$14=""</formula>
    </cfRule>
  </conditionalFormatting>
  <conditionalFormatting sqref="H27:T27 H26 H29:T29 H28 H31:T31 H30 H33:T33 H32 H35:T35 H34 H37:T37 H36 H39:T39 H38 H41:T41 H40 H43:T43 H42 H45:T45 H44 H47:T47 H46 H49:T49 H48 H51:T51 H50 H53:T53 H52">
    <cfRule type="expression" dxfId="0" priority="3" stopIfTrue="1">
      <formula>COUNTIF($AC26,"*per*")</formula>
    </cfRule>
  </conditionalFormatting>
  <dataValidations count="3">
    <dataValidation type="list" allowBlank="1" showInputMessage="1" showErrorMessage="1" sqref="U19:V19" xr:uid="{00000000-0002-0000-0800-000000000000}">
      <formula1>"(SELECT),Advanced Payment,NET 30days,NET 60days"</formula1>
    </dataValidation>
    <dataValidation type="list" allowBlank="1" showInputMessage="1" showErrorMessage="1" sqref="K27 K49 K29 K31 K33 K35 K37 K51 K43 K45 K39 K41 K47 K53" xr:uid="{00000000-0002-0000-0800-000001000000}">
      <formula1>"mm,cm,m,　"</formula1>
    </dataValidation>
    <dataValidation type="list" allowBlank="1" showInputMessage="1" showErrorMessage="1" sqref="C21:F21" xr:uid="{00000000-0002-0000-0800-000002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22</xdr:col>
                    <xdr:colOff>19050</xdr:colOff>
                    <xdr:row>5</xdr:row>
                    <xdr:rowOff>228600</xdr:rowOff>
                  </from>
                  <to>
                    <xdr:col>22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25</xdr:col>
                    <xdr:colOff>133350</xdr:colOff>
                    <xdr:row>5</xdr:row>
                    <xdr:rowOff>228600</xdr:rowOff>
                  </from>
                  <to>
                    <xdr:col>26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LA BackOrder</vt:lpstr>
      <vt:lpstr>取引先マスタ</vt:lpstr>
      <vt:lpstr>仕入先マスタ</vt:lpstr>
      <vt:lpstr>Invoice(SF米国)</vt:lpstr>
      <vt:lpstr>Invoice(SF大阪)</vt:lpstr>
      <vt:lpstr>発注書</vt:lpstr>
      <vt:lpstr>Packing List-2</vt:lpstr>
      <vt:lpstr>Packing list </vt:lpstr>
      <vt:lpstr>carton mark </vt:lpstr>
      <vt:lpstr>顧客連絡用シート</vt:lpstr>
      <vt:lpstr>Sheet4</vt:lpstr>
      <vt:lpstr>Sheet5</vt:lpstr>
      <vt:lpstr>Sheet2</vt:lpstr>
      <vt:lpstr>Sheet1</vt:lpstr>
      <vt:lpstr>Sheet3</vt:lpstr>
      <vt:lpstr>Invoice(Sample)</vt:lpstr>
      <vt:lpstr>'carton mark '!Print_Area</vt:lpstr>
      <vt:lpstr>'Invoice(Sample)'!Print_Area</vt:lpstr>
      <vt:lpstr>'Invoice(SF大阪)'!Print_Area</vt:lpstr>
      <vt:lpstr>'Invoice(SF米国)'!Print_Area</vt:lpstr>
      <vt:lpstr>'LA BackOrder'!Print_Area</vt:lpstr>
      <vt:lpstr>'Packing list '!Print_Area</vt:lpstr>
      <vt:lpstr>発注書!Print_Area</vt:lpstr>
      <vt:lpstr>'Invoice(SF大阪)'!Print_Titles</vt:lpstr>
      <vt:lpstr>'Invoice(SF米国)'!Print_Titles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</dc:creator>
  <cp:lastModifiedBy>Megumi Chiba</cp:lastModifiedBy>
  <cp:lastPrinted>2023-08-09T04:47:10Z</cp:lastPrinted>
  <dcterms:created xsi:type="dcterms:W3CDTF">2004-11-16T02:15:36Z</dcterms:created>
  <dcterms:modified xsi:type="dcterms:W3CDTF">2026-04-02T09:27:20Z</dcterms:modified>
</cp:coreProperties>
</file>